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35" windowWidth="18195" windowHeight="11310" tabRatio="847"/>
  </bookViews>
  <sheets>
    <sheet name="CONTROL" sheetId="1" r:id="rId1"/>
    <sheet name="RAP-LIGHT OIL" sheetId="2" r:id="rId2"/>
    <sheet name="RAP-HEAVY OIL&amp;WTI" sheetId="3" r:id="rId3"/>
    <sheet name="RAP-NATURAL GAS PRICES" sheetId="4" r:id="rId4"/>
    <sheet name="RAP TEMPLATE-GAS AVAILABILITY" sheetId="5" r:id="rId5"/>
    <sheet name="RAP-SOLID FUEL PRICES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4">'RAP TEMPLATE-GAS AVAILABILITY'!$A$12:$T$1144</definedName>
    <definedName name="_xlnm.Print_Area" localSheetId="2">'RAP-HEAVY OIL&amp;WTI'!$A$12:$J$1144</definedName>
    <definedName name="_xlnm.Print_Area" localSheetId="1">'RAP-LIGHT OIL'!$A$12:$K$1144</definedName>
    <definedName name="_xlnm.Print_Area" localSheetId="3">'RAP-NATURAL GAS PRICES'!$A$13:$AD$1144</definedName>
    <definedName name="_xlnm.Print_Area" localSheetId="5">'RAP-SOLID FUEL PRICES'!$A$14:$O$1146</definedName>
    <definedName name="_xlnm.Print_Titles" localSheetId="4">'RAP TEMPLATE-GAS AVAILABILITY'!$1:$11</definedName>
    <definedName name="_xlnm.Print_Titles" localSheetId="2">'RAP-HEAVY OIL&amp;WTI'!$1:$11</definedName>
    <definedName name="_xlnm.Print_Titles" localSheetId="1">'RAP-LIGHT OIL'!$1:$11</definedName>
    <definedName name="_xlnm.Print_Titles" localSheetId="3">'RAP-NATURAL GAS PRICES'!$1:$12</definedName>
    <definedName name="_xlnm.Print_Titles" localSheetId="5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9" i="6" l="1"/>
  <c r="E9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B312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B313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B315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B316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B348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B349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B350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B351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B352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B385" i="6"/>
  <c r="C385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B386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B388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B420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B421" i="6"/>
  <c r="C421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B422" i="6"/>
  <c r="C422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B423" i="6"/>
  <c r="C423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B424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B456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B457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B458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B459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B460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B492" i="6"/>
  <c r="C492" i="6"/>
  <c r="D492" i="6"/>
  <c r="E492" i="6"/>
  <c r="F492" i="6"/>
  <c r="G492" i="6"/>
  <c r="H492" i="6"/>
  <c r="I492" i="6"/>
  <c r="J492" i="6"/>
  <c r="K492" i="6"/>
  <c r="L492" i="6"/>
  <c r="M492" i="6"/>
  <c r="N492" i="6"/>
  <c r="O492" i="6"/>
  <c r="B493" i="6"/>
  <c r="C493" i="6"/>
  <c r="D493" i="6"/>
  <c r="E493" i="6"/>
  <c r="F493" i="6"/>
  <c r="G493" i="6"/>
  <c r="H493" i="6"/>
  <c r="I493" i="6"/>
  <c r="J493" i="6"/>
  <c r="K493" i="6"/>
  <c r="L493" i="6"/>
  <c r="M493" i="6"/>
  <c r="N493" i="6"/>
  <c r="O493" i="6"/>
  <c r="B494" i="6"/>
  <c r="C494" i="6"/>
  <c r="D494" i="6"/>
  <c r="E494" i="6"/>
  <c r="F494" i="6"/>
  <c r="G494" i="6"/>
  <c r="H494" i="6"/>
  <c r="I494" i="6"/>
  <c r="J494" i="6"/>
  <c r="K494" i="6"/>
  <c r="L494" i="6"/>
  <c r="M494" i="6"/>
  <c r="N494" i="6"/>
  <c r="O494" i="6"/>
  <c r="B495" i="6"/>
  <c r="C495" i="6"/>
  <c r="D495" i="6"/>
  <c r="E495" i="6"/>
  <c r="F495" i="6"/>
  <c r="G495" i="6"/>
  <c r="H495" i="6"/>
  <c r="I495" i="6"/>
  <c r="J495" i="6"/>
  <c r="K495" i="6"/>
  <c r="L495" i="6"/>
  <c r="M495" i="6"/>
  <c r="N495" i="6"/>
  <c r="O495" i="6"/>
  <c r="B496" i="6"/>
  <c r="C496" i="6"/>
  <c r="D496" i="6"/>
  <c r="E496" i="6"/>
  <c r="F496" i="6"/>
  <c r="G496" i="6"/>
  <c r="H496" i="6"/>
  <c r="I496" i="6"/>
  <c r="J496" i="6"/>
  <c r="K496" i="6"/>
  <c r="L496" i="6"/>
  <c r="M496" i="6"/>
  <c r="N496" i="6"/>
  <c r="O496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B528" i="6"/>
  <c r="C528" i="6"/>
  <c r="D528" i="6"/>
  <c r="E528" i="6"/>
  <c r="F528" i="6"/>
  <c r="G528" i="6"/>
  <c r="H528" i="6"/>
  <c r="I528" i="6"/>
  <c r="J528" i="6"/>
  <c r="K528" i="6"/>
  <c r="L528" i="6"/>
  <c r="M528" i="6"/>
  <c r="N528" i="6"/>
  <c r="O528" i="6"/>
  <c r="B529" i="6"/>
  <c r="C529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B530" i="6"/>
  <c r="C530" i="6"/>
  <c r="D530" i="6"/>
  <c r="E530" i="6"/>
  <c r="F530" i="6"/>
  <c r="G530" i="6"/>
  <c r="H530" i="6"/>
  <c r="I530" i="6"/>
  <c r="J530" i="6"/>
  <c r="K530" i="6"/>
  <c r="L530" i="6"/>
  <c r="M530" i="6"/>
  <c r="N530" i="6"/>
  <c r="O530" i="6"/>
  <c r="B531" i="6"/>
  <c r="C531" i="6"/>
  <c r="D531" i="6"/>
  <c r="E531" i="6"/>
  <c r="F531" i="6"/>
  <c r="G531" i="6"/>
  <c r="H531" i="6"/>
  <c r="I531" i="6"/>
  <c r="J531" i="6"/>
  <c r="K531" i="6"/>
  <c r="L531" i="6"/>
  <c r="M531" i="6"/>
  <c r="N531" i="6"/>
  <c r="O531" i="6"/>
  <c r="B532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O532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B564" i="6"/>
  <c r="C564" i="6"/>
  <c r="D564" i="6"/>
  <c r="E564" i="6"/>
  <c r="F564" i="6"/>
  <c r="G564" i="6"/>
  <c r="H564" i="6"/>
  <c r="I564" i="6"/>
  <c r="J564" i="6"/>
  <c r="K564" i="6"/>
  <c r="L564" i="6"/>
  <c r="M564" i="6"/>
  <c r="N564" i="6"/>
  <c r="O564" i="6"/>
  <c r="B565" i="6"/>
  <c r="C565" i="6"/>
  <c r="D565" i="6"/>
  <c r="E565" i="6"/>
  <c r="F565" i="6"/>
  <c r="G565" i="6"/>
  <c r="H565" i="6"/>
  <c r="I565" i="6"/>
  <c r="J565" i="6"/>
  <c r="K565" i="6"/>
  <c r="L565" i="6"/>
  <c r="M565" i="6"/>
  <c r="N565" i="6"/>
  <c r="O565" i="6"/>
  <c r="B566" i="6"/>
  <c r="C566" i="6"/>
  <c r="D566" i="6"/>
  <c r="E566" i="6"/>
  <c r="F566" i="6"/>
  <c r="G566" i="6"/>
  <c r="H566" i="6"/>
  <c r="I566" i="6"/>
  <c r="J566" i="6"/>
  <c r="K566" i="6"/>
  <c r="L566" i="6"/>
  <c r="M566" i="6"/>
  <c r="N566" i="6"/>
  <c r="O566" i="6"/>
  <c r="B567" i="6"/>
  <c r="C567" i="6"/>
  <c r="D567" i="6"/>
  <c r="E567" i="6"/>
  <c r="F567" i="6"/>
  <c r="G567" i="6"/>
  <c r="H567" i="6"/>
  <c r="I567" i="6"/>
  <c r="J567" i="6"/>
  <c r="K567" i="6"/>
  <c r="L567" i="6"/>
  <c r="M567" i="6"/>
  <c r="N567" i="6"/>
  <c r="O567" i="6"/>
  <c r="B568" i="6"/>
  <c r="C568" i="6"/>
  <c r="D568" i="6"/>
  <c r="E568" i="6"/>
  <c r="F568" i="6"/>
  <c r="G568" i="6"/>
  <c r="H568" i="6"/>
  <c r="I568" i="6"/>
  <c r="J568" i="6"/>
  <c r="K568" i="6"/>
  <c r="L568" i="6"/>
  <c r="M568" i="6"/>
  <c r="N568" i="6"/>
  <c r="O568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B600" i="6"/>
  <c r="C600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B601" i="6"/>
  <c r="C601" i="6"/>
  <c r="D601" i="6"/>
  <c r="E601" i="6"/>
  <c r="F601" i="6"/>
  <c r="G601" i="6"/>
  <c r="H601" i="6"/>
  <c r="I601" i="6"/>
  <c r="J601" i="6"/>
  <c r="K601" i="6"/>
  <c r="L601" i="6"/>
  <c r="M601" i="6"/>
  <c r="N601" i="6"/>
  <c r="O601" i="6"/>
  <c r="B602" i="6"/>
  <c r="C602" i="6"/>
  <c r="D602" i="6"/>
  <c r="E602" i="6"/>
  <c r="F602" i="6"/>
  <c r="G602" i="6"/>
  <c r="H602" i="6"/>
  <c r="I602" i="6"/>
  <c r="J602" i="6"/>
  <c r="K602" i="6"/>
  <c r="L602" i="6"/>
  <c r="M602" i="6"/>
  <c r="N602" i="6"/>
  <c r="O602" i="6"/>
  <c r="B603" i="6"/>
  <c r="C603" i="6"/>
  <c r="D603" i="6"/>
  <c r="E603" i="6"/>
  <c r="F603" i="6"/>
  <c r="G603" i="6"/>
  <c r="H603" i="6"/>
  <c r="I603" i="6"/>
  <c r="J603" i="6"/>
  <c r="K603" i="6"/>
  <c r="L603" i="6"/>
  <c r="M603" i="6"/>
  <c r="N603" i="6"/>
  <c r="O603" i="6"/>
  <c r="B604" i="6"/>
  <c r="C604" i="6"/>
  <c r="D604" i="6"/>
  <c r="E604" i="6"/>
  <c r="F604" i="6"/>
  <c r="G604" i="6"/>
  <c r="H604" i="6"/>
  <c r="I604" i="6"/>
  <c r="J604" i="6"/>
  <c r="K604" i="6"/>
  <c r="L604" i="6"/>
  <c r="M604" i="6"/>
  <c r="N604" i="6"/>
  <c r="O604" i="6"/>
  <c r="B605" i="6"/>
  <c r="C605" i="6"/>
  <c r="D605" i="6"/>
  <c r="E605" i="6"/>
  <c r="F605" i="6"/>
  <c r="G605" i="6"/>
  <c r="H605" i="6"/>
  <c r="I605" i="6"/>
  <c r="J605" i="6"/>
  <c r="K605" i="6"/>
  <c r="L605" i="6"/>
  <c r="M605" i="6"/>
  <c r="N605" i="6"/>
  <c r="O605" i="6"/>
  <c r="B606" i="6"/>
  <c r="C606" i="6"/>
  <c r="D606" i="6"/>
  <c r="E606" i="6"/>
  <c r="F606" i="6"/>
  <c r="G606" i="6"/>
  <c r="H606" i="6"/>
  <c r="I606" i="6"/>
  <c r="J606" i="6"/>
  <c r="K606" i="6"/>
  <c r="L606" i="6"/>
  <c r="M606" i="6"/>
  <c r="N606" i="6"/>
  <c r="O606" i="6"/>
  <c r="B607" i="6"/>
  <c r="C607" i="6"/>
  <c r="D607" i="6"/>
  <c r="E607" i="6"/>
  <c r="F607" i="6"/>
  <c r="G607" i="6"/>
  <c r="H607" i="6"/>
  <c r="I607" i="6"/>
  <c r="J607" i="6"/>
  <c r="K607" i="6"/>
  <c r="L607" i="6"/>
  <c r="M607" i="6"/>
  <c r="N607" i="6"/>
  <c r="O607" i="6"/>
  <c r="B608" i="6"/>
  <c r="C608" i="6"/>
  <c r="D608" i="6"/>
  <c r="E608" i="6"/>
  <c r="F608" i="6"/>
  <c r="G608" i="6"/>
  <c r="H608" i="6"/>
  <c r="I608" i="6"/>
  <c r="J608" i="6"/>
  <c r="K608" i="6"/>
  <c r="L608" i="6"/>
  <c r="M608" i="6"/>
  <c r="N608" i="6"/>
  <c r="O608" i="6"/>
  <c r="B609" i="6"/>
  <c r="C609" i="6"/>
  <c r="D609" i="6"/>
  <c r="E609" i="6"/>
  <c r="F609" i="6"/>
  <c r="G609" i="6"/>
  <c r="H609" i="6"/>
  <c r="I609" i="6"/>
  <c r="J609" i="6"/>
  <c r="K609" i="6"/>
  <c r="L609" i="6"/>
  <c r="M609" i="6"/>
  <c r="N609" i="6"/>
  <c r="O609" i="6"/>
  <c r="B610" i="6"/>
  <c r="C610" i="6"/>
  <c r="D610" i="6"/>
  <c r="E610" i="6"/>
  <c r="F610" i="6"/>
  <c r="G610" i="6"/>
  <c r="H610" i="6"/>
  <c r="I610" i="6"/>
  <c r="J610" i="6"/>
  <c r="K610" i="6"/>
  <c r="L610" i="6"/>
  <c r="M610" i="6"/>
  <c r="N610" i="6"/>
  <c r="O610" i="6"/>
  <c r="B611" i="6"/>
  <c r="C611" i="6"/>
  <c r="D611" i="6"/>
  <c r="E611" i="6"/>
  <c r="F611" i="6"/>
  <c r="G611" i="6"/>
  <c r="H611" i="6"/>
  <c r="I611" i="6"/>
  <c r="J611" i="6"/>
  <c r="K611" i="6"/>
  <c r="L611" i="6"/>
  <c r="M611" i="6"/>
  <c r="N611" i="6"/>
  <c r="O611" i="6"/>
  <c r="B612" i="6"/>
  <c r="C612" i="6"/>
  <c r="D612" i="6"/>
  <c r="E612" i="6"/>
  <c r="F612" i="6"/>
  <c r="G612" i="6"/>
  <c r="H612" i="6"/>
  <c r="I612" i="6"/>
  <c r="J612" i="6"/>
  <c r="K612" i="6"/>
  <c r="L612" i="6"/>
  <c r="M612" i="6"/>
  <c r="N612" i="6"/>
  <c r="O612" i="6"/>
  <c r="B613" i="6"/>
  <c r="C613" i="6"/>
  <c r="D613" i="6"/>
  <c r="E613" i="6"/>
  <c r="F613" i="6"/>
  <c r="G613" i="6"/>
  <c r="H613" i="6"/>
  <c r="I613" i="6"/>
  <c r="J613" i="6"/>
  <c r="K613" i="6"/>
  <c r="L613" i="6"/>
  <c r="M613" i="6"/>
  <c r="N613" i="6"/>
  <c r="O613" i="6"/>
  <c r="B614" i="6"/>
  <c r="C614" i="6"/>
  <c r="D614" i="6"/>
  <c r="E614" i="6"/>
  <c r="F614" i="6"/>
  <c r="G614" i="6"/>
  <c r="H614" i="6"/>
  <c r="I614" i="6"/>
  <c r="J614" i="6"/>
  <c r="K614" i="6"/>
  <c r="L614" i="6"/>
  <c r="M614" i="6"/>
  <c r="N614" i="6"/>
  <c r="O614" i="6"/>
  <c r="B615" i="6"/>
  <c r="C615" i="6"/>
  <c r="D615" i="6"/>
  <c r="E615" i="6"/>
  <c r="F615" i="6"/>
  <c r="G615" i="6"/>
  <c r="H615" i="6"/>
  <c r="I615" i="6"/>
  <c r="J615" i="6"/>
  <c r="K615" i="6"/>
  <c r="L615" i="6"/>
  <c r="M615" i="6"/>
  <c r="N615" i="6"/>
  <c r="O615" i="6"/>
  <c r="B616" i="6"/>
  <c r="C616" i="6"/>
  <c r="D616" i="6"/>
  <c r="E616" i="6"/>
  <c r="F616" i="6"/>
  <c r="G616" i="6"/>
  <c r="H616" i="6"/>
  <c r="I616" i="6"/>
  <c r="J616" i="6"/>
  <c r="K616" i="6"/>
  <c r="L616" i="6"/>
  <c r="M616" i="6"/>
  <c r="N616" i="6"/>
  <c r="O616" i="6"/>
  <c r="B617" i="6"/>
  <c r="C617" i="6"/>
  <c r="D617" i="6"/>
  <c r="E617" i="6"/>
  <c r="F617" i="6"/>
  <c r="G617" i="6"/>
  <c r="H617" i="6"/>
  <c r="I617" i="6"/>
  <c r="J617" i="6"/>
  <c r="K617" i="6"/>
  <c r="L617" i="6"/>
  <c r="M617" i="6"/>
  <c r="N617" i="6"/>
  <c r="O617" i="6"/>
  <c r="B618" i="6"/>
  <c r="C618" i="6"/>
  <c r="D618" i="6"/>
  <c r="E618" i="6"/>
  <c r="F618" i="6"/>
  <c r="G618" i="6"/>
  <c r="H618" i="6"/>
  <c r="I618" i="6"/>
  <c r="J618" i="6"/>
  <c r="K618" i="6"/>
  <c r="L618" i="6"/>
  <c r="M618" i="6"/>
  <c r="N618" i="6"/>
  <c r="O618" i="6"/>
  <c r="B619" i="6"/>
  <c r="C619" i="6"/>
  <c r="D619" i="6"/>
  <c r="E619" i="6"/>
  <c r="F619" i="6"/>
  <c r="G619" i="6"/>
  <c r="H619" i="6"/>
  <c r="I619" i="6"/>
  <c r="J619" i="6"/>
  <c r="K619" i="6"/>
  <c r="L619" i="6"/>
  <c r="M619" i="6"/>
  <c r="N619" i="6"/>
  <c r="O619" i="6"/>
  <c r="B620" i="6"/>
  <c r="C620" i="6"/>
  <c r="D620" i="6"/>
  <c r="E620" i="6"/>
  <c r="F620" i="6"/>
  <c r="G620" i="6"/>
  <c r="H620" i="6"/>
  <c r="I620" i="6"/>
  <c r="J620" i="6"/>
  <c r="K620" i="6"/>
  <c r="L620" i="6"/>
  <c r="M620" i="6"/>
  <c r="N620" i="6"/>
  <c r="O620" i="6"/>
  <c r="B621" i="6"/>
  <c r="C621" i="6"/>
  <c r="D621" i="6"/>
  <c r="E621" i="6"/>
  <c r="F621" i="6"/>
  <c r="G621" i="6"/>
  <c r="H621" i="6"/>
  <c r="I621" i="6"/>
  <c r="J621" i="6"/>
  <c r="K621" i="6"/>
  <c r="L621" i="6"/>
  <c r="M621" i="6"/>
  <c r="N621" i="6"/>
  <c r="O621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B653" i="6"/>
  <c r="C653" i="6"/>
  <c r="D653" i="6"/>
  <c r="E653" i="6"/>
  <c r="F653" i="6"/>
  <c r="G653" i="6"/>
  <c r="H653" i="6"/>
  <c r="I653" i="6"/>
  <c r="J653" i="6"/>
  <c r="K653" i="6"/>
  <c r="L653" i="6"/>
  <c r="M653" i="6"/>
  <c r="N653" i="6"/>
  <c r="O653" i="6"/>
  <c r="B654" i="6"/>
  <c r="C654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B655" i="6"/>
  <c r="C655" i="6"/>
  <c r="D655" i="6"/>
  <c r="E655" i="6"/>
  <c r="F655" i="6"/>
  <c r="G655" i="6"/>
  <c r="H655" i="6"/>
  <c r="I655" i="6"/>
  <c r="J655" i="6"/>
  <c r="K655" i="6"/>
  <c r="L655" i="6"/>
  <c r="M655" i="6"/>
  <c r="N655" i="6"/>
  <c r="O655" i="6"/>
  <c r="B656" i="6"/>
  <c r="C656" i="6"/>
  <c r="D656" i="6"/>
  <c r="E656" i="6"/>
  <c r="F656" i="6"/>
  <c r="G656" i="6"/>
  <c r="H656" i="6"/>
  <c r="I656" i="6"/>
  <c r="J656" i="6"/>
  <c r="K656" i="6"/>
  <c r="L656" i="6"/>
  <c r="M656" i="6"/>
  <c r="N656" i="6"/>
  <c r="O656" i="6"/>
  <c r="B657" i="6"/>
  <c r="C657" i="6"/>
  <c r="D657" i="6"/>
  <c r="E657" i="6"/>
  <c r="F657" i="6"/>
  <c r="G657" i="6"/>
  <c r="H657" i="6"/>
  <c r="I657" i="6"/>
  <c r="J657" i="6"/>
  <c r="K657" i="6"/>
  <c r="L657" i="6"/>
  <c r="M657" i="6"/>
  <c r="N657" i="6"/>
  <c r="O657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B689" i="6"/>
  <c r="C689" i="6"/>
  <c r="D689" i="6"/>
  <c r="E689" i="6"/>
  <c r="F689" i="6"/>
  <c r="G689" i="6"/>
  <c r="H689" i="6"/>
  <c r="I689" i="6"/>
  <c r="J689" i="6"/>
  <c r="K689" i="6"/>
  <c r="L689" i="6"/>
  <c r="M689" i="6"/>
  <c r="N689" i="6"/>
  <c r="O689" i="6"/>
  <c r="B690" i="6"/>
  <c r="C690" i="6"/>
  <c r="D690" i="6"/>
  <c r="E690" i="6"/>
  <c r="F690" i="6"/>
  <c r="G690" i="6"/>
  <c r="H690" i="6"/>
  <c r="I690" i="6"/>
  <c r="J690" i="6"/>
  <c r="K690" i="6"/>
  <c r="L690" i="6"/>
  <c r="M690" i="6"/>
  <c r="N690" i="6"/>
  <c r="O690" i="6"/>
  <c r="B691" i="6"/>
  <c r="C691" i="6"/>
  <c r="D691" i="6"/>
  <c r="E691" i="6"/>
  <c r="F691" i="6"/>
  <c r="G691" i="6"/>
  <c r="H691" i="6"/>
  <c r="I691" i="6"/>
  <c r="J691" i="6"/>
  <c r="K691" i="6"/>
  <c r="L691" i="6"/>
  <c r="M691" i="6"/>
  <c r="N691" i="6"/>
  <c r="O691" i="6"/>
  <c r="B692" i="6"/>
  <c r="C692" i="6"/>
  <c r="D692" i="6"/>
  <c r="E692" i="6"/>
  <c r="F692" i="6"/>
  <c r="G692" i="6"/>
  <c r="H692" i="6"/>
  <c r="I692" i="6"/>
  <c r="J692" i="6"/>
  <c r="K692" i="6"/>
  <c r="L692" i="6"/>
  <c r="M692" i="6"/>
  <c r="N692" i="6"/>
  <c r="O692" i="6"/>
  <c r="B693" i="6"/>
  <c r="C693" i="6"/>
  <c r="D693" i="6"/>
  <c r="E693" i="6"/>
  <c r="F693" i="6"/>
  <c r="G693" i="6"/>
  <c r="H693" i="6"/>
  <c r="I693" i="6"/>
  <c r="J693" i="6"/>
  <c r="K693" i="6"/>
  <c r="L693" i="6"/>
  <c r="M693" i="6"/>
  <c r="N693" i="6"/>
  <c r="O693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B725" i="6"/>
  <c r="C725" i="6"/>
  <c r="D725" i="6"/>
  <c r="E725" i="6"/>
  <c r="F725" i="6"/>
  <c r="G725" i="6"/>
  <c r="H725" i="6"/>
  <c r="I725" i="6"/>
  <c r="J725" i="6"/>
  <c r="K725" i="6"/>
  <c r="L725" i="6"/>
  <c r="M725" i="6"/>
  <c r="N725" i="6"/>
  <c r="O725" i="6"/>
  <c r="B726" i="6"/>
  <c r="C726" i="6"/>
  <c r="D726" i="6"/>
  <c r="E726" i="6"/>
  <c r="F726" i="6"/>
  <c r="G726" i="6"/>
  <c r="H726" i="6"/>
  <c r="I726" i="6"/>
  <c r="J726" i="6"/>
  <c r="K726" i="6"/>
  <c r="L726" i="6"/>
  <c r="M726" i="6"/>
  <c r="N726" i="6"/>
  <c r="O726" i="6"/>
  <c r="B727" i="6"/>
  <c r="C727" i="6"/>
  <c r="D727" i="6"/>
  <c r="E727" i="6"/>
  <c r="F727" i="6"/>
  <c r="G727" i="6"/>
  <c r="H727" i="6"/>
  <c r="I727" i="6"/>
  <c r="J727" i="6"/>
  <c r="K727" i="6"/>
  <c r="L727" i="6"/>
  <c r="M727" i="6"/>
  <c r="N727" i="6"/>
  <c r="O727" i="6"/>
  <c r="B728" i="6"/>
  <c r="C728" i="6"/>
  <c r="D728" i="6"/>
  <c r="E728" i="6"/>
  <c r="F728" i="6"/>
  <c r="G728" i="6"/>
  <c r="H728" i="6"/>
  <c r="I728" i="6"/>
  <c r="J728" i="6"/>
  <c r="K728" i="6"/>
  <c r="L728" i="6"/>
  <c r="M728" i="6"/>
  <c r="N728" i="6"/>
  <c r="O728" i="6"/>
  <c r="B729" i="6"/>
  <c r="C729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B761" i="6"/>
  <c r="C761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B762" i="6"/>
  <c r="C762" i="6"/>
  <c r="D762" i="6"/>
  <c r="E762" i="6"/>
  <c r="F762" i="6"/>
  <c r="G762" i="6"/>
  <c r="H762" i="6"/>
  <c r="I762" i="6"/>
  <c r="J762" i="6"/>
  <c r="K762" i="6"/>
  <c r="L762" i="6"/>
  <c r="M762" i="6"/>
  <c r="N762" i="6"/>
  <c r="O762" i="6"/>
  <c r="B763" i="6"/>
  <c r="C763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B764" i="6"/>
  <c r="C764" i="6"/>
  <c r="D764" i="6"/>
  <c r="E764" i="6"/>
  <c r="F764" i="6"/>
  <c r="G764" i="6"/>
  <c r="H764" i="6"/>
  <c r="I764" i="6"/>
  <c r="J764" i="6"/>
  <c r="K764" i="6"/>
  <c r="L764" i="6"/>
  <c r="M764" i="6"/>
  <c r="N764" i="6"/>
  <c r="O764" i="6"/>
  <c r="B765" i="6"/>
  <c r="C765" i="6"/>
  <c r="D765" i="6"/>
  <c r="E765" i="6"/>
  <c r="F765" i="6"/>
  <c r="G765" i="6"/>
  <c r="H765" i="6"/>
  <c r="I765" i="6"/>
  <c r="J765" i="6"/>
  <c r="K765" i="6"/>
  <c r="L765" i="6"/>
  <c r="M765" i="6"/>
  <c r="N765" i="6"/>
  <c r="O765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B797" i="6"/>
  <c r="C797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B798" i="6"/>
  <c r="C798" i="6"/>
  <c r="D798" i="6"/>
  <c r="E798" i="6"/>
  <c r="F798" i="6"/>
  <c r="G798" i="6"/>
  <c r="H798" i="6"/>
  <c r="I798" i="6"/>
  <c r="J798" i="6"/>
  <c r="K798" i="6"/>
  <c r="L798" i="6"/>
  <c r="M798" i="6"/>
  <c r="N798" i="6"/>
  <c r="O798" i="6"/>
  <c r="B799" i="6"/>
  <c r="C799" i="6"/>
  <c r="D799" i="6"/>
  <c r="E799" i="6"/>
  <c r="F799" i="6"/>
  <c r="G799" i="6"/>
  <c r="H799" i="6"/>
  <c r="I799" i="6"/>
  <c r="J799" i="6"/>
  <c r="K799" i="6"/>
  <c r="L799" i="6"/>
  <c r="M799" i="6"/>
  <c r="N799" i="6"/>
  <c r="O799" i="6"/>
  <c r="B800" i="6"/>
  <c r="C800" i="6"/>
  <c r="D800" i="6"/>
  <c r="E800" i="6"/>
  <c r="F800" i="6"/>
  <c r="G800" i="6"/>
  <c r="H800" i="6"/>
  <c r="I800" i="6"/>
  <c r="J800" i="6"/>
  <c r="K800" i="6"/>
  <c r="L800" i="6"/>
  <c r="M800" i="6"/>
  <c r="N800" i="6"/>
  <c r="O800" i="6"/>
  <c r="B801" i="6"/>
  <c r="C801" i="6"/>
  <c r="D801" i="6"/>
  <c r="E801" i="6"/>
  <c r="F801" i="6"/>
  <c r="G801" i="6"/>
  <c r="H801" i="6"/>
  <c r="I801" i="6"/>
  <c r="J801" i="6"/>
  <c r="K801" i="6"/>
  <c r="L801" i="6"/>
  <c r="M801" i="6"/>
  <c r="N801" i="6"/>
  <c r="O801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B833" i="6"/>
  <c r="C833" i="6"/>
  <c r="D833" i="6"/>
  <c r="E833" i="6"/>
  <c r="F833" i="6"/>
  <c r="G833" i="6"/>
  <c r="H833" i="6"/>
  <c r="I833" i="6"/>
  <c r="J833" i="6"/>
  <c r="K833" i="6"/>
  <c r="L833" i="6"/>
  <c r="M833" i="6"/>
  <c r="N833" i="6"/>
  <c r="O833" i="6"/>
  <c r="B834" i="6"/>
  <c r="C834" i="6"/>
  <c r="D834" i="6"/>
  <c r="E834" i="6"/>
  <c r="F834" i="6"/>
  <c r="G834" i="6"/>
  <c r="H834" i="6"/>
  <c r="I834" i="6"/>
  <c r="J834" i="6"/>
  <c r="K834" i="6"/>
  <c r="L834" i="6"/>
  <c r="M834" i="6"/>
  <c r="N834" i="6"/>
  <c r="O834" i="6"/>
  <c r="B835" i="6"/>
  <c r="C835" i="6"/>
  <c r="D835" i="6"/>
  <c r="E835" i="6"/>
  <c r="F835" i="6"/>
  <c r="G835" i="6"/>
  <c r="H835" i="6"/>
  <c r="I835" i="6"/>
  <c r="J835" i="6"/>
  <c r="K835" i="6"/>
  <c r="L835" i="6"/>
  <c r="M835" i="6"/>
  <c r="N835" i="6"/>
  <c r="O835" i="6"/>
  <c r="B836" i="6"/>
  <c r="C836" i="6"/>
  <c r="D836" i="6"/>
  <c r="E836" i="6"/>
  <c r="F836" i="6"/>
  <c r="G836" i="6"/>
  <c r="H836" i="6"/>
  <c r="I836" i="6"/>
  <c r="J836" i="6"/>
  <c r="K836" i="6"/>
  <c r="L836" i="6"/>
  <c r="M836" i="6"/>
  <c r="N836" i="6"/>
  <c r="O836" i="6"/>
  <c r="B837" i="6"/>
  <c r="C837" i="6"/>
  <c r="D837" i="6"/>
  <c r="E837" i="6"/>
  <c r="F837" i="6"/>
  <c r="G837" i="6"/>
  <c r="H837" i="6"/>
  <c r="I837" i="6"/>
  <c r="J837" i="6"/>
  <c r="K837" i="6"/>
  <c r="L837" i="6"/>
  <c r="M837" i="6"/>
  <c r="N837" i="6"/>
  <c r="O837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B869" i="6"/>
  <c r="C869" i="6"/>
  <c r="D869" i="6"/>
  <c r="E869" i="6"/>
  <c r="F869" i="6"/>
  <c r="G869" i="6"/>
  <c r="H869" i="6"/>
  <c r="I869" i="6"/>
  <c r="J869" i="6"/>
  <c r="K869" i="6"/>
  <c r="L869" i="6"/>
  <c r="M869" i="6"/>
  <c r="N869" i="6"/>
  <c r="O869" i="6"/>
  <c r="B870" i="6"/>
  <c r="C870" i="6"/>
  <c r="D870" i="6"/>
  <c r="E870" i="6"/>
  <c r="F870" i="6"/>
  <c r="G870" i="6"/>
  <c r="H870" i="6"/>
  <c r="I870" i="6"/>
  <c r="J870" i="6"/>
  <c r="K870" i="6"/>
  <c r="L870" i="6"/>
  <c r="M870" i="6"/>
  <c r="N870" i="6"/>
  <c r="O870" i="6"/>
  <c r="B871" i="6"/>
  <c r="C871" i="6"/>
  <c r="D871" i="6"/>
  <c r="E871" i="6"/>
  <c r="F871" i="6"/>
  <c r="G871" i="6"/>
  <c r="H871" i="6"/>
  <c r="I871" i="6"/>
  <c r="J871" i="6"/>
  <c r="K871" i="6"/>
  <c r="L871" i="6"/>
  <c r="M871" i="6"/>
  <c r="N871" i="6"/>
  <c r="O871" i="6"/>
  <c r="B872" i="6"/>
  <c r="C872" i="6"/>
  <c r="D872" i="6"/>
  <c r="E872" i="6"/>
  <c r="F872" i="6"/>
  <c r="G872" i="6"/>
  <c r="H872" i="6"/>
  <c r="I872" i="6"/>
  <c r="J872" i="6"/>
  <c r="K872" i="6"/>
  <c r="L872" i="6"/>
  <c r="M872" i="6"/>
  <c r="N872" i="6"/>
  <c r="O872" i="6"/>
  <c r="B873" i="6"/>
  <c r="C873" i="6"/>
  <c r="D873" i="6"/>
  <c r="E873" i="6"/>
  <c r="F873" i="6"/>
  <c r="G873" i="6"/>
  <c r="H873" i="6"/>
  <c r="I873" i="6"/>
  <c r="J873" i="6"/>
  <c r="K873" i="6"/>
  <c r="L873" i="6"/>
  <c r="M873" i="6"/>
  <c r="N873" i="6"/>
  <c r="O873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B905" i="6"/>
  <c r="C905" i="6"/>
  <c r="D905" i="6"/>
  <c r="E905" i="6"/>
  <c r="F905" i="6"/>
  <c r="G905" i="6"/>
  <c r="H905" i="6"/>
  <c r="I905" i="6"/>
  <c r="J905" i="6"/>
  <c r="K905" i="6"/>
  <c r="L905" i="6"/>
  <c r="M905" i="6"/>
  <c r="N905" i="6"/>
  <c r="O905" i="6"/>
  <c r="B906" i="6"/>
  <c r="C906" i="6"/>
  <c r="D906" i="6"/>
  <c r="E906" i="6"/>
  <c r="F906" i="6"/>
  <c r="G906" i="6"/>
  <c r="H906" i="6"/>
  <c r="I906" i="6"/>
  <c r="J906" i="6"/>
  <c r="K906" i="6"/>
  <c r="L906" i="6"/>
  <c r="M906" i="6"/>
  <c r="N906" i="6"/>
  <c r="O906" i="6"/>
  <c r="B907" i="6"/>
  <c r="C907" i="6"/>
  <c r="D907" i="6"/>
  <c r="E907" i="6"/>
  <c r="F907" i="6"/>
  <c r="G907" i="6"/>
  <c r="H907" i="6"/>
  <c r="I907" i="6"/>
  <c r="J907" i="6"/>
  <c r="K907" i="6"/>
  <c r="L907" i="6"/>
  <c r="M907" i="6"/>
  <c r="N907" i="6"/>
  <c r="O907" i="6"/>
  <c r="B908" i="6"/>
  <c r="C908" i="6"/>
  <c r="D908" i="6"/>
  <c r="E908" i="6"/>
  <c r="F908" i="6"/>
  <c r="G908" i="6"/>
  <c r="H908" i="6"/>
  <c r="I908" i="6"/>
  <c r="J908" i="6"/>
  <c r="K908" i="6"/>
  <c r="L908" i="6"/>
  <c r="M908" i="6"/>
  <c r="N908" i="6"/>
  <c r="O908" i="6"/>
  <c r="B909" i="6"/>
  <c r="C909" i="6"/>
  <c r="D909" i="6"/>
  <c r="E909" i="6"/>
  <c r="F909" i="6"/>
  <c r="G909" i="6"/>
  <c r="H909" i="6"/>
  <c r="I909" i="6"/>
  <c r="J909" i="6"/>
  <c r="K909" i="6"/>
  <c r="L909" i="6"/>
  <c r="M909" i="6"/>
  <c r="N909" i="6"/>
  <c r="O909" i="6"/>
  <c r="B910" i="6"/>
  <c r="C910" i="6"/>
  <c r="D910" i="6"/>
  <c r="E910" i="6"/>
  <c r="F910" i="6"/>
  <c r="G910" i="6"/>
  <c r="H910" i="6"/>
  <c r="I910" i="6"/>
  <c r="J910" i="6"/>
  <c r="K910" i="6"/>
  <c r="L910" i="6"/>
  <c r="M910" i="6"/>
  <c r="N910" i="6"/>
  <c r="O910" i="6"/>
  <c r="B911" i="6"/>
  <c r="C911" i="6"/>
  <c r="D911" i="6"/>
  <c r="E911" i="6"/>
  <c r="F911" i="6"/>
  <c r="G911" i="6"/>
  <c r="H911" i="6"/>
  <c r="I911" i="6"/>
  <c r="J911" i="6"/>
  <c r="K911" i="6"/>
  <c r="L911" i="6"/>
  <c r="M911" i="6"/>
  <c r="N911" i="6"/>
  <c r="O911" i="6"/>
  <c r="B912" i="6"/>
  <c r="C912" i="6"/>
  <c r="D912" i="6"/>
  <c r="E912" i="6"/>
  <c r="F912" i="6"/>
  <c r="G912" i="6"/>
  <c r="H912" i="6"/>
  <c r="I912" i="6"/>
  <c r="J912" i="6"/>
  <c r="K912" i="6"/>
  <c r="L912" i="6"/>
  <c r="M912" i="6"/>
  <c r="N912" i="6"/>
  <c r="O912" i="6"/>
  <c r="B913" i="6"/>
  <c r="C913" i="6"/>
  <c r="D913" i="6"/>
  <c r="E913" i="6"/>
  <c r="F913" i="6"/>
  <c r="G913" i="6"/>
  <c r="H913" i="6"/>
  <c r="I913" i="6"/>
  <c r="J913" i="6"/>
  <c r="K913" i="6"/>
  <c r="L913" i="6"/>
  <c r="M913" i="6"/>
  <c r="N913" i="6"/>
  <c r="O913" i="6"/>
  <c r="B914" i="6"/>
  <c r="C914" i="6"/>
  <c r="D914" i="6"/>
  <c r="E914" i="6"/>
  <c r="F914" i="6"/>
  <c r="G914" i="6"/>
  <c r="H914" i="6"/>
  <c r="I914" i="6"/>
  <c r="J914" i="6"/>
  <c r="K914" i="6"/>
  <c r="L914" i="6"/>
  <c r="M914" i="6"/>
  <c r="N914" i="6"/>
  <c r="O914" i="6"/>
  <c r="B915" i="6"/>
  <c r="C915" i="6"/>
  <c r="D915" i="6"/>
  <c r="E915" i="6"/>
  <c r="F915" i="6"/>
  <c r="G915" i="6"/>
  <c r="H915" i="6"/>
  <c r="I915" i="6"/>
  <c r="J915" i="6"/>
  <c r="K915" i="6"/>
  <c r="L915" i="6"/>
  <c r="M915" i="6"/>
  <c r="N915" i="6"/>
  <c r="O915" i="6"/>
  <c r="B916" i="6"/>
  <c r="C916" i="6"/>
  <c r="D916" i="6"/>
  <c r="E916" i="6"/>
  <c r="F916" i="6"/>
  <c r="G916" i="6"/>
  <c r="H916" i="6"/>
  <c r="I916" i="6"/>
  <c r="J916" i="6"/>
  <c r="K916" i="6"/>
  <c r="L916" i="6"/>
  <c r="M916" i="6"/>
  <c r="N916" i="6"/>
  <c r="O916" i="6"/>
  <c r="B917" i="6"/>
  <c r="C917" i="6"/>
  <c r="D917" i="6"/>
  <c r="E917" i="6"/>
  <c r="F917" i="6"/>
  <c r="G917" i="6"/>
  <c r="H917" i="6"/>
  <c r="I917" i="6"/>
  <c r="J917" i="6"/>
  <c r="K917" i="6"/>
  <c r="L917" i="6"/>
  <c r="M917" i="6"/>
  <c r="N917" i="6"/>
  <c r="O917" i="6"/>
  <c r="B918" i="6"/>
  <c r="C918" i="6"/>
  <c r="D918" i="6"/>
  <c r="E918" i="6"/>
  <c r="F918" i="6"/>
  <c r="G918" i="6"/>
  <c r="H918" i="6"/>
  <c r="I918" i="6"/>
  <c r="J918" i="6"/>
  <c r="K918" i="6"/>
  <c r="L918" i="6"/>
  <c r="M918" i="6"/>
  <c r="N918" i="6"/>
  <c r="O918" i="6"/>
  <c r="B919" i="6"/>
  <c r="C919" i="6"/>
  <c r="D919" i="6"/>
  <c r="E919" i="6"/>
  <c r="F919" i="6"/>
  <c r="G919" i="6"/>
  <c r="H919" i="6"/>
  <c r="I919" i="6"/>
  <c r="J919" i="6"/>
  <c r="K919" i="6"/>
  <c r="L919" i="6"/>
  <c r="M919" i="6"/>
  <c r="N919" i="6"/>
  <c r="O919" i="6"/>
  <c r="B920" i="6"/>
  <c r="C920" i="6"/>
  <c r="D920" i="6"/>
  <c r="E920" i="6"/>
  <c r="F920" i="6"/>
  <c r="G920" i="6"/>
  <c r="H920" i="6"/>
  <c r="I920" i="6"/>
  <c r="J920" i="6"/>
  <c r="K920" i="6"/>
  <c r="L920" i="6"/>
  <c r="M920" i="6"/>
  <c r="N920" i="6"/>
  <c r="O920" i="6"/>
  <c r="B921" i="6"/>
  <c r="C921" i="6"/>
  <c r="D921" i="6"/>
  <c r="E921" i="6"/>
  <c r="F921" i="6"/>
  <c r="G921" i="6"/>
  <c r="H921" i="6"/>
  <c r="I921" i="6"/>
  <c r="J921" i="6"/>
  <c r="K921" i="6"/>
  <c r="L921" i="6"/>
  <c r="M921" i="6"/>
  <c r="N921" i="6"/>
  <c r="O921" i="6"/>
  <c r="B922" i="6"/>
  <c r="C922" i="6"/>
  <c r="D922" i="6"/>
  <c r="E922" i="6"/>
  <c r="F922" i="6"/>
  <c r="G922" i="6"/>
  <c r="H922" i="6"/>
  <c r="I922" i="6"/>
  <c r="J922" i="6"/>
  <c r="K922" i="6"/>
  <c r="L922" i="6"/>
  <c r="M922" i="6"/>
  <c r="N922" i="6"/>
  <c r="O922" i="6"/>
  <c r="B923" i="6"/>
  <c r="C923" i="6"/>
  <c r="D923" i="6"/>
  <c r="E923" i="6"/>
  <c r="F923" i="6"/>
  <c r="G923" i="6"/>
  <c r="H923" i="6"/>
  <c r="I923" i="6"/>
  <c r="J923" i="6"/>
  <c r="K923" i="6"/>
  <c r="L923" i="6"/>
  <c r="M923" i="6"/>
  <c r="N923" i="6"/>
  <c r="O923" i="6"/>
  <c r="B924" i="6"/>
  <c r="C924" i="6"/>
  <c r="D924" i="6"/>
  <c r="E924" i="6"/>
  <c r="F924" i="6"/>
  <c r="G924" i="6"/>
  <c r="H924" i="6"/>
  <c r="I924" i="6"/>
  <c r="J924" i="6"/>
  <c r="K924" i="6"/>
  <c r="L924" i="6"/>
  <c r="M924" i="6"/>
  <c r="N924" i="6"/>
  <c r="O924" i="6"/>
  <c r="B925" i="6"/>
  <c r="C925" i="6"/>
  <c r="D925" i="6"/>
  <c r="E925" i="6"/>
  <c r="F925" i="6"/>
  <c r="G925" i="6"/>
  <c r="H925" i="6"/>
  <c r="I925" i="6"/>
  <c r="J925" i="6"/>
  <c r="K925" i="6"/>
  <c r="L925" i="6"/>
  <c r="M925" i="6"/>
  <c r="N925" i="6"/>
  <c r="O925" i="6"/>
  <c r="B926" i="6"/>
  <c r="C926" i="6"/>
  <c r="D926" i="6"/>
  <c r="E926" i="6"/>
  <c r="F926" i="6"/>
  <c r="G926" i="6"/>
  <c r="H926" i="6"/>
  <c r="I926" i="6"/>
  <c r="J926" i="6"/>
  <c r="K926" i="6"/>
  <c r="L926" i="6"/>
  <c r="M926" i="6"/>
  <c r="N926" i="6"/>
  <c r="O926" i="6"/>
  <c r="B927" i="6"/>
  <c r="C927" i="6"/>
  <c r="D927" i="6"/>
  <c r="E927" i="6"/>
  <c r="F927" i="6"/>
  <c r="G927" i="6"/>
  <c r="H927" i="6"/>
  <c r="I927" i="6"/>
  <c r="J927" i="6"/>
  <c r="K927" i="6"/>
  <c r="L927" i="6"/>
  <c r="M927" i="6"/>
  <c r="N927" i="6"/>
  <c r="O927" i="6"/>
  <c r="B928" i="6"/>
  <c r="C928" i="6"/>
  <c r="D928" i="6"/>
  <c r="E928" i="6"/>
  <c r="F928" i="6"/>
  <c r="G928" i="6"/>
  <c r="H928" i="6"/>
  <c r="I928" i="6"/>
  <c r="J928" i="6"/>
  <c r="K928" i="6"/>
  <c r="L928" i="6"/>
  <c r="M928" i="6"/>
  <c r="N928" i="6"/>
  <c r="O928" i="6"/>
  <c r="B929" i="6"/>
  <c r="C929" i="6"/>
  <c r="D929" i="6"/>
  <c r="E929" i="6"/>
  <c r="F929" i="6"/>
  <c r="G929" i="6"/>
  <c r="H929" i="6"/>
  <c r="I929" i="6"/>
  <c r="J929" i="6"/>
  <c r="K929" i="6"/>
  <c r="L929" i="6"/>
  <c r="M929" i="6"/>
  <c r="N929" i="6"/>
  <c r="O929" i="6"/>
  <c r="B930" i="6"/>
  <c r="C930" i="6"/>
  <c r="D930" i="6"/>
  <c r="E930" i="6"/>
  <c r="F930" i="6"/>
  <c r="G930" i="6"/>
  <c r="H930" i="6"/>
  <c r="I930" i="6"/>
  <c r="J930" i="6"/>
  <c r="K930" i="6"/>
  <c r="L930" i="6"/>
  <c r="M930" i="6"/>
  <c r="N930" i="6"/>
  <c r="O930" i="6"/>
  <c r="B931" i="6"/>
  <c r="C931" i="6"/>
  <c r="D931" i="6"/>
  <c r="E931" i="6"/>
  <c r="F931" i="6"/>
  <c r="G931" i="6"/>
  <c r="H931" i="6"/>
  <c r="I931" i="6"/>
  <c r="J931" i="6"/>
  <c r="K931" i="6"/>
  <c r="L931" i="6"/>
  <c r="M931" i="6"/>
  <c r="N931" i="6"/>
  <c r="O931" i="6"/>
  <c r="B932" i="6"/>
  <c r="C932" i="6"/>
  <c r="D932" i="6"/>
  <c r="E932" i="6"/>
  <c r="F932" i="6"/>
  <c r="G932" i="6"/>
  <c r="H932" i="6"/>
  <c r="I932" i="6"/>
  <c r="J932" i="6"/>
  <c r="K932" i="6"/>
  <c r="L932" i="6"/>
  <c r="M932" i="6"/>
  <c r="N932" i="6"/>
  <c r="O932" i="6"/>
  <c r="B933" i="6"/>
  <c r="C933" i="6"/>
  <c r="D933" i="6"/>
  <c r="E933" i="6"/>
  <c r="F933" i="6"/>
  <c r="G933" i="6"/>
  <c r="H933" i="6"/>
  <c r="I933" i="6"/>
  <c r="J933" i="6"/>
  <c r="K933" i="6"/>
  <c r="L933" i="6"/>
  <c r="M933" i="6"/>
  <c r="N933" i="6"/>
  <c r="O933" i="6"/>
  <c r="B934" i="6"/>
  <c r="C934" i="6"/>
  <c r="D934" i="6"/>
  <c r="E934" i="6"/>
  <c r="F934" i="6"/>
  <c r="G934" i="6"/>
  <c r="H934" i="6"/>
  <c r="I934" i="6"/>
  <c r="J934" i="6"/>
  <c r="K934" i="6"/>
  <c r="L934" i="6"/>
  <c r="M934" i="6"/>
  <c r="N934" i="6"/>
  <c r="O934" i="6"/>
  <c r="B935" i="6"/>
  <c r="C935" i="6"/>
  <c r="D935" i="6"/>
  <c r="E935" i="6"/>
  <c r="F935" i="6"/>
  <c r="G935" i="6"/>
  <c r="H935" i="6"/>
  <c r="I935" i="6"/>
  <c r="J935" i="6"/>
  <c r="K935" i="6"/>
  <c r="L935" i="6"/>
  <c r="M935" i="6"/>
  <c r="N935" i="6"/>
  <c r="O935" i="6"/>
  <c r="B936" i="6"/>
  <c r="C936" i="6"/>
  <c r="D936" i="6"/>
  <c r="E936" i="6"/>
  <c r="F936" i="6"/>
  <c r="G936" i="6"/>
  <c r="H936" i="6"/>
  <c r="I936" i="6"/>
  <c r="J936" i="6"/>
  <c r="K936" i="6"/>
  <c r="L936" i="6"/>
  <c r="M936" i="6"/>
  <c r="N936" i="6"/>
  <c r="O936" i="6"/>
  <c r="B937" i="6"/>
  <c r="C937" i="6"/>
  <c r="D937" i="6"/>
  <c r="E937" i="6"/>
  <c r="F937" i="6"/>
  <c r="G937" i="6"/>
  <c r="H937" i="6"/>
  <c r="I937" i="6"/>
  <c r="J937" i="6"/>
  <c r="K937" i="6"/>
  <c r="L937" i="6"/>
  <c r="M937" i="6"/>
  <c r="N937" i="6"/>
  <c r="O937" i="6"/>
  <c r="B938" i="6"/>
  <c r="C938" i="6"/>
  <c r="D938" i="6"/>
  <c r="E938" i="6"/>
  <c r="F938" i="6"/>
  <c r="G938" i="6"/>
  <c r="H938" i="6"/>
  <c r="I938" i="6"/>
  <c r="J938" i="6"/>
  <c r="K938" i="6"/>
  <c r="L938" i="6"/>
  <c r="M938" i="6"/>
  <c r="N938" i="6"/>
  <c r="O938" i="6"/>
  <c r="B939" i="6"/>
  <c r="C939" i="6"/>
  <c r="D939" i="6"/>
  <c r="E939" i="6"/>
  <c r="F939" i="6"/>
  <c r="G939" i="6"/>
  <c r="H939" i="6"/>
  <c r="I939" i="6"/>
  <c r="J939" i="6"/>
  <c r="K939" i="6"/>
  <c r="L939" i="6"/>
  <c r="M939" i="6"/>
  <c r="N939" i="6"/>
  <c r="O939" i="6"/>
  <c r="B940" i="6"/>
  <c r="C940" i="6"/>
  <c r="D940" i="6"/>
  <c r="E940" i="6"/>
  <c r="F940" i="6"/>
  <c r="G940" i="6"/>
  <c r="H940" i="6"/>
  <c r="I940" i="6"/>
  <c r="J940" i="6"/>
  <c r="K940" i="6"/>
  <c r="L940" i="6"/>
  <c r="M940" i="6"/>
  <c r="N940" i="6"/>
  <c r="O940" i="6"/>
  <c r="B941" i="6"/>
  <c r="C941" i="6"/>
  <c r="D941" i="6"/>
  <c r="E941" i="6"/>
  <c r="F941" i="6"/>
  <c r="G941" i="6"/>
  <c r="H941" i="6"/>
  <c r="I941" i="6"/>
  <c r="J941" i="6"/>
  <c r="K941" i="6"/>
  <c r="L941" i="6"/>
  <c r="M941" i="6"/>
  <c r="N941" i="6"/>
  <c r="O941" i="6"/>
  <c r="B942" i="6"/>
  <c r="C942" i="6"/>
  <c r="D942" i="6"/>
  <c r="E942" i="6"/>
  <c r="F942" i="6"/>
  <c r="G942" i="6"/>
  <c r="H942" i="6"/>
  <c r="I942" i="6"/>
  <c r="J942" i="6"/>
  <c r="K942" i="6"/>
  <c r="L942" i="6"/>
  <c r="M942" i="6"/>
  <c r="N942" i="6"/>
  <c r="O942" i="6"/>
  <c r="B943" i="6"/>
  <c r="C943" i="6"/>
  <c r="D943" i="6"/>
  <c r="E943" i="6"/>
  <c r="F943" i="6"/>
  <c r="G943" i="6"/>
  <c r="H943" i="6"/>
  <c r="I943" i="6"/>
  <c r="J943" i="6"/>
  <c r="K943" i="6"/>
  <c r="L943" i="6"/>
  <c r="M943" i="6"/>
  <c r="N943" i="6"/>
  <c r="O943" i="6"/>
  <c r="B944" i="6"/>
  <c r="C944" i="6"/>
  <c r="D944" i="6"/>
  <c r="E944" i="6"/>
  <c r="F944" i="6"/>
  <c r="G944" i="6"/>
  <c r="H944" i="6"/>
  <c r="I944" i="6"/>
  <c r="J944" i="6"/>
  <c r="K944" i="6"/>
  <c r="L944" i="6"/>
  <c r="M944" i="6"/>
  <c r="N944" i="6"/>
  <c r="O944" i="6"/>
  <c r="B945" i="6"/>
  <c r="C945" i="6"/>
  <c r="D945" i="6"/>
  <c r="E945" i="6"/>
  <c r="F945" i="6"/>
  <c r="G945" i="6"/>
  <c r="H945" i="6"/>
  <c r="I945" i="6"/>
  <c r="J945" i="6"/>
  <c r="K945" i="6"/>
  <c r="L945" i="6"/>
  <c r="M945" i="6"/>
  <c r="N945" i="6"/>
  <c r="O945" i="6"/>
  <c r="B946" i="6"/>
  <c r="C946" i="6"/>
  <c r="D946" i="6"/>
  <c r="E946" i="6"/>
  <c r="F946" i="6"/>
  <c r="G946" i="6"/>
  <c r="H946" i="6"/>
  <c r="I946" i="6"/>
  <c r="J946" i="6"/>
  <c r="K946" i="6"/>
  <c r="L946" i="6"/>
  <c r="M946" i="6"/>
  <c r="N946" i="6"/>
  <c r="O946" i="6"/>
  <c r="B947" i="6"/>
  <c r="C947" i="6"/>
  <c r="D947" i="6"/>
  <c r="E947" i="6"/>
  <c r="F947" i="6"/>
  <c r="G947" i="6"/>
  <c r="H947" i="6"/>
  <c r="I947" i="6"/>
  <c r="J947" i="6"/>
  <c r="K947" i="6"/>
  <c r="L947" i="6"/>
  <c r="M947" i="6"/>
  <c r="N947" i="6"/>
  <c r="O947" i="6"/>
  <c r="B948" i="6"/>
  <c r="C948" i="6"/>
  <c r="D948" i="6"/>
  <c r="E948" i="6"/>
  <c r="F948" i="6"/>
  <c r="G948" i="6"/>
  <c r="H948" i="6"/>
  <c r="I948" i="6"/>
  <c r="J948" i="6"/>
  <c r="K948" i="6"/>
  <c r="L948" i="6"/>
  <c r="M948" i="6"/>
  <c r="N948" i="6"/>
  <c r="O948" i="6"/>
  <c r="B949" i="6"/>
  <c r="C949" i="6"/>
  <c r="D949" i="6"/>
  <c r="E949" i="6"/>
  <c r="F949" i="6"/>
  <c r="G949" i="6"/>
  <c r="H949" i="6"/>
  <c r="I949" i="6"/>
  <c r="J949" i="6"/>
  <c r="K949" i="6"/>
  <c r="L949" i="6"/>
  <c r="M949" i="6"/>
  <c r="N949" i="6"/>
  <c r="O949" i="6"/>
  <c r="B950" i="6"/>
  <c r="C950" i="6"/>
  <c r="D950" i="6"/>
  <c r="E950" i="6"/>
  <c r="F950" i="6"/>
  <c r="G950" i="6"/>
  <c r="H950" i="6"/>
  <c r="I950" i="6"/>
  <c r="J950" i="6"/>
  <c r="K950" i="6"/>
  <c r="L950" i="6"/>
  <c r="M950" i="6"/>
  <c r="N950" i="6"/>
  <c r="O950" i="6"/>
  <c r="B951" i="6"/>
  <c r="C951" i="6"/>
  <c r="D951" i="6"/>
  <c r="E951" i="6"/>
  <c r="F951" i="6"/>
  <c r="G951" i="6"/>
  <c r="H951" i="6"/>
  <c r="I951" i="6"/>
  <c r="J951" i="6"/>
  <c r="K951" i="6"/>
  <c r="L951" i="6"/>
  <c r="M951" i="6"/>
  <c r="N951" i="6"/>
  <c r="O951" i="6"/>
  <c r="B952" i="6"/>
  <c r="C952" i="6"/>
  <c r="D952" i="6"/>
  <c r="E952" i="6"/>
  <c r="F952" i="6"/>
  <c r="G952" i="6"/>
  <c r="H952" i="6"/>
  <c r="I952" i="6"/>
  <c r="J952" i="6"/>
  <c r="K952" i="6"/>
  <c r="L952" i="6"/>
  <c r="M952" i="6"/>
  <c r="N952" i="6"/>
  <c r="O952" i="6"/>
  <c r="B953" i="6"/>
  <c r="C953" i="6"/>
  <c r="D953" i="6"/>
  <c r="E953" i="6"/>
  <c r="F953" i="6"/>
  <c r="G953" i="6"/>
  <c r="H953" i="6"/>
  <c r="I953" i="6"/>
  <c r="J953" i="6"/>
  <c r="K953" i="6"/>
  <c r="L953" i="6"/>
  <c r="M953" i="6"/>
  <c r="N953" i="6"/>
  <c r="O953" i="6"/>
  <c r="B954" i="6"/>
  <c r="C954" i="6"/>
  <c r="D954" i="6"/>
  <c r="E954" i="6"/>
  <c r="F954" i="6"/>
  <c r="G954" i="6"/>
  <c r="H954" i="6"/>
  <c r="I954" i="6"/>
  <c r="J954" i="6"/>
  <c r="K954" i="6"/>
  <c r="L954" i="6"/>
  <c r="M954" i="6"/>
  <c r="N954" i="6"/>
  <c r="O954" i="6"/>
  <c r="B955" i="6"/>
  <c r="C955" i="6"/>
  <c r="D955" i="6"/>
  <c r="E955" i="6"/>
  <c r="F955" i="6"/>
  <c r="G955" i="6"/>
  <c r="H955" i="6"/>
  <c r="I955" i="6"/>
  <c r="J955" i="6"/>
  <c r="K955" i="6"/>
  <c r="L955" i="6"/>
  <c r="M955" i="6"/>
  <c r="N955" i="6"/>
  <c r="O955" i="6"/>
  <c r="B956" i="6"/>
  <c r="C956" i="6"/>
  <c r="D956" i="6"/>
  <c r="E956" i="6"/>
  <c r="F956" i="6"/>
  <c r="G956" i="6"/>
  <c r="H956" i="6"/>
  <c r="I956" i="6"/>
  <c r="J956" i="6"/>
  <c r="K956" i="6"/>
  <c r="L956" i="6"/>
  <c r="M956" i="6"/>
  <c r="N956" i="6"/>
  <c r="O956" i="6"/>
  <c r="B957" i="6"/>
  <c r="C957" i="6"/>
  <c r="D957" i="6"/>
  <c r="E957" i="6"/>
  <c r="F957" i="6"/>
  <c r="G957" i="6"/>
  <c r="H957" i="6"/>
  <c r="I957" i="6"/>
  <c r="J957" i="6"/>
  <c r="K957" i="6"/>
  <c r="L957" i="6"/>
  <c r="M957" i="6"/>
  <c r="N957" i="6"/>
  <c r="O957" i="6"/>
  <c r="B958" i="6"/>
  <c r="C958" i="6"/>
  <c r="D958" i="6"/>
  <c r="E958" i="6"/>
  <c r="F958" i="6"/>
  <c r="G958" i="6"/>
  <c r="H958" i="6"/>
  <c r="I958" i="6"/>
  <c r="J958" i="6"/>
  <c r="K958" i="6"/>
  <c r="L958" i="6"/>
  <c r="M958" i="6"/>
  <c r="N958" i="6"/>
  <c r="O958" i="6"/>
  <c r="B959" i="6"/>
  <c r="C959" i="6"/>
  <c r="D959" i="6"/>
  <c r="E959" i="6"/>
  <c r="F959" i="6"/>
  <c r="G959" i="6"/>
  <c r="H959" i="6"/>
  <c r="I959" i="6"/>
  <c r="J959" i="6"/>
  <c r="K959" i="6"/>
  <c r="L959" i="6"/>
  <c r="M959" i="6"/>
  <c r="N959" i="6"/>
  <c r="O959" i="6"/>
  <c r="B960" i="6"/>
  <c r="C960" i="6"/>
  <c r="D960" i="6"/>
  <c r="E960" i="6"/>
  <c r="F960" i="6"/>
  <c r="G960" i="6"/>
  <c r="H960" i="6"/>
  <c r="I960" i="6"/>
  <c r="J960" i="6"/>
  <c r="K960" i="6"/>
  <c r="L960" i="6"/>
  <c r="M960" i="6"/>
  <c r="N960" i="6"/>
  <c r="O960" i="6"/>
  <c r="B961" i="6"/>
  <c r="C961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B962" i="6"/>
  <c r="C962" i="6"/>
  <c r="D962" i="6"/>
  <c r="E962" i="6"/>
  <c r="F962" i="6"/>
  <c r="G962" i="6"/>
  <c r="H962" i="6"/>
  <c r="I962" i="6"/>
  <c r="J962" i="6"/>
  <c r="K962" i="6"/>
  <c r="L962" i="6"/>
  <c r="M962" i="6"/>
  <c r="N962" i="6"/>
  <c r="O962" i="6"/>
  <c r="B963" i="6"/>
  <c r="C963" i="6"/>
  <c r="D963" i="6"/>
  <c r="E963" i="6"/>
  <c r="F963" i="6"/>
  <c r="G963" i="6"/>
  <c r="H963" i="6"/>
  <c r="I963" i="6"/>
  <c r="J963" i="6"/>
  <c r="K963" i="6"/>
  <c r="L963" i="6"/>
  <c r="M963" i="6"/>
  <c r="N963" i="6"/>
  <c r="O963" i="6"/>
  <c r="B964" i="6"/>
  <c r="C964" i="6"/>
  <c r="D964" i="6"/>
  <c r="E964" i="6"/>
  <c r="F964" i="6"/>
  <c r="G964" i="6"/>
  <c r="H964" i="6"/>
  <c r="I964" i="6"/>
  <c r="J964" i="6"/>
  <c r="K964" i="6"/>
  <c r="L964" i="6"/>
  <c r="M964" i="6"/>
  <c r="N964" i="6"/>
  <c r="O964" i="6"/>
  <c r="B965" i="6"/>
  <c r="C965" i="6"/>
  <c r="D965" i="6"/>
  <c r="E965" i="6"/>
  <c r="F965" i="6"/>
  <c r="G965" i="6"/>
  <c r="H965" i="6"/>
  <c r="I965" i="6"/>
  <c r="J965" i="6"/>
  <c r="K965" i="6"/>
  <c r="L965" i="6"/>
  <c r="M965" i="6"/>
  <c r="N965" i="6"/>
  <c r="O965" i="6"/>
  <c r="B966" i="6"/>
  <c r="C966" i="6"/>
  <c r="D966" i="6"/>
  <c r="E966" i="6"/>
  <c r="F966" i="6"/>
  <c r="G966" i="6"/>
  <c r="H966" i="6"/>
  <c r="I966" i="6"/>
  <c r="J966" i="6"/>
  <c r="K966" i="6"/>
  <c r="L966" i="6"/>
  <c r="M966" i="6"/>
  <c r="N966" i="6"/>
  <c r="O966" i="6"/>
  <c r="B967" i="6"/>
  <c r="C967" i="6"/>
  <c r="D967" i="6"/>
  <c r="E967" i="6"/>
  <c r="F967" i="6"/>
  <c r="G967" i="6"/>
  <c r="H967" i="6"/>
  <c r="I967" i="6"/>
  <c r="J967" i="6"/>
  <c r="K967" i="6"/>
  <c r="L967" i="6"/>
  <c r="M967" i="6"/>
  <c r="N967" i="6"/>
  <c r="O967" i="6"/>
  <c r="B968" i="6"/>
  <c r="C968" i="6"/>
  <c r="D968" i="6"/>
  <c r="E968" i="6"/>
  <c r="F968" i="6"/>
  <c r="G968" i="6"/>
  <c r="H968" i="6"/>
  <c r="I968" i="6"/>
  <c r="J968" i="6"/>
  <c r="K968" i="6"/>
  <c r="L968" i="6"/>
  <c r="M968" i="6"/>
  <c r="N968" i="6"/>
  <c r="O968" i="6"/>
  <c r="B969" i="6"/>
  <c r="C969" i="6"/>
  <c r="D969" i="6"/>
  <c r="E969" i="6"/>
  <c r="F969" i="6"/>
  <c r="G969" i="6"/>
  <c r="H969" i="6"/>
  <c r="I969" i="6"/>
  <c r="J969" i="6"/>
  <c r="K969" i="6"/>
  <c r="L969" i="6"/>
  <c r="M969" i="6"/>
  <c r="N969" i="6"/>
  <c r="O969" i="6"/>
  <c r="B970" i="6"/>
  <c r="C970" i="6"/>
  <c r="D970" i="6"/>
  <c r="E970" i="6"/>
  <c r="F970" i="6"/>
  <c r="G970" i="6"/>
  <c r="H970" i="6"/>
  <c r="I970" i="6"/>
  <c r="J970" i="6"/>
  <c r="K970" i="6"/>
  <c r="L970" i="6"/>
  <c r="M970" i="6"/>
  <c r="N970" i="6"/>
  <c r="O970" i="6"/>
  <c r="B971" i="6"/>
  <c r="C971" i="6"/>
  <c r="D971" i="6"/>
  <c r="E971" i="6"/>
  <c r="F971" i="6"/>
  <c r="G971" i="6"/>
  <c r="H971" i="6"/>
  <c r="I971" i="6"/>
  <c r="J971" i="6"/>
  <c r="K971" i="6"/>
  <c r="L971" i="6"/>
  <c r="M971" i="6"/>
  <c r="N971" i="6"/>
  <c r="O971" i="6"/>
  <c r="B972" i="6"/>
  <c r="C972" i="6"/>
  <c r="D972" i="6"/>
  <c r="E972" i="6"/>
  <c r="F972" i="6"/>
  <c r="G972" i="6"/>
  <c r="H972" i="6"/>
  <c r="I972" i="6"/>
  <c r="J972" i="6"/>
  <c r="K972" i="6"/>
  <c r="L972" i="6"/>
  <c r="M972" i="6"/>
  <c r="N972" i="6"/>
  <c r="O972" i="6"/>
  <c r="B973" i="6"/>
  <c r="C973" i="6"/>
  <c r="D973" i="6"/>
  <c r="E973" i="6"/>
  <c r="F973" i="6"/>
  <c r="G973" i="6"/>
  <c r="H973" i="6"/>
  <c r="I973" i="6"/>
  <c r="J973" i="6"/>
  <c r="K973" i="6"/>
  <c r="L973" i="6"/>
  <c r="M973" i="6"/>
  <c r="N973" i="6"/>
  <c r="O973" i="6"/>
  <c r="B974" i="6"/>
  <c r="C974" i="6"/>
  <c r="D974" i="6"/>
  <c r="E974" i="6"/>
  <c r="F974" i="6"/>
  <c r="G974" i="6"/>
  <c r="H974" i="6"/>
  <c r="I974" i="6"/>
  <c r="J974" i="6"/>
  <c r="K974" i="6"/>
  <c r="L974" i="6"/>
  <c r="M974" i="6"/>
  <c r="N974" i="6"/>
  <c r="O974" i="6"/>
  <c r="B975" i="6"/>
  <c r="C975" i="6"/>
  <c r="D975" i="6"/>
  <c r="E975" i="6"/>
  <c r="F975" i="6"/>
  <c r="G975" i="6"/>
  <c r="H975" i="6"/>
  <c r="I975" i="6"/>
  <c r="J975" i="6"/>
  <c r="K975" i="6"/>
  <c r="L975" i="6"/>
  <c r="M975" i="6"/>
  <c r="N975" i="6"/>
  <c r="O975" i="6"/>
  <c r="B976" i="6"/>
  <c r="C976" i="6"/>
  <c r="D976" i="6"/>
  <c r="E976" i="6"/>
  <c r="F976" i="6"/>
  <c r="G976" i="6"/>
  <c r="H976" i="6"/>
  <c r="I976" i="6"/>
  <c r="J976" i="6"/>
  <c r="K976" i="6"/>
  <c r="L976" i="6"/>
  <c r="M976" i="6"/>
  <c r="N976" i="6"/>
  <c r="O976" i="6"/>
  <c r="B977" i="6"/>
  <c r="C977" i="6"/>
  <c r="D977" i="6"/>
  <c r="E977" i="6"/>
  <c r="F977" i="6"/>
  <c r="G977" i="6"/>
  <c r="H977" i="6"/>
  <c r="I977" i="6"/>
  <c r="J977" i="6"/>
  <c r="K977" i="6"/>
  <c r="L977" i="6"/>
  <c r="M977" i="6"/>
  <c r="N977" i="6"/>
  <c r="O977" i="6"/>
  <c r="B978" i="6"/>
  <c r="C978" i="6"/>
  <c r="D978" i="6"/>
  <c r="E978" i="6"/>
  <c r="F978" i="6"/>
  <c r="G978" i="6"/>
  <c r="H978" i="6"/>
  <c r="I978" i="6"/>
  <c r="J978" i="6"/>
  <c r="K978" i="6"/>
  <c r="L978" i="6"/>
  <c r="M978" i="6"/>
  <c r="N978" i="6"/>
  <c r="O978" i="6"/>
  <c r="B979" i="6"/>
  <c r="C979" i="6"/>
  <c r="D979" i="6"/>
  <c r="E979" i="6"/>
  <c r="F979" i="6"/>
  <c r="G979" i="6"/>
  <c r="H979" i="6"/>
  <c r="I979" i="6"/>
  <c r="J979" i="6"/>
  <c r="K979" i="6"/>
  <c r="L979" i="6"/>
  <c r="M979" i="6"/>
  <c r="N979" i="6"/>
  <c r="O979" i="6"/>
  <c r="B980" i="6"/>
  <c r="C980" i="6"/>
  <c r="D980" i="6"/>
  <c r="E980" i="6"/>
  <c r="F980" i="6"/>
  <c r="G980" i="6"/>
  <c r="H980" i="6"/>
  <c r="I980" i="6"/>
  <c r="J980" i="6"/>
  <c r="K980" i="6"/>
  <c r="L980" i="6"/>
  <c r="M980" i="6"/>
  <c r="N980" i="6"/>
  <c r="O980" i="6"/>
  <c r="B981" i="6"/>
  <c r="C981" i="6"/>
  <c r="D981" i="6"/>
  <c r="E981" i="6"/>
  <c r="F981" i="6"/>
  <c r="G981" i="6"/>
  <c r="H981" i="6"/>
  <c r="I981" i="6"/>
  <c r="J981" i="6"/>
  <c r="K981" i="6"/>
  <c r="L981" i="6"/>
  <c r="M981" i="6"/>
  <c r="N981" i="6"/>
  <c r="O981" i="6"/>
  <c r="B982" i="6"/>
  <c r="C982" i="6"/>
  <c r="D982" i="6"/>
  <c r="E982" i="6"/>
  <c r="F982" i="6"/>
  <c r="G982" i="6"/>
  <c r="H982" i="6"/>
  <c r="I982" i="6"/>
  <c r="J982" i="6"/>
  <c r="K982" i="6"/>
  <c r="L982" i="6"/>
  <c r="M982" i="6"/>
  <c r="N982" i="6"/>
  <c r="O982" i="6"/>
  <c r="B983" i="6"/>
  <c r="C983" i="6"/>
  <c r="D983" i="6"/>
  <c r="E983" i="6"/>
  <c r="F983" i="6"/>
  <c r="G983" i="6"/>
  <c r="H983" i="6"/>
  <c r="I983" i="6"/>
  <c r="J983" i="6"/>
  <c r="K983" i="6"/>
  <c r="L983" i="6"/>
  <c r="M983" i="6"/>
  <c r="N983" i="6"/>
  <c r="O983" i="6"/>
  <c r="B984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O984" i="6"/>
  <c r="B985" i="6"/>
  <c r="C985" i="6"/>
  <c r="D985" i="6"/>
  <c r="E985" i="6"/>
  <c r="F985" i="6"/>
  <c r="G985" i="6"/>
  <c r="H985" i="6"/>
  <c r="I985" i="6"/>
  <c r="J985" i="6"/>
  <c r="K985" i="6"/>
  <c r="L985" i="6"/>
  <c r="M985" i="6"/>
  <c r="N985" i="6"/>
  <c r="O985" i="6"/>
  <c r="B986" i="6"/>
  <c r="C986" i="6"/>
  <c r="D986" i="6"/>
  <c r="E986" i="6"/>
  <c r="F986" i="6"/>
  <c r="G986" i="6"/>
  <c r="H986" i="6"/>
  <c r="I986" i="6"/>
  <c r="J986" i="6"/>
  <c r="K986" i="6"/>
  <c r="L986" i="6"/>
  <c r="M986" i="6"/>
  <c r="N986" i="6"/>
  <c r="O986" i="6"/>
  <c r="B987" i="6"/>
  <c r="C987" i="6"/>
  <c r="D987" i="6"/>
  <c r="E987" i="6"/>
  <c r="F987" i="6"/>
  <c r="G987" i="6"/>
  <c r="H987" i="6"/>
  <c r="I987" i="6"/>
  <c r="J987" i="6"/>
  <c r="K987" i="6"/>
  <c r="L987" i="6"/>
  <c r="M987" i="6"/>
  <c r="N987" i="6"/>
  <c r="O987" i="6"/>
  <c r="B988" i="6"/>
  <c r="C988" i="6"/>
  <c r="D988" i="6"/>
  <c r="E988" i="6"/>
  <c r="F988" i="6"/>
  <c r="G988" i="6"/>
  <c r="H988" i="6"/>
  <c r="I988" i="6"/>
  <c r="J988" i="6"/>
  <c r="K988" i="6"/>
  <c r="L988" i="6"/>
  <c r="M988" i="6"/>
  <c r="N988" i="6"/>
  <c r="O988" i="6"/>
  <c r="B989" i="6"/>
  <c r="C989" i="6"/>
  <c r="D989" i="6"/>
  <c r="E989" i="6"/>
  <c r="F989" i="6"/>
  <c r="G989" i="6"/>
  <c r="H989" i="6"/>
  <c r="I989" i="6"/>
  <c r="J989" i="6"/>
  <c r="K989" i="6"/>
  <c r="L989" i="6"/>
  <c r="M989" i="6"/>
  <c r="N989" i="6"/>
  <c r="O989" i="6"/>
  <c r="B990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O990" i="6"/>
  <c r="B991" i="6"/>
  <c r="C991" i="6"/>
  <c r="D991" i="6"/>
  <c r="E991" i="6"/>
  <c r="F991" i="6"/>
  <c r="G991" i="6"/>
  <c r="H991" i="6"/>
  <c r="I991" i="6"/>
  <c r="J991" i="6"/>
  <c r="K991" i="6"/>
  <c r="L991" i="6"/>
  <c r="M991" i="6"/>
  <c r="N991" i="6"/>
  <c r="O991" i="6"/>
  <c r="B992" i="6"/>
  <c r="C992" i="6"/>
  <c r="D992" i="6"/>
  <c r="E992" i="6"/>
  <c r="F992" i="6"/>
  <c r="G992" i="6"/>
  <c r="H992" i="6"/>
  <c r="I992" i="6"/>
  <c r="J992" i="6"/>
  <c r="K992" i="6"/>
  <c r="L992" i="6"/>
  <c r="M992" i="6"/>
  <c r="N992" i="6"/>
  <c r="O992" i="6"/>
  <c r="B993" i="6"/>
  <c r="C993" i="6"/>
  <c r="D993" i="6"/>
  <c r="E993" i="6"/>
  <c r="F993" i="6"/>
  <c r="G993" i="6"/>
  <c r="H993" i="6"/>
  <c r="I993" i="6"/>
  <c r="J993" i="6"/>
  <c r="K993" i="6"/>
  <c r="L993" i="6"/>
  <c r="M993" i="6"/>
  <c r="N993" i="6"/>
  <c r="O993" i="6"/>
  <c r="B994" i="6"/>
  <c r="C994" i="6"/>
  <c r="D994" i="6"/>
  <c r="E994" i="6"/>
  <c r="F994" i="6"/>
  <c r="G994" i="6"/>
  <c r="H994" i="6"/>
  <c r="I994" i="6"/>
  <c r="J994" i="6"/>
  <c r="K994" i="6"/>
  <c r="L994" i="6"/>
  <c r="M994" i="6"/>
  <c r="N994" i="6"/>
  <c r="O994" i="6"/>
  <c r="B995" i="6"/>
  <c r="C995" i="6"/>
  <c r="D995" i="6"/>
  <c r="E995" i="6"/>
  <c r="F995" i="6"/>
  <c r="G995" i="6"/>
  <c r="H995" i="6"/>
  <c r="I995" i="6"/>
  <c r="J995" i="6"/>
  <c r="K995" i="6"/>
  <c r="L995" i="6"/>
  <c r="M995" i="6"/>
  <c r="N995" i="6"/>
  <c r="O995" i="6"/>
  <c r="B996" i="6"/>
  <c r="C996" i="6"/>
  <c r="D996" i="6"/>
  <c r="E996" i="6"/>
  <c r="F996" i="6"/>
  <c r="G996" i="6"/>
  <c r="H996" i="6"/>
  <c r="I996" i="6"/>
  <c r="J996" i="6"/>
  <c r="K996" i="6"/>
  <c r="L996" i="6"/>
  <c r="M996" i="6"/>
  <c r="N996" i="6"/>
  <c r="O996" i="6"/>
  <c r="B997" i="6"/>
  <c r="C997" i="6"/>
  <c r="D997" i="6"/>
  <c r="E997" i="6"/>
  <c r="F997" i="6"/>
  <c r="G997" i="6"/>
  <c r="H997" i="6"/>
  <c r="I997" i="6"/>
  <c r="J997" i="6"/>
  <c r="K997" i="6"/>
  <c r="L997" i="6"/>
  <c r="M997" i="6"/>
  <c r="N997" i="6"/>
  <c r="O997" i="6"/>
  <c r="B998" i="6"/>
  <c r="C998" i="6"/>
  <c r="D998" i="6"/>
  <c r="E998" i="6"/>
  <c r="F998" i="6"/>
  <c r="G998" i="6"/>
  <c r="H998" i="6"/>
  <c r="I998" i="6"/>
  <c r="J998" i="6"/>
  <c r="K998" i="6"/>
  <c r="L998" i="6"/>
  <c r="M998" i="6"/>
  <c r="N998" i="6"/>
  <c r="O998" i="6"/>
  <c r="B999" i="6"/>
  <c r="C999" i="6"/>
  <c r="D999" i="6"/>
  <c r="E999" i="6"/>
  <c r="F999" i="6"/>
  <c r="G999" i="6"/>
  <c r="H999" i="6"/>
  <c r="I999" i="6"/>
  <c r="J999" i="6"/>
  <c r="K999" i="6"/>
  <c r="L999" i="6"/>
  <c r="M999" i="6"/>
  <c r="N999" i="6"/>
  <c r="O999" i="6"/>
  <c r="B1000" i="6"/>
  <c r="C1000" i="6"/>
  <c r="D1000" i="6"/>
  <c r="E1000" i="6"/>
  <c r="F1000" i="6"/>
  <c r="G1000" i="6"/>
  <c r="H1000" i="6"/>
  <c r="I1000" i="6"/>
  <c r="J1000" i="6"/>
  <c r="K1000" i="6"/>
  <c r="L1000" i="6"/>
  <c r="M1000" i="6"/>
  <c r="N1000" i="6"/>
  <c r="O1000" i="6"/>
  <c r="B1001" i="6"/>
  <c r="C1001" i="6"/>
  <c r="D1001" i="6"/>
  <c r="E1001" i="6"/>
  <c r="F1001" i="6"/>
  <c r="G1001" i="6"/>
  <c r="H1001" i="6"/>
  <c r="I1001" i="6"/>
  <c r="J1001" i="6"/>
  <c r="K1001" i="6"/>
  <c r="L1001" i="6"/>
  <c r="M1001" i="6"/>
  <c r="N1001" i="6"/>
  <c r="O1001" i="6"/>
  <c r="B1002" i="6"/>
  <c r="C1002" i="6"/>
  <c r="D1002" i="6"/>
  <c r="E1002" i="6"/>
  <c r="F1002" i="6"/>
  <c r="G1002" i="6"/>
  <c r="H1002" i="6"/>
  <c r="I1002" i="6"/>
  <c r="J1002" i="6"/>
  <c r="K1002" i="6"/>
  <c r="L1002" i="6"/>
  <c r="M1002" i="6"/>
  <c r="N1002" i="6"/>
  <c r="O1002" i="6"/>
  <c r="B1003" i="6"/>
  <c r="C1003" i="6"/>
  <c r="D1003" i="6"/>
  <c r="E1003" i="6"/>
  <c r="F1003" i="6"/>
  <c r="G1003" i="6"/>
  <c r="H1003" i="6"/>
  <c r="I1003" i="6"/>
  <c r="J1003" i="6"/>
  <c r="K1003" i="6"/>
  <c r="L1003" i="6"/>
  <c r="M1003" i="6"/>
  <c r="N1003" i="6"/>
  <c r="O1003" i="6"/>
  <c r="B1004" i="6"/>
  <c r="C1004" i="6"/>
  <c r="D1004" i="6"/>
  <c r="E1004" i="6"/>
  <c r="F1004" i="6"/>
  <c r="G1004" i="6"/>
  <c r="H1004" i="6"/>
  <c r="I1004" i="6"/>
  <c r="J1004" i="6"/>
  <c r="K1004" i="6"/>
  <c r="L1004" i="6"/>
  <c r="M1004" i="6"/>
  <c r="N1004" i="6"/>
  <c r="O1004" i="6"/>
  <c r="B1005" i="6"/>
  <c r="C1005" i="6"/>
  <c r="D1005" i="6"/>
  <c r="E1005" i="6"/>
  <c r="F1005" i="6"/>
  <c r="G1005" i="6"/>
  <c r="H1005" i="6"/>
  <c r="I1005" i="6"/>
  <c r="J1005" i="6"/>
  <c r="K1005" i="6"/>
  <c r="L1005" i="6"/>
  <c r="M1005" i="6"/>
  <c r="N1005" i="6"/>
  <c r="O1005" i="6"/>
  <c r="B1006" i="6"/>
  <c r="C1006" i="6"/>
  <c r="D1006" i="6"/>
  <c r="E1006" i="6"/>
  <c r="F1006" i="6"/>
  <c r="G1006" i="6"/>
  <c r="H1006" i="6"/>
  <c r="I1006" i="6"/>
  <c r="J1006" i="6"/>
  <c r="K1006" i="6"/>
  <c r="L1006" i="6"/>
  <c r="M1006" i="6"/>
  <c r="N1006" i="6"/>
  <c r="O1006" i="6"/>
  <c r="B1007" i="6"/>
  <c r="C1007" i="6"/>
  <c r="D1007" i="6"/>
  <c r="E1007" i="6"/>
  <c r="F1007" i="6"/>
  <c r="G1007" i="6"/>
  <c r="H1007" i="6"/>
  <c r="I1007" i="6"/>
  <c r="J1007" i="6"/>
  <c r="K1007" i="6"/>
  <c r="L1007" i="6"/>
  <c r="M1007" i="6"/>
  <c r="N1007" i="6"/>
  <c r="O1007" i="6"/>
  <c r="B1008" i="6"/>
  <c r="C1008" i="6"/>
  <c r="D1008" i="6"/>
  <c r="E1008" i="6"/>
  <c r="F1008" i="6"/>
  <c r="G1008" i="6"/>
  <c r="H1008" i="6"/>
  <c r="I1008" i="6"/>
  <c r="J1008" i="6"/>
  <c r="K1008" i="6"/>
  <c r="L1008" i="6"/>
  <c r="M1008" i="6"/>
  <c r="N1008" i="6"/>
  <c r="O1008" i="6"/>
  <c r="B1009" i="6"/>
  <c r="C1009" i="6"/>
  <c r="D1009" i="6"/>
  <c r="E1009" i="6"/>
  <c r="F1009" i="6"/>
  <c r="G1009" i="6"/>
  <c r="H1009" i="6"/>
  <c r="I1009" i="6"/>
  <c r="J1009" i="6"/>
  <c r="K1009" i="6"/>
  <c r="L1009" i="6"/>
  <c r="M1009" i="6"/>
  <c r="N1009" i="6"/>
  <c r="O1009" i="6"/>
  <c r="B1010" i="6"/>
  <c r="C1010" i="6"/>
  <c r="D1010" i="6"/>
  <c r="E1010" i="6"/>
  <c r="F1010" i="6"/>
  <c r="G1010" i="6"/>
  <c r="H1010" i="6"/>
  <c r="I1010" i="6"/>
  <c r="J1010" i="6"/>
  <c r="K1010" i="6"/>
  <c r="L1010" i="6"/>
  <c r="M1010" i="6"/>
  <c r="N1010" i="6"/>
  <c r="O1010" i="6"/>
  <c r="B1011" i="6"/>
  <c r="C1011" i="6"/>
  <c r="D1011" i="6"/>
  <c r="E1011" i="6"/>
  <c r="F1011" i="6"/>
  <c r="G1011" i="6"/>
  <c r="H1011" i="6"/>
  <c r="I1011" i="6"/>
  <c r="J1011" i="6"/>
  <c r="K1011" i="6"/>
  <c r="L1011" i="6"/>
  <c r="M1011" i="6"/>
  <c r="N1011" i="6"/>
  <c r="O1011" i="6"/>
  <c r="B1012" i="6"/>
  <c r="C1012" i="6"/>
  <c r="D1012" i="6"/>
  <c r="E1012" i="6"/>
  <c r="F1012" i="6"/>
  <c r="G1012" i="6"/>
  <c r="H1012" i="6"/>
  <c r="I1012" i="6"/>
  <c r="J1012" i="6"/>
  <c r="K1012" i="6"/>
  <c r="L1012" i="6"/>
  <c r="M1012" i="6"/>
  <c r="N1012" i="6"/>
  <c r="O1012" i="6"/>
  <c r="B1013" i="6"/>
  <c r="C1013" i="6"/>
  <c r="D1013" i="6"/>
  <c r="E1013" i="6"/>
  <c r="F1013" i="6"/>
  <c r="G1013" i="6"/>
  <c r="H1013" i="6"/>
  <c r="I1013" i="6"/>
  <c r="J1013" i="6"/>
  <c r="K1013" i="6"/>
  <c r="L1013" i="6"/>
  <c r="M1013" i="6"/>
  <c r="N1013" i="6"/>
  <c r="O1013" i="6"/>
  <c r="B1014" i="6"/>
  <c r="C1014" i="6"/>
  <c r="D1014" i="6"/>
  <c r="E1014" i="6"/>
  <c r="F1014" i="6"/>
  <c r="G1014" i="6"/>
  <c r="H1014" i="6"/>
  <c r="I1014" i="6"/>
  <c r="J1014" i="6"/>
  <c r="K1014" i="6"/>
  <c r="L1014" i="6"/>
  <c r="M1014" i="6"/>
  <c r="N1014" i="6"/>
  <c r="O1014" i="6"/>
  <c r="B1015" i="6"/>
  <c r="C1015" i="6"/>
  <c r="D1015" i="6"/>
  <c r="E1015" i="6"/>
  <c r="F1015" i="6"/>
  <c r="G1015" i="6"/>
  <c r="H1015" i="6"/>
  <c r="I1015" i="6"/>
  <c r="J1015" i="6"/>
  <c r="K1015" i="6"/>
  <c r="L1015" i="6"/>
  <c r="M1015" i="6"/>
  <c r="N1015" i="6"/>
  <c r="O1015" i="6"/>
  <c r="B1016" i="6"/>
  <c r="C1016" i="6"/>
  <c r="D1016" i="6"/>
  <c r="E1016" i="6"/>
  <c r="F1016" i="6"/>
  <c r="G1016" i="6"/>
  <c r="H1016" i="6"/>
  <c r="I1016" i="6"/>
  <c r="J1016" i="6"/>
  <c r="K1016" i="6"/>
  <c r="L1016" i="6"/>
  <c r="M1016" i="6"/>
  <c r="N1016" i="6"/>
  <c r="O1016" i="6"/>
  <c r="B1017" i="6"/>
  <c r="C1017" i="6"/>
  <c r="D1017" i="6"/>
  <c r="E1017" i="6"/>
  <c r="F1017" i="6"/>
  <c r="G1017" i="6"/>
  <c r="H1017" i="6"/>
  <c r="I1017" i="6"/>
  <c r="J1017" i="6"/>
  <c r="K1017" i="6"/>
  <c r="L1017" i="6"/>
  <c r="M1017" i="6"/>
  <c r="N1017" i="6"/>
  <c r="O1017" i="6"/>
  <c r="B1018" i="6"/>
  <c r="C1018" i="6"/>
  <c r="D1018" i="6"/>
  <c r="E1018" i="6"/>
  <c r="F1018" i="6"/>
  <c r="G1018" i="6"/>
  <c r="H1018" i="6"/>
  <c r="I1018" i="6"/>
  <c r="J1018" i="6"/>
  <c r="K1018" i="6"/>
  <c r="L1018" i="6"/>
  <c r="M1018" i="6"/>
  <c r="N1018" i="6"/>
  <c r="O1018" i="6"/>
  <c r="B1019" i="6"/>
  <c r="C1019" i="6"/>
  <c r="D1019" i="6"/>
  <c r="E1019" i="6"/>
  <c r="F1019" i="6"/>
  <c r="G1019" i="6"/>
  <c r="H1019" i="6"/>
  <c r="I1019" i="6"/>
  <c r="J1019" i="6"/>
  <c r="K1019" i="6"/>
  <c r="L1019" i="6"/>
  <c r="M1019" i="6"/>
  <c r="N1019" i="6"/>
  <c r="O1019" i="6"/>
  <c r="B1020" i="6"/>
  <c r="C1020" i="6"/>
  <c r="D1020" i="6"/>
  <c r="E1020" i="6"/>
  <c r="F1020" i="6"/>
  <c r="G1020" i="6"/>
  <c r="H1020" i="6"/>
  <c r="I1020" i="6"/>
  <c r="J1020" i="6"/>
  <c r="K1020" i="6"/>
  <c r="L1020" i="6"/>
  <c r="M1020" i="6"/>
  <c r="N1020" i="6"/>
  <c r="O1020" i="6"/>
  <c r="B1021" i="6"/>
  <c r="C1021" i="6"/>
  <c r="D1021" i="6"/>
  <c r="E1021" i="6"/>
  <c r="F1021" i="6"/>
  <c r="G1021" i="6"/>
  <c r="H1021" i="6"/>
  <c r="I1021" i="6"/>
  <c r="J1021" i="6"/>
  <c r="K1021" i="6"/>
  <c r="L1021" i="6"/>
  <c r="M1021" i="6"/>
  <c r="N1021" i="6"/>
  <c r="O1021" i="6"/>
  <c r="B1022" i="6"/>
  <c r="C1022" i="6"/>
  <c r="D1022" i="6"/>
  <c r="E1022" i="6"/>
  <c r="F1022" i="6"/>
  <c r="G1022" i="6"/>
  <c r="H1022" i="6"/>
  <c r="I1022" i="6"/>
  <c r="J1022" i="6"/>
  <c r="K1022" i="6"/>
  <c r="L1022" i="6"/>
  <c r="M1022" i="6"/>
  <c r="N1022" i="6"/>
  <c r="O1022" i="6"/>
  <c r="B1023" i="6"/>
  <c r="C1023" i="6"/>
  <c r="D1023" i="6"/>
  <c r="E1023" i="6"/>
  <c r="F1023" i="6"/>
  <c r="G1023" i="6"/>
  <c r="H1023" i="6"/>
  <c r="I1023" i="6"/>
  <c r="J1023" i="6"/>
  <c r="K1023" i="6"/>
  <c r="L1023" i="6"/>
  <c r="M1023" i="6"/>
  <c r="N1023" i="6"/>
  <c r="O1023" i="6"/>
  <c r="B1024" i="6"/>
  <c r="C1024" i="6"/>
  <c r="D1024" i="6"/>
  <c r="E1024" i="6"/>
  <c r="F1024" i="6"/>
  <c r="G1024" i="6"/>
  <c r="H1024" i="6"/>
  <c r="I1024" i="6"/>
  <c r="J1024" i="6"/>
  <c r="K1024" i="6"/>
  <c r="L1024" i="6"/>
  <c r="M1024" i="6"/>
  <c r="N1024" i="6"/>
  <c r="O1024" i="6"/>
  <c r="B1025" i="6"/>
  <c r="C1025" i="6"/>
  <c r="D1025" i="6"/>
  <c r="E1025" i="6"/>
  <c r="F1025" i="6"/>
  <c r="G1025" i="6"/>
  <c r="H1025" i="6"/>
  <c r="I1025" i="6"/>
  <c r="J1025" i="6"/>
  <c r="K1025" i="6"/>
  <c r="L1025" i="6"/>
  <c r="M1025" i="6"/>
  <c r="N1025" i="6"/>
  <c r="O1025" i="6"/>
  <c r="B1026" i="6"/>
  <c r="C1026" i="6"/>
  <c r="D1026" i="6"/>
  <c r="E1026" i="6"/>
  <c r="F1026" i="6"/>
  <c r="G1026" i="6"/>
  <c r="H1026" i="6"/>
  <c r="I1026" i="6"/>
  <c r="J1026" i="6"/>
  <c r="K1026" i="6"/>
  <c r="L1026" i="6"/>
  <c r="M1026" i="6"/>
  <c r="N1026" i="6"/>
  <c r="O1026" i="6"/>
  <c r="B1027" i="6"/>
  <c r="C1027" i="6"/>
  <c r="D1027" i="6"/>
  <c r="E1027" i="6"/>
  <c r="F1027" i="6"/>
  <c r="G1027" i="6"/>
  <c r="H1027" i="6"/>
  <c r="I1027" i="6"/>
  <c r="J1027" i="6"/>
  <c r="K1027" i="6"/>
  <c r="L1027" i="6"/>
  <c r="M1027" i="6"/>
  <c r="N1027" i="6"/>
  <c r="O1027" i="6"/>
  <c r="B1028" i="6"/>
  <c r="C1028" i="6"/>
  <c r="D1028" i="6"/>
  <c r="E1028" i="6"/>
  <c r="F1028" i="6"/>
  <c r="G1028" i="6"/>
  <c r="H1028" i="6"/>
  <c r="I1028" i="6"/>
  <c r="J1028" i="6"/>
  <c r="K1028" i="6"/>
  <c r="L1028" i="6"/>
  <c r="M1028" i="6"/>
  <c r="N1028" i="6"/>
  <c r="O1028" i="6"/>
  <c r="B1029" i="6"/>
  <c r="C1029" i="6"/>
  <c r="D1029" i="6"/>
  <c r="E1029" i="6"/>
  <c r="F1029" i="6"/>
  <c r="G1029" i="6"/>
  <c r="H1029" i="6"/>
  <c r="I1029" i="6"/>
  <c r="J1029" i="6"/>
  <c r="K1029" i="6"/>
  <c r="L1029" i="6"/>
  <c r="M1029" i="6"/>
  <c r="N1029" i="6"/>
  <c r="O1029" i="6"/>
  <c r="B1030" i="6"/>
  <c r="C1030" i="6"/>
  <c r="D1030" i="6"/>
  <c r="E1030" i="6"/>
  <c r="F1030" i="6"/>
  <c r="G1030" i="6"/>
  <c r="H1030" i="6"/>
  <c r="I1030" i="6"/>
  <c r="J1030" i="6"/>
  <c r="K1030" i="6"/>
  <c r="L1030" i="6"/>
  <c r="M1030" i="6"/>
  <c r="N1030" i="6"/>
  <c r="O1030" i="6"/>
  <c r="B1031" i="6"/>
  <c r="C1031" i="6"/>
  <c r="D1031" i="6"/>
  <c r="E1031" i="6"/>
  <c r="F1031" i="6"/>
  <c r="G1031" i="6"/>
  <c r="H1031" i="6"/>
  <c r="I1031" i="6"/>
  <c r="J1031" i="6"/>
  <c r="K1031" i="6"/>
  <c r="L1031" i="6"/>
  <c r="M1031" i="6"/>
  <c r="N1031" i="6"/>
  <c r="O1031" i="6"/>
  <c r="B1032" i="6"/>
  <c r="C1032" i="6"/>
  <c r="D1032" i="6"/>
  <c r="E1032" i="6"/>
  <c r="F1032" i="6"/>
  <c r="G1032" i="6"/>
  <c r="H1032" i="6"/>
  <c r="I1032" i="6"/>
  <c r="J1032" i="6"/>
  <c r="K1032" i="6"/>
  <c r="L1032" i="6"/>
  <c r="M1032" i="6"/>
  <c r="N1032" i="6"/>
  <c r="O1032" i="6"/>
  <c r="B1033" i="6"/>
  <c r="C1033" i="6"/>
  <c r="D1033" i="6"/>
  <c r="E1033" i="6"/>
  <c r="F1033" i="6"/>
  <c r="G1033" i="6"/>
  <c r="H1033" i="6"/>
  <c r="I1033" i="6"/>
  <c r="J1033" i="6"/>
  <c r="K1033" i="6"/>
  <c r="L1033" i="6"/>
  <c r="M1033" i="6"/>
  <c r="N1033" i="6"/>
  <c r="O1033" i="6"/>
  <c r="B1034" i="6"/>
  <c r="C1034" i="6"/>
  <c r="D1034" i="6"/>
  <c r="E1034" i="6"/>
  <c r="F1034" i="6"/>
  <c r="G1034" i="6"/>
  <c r="H1034" i="6"/>
  <c r="I1034" i="6"/>
  <c r="J1034" i="6"/>
  <c r="K1034" i="6"/>
  <c r="L1034" i="6"/>
  <c r="M1034" i="6"/>
  <c r="N1034" i="6"/>
  <c r="O1034" i="6"/>
  <c r="B1035" i="6"/>
  <c r="C1035" i="6"/>
  <c r="D1035" i="6"/>
  <c r="E1035" i="6"/>
  <c r="F1035" i="6"/>
  <c r="G1035" i="6"/>
  <c r="H1035" i="6"/>
  <c r="I1035" i="6"/>
  <c r="J1035" i="6"/>
  <c r="K1035" i="6"/>
  <c r="L1035" i="6"/>
  <c r="M1035" i="6"/>
  <c r="N1035" i="6"/>
  <c r="O1035" i="6"/>
  <c r="B1036" i="6"/>
  <c r="C1036" i="6"/>
  <c r="D1036" i="6"/>
  <c r="E1036" i="6"/>
  <c r="F1036" i="6"/>
  <c r="G1036" i="6"/>
  <c r="H1036" i="6"/>
  <c r="I1036" i="6"/>
  <c r="J1036" i="6"/>
  <c r="K1036" i="6"/>
  <c r="L1036" i="6"/>
  <c r="M1036" i="6"/>
  <c r="N1036" i="6"/>
  <c r="O1036" i="6"/>
  <c r="B1037" i="6"/>
  <c r="C1037" i="6"/>
  <c r="D1037" i="6"/>
  <c r="E1037" i="6"/>
  <c r="F1037" i="6"/>
  <c r="G1037" i="6"/>
  <c r="H1037" i="6"/>
  <c r="I1037" i="6"/>
  <c r="J1037" i="6"/>
  <c r="K1037" i="6"/>
  <c r="L1037" i="6"/>
  <c r="M1037" i="6"/>
  <c r="N1037" i="6"/>
  <c r="O1037" i="6"/>
  <c r="B1038" i="6"/>
  <c r="C1038" i="6"/>
  <c r="D1038" i="6"/>
  <c r="E1038" i="6"/>
  <c r="F1038" i="6"/>
  <c r="G1038" i="6"/>
  <c r="H1038" i="6"/>
  <c r="I1038" i="6"/>
  <c r="J1038" i="6"/>
  <c r="K1038" i="6"/>
  <c r="L1038" i="6"/>
  <c r="M1038" i="6"/>
  <c r="N1038" i="6"/>
  <c r="O1038" i="6"/>
  <c r="B1039" i="6"/>
  <c r="C1039" i="6"/>
  <c r="D1039" i="6"/>
  <c r="E1039" i="6"/>
  <c r="F1039" i="6"/>
  <c r="G1039" i="6"/>
  <c r="H1039" i="6"/>
  <c r="I1039" i="6"/>
  <c r="J1039" i="6"/>
  <c r="K1039" i="6"/>
  <c r="L1039" i="6"/>
  <c r="M1039" i="6"/>
  <c r="N1039" i="6"/>
  <c r="O1039" i="6"/>
  <c r="B1040" i="6"/>
  <c r="C1040" i="6"/>
  <c r="D1040" i="6"/>
  <c r="E1040" i="6"/>
  <c r="F1040" i="6"/>
  <c r="G1040" i="6"/>
  <c r="H1040" i="6"/>
  <c r="I1040" i="6"/>
  <c r="J1040" i="6"/>
  <c r="K1040" i="6"/>
  <c r="L1040" i="6"/>
  <c r="M1040" i="6"/>
  <c r="N1040" i="6"/>
  <c r="O1040" i="6"/>
  <c r="B1041" i="6"/>
  <c r="C1041" i="6"/>
  <c r="D1041" i="6"/>
  <c r="E1041" i="6"/>
  <c r="F1041" i="6"/>
  <c r="G1041" i="6"/>
  <c r="H1041" i="6"/>
  <c r="I1041" i="6"/>
  <c r="J1041" i="6"/>
  <c r="K1041" i="6"/>
  <c r="L1041" i="6"/>
  <c r="M1041" i="6"/>
  <c r="N1041" i="6"/>
  <c r="O1041" i="6"/>
  <c r="B1042" i="6"/>
  <c r="C1042" i="6"/>
  <c r="D1042" i="6"/>
  <c r="E1042" i="6"/>
  <c r="F1042" i="6"/>
  <c r="G1042" i="6"/>
  <c r="H1042" i="6"/>
  <c r="I1042" i="6"/>
  <c r="J1042" i="6"/>
  <c r="K1042" i="6"/>
  <c r="L1042" i="6"/>
  <c r="M1042" i="6"/>
  <c r="N1042" i="6"/>
  <c r="O1042" i="6"/>
  <c r="B1043" i="6"/>
  <c r="C1043" i="6"/>
  <c r="D1043" i="6"/>
  <c r="E1043" i="6"/>
  <c r="F1043" i="6"/>
  <c r="G1043" i="6"/>
  <c r="H1043" i="6"/>
  <c r="I1043" i="6"/>
  <c r="J1043" i="6"/>
  <c r="K1043" i="6"/>
  <c r="L1043" i="6"/>
  <c r="M1043" i="6"/>
  <c r="N1043" i="6"/>
  <c r="O1043" i="6"/>
  <c r="B1044" i="6"/>
  <c r="C1044" i="6"/>
  <c r="D1044" i="6"/>
  <c r="E1044" i="6"/>
  <c r="F1044" i="6"/>
  <c r="G1044" i="6"/>
  <c r="H1044" i="6"/>
  <c r="I1044" i="6"/>
  <c r="J1044" i="6"/>
  <c r="K1044" i="6"/>
  <c r="L1044" i="6"/>
  <c r="M1044" i="6"/>
  <c r="N1044" i="6"/>
  <c r="O1044" i="6"/>
  <c r="B1045" i="6"/>
  <c r="C1045" i="6"/>
  <c r="D1045" i="6"/>
  <c r="E1045" i="6"/>
  <c r="F1045" i="6"/>
  <c r="G1045" i="6"/>
  <c r="H1045" i="6"/>
  <c r="I1045" i="6"/>
  <c r="J1045" i="6"/>
  <c r="K1045" i="6"/>
  <c r="L1045" i="6"/>
  <c r="M1045" i="6"/>
  <c r="N1045" i="6"/>
  <c r="O1045" i="6"/>
  <c r="B1046" i="6"/>
  <c r="C1046" i="6"/>
  <c r="D1046" i="6"/>
  <c r="E1046" i="6"/>
  <c r="F1046" i="6"/>
  <c r="G1046" i="6"/>
  <c r="H1046" i="6"/>
  <c r="I1046" i="6"/>
  <c r="J1046" i="6"/>
  <c r="K1046" i="6"/>
  <c r="L1046" i="6"/>
  <c r="M1046" i="6"/>
  <c r="N1046" i="6"/>
  <c r="O1046" i="6"/>
  <c r="B1047" i="6"/>
  <c r="C1047" i="6"/>
  <c r="D1047" i="6"/>
  <c r="E1047" i="6"/>
  <c r="F1047" i="6"/>
  <c r="G1047" i="6"/>
  <c r="H1047" i="6"/>
  <c r="I1047" i="6"/>
  <c r="J1047" i="6"/>
  <c r="K1047" i="6"/>
  <c r="L1047" i="6"/>
  <c r="M1047" i="6"/>
  <c r="N1047" i="6"/>
  <c r="O1047" i="6"/>
  <c r="B1048" i="6"/>
  <c r="C1048" i="6"/>
  <c r="D1048" i="6"/>
  <c r="E1048" i="6"/>
  <c r="F1048" i="6"/>
  <c r="G1048" i="6"/>
  <c r="H1048" i="6"/>
  <c r="I1048" i="6"/>
  <c r="J1048" i="6"/>
  <c r="K1048" i="6"/>
  <c r="L1048" i="6"/>
  <c r="M1048" i="6"/>
  <c r="N1048" i="6"/>
  <c r="O1048" i="6"/>
  <c r="B1049" i="6"/>
  <c r="C1049" i="6"/>
  <c r="D1049" i="6"/>
  <c r="E1049" i="6"/>
  <c r="F1049" i="6"/>
  <c r="G1049" i="6"/>
  <c r="H1049" i="6"/>
  <c r="I1049" i="6"/>
  <c r="J1049" i="6"/>
  <c r="K1049" i="6"/>
  <c r="L1049" i="6"/>
  <c r="M1049" i="6"/>
  <c r="N1049" i="6"/>
  <c r="O1049" i="6"/>
  <c r="B1050" i="6"/>
  <c r="C1050" i="6"/>
  <c r="D1050" i="6"/>
  <c r="E1050" i="6"/>
  <c r="F1050" i="6"/>
  <c r="G1050" i="6"/>
  <c r="H1050" i="6"/>
  <c r="I1050" i="6"/>
  <c r="J1050" i="6"/>
  <c r="K1050" i="6"/>
  <c r="L1050" i="6"/>
  <c r="M1050" i="6"/>
  <c r="N1050" i="6"/>
  <c r="O1050" i="6"/>
  <c r="B1051" i="6"/>
  <c r="C1051" i="6"/>
  <c r="D1051" i="6"/>
  <c r="E1051" i="6"/>
  <c r="F1051" i="6"/>
  <c r="G1051" i="6"/>
  <c r="H1051" i="6"/>
  <c r="I1051" i="6"/>
  <c r="J1051" i="6"/>
  <c r="K1051" i="6"/>
  <c r="L1051" i="6"/>
  <c r="M1051" i="6"/>
  <c r="N1051" i="6"/>
  <c r="O1051" i="6"/>
  <c r="B1052" i="6"/>
  <c r="C1052" i="6"/>
  <c r="D1052" i="6"/>
  <c r="E1052" i="6"/>
  <c r="F1052" i="6"/>
  <c r="G1052" i="6"/>
  <c r="H1052" i="6"/>
  <c r="I1052" i="6"/>
  <c r="J1052" i="6"/>
  <c r="K1052" i="6"/>
  <c r="L1052" i="6"/>
  <c r="M1052" i="6"/>
  <c r="N1052" i="6"/>
  <c r="O1052" i="6"/>
  <c r="B1053" i="6"/>
  <c r="C1053" i="6"/>
  <c r="D1053" i="6"/>
  <c r="E1053" i="6"/>
  <c r="F1053" i="6"/>
  <c r="G1053" i="6"/>
  <c r="H1053" i="6"/>
  <c r="I1053" i="6"/>
  <c r="J1053" i="6"/>
  <c r="K1053" i="6"/>
  <c r="L1053" i="6"/>
  <c r="M1053" i="6"/>
  <c r="N1053" i="6"/>
  <c r="O1053" i="6"/>
  <c r="B1054" i="6"/>
  <c r="C1054" i="6"/>
  <c r="D1054" i="6"/>
  <c r="E1054" i="6"/>
  <c r="F1054" i="6"/>
  <c r="G1054" i="6"/>
  <c r="H1054" i="6"/>
  <c r="I1054" i="6"/>
  <c r="J1054" i="6"/>
  <c r="K1054" i="6"/>
  <c r="L1054" i="6"/>
  <c r="M1054" i="6"/>
  <c r="N1054" i="6"/>
  <c r="O1054" i="6"/>
  <c r="B1055" i="6"/>
  <c r="C1055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B1056" i="6"/>
  <c r="C1056" i="6"/>
  <c r="D1056" i="6"/>
  <c r="E1056" i="6"/>
  <c r="F1056" i="6"/>
  <c r="G1056" i="6"/>
  <c r="H1056" i="6"/>
  <c r="I1056" i="6"/>
  <c r="J1056" i="6"/>
  <c r="K1056" i="6"/>
  <c r="L1056" i="6"/>
  <c r="M1056" i="6"/>
  <c r="N1056" i="6"/>
  <c r="O1056" i="6"/>
  <c r="B1057" i="6"/>
  <c r="C1057" i="6"/>
  <c r="D1057" i="6"/>
  <c r="E1057" i="6"/>
  <c r="F1057" i="6"/>
  <c r="G1057" i="6"/>
  <c r="H1057" i="6"/>
  <c r="I1057" i="6"/>
  <c r="J1057" i="6"/>
  <c r="K1057" i="6"/>
  <c r="L1057" i="6"/>
  <c r="M1057" i="6"/>
  <c r="N1057" i="6"/>
  <c r="O1057" i="6"/>
  <c r="C15" i="5"/>
  <c r="D15" i="5"/>
  <c r="E15" i="5"/>
  <c r="F15" i="5"/>
  <c r="L15" i="5"/>
  <c r="N15" i="5"/>
  <c r="P15" i="5"/>
  <c r="Q15" i="5" s="1"/>
  <c r="R15" i="5"/>
  <c r="S15" i="5"/>
  <c r="T15" i="5"/>
  <c r="C16" i="5"/>
  <c r="D16" i="5"/>
  <c r="E16" i="5"/>
  <c r="F16" i="5"/>
  <c r="N16" i="5"/>
  <c r="P16" i="5"/>
  <c r="R16" i="5"/>
  <c r="Q16" i="5" s="1"/>
  <c r="S16" i="5" s="1"/>
  <c r="T16" i="5"/>
  <c r="C17" i="5"/>
  <c r="D17" i="5"/>
  <c r="E17" i="5"/>
  <c r="F17" i="5"/>
  <c r="L17" i="5"/>
  <c r="N17" i="5"/>
  <c r="P17" i="5"/>
  <c r="Q17" i="5"/>
  <c r="R17" i="5"/>
  <c r="T17" i="5"/>
  <c r="C18" i="5"/>
  <c r="D18" i="5"/>
  <c r="E18" i="5"/>
  <c r="F18" i="5"/>
  <c r="L18" i="5" s="1"/>
  <c r="N18" i="5"/>
  <c r="P18" i="5"/>
  <c r="R18" i="5"/>
  <c r="Q18" i="5" s="1"/>
  <c r="S18" i="5"/>
  <c r="T18" i="5"/>
  <c r="C19" i="5"/>
  <c r="D19" i="5"/>
  <c r="E19" i="5"/>
  <c r="F19" i="5"/>
  <c r="N19" i="5"/>
  <c r="P19" i="5"/>
  <c r="Q19" i="5"/>
  <c r="R19" i="5"/>
  <c r="S19" i="5"/>
  <c r="T19" i="5"/>
  <c r="C20" i="5"/>
  <c r="D20" i="5"/>
  <c r="E20" i="5"/>
  <c r="L20" i="5" s="1"/>
  <c r="F20" i="5"/>
  <c r="N20" i="5"/>
  <c r="P20" i="5"/>
  <c r="R20" i="5"/>
  <c r="T20" i="5"/>
  <c r="C21" i="5"/>
  <c r="D21" i="5"/>
  <c r="E21" i="5"/>
  <c r="F21" i="5"/>
  <c r="N21" i="5"/>
  <c r="P21" i="5"/>
  <c r="R21" i="5"/>
  <c r="Q21" i="5" s="1"/>
  <c r="S21" i="5" s="1"/>
  <c r="T21" i="5"/>
  <c r="T1057" i="5" s="1"/>
  <c r="C22" i="5"/>
  <c r="D22" i="5"/>
  <c r="E22" i="5"/>
  <c r="F22" i="5"/>
  <c r="L22" i="5"/>
  <c r="N22" i="5"/>
  <c r="R22" i="5"/>
  <c r="Q22" i="5" s="1"/>
  <c r="S22" i="5" s="1"/>
  <c r="T22" i="5"/>
  <c r="C23" i="5"/>
  <c r="D23" i="5"/>
  <c r="E23" i="5"/>
  <c r="L23" i="5" s="1"/>
  <c r="F23" i="5"/>
  <c r="N23" i="5"/>
  <c r="Q23" i="5"/>
  <c r="S23" i="5" s="1"/>
  <c r="R23" i="5"/>
  <c r="T23" i="5"/>
  <c r="C24" i="5"/>
  <c r="L24" i="5" s="1"/>
  <c r="D24" i="5"/>
  <c r="E24" i="5"/>
  <c r="F24" i="5"/>
  <c r="N24" i="5"/>
  <c r="Q24" i="5"/>
  <c r="R24" i="5"/>
  <c r="S24" i="5"/>
  <c r="T24" i="5"/>
  <c r="C25" i="5"/>
  <c r="D25" i="5"/>
  <c r="E25" i="5"/>
  <c r="F25" i="5"/>
  <c r="N25" i="5"/>
  <c r="R25" i="5"/>
  <c r="Q25" i="5" s="1"/>
  <c r="S25" i="5"/>
  <c r="T25" i="5"/>
  <c r="C26" i="5"/>
  <c r="L26" i="5" s="1"/>
  <c r="D26" i="5"/>
  <c r="E26" i="5"/>
  <c r="F26" i="5"/>
  <c r="N26" i="5"/>
  <c r="R26" i="5"/>
  <c r="T26" i="5"/>
  <c r="C27" i="5"/>
  <c r="D27" i="5"/>
  <c r="E27" i="5"/>
  <c r="F27" i="5"/>
  <c r="H27" i="5"/>
  <c r="L27" i="5"/>
  <c r="N27" i="5"/>
  <c r="P27" i="5"/>
  <c r="Q27" i="5" s="1"/>
  <c r="S27" i="5" s="1"/>
  <c r="R27" i="5"/>
  <c r="T27" i="5"/>
  <c r="C28" i="5"/>
  <c r="D28" i="5"/>
  <c r="E28" i="5"/>
  <c r="F28" i="5"/>
  <c r="H28" i="5"/>
  <c r="N28" i="5"/>
  <c r="P28" i="5"/>
  <c r="R28" i="5"/>
  <c r="Q28" i="5" s="1"/>
  <c r="S28" i="5"/>
  <c r="T28" i="5"/>
  <c r="C29" i="5"/>
  <c r="D29" i="5"/>
  <c r="E29" i="5"/>
  <c r="F29" i="5"/>
  <c r="H29" i="5"/>
  <c r="L29" i="5"/>
  <c r="N29" i="5"/>
  <c r="P29" i="5"/>
  <c r="Q29" i="5" s="1"/>
  <c r="R29" i="5"/>
  <c r="S29" i="5"/>
  <c r="T29" i="5"/>
  <c r="C30" i="5"/>
  <c r="D30" i="5"/>
  <c r="E30" i="5"/>
  <c r="F30" i="5"/>
  <c r="H30" i="5"/>
  <c r="N30" i="5"/>
  <c r="P30" i="5"/>
  <c r="R30" i="5"/>
  <c r="T30" i="5"/>
  <c r="C31" i="5"/>
  <c r="D31" i="5"/>
  <c r="E31" i="5"/>
  <c r="F31" i="5"/>
  <c r="H31" i="5"/>
  <c r="N31" i="5"/>
  <c r="P31" i="5"/>
  <c r="Q31" i="5" s="1"/>
  <c r="S31" i="5" s="1"/>
  <c r="R31" i="5"/>
  <c r="T31" i="5"/>
  <c r="C32" i="5"/>
  <c r="L32" i="5" s="1"/>
  <c r="D32" i="5"/>
  <c r="E32" i="5"/>
  <c r="F32" i="5"/>
  <c r="H32" i="5"/>
  <c r="N32" i="5"/>
  <c r="P32" i="5"/>
  <c r="R32" i="5"/>
  <c r="Q32" i="5" s="1"/>
  <c r="T32" i="5"/>
  <c r="C33" i="5"/>
  <c r="D33" i="5"/>
  <c r="E33" i="5"/>
  <c r="L33" i="5" s="1"/>
  <c r="F33" i="5"/>
  <c r="H33" i="5"/>
  <c r="N33" i="5"/>
  <c r="P33" i="5"/>
  <c r="Q33" i="5" s="1"/>
  <c r="R33" i="5"/>
  <c r="S33" i="5"/>
  <c r="T33" i="5"/>
  <c r="C34" i="5"/>
  <c r="D34" i="5"/>
  <c r="E34" i="5"/>
  <c r="F34" i="5"/>
  <c r="H34" i="5"/>
  <c r="N34" i="5"/>
  <c r="R34" i="5"/>
  <c r="Q34" i="5" s="1"/>
  <c r="S34" i="5" s="1"/>
  <c r="T34" i="5"/>
  <c r="C35" i="5"/>
  <c r="D35" i="5"/>
  <c r="E35" i="5"/>
  <c r="F35" i="5"/>
  <c r="H35" i="5"/>
  <c r="L35" i="5"/>
  <c r="N35" i="5"/>
  <c r="Q35" i="5"/>
  <c r="S35" i="5" s="1"/>
  <c r="R35" i="5"/>
  <c r="T35" i="5"/>
  <c r="C36" i="5"/>
  <c r="D36" i="5"/>
  <c r="E36" i="5"/>
  <c r="F36" i="5"/>
  <c r="H36" i="5"/>
  <c r="N36" i="5"/>
  <c r="R36" i="5"/>
  <c r="Q36" i="5" s="1"/>
  <c r="S36" i="5" s="1"/>
  <c r="T36" i="5"/>
  <c r="C37" i="5"/>
  <c r="D37" i="5"/>
  <c r="L37" i="5" s="1"/>
  <c r="E37" i="5"/>
  <c r="F37" i="5"/>
  <c r="H37" i="5"/>
  <c r="N37" i="5"/>
  <c r="Q37" i="5"/>
  <c r="R37" i="5"/>
  <c r="S37" i="5"/>
  <c r="T37" i="5"/>
  <c r="C38" i="5"/>
  <c r="D38" i="5"/>
  <c r="E38" i="5"/>
  <c r="L38" i="5" s="1"/>
  <c r="F38" i="5"/>
  <c r="H38" i="5"/>
  <c r="N38" i="5"/>
  <c r="N1059" i="5" s="1"/>
  <c r="Q38" i="5"/>
  <c r="S38" i="5" s="1"/>
  <c r="R38" i="5"/>
  <c r="T38" i="5"/>
  <c r="C39" i="5"/>
  <c r="L39" i="5" s="1"/>
  <c r="D39" i="5"/>
  <c r="E39" i="5"/>
  <c r="F39" i="5"/>
  <c r="H39" i="5"/>
  <c r="N39" i="5"/>
  <c r="Q39" i="5"/>
  <c r="S39" i="5" s="1"/>
  <c r="R39" i="5"/>
  <c r="T39" i="5"/>
  <c r="C40" i="5"/>
  <c r="D40" i="5"/>
  <c r="E40" i="5"/>
  <c r="F40" i="5"/>
  <c r="H40" i="5"/>
  <c r="I40" i="5"/>
  <c r="N40" i="5"/>
  <c r="Q40" i="5"/>
  <c r="S40" i="5" s="1"/>
  <c r="R40" i="5"/>
  <c r="T40" i="5"/>
  <c r="C41" i="5"/>
  <c r="D41" i="5"/>
  <c r="D1059" i="5" s="1"/>
  <c r="E41" i="5"/>
  <c r="F41" i="5"/>
  <c r="H41" i="5"/>
  <c r="I41" i="5"/>
  <c r="N41" i="5"/>
  <c r="R41" i="5"/>
  <c r="Q41" i="5" s="1"/>
  <c r="S41" i="5"/>
  <c r="T41" i="5"/>
  <c r="C42" i="5"/>
  <c r="D42" i="5"/>
  <c r="E42" i="5"/>
  <c r="F42" i="5"/>
  <c r="H42" i="5"/>
  <c r="I42" i="5"/>
  <c r="L42" i="5"/>
  <c r="N42" i="5"/>
  <c r="Q42" i="5"/>
  <c r="S42" i="5" s="1"/>
  <c r="R42" i="5"/>
  <c r="T42" i="5"/>
  <c r="C43" i="5"/>
  <c r="D43" i="5"/>
  <c r="E43" i="5"/>
  <c r="F43" i="5"/>
  <c r="F1059" i="5" s="1"/>
  <c r="H43" i="5"/>
  <c r="I43" i="5"/>
  <c r="N43" i="5"/>
  <c r="Q43" i="5"/>
  <c r="R43" i="5"/>
  <c r="S43" i="5"/>
  <c r="T43" i="5"/>
  <c r="C44" i="5"/>
  <c r="L44" i="5" s="1"/>
  <c r="D44" i="5"/>
  <c r="E44" i="5"/>
  <c r="F44" i="5"/>
  <c r="H44" i="5"/>
  <c r="I44" i="5"/>
  <c r="N44" i="5"/>
  <c r="Q44" i="5"/>
  <c r="S44" i="5" s="1"/>
  <c r="R44" i="5"/>
  <c r="T44" i="5"/>
  <c r="C45" i="5"/>
  <c r="D45" i="5"/>
  <c r="E45" i="5"/>
  <c r="F45" i="5"/>
  <c r="H45" i="5"/>
  <c r="H1059" i="5" s="1"/>
  <c r="I45" i="5"/>
  <c r="N45" i="5"/>
  <c r="Q45" i="5"/>
  <c r="S45" i="5" s="1"/>
  <c r="R45" i="5"/>
  <c r="T45" i="5"/>
  <c r="C46" i="5"/>
  <c r="L46" i="5" s="1"/>
  <c r="D46" i="5"/>
  <c r="E46" i="5"/>
  <c r="F46" i="5"/>
  <c r="H46" i="5"/>
  <c r="I46" i="5"/>
  <c r="N46" i="5"/>
  <c r="Q46" i="5"/>
  <c r="S46" i="5" s="1"/>
  <c r="R46" i="5"/>
  <c r="T46" i="5"/>
  <c r="C47" i="5"/>
  <c r="D47" i="5"/>
  <c r="E47" i="5"/>
  <c r="F47" i="5"/>
  <c r="H47" i="5"/>
  <c r="I47" i="5"/>
  <c r="N47" i="5"/>
  <c r="R47" i="5"/>
  <c r="T47" i="5"/>
  <c r="C48" i="5"/>
  <c r="D48" i="5"/>
  <c r="E48" i="5"/>
  <c r="F48" i="5"/>
  <c r="H48" i="5"/>
  <c r="I48" i="5"/>
  <c r="N48" i="5"/>
  <c r="Q48" i="5"/>
  <c r="S48" i="5" s="1"/>
  <c r="R48" i="5"/>
  <c r="T48" i="5"/>
  <c r="C49" i="5"/>
  <c r="D49" i="5"/>
  <c r="E49" i="5"/>
  <c r="E1060" i="5" s="1"/>
  <c r="F49" i="5"/>
  <c r="F1060" i="5" s="1"/>
  <c r="H49" i="5"/>
  <c r="I49" i="5"/>
  <c r="N49" i="5"/>
  <c r="R49" i="5"/>
  <c r="Q49" i="5" s="1"/>
  <c r="S49" i="5"/>
  <c r="T49" i="5"/>
  <c r="C50" i="5"/>
  <c r="D50" i="5"/>
  <c r="E50" i="5"/>
  <c r="F50" i="5"/>
  <c r="H50" i="5"/>
  <c r="I50" i="5"/>
  <c r="N50" i="5"/>
  <c r="Q50" i="5"/>
  <c r="S50" i="5" s="1"/>
  <c r="R50" i="5"/>
  <c r="T50" i="5"/>
  <c r="C51" i="5"/>
  <c r="D51" i="5"/>
  <c r="E51" i="5"/>
  <c r="F51" i="5"/>
  <c r="H51" i="5"/>
  <c r="I51" i="5"/>
  <c r="N51" i="5"/>
  <c r="Q51" i="5"/>
  <c r="R51" i="5"/>
  <c r="S51" i="5"/>
  <c r="T51" i="5"/>
  <c r="C52" i="5"/>
  <c r="L52" i="5" s="1"/>
  <c r="D52" i="5"/>
  <c r="E52" i="5"/>
  <c r="F52" i="5"/>
  <c r="H52" i="5"/>
  <c r="I52" i="5"/>
  <c r="N52" i="5"/>
  <c r="Q52" i="5"/>
  <c r="S52" i="5" s="1"/>
  <c r="R52" i="5"/>
  <c r="T52" i="5"/>
  <c r="C53" i="5"/>
  <c r="D53" i="5"/>
  <c r="E53" i="5"/>
  <c r="F53" i="5"/>
  <c r="H53" i="5"/>
  <c r="I53" i="5"/>
  <c r="N53" i="5"/>
  <c r="Q53" i="5"/>
  <c r="S53" i="5" s="1"/>
  <c r="R53" i="5"/>
  <c r="T53" i="5"/>
  <c r="C54" i="5"/>
  <c r="D54" i="5"/>
  <c r="E54" i="5"/>
  <c r="F54" i="5"/>
  <c r="H54" i="5"/>
  <c r="I54" i="5"/>
  <c r="N54" i="5"/>
  <c r="Q54" i="5"/>
  <c r="S54" i="5" s="1"/>
  <c r="R54" i="5"/>
  <c r="T54" i="5"/>
  <c r="C55" i="5"/>
  <c r="D55" i="5"/>
  <c r="E55" i="5"/>
  <c r="F55" i="5"/>
  <c r="H55" i="5"/>
  <c r="I55" i="5"/>
  <c r="N55" i="5"/>
  <c r="R55" i="5"/>
  <c r="Q55" i="5" s="1"/>
  <c r="S55" i="5" s="1"/>
  <c r="T55" i="5"/>
  <c r="C56" i="5"/>
  <c r="D56" i="5"/>
  <c r="E56" i="5"/>
  <c r="F56" i="5"/>
  <c r="H56" i="5"/>
  <c r="I56" i="5"/>
  <c r="L56" i="5" s="1"/>
  <c r="N56" i="5"/>
  <c r="Q56" i="5"/>
  <c r="S56" i="5" s="1"/>
  <c r="R56" i="5"/>
  <c r="T56" i="5"/>
  <c r="C57" i="5"/>
  <c r="D57" i="5"/>
  <c r="E57" i="5"/>
  <c r="F57" i="5"/>
  <c r="H57" i="5"/>
  <c r="I57" i="5"/>
  <c r="N57" i="5"/>
  <c r="R57" i="5"/>
  <c r="Q57" i="5" s="1"/>
  <c r="S57" i="5" s="1"/>
  <c r="T57" i="5"/>
  <c r="C58" i="5"/>
  <c r="L58" i="5" s="1"/>
  <c r="D58" i="5"/>
  <c r="E58" i="5"/>
  <c r="F58" i="5"/>
  <c r="H58" i="5"/>
  <c r="I58" i="5"/>
  <c r="N58" i="5"/>
  <c r="Q58" i="5"/>
  <c r="S58" i="5" s="1"/>
  <c r="R58" i="5"/>
  <c r="T58" i="5"/>
  <c r="C59" i="5"/>
  <c r="D59" i="5"/>
  <c r="E59" i="5"/>
  <c r="F59" i="5"/>
  <c r="H59" i="5"/>
  <c r="I59" i="5"/>
  <c r="N59" i="5"/>
  <c r="Q59" i="5"/>
  <c r="R59" i="5"/>
  <c r="S59" i="5"/>
  <c r="T59" i="5"/>
  <c r="C60" i="5"/>
  <c r="L60" i="5" s="1"/>
  <c r="D60" i="5"/>
  <c r="E60" i="5"/>
  <c r="F60" i="5"/>
  <c r="H60" i="5"/>
  <c r="I60" i="5"/>
  <c r="N60" i="5"/>
  <c r="Q60" i="5"/>
  <c r="S60" i="5" s="1"/>
  <c r="R60" i="5"/>
  <c r="T60" i="5"/>
  <c r="C61" i="5"/>
  <c r="D61" i="5"/>
  <c r="E61" i="5"/>
  <c r="F61" i="5"/>
  <c r="H61" i="5"/>
  <c r="I61" i="5"/>
  <c r="N61" i="5"/>
  <c r="Q61" i="5"/>
  <c r="S61" i="5" s="1"/>
  <c r="R61" i="5"/>
  <c r="T61" i="5"/>
  <c r="C62" i="5"/>
  <c r="D62" i="5"/>
  <c r="E62" i="5"/>
  <c r="F62" i="5"/>
  <c r="H62" i="5"/>
  <c r="I62" i="5"/>
  <c r="N62" i="5"/>
  <c r="Q62" i="5"/>
  <c r="S62" i="5" s="1"/>
  <c r="R62" i="5"/>
  <c r="T62" i="5"/>
  <c r="C63" i="5"/>
  <c r="L63" i="5" s="1"/>
  <c r="D63" i="5"/>
  <c r="E63" i="5"/>
  <c r="F63" i="5"/>
  <c r="H63" i="5"/>
  <c r="I63" i="5"/>
  <c r="N63" i="5"/>
  <c r="R63" i="5"/>
  <c r="Q63" i="5" s="1"/>
  <c r="S63" i="5" s="1"/>
  <c r="T63" i="5"/>
  <c r="C64" i="5"/>
  <c r="D64" i="5"/>
  <c r="E64" i="5"/>
  <c r="F64" i="5"/>
  <c r="H64" i="5"/>
  <c r="I64" i="5"/>
  <c r="L64" i="5" s="1"/>
  <c r="N64" i="5"/>
  <c r="Q64" i="5"/>
  <c r="S64" i="5" s="1"/>
  <c r="R64" i="5"/>
  <c r="T64" i="5"/>
  <c r="C65" i="5"/>
  <c r="L65" i="5" s="1"/>
  <c r="D65" i="5"/>
  <c r="E65" i="5"/>
  <c r="F65" i="5"/>
  <c r="H65" i="5"/>
  <c r="I65" i="5"/>
  <c r="N65" i="5"/>
  <c r="R65" i="5"/>
  <c r="Q65" i="5" s="1"/>
  <c r="T65" i="5"/>
  <c r="C66" i="5"/>
  <c r="D66" i="5"/>
  <c r="E66" i="5"/>
  <c r="F66" i="5"/>
  <c r="H66" i="5"/>
  <c r="I66" i="5"/>
  <c r="N66" i="5"/>
  <c r="Q66" i="5"/>
  <c r="S66" i="5" s="1"/>
  <c r="R66" i="5"/>
  <c r="T66" i="5"/>
  <c r="C67" i="5"/>
  <c r="D67" i="5"/>
  <c r="D1061" i="5" s="1"/>
  <c r="E67" i="5"/>
  <c r="F67" i="5"/>
  <c r="H67" i="5"/>
  <c r="I67" i="5"/>
  <c r="N67" i="5"/>
  <c r="Q67" i="5"/>
  <c r="R67" i="5"/>
  <c r="S67" i="5"/>
  <c r="T67" i="5"/>
  <c r="C68" i="5"/>
  <c r="D68" i="5"/>
  <c r="E68" i="5"/>
  <c r="F68" i="5"/>
  <c r="H68" i="5"/>
  <c r="I68" i="5"/>
  <c r="L68" i="5"/>
  <c r="N68" i="5"/>
  <c r="Q68" i="5"/>
  <c r="S68" i="5" s="1"/>
  <c r="R68" i="5"/>
  <c r="T68" i="5"/>
  <c r="C69" i="5"/>
  <c r="D69" i="5"/>
  <c r="E69" i="5"/>
  <c r="F69" i="5"/>
  <c r="H69" i="5"/>
  <c r="I69" i="5"/>
  <c r="N69" i="5"/>
  <c r="Q69" i="5"/>
  <c r="S69" i="5" s="1"/>
  <c r="R69" i="5"/>
  <c r="T69" i="5"/>
  <c r="C70" i="5"/>
  <c r="L70" i="5" s="1"/>
  <c r="D70" i="5"/>
  <c r="E70" i="5"/>
  <c r="F70" i="5"/>
  <c r="H70" i="5"/>
  <c r="I70" i="5"/>
  <c r="N70" i="5"/>
  <c r="Q70" i="5"/>
  <c r="S70" i="5" s="1"/>
  <c r="R70" i="5"/>
  <c r="T70" i="5"/>
  <c r="C71" i="5"/>
  <c r="D71" i="5"/>
  <c r="E71" i="5"/>
  <c r="F71" i="5"/>
  <c r="H71" i="5"/>
  <c r="I71" i="5"/>
  <c r="N71" i="5"/>
  <c r="Q71" i="5"/>
  <c r="S71" i="5" s="1"/>
  <c r="R71" i="5"/>
  <c r="R1061" i="5" s="1"/>
  <c r="T71" i="5"/>
  <c r="C72" i="5"/>
  <c r="D72" i="5"/>
  <c r="E72" i="5"/>
  <c r="F72" i="5"/>
  <c r="H72" i="5"/>
  <c r="I72" i="5"/>
  <c r="N72" i="5"/>
  <c r="Q72" i="5"/>
  <c r="S72" i="5" s="1"/>
  <c r="R72" i="5"/>
  <c r="T72" i="5"/>
  <c r="C73" i="5"/>
  <c r="D73" i="5"/>
  <c r="E73" i="5"/>
  <c r="F73" i="5"/>
  <c r="H73" i="5"/>
  <c r="I73" i="5"/>
  <c r="N73" i="5"/>
  <c r="Q73" i="5"/>
  <c r="S73" i="5" s="1"/>
  <c r="R73" i="5"/>
  <c r="T73" i="5"/>
  <c r="C74" i="5"/>
  <c r="D74" i="5"/>
  <c r="E74" i="5"/>
  <c r="F74" i="5"/>
  <c r="H74" i="5"/>
  <c r="L74" i="5" s="1"/>
  <c r="I74" i="5"/>
  <c r="N74" i="5"/>
  <c r="Q74" i="5"/>
  <c r="S74" i="5" s="1"/>
  <c r="R74" i="5"/>
  <c r="T74" i="5"/>
  <c r="C75" i="5"/>
  <c r="D75" i="5"/>
  <c r="E75" i="5"/>
  <c r="F75" i="5"/>
  <c r="H75" i="5"/>
  <c r="I75" i="5"/>
  <c r="N75" i="5"/>
  <c r="Q75" i="5"/>
  <c r="R75" i="5"/>
  <c r="S75" i="5"/>
  <c r="T75" i="5"/>
  <c r="C76" i="5"/>
  <c r="D76" i="5"/>
  <c r="E76" i="5"/>
  <c r="F76" i="5"/>
  <c r="H76" i="5"/>
  <c r="I76" i="5"/>
  <c r="L76" i="5"/>
  <c r="N76" i="5"/>
  <c r="Q76" i="5"/>
  <c r="S76" i="5" s="1"/>
  <c r="R76" i="5"/>
  <c r="T76" i="5"/>
  <c r="C77" i="5"/>
  <c r="D77" i="5"/>
  <c r="E77" i="5"/>
  <c r="F77" i="5"/>
  <c r="H77" i="5"/>
  <c r="I77" i="5"/>
  <c r="N77" i="5"/>
  <c r="Q77" i="5"/>
  <c r="S77" i="5" s="1"/>
  <c r="R77" i="5"/>
  <c r="T77" i="5"/>
  <c r="C78" i="5"/>
  <c r="L78" i="5" s="1"/>
  <c r="D78" i="5"/>
  <c r="E78" i="5"/>
  <c r="F78" i="5"/>
  <c r="H78" i="5"/>
  <c r="I78" i="5"/>
  <c r="N78" i="5"/>
  <c r="Q78" i="5"/>
  <c r="S78" i="5" s="1"/>
  <c r="R78" i="5"/>
  <c r="T78" i="5"/>
  <c r="C79" i="5"/>
  <c r="D79" i="5"/>
  <c r="E79" i="5"/>
  <c r="F79" i="5"/>
  <c r="H79" i="5"/>
  <c r="I79" i="5"/>
  <c r="N79" i="5"/>
  <c r="Q79" i="5"/>
  <c r="S79" i="5" s="1"/>
  <c r="R79" i="5"/>
  <c r="T79" i="5"/>
  <c r="C80" i="5"/>
  <c r="D80" i="5"/>
  <c r="E80" i="5"/>
  <c r="F80" i="5"/>
  <c r="H80" i="5"/>
  <c r="I80" i="5"/>
  <c r="N80" i="5"/>
  <c r="Q80" i="5"/>
  <c r="S80" i="5" s="1"/>
  <c r="R80" i="5"/>
  <c r="T80" i="5"/>
  <c r="C81" i="5"/>
  <c r="D81" i="5"/>
  <c r="D1062" i="5" s="1"/>
  <c r="E81" i="5"/>
  <c r="F81" i="5"/>
  <c r="H81" i="5"/>
  <c r="I81" i="5"/>
  <c r="N81" i="5"/>
  <c r="R81" i="5"/>
  <c r="Q81" i="5" s="1"/>
  <c r="S81" i="5"/>
  <c r="T81" i="5"/>
  <c r="C82" i="5"/>
  <c r="D82" i="5"/>
  <c r="E82" i="5"/>
  <c r="F82" i="5"/>
  <c r="H82" i="5"/>
  <c r="I82" i="5"/>
  <c r="L82" i="5"/>
  <c r="N82" i="5"/>
  <c r="N1062" i="5" s="1"/>
  <c r="Q82" i="5"/>
  <c r="S82" i="5" s="1"/>
  <c r="R82" i="5"/>
  <c r="T82" i="5"/>
  <c r="C83" i="5"/>
  <c r="D83" i="5"/>
  <c r="E83" i="5"/>
  <c r="F83" i="5"/>
  <c r="F1062" i="5" s="1"/>
  <c r="H83" i="5"/>
  <c r="I83" i="5"/>
  <c r="N83" i="5"/>
  <c r="Q83" i="5"/>
  <c r="S83" i="5" s="1"/>
  <c r="R83" i="5"/>
  <c r="T83" i="5"/>
  <c r="C84" i="5"/>
  <c r="D84" i="5"/>
  <c r="E84" i="5"/>
  <c r="F84" i="5"/>
  <c r="H84" i="5"/>
  <c r="I84" i="5"/>
  <c r="N84" i="5"/>
  <c r="Q84" i="5"/>
  <c r="S84" i="5" s="1"/>
  <c r="R84" i="5"/>
  <c r="T84" i="5"/>
  <c r="C85" i="5"/>
  <c r="D85" i="5"/>
  <c r="E85" i="5"/>
  <c r="F85" i="5"/>
  <c r="H85" i="5"/>
  <c r="I85" i="5"/>
  <c r="N85" i="5"/>
  <c r="Q85" i="5"/>
  <c r="S85" i="5" s="1"/>
  <c r="R85" i="5"/>
  <c r="T85" i="5"/>
  <c r="C86" i="5"/>
  <c r="D86" i="5"/>
  <c r="E86" i="5"/>
  <c r="F86" i="5"/>
  <c r="H86" i="5"/>
  <c r="L86" i="5" s="1"/>
  <c r="I86" i="5"/>
  <c r="N86" i="5"/>
  <c r="Q86" i="5"/>
  <c r="S86" i="5" s="1"/>
  <c r="R86" i="5"/>
  <c r="T86" i="5"/>
  <c r="C87" i="5"/>
  <c r="D87" i="5"/>
  <c r="E87" i="5"/>
  <c r="F87" i="5"/>
  <c r="H87" i="5"/>
  <c r="I87" i="5"/>
  <c r="N87" i="5"/>
  <c r="R87" i="5"/>
  <c r="Q87" i="5" s="1"/>
  <c r="S87" i="5" s="1"/>
  <c r="T87" i="5"/>
  <c r="C88" i="5"/>
  <c r="D88" i="5"/>
  <c r="E88" i="5"/>
  <c r="F88" i="5"/>
  <c r="H88" i="5"/>
  <c r="I88" i="5"/>
  <c r="L88" i="5" s="1"/>
  <c r="N88" i="5"/>
  <c r="Q88" i="5"/>
  <c r="S88" i="5" s="1"/>
  <c r="R88" i="5"/>
  <c r="T88" i="5"/>
  <c r="C89" i="5"/>
  <c r="D89" i="5"/>
  <c r="E89" i="5"/>
  <c r="F89" i="5"/>
  <c r="H89" i="5"/>
  <c r="I89" i="5"/>
  <c r="N89" i="5"/>
  <c r="R89" i="5"/>
  <c r="Q89" i="5" s="1"/>
  <c r="S89" i="5"/>
  <c r="T89" i="5"/>
  <c r="C90" i="5"/>
  <c r="L90" i="5" s="1"/>
  <c r="D90" i="5"/>
  <c r="E90" i="5"/>
  <c r="F90" i="5"/>
  <c r="H90" i="5"/>
  <c r="I90" i="5"/>
  <c r="N90" i="5"/>
  <c r="Q90" i="5"/>
  <c r="S90" i="5" s="1"/>
  <c r="R90" i="5"/>
  <c r="T90" i="5"/>
  <c r="C91" i="5"/>
  <c r="D91" i="5"/>
  <c r="E91" i="5"/>
  <c r="F91" i="5"/>
  <c r="H91" i="5"/>
  <c r="I91" i="5"/>
  <c r="N91" i="5"/>
  <c r="Q91" i="5"/>
  <c r="S91" i="5" s="1"/>
  <c r="R91" i="5"/>
  <c r="T91" i="5"/>
  <c r="T1063" i="5" s="1"/>
  <c r="C92" i="5"/>
  <c r="L92" i="5" s="1"/>
  <c r="D92" i="5"/>
  <c r="E92" i="5"/>
  <c r="F92" i="5"/>
  <c r="H92" i="5"/>
  <c r="I92" i="5"/>
  <c r="N92" i="5"/>
  <c r="N1063" i="5" s="1"/>
  <c r="Q92" i="5"/>
  <c r="S92" i="5" s="1"/>
  <c r="R92" i="5"/>
  <c r="T92" i="5"/>
  <c r="C93" i="5"/>
  <c r="D93" i="5"/>
  <c r="E93" i="5"/>
  <c r="F93" i="5"/>
  <c r="H93" i="5"/>
  <c r="H1063" i="5" s="1"/>
  <c r="I93" i="5"/>
  <c r="N93" i="5"/>
  <c r="Q93" i="5"/>
  <c r="S93" i="5" s="1"/>
  <c r="R93" i="5"/>
  <c r="T93" i="5"/>
  <c r="C94" i="5"/>
  <c r="D94" i="5"/>
  <c r="E94" i="5"/>
  <c r="F94" i="5"/>
  <c r="H94" i="5"/>
  <c r="L94" i="5" s="1"/>
  <c r="I94" i="5"/>
  <c r="N94" i="5"/>
  <c r="Q94" i="5"/>
  <c r="S94" i="5" s="1"/>
  <c r="R94" i="5"/>
  <c r="T94" i="5"/>
  <c r="C95" i="5"/>
  <c r="L95" i="5" s="1"/>
  <c r="D95" i="5"/>
  <c r="E95" i="5"/>
  <c r="F95" i="5"/>
  <c r="H95" i="5"/>
  <c r="I95" i="5"/>
  <c r="N95" i="5"/>
  <c r="R95" i="5"/>
  <c r="T95" i="5"/>
  <c r="C96" i="5"/>
  <c r="D96" i="5"/>
  <c r="E96" i="5"/>
  <c r="F96" i="5"/>
  <c r="H96" i="5"/>
  <c r="I96" i="5"/>
  <c r="N96" i="5"/>
  <c r="N1064" i="5" s="1"/>
  <c r="R96" i="5"/>
  <c r="Q96" i="5" s="1"/>
  <c r="S96" i="5" s="1"/>
  <c r="T96" i="5"/>
  <c r="C97" i="5"/>
  <c r="D97" i="5"/>
  <c r="E97" i="5"/>
  <c r="F97" i="5"/>
  <c r="H97" i="5"/>
  <c r="I97" i="5"/>
  <c r="N97" i="5"/>
  <c r="R97" i="5"/>
  <c r="Q97" i="5" s="1"/>
  <c r="S97" i="5" s="1"/>
  <c r="T97" i="5"/>
  <c r="C98" i="5"/>
  <c r="D98" i="5"/>
  <c r="E98" i="5"/>
  <c r="F98" i="5"/>
  <c r="H98" i="5"/>
  <c r="I98" i="5"/>
  <c r="N98" i="5"/>
  <c r="R98" i="5"/>
  <c r="Q98" i="5" s="1"/>
  <c r="S98" i="5"/>
  <c r="T98" i="5"/>
  <c r="C99" i="5"/>
  <c r="L99" i="5" s="1"/>
  <c r="D99" i="5"/>
  <c r="E99" i="5"/>
  <c r="F99" i="5"/>
  <c r="H99" i="5"/>
  <c r="I99" i="5"/>
  <c r="N99" i="5"/>
  <c r="Q99" i="5"/>
  <c r="S99" i="5" s="1"/>
  <c r="R99" i="5"/>
  <c r="T99" i="5"/>
  <c r="C100" i="5"/>
  <c r="D100" i="5"/>
  <c r="E100" i="5"/>
  <c r="F100" i="5"/>
  <c r="H100" i="5"/>
  <c r="I100" i="5"/>
  <c r="N100" i="5"/>
  <c r="R100" i="5"/>
  <c r="Q100" i="5" s="1"/>
  <c r="S100" i="5" s="1"/>
  <c r="T100" i="5"/>
  <c r="C101" i="5"/>
  <c r="D101" i="5"/>
  <c r="E101" i="5"/>
  <c r="F101" i="5"/>
  <c r="H101" i="5"/>
  <c r="I101" i="5"/>
  <c r="N101" i="5"/>
  <c r="R101" i="5"/>
  <c r="Q101" i="5" s="1"/>
  <c r="T101" i="5"/>
  <c r="C102" i="5"/>
  <c r="L102" i="5" s="1"/>
  <c r="D102" i="5"/>
  <c r="E102" i="5"/>
  <c r="F102" i="5"/>
  <c r="H102" i="5"/>
  <c r="H1064" i="5" s="1"/>
  <c r="I102" i="5"/>
  <c r="N102" i="5"/>
  <c r="R102" i="5"/>
  <c r="Q102" i="5" s="1"/>
  <c r="S102" i="5"/>
  <c r="T102" i="5"/>
  <c r="C103" i="5"/>
  <c r="D103" i="5"/>
  <c r="E103" i="5"/>
  <c r="F103" i="5"/>
  <c r="H103" i="5"/>
  <c r="I103" i="5"/>
  <c r="L103" i="5"/>
  <c r="N103" i="5"/>
  <c r="Q103" i="5"/>
  <c r="S103" i="5" s="1"/>
  <c r="R103" i="5"/>
  <c r="T103" i="5"/>
  <c r="C104" i="5"/>
  <c r="D104" i="5"/>
  <c r="E104" i="5"/>
  <c r="F104" i="5"/>
  <c r="H104" i="5"/>
  <c r="I104" i="5"/>
  <c r="N104" i="5"/>
  <c r="R104" i="5"/>
  <c r="T104" i="5"/>
  <c r="C105" i="5"/>
  <c r="D105" i="5"/>
  <c r="D1064" i="5" s="1"/>
  <c r="E105" i="5"/>
  <c r="F105" i="5"/>
  <c r="H105" i="5"/>
  <c r="I105" i="5"/>
  <c r="N105" i="5"/>
  <c r="R105" i="5"/>
  <c r="Q105" i="5" s="1"/>
  <c r="S105" i="5" s="1"/>
  <c r="T105" i="5"/>
  <c r="C106" i="5"/>
  <c r="D106" i="5"/>
  <c r="E106" i="5"/>
  <c r="F106" i="5"/>
  <c r="H106" i="5"/>
  <c r="I106" i="5"/>
  <c r="N106" i="5"/>
  <c r="R106" i="5"/>
  <c r="Q106" i="5" s="1"/>
  <c r="S106" i="5"/>
  <c r="T106" i="5"/>
  <c r="C107" i="5"/>
  <c r="L107" i="5" s="1"/>
  <c r="D107" i="5"/>
  <c r="E107" i="5"/>
  <c r="F107" i="5"/>
  <c r="H107" i="5"/>
  <c r="I107" i="5"/>
  <c r="N107" i="5"/>
  <c r="Q107" i="5"/>
  <c r="S107" i="5" s="1"/>
  <c r="R107" i="5"/>
  <c r="T107" i="5"/>
  <c r="C108" i="5"/>
  <c r="D108" i="5"/>
  <c r="E108" i="5"/>
  <c r="F108" i="5"/>
  <c r="H108" i="5"/>
  <c r="I108" i="5"/>
  <c r="N108" i="5"/>
  <c r="R108" i="5"/>
  <c r="Q108" i="5" s="1"/>
  <c r="S108" i="5"/>
  <c r="T108" i="5"/>
  <c r="C109" i="5"/>
  <c r="D109" i="5"/>
  <c r="E109" i="5"/>
  <c r="F109" i="5"/>
  <c r="H109" i="5"/>
  <c r="I109" i="5"/>
  <c r="N109" i="5"/>
  <c r="R109" i="5"/>
  <c r="Q109" i="5" s="1"/>
  <c r="S109" i="5" s="1"/>
  <c r="T109" i="5"/>
  <c r="C110" i="5"/>
  <c r="D110" i="5"/>
  <c r="D1065" i="5" s="1"/>
  <c r="E110" i="5"/>
  <c r="F110" i="5"/>
  <c r="H110" i="5"/>
  <c r="I110" i="5"/>
  <c r="N110" i="5"/>
  <c r="R110" i="5"/>
  <c r="Q110" i="5" s="1"/>
  <c r="S110" i="5"/>
  <c r="T110" i="5"/>
  <c r="C111" i="5"/>
  <c r="D111" i="5"/>
  <c r="E111" i="5"/>
  <c r="F111" i="5"/>
  <c r="H111" i="5"/>
  <c r="I111" i="5"/>
  <c r="L111" i="5"/>
  <c r="N111" i="5"/>
  <c r="Q111" i="5"/>
  <c r="R111" i="5"/>
  <c r="T111" i="5"/>
  <c r="C112" i="5"/>
  <c r="D112" i="5"/>
  <c r="E112" i="5"/>
  <c r="F112" i="5"/>
  <c r="H112" i="5"/>
  <c r="H1065" i="5" s="1"/>
  <c r="I112" i="5"/>
  <c r="N112" i="5"/>
  <c r="R112" i="5"/>
  <c r="Q112" i="5" s="1"/>
  <c r="S112" i="5" s="1"/>
  <c r="T112" i="5"/>
  <c r="C113" i="5"/>
  <c r="D113" i="5"/>
  <c r="E113" i="5"/>
  <c r="F113" i="5"/>
  <c r="H113" i="5"/>
  <c r="I113" i="5"/>
  <c r="N113" i="5"/>
  <c r="R113" i="5"/>
  <c r="Q113" i="5" s="1"/>
  <c r="S113" i="5" s="1"/>
  <c r="T113" i="5"/>
  <c r="C114" i="5"/>
  <c r="D114" i="5"/>
  <c r="E114" i="5"/>
  <c r="F114" i="5"/>
  <c r="H114" i="5"/>
  <c r="I114" i="5"/>
  <c r="N114" i="5"/>
  <c r="R114" i="5"/>
  <c r="Q114" i="5" s="1"/>
  <c r="S114" i="5"/>
  <c r="T114" i="5"/>
  <c r="C115" i="5"/>
  <c r="D115" i="5"/>
  <c r="E115" i="5"/>
  <c r="F115" i="5"/>
  <c r="H115" i="5"/>
  <c r="I115" i="5"/>
  <c r="N115" i="5"/>
  <c r="Q115" i="5"/>
  <c r="S115" i="5" s="1"/>
  <c r="R115" i="5"/>
  <c r="T115" i="5"/>
  <c r="C116" i="5"/>
  <c r="D116" i="5"/>
  <c r="E116" i="5"/>
  <c r="F116" i="5"/>
  <c r="H116" i="5"/>
  <c r="I116" i="5"/>
  <c r="N116" i="5"/>
  <c r="R116" i="5"/>
  <c r="Q116" i="5" s="1"/>
  <c r="S116" i="5" s="1"/>
  <c r="T116" i="5"/>
  <c r="C117" i="5"/>
  <c r="D117" i="5"/>
  <c r="E117" i="5"/>
  <c r="F117" i="5"/>
  <c r="H117" i="5"/>
  <c r="I117" i="5"/>
  <c r="N117" i="5"/>
  <c r="Q117" i="5"/>
  <c r="S117" i="5" s="1"/>
  <c r="R117" i="5"/>
  <c r="T117" i="5"/>
  <c r="C118" i="5"/>
  <c r="L118" i="5" s="1"/>
  <c r="D118" i="5"/>
  <c r="E118" i="5"/>
  <c r="F118" i="5"/>
  <c r="H118" i="5"/>
  <c r="I118" i="5"/>
  <c r="N118" i="5"/>
  <c r="R118" i="5"/>
  <c r="Q118" i="5" s="1"/>
  <c r="S118" i="5"/>
  <c r="T118" i="5"/>
  <c r="C119" i="5"/>
  <c r="D119" i="5"/>
  <c r="E119" i="5"/>
  <c r="F119" i="5"/>
  <c r="H119" i="5"/>
  <c r="I119" i="5"/>
  <c r="L119" i="5"/>
  <c r="N119" i="5"/>
  <c r="Q119" i="5"/>
  <c r="S119" i="5" s="1"/>
  <c r="R119" i="5"/>
  <c r="T119" i="5"/>
  <c r="C120" i="5"/>
  <c r="D120" i="5"/>
  <c r="E120" i="5"/>
  <c r="F120" i="5"/>
  <c r="H120" i="5"/>
  <c r="I120" i="5"/>
  <c r="N120" i="5"/>
  <c r="R120" i="5"/>
  <c r="Q120" i="5" s="1"/>
  <c r="S120" i="5"/>
  <c r="T120" i="5"/>
  <c r="C121" i="5"/>
  <c r="D121" i="5"/>
  <c r="D1066" i="5" s="1"/>
  <c r="E121" i="5"/>
  <c r="F121" i="5"/>
  <c r="H121" i="5"/>
  <c r="I121" i="5"/>
  <c r="N121" i="5"/>
  <c r="R121" i="5"/>
  <c r="T121" i="5"/>
  <c r="C122" i="5"/>
  <c r="D122" i="5"/>
  <c r="E122" i="5"/>
  <c r="F122" i="5"/>
  <c r="H122" i="5"/>
  <c r="I122" i="5"/>
  <c r="N122" i="5"/>
  <c r="R122" i="5"/>
  <c r="Q122" i="5" s="1"/>
  <c r="S122" i="5"/>
  <c r="T122" i="5"/>
  <c r="C123" i="5"/>
  <c r="D123" i="5"/>
  <c r="E123" i="5"/>
  <c r="F123" i="5"/>
  <c r="H123" i="5"/>
  <c r="I123" i="5"/>
  <c r="N123" i="5"/>
  <c r="Q123" i="5"/>
  <c r="S123" i="5" s="1"/>
  <c r="R123" i="5"/>
  <c r="T123" i="5"/>
  <c r="C124" i="5"/>
  <c r="D124" i="5"/>
  <c r="E124" i="5"/>
  <c r="F124" i="5"/>
  <c r="H124" i="5"/>
  <c r="I124" i="5"/>
  <c r="N124" i="5"/>
  <c r="R124" i="5"/>
  <c r="Q124" i="5" s="1"/>
  <c r="S124" i="5" s="1"/>
  <c r="T124" i="5"/>
  <c r="C125" i="5"/>
  <c r="D125" i="5"/>
  <c r="E125" i="5"/>
  <c r="F125" i="5"/>
  <c r="L125" i="5" s="1"/>
  <c r="H125" i="5"/>
  <c r="I125" i="5"/>
  <c r="N125" i="5"/>
  <c r="R125" i="5"/>
  <c r="Q125" i="5" s="1"/>
  <c r="S125" i="5" s="1"/>
  <c r="T125" i="5"/>
  <c r="C126" i="5"/>
  <c r="L126" i="5" s="1"/>
  <c r="D126" i="5"/>
  <c r="E126" i="5"/>
  <c r="F126" i="5"/>
  <c r="H126" i="5"/>
  <c r="I126" i="5"/>
  <c r="N126" i="5"/>
  <c r="R126" i="5"/>
  <c r="Q126" i="5" s="1"/>
  <c r="S126" i="5"/>
  <c r="T126" i="5"/>
  <c r="C127" i="5"/>
  <c r="D127" i="5"/>
  <c r="E127" i="5"/>
  <c r="F127" i="5"/>
  <c r="H127" i="5"/>
  <c r="I127" i="5"/>
  <c r="L127" i="5"/>
  <c r="N127" i="5"/>
  <c r="R127" i="5"/>
  <c r="Q127" i="5" s="1"/>
  <c r="S127" i="5" s="1"/>
  <c r="T127" i="5"/>
  <c r="C128" i="5"/>
  <c r="D128" i="5"/>
  <c r="E128" i="5"/>
  <c r="F128" i="5"/>
  <c r="H128" i="5"/>
  <c r="I128" i="5"/>
  <c r="N128" i="5"/>
  <c r="R128" i="5"/>
  <c r="Q128" i="5" s="1"/>
  <c r="S128" i="5" s="1"/>
  <c r="T128" i="5"/>
  <c r="C129" i="5"/>
  <c r="D129" i="5"/>
  <c r="E129" i="5"/>
  <c r="F129" i="5"/>
  <c r="H129" i="5"/>
  <c r="I129" i="5"/>
  <c r="N129" i="5"/>
  <c r="R129" i="5"/>
  <c r="Q129" i="5" s="1"/>
  <c r="S129" i="5" s="1"/>
  <c r="T129" i="5"/>
  <c r="C130" i="5"/>
  <c r="D130" i="5"/>
  <c r="E130" i="5"/>
  <c r="F130" i="5"/>
  <c r="H130" i="5"/>
  <c r="I130" i="5"/>
  <c r="N130" i="5"/>
  <c r="N1066" i="5" s="1"/>
  <c r="R130" i="5"/>
  <c r="Q130" i="5" s="1"/>
  <c r="S130" i="5"/>
  <c r="T130" i="5"/>
  <c r="C131" i="5"/>
  <c r="L131" i="5" s="1"/>
  <c r="D131" i="5"/>
  <c r="E131" i="5"/>
  <c r="F131" i="5"/>
  <c r="H131" i="5"/>
  <c r="I131" i="5"/>
  <c r="N131" i="5"/>
  <c r="Q131" i="5"/>
  <c r="S131" i="5" s="1"/>
  <c r="R131" i="5"/>
  <c r="T131" i="5"/>
  <c r="C132" i="5"/>
  <c r="D132" i="5"/>
  <c r="E132" i="5"/>
  <c r="F132" i="5"/>
  <c r="H132" i="5"/>
  <c r="I132" i="5"/>
  <c r="N132" i="5"/>
  <c r="R132" i="5"/>
  <c r="Q132" i="5" s="1"/>
  <c r="S132" i="5" s="1"/>
  <c r="T132" i="5"/>
  <c r="C133" i="5"/>
  <c r="L133" i="5" s="1"/>
  <c r="D133" i="5"/>
  <c r="E133" i="5"/>
  <c r="F133" i="5"/>
  <c r="H133" i="5"/>
  <c r="I133" i="5"/>
  <c r="N133" i="5"/>
  <c r="R133" i="5"/>
  <c r="Q133" i="5" s="1"/>
  <c r="T133" i="5"/>
  <c r="C134" i="5"/>
  <c r="L134" i="5" s="1"/>
  <c r="D134" i="5"/>
  <c r="E134" i="5"/>
  <c r="F134" i="5"/>
  <c r="H134" i="5"/>
  <c r="I134" i="5"/>
  <c r="N134" i="5"/>
  <c r="R134" i="5"/>
  <c r="Q134" i="5" s="1"/>
  <c r="S134" i="5" s="1"/>
  <c r="T134" i="5"/>
  <c r="C135" i="5"/>
  <c r="D135" i="5"/>
  <c r="E135" i="5"/>
  <c r="F135" i="5"/>
  <c r="H135" i="5"/>
  <c r="I135" i="5"/>
  <c r="L135" i="5" s="1"/>
  <c r="N135" i="5"/>
  <c r="Q135" i="5"/>
  <c r="S135" i="5" s="1"/>
  <c r="R135" i="5"/>
  <c r="T135" i="5"/>
  <c r="C136" i="5"/>
  <c r="D136" i="5"/>
  <c r="E136" i="5"/>
  <c r="F136" i="5"/>
  <c r="H136" i="5"/>
  <c r="I136" i="5"/>
  <c r="N136" i="5"/>
  <c r="R136" i="5"/>
  <c r="Q136" i="5" s="1"/>
  <c r="S136" i="5" s="1"/>
  <c r="T136" i="5"/>
  <c r="C137" i="5"/>
  <c r="L137" i="5" s="1"/>
  <c r="D137" i="5"/>
  <c r="E137" i="5"/>
  <c r="F137" i="5"/>
  <c r="H137" i="5"/>
  <c r="I137" i="5"/>
  <c r="N137" i="5"/>
  <c r="R137" i="5"/>
  <c r="Q137" i="5" s="1"/>
  <c r="S137" i="5" s="1"/>
  <c r="T137" i="5"/>
  <c r="C138" i="5"/>
  <c r="D138" i="5"/>
  <c r="E138" i="5"/>
  <c r="F138" i="5"/>
  <c r="H138" i="5"/>
  <c r="H1067" i="5" s="1"/>
  <c r="I138" i="5"/>
  <c r="N138" i="5"/>
  <c r="R138" i="5"/>
  <c r="Q138" i="5" s="1"/>
  <c r="S138" i="5"/>
  <c r="T138" i="5"/>
  <c r="C139" i="5"/>
  <c r="D139" i="5"/>
  <c r="E139" i="5"/>
  <c r="F139" i="5"/>
  <c r="H139" i="5"/>
  <c r="I139" i="5"/>
  <c r="N139" i="5"/>
  <c r="R139" i="5"/>
  <c r="Q139" i="5" s="1"/>
  <c r="S139" i="5" s="1"/>
  <c r="T139" i="5"/>
  <c r="C140" i="5"/>
  <c r="D140" i="5"/>
  <c r="D1067" i="5" s="1"/>
  <c r="E140" i="5"/>
  <c r="F140" i="5"/>
  <c r="H140" i="5"/>
  <c r="I140" i="5"/>
  <c r="N140" i="5"/>
  <c r="R140" i="5"/>
  <c r="Q140" i="5" s="1"/>
  <c r="S140" i="5"/>
  <c r="T140" i="5"/>
  <c r="C141" i="5"/>
  <c r="D141" i="5"/>
  <c r="E141" i="5"/>
  <c r="F141" i="5"/>
  <c r="H141" i="5"/>
  <c r="I141" i="5"/>
  <c r="L141" i="5"/>
  <c r="N141" i="5"/>
  <c r="R141" i="5"/>
  <c r="Q141" i="5" s="1"/>
  <c r="S141" i="5" s="1"/>
  <c r="T141" i="5"/>
  <c r="C142" i="5"/>
  <c r="D142" i="5"/>
  <c r="E142" i="5"/>
  <c r="F142" i="5"/>
  <c r="H142" i="5"/>
  <c r="I142" i="5"/>
  <c r="N142" i="5"/>
  <c r="R142" i="5"/>
  <c r="Q142" i="5" s="1"/>
  <c r="S142" i="5"/>
  <c r="T142" i="5"/>
  <c r="C143" i="5"/>
  <c r="D143" i="5"/>
  <c r="E143" i="5"/>
  <c r="F143" i="5"/>
  <c r="H143" i="5"/>
  <c r="I143" i="5"/>
  <c r="L143" i="5"/>
  <c r="N143" i="5"/>
  <c r="Q143" i="5"/>
  <c r="S143" i="5" s="1"/>
  <c r="R143" i="5"/>
  <c r="T143" i="5"/>
  <c r="T1067" i="5" s="1"/>
  <c r="C144" i="5"/>
  <c r="D144" i="5"/>
  <c r="E144" i="5"/>
  <c r="F144" i="5"/>
  <c r="H144" i="5"/>
  <c r="I144" i="5"/>
  <c r="N144" i="5"/>
  <c r="R144" i="5"/>
  <c r="T144" i="5"/>
  <c r="C145" i="5"/>
  <c r="D145" i="5"/>
  <c r="E145" i="5"/>
  <c r="F145" i="5"/>
  <c r="H145" i="5"/>
  <c r="I145" i="5"/>
  <c r="N145" i="5"/>
  <c r="R145" i="5"/>
  <c r="Q145" i="5" s="1"/>
  <c r="S145" i="5" s="1"/>
  <c r="T145" i="5"/>
  <c r="C146" i="5"/>
  <c r="L146" i="5" s="1"/>
  <c r="D146" i="5"/>
  <c r="E146" i="5"/>
  <c r="F146" i="5"/>
  <c r="H146" i="5"/>
  <c r="I146" i="5"/>
  <c r="N146" i="5"/>
  <c r="R146" i="5"/>
  <c r="Q146" i="5" s="1"/>
  <c r="S146" i="5"/>
  <c r="T146" i="5"/>
  <c r="C147" i="5"/>
  <c r="D147" i="5"/>
  <c r="E147" i="5"/>
  <c r="F147" i="5"/>
  <c r="H147" i="5"/>
  <c r="I147" i="5"/>
  <c r="L147" i="5"/>
  <c r="N147" i="5"/>
  <c r="Q147" i="5"/>
  <c r="S147" i="5" s="1"/>
  <c r="R147" i="5"/>
  <c r="T147" i="5"/>
  <c r="C148" i="5"/>
  <c r="D148" i="5"/>
  <c r="E148" i="5"/>
  <c r="F148" i="5"/>
  <c r="H148" i="5"/>
  <c r="I148" i="5"/>
  <c r="N148" i="5"/>
  <c r="R148" i="5"/>
  <c r="Q148" i="5" s="1"/>
  <c r="S148" i="5" s="1"/>
  <c r="T148" i="5"/>
  <c r="C149" i="5"/>
  <c r="D149" i="5"/>
  <c r="E149" i="5"/>
  <c r="F149" i="5"/>
  <c r="H149" i="5"/>
  <c r="I149" i="5"/>
  <c r="N149" i="5"/>
  <c r="R149" i="5"/>
  <c r="Q149" i="5" s="1"/>
  <c r="S149" i="5" s="1"/>
  <c r="T149" i="5"/>
  <c r="C150" i="5"/>
  <c r="D150" i="5"/>
  <c r="E150" i="5"/>
  <c r="F150" i="5"/>
  <c r="H150" i="5"/>
  <c r="I150" i="5"/>
  <c r="I1068" i="5" s="1"/>
  <c r="N150" i="5"/>
  <c r="R150" i="5"/>
  <c r="Q150" i="5" s="1"/>
  <c r="S150" i="5"/>
  <c r="T150" i="5"/>
  <c r="C151" i="5"/>
  <c r="D151" i="5"/>
  <c r="E151" i="5"/>
  <c r="F151" i="5"/>
  <c r="L151" i="5" s="1"/>
  <c r="H151" i="5"/>
  <c r="I151" i="5"/>
  <c r="N151" i="5"/>
  <c r="Q151" i="5"/>
  <c r="S151" i="5" s="1"/>
  <c r="R151" i="5"/>
  <c r="T151" i="5"/>
  <c r="C152" i="5"/>
  <c r="D152" i="5"/>
  <c r="E152" i="5"/>
  <c r="F152" i="5"/>
  <c r="H152" i="5"/>
  <c r="I152" i="5"/>
  <c r="N152" i="5"/>
  <c r="R152" i="5"/>
  <c r="Q152" i="5" s="1"/>
  <c r="S152" i="5"/>
  <c r="T152" i="5"/>
  <c r="C153" i="5"/>
  <c r="D153" i="5"/>
  <c r="E153" i="5"/>
  <c r="F153" i="5"/>
  <c r="H153" i="5"/>
  <c r="I153" i="5"/>
  <c r="L153" i="5"/>
  <c r="N153" i="5"/>
  <c r="R153" i="5"/>
  <c r="Q153" i="5" s="1"/>
  <c r="S153" i="5" s="1"/>
  <c r="T153" i="5"/>
  <c r="C154" i="5"/>
  <c r="D154" i="5"/>
  <c r="E154" i="5"/>
  <c r="F154" i="5"/>
  <c r="H154" i="5"/>
  <c r="H1068" i="5" s="1"/>
  <c r="I154" i="5"/>
  <c r="N154" i="5"/>
  <c r="R154" i="5"/>
  <c r="Q154" i="5" s="1"/>
  <c r="S154" i="5"/>
  <c r="T154" i="5"/>
  <c r="C155" i="5"/>
  <c r="D155" i="5"/>
  <c r="E155" i="5"/>
  <c r="F155" i="5"/>
  <c r="H155" i="5"/>
  <c r="I155" i="5"/>
  <c r="N155" i="5"/>
  <c r="Q155" i="5"/>
  <c r="S155" i="5" s="1"/>
  <c r="R155" i="5"/>
  <c r="T155" i="5"/>
  <c r="C156" i="5"/>
  <c r="D156" i="5"/>
  <c r="L156" i="5" s="1"/>
  <c r="E156" i="5"/>
  <c r="F156" i="5"/>
  <c r="H156" i="5"/>
  <c r="I156" i="5"/>
  <c r="N156" i="5"/>
  <c r="R156" i="5"/>
  <c r="T156" i="5"/>
  <c r="C157" i="5"/>
  <c r="D157" i="5"/>
  <c r="E157" i="5"/>
  <c r="F157" i="5"/>
  <c r="H157" i="5"/>
  <c r="I157" i="5"/>
  <c r="L157" i="5"/>
  <c r="N157" i="5"/>
  <c r="R157" i="5"/>
  <c r="Q157" i="5" s="1"/>
  <c r="S157" i="5" s="1"/>
  <c r="T157" i="5"/>
  <c r="C158" i="5"/>
  <c r="D158" i="5"/>
  <c r="E158" i="5"/>
  <c r="F158" i="5"/>
  <c r="H158" i="5"/>
  <c r="H1069" i="5" s="1"/>
  <c r="I158" i="5"/>
  <c r="N158" i="5"/>
  <c r="R158" i="5"/>
  <c r="Q158" i="5" s="1"/>
  <c r="S158" i="5"/>
  <c r="T158" i="5"/>
  <c r="C159" i="5"/>
  <c r="D159" i="5"/>
  <c r="E159" i="5"/>
  <c r="F159" i="5"/>
  <c r="H159" i="5"/>
  <c r="I159" i="5"/>
  <c r="N159" i="5"/>
  <c r="R159" i="5"/>
  <c r="Q159" i="5" s="1"/>
  <c r="S159" i="5" s="1"/>
  <c r="T159" i="5"/>
  <c r="C160" i="5"/>
  <c r="D160" i="5"/>
  <c r="E160" i="5"/>
  <c r="F160" i="5"/>
  <c r="H160" i="5"/>
  <c r="I160" i="5"/>
  <c r="N160" i="5"/>
  <c r="R160" i="5"/>
  <c r="Q160" i="5" s="1"/>
  <c r="S160" i="5" s="1"/>
  <c r="T160" i="5"/>
  <c r="C161" i="5"/>
  <c r="D161" i="5"/>
  <c r="L161" i="5" s="1"/>
  <c r="E161" i="5"/>
  <c r="F161" i="5"/>
  <c r="H161" i="5"/>
  <c r="I161" i="5"/>
  <c r="N161" i="5"/>
  <c r="R161" i="5"/>
  <c r="Q161" i="5" s="1"/>
  <c r="S161" i="5" s="1"/>
  <c r="T161" i="5"/>
  <c r="T1069" i="5" s="1"/>
  <c r="C162" i="5"/>
  <c r="D162" i="5"/>
  <c r="E162" i="5"/>
  <c r="F162" i="5"/>
  <c r="H162" i="5"/>
  <c r="I162" i="5"/>
  <c r="N162" i="5"/>
  <c r="R162" i="5"/>
  <c r="Q162" i="5" s="1"/>
  <c r="S162" i="5" s="1"/>
  <c r="T162" i="5"/>
  <c r="C163" i="5"/>
  <c r="D163" i="5"/>
  <c r="E163" i="5"/>
  <c r="F163" i="5"/>
  <c r="H163" i="5"/>
  <c r="I163" i="5"/>
  <c r="L163" i="5" s="1"/>
  <c r="N163" i="5"/>
  <c r="Q163" i="5"/>
  <c r="S163" i="5" s="1"/>
  <c r="R163" i="5"/>
  <c r="T163" i="5"/>
  <c r="C164" i="5"/>
  <c r="D164" i="5"/>
  <c r="E164" i="5"/>
  <c r="E1069" i="5" s="1"/>
  <c r="F164" i="5"/>
  <c r="H164" i="5"/>
  <c r="I164" i="5"/>
  <c r="N164" i="5"/>
  <c r="R164" i="5"/>
  <c r="Q164" i="5" s="1"/>
  <c r="S164" i="5" s="1"/>
  <c r="T164" i="5"/>
  <c r="C165" i="5"/>
  <c r="D165" i="5"/>
  <c r="E165" i="5"/>
  <c r="F165" i="5"/>
  <c r="H165" i="5"/>
  <c r="I165" i="5"/>
  <c r="N165" i="5"/>
  <c r="R165" i="5"/>
  <c r="Q165" i="5" s="1"/>
  <c r="S165" i="5" s="1"/>
  <c r="T165" i="5"/>
  <c r="C166" i="5"/>
  <c r="D166" i="5"/>
  <c r="E166" i="5"/>
  <c r="F166" i="5"/>
  <c r="H166" i="5"/>
  <c r="I166" i="5"/>
  <c r="N166" i="5"/>
  <c r="R166" i="5"/>
  <c r="Q166" i="5" s="1"/>
  <c r="S166" i="5"/>
  <c r="T166" i="5"/>
  <c r="C167" i="5"/>
  <c r="D167" i="5"/>
  <c r="E167" i="5"/>
  <c r="F167" i="5"/>
  <c r="H167" i="5"/>
  <c r="I167" i="5"/>
  <c r="L167" i="5"/>
  <c r="N167" i="5"/>
  <c r="Q167" i="5"/>
  <c r="S167" i="5" s="1"/>
  <c r="R167" i="5"/>
  <c r="T167" i="5"/>
  <c r="C168" i="5"/>
  <c r="D168" i="5"/>
  <c r="E168" i="5"/>
  <c r="E1070" i="5" s="1"/>
  <c r="F168" i="5"/>
  <c r="H168" i="5"/>
  <c r="I168" i="5"/>
  <c r="N168" i="5"/>
  <c r="R168" i="5"/>
  <c r="Q168" i="5" s="1"/>
  <c r="S168" i="5" s="1"/>
  <c r="T168" i="5"/>
  <c r="C169" i="5"/>
  <c r="D169" i="5"/>
  <c r="E169" i="5"/>
  <c r="F169" i="5"/>
  <c r="H169" i="5"/>
  <c r="I169" i="5"/>
  <c r="N169" i="5"/>
  <c r="R169" i="5"/>
  <c r="Q169" i="5" s="1"/>
  <c r="T169" i="5"/>
  <c r="C170" i="5"/>
  <c r="D170" i="5"/>
  <c r="E170" i="5"/>
  <c r="F170" i="5"/>
  <c r="H170" i="5"/>
  <c r="H1070" i="5" s="1"/>
  <c r="I170" i="5"/>
  <c r="N170" i="5"/>
  <c r="N1070" i="5" s="1"/>
  <c r="R170" i="5"/>
  <c r="Q170" i="5" s="1"/>
  <c r="S170" i="5"/>
  <c r="T170" i="5"/>
  <c r="C171" i="5"/>
  <c r="D171" i="5"/>
  <c r="E171" i="5"/>
  <c r="F171" i="5"/>
  <c r="F1070" i="5" s="1"/>
  <c r="H171" i="5"/>
  <c r="I171" i="5"/>
  <c r="N171" i="5"/>
  <c r="R171" i="5"/>
  <c r="Q171" i="5" s="1"/>
  <c r="S171" i="5" s="1"/>
  <c r="T171" i="5"/>
  <c r="C172" i="5"/>
  <c r="D172" i="5"/>
  <c r="L172" i="5" s="1"/>
  <c r="E172" i="5"/>
  <c r="F172" i="5"/>
  <c r="H172" i="5"/>
  <c r="I172" i="5"/>
  <c r="N172" i="5"/>
  <c r="R172" i="5"/>
  <c r="Q172" i="5" s="1"/>
  <c r="S172" i="5" s="1"/>
  <c r="T172" i="5"/>
  <c r="C173" i="5"/>
  <c r="D173" i="5"/>
  <c r="E173" i="5"/>
  <c r="F173" i="5"/>
  <c r="H173" i="5"/>
  <c r="I173" i="5"/>
  <c r="L173" i="5" s="1"/>
  <c r="N173" i="5"/>
  <c r="R173" i="5"/>
  <c r="Q173" i="5" s="1"/>
  <c r="S173" i="5" s="1"/>
  <c r="T173" i="5"/>
  <c r="C174" i="5"/>
  <c r="D174" i="5"/>
  <c r="E174" i="5"/>
  <c r="F174" i="5"/>
  <c r="H174" i="5"/>
  <c r="I174" i="5"/>
  <c r="N174" i="5"/>
  <c r="R174" i="5"/>
  <c r="Q174" i="5" s="1"/>
  <c r="S174" i="5"/>
  <c r="T174" i="5"/>
  <c r="C175" i="5"/>
  <c r="D175" i="5"/>
  <c r="E175" i="5"/>
  <c r="F175" i="5"/>
  <c r="H175" i="5"/>
  <c r="I175" i="5"/>
  <c r="N175" i="5"/>
  <c r="Q175" i="5"/>
  <c r="S175" i="5" s="1"/>
  <c r="R175" i="5"/>
  <c r="T175" i="5"/>
  <c r="C176" i="5"/>
  <c r="D176" i="5"/>
  <c r="E176" i="5"/>
  <c r="F176" i="5"/>
  <c r="H176" i="5"/>
  <c r="I176" i="5"/>
  <c r="N176" i="5"/>
  <c r="R176" i="5"/>
  <c r="Q176" i="5" s="1"/>
  <c r="S176" i="5" s="1"/>
  <c r="T176" i="5"/>
  <c r="C177" i="5"/>
  <c r="D177" i="5"/>
  <c r="E177" i="5"/>
  <c r="F177" i="5"/>
  <c r="H177" i="5"/>
  <c r="I177" i="5"/>
  <c r="N177" i="5"/>
  <c r="R177" i="5"/>
  <c r="Q177" i="5" s="1"/>
  <c r="S177" i="5" s="1"/>
  <c r="T177" i="5"/>
  <c r="C178" i="5"/>
  <c r="D178" i="5"/>
  <c r="L178" i="5" s="1"/>
  <c r="E178" i="5"/>
  <c r="F178" i="5"/>
  <c r="H178" i="5"/>
  <c r="I178" i="5"/>
  <c r="N178" i="5"/>
  <c r="R178" i="5"/>
  <c r="Q178" i="5" s="1"/>
  <c r="S178" i="5" s="1"/>
  <c r="T178" i="5"/>
  <c r="C179" i="5"/>
  <c r="L179" i="5" s="1"/>
  <c r="D179" i="5"/>
  <c r="E179" i="5"/>
  <c r="F179" i="5"/>
  <c r="H179" i="5"/>
  <c r="I179" i="5"/>
  <c r="N179" i="5"/>
  <c r="Q179" i="5"/>
  <c r="S179" i="5" s="1"/>
  <c r="R179" i="5"/>
  <c r="T179" i="5"/>
  <c r="C180" i="5"/>
  <c r="D180" i="5"/>
  <c r="E180" i="5"/>
  <c r="F180" i="5"/>
  <c r="H180" i="5"/>
  <c r="I180" i="5"/>
  <c r="N180" i="5"/>
  <c r="R180" i="5"/>
  <c r="Q180" i="5" s="1"/>
  <c r="S180" i="5" s="1"/>
  <c r="T180" i="5"/>
  <c r="C181" i="5"/>
  <c r="D181" i="5"/>
  <c r="E181" i="5"/>
  <c r="F181" i="5"/>
  <c r="H181" i="5"/>
  <c r="I181" i="5"/>
  <c r="N181" i="5"/>
  <c r="Q181" i="5"/>
  <c r="R181" i="5"/>
  <c r="T181" i="5"/>
  <c r="C182" i="5"/>
  <c r="D182" i="5"/>
  <c r="E182" i="5"/>
  <c r="F182" i="5"/>
  <c r="H182" i="5"/>
  <c r="H1071" i="5" s="1"/>
  <c r="I182" i="5"/>
  <c r="I1071" i="5" s="1"/>
  <c r="N182" i="5"/>
  <c r="R182" i="5"/>
  <c r="Q182" i="5" s="1"/>
  <c r="S182" i="5" s="1"/>
  <c r="T182" i="5"/>
  <c r="C183" i="5"/>
  <c r="D183" i="5"/>
  <c r="E183" i="5"/>
  <c r="F183" i="5"/>
  <c r="L183" i="5" s="1"/>
  <c r="H183" i="5"/>
  <c r="I183" i="5"/>
  <c r="N183" i="5"/>
  <c r="Q183" i="5"/>
  <c r="S183" i="5" s="1"/>
  <c r="R183" i="5"/>
  <c r="T183" i="5"/>
  <c r="C184" i="5"/>
  <c r="D184" i="5"/>
  <c r="E184" i="5"/>
  <c r="E1071" i="5" s="1"/>
  <c r="F184" i="5"/>
  <c r="H184" i="5"/>
  <c r="I184" i="5"/>
  <c r="N184" i="5"/>
  <c r="R184" i="5"/>
  <c r="Q184" i="5" s="1"/>
  <c r="S184" i="5"/>
  <c r="T184" i="5"/>
  <c r="C185" i="5"/>
  <c r="D185" i="5"/>
  <c r="E185" i="5"/>
  <c r="F185" i="5"/>
  <c r="H185" i="5"/>
  <c r="I185" i="5"/>
  <c r="N185" i="5"/>
  <c r="Q185" i="5"/>
  <c r="S185" i="5" s="1"/>
  <c r="R185" i="5"/>
  <c r="T185" i="5"/>
  <c r="C186" i="5"/>
  <c r="D186" i="5"/>
  <c r="E186" i="5"/>
  <c r="F186" i="5"/>
  <c r="H186" i="5"/>
  <c r="I186" i="5"/>
  <c r="N186" i="5"/>
  <c r="R186" i="5"/>
  <c r="Q186" i="5" s="1"/>
  <c r="S186" i="5"/>
  <c r="T186" i="5"/>
  <c r="C187" i="5"/>
  <c r="D187" i="5"/>
  <c r="E187" i="5"/>
  <c r="F187" i="5"/>
  <c r="H187" i="5"/>
  <c r="I187" i="5"/>
  <c r="N187" i="5"/>
  <c r="Q187" i="5"/>
  <c r="S187" i="5" s="1"/>
  <c r="R187" i="5"/>
  <c r="T187" i="5"/>
  <c r="C188" i="5"/>
  <c r="D188" i="5"/>
  <c r="L188" i="5" s="1"/>
  <c r="E188" i="5"/>
  <c r="F188" i="5"/>
  <c r="H188" i="5"/>
  <c r="I188" i="5"/>
  <c r="N188" i="5"/>
  <c r="R188" i="5"/>
  <c r="Q188" i="5" s="1"/>
  <c r="S188" i="5"/>
  <c r="T188" i="5"/>
  <c r="C189" i="5"/>
  <c r="D189" i="5"/>
  <c r="E189" i="5"/>
  <c r="F189" i="5"/>
  <c r="H189" i="5"/>
  <c r="I189" i="5"/>
  <c r="L189" i="5"/>
  <c r="N189" i="5"/>
  <c r="R189" i="5"/>
  <c r="Q189" i="5" s="1"/>
  <c r="S189" i="5" s="1"/>
  <c r="T189" i="5"/>
  <c r="C190" i="5"/>
  <c r="D190" i="5"/>
  <c r="L190" i="5" s="1"/>
  <c r="E190" i="5"/>
  <c r="F190" i="5"/>
  <c r="H190" i="5"/>
  <c r="I190" i="5"/>
  <c r="N190" i="5"/>
  <c r="R190" i="5"/>
  <c r="Q190" i="5" s="1"/>
  <c r="S190" i="5" s="1"/>
  <c r="T190" i="5"/>
  <c r="C191" i="5"/>
  <c r="L191" i="5" s="1"/>
  <c r="D191" i="5"/>
  <c r="E191" i="5"/>
  <c r="F191" i="5"/>
  <c r="H191" i="5"/>
  <c r="I191" i="5"/>
  <c r="N191" i="5"/>
  <c r="Q191" i="5"/>
  <c r="S191" i="5" s="1"/>
  <c r="R191" i="5"/>
  <c r="T191" i="5"/>
  <c r="C192" i="5"/>
  <c r="L192" i="5" s="1"/>
  <c r="D192" i="5"/>
  <c r="E192" i="5"/>
  <c r="F192" i="5"/>
  <c r="H192" i="5"/>
  <c r="I192" i="5"/>
  <c r="N192" i="5"/>
  <c r="R192" i="5"/>
  <c r="T192" i="5"/>
  <c r="C193" i="5"/>
  <c r="L193" i="5" s="1"/>
  <c r="D193" i="5"/>
  <c r="E193" i="5"/>
  <c r="F193" i="5"/>
  <c r="H193" i="5"/>
  <c r="I193" i="5"/>
  <c r="N193" i="5"/>
  <c r="Q193" i="5"/>
  <c r="S193" i="5" s="1"/>
  <c r="R193" i="5"/>
  <c r="T193" i="5"/>
  <c r="C194" i="5"/>
  <c r="D194" i="5"/>
  <c r="E194" i="5"/>
  <c r="E1072" i="5" s="1"/>
  <c r="F194" i="5"/>
  <c r="H194" i="5"/>
  <c r="I194" i="5"/>
  <c r="N194" i="5"/>
  <c r="R194" i="5"/>
  <c r="Q194" i="5" s="1"/>
  <c r="S194" i="5" s="1"/>
  <c r="T194" i="5"/>
  <c r="C195" i="5"/>
  <c r="D195" i="5"/>
  <c r="E195" i="5"/>
  <c r="F195" i="5"/>
  <c r="H195" i="5"/>
  <c r="I195" i="5"/>
  <c r="L195" i="5" s="1"/>
  <c r="N195" i="5"/>
  <c r="Q195" i="5"/>
  <c r="S195" i="5" s="1"/>
  <c r="R195" i="5"/>
  <c r="T195" i="5"/>
  <c r="C196" i="5"/>
  <c r="D196" i="5"/>
  <c r="E196" i="5"/>
  <c r="F196" i="5"/>
  <c r="H196" i="5"/>
  <c r="I196" i="5"/>
  <c r="N196" i="5"/>
  <c r="R196" i="5"/>
  <c r="Q196" i="5" s="1"/>
  <c r="S196" i="5" s="1"/>
  <c r="T196" i="5"/>
  <c r="C197" i="5"/>
  <c r="D197" i="5"/>
  <c r="E197" i="5"/>
  <c r="F197" i="5"/>
  <c r="H197" i="5"/>
  <c r="I197" i="5"/>
  <c r="N197" i="5"/>
  <c r="Q197" i="5"/>
  <c r="S197" i="5" s="1"/>
  <c r="R197" i="5"/>
  <c r="T197" i="5"/>
  <c r="C198" i="5"/>
  <c r="D198" i="5"/>
  <c r="E198" i="5"/>
  <c r="F198" i="5"/>
  <c r="H198" i="5"/>
  <c r="I198" i="5"/>
  <c r="N198" i="5"/>
  <c r="R198" i="5"/>
  <c r="Q198" i="5" s="1"/>
  <c r="S198" i="5" s="1"/>
  <c r="T198" i="5"/>
  <c r="C199" i="5"/>
  <c r="L199" i="5" s="1"/>
  <c r="D199" i="5"/>
  <c r="E199" i="5"/>
  <c r="F199" i="5"/>
  <c r="H199" i="5"/>
  <c r="I199" i="5"/>
  <c r="N199" i="5"/>
  <c r="Q199" i="5"/>
  <c r="S199" i="5" s="1"/>
  <c r="R199" i="5"/>
  <c r="T199" i="5"/>
  <c r="C200" i="5"/>
  <c r="D200" i="5"/>
  <c r="E200" i="5"/>
  <c r="F200" i="5"/>
  <c r="H200" i="5"/>
  <c r="I200" i="5"/>
  <c r="N200" i="5"/>
  <c r="Q200" i="5"/>
  <c r="S200" i="5" s="1"/>
  <c r="R200" i="5"/>
  <c r="T200" i="5"/>
  <c r="C201" i="5"/>
  <c r="D201" i="5"/>
  <c r="E201" i="5"/>
  <c r="F201" i="5"/>
  <c r="H201" i="5"/>
  <c r="I201" i="5"/>
  <c r="N201" i="5"/>
  <c r="Q201" i="5"/>
  <c r="S201" i="5" s="1"/>
  <c r="R201" i="5"/>
  <c r="T201" i="5"/>
  <c r="C202" i="5"/>
  <c r="D202" i="5"/>
  <c r="D1072" i="5" s="1"/>
  <c r="E202" i="5"/>
  <c r="F202" i="5"/>
  <c r="H202" i="5"/>
  <c r="I202" i="5"/>
  <c r="N202" i="5"/>
  <c r="R202" i="5"/>
  <c r="Q202" i="5" s="1"/>
  <c r="S202" i="5"/>
  <c r="T202" i="5"/>
  <c r="T1072" i="5" s="1"/>
  <c r="C203" i="5"/>
  <c r="D203" i="5"/>
  <c r="E203" i="5"/>
  <c r="F203" i="5"/>
  <c r="H203" i="5"/>
  <c r="I203" i="5"/>
  <c r="L203" i="5"/>
  <c r="N203" i="5"/>
  <c r="N1072" i="5" s="1"/>
  <c r="Q203" i="5"/>
  <c r="S203" i="5" s="1"/>
  <c r="R203" i="5"/>
  <c r="T203" i="5"/>
  <c r="C204" i="5"/>
  <c r="D204" i="5"/>
  <c r="E204" i="5"/>
  <c r="F204" i="5"/>
  <c r="H204" i="5"/>
  <c r="I204" i="5"/>
  <c r="N204" i="5"/>
  <c r="R204" i="5"/>
  <c r="Q204" i="5" s="1"/>
  <c r="S204" i="5"/>
  <c r="T204" i="5"/>
  <c r="C205" i="5"/>
  <c r="L205" i="5" s="1"/>
  <c r="D205" i="5"/>
  <c r="E205" i="5"/>
  <c r="F205" i="5"/>
  <c r="H205" i="5"/>
  <c r="I205" i="5"/>
  <c r="N205" i="5"/>
  <c r="Q205" i="5"/>
  <c r="S205" i="5" s="1"/>
  <c r="R205" i="5"/>
  <c r="T205" i="5"/>
  <c r="C206" i="5"/>
  <c r="D206" i="5"/>
  <c r="E206" i="5"/>
  <c r="F206" i="5"/>
  <c r="H206" i="5"/>
  <c r="I206" i="5"/>
  <c r="N206" i="5"/>
  <c r="R206" i="5"/>
  <c r="Q206" i="5" s="1"/>
  <c r="T206" i="5"/>
  <c r="T1073" i="5" s="1"/>
  <c r="C207" i="5"/>
  <c r="L207" i="5" s="1"/>
  <c r="D207" i="5"/>
  <c r="E207" i="5"/>
  <c r="F207" i="5"/>
  <c r="H207" i="5"/>
  <c r="I207" i="5"/>
  <c r="N207" i="5"/>
  <c r="Q207" i="5"/>
  <c r="S207" i="5" s="1"/>
  <c r="R207" i="5"/>
  <c r="T207" i="5"/>
  <c r="C208" i="5"/>
  <c r="D208" i="5"/>
  <c r="E208" i="5"/>
  <c r="F208" i="5"/>
  <c r="H208" i="5"/>
  <c r="I208" i="5"/>
  <c r="N208" i="5"/>
  <c r="R208" i="5"/>
  <c r="Q208" i="5" s="1"/>
  <c r="S208" i="5" s="1"/>
  <c r="T208" i="5"/>
  <c r="C209" i="5"/>
  <c r="D209" i="5"/>
  <c r="E209" i="5"/>
  <c r="F209" i="5"/>
  <c r="H209" i="5"/>
  <c r="I209" i="5"/>
  <c r="N209" i="5"/>
  <c r="Q209" i="5"/>
  <c r="S209" i="5" s="1"/>
  <c r="R209" i="5"/>
  <c r="T209" i="5"/>
  <c r="C210" i="5"/>
  <c r="D210" i="5"/>
  <c r="E210" i="5"/>
  <c r="F210" i="5"/>
  <c r="H210" i="5"/>
  <c r="I210" i="5"/>
  <c r="N210" i="5"/>
  <c r="R210" i="5"/>
  <c r="Q210" i="5" s="1"/>
  <c r="S210" i="5" s="1"/>
  <c r="T210" i="5"/>
  <c r="C211" i="5"/>
  <c r="D211" i="5"/>
  <c r="E211" i="5"/>
  <c r="F211" i="5"/>
  <c r="H211" i="5"/>
  <c r="I211" i="5"/>
  <c r="L211" i="5"/>
  <c r="N211" i="5"/>
  <c r="Q211" i="5"/>
  <c r="S211" i="5" s="1"/>
  <c r="R211" i="5"/>
  <c r="T211" i="5"/>
  <c r="C212" i="5"/>
  <c r="D212" i="5"/>
  <c r="E212" i="5"/>
  <c r="F212" i="5"/>
  <c r="H212" i="5"/>
  <c r="I212" i="5"/>
  <c r="N212" i="5"/>
  <c r="R212" i="5"/>
  <c r="Q212" i="5" s="1"/>
  <c r="S212" i="5"/>
  <c r="T212" i="5"/>
  <c r="C213" i="5"/>
  <c r="L213" i="5" s="1"/>
  <c r="D213" i="5"/>
  <c r="E213" i="5"/>
  <c r="F213" i="5"/>
  <c r="H213" i="5"/>
  <c r="I213" i="5"/>
  <c r="N213" i="5"/>
  <c r="Q213" i="5"/>
  <c r="S213" i="5" s="1"/>
  <c r="R213" i="5"/>
  <c r="T213" i="5"/>
  <c r="C214" i="5"/>
  <c r="D214" i="5"/>
  <c r="E214" i="5"/>
  <c r="F214" i="5"/>
  <c r="H214" i="5"/>
  <c r="I214" i="5"/>
  <c r="N214" i="5"/>
  <c r="R214" i="5"/>
  <c r="Q214" i="5" s="1"/>
  <c r="S214" i="5" s="1"/>
  <c r="T214" i="5"/>
  <c r="C215" i="5"/>
  <c r="L215" i="5" s="1"/>
  <c r="D215" i="5"/>
  <c r="E215" i="5"/>
  <c r="F215" i="5"/>
  <c r="H215" i="5"/>
  <c r="I215" i="5"/>
  <c r="N215" i="5"/>
  <c r="Q215" i="5"/>
  <c r="S215" i="5" s="1"/>
  <c r="R215" i="5"/>
  <c r="T215" i="5"/>
  <c r="C216" i="5"/>
  <c r="D216" i="5"/>
  <c r="E216" i="5"/>
  <c r="F216" i="5"/>
  <c r="H216" i="5"/>
  <c r="I216" i="5"/>
  <c r="N216" i="5"/>
  <c r="R216" i="5"/>
  <c r="T216" i="5"/>
  <c r="C217" i="5"/>
  <c r="L217" i="5" s="1"/>
  <c r="D217" i="5"/>
  <c r="E217" i="5"/>
  <c r="F217" i="5"/>
  <c r="H217" i="5"/>
  <c r="I217" i="5"/>
  <c r="N217" i="5"/>
  <c r="Q217" i="5"/>
  <c r="S217" i="5" s="1"/>
  <c r="R217" i="5"/>
  <c r="T217" i="5"/>
  <c r="C218" i="5"/>
  <c r="L218" i="5" s="1"/>
  <c r="D218" i="5"/>
  <c r="E218" i="5"/>
  <c r="F218" i="5"/>
  <c r="H218" i="5"/>
  <c r="I218" i="5"/>
  <c r="N218" i="5"/>
  <c r="R218" i="5"/>
  <c r="Q218" i="5" s="1"/>
  <c r="S218" i="5" s="1"/>
  <c r="T218" i="5"/>
  <c r="C219" i="5"/>
  <c r="D219" i="5"/>
  <c r="E219" i="5"/>
  <c r="F219" i="5"/>
  <c r="H219" i="5"/>
  <c r="L219" i="5" s="1"/>
  <c r="I219" i="5"/>
  <c r="N219" i="5"/>
  <c r="Q219" i="5"/>
  <c r="S219" i="5" s="1"/>
  <c r="R219" i="5"/>
  <c r="T219" i="5"/>
  <c r="C220" i="5"/>
  <c r="D220" i="5"/>
  <c r="D1074" i="5" s="1"/>
  <c r="E220" i="5"/>
  <c r="F220" i="5"/>
  <c r="H220" i="5"/>
  <c r="I220" i="5"/>
  <c r="N220" i="5"/>
  <c r="R220" i="5"/>
  <c r="Q220" i="5" s="1"/>
  <c r="S220" i="5" s="1"/>
  <c r="T220" i="5"/>
  <c r="C221" i="5"/>
  <c r="D221" i="5"/>
  <c r="E221" i="5"/>
  <c r="F221" i="5"/>
  <c r="H221" i="5"/>
  <c r="I221" i="5"/>
  <c r="N221" i="5"/>
  <c r="Q221" i="5"/>
  <c r="S221" i="5" s="1"/>
  <c r="R221" i="5"/>
  <c r="T221" i="5"/>
  <c r="C222" i="5"/>
  <c r="D222" i="5"/>
  <c r="E222" i="5"/>
  <c r="F222" i="5"/>
  <c r="H222" i="5"/>
  <c r="I222" i="5"/>
  <c r="N222" i="5"/>
  <c r="R222" i="5"/>
  <c r="Q222" i="5" s="1"/>
  <c r="S222" i="5" s="1"/>
  <c r="T222" i="5"/>
  <c r="C223" i="5"/>
  <c r="L223" i="5" s="1"/>
  <c r="D223" i="5"/>
  <c r="E223" i="5"/>
  <c r="F223" i="5"/>
  <c r="H223" i="5"/>
  <c r="I223" i="5"/>
  <c r="N223" i="5"/>
  <c r="Q223" i="5"/>
  <c r="S223" i="5" s="1"/>
  <c r="R223" i="5"/>
  <c r="T223" i="5"/>
  <c r="C224" i="5"/>
  <c r="L224" i="5" s="1"/>
  <c r="D224" i="5"/>
  <c r="E224" i="5"/>
  <c r="F224" i="5"/>
  <c r="H224" i="5"/>
  <c r="I224" i="5"/>
  <c r="N224" i="5"/>
  <c r="Q224" i="5"/>
  <c r="S224" i="5" s="1"/>
  <c r="R224" i="5"/>
  <c r="T224" i="5"/>
  <c r="C225" i="5"/>
  <c r="L225" i="5" s="1"/>
  <c r="D225" i="5"/>
  <c r="E225" i="5"/>
  <c r="F225" i="5"/>
  <c r="H225" i="5"/>
  <c r="I225" i="5"/>
  <c r="I1074" i="5" s="1"/>
  <c r="N225" i="5"/>
  <c r="Q225" i="5"/>
  <c r="S225" i="5" s="1"/>
  <c r="R225" i="5"/>
  <c r="T225" i="5"/>
  <c r="C226" i="5"/>
  <c r="D226" i="5"/>
  <c r="E226" i="5"/>
  <c r="F226" i="5"/>
  <c r="H226" i="5"/>
  <c r="I226" i="5"/>
  <c r="N226" i="5"/>
  <c r="R226" i="5"/>
  <c r="Q226" i="5" s="1"/>
  <c r="T226" i="5"/>
  <c r="C227" i="5"/>
  <c r="D227" i="5"/>
  <c r="E227" i="5"/>
  <c r="F227" i="5"/>
  <c r="H227" i="5"/>
  <c r="I227" i="5"/>
  <c r="L227" i="5" s="1"/>
  <c r="N227" i="5"/>
  <c r="N1074" i="5" s="1"/>
  <c r="Q227" i="5"/>
  <c r="S227" i="5" s="1"/>
  <c r="R227" i="5"/>
  <c r="T227" i="5"/>
  <c r="C228" i="5"/>
  <c r="D228" i="5"/>
  <c r="E228" i="5"/>
  <c r="F228" i="5"/>
  <c r="H228" i="5"/>
  <c r="I228" i="5"/>
  <c r="N228" i="5"/>
  <c r="R228" i="5"/>
  <c r="Q228" i="5" s="1"/>
  <c r="S228" i="5"/>
  <c r="T228" i="5"/>
  <c r="C229" i="5"/>
  <c r="D229" i="5"/>
  <c r="E229" i="5"/>
  <c r="F229" i="5"/>
  <c r="H229" i="5"/>
  <c r="I229" i="5"/>
  <c r="L229" i="5"/>
  <c r="N229" i="5"/>
  <c r="Q229" i="5"/>
  <c r="S229" i="5" s="1"/>
  <c r="R229" i="5"/>
  <c r="T229" i="5"/>
  <c r="C230" i="5"/>
  <c r="D230" i="5"/>
  <c r="E230" i="5"/>
  <c r="F230" i="5"/>
  <c r="H230" i="5"/>
  <c r="I230" i="5"/>
  <c r="N230" i="5"/>
  <c r="R230" i="5"/>
  <c r="Q230" i="5" s="1"/>
  <c r="S230" i="5" s="1"/>
  <c r="T230" i="5"/>
  <c r="C231" i="5"/>
  <c r="L231" i="5" s="1"/>
  <c r="D231" i="5"/>
  <c r="E231" i="5"/>
  <c r="F231" i="5"/>
  <c r="H231" i="5"/>
  <c r="I231" i="5"/>
  <c r="N231" i="5"/>
  <c r="Q231" i="5"/>
  <c r="S231" i="5" s="1"/>
  <c r="R231" i="5"/>
  <c r="T231" i="5"/>
  <c r="C232" i="5"/>
  <c r="D232" i="5"/>
  <c r="E232" i="5"/>
  <c r="F232" i="5"/>
  <c r="H232" i="5"/>
  <c r="I232" i="5"/>
  <c r="N232" i="5"/>
  <c r="R232" i="5"/>
  <c r="Q232" i="5" s="1"/>
  <c r="S232" i="5" s="1"/>
  <c r="T232" i="5"/>
  <c r="C233" i="5"/>
  <c r="D233" i="5"/>
  <c r="E233" i="5"/>
  <c r="F233" i="5"/>
  <c r="H233" i="5"/>
  <c r="I233" i="5"/>
  <c r="N233" i="5"/>
  <c r="Q233" i="5"/>
  <c r="S233" i="5" s="1"/>
  <c r="R233" i="5"/>
  <c r="T233" i="5"/>
  <c r="C234" i="5"/>
  <c r="D234" i="5"/>
  <c r="D1075" i="5" s="1"/>
  <c r="E234" i="5"/>
  <c r="F234" i="5"/>
  <c r="H234" i="5"/>
  <c r="I234" i="5"/>
  <c r="N234" i="5"/>
  <c r="R234" i="5"/>
  <c r="Q234" i="5" s="1"/>
  <c r="S234" i="5"/>
  <c r="T234" i="5"/>
  <c r="C235" i="5"/>
  <c r="D235" i="5"/>
  <c r="E235" i="5"/>
  <c r="F235" i="5"/>
  <c r="H235" i="5"/>
  <c r="I235" i="5"/>
  <c r="L235" i="5"/>
  <c r="N235" i="5"/>
  <c r="Q235" i="5"/>
  <c r="S235" i="5" s="1"/>
  <c r="R235" i="5"/>
  <c r="T235" i="5"/>
  <c r="C236" i="5"/>
  <c r="D236" i="5"/>
  <c r="E236" i="5"/>
  <c r="F236" i="5"/>
  <c r="H236" i="5"/>
  <c r="I236" i="5"/>
  <c r="N236" i="5"/>
  <c r="R236" i="5"/>
  <c r="Q236" i="5" s="1"/>
  <c r="S236" i="5"/>
  <c r="T236" i="5"/>
  <c r="C237" i="5"/>
  <c r="L237" i="5" s="1"/>
  <c r="D237" i="5"/>
  <c r="E237" i="5"/>
  <c r="F237" i="5"/>
  <c r="H237" i="5"/>
  <c r="I237" i="5"/>
  <c r="N237" i="5"/>
  <c r="Q237" i="5"/>
  <c r="S237" i="5" s="1"/>
  <c r="R237" i="5"/>
  <c r="T237" i="5"/>
  <c r="C238" i="5"/>
  <c r="D238" i="5"/>
  <c r="E238" i="5"/>
  <c r="F238" i="5"/>
  <c r="H238" i="5"/>
  <c r="I238" i="5"/>
  <c r="N238" i="5"/>
  <c r="R238" i="5"/>
  <c r="Q238" i="5" s="1"/>
  <c r="S238" i="5" s="1"/>
  <c r="T238" i="5"/>
  <c r="C239" i="5"/>
  <c r="L239" i="5" s="1"/>
  <c r="D239" i="5"/>
  <c r="E239" i="5"/>
  <c r="F239" i="5"/>
  <c r="H239" i="5"/>
  <c r="I239" i="5"/>
  <c r="N239" i="5"/>
  <c r="Q239" i="5"/>
  <c r="S239" i="5" s="1"/>
  <c r="R239" i="5"/>
  <c r="T239" i="5"/>
  <c r="C240" i="5"/>
  <c r="D240" i="5"/>
  <c r="E240" i="5"/>
  <c r="F240" i="5"/>
  <c r="H240" i="5"/>
  <c r="I240" i="5"/>
  <c r="N240" i="5"/>
  <c r="R240" i="5"/>
  <c r="Q240" i="5" s="1"/>
  <c r="S240" i="5" s="1"/>
  <c r="T240" i="5"/>
  <c r="C241" i="5"/>
  <c r="D241" i="5"/>
  <c r="E241" i="5"/>
  <c r="F241" i="5"/>
  <c r="H241" i="5"/>
  <c r="I241" i="5"/>
  <c r="N241" i="5"/>
  <c r="Q241" i="5"/>
  <c r="S241" i="5" s="1"/>
  <c r="R241" i="5"/>
  <c r="T241" i="5"/>
  <c r="C242" i="5"/>
  <c r="D242" i="5"/>
  <c r="D1076" i="5" s="1"/>
  <c r="E242" i="5"/>
  <c r="E1076" i="5" s="1"/>
  <c r="F242" i="5"/>
  <c r="H242" i="5"/>
  <c r="I242" i="5"/>
  <c r="N242" i="5"/>
  <c r="R242" i="5"/>
  <c r="Q242" i="5" s="1"/>
  <c r="S242" i="5"/>
  <c r="T242" i="5"/>
  <c r="T1076" i="5" s="1"/>
  <c r="C243" i="5"/>
  <c r="D243" i="5"/>
  <c r="E243" i="5"/>
  <c r="F243" i="5"/>
  <c r="H243" i="5"/>
  <c r="I243" i="5"/>
  <c r="L243" i="5"/>
  <c r="N243" i="5"/>
  <c r="N1076" i="5" s="1"/>
  <c r="Q243" i="5"/>
  <c r="S243" i="5" s="1"/>
  <c r="R243" i="5"/>
  <c r="T243" i="5"/>
  <c r="C244" i="5"/>
  <c r="D244" i="5"/>
  <c r="E244" i="5"/>
  <c r="F244" i="5"/>
  <c r="F1076" i="5" s="1"/>
  <c r="H244" i="5"/>
  <c r="I244" i="5"/>
  <c r="N244" i="5"/>
  <c r="R244" i="5"/>
  <c r="Q244" i="5" s="1"/>
  <c r="S244" i="5"/>
  <c r="T244" i="5"/>
  <c r="C245" i="5"/>
  <c r="L245" i="5" s="1"/>
  <c r="D245" i="5"/>
  <c r="E245" i="5"/>
  <c r="F245" i="5"/>
  <c r="H245" i="5"/>
  <c r="I245" i="5"/>
  <c r="N245" i="5"/>
  <c r="Q245" i="5"/>
  <c r="S245" i="5" s="1"/>
  <c r="R245" i="5"/>
  <c r="T245" i="5"/>
  <c r="C246" i="5"/>
  <c r="D246" i="5"/>
  <c r="E246" i="5"/>
  <c r="F246" i="5"/>
  <c r="H246" i="5"/>
  <c r="I246" i="5"/>
  <c r="N246" i="5"/>
  <c r="R246" i="5"/>
  <c r="Q246" i="5" s="1"/>
  <c r="S246" i="5" s="1"/>
  <c r="T246" i="5"/>
  <c r="C247" i="5"/>
  <c r="L247" i="5" s="1"/>
  <c r="D247" i="5"/>
  <c r="E247" i="5"/>
  <c r="F247" i="5"/>
  <c r="H247" i="5"/>
  <c r="I247" i="5"/>
  <c r="N247" i="5"/>
  <c r="Q247" i="5"/>
  <c r="S247" i="5" s="1"/>
  <c r="R247" i="5"/>
  <c r="T247" i="5"/>
  <c r="C248" i="5"/>
  <c r="D248" i="5"/>
  <c r="E248" i="5"/>
  <c r="F248" i="5"/>
  <c r="H248" i="5"/>
  <c r="I248" i="5"/>
  <c r="N248" i="5"/>
  <c r="R248" i="5"/>
  <c r="Q248" i="5" s="1"/>
  <c r="S248" i="5" s="1"/>
  <c r="T248" i="5"/>
  <c r="C249" i="5"/>
  <c r="L249" i="5" s="1"/>
  <c r="D249" i="5"/>
  <c r="E249" i="5"/>
  <c r="F249" i="5"/>
  <c r="H249" i="5"/>
  <c r="I249" i="5"/>
  <c r="N249" i="5"/>
  <c r="Q249" i="5"/>
  <c r="S249" i="5" s="1"/>
  <c r="R249" i="5"/>
  <c r="T249" i="5"/>
  <c r="C250" i="5"/>
  <c r="L250" i="5" s="1"/>
  <c r="D250" i="5"/>
  <c r="E250" i="5"/>
  <c r="F250" i="5"/>
  <c r="H250" i="5"/>
  <c r="I250" i="5"/>
  <c r="N250" i="5"/>
  <c r="Q250" i="5"/>
  <c r="S250" i="5" s="1"/>
  <c r="R250" i="5"/>
  <c r="T250" i="5"/>
  <c r="C251" i="5"/>
  <c r="D251" i="5"/>
  <c r="E251" i="5"/>
  <c r="F251" i="5"/>
  <c r="H251" i="5"/>
  <c r="I251" i="5"/>
  <c r="N251" i="5"/>
  <c r="Q251" i="5"/>
  <c r="S251" i="5" s="1"/>
  <c r="R251" i="5"/>
  <c r="T251" i="5"/>
  <c r="C252" i="5"/>
  <c r="D252" i="5"/>
  <c r="E252" i="5"/>
  <c r="F252" i="5"/>
  <c r="H252" i="5"/>
  <c r="I252" i="5"/>
  <c r="N252" i="5"/>
  <c r="R252" i="5"/>
  <c r="T252" i="5"/>
  <c r="C253" i="5"/>
  <c r="D253" i="5"/>
  <c r="E253" i="5"/>
  <c r="F253" i="5"/>
  <c r="H253" i="5"/>
  <c r="I253" i="5"/>
  <c r="N253" i="5"/>
  <c r="Q253" i="5"/>
  <c r="S253" i="5" s="1"/>
  <c r="R253" i="5"/>
  <c r="T253" i="5"/>
  <c r="C254" i="5"/>
  <c r="D254" i="5"/>
  <c r="E254" i="5"/>
  <c r="E1077" i="5" s="1"/>
  <c r="F254" i="5"/>
  <c r="H254" i="5"/>
  <c r="I254" i="5"/>
  <c r="N254" i="5"/>
  <c r="R254" i="5"/>
  <c r="Q254" i="5" s="1"/>
  <c r="S254" i="5" s="1"/>
  <c r="T254" i="5"/>
  <c r="C255" i="5"/>
  <c r="L255" i="5" s="1"/>
  <c r="D255" i="5"/>
  <c r="E255" i="5"/>
  <c r="F255" i="5"/>
  <c r="H255" i="5"/>
  <c r="I255" i="5"/>
  <c r="N255" i="5"/>
  <c r="Q255" i="5"/>
  <c r="S255" i="5" s="1"/>
  <c r="R255" i="5"/>
  <c r="T255" i="5"/>
  <c r="C256" i="5"/>
  <c r="L256" i="5" s="1"/>
  <c r="D256" i="5"/>
  <c r="E256" i="5"/>
  <c r="F256" i="5"/>
  <c r="H256" i="5"/>
  <c r="I256" i="5"/>
  <c r="N256" i="5"/>
  <c r="Q256" i="5"/>
  <c r="S256" i="5" s="1"/>
  <c r="R256" i="5"/>
  <c r="T256" i="5"/>
  <c r="C257" i="5"/>
  <c r="D257" i="5"/>
  <c r="E257" i="5"/>
  <c r="F257" i="5"/>
  <c r="H257" i="5"/>
  <c r="I257" i="5"/>
  <c r="N257" i="5"/>
  <c r="Q257" i="5"/>
  <c r="S257" i="5" s="1"/>
  <c r="R257" i="5"/>
  <c r="T257" i="5"/>
  <c r="C258" i="5"/>
  <c r="D258" i="5"/>
  <c r="E258" i="5"/>
  <c r="F258" i="5"/>
  <c r="H258" i="5"/>
  <c r="I258" i="5"/>
  <c r="N258" i="5"/>
  <c r="R258" i="5"/>
  <c r="Q258" i="5" s="1"/>
  <c r="S258" i="5" s="1"/>
  <c r="T258" i="5"/>
  <c r="C259" i="5"/>
  <c r="D259" i="5"/>
  <c r="E259" i="5"/>
  <c r="F259" i="5"/>
  <c r="H259" i="5"/>
  <c r="I259" i="5"/>
  <c r="L259" i="5" s="1"/>
  <c r="N259" i="5"/>
  <c r="Q259" i="5"/>
  <c r="S259" i="5" s="1"/>
  <c r="R259" i="5"/>
  <c r="T259" i="5"/>
  <c r="C260" i="5"/>
  <c r="L260" i="5" s="1"/>
  <c r="D260" i="5"/>
  <c r="E260" i="5"/>
  <c r="F260" i="5"/>
  <c r="H260" i="5"/>
  <c r="I260" i="5"/>
  <c r="N260" i="5"/>
  <c r="R260" i="5"/>
  <c r="Q260" i="5" s="1"/>
  <c r="S260" i="5"/>
  <c r="T260" i="5"/>
  <c r="C261" i="5"/>
  <c r="D261" i="5"/>
  <c r="E261" i="5"/>
  <c r="F261" i="5"/>
  <c r="H261" i="5"/>
  <c r="I261" i="5"/>
  <c r="L261" i="5"/>
  <c r="N261" i="5"/>
  <c r="Q261" i="5"/>
  <c r="S261" i="5" s="1"/>
  <c r="R261" i="5"/>
  <c r="T261" i="5"/>
  <c r="C262" i="5"/>
  <c r="D262" i="5"/>
  <c r="E262" i="5"/>
  <c r="F262" i="5"/>
  <c r="F1077" i="5" s="1"/>
  <c r="H262" i="5"/>
  <c r="I262" i="5"/>
  <c r="N262" i="5"/>
  <c r="R262" i="5"/>
  <c r="Q262" i="5" s="1"/>
  <c r="S262" i="5" s="1"/>
  <c r="T262" i="5"/>
  <c r="C263" i="5"/>
  <c r="L263" i="5" s="1"/>
  <c r="D263" i="5"/>
  <c r="E263" i="5"/>
  <c r="F263" i="5"/>
  <c r="H263" i="5"/>
  <c r="I263" i="5"/>
  <c r="N263" i="5"/>
  <c r="Q263" i="5"/>
  <c r="S263" i="5" s="1"/>
  <c r="R263" i="5"/>
  <c r="T263" i="5"/>
  <c r="C264" i="5"/>
  <c r="D264" i="5"/>
  <c r="E264" i="5"/>
  <c r="F264" i="5"/>
  <c r="H264" i="5"/>
  <c r="I264" i="5"/>
  <c r="N264" i="5"/>
  <c r="R264" i="5"/>
  <c r="T264" i="5"/>
  <c r="C265" i="5"/>
  <c r="D265" i="5"/>
  <c r="E265" i="5"/>
  <c r="F265" i="5"/>
  <c r="H265" i="5"/>
  <c r="I265" i="5"/>
  <c r="N265" i="5"/>
  <c r="Q265" i="5"/>
  <c r="S265" i="5" s="1"/>
  <c r="R265" i="5"/>
  <c r="T265" i="5"/>
  <c r="C266" i="5"/>
  <c r="D266" i="5"/>
  <c r="E266" i="5"/>
  <c r="F266" i="5"/>
  <c r="H266" i="5"/>
  <c r="I266" i="5"/>
  <c r="N266" i="5"/>
  <c r="R266" i="5"/>
  <c r="Q266" i="5" s="1"/>
  <c r="S266" i="5"/>
  <c r="T266" i="5"/>
  <c r="C267" i="5"/>
  <c r="D267" i="5"/>
  <c r="E267" i="5"/>
  <c r="F267" i="5"/>
  <c r="H267" i="5"/>
  <c r="I267" i="5"/>
  <c r="L267" i="5"/>
  <c r="N267" i="5"/>
  <c r="Q267" i="5"/>
  <c r="S267" i="5" s="1"/>
  <c r="R267" i="5"/>
  <c r="T267" i="5"/>
  <c r="C268" i="5"/>
  <c r="D268" i="5"/>
  <c r="E268" i="5"/>
  <c r="F268" i="5"/>
  <c r="F1078" i="5" s="1"/>
  <c r="H268" i="5"/>
  <c r="I268" i="5"/>
  <c r="N268" i="5"/>
  <c r="R268" i="5"/>
  <c r="Q268" i="5" s="1"/>
  <c r="S268" i="5"/>
  <c r="T268" i="5"/>
  <c r="C269" i="5"/>
  <c r="L269" i="5" s="1"/>
  <c r="D269" i="5"/>
  <c r="E269" i="5"/>
  <c r="F269" i="5"/>
  <c r="H269" i="5"/>
  <c r="I269" i="5"/>
  <c r="N269" i="5"/>
  <c r="Q269" i="5"/>
  <c r="S269" i="5" s="1"/>
  <c r="R269" i="5"/>
  <c r="T269" i="5"/>
  <c r="C270" i="5"/>
  <c r="D270" i="5"/>
  <c r="E270" i="5"/>
  <c r="F270" i="5"/>
  <c r="H270" i="5"/>
  <c r="I270" i="5"/>
  <c r="N270" i="5"/>
  <c r="R270" i="5"/>
  <c r="Q270" i="5" s="1"/>
  <c r="S270" i="5" s="1"/>
  <c r="T270" i="5"/>
  <c r="C271" i="5"/>
  <c r="L271" i="5" s="1"/>
  <c r="D271" i="5"/>
  <c r="E271" i="5"/>
  <c r="F271" i="5"/>
  <c r="H271" i="5"/>
  <c r="I271" i="5"/>
  <c r="N271" i="5"/>
  <c r="Q271" i="5"/>
  <c r="S271" i="5" s="1"/>
  <c r="R271" i="5"/>
  <c r="T271" i="5"/>
  <c r="C272" i="5"/>
  <c r="D272" i="5"/>
  <c r="E272" i="5"/>
  <c r="F272" i="5"/>
  <c r="H272" i="5"/>
  <c r="I272" i="5"/>
  <c r="N272" i="5"/>
  <c r="R272" i="5"/>
  <c r="Q272" i="5" s="1"/>
  <c r="S272" i="5" s="1"/>
  <c r="T272" i="5"/>
  <c r="C273" i="5"/>
  <c r="D273" i="5"/>
  <c r="E273" i="5"/>
  <c r="F273" i="5"/>
  <c r="H273" i="5"/>
  <c r="I273" i="5"/>
  <c r="N273" i="5"/>
  <c r="Q273" i="5"/>
  <c r="S273" i="5" s="1"/>
  <c r="R273" i="5"/>
  <c r="T273" i="5"/>
  <c r="C274" i="5"/>
  <c r="D274" i="5"/>
  <c r="E274" i="5"/>
  <c r="F274" i="5"/>
  <c r="H274" i="5"/>
  <c r="I274" i="5"/>
  <c r="N274" i="5"/>
  <c r="R274" i="5"/>
  <c r="Q274" i="5" s="1"/>
  <c r="S274" i="5"/>
  <c r="T274" i="5"/>
  <c r="T1078" i="5" s="1"/>
  <c r="C275" i="5"/>
  <c r="D275" i="5"/>
  <c r="E275" i="5"/>
  <c r="F275" i="5"/>
  <c r="H275" i="5"/>
  <c r="I275" i="5"/>
  <c r="L275" i="5"/>
  <c r="N275" i="5"/>
  <c r="Q275" i="5"/>
  <c r="S275" i="5" s="1"/>
  <c r="R275" i="5"/>
  <c r="T275" i="5"/>
  <c r="C276" i="5"/>
  <c r="D276" i="5"/>
  <c r="E276" i="5"/>
  <c r="F276" i="5"/>
  <c r="H276" i="5"/>
  <c r="I276" i="5"/>
  <c r="N276" i="5"/>
  <c r="R276" i="5"/>
  <c r="Q276" i="5" s="1"/>
  <c r="S276" i="5"/>
  <c r="T276" i="5"/>
  <c r="C277" i="5"/>
  <c r="D277" i="5"/>
  <c r="E277" i="5"/>
  <c r="F277" i="5"/>
  <c r="H277" i="5"/>
  <c r="I277" i="5"/>
  <c r="L277" i="5"/>
  <c r="N277" i="5"/>
  <c r="Q277" i="5"/>
  <c r="S277" i="5" s="1"/>
  <c r="R277" i="5"/>
  <c r="T277" i="5"/>
  <c r="C278" i="5"/>
  <c r="D278" i="5"/>
  <c r="E278" i="5"/>
  <c r="F278" i="5"/>
  <c r="H278" i="5"/>
  <c r="I278" i="5"/>
  <c r="N278" i="5"/>
  <c r="R278" i="5"/>
  <c r="Q278" i="5" s="1"/>
  <c r="S278" i="5" s="1"/>
  <c r="T278" i="5"/>
  <c r="C279" i="5"/>
  <c r="L279" i="5" s="1"/>
  <c r="D279" i="5"/>
  <c r="E279" i="5"/>
  <c r="F279" i="5"/>
  <c r="H279" i="5"/>
  <c r="I279" i="5"/>
  <c r="N279" i="5"/>
  <c r="Q279" i="5"/>
  <c r="S279" i="5" s="1"/>
  <c r="R279" i="5"/>
  <c r="T279" i="5"/>
  <c r="C280" i="5"/>
  <c r="L280" i="5" s="1"/>
  <c r="D280" i="5"/>
  <c r="E280" i="5"/>
  <c r="F280" i="5"/>
  <c r="H280" i="5"/>
  <c r="I280" i="5"/>
  <c r="N280" i="5"/>
  <c r="R280" i="5"/>
  <c r="T280" i="5"/>
  <c r="C281" i="5"/>
  <c r="L281" i="5" s="1"/>
  <c r="D281" i="5"/>
  <c r="E281" i="5"/>
  <c r="F281" i="5"/>
  <c r="H281" i="5"/>
  <c r="I281" i="5"/>
  <c r="N281" i="5"/>
  <c r="Q281" i="5"/>
  <c r="S281" i="5" s="1"/>
  <c r="R281" i="5"/>
  <c r="T281" i="5"/>
  <c r="C282" i="5"/>
  <c r="L282" i="5" s="1"/>
  <c r="D282" i="5"/>
  <c r="E282" i="5"/>
  <c r="F282" i="5"/>
  <c r="H282" i="5"/>
  <c r="I282" i="5"/>
  <c r="N282" i="5"/>
  <c r="R282" i="5"/>
  <c r="Q282" i="5" s="1"/>
  <c r="S282" i="5" s="1"/>
  <c r="T282" i="5"/>
  <c r="C283" i="5"/>
  <c r="D283" i="5"/>
  <c r="E283" i="5"/>
  <c r="F283" i="5"/>
  <c r="H283" i="5"/>
  <c r="I283" i="5"/>
  <c r="N283" i="5"/>
  <c r="Q283" i="5"/>
  <c r="S283" i="5" s="1"/>
  <c r="R283" i="5"/>
  <c r="T283" i="5"/>
  <c r="C284" i="5"/>
  <c r="L284" i="5" s="1"/>
  <c r="D284" i="5"/>
  <c r="E284" i="5"/>
  <c r="F284" i="5"/>
  <c r="H284" i="5"/>
  <c r="I284" i="5"/>
  <c r="N284" i="5"/>
  <c r="R284" i="5"/>
  <c r="Q284" i="5" s="1"/>
  <c r="S284" i="5"/>
  <c r="T284" i="5"/>
  <c r="T1079" i="5" s="1"/>
  <c r="C285" i="5"/>
  <c r="D285" i="5"/>
  <c r="E285" i="5"/>
  <c r="F285" i="5"/>
  <c r="H285" i="5"/>
  <c r="I285" i="5"/>
  <c r="L285" i="5"/>
  <c r="N285" i="5"/>
  <c r="Q285" i="5"/>
  <c r="S285" i="5" s="1"/>
  <c r="R285" i="5"/>
  <c r="T285" i="5"/>
  <c r="C286" i="5"/>
  <c r="D286" i="5"/>
  <c r="E286" i="5"/>
  <c r="F286" i="5"/>
  <c r="F1079" i="5" s="1"/>
  <c r="H286" i="5"/>
  <c r="I286" i="5"/>
  <c r="N286" i="5"/>
  <c r="R286" i="5"/>
  <c r="Q286" i="5" s="1"/>
  <c r="S286" i="5" s="1"/>
  <c r="T286" i="5"/>
  <c r="C287" i="5"/>
  <c r="L287" i="5" s="1"/>
  <c r="D287" i="5"/>
  <c r="E287" i="5"/>
  <c r="F287" i="5"/>
  <c r="H287" i="5"/>
  <c r="I287" i="5"/>
  <c r="N287" i="5"/>
  <c r="Q287" i="5"/>
  <c r="S287" i="5" s="1"/>
  <c r="R287" i="5"/>
  <c r="T287" i="5"/>
  <c r="C288" i="5"/>
  <c r="D288" i="5"/>
  <c r="E288" i="5"/>
  <c r="F288" i="5"/>
  <c r="H288" i="5"/>
  <c r="I288" i="5"/>
  <c r="N288" i="5"/>
  <c r="R288" i="5"/>
  <c r="T288" i="5"/>
  <c r="C289" i="5"/>
  <c r="D289" i="5"/>
  <c r="E289" i="5"/>
  <c r="F289" i="5"/>
  <c r="H289" i="5"/>
  <c r="I289" i="5"/>
  <c r="N289" i="5"/>
  <c r="Q289" i="5"/>
  <c r="S289" i="5" s="1"/>
  <c r="R289" i="5"/>
  <c r="T289" i="5"/>
  <c r="C290" i="5"/>
  <c r="D290" i="5"/>
  <c r="E290" i="5"/>
  <c r="F290" i="5"/>
  <c r="H290" i="5"/>
  <c r="I290" i="5"/>
  <c r="N290" i="5"/>
  <c r="R290" i="5"/>
  <c r="Q290" i="5" s="1"/>
  <c r="S290" i="5" s="1"/>
  <c r="T290" i="5"/>
  <c r="C291" i="5"/>
  <c r="D291" i="5"/>
  <c r="E291" i="5"/>
  <c r="F291" i="5"/>
  <c r="H291" i="5"/>
  <c r="I291" i="5"/>
  <c r="L291" i="5" s="1"/>
  <c r="N291" i="5"/>
  <c r="Q291" i="5"/>
  <c r="S291" i="5" s="1"/>
  <c r="R291" i="5"/>
  <c r="T291" i="5"/>
  <c r="C292" i="5"/>
  <c r="L292" i="5" s="1"/>
  <c r="D292" i="5"/>
  <c r="E292" i="5"/>
  <c r="F292" i="5"/>
  <c r="H292" i="5"/>
  <c r="I292" i="5"/>
  <c r="N292" i="5"/>
  <c r="R292" i="5"/>
  <c r="Q292" i="5" s="1"/>
  <c r="S292" i="5" s="1"/>
  <c r="T292" i="5"/>
  <c r="C293" i="5"/>
  <c r="D293" i="5"/>
  <c r="E293" i="5"/>
  <c r="F293" i="5"/>
  <c r="H293" i="5"/>
  <c r="I293" i="5"/>
  <c r="L293" i="5" s="1"/>
  <c r="N293" i="5"/>
  <c r="Q293" i="5"/>
  <c r="S293" i="5" s="1"/>
  <c r="R293" i="5"/>
  <c r="T293" i="5"/>
  <c r="C294" i="5"/>
  <c r="D294" i="5"/>
  <c r="E294" i="5"/>
  <c r="F294" i="5"/>
  <c r="H294" i="5"/>
  <c r="I294" i="5"/>
  <c r="N294" i="5"/>
  <c r="R294" i="5"/>
  <c r="Q294" i="5" s="1"/>
  <c r="S294" i="5" s="1"/>
  <c r="T294" i="5"/>
  <c r="C295" i="5"/>
  <c r="L295" i="5" s="1"/>
  <c r="D295" i="5"/>
  <c r="E295" i="5"/>
  <c r="F295" i="5"/>
  <c r="H295" i="5"/>
  <c r="I295" i="5"/>
  <c r="N295" i="5"/>
  <c r="Q295" i="5"/>
  <c r="S295" i="5" s="1"/>
  <c r="R295" i="5"/>
  <c r="T295" i="5"/>
  <c r="C296" i="5"/>
  <c r="L296" i="5" s="1"/>
  <c r="D296" i="5"/>
  <c r="E296" i="5"/>
  <c r="F296" i="5"/>
  <c r="H296" i="5"/>
  <c r="I296" i="5"/>
  <c r="N296" i="5"/>
  <c r="Q296" i="5"/>
  <c r="S296" i="5" s="1"/>
  <c r="R296" i="5"/>
  <c r="T296" i="5"/>
  <c r="C297" i="5"/>
  <c r="D297" i="5"/>
  <c r="E297" i="5"/>
  <c r="F297" i="5"/>
  <c r="H297" i="5"/>
  <c r="I297" i="5"/>
  <c r="N297" i="5"/>
  <c r="Q297" i="5"/>
  <c r="S297" i="5" s="1"/>
  <c r="R297" i="5"/>
  <c r="T297" i="5"/>
  <c r="C298" i="5"/>
  <c r="D298" i="5"/>
  <c r="E298" i="5"/>
  <c r="F298" i="5"/>
  <c r="H298" i="5"/>
  <c r="I298" i="5"/>
  <c r="N298" i="5"/>
  <c r="R298" i="5"/>
  <c r="Q298" i="5" s="1"/>
  <c r="S298" i="5"/>
  <c r="T298" i="5"/>
  <c r="C299" i="5"/>
  <c r="D299" i="5"/>
  <c r="E299" i="5"/>
  <c r="F299" i="5"/>
  <c r="H299" i="5"/>
  <c r="I299" i="5"/>
  <c r="L299" i="5"/>
  <c r="N299" i="5"/>
  <c r="Q299" i="5"/>
  <c r="S299" i="5" s="1"/>
  <c r="R299" i="5"/>
  <c r="T299" i="5"/>
  <c r="C300" i="5"/>
  <c r="D300" i="5"/>
  <c r="E300" i="5"/>
  <c r="F300" i="5"/>
  <c r="H300" i="5"/>
  <c r="I300" i="5"/>
  <c r="N300" i="5"/>
  <c r="R300" i="5"/>
  <c r="Q300" i="5" s="1"/>
  <c r="S300" i="5"/>
  <c r="T300" i="5"/>
  <c r="C301" i="5"/>
  <c r="L301" i="5" s="1"/>
  <c r="D301" i="5"/>
  <c r="E301" i="5"/>
  <c r="F301" i="5"/>
  <c r="H301" i="5"/>
  <c r="I301" i="5"/>
  <c r="N301" i="5"/>
  <c r="Q301" i="5"/>
  <c r="S301" i="5" s="1"/>
  <c r="R301" i="5"/>
  <c r="T301" i="5"/>
  <c r="C302" i="5"/>
  <c r="D302" i="5"/>
  <c r="E302" i="5"/>
  <c r="F302" i="5"/>
  <c r="H302" i="5"/>
  <c r="I302" i="5"/>
  <c r="N302" i="5"/>
  <c r="R302" i="5"/>
  <c r="Q302" i="5" s="1"/>
  <c r="S302" i="5" s="1"/>
  <c r="T302" i="5"/>
  <c r="C303" i="5"/>
  <c r="L303" i="5" s="1"/>
  <c r="D303" i="5"/>
  <c r="E303" i="5"/>
  <c r="F303" i="5"/>
  <c r="H303" i="5"/>
  <c r="I303" i="5"/>
  <c r="N303" i="5"/>
  <c r="Q303" i="5"/>
  <c r="S303" i="5" s="1"/>
  <c r="R303" i="5"/>
  <c r="T303" i="5"/>
  <c r="C304" i="5"/>
  <c r="D304" i="5"/>
  <c r="E304" i="5"/>
  <c r="F304" i="5"/>
  <c r="H304" i="5"/>
  <c r="I304" i="5"/>
  <c r="N304" i="5"/>
  <c r="R304" i="5"/>
  <c r="Q304" i="5" s="1"/>
  <c r="T304" i="5"/>
  <c r="C305" i="5"/>
  <c r="L305" i="5" s="1"/>
  <c r="D305" i="5"/>
  <c r="E305" i="5"/>
  <c r="F305" i="5"/>
  <c r="H305" i="5"/>
  <c r="I305" i="5"/>
  <c r="N305" i="5"/>
  <c r="Q305" i="5"/>
  <c r="S305" i="5" s="1"/>
  <c r="R305" i="5"/>
  <c r="T305" i="5"/>
  <c r="C306" i="5"/>
  <c r="D306" i="5"/>
  <c r="E306" i="5"/>
  <c r="F306" i="5"/>
  <c r="H306" i="5"/>
  <c r="I306" i="5"/>
  <c r="N306" i="5"/>
  <c r="Q306" i="5"/>
  <c r="S306" i="5" s="1"/>
  <c r="R306" i="5"/>
  <c r="T306" i="5"/>
  <c r="C307" i="5"/>
  <c r="D307" i="5"/>
  <c r="E307" i="5"/>
  <c r="F307" i="5"/>
  <c r="H307" i="5"/>
  <c r="I307" i="5"/>
  <c r="N307" i="5"/>
  <c r="Q307" i="5"/>
  <c r="S307" i="5" s="1"/>
  <c r="R307" i="5"/>
  <c r="T307" i="5"/>
  <c r="C308" i="5"/>
  <c r="D308" i="5"/>
  <c r="E308" i="5"/>
  <c r="F308" i="5"/>
  <c r="H308" i="5"/>
  <c r="I308" i="5"/>
  <c r="N308" i="5"/>
  <c r="R308" i="5"/>
  <c r="Q308" i="5" s="1"/>
  <c r="S308" i="5"/>
  <c r="T308" i="5"/>
  <c r="C309" i="5"/>
  <c r="D309" i="5"/>
  <c r="E309" i="5"/>
  <c r="F309" i="5"/>
  <c r="H309" i="5"/>
  <c r="I309" i="5"/>
  <c r="L309" i="5"/>
  <c r="N309" i="5"/>
  <c r="Q309" i="5"/>
  <c r="S309" i="5" s="1"/>
  <c r="R309" i="5"/>
  <c r="T309" i="5"/>
  <c r="C310" i="5"/>
  <c r="D310" i="5"/>
  <c r="E310" i="5"/>
  <c r="F310" i="5"/>
  <c r="H310" i="5"/>
  <c r="I310" i="5"/>
  <c r="N310" i="5"/>
  <c r="R310" i="5"/>
  <c r="Q310" i="5" s="1"/>
  <c r="S310" i="5" s="1"/>
  <c r="T310" i="5"/>
  <c r="C311" i="5"/>
  <c r="L311" i="5" s="1"/>
  <c r="D311" i="5"/>
  <c r="E311" i="5"/>
  <c r="F311" i="5"/>
  <c r="H311" i="5"/>
  <c r="I311" i="5"/>
  <c r="N311" i="5"/>
  <c r="Q311" i="5"/>
  <c r="S311" i="5" s="1"/>
  <c r="R311" i="5"/>
  <c r="T311" i="5"/>
  <c r="C312" i="5"/>
  <c r="D312" i="5"/>
  <c r="E312" i="5"/>
  <c r="F312" i="5"/>
  <c r="H312" i="5"/>
  <c r="H1082" i="5" s="1"/>
  <c r="I312" i="5"/>
  <c r="N312" i="5"/>
  <c r="R312" i="5"/>
  <c r="T312" i="5"/>
  <c r="C313" i="5"/>
  <c r="L313" i="5" s="1"/>
  <c r="D313" i="5"/>
  <c r="E313" i="5"/>
  <c r="F313" i="5"/>
  <c r="H313" i="5"/>
  <c r="I313" i="5"/>
  <c r="N313" i="5"/>
  <c r="Q313" i="5"/>
  <c r="S313" i="5" s="1"/>
  <c r="R313" i="5"/>
  <c r="T313" i="5"/>
  <c r="C314" i="5"/>
  <c r="L314" i="5" s="1"/>
  <c r="D314" i="5"/>
  <c r="E314" i="5"/>
  <c r="F314" i="5"/>
  <c r="H314" i="5"/>
  <c r="I314" i="5"/>
  <c r="N314" i="5"/>
  <c r="R314" i="5"/>
  <c r="Q314" i="5" s="1"/>
  <c r="S314" i="5" s="1"/>
  <c r="T314" i="5"/>
  <c r="C315" i="5"/>
  <c r="D315" i="5"/>
  <c r="E315" i="5"/>
  <c r="F315" i="5"/>
  <c r="H315" i="5"/>
  <c r="L315" i="5" s="1"/>
  <c r="I315" i="5"/>
  <c r="N315" i="5"/>
  <c r="Q315" i="5"/>
  <c r="S315" i="5" s="1"/>
  <c r="R315" i="5"/>
  <c r="T315" i="5"/>
  <c r="C316" i="5"/>
  <c r="D316" i="5"/>
  <c r="D1082" i="5" s="1"/>
  <c r="E316" i="5"/>
  <c r="F316" i="5"/>
  <c r="H316" i="5"/>
  <c r="I316" i="5"/>
  <c r="N316" i="5"/>
  <c r="R316" i="5"/>
  <c r="Q316" i="5" s="1"/>
  <c r="S316" i="5"/>
  <c r="T316" i="5"/>
  <c r="T1082" i="5" s="1"/>
  <c r="C317" i="5"/>
  <c r="L317" i="5" s="1"/>
  <c r="D317" i="5"/>
  <c r="E317" i="5"/>
  <c r="F317" i="5"/>
  <c r="H317" i="5"/>
  <c r="I317" i="5"/>
  <c r="N317" i="5"/>
  <c r="Q317" i="5"/>
  <c r="S317" i="5" s="1"/>
  <c r="R317" i="5"/>
  <c r="T317" i="5"/>
  <c r="C318" i="5"/>
  <c r="D318" i="5"/>
  <c r="E318" i="5"/>
  <c r="F318" i="5"/>
  <c r="H318" i="5"/>
  <c r="I318" i="5"/>
  <c r="N318" i="5"/>
  <c r="R318" i="5"/>
  <c r="Q318" i="5" s="1"/>
  <c r="S318" i="5" s="1"/>
  <c r="T318" i="5"/>
  <c r="C319" i="5"/>
  <c r="L319" i="5" s="1"/>
  <c r="D319" i="5"/>
  <c r="E319" i="5"/>
  <c r="F319" i="5"/>
  <c r="H319" i="5"/>
  <c r="I319" i="5"/>
  <c r="N319" i="5"/>
  <c r="Q319" i="5"/>
  <c r="S319" i="5" s="1"/>
  <c r="R319" i="5"/>
  <c r="T319" i="5"/>
  <c r="C320" i="5"/>
  <c r="L320" i="5" s="1"/>
  <c r="D320" i="5"/>
  <c r="E320" i="5"/>
  <c r="F320" i="5"/>
  <c r="H320" i="5"/>
  <c r="I320" i="5"/>
  <c r="N320" i="5"/>
  <c r="R320" i="5"/>
  <c r="Q320" i="5" s="1"/>
  <c r="S320" i="5" s="1"/>
  <c r="T320" i="5"/>
  <c r="C321" i="5"/>
  <c r="L321" i="5" s="1"/>
  <c r="D321" i="5"/>
  <c r="E321" i="5"/>
  <c r="F321" i="5"/>
  <c r="H321" i="5"/>
  <c r="I321" i="5"/>
  <c r="N321" i="5"/>
  <c r="Q321" i="5"/>
  <c r="S321" i="5" s="1"/>
  <c r="R321" i="5"/>
  <c r="T321" i="5"/>
  <c r="C322" i="5"/>
  <c r="D322" i="5"/>
  <c r="E322" i="5"/>
  <c r="F322" i="5"/>
  <c r="H322" i="5"/>
  <c r="I322" i="5"/>
  <c r="N322" i="5"/>
  <c r="R322" i="5"/>
  <c r="Q322" i="5" s="1"/>
  <c r="S322" i="5" s="1"/>
  <c r="T322" i="5"/>
  <c r="C323" i="5"/>
  <c r="D323" i="5"/>
  <c r="E323" i="5"/>
  <c r="F323" i="5"/>
  <c r="H323" i="5"/>
  <c r="I323" i="5"/>
  <c r="L323" i="5" s="1"/>
  <c r="N323" i="5"/>
  <c r="Q323" i="5"/>
  <c r="S323" i="5" s="1"/>
  <c r="R323" i="5"/>
  <c r="T323" i="5"/>
  <c r="C324" i="5"/>
  <c r="L324" i="5" s="1"/>
  <c r="D324" i="5"/>
  <c r="E324" i="5"/>
  <c r="F324" i="5"/>
  <c r="H324" i="5"/>
  <c r="I324" i="5"/>
  <c r="N324" i="5"/>
  <c r="R324" i="5"/>
  <c r="T324" i="5"/>
  <c r="C325" i="5"/>
  <c r="D325" i="5"/>
  <c r="E325" i="5"/>
  <c r="F325" i="5"/>
  <c r="H325" i="5"/>
  <c r="I325" i="5"/>
  <c r="N325" i="5"/>
  <c r="Q325" i="5"/>
  <c r="S325" i="5" s="1"/>
  <c r="R325" i="5"/>
  <c r="T325" i="5"/>
  <c r="C326" i="5"/>
  <c r="D326" i="5"/>
  <c r="E326" i="5"/>
  <c r="F326" i="5"/>
  <c r="F1083" i="5" s="1"/>
  <c r="H326" i="5"/>
  <c r="I326" i="5"/>
  <c r="N326" i="5"/>
  <c r="R326" i="5"/>
  <c r="Q326" i="5" s="1"/>
  <c r="S326" i="5" s="1"/>
  <c r="T326" i="5"/>
  <c r="C327" i="5"/>
  <c r="L327" i="5" s="1"/>
  <c r="D327" i="5"/>
  <c r="E327" i="5"/>
  <c r="F327" i="5"/>
  <c r="H327" i="5"/>
  <c r="I327" i="5"/>
  <c r="N327" i="5"/>
  <c r="Q327" i="5"/>
  <c r="S327" i="5" s="1"/>
  <c r="R327" i="5"/>
  <c r="T327" i="5"/>
  <c r="C328" i="5"/>
  <c r="L328" i="5" s="1"/>
  <c r="D328" i="5"/>
  <c r="E328" i="5"/>
  <c r="F328" i="5"/>
  <c r="H328" i="5"/>
  <c r="I328" i="5"/>
  <c r="N328" i="5"/>
  <c r="Q328" i="5"/>
  <c r="S328" i="5" s="1"/>
  <c r="R328" i="5"/>
  <c r="T328" i="5"/>
  <c r="C329" i="5"/>
  <c r="D329" i="5"/>
  <c r="E329" i="5"/>
  <c r="F329" i="5"/>
  <c r="H329" i="5"/>
  <c r="H1083" i="5" s="1"/>
  <c r="I329" i="5"/>
  <c r="N329" i="5"/>
  <c r="Q329" i="5"/>
  <c r="S329" i="5" s="1"/>
  <c r="R329" i="5"/>
  <c r="T329" i="5"/>
  <c r="C330" i="5"/>
  <c r="D330" i="5"/>
  <c r="D1083" i="5" s="1"/>
  <c r="E330" i="5"/>
  <c r="F330" i="5"/>
  <c r="H330" i="5"/>
  <c r="I330" i="5"/>
  <c r="N330" i="5"/>
  <c r="R330" i="5"/>
  <c r="Q330" i="5" s="1"/>
  <c r="S330" i="5" s="1"/>
  <c r="T330" i="5"/>
  <c r="C331" i="5"/>
  <c r="D331" i="5"/>
  <c r="E331" i="5"/>
  <c r="F331" i="5"/>
  <c r="H331" i="5"/>
  <c r="I331" i="5"/>
  <c r="L331" i="5" s="1"/>
  <c r="N331" i="5"/>
  <c r="Q331" i="5"/>
  <c r="S331" i="5" s="1"/>
  <c r="R331" i="5"/>
  <c r="T331" i="5"/>
  <c r="C332" i="5"/>
  <c r="D332" i="5"/>
  <c r="E332" i="5"/>
  <c r="F332" i="5"/>
  <c r="H332" i="5"/>
  <c r="I332" i="5"/>
  <c r="N332" i="5"/>
  <c r="R332" i="5"/>
  <c r="Q332" i="5" s="1"/>
  <c r="S332" i="5"/>
  <c r="T332" i="5"/>
  <c r="C333" i="5"/>
  <c r="L333" i="5" s="1"/>
  <c r="D333" i="5"/>
  <c r="E333" i="5"/>
  <c r="F333" i="5"/>
  <c r="H333" i="5"/>
  <c r="I333" i="5"/>
  <c r="N333" i="5"/>
  <c r="Q333" i="5"/>
  <c r="S333" i="5" s="1"/>
  <c r="R333" i="5"/>
  <c r="T333" i="5"/>
  <c r="C334" i="5"/>
  <c r="D334" i="5"/>
  <c r="E334" i="5"/>
  <c r="F334" i="5"/>
  <c r="H334" i="5"/>
  <c r="I334" i="5"/>
  <c r="N334" i="5"/>
  <c r="R334" i="5"/>
  <c r="Q334" i="5" s="1"/>
  <c r="S334" i="5" s="1"/>
  <c r="T334" i="5"/>
  <c r="C335" i="5"/>
  <c r="L335" i="5" s="1"/>
  <c r="D335" i="5"/>
  <c r="E335" i="5"/>
  <c r="F335" i="5"/>
  <c r="H335" i="5"/>
  <c r="I335" i="5"/>
  <c r="N335" i="5"/>
  <c r="Q335" i="5"/>
  <c r="S335" i="5" s="1"/>
  <c r="R335" i="5"/>
  <c r="T335" i="5"/>
  <c r="C336" i="5"/>
  <c r="D336" i="5"/>
  <c r="E336" i="5"/>
  <c r="F336" i="5"/>
  <c r="H336" i="5"/>
  <c r="I336" i="5"/>
  <c r="N336" i="5"/>
  <c r="R336" i="5"/>
  <c r="Q336" i="5" s="1"/>
  <c r="T336" i="5"/>
  <c r="C337" i="5"/>
  <c r="L337" i="5" s="1"/>
  <c r="D337" i="5"/>
  <c r="E337" i="5"/>
  <c r="F337" i="5"/>
  <c r="H337" i="5"/>
  <c r="I337" i="5"/>
  <c r="N337" i="5"/>
  <c r="Q337" i="5"/>
  <c r="S337" i="5" s="1"/>
  <c r="R337" i="5"/>
  <c r="T337" i="5"/>
  <c r="C338" i="5"/>
  <c r="L338" i="5" s="1"/>
  <c r="D338" i="5"/>
  <c r="E338" i="5"/>
  <c r="F338" i="5"/>
  <c r="H338" i="5"/>
  <c r="I338" i="5"/>
  <c r="N338" i="5"/>
  <c r="R338" i="5"/>
  <c r="T338" i="5"/>
  <c r="C339" i="5"/>
  <c r="D339" i="5"/>
  <c r="E339" i="5"/>
  <c r="F339" i="5"/>
  <c r="H339" i="5"/>
  <c r="L339" i="5" s="1"/>
  <c r="I339" i="5"/>
  <c r="N339" i="5"/>
  <c r="Q339" i="5"/>
  <c r="S339" i="5" s="1"/>
  <c r="R339" i="5"/>
  <c r="T339" i="5"/>
  <c r="C340" i="5"/>
  <c r="L340" i="5" s="1"/>
  <c r="D340" i="5"/>
  <c r="E340" i="5"/>
  <c r="F340" i="5"/>
  <c r="H340" i="5"/>
  <c r="I340" i="5"/>
  <c r="N340" i="5"/>
  <c r="R340" i="5"/>
  <c r="Q340" i="5" s="1"/>
  <c r="S340" i="5"/>
  <c r="T340" i="5"/>
  <c r="C341" i="5"/>
  <c r="D341" i="5"/>
  <c r="E341" i="5"/>
  <c r="F341" i="5"/>
  <c r="H341" i="5"/>
  <c r="I341" i="5"/>
  <c r="L341" i="5"/>
  <c r="N341" i="5"/>
  <c r="Q341" i="5"/>
  <c r="S341" i="5" s="1"/>
  <c r="R341" i="5"/>
  <c r="T341" i="5"/>
  <c r="C342" i="5"/>
  <c r="D342" i="5"/>
  <c r="E342" i="5"/>
  <c r="F342" i="5"/>
  <c r="F1084" i="5" s="1"/>
  <c r="H342" i="5"/>
  <c r="I342" i="5"/>
  <c r="N342" i="5"/>
  <c r="R342" i="5"/>
  <c r="Q342" i="5" s="1"/>
  <c r="S342" i="5" s="1"/>
  <c r="T342" i="5"/>
  <c r="C343" i="5"/>
  <c r="L343" i="5" s="1"/>
  <c r="D343" i="5"/>
  <c r="E343" i="5"/>
  <c r="F343" i="5"/>
  <c r="H343" i="5"/>
  <c r="I343" i="5"/>
  <c r="N343" i="5"/>
  <c r="Q343" i="5"/>
  <c r="S343" i="5" s="1"/>
  <c r="R343" i="5"/>
  <c r="T343" i="5"/>
  <c r="C344" i="5"/>
  <c r="L344" i="5" s="1"/>
  <c r="D344" i="5"/>
  <c r="E344" i="5"/>
  <c r="F344" i="5"/>
  <c r="H344" i="5"/>
  <c r="I344" i="5"/>
  <c r="N344" i="5"/>
  <c r="R344" i="5"/>
  <c r="Q344" i="5" s="1"/>
  <c r="S344" i="5" s="1"/>
  <c r="T344" i="5"/>
  <c r="C345" i="5"/>
  <c r="L345" i="5" s="1"/>
  <c r="D345" i="5"/>
  <c r="E345" i="5"/>
  <c r="F345" i="5"/>
  <c r="H345" i="5"/>
  <c r="I345" i="5"/>
  <c r="N345" i="5"/>
  <c r="Q345" i="5"/>
  <c r="S345" i="5" s="1"/>
  <c r="R345" i="5"/>
  <c r="T345" i="5"/>
  <c r="C346" i="5"/>
  <c r="L346" i="5" s="1"/>
  <c r="D346" i="5"/>
  <c r="E346" i="5"/>
  <c r="F346" i="5"/>
  <c r="H346" i="5"/>
  <c r="I346" i="5"/>
  <c r="N346" i="5"/>
  <c r="Q346" i="5"/>
  <c r="S346" i="5" s="1"/>
  <c r="R346" i="5"/>
  <c r="T346" i="5"/>
  <c r="C347" i="5"/>
  <c r="D347" i="5"/>
  <c r="E347" i="5"/>
  <c r="F347" i="5"/>
  <c r="H347" i="5"/>
  <c r="I347" i="5"/>
  <c r="I1084" i="5" s="1"/>
  <c r="N347" i="5"/>
  <c r="Q347" i="5"/>
  <c r="S347" i="5" s="1"/>
  <c r="R347" i="5"/>
  <c r="T347" i="5"/>
  <c r="C348" i="5"/>
  <c r="D348" i="5"/>
  <c r="D1085" i="5" s="1"/>
  <c r="E348" i="5"/>
  <c r="F348" i="5"/>
  <c r="H348" i="5"/>
  <c r="I348" i="5"/>
  <c r="N348" i="5"/>
  <c r="R348" i="5"/>
  <c r="T348" i="5"/>
  <c r="T1085" i="5" s="1"/>
  <c r="C349" i="5"/>
  <c r="D349" i="5"/>
  <c r="E349" i="5"/>
  <c r="F349" i="5"/>
  <c r="H349" i="5"/>
  <c r="I349" i="5"/>
  <c r="N349" i="5"/>
  <c r="Q349" i="5"/>
  <c r="S349" i="5" s="1"/>
  <c r="R349" i="5"/>
  <c r="T349" i="5"/>
  <c r="C350" i="5"/>
  <c r="D350" i="5"/>
  <c r="E350" i="5"/>
  <c r="E1085" i="5" s="1"/>
  <c r="F350" i="5"/>
  <c r="H350" i="5"/>
  <c r="I350" i="5"/>
  <c r="N350" i="5"/>
  <c r="R350" i="5"/>
  <c r="Q350" i="5" s="1"/>
  <c r="S350" i="5" s="1"/>
  <c r="T350" i="5"/>
  <c r="C351" i="5"/>
  <c r="L351" i="5" s="1"/>
  <c r="D351" i="5"/>
  <c r="E351" i="5"/>
  <c r="F351" i="5"/>
  <c r="H351" i="5"/>
  <c r="I351" i="5"/>
  <c r="N351" i="5"/>
  <c r="Q351" i="5"/>
  <c r="S351" i="5" s="1"/>
  <c r="R351" i="5"/>
  <c r="T351" i="5"/>
  <c r="C352" i="5"/>
  <c r="L352" i="5" s="1"/>
  <c r="D352" i="5"/>
  <c r="E352" i="5"/>
  <c r="F352" i="5"/>
  <c r="H352" i="5"/>
  <c r="I352" i="5"/>
  <c r="N352" i="5"/>
  <c r="Q352" i="5"/>
  <c r="S352" i="5" s="1"/>
  <c r="R352" i="5"/>
  <c r="T352" i="5"/>
  <c r="C353" i="5"/>
  <c r="L353" i="5" s="1"/>
  <c r="D353" i="5"/>
  <c r="E353" i="5"/>
  <c r="F353" i="5"/>
  <c r="H353" i="5"/>
  <c r="I353" i="5"/>
  <c r="N353" i="5"/>
  <c r="Q353" i="5"/>
  <c r="S353" i="5" s="1"/>
  <c r="R353" i="5"/>
  <c r="T353" i="5"/>
  <c r="C354" i="5"/>
  <c r="D354" i="5"/>
  <c r="E354" i="5"/>
  <c r="F354" i="5"/>
  <c r="H354" i="5"/>
  <c r="I354" i="5"/>
  <c r="N354" i="5"/>
  <c r="R354" i="5"/>
  <c r="Q354" i="5" s="1"/>
  <c r="S354" i="5" s="1"/>
  <c r="T354" i="5"/>
  <c r="C355" i="5"/>
  <c r="D355" i="5"/>
  <c r="E355" i="5"/>
  <c r="F355" i="5"/>
  <c r="H355" i="5"/>
  <c r="I355" i="5"/>
  <c r="L355" i="5" s="1"/>
  <c r="N355" i="5"/>
  <c r="Q355" i="5"/>
  <c r="S355" i="5" s="1"/>
  <c r="R355" i="5"/>
  <c r="T355" i="5"/>
  <c r="C356" i="5"/>
  <c r="D356" i="5"/>
  <c r="E356" i="5"/>
  <c r="F356" i="5"/>
  <c r="H356" i="5"/>
  <c r="I356" i="5"/>
  <c r="N356" i="5"/>
  <c r="R356" i="5"/>
  <c r="Q356" i="5" s="1"/>
  <c r="S356" i="5"/>
  <c r="T356" i="5"/>
  <c r="C357" i="5"/>
  <c r="D357" i="5"/>
  <c r="E357" i="5"/>
  <c r="F357" i="5"/>
  <c r="H357" i="5"/>
  <c r="I357" i="5"/>
  <c r="L357" i="5"/>
  <c r="N357" i="5"/>
  <c r="Q357" i="5"/>
  <c r="S357" i="5" s="1"/>
  <c r="R357" i="5"/>
  <c r="T357" i="5"/>
  <c r="C358" i="5"/>
  <c r="D358" i="5"/>
  <c r="E358" i="5"/>
  <c r="F358" i="5"/>
  <c r="H358" i="5"/>
  <c r="I358" i="5"/>
  <c r="N358" i="5"/>
  <c r="R358" i="5"/>
  <c r="Q358" i="5" s="1"/>
  <c r="S358" i="5" s="1"/>
  <c r="T358" i="5"/>
  <c r="C359" i="5"/>
  <c r="L359" i="5" s="1"/>
  <c r="D359" i="5"/>
  <c r="E359" i="5"/>
  <c r="F359" i="5"/>
  <c r="H359" i="5"/>
  <c r="I359" i="5"/>
  <c r="N359" i="5"/>
  <c r="Q359" i="5"/>
  <c r="S359" i="5" s="1"/>
  <c r="R359" i="5"/>
  <c r="T359" i="5"/>
  <c r="C360" i="5"/>
  <c r="D360" i="5"/>
  <c r="E360" i="5"/>
  <c r="F360" i="5"/>
  <c r="H360" i="5"/>
  <c r="I360" i="5"/>
  <c r="N360" i="5"/>
  <c r="R360" i="5"/>
  <c r="T360" i="5"/>
  <c r="C361" i="5"/>
  <c r="D361" i="5"/>
  <c r="E361" i="5"/>
  <c r="F361" i="5"/>
  <c r="H361" i="5"/>
  <c r="I361" i="5"/>
  <c r="N361" i="5"/>
  <c r="Q361" i="5"/>
  <c r="S361" i="5" s="1"/>
  <c r="R361" i="5"/>
  <c r="T361" i="5"/>
  <c r="C362" i="5"/>
  <c r="L362" i="5" s="1"/>
  <c r="D362" i="5"/>
  <c r="E362" i="5"/>
  <c r="F362" i="5"/>
  <c r="H362" i="5"/>
  <c r="I362" i="5"/>
  <c r="N362" i="5"/>
  <c r="R362" i="5"/>
  <c r="Q362" i="5" s="1"/>
  <c r="S362" i="5"/>
  <c r="T362" i="5"/>
  <c r="C363" i="5"/>
  <c r="D363" i="5"/>
  <c r="E363" i="5"/>
  <c r="F363" i="5"/>
  <c r="H363" i="5"/>
  <c r="I363" i="5"/>
  <c r="L363" i="5"/>
  <c r="N363" i="5"/>
  <c r="Q363" i="5"/>
  <c r="S363" i="5" s="1"/>
  <c r="R363" i="5"/>
  <c r="T363" i="5"/>
  <c r="C364" i="5"/>
  <c r="D364" i="5"/>
  <c r="E364" i="5"/>
  <c r="E1086" i="5" s="1"/>
  <c r="F364" i="5"/>
  <c r="F1086" i="5" s="1"/>
  <c r="H364" i="5"/>
  <c r="I364" i="5"/>
  <c r="N364" i="5"/>
  <c r="R364" i="5"/>
  <c r="Q364" i="5" s="1"/>
  <c r="S364" i="5"/>
  <c r="T364" i="5"/>
  <c r="C365" i="5"/>
  <c r="L365" i="5" s="1"/>
  <c r="D365" i="5"/>
  <c r="E365" i="5"/>
  <c r="F365" i="5"/>
  <c r="H365" i="5"/>
  <c r="I365" i="5"/>
  <c r="N365" i="5"/>
  <c r="Q365" i="5"/>
  <c r="S365" i="5" s="1"/>
  <c r="R365" i="5"/>
  <c r="T365" i="5"/>
  <c r="C366" i="5"/>
  <c r="D366" i="5"/>
  <c r="E366" i="5"/>
  <c r="F366" i="5"/>
  <c r="H366" i="5"/>
  <c r="I366" i="5"/>
  <c r="N366" i="5"/>
  <c r="R366" i="5"/>
  <c r="Q366" i="5" s="1"/>
  <c r="T366" i="5"/>
  <c r="C367" i="5"/>
  <c r="L367" i="5" s="1"/>
  <c r="D367" i="5"/>
  <c r="E367" i="5"/>
  <c r="F367" i="5"/>
  <c r="H367" i="5"/>
  <c r="I367" i="5"/>
  <c r="N367" i="5"/>
  <c r="N1086" i="5" s="1"/>
  <c r="Q367" i="5"/>
  <c r="S367" i="5" s="1"/>
  <c r="R367" i="5"/>
  <c r="T367" i="5"/>
  <c r="C368" i="5"/>
  <c r="D368" i="5"/>
  <c r="E368" i="5"/>
  <c r="F368" i="5"/>
  <c r="H368" i="5"/>
  <c r="I368" i="5"/>
  <c r="N368" i="5"/>
  <c r="R368" i="5"/>
  <c r="Q368" i="5" s="1"/>
  <c r="S368" i="5" s="1"/>
  <c r="T368" i="5"/>
  <c r="C369" i="5"/>
  <c r="L369" i="5" s="1"/>
  <c r="D369" i="5"/>
  <c r="E369" i="5"/>
  <c r="F369" i="5"/>
  <c r="H369" i="5"/>
  <c r="I369" i="5"/>
  <c r="N369" i="5"/>
  <c r="Q369" i="5"/>
  <c r="S369" i="5" s="1"/>
  <c r="R369" i="5"/>
  <c r="T369" i="5"/>
  <c r="C370" i="5"/>
  <c r="D370" i="5"/>
  <c r="D1086" i="5" s="1"/>
  <c r="E370" i="5"/>
  <c r="F370" i="5"/>
  <c r="H370" i="5"/>
  <c r="I370" i="5"/>
  <c r="N370" i="5"/>
  <c r="R370" i="5"/>
  <c r="Q370" i="5" s="1"/>
  <c r="S370" i="5"/>
  <c r="T370" i="5"/>
  <c r="C371" i="5"/>
  <c r="D371" i="5"/>
  <c r="E371" i="5"/>
  <c r="F371" i="5"/>
  <c r="H371" i="5"/>
  <c r="I371" i="5"/>
  <c r="L371" i="5"/>
  <c r="N371" i="5"/>
  <c r="Q371" i="5"/>
  <c r="S371" i="5" s="1"/>
  <c r="R371" i="5"/>
  <c r="T371" i="5"/>
  <c r="C372" i="5"/>
  <c r="D372" i="5"/>
  <c r="D1087" i="5" s="1"/>
  <c r="E372" i="5"/>
  <c r="F372" i="5"/>
  <c r="F1087" i="5" s="1"/>
  <c r="H372" i="5"/>
  <c r="I372" i="5"/>
  <c r="N372" i="5"/>
  <c r="R372" i="5"/>
  <c r="Q372" i="5" s="1"/>
  <c r="S372" i="5"/>
  <c r="T372" i="5"/>
  <c r="T1087" i="5" s="1"/>
  <c r="C373" i="5"/>
  <c r="D373" i="5"/>
  <c r="E373" i="5"/>
  <c r="F373" i="5"/>
  <c r="H373" i="5"/>
  <c r="I373" i="5"/>
  <c r="N373" i="5"/>
  <c r="N1087" i="5" s="1"/>
  <c r="Q373" i="5"/>
  <c r="S373" i="5" s="1"/>
  <c r="R373" i="5"/>
  <c r="T373" i="5"/>
  <c r="C374" i="5"/>
  <c r="D374" i="5"/>
  <c r="E374" i="5"/>
  <c r="F374" i="5"/>
  <c r="H374" i="5"/>
  <c r="I374" i="5"/>
  <c r="N374" i="5"/>
  <c r="R374" i="5"/>
  <c r="Q374" i="5" s="1"/>
  <c r="S374" i="5" s="1"/>
  <c r="T374" i="5"/>
  <c r="C375" i="5"/>
  <c r="L375" i="5" s="1"/>
  <c r="D375" i="5"/>
  <c r="E375" i="5"/>
  <c r="F375" i="5"/>
  <c r="H375" i="5"/>
  <c r="I375" i="5"/>
  <c r="N375" i="5"/>
  <c r="Q375" i="5"/>
  <c r="S375" i="5" s="1"/>
  <c r="R375" i="5"/>
  <c r="T375" i="5"/>
  <c r="C376" i="5"/>
  <c r="L376" i="5" s="1"/>
  <c r="D376" i="5"/>
  <c r="E376" i="5"/>
  <c r="F376" i="5"/>
  <c r="H376" i="5"/>
  <c r="I376" i="5"/>
  <c r="N376" i="5"/>
  <c r="R376" i="5"/>
  <c r="T376" i="5"/>
  <c r="C377" i="5"/>
  <c r="L377" i="5" s="1"/>
  <c r="D377" i="5"/>
  <c r="E377" i="5"/>
  <c r="F377" i="5"/>
  <c r="H377" i="5"/>
  <c r="I377" i="5"/>
  <c r="N377" i="5"/>
  <c r="Q377" i="5"/>
  <c r="S377" i="5" s="1"/>
  <c r="R377" i="5"/>
  <c r="T377" i="5"/>
  <c r="C378" i="5"/>
  <c r="L378" i="5" s="1"/>
  <c r="D378" i="5"/>
  <c r="E378" i="5"/>
  <c r="F378" i="5"/>
  <c r="H378" i="5"/>
  <c r="I378" i="5"/>
  <c r="N378" i="5"/>
  <c r="R378" i="5"/>
  <c r="Q378" i="5" s="1"/>
  <c r="S378" i="5" s="1"/>
  <c r="T378" i="5"/>
  <c r="C379" i="5"/>
  <c r="D379" i="5"/>
  <c r="E379" i="5"/>
  <c r="F379" i="5"/>
  <c r="H379" i="5"/>
  <c r="I379" i="5"/>
  <c r="N379" i="5"/>
  <c r="Q379" i="5"/>
  <c r="S379" i="5" s="1"/>
  <c r="R379" i="5"/>
  <c r="T379" i="5"/>
  <c r="C380" i="5"/>
  <c r="L380" i="5" s="1"/>
  <c r="D380" i="5"/>
  <c r="E380" i="5"/>
  <c r="F380" i="5"/>
  <c r="H380" i="5"/>
  <c r="I380" i="5"/>
  <c r="N380" i="5"/>
  <c r="R380" i="5"/>
  <c r="Q380" i="5" s="1"/>
  <c r="T380" i="5"/>
  <c r="C381" i="5"/>
  <c r="D381" i="5"/>
  <c r="E381" i="5"/>
  <c r="F381" i="5"/>
  <c r="H381" i="5"/>
  <c r="I381" i="5"/>
  <c r="L381" i="5" s="1"/>
  <c r="N381" i="5"/>
  <c r="Q381" i="5"/>
  <c r="S381" i="5" s="1"/>
  <c r="R381" i="5"/>
  <c r="T381" i="5"/>
  <c r="C382" i="5"/>
  <c r="D382" i="5"/>
  <c r="E382" i="5"/>
  <c r="F382" i="5"/>
  <c r="H382" i="5"/>
  <c r="I382" i="5"/>
  <c r="N382" i="5"/>
  <c r="R382" i="5"/>
  <c r="Q382" i="5" s="1"/>
  <c r="S382" i="5" s="1"/>
  <c r="T382" i="5"/>
  <c r="C383" i="5"/>
  <c r="L383" i="5" s="1"/>
  <c r="D383" i="5"/>
  <c r="E383" i="5"/>
  <c r="F383" i="5"/>
  <c r="H383" i="5"/>
  <c r="I383" i="5"/>
  <c r="N383" i="5"/>
  <c r="Q383" i="5"/>
  <c r="S383" i="5" s="1"/>
  <c r="R383" i="5"/>
  <c r="T383" i="5"/>
  <c r="C384" i="5"/>
  <c r="L384" i="5" s="1"/>
  <c r="D384" i="5"/>
  <c r="E384" i="5"/>
  <c r="F384" i="5"/>
  <c r="H384" i="5"/>
  <c r="I384" i="5"/>
  <c r="N384" i="5"/>
  <c r="Q384" i="5"/>
  <c r="R384" i="5"/>
  <c r="R1088" i="5" s="1"/>
  <c r="T384" i="5"/>
  <c r="C385" i="5"/>
  <c r="D385" i="5"/>
  <c r="E385" i="5"/>
  <c r="F385" i="5"/>
  <c r="H385" i="5"/>
  <c r="I385" i="5"/>
  <c r="I1088" i="5" s="1"/>
  <c r="N385" i="5"/>
  <c r="Q385" i="5"/>
  <c r="S385" i="5" s="1"/>
  <c r="R385" i="5"/>
  <c r="T385" i="5"/>
  <c r="C386" i="5"/>
  <c r="D386" i="5"/>
  <c r="E386" i="5"/>
  <c r="F386" i="5"/>
  <c r="H386" i="5"/>
  <c r="I386" i="5"/>
  <c r="N386" i="5"/>
  <c r="R386" i="5"/>
  <c r="Q386" i="5" s="1"/>
  <c r="S386" i="5" s="1"/>
  <c r="T386" i="5"/>
  <c r="C387" i="5"/>
  <c r="D387" i="5"/>
  <c r="E387" i="5"/>
  <c r="F387" i="5"/>
  <c r="H387" i="5"/>
  <c r="I387" i="5"/>
  <c r="L387" i="5" s="1"/>
  <c r="N387" i="5"/>
  <c r="Q387" i="5"/>
  <c r="S387" i="5" s="1"/>
  <c r="R387" i="5"/>
  <c r="T387" i="5"/>
  <c r="C388" i="5"/>
  <c r="D388" i="5"/>
  <c r="E388" i="5"/>
  <c r="F388" i="5"/>
  <c r="H388" i="5"/>
  <c r="I388" i="5"/>
  <c r="N388" i="5"/>
  <c r="R388" i="5"/>
  <c r="Q388" i="5" s="1"/>
  <c r="S388" i="5"/>
  <c r="T388" i="5"/>
  <c r="C389" i="5"/>
  <c r="D389" i="5"/>
  <c r="E389" i="5"/>
  <c r="F389" i="5"/>
  <c r="H389" i="5"/>
  <c r="I389" i="5"/>
  <c r="L389" i="5"/>
  <c r="N389" i="5"/>
  <c r="Q389" i="5"/>
  <c r="S389" i="5" s="1"/>
  <c r="R389" i="5"/>
  <c r="T389" i="5"/>
  <c r="C390" i="5"/>
  <c r="D390" i="5"/>
  <c r="E390" i="5"/>
  <c r="F390" i="5"/>
  <c r="F1088" i="5" s="1"/>
  <c r="H390" i="5"/>
  <c r="I390" i="5"/>
  <c r="N390" i="5"/>
  <c r="R390" i="5"/>
  <c r="Q390" i="5" s="1"/>
  <c r="S390" i="5" s="1"/>
  <c r="T390" i="5"/>
  <c r="C391" i="5"/>
  <c r="L391" i="5" s="1"/>
  <c r="D391" i="5"/>
  <c r="E391" i="5"/>
  <c r="F391" i="5"/>
  <c r="H391" i="5"/>
  <c r="I391" i="5"/>
  <c r="N391" i="5"/>
  <c r="Q391" i="5"/>
  <c r="S391" i="5" s="1"/>
  <c r="R391" i="5"/>
  <c r="T391" i="5"/>
  <c r="C392" i="5"/>
  <c r="L392" i="5" s="1"/>
  <c r="D392" i="5"/>
  <c r="E392" i="5"/>
  <c r="F392" i="5"/>
  <c r="H392" i="5"/>
  <c r="I392" i="5"/>
  <c r="N392" i="5"/>
  <c r="R392" i="5"/>
  <c r="Q392" i="5" s="1"/>
  <c r="S392" i="5" s="1"/>
  <c r="T392" i="5"/>
  <c r="C393" i="5"/>
  <c r="D393" i="5"/>
  <c r="E393" i="5"/>
  <c r="F393" i="5"/>
  <c r="H393" i="5"/>
  <c r="I393" i="5"/>
  <c r="N393" i="5"/>
  <c r="Q393" i="5"/>
  <c r="S393" i="5" s="1"/>
  <c r="R393" i="5"/>
  <c r="T393" i="5"/>
  <c r="C394" i="5"/>
  <c r="D394" i="5"/>
  <c r="E394" i="5"/>
  <c r="F394" i="5"/>
  <c r="H394" i="5"/>
  <c r="I394" i="5"/>
  <c r="N394" i="5"/>
  <c r="R394" i="5"/>
  <c r="Q394" i="5" s="1"/>
  <c r="S394" i="5"/>
  <c r="T394" i="5"/>
  <c r="C395" i="5"/>
  <c r="D395" i="5"/>
  <c r="E395" i="5"/>
  <c r="F395" i="5"/>
  <c r="H395" i="5"/>
  <c r="I395" i="5"/>
  <c r="L395" i="5"/>
  <c r="N395" i="5"/>
  <c r="Q395" i="5"/>
  <c r="S395" i="5" s="1"/>
  <c r="R395" i="5"/>
  <c r="T395" i="5"/>
  <c r="C396" i="5"/>
  <c r="D396" i="5"/>
  <c r="E396" i="5"/>
  <c r="F396" i="5"/>
  <c r="H396" i="5"/>
  <c r="I396" i="5"/>
  <c r="N396" i="5"/>
  <c r="R396" i="5"/>
  <c r="Q396" i="5" s="1"/>
  <c r="S396" i="5"/>
  <c r="T396" i="5"/>
  <c r="C397" i="5"/>
  <c r="L397" i="5" s="1"/>
  <c r="D397" i="5"/>
  <c r="E397" i="5"/>
  <c r="F397" i="5"/>
  <c r="H397" i="5"/>
  <c r="I397" i="5"/>
  <c r="N397" i="5"/>
  <c r="Q397" i="5"/>
  <c r="S397" i="5" s="1"/>
  <c r="R397" i="5"/>
  <c r="T397" i="5"/>
  <c r="C398" i="5"/>
  <c r="D398" i="5"/>
  <c r="E398" i="5"/>
  <c r="F398" i="5"/>
  <c r="H398" i="5"/>
  <c r="I398" i="5"/>
  <c r="N398" i="5"/>
  <c r="R398" i="5"/>
  <c r="Q398" i="5" s="1"/>
  <c r="S398" i="5" s="1"/>
  <c r="T398" i="5"/>
  <c r="C399" i="5"/>
  <c r="L399" i="5" s="1"/>
  <c r="D399" i="5"/>
  <c r="E399" i="5"/>
  <c r="F399" i="5"/>
  <c r="H399" i="5"/>
  <c r="I399" i="5"/>
  <c r="N399" i="5"/>
  <c r="Q399" i="5"/>
  <c r="S399" i="5" s="1"/>
  <c r="R399" i="5"/>
  <c r="T399" i="5"/>
  <c r="C400" i="5"/>
  <c r="D400" i="5"/>
  <c r="E400" i="5"/>
  <c r="F400" i="5"/>
  <c r="H400" i="5"/>
  <c r="I400" i="5"/>
  <c r="N400" i="5"/>
  <c r="R400" i="5"/>
  <c r="Q400" i="5" s="1"/>
  <c r="S400" i="5" s="1"/>
  <c r="T400" i="5"/>
  <c r="C401" i="5"/>
  <c r="L401" i="5" s="1"/>
  <c r="D401" i="5"/>
  <c r="E401" i="5"/>
  <c r="F401" i="5"/>
  <c r="H401" i="5"/>
  <c r="I401" i="5"/>
  <c r="N401" i="5"/>
  <c r="Q401" i="5"/>
  <c r="S401" i="5" s="1"/>
  <c r="R401" i="5"/>
  <c r="T401" i="5"/>
  <c r="C402" i="5"/>
  <c r="D402" i="5"/>
  <c r="E402" i="5"/>
  <c r="F402" i="5"/>
  <c r="H402" i="5"/>
  <c r="I402" i="5"/>
  <c r="N402" i="5"/>
  <c r="Q402" i="5"/>
  <c r="S402" i="5" s="1"/>
  <c r="R402" i="5"/>
  <c r="R1089" i="5" s="1"/>
  <c r="T402" i="5"/>
  <c r="C403" i="5"/>
  <c r="D403" i="5"/>
  <c r="E403" i="5"/>
  <c r="F403" i="5"/>
  <c r="H403" i="5"/>
  <c r="L403" i="5" s="1"/>
  <c r="I403" i="5"/>
  <c r="N403" i="5"/>
  <c r="Q403" i="5"/>
  <c r="S403" i="5" s="1"/>
  <c r="R403" i="5"/>
  <c r="T403" i="5"/>
  <c r="C404" i="5"/>
  <c r="L404" i="5" s="1"/>
  <c r="D404" i="5"/>
  <c r="E404" i="5"/>
  <c r="F404" i="5"/>
  <c r="H404" i="5"/>
  <c r="I404" i="5"/>
  <c r="N404" i="5"/>
  <c r="R404" i="5"/>
  <c r="Q404" i="5" s="1"/>
  <c r="S404" i="5"/>
  <c r="T404" i="5"/>
  <c r="C405" i="5"/>
  <c r="D405" i="5"/>
  <c r="E405" i="5"/>
  <c r="F405" i="5"/>
  <c r="H405" i="5"/>
  <c r="I405" i="5"/>
  <c r="L405" i="5"/>
  <c r="N405" i="5"/>
  <c r="Q405" i="5"/>
  <c r="S405" i="5" s="1"/>
  <c r="R405" i="5"/>
  <c r="T405" i="5"/>
  <c r="C406" i="5"/>
  <c r="D406" i="5"/>
  <c r="E406" i="5"/>
  <c r="F406" i="5"/>
  <c r="H406" i="5"/>
  <c r="I406" i="5"/>
  <c r="N406" i="5"/>
  <c r="R406" i="5"/>
  <c r="Q406" i="5" s="1"/>
  <c r="S406" i="5" s="1"/>
  <c r="T406" i="5"/>
  <c r="C407" i="5"/>
  <c r="L407" i="5" s="1"/>
  <c r="D407" i="5"/>
  <c r="E407" i="5"/>
  <c r="F407" i="5"/>
  <c r="H407" i="5"/>
  <c r="I407" i="5"/>
  <c r="N407" i="5"/>
  <c r="Q407" i="5"/>
  <c r="S407" i="5" s="1"/>
  <c r="R407" i="5"/>
  <c r="T407" i="5"/>
  <c r="C408" i="5"/>
  <c r="D408" i="5"/>
  <c r="E408" i="5"/>
  <c r="F408" i="5"/>
  <c r="H408" i="5"/>
  <c r="I408" i="5"/>
  <c r="N408" i="5"/>
  <c r="R408" i="5"/>
  <c r="T408" i="5"/>
  <c r="C409" i="5"/>
  <c r="L409" i="5" s="1"/>
  <c r="D409" i="5"/>
  <c r="E409" i="5"/>
  <c r="F409" i="5"/>
  <c r="H409" i="5"/>
  <c r="I409" i="5"/>
  <c r="N409" i="5"/>
  <c r="Q409" i="5"/>
  <c r="S409" i="5" s="1"/>
  <c r="R409" i="5"/>
  <c r="T409" i="5"/>
  <c r="C410" i="5"/>
  <c r="L410" i="5" s="1"/>
  <c r="D410" i="5"/>
  <c r="E410" i="5"/>
  <c r="F410" i="5"/>
  <c r="H410" i="5"/>
  <c r="I410" i="5"/>
  <c r="N410" i="5"/>
  <c r="R410" i="5"/>
  <c r="Q410" i="5" s="1"/>
  <c r="S410" i="5" s="1"/>
  <c r="T410" i="5"/>
  <c r="C411" i="5"/>
  <c r="D411" i="5"/>
  <c r="E411" i="5"/>
  <c r="F411" i="5"/>
  <c r="H411" i="5"/>
  <c r="L411" i="5" s="1"/>
  <c r="I411" i="5"/>
  <c r="I1090" i="5" s="1"/>
  <c r="N411" i="5"/>
  <c r="Q411" i="5"/>
  <c r="S411" i="5" s="1"/>
  <c r="R411" i="5"/>
  <c r="T411" i="5"/>
  <c r="C412" i="5"/>
  <c r="D412" i="5"/>
  <c r="E412" i="5"/>
  <c r="E1090" i="5" s="1"/>
  <c r="F412" i="5"/>
  <c r="H412" i="5"/>
  <c r="I412" i="5"/>
  <c r="N412" i="5"/>
  <c r="R412" i="5"/>
  <c r="Q412" i="5" s="1"/>
  <c r="S412" i="5"/>
  <c r="T412" i="5"/>
  <c r="C413" i="5"/>
  <c r="L413" i="5" s="1"/>
  <c r="D413" i="5"/>
  <c r="E413" i="5"/>
  <c r="F413" i="5"/>
  <c r="H413" i="5"/>
  <c r="I413" i="5"/>
  <c r="N413" i="5"/>
  <c r="Q413" i="5"/>
  <c r="S413" i="5" s="1"/>
  <c r="R413" i="5"/>
  <c r="T413" i="5"/>
  <c r="C414" i="5"/>
  <c r="D414" i="5"/>
  <c r="E414" i="5"/>
  <c r="F414" i="5"/>
  <c r="H414" i="5"/>
  <c r="I414" i="5"/>
  <c r="N414" i="5"/>
  <c r="R414" i="5"/>
  <c r="Q414" i="5" s="1"/>
  <c r="S414" i="5" s="1"/>
  <c r="T414" i="5"/>
  <c r="C415" i="5"/>
  <c r="L415" i="5" s="1"/>
  <c r="D415" i="5"/>
  <c r="E415" i="5"/>
  <c r="F415" i="5"/>
  <c r="H415" i="5"/>
  <c r="I415" i="5"/>
  <c r="N415" i="5"/>
  <c r="Q415" i="5"/>
  <c r="S415" i="5" s="1"/>
  <c r="R415" i="5"/>
  <c r="T415" i="5"/>
  <c r="C416" i="5"/>
  <c r="L416" i="5" s="1"/>
  <c r="D416" i="5"/>
  <c r="E416" i="5"/>
  <c r="F416" i="5"/>
  <c r="H416" i="5"/>
  <c r="I416" i="5"/>
  <c r="N416" i="5"/>
  <c r="R416" i="5"/>
  <c r="Q416" i="5" s="1"/>
  <c r="S416" i="5" s="1"/>
  <c r="T416" i="5"/>
  <c r="C417" i="5"/>
  <c r="L417" i="5" s="1"/>
  <c r="D417" i="5"/>
  <c r="E417" i="5"/>
  <c r="F417" i="5"/>
  <c r="H417" i="5"/>
  <c r="I417" i="5"/>
  <c r="N417" i="5"/>
  <c r="Q417" i="5"/>
  <c r="S417" i="5" s="1"/>
  <c r="R417" i="5"/>
  <c r="T417" i="5"/>
  <c r="C418" i="5"/>
  <c r="D418" i="5"/>
  <c r="E418" i="5"/>
  <c r="F418" i="5"/>
  <c r="H418" i="5"/>
  <c r="I418" i="5"/>
  <c r="N418" i="5"/>
  <c r="R418" i="5"/>
  <c r="Q418" i="5" s="1"/>
  <c r="S418" i="5" s="1"/>
  <c r="T418" i="5"/>
  <c r="C419" i="5"/>
  <c r="D419" i="5"/>
  <c r="E419" i="5"/>
  <c r="F419" i="5"/>
  <c r="H419" i="5"/>
  <c r="I419" i="5"/>
  <c r="L419" i="5" s="1"/>
  <c r="N419" i="5"/>
  <c r="Q419" i="5"/>
  <c r="S419" i="5" s="1"/>
  <c r="R419" i="5"/>
  <c r="T419" i="5"/>
  <c r="C420" i="5"/>
  <c r="D420" i="5"/>
  <c r="E420" i="5"/>
  <c r="F420" i="5"/>
  <c r="H420" i="5"/>
  <c r="I420" i="5"/>
  <c r="N420" i="5"/>
  <c r="R420" i="5"/>
  <c r="Q420" i="5" s="1"/>
  <c r="S420" i="5"/>
  <c r="T420" i="5"/>
  <c r="C421" i="5"/>
  <c r="D421" i="5"/>
  <c r="E421" i="5"/>
  <c r="F421" i="5"/>
  <c r="H421" i="5"/>
  <c r="I421" i="5"/>
  <c r="L421" i="5"/>
  <c r="N421" i="5"/>
  <c r="Q421" i="5"/>
  <c r="S421" i="5" s="1"/>
  <c r="R421" i="5"/>
  <c r="T421" i="5"/>
  <c r="C422" i="5"/>
  <c r="D422" i="5"/>
  <c r="E422" i="5"/>
  <c r="F422" i="5"/>
  <c r="H422" i="5"/>
  <c r="I422" i="5"/>
  <c r="N422" i="5"/>
  <c r="R422" i="5"/>
  <c r="Q422" i="5" s="1"/>
  <c r="S422" i="5" s="1"/>
  <c r="T422" i="5"/>
  <c r="C423" i="5"/>
  <c r="D423" i="5"/>
  <c r="E423" i="5"/>
  <c r="F423" i="5"/>
  <c r="H423" i="5"/>
  <c r="I423" i="5"/>
  <c r="N423" i="5"/>
  <c r="Q423" i="5"/>
  <c r="S423" i="5" s="1"/>
  <c r="R423" i="5"/>
  <c r="T423" i="5"/>
  <c r="C424" i="5"/>
  <c r="D424" i="5"/>
  <c r="E424" i="5"/>
  <c r="F424" i="5"/>
  <c r="H424" i="5"/>
  <c r="I424" i="5"/>
  <c r="N424" i="5"/>
  <c r="R424" i="5"/>
  <c r="Q424" i="5" s="1"/>
  <c r="T424" i="5"/>
  <c r="C425" i="5"/>
  <c r="D425" i="5"/>
  <c r="E425" i="5"/>
  <c r="F425" i="5"/>
  <c r="H425" i="5"/>
  <c r="I425" i="5"/>
  <c r="N425" i="5"/>
  <c r="Q425" i="5"/>
  <c r="S425" i="5" s="1"/>
  <c r="R425" i="5"/>
  <c r="T425" i="5"/>
  <c r="C426" i="5"/>
  <c r="L426" i="5" s="1"/>
  <c r="D426" i="5"/>
  <c r="D1091" i="5" s="1"/>
  <c r="E426" i="5"/>
  <c r="F426" i="5"/>
  <c r="H426" i="5"/>
  <c r="I426" i="5"/>
  <c r="N426" i="5"/>
  <c r="R426" i="5"/>
  <c r="Q426" i="5" s="1"/>
  <c r="S426" i="5"/>
  <c r="T426" i="5"/>
  <c r="C427" i="5"/>
  <c r="D427" i="5"/>
  <c r="E427" i="5"/>
  <c r="F427" i="5"/>
  <c r="H427" i="5"/>
  <c r="I427" i="5"/>
  <c r="L427" i="5"/>
  <c r="N427" i="5"/>
  <c r="Q427" i="5"/>
  <c r="S427" i="5" s="1"/>
  <c r="R427" i="5"/>
  <c r="T427" i="5"/>
  <c r="C428" i="5"/>
  <c r="D428" i="5"/>
  <c r="E428" i="5"/>
  <c r="F428" i="5"/>
  <c r="H428" i="5"/>
  <c r="I428" i="5"/>
  <c r="N428" i="5"/>
  <c r="R428" i="5"/>
  <c r="Q428" i="5" s="1"/>
  <c r="S428" i="5"/>
  <c r="T428" i="5"/>
  <c r="C429" i="5"/>
  <c r="L429" i="5" s="1"/>
  <c r="D429" i="5"/>
  <c r="E429" i="5"/>
  <c r="F429" i="5"/>
  <c r="H429" i="5"/>
  <c r="I429" i="5"/>
  <c r="N429" i="5"/>
  <c r="Q429" i="5"/>
  <c r="S429" i="5" s="1"/>
  <c r="R429" i="5"/>
  <c r="T429" i="5"/>
  <c r="C430" i="5"/>
  <c r="D430" i="5"/>
  <c r="E430" i="5"/>
  <c r="F430" i="5"/>
  <c r="H430" i="5"/>
  <c r="I430" i="5"/>
  <c r="N430" i="5"/>
  <c r="R430" i="5"/>
  <c r="Q430" i="5" s="1"/>
  <c r="S430" i="5" s="1"/>
  <c r="T430" i="5"/>
  <c r="C431" i="5"/>
  <c r="L431" i="5" s="1"/>
  <c r="D431" i="5"/>
  <c r="E431" i="5"/>
  <c r="F431" i="5"/>
  <c r="H431" i="5"/>
  <c r="I431" i="5"/>
  <c r="N431" i="5"/>
  <c r="Q431" i="5"/>
  <c r="S431" i="5" s="1"/>
  <c r="R431" i="5"/>
  <c r="T431" i="5"/>
  <c r="C432" i="5"/>
  <c r="D432" i="5"/>
  <c r="E432" i="5"/>
  <c r="F432" i="5"/>
  <c r="H432" i="5"/>
  <c r="I432" i="5"/>
  <c r="N432" i="5"/>
  <c r="R432" i="5"/>
  <c r="Q432" i="5" s="1"/>
  <c r="S432" i="5" s="1"/>
  <c r="T432" i="5"/>
  <c r="C433" i="5"/>
  <c r="D433" i="5"/>
  <c r="E433" i="5"/>
  <c r="F433" i="5"/>
  <c r="H433" i="5"/>
  <c r="I433" i="5"/>
  <c r="N433" i="5"/>
  <c r="Q433" i="5"/>
  <c r="S433" i="5" s="1"/>
  <c r="R433" i="5"/>
  <c r="T433" i="5"/>
  <c r="C434" i="5"/>
  <c r="D434" i="5"/>
  <c r="E434" i="5"/>
  <c r="F434" i="5"/>
  <c r="H434" i="5"/>
  <c r="I434" i="5"/>
  <c r="N434" i="5"/>
  <c r="R434" i="5"/>
  <c r="T434" i="5"/>
  <c r="T1092" i="5" s="1"/>
  <c r="C435" i="5"/>
  <c r="D435" i="5"/>
  <c r="E435" i="5"/>
  <c r="F435" i="5"/>
  <c r="H435" i="5"/>
  <c r="I435" i="5"/>
  <c r="L435" i="5"/>
  <c r="N435" i="5"/>
  <c r="Q435" i="5"/>
  <c r="S435" i="5" s="1"/>
  <c r="R435" i="5"/>
  <c r="T435" i="5"/>
  <c r="C436" i="5"/>
  <c r="D436" i="5"/>
  <c r="E436" i="5"/>
  <c r="F436" i="5"/>
  <c r="H436" i="5"/>
  <c r="I436" i="5"/>
  <c r="N436" i="5"/>
  <c r="R436" i="5"/>
  <c r="Q436" i="5" s="1"/>
  <c r="S436" i="5"/>
  <c r="T436" i="5"/>
  <c r="C437" i="5"/>
  <c r="D437" i="5"/>
  <c r="E437" i="5"/>
  <c r="F437" i="5"/>
  <c r="H437" i="5"/>
  <c r="I437" i="5"/>
  <c r="L437" i="5"/>
  <c r="N437" i="5"/>
  <c r="Q437" i="5"/>
  <c r="S437" i="5" s="1"/>
  <c r="R437" i="5"/>
  <c r="T437" i="5"/>
  <c r="C438" i="5"/>
  <c r="D438" i="5"/>
  <c r="E438" i="5"/>
  <c r="F438" i="5"/>
  <c r="F1092" i="5" s="1"/>
  <c r="H438" i="5"/>
  <c r="I438" i="5"/>
  <c r="N438" i="5"/>
  <c r="R438" i="5"/>
  <c r="Q438" i="5" s="1"/>
  <c r="S438" i="5" s="1"/>
  <c r="T438" i="5"/>
  <c r="C439" i="5"/>
  <c r="L439" i="5" s="1"/>
  <c r="D439" i="5"/>
  <c r="E439" i="5"/>
  <c r="F439" i="5"/>
  <c r="H439" i="5"/>
  <c r="I439" i="5"/>
  <c r="N439" i="5"/>
  <c r="Q439" i="5"/>
  <c r="S439" i="5" s="1"/>
  <c r="R439" i="5"/>
  <c r="T439" i="5"/>
  <c r="C440" i="5"/>
  <c r="D440" i="5"/>
  <c r="E440" i="5"/>
  <c r="F440" i="5"/>
  <c r="H440" i="5"/>
  <c r="I440" i="5"/>
  <c r="N440" i="5"/>
  <c r="R440" i="5"/>
  <c r="Q440" i="5" s="1"/>
  <c r="S440" i="5" s="1"/>
  <c r="T440" i="5"/>
  <c r="C441" i="5"/>
  <c r="L441" i="5" s="1"/>
  <c r="D441" i="5"/>
  <c r="E441" i="5"/>
  <c r="F441" i="5"/>
  <c r="H441" i="5"/>
  <c r="I441" i="5"/>
  <c r="N441" i="5"/>
  <c r="Q441" i="5"/>
  <c r="S441" i="5" s="1"/>
  <c r="R441" i="5"/>
  <c r="T441" i="5"/>
  <c r="C442" i="5"/>
  <c r="L442" i="5" s="1"/>
  <c r="D442" i="5"/>
  <c r="E442" i="5"/>
  <c r="F442" i="5"/>
  <c r="H442" i="5"/>
  <c r="I442" i="5"/>
  <c r="N442" i="5"/>
  <c r="R442" i="5"/>
  <c r="Q442" i="5" s="1"/>
  <c r="S442" i="5" s="1"/>
  <c r="T442" i="5"/>
  <c r="C443" i="5"/>
  <c r="D443" i="5"/>
  <c r="E443" i="5"/>
  <c r="F443" i="5"/>
  <c r="H443" i="5"/>
  <c r="I443" i="5"/>
  <c r="N443" i="5"/>
  <c r="Q443" i="5"/>
  <c r="S443" i="5" s="1"/>
  <c r="R443" i="5"/>
  <c r="T443" i="5"/>
  <c r="C444" i="5"/>
  <c r="D444" i="5"/>
  <c r="D1093" i="5" s="1"/>
  <c r="E444" i="5"/>
  <c r="F444" i="5"/>
  <c r="H444" i="5"/>
  <c r="I444" i="5"/>
  <c r="N444" i="5"/>
  <c r="R444" i="5"/>
  <c r="Q444" i="5" s="1"/>
  <c r="S444" i="5"/>
  <c r="T444" i="5"/>
  <c r="T1093" i="5" s="1"/>
  <c r="C445" i="5"/>
  <c r="L445" i="5" s="1"/>
  <c r="D445" i="5"/>
  <c r="E445" i="5"/>
  <c r="F445" i="5"/>
  <c r="H445" i="5"/>
  <c r="I445" i="5"/>
  <c r="N445" i="5"/>
  <c r="Q445" i="5"/>
  <c r="S445" i="5" s="1"/>
  <c r="R445" i="5"/>
  <c r="T445" i="5"/>
  <c r="C446" i="5"/>
  <c r="D446" i="5"/>
  <c r="E446" i="5"/>
  <c r="F446" i="5"/>
  <c r="F1093" i="5" s="1"/>
  <c r="H446" i="5"/>
  <c r="I446" i="5"/>
  <c r="N446" i="5"/>
  <c r="R446" i="5"/>
  <c r="Q446" i="5" s="1"/>
  <c r="S446" i="5" s="1"/>
  <c r="T446" i="5"/>
  <c r="C447" i="5"/>
  <c r="D447" i="5"/>
  <c r="E447" i="5"/>
  <c r="F447" i="5"/>
  <c r="H447" i="5"/>
  <c r="I447" i="5"/>
  <c r="N447" i="5"/>
  <c r="Q447" i="5"/>
  <c r="S447" i="5" s="1"/>
  <c r="R447" i="5"/>
  <c r="T447" i="5"/>
  <c r="C448" i="5"/>
  <c r="L448" i="5" s="1"/>
  <c r="D448" i="5"/>
  <c r="E448" i="5"/>
  <c r="F448" i="5"/>
  <c r="H448" i="5"/>
  <c r="I448" i="5"/>
  <c r="N448" i="5"/>
  <c r="R448" i="5"/>
  <c r="Q448" i="5" s="1"/>
  <c r="S448" i="5" s="1"/>
  <c r="T448" i="5"/>
  <c r="C449" i="5"/>
  <c r="L449" i="5" s="1"/>
  <c r="D449" i="5"/>
  <c r="E449" i="5"/>
  <c r="F449" i="5"/>
  <c r="H449" i="5"/>
  <c r="I449" i="5"/>
  <c r="N449" i="5"/>
  <c r="Q449" i="5"/>
  <c r="S449" i="5" s="1"/>
  <c r="R449" i="5"/>
  <c r="T449" i="5"/>
  <c r="C450" i="5"/>
  <c r="D450" i="5"/>
  <c r="E450" i="5"/>
  <c r="F450" i="5"/>
  <c r="H450" i="5"/>
  <c r="I450" i="5"/>
  <c r="N450" i="5"/>
  <c r="R450" i="5"/>
  <c r="Q450" i="5" s="1"/>
  <c r="S450" i="5" s="1"/>
  <c r="T450" i="5"/>
  <c r="C451" i="5"/>
  <c r="D451" i="5"/>
  <c r="E451" i="5"/>
  <c r="F451" i="5"/>
  <c r="H451" i="5"/>
  <c r="I451" i="5"/>
  <c r="L451" i="5" s="1"/>
  <c r="N451" i="5"/>
  <c r="Q451" i="5"/>
  <c r="S451" i="5" s="1"/>
  <c r="R451" i="5"/>
  <c r="T451" i="5"/>
  <c r="C452" i="5"/>
  <c r="D452" i="5"/>
  <c r="E452" i="5"/>
  <c r="F452" i="5"/>
  <c r="H452" i="5"/>
  <c r="I452" i="5"/>
  <c r="N452" i="5"/>
  <c r="R452" i="5"/>
  <c r="T452" i="5"/>
  <c r="C453" i="5"/>
  <c r="D453" i="5"/>
  <c r="E453" i="5"/>
  <c r="F453" i="5"/>
  <c r="H453" i="5"/>
  <c r="I453" i="5"/>
  <c r="L453" i="5" s="1"/>
  <c r="N453" i="5"/>
  <c r="Q453" i="5"/>
  <c r="S453" i="5" s="1"/>
  <c r="R453" i="5"/>
  <c r="T453" i="5"/>
  <c r="C454" i="5"/>
  <c r="D454" i="5"/>
  <c r="E454" i="5"/>
  <c r="F454" i="5"/>
  <c r="H454" i="5"/>
  <c r="I454" i="5"/>
  <c r="N454" i="5"/>
  <c r="R454" i="5"/>
  <c r="Q454" i="5" s="1"/>
  <c r="S454" i="5" s="1"/>
  <c r="T454" i="5"/>
  <c r="C455" i="5"/>
  <c r="L455" i="5" s="1"/>
  <c r="D455" i="5"/>
  <c r="E455" i="5"/>
  <c r="F455" i="5"/>
  <c r="H455" i="5"/>
  <c r="I455" i="5"/>
  <c r="N455" i="5"/>
  <c r="Q455" i="5"/>
  <c r="S455" i="5" s="1"/>
  <c r="R455" i="5"/>
  <c r="T455" i="5"/>
  <c r="C456" i="5"/>
  <c r="D456" i="5"/>
  <c r="E456" i="5"/>
  <c r="F456" i="5"/>
  <c r="H456" i="5"/>
  <c r="I456" i="5"/>
  <c r="N456" i="5"/>
  <c r="Q456" i="5"/>
  <c r="S456" i="5" s="1"/>
  <c r="R456" i="5"/>
  <c r="T456" i="5"/>
  <c r="C457" i="5"/>
  <c r="D457" i="5"/>
  <c r="E457" i="5"/>
  <c r="F457" i="5"/>
  <c r="H457" i="5"/>
  <c r="I457" i="5"/>
  <c r="N457" i="5"/>
  <c r="Q457" i="5"/>
  <c r="S457" i="5" s="1"/>
  <c r="R457" i="5"/>
  <c r="T457" i="5"/>
  <c r="C458" i="5"/>
  <c r="D458" i="5"/>
  <c r="D1094" i="5" s="1"/>
  <c r="E458" i="5"/>
  <c r="E1094" i="5" s="1"/>
  <c r="F458" i="5"/>
  <c r="H458" i="5"/>
  <c r="I458" i="5"/>
  <c r="N458" i="5"/>
  <c r="R458" i="5"/>
  <c r="Q458" i="5" s="1"/>
  <c r="Q1094" i="5" s="1"/>
  <c r="S458" i="5"/>
  <c r="T458" i="5"/>
  <c r="C459" i="5"/>
  <c r="D459" i="5"/>
  <c r="E459" i="5"/>
  <c r="F459" i="5"/>
  <c r="H459" i="5"/>
  <c r="I459" i="5"/>
  <c r="I1094" i="5" s="1"/>
  <c r="L459" i="5"/>
  <c r="N459" i="5"/>
  <c r="Q459" i="5"/>
  <c r="S459" i="5" s="1"/>
  <c r="R459" i="5"/>
  <c r="T459" i="5"/>
  <c r="C460" i="5"/>
  <c r="D460" i="5"/>
  <c r="E460" i="5"/>
  <c r="F460" i="5"/>
  <c r="H460" i="5"/>
  <c r="I460" i="5"/>
  <c r="N460" i="5"/>
  <c r="R460" i="5"/>
  <c r="Q460" i="5" s="1"/>
  <c r="S460" i="5"/>
  <c r="T460" i="5"/>
  <c r="C461" i="5"/>
  <c r="L461" i="5" s="1"/>
  <c r="D461" i="5"/>
  <c r="E461" i="5"/>
  <c r="F461" i="5"/>
  <c r="H461" i="5"/>
  <c r="I461" i="5"/>
  <c r="N461" i="5"/>
  <c r="Q461" i="5"/>
  <c r="S461" i="5" s="1"/>
  <c r="R461" i="5"/>
  <c r="T461" i="5"/>
  <c r="C462" i="5"/>
  <c r="D462" i="5"/>
  <c r="E462" i="5"/>
  <c r="F462" i="5"/>
  <c r="H462" i="5"/>
  <c r="I462" i="5"/>
  <c r="N462" i="5"/>
  <c r="R462" i="5"/>
  <c r="Q462" i="5" s="1"/>
  <c r="S462" i="5" s="1"/>
  <c r="T462" i="5"/>
  <c r="C463" i="5"/>
  <c r="L463" i="5" s="1"/>
  <c r="D463" i="5"/>
  <c r="E463" i="5"/>
  <c r="F463" i="5"/>
  <c r="H463" i="5"/>
  <c r="I463" i="5"/>
  <c r="N463" i="5"/>
  <c r="Q463" i="5"/>
  <c r="S463" i="5" s="1"/>
  <c r="R463" i="5"/>
  <c r="T463" i="5"/>
  <c r="C464" i="5"/>
  <c r="D464" i="5"/>
  <c r="E464" i="5"/>
  <c r="F464" i="5"/>
  <c r="H464" i="5"/>
  <c r="I464" i="5"/>
  <c r="N464" i="5"/>
  <c r="R464" i="5"/>
  <c r="Q464" i="5" s="1"/>
  <c r="S464" i="5" s="1"/>
  <c r="T464" i="5"/>
  <c r="C465" i="5"/>
  <c r="D465" i="5"/>
  <c r="E465" i="5"/>
  <c r="F465" i="5"/>
  <c r="H465" i="5"/>
  <c r="I465" i="5"/>
  <c r="N465" i="5"/>
  <c r="Q465" i="5"/>
  <c r="S465" i="5" s="1"/>
  <c r="R465" i="5"/>
  <c r="T465" i="5"/>
  <c r="C466" i="5"/>
  <c r="D466" i="5"/>
  <c r="E466" i="5"/>
  <c r="F466" i="5"/>
  <c r="H466" i="5"/>
  <c r="I466" i="5"/>
  <c r="N466" i="5"/>
  <c r="Q466" i="5"/>
  <c r="S466" i="5" s="1"/>
  <c r="R466" i="5"/>
  <c r="T466" i="5"/>
  <c r="C467" i="5"/>
  <c r="D467" i="5"/>
  <c r="E467" i="5"/>
  <c r="F467" i="5"/>
  <c r="H467" i="5"/>
  <c r="L467" i="5" s="1"/>
  <c r="I467" i="5"/>
  <c r="N467" i="5"/>
  <c r="Q467" i="5"/>
  <c r="S467" i="5" s="1"/>
  <c r="R467" i="5"/>
  <c r="T467" i="5"/>
  <c r="C468" i="5"/>
  <c r="D468" i="5"/>
  <c r="D1095" i="5" s="1"/>
  <c r="E468" i="5"/>
  <c r="F468" i="5"/>
  <c r="F1095" i="5" s="1"/>
  <c r="H468" i="5"/>
  <c r="I468" i="5"/>
  <c r="N468" i="5"/>
  <c r="R468" i="5"/>
  <c r="Q468" i="5" s="1"/>
  <c r="S468" i="5"/>
  <c r="T468" i="5"/>
  <c r="T1095" i="5" s="1"/>
  <c r="C469" i="5"/>
  <c r="L469" i="5" s="1"/>
  <c r="D469" i="5"/>
  <c r="E469" i="5"/>
  <c r="F469" i="5"/>
  <c r="H469" i="5"/>
  <c r="I469" i="5"/>
  <c r="N469" i="5"/>
  <c r="N1095" i="5" s="1"/>
  <c r="Q469" i="5"/>
  <c r="S469" i="5" s="1"/>
  <c r="R469" i="5"/>
  <c r="T469" i="5"/>
  <c r="C470" i="5"/>
  <c r="D470" i="5"/>
  <c r="E470" i="5"/>
  <c r="F470" i="5"/>
  <c r="H470" i="5"/>
  <c r="I470" i="5"/>
  <c r="N470" i="5"/>
  <c r="R470" i="5"/>
  <c r="Q470" i="5" s="1"/>
  <c r="S470" i="5" s="1"/>
  <c r="T470" i="5"/>
  <c r="C471" i="5"/>
  <c r="L471" i="5" s="1"/>
  <c r="D471" i="5"/>
  <c r="E471" i="5"/>
  <c r="F471" i="5"/>
  <c r="H471" i="5"/>
  <c r="I471" i="5"/>
  <c r="N471" i="5"/>
  <c r="Q471" i="5"/>
  <c r="S471" i="5" s="1"/>
  <c r="R471" i="5"/>
  <c r="T471" i="5"/>
  <c r="C472" i="5"/>
  <c r="D472" i="5"/>
  <c r="E472" i="5"/>
  <c r="F472" i="5"/>
  <c r="H472" i="5"/>
  <c r="I472" i="5"/>
  <c r="N472" i="5"/>
  <c r="R472" i="5"/>
  <c r="Q472" i="5" s="1"/>
  <c r="S472" i="5" s="1"/>
  <c r="T472" i="5"/>
  <c r="C473" i="5"/>
  <c r="L473" i="5" s="1"/>
  <c r="D473" i="5"/>
  <c r="E473" i="5"/>
  <c r="F473" i="5"/>
  <c r="H473" i="5"/>
  <c r="I473" i="5"/>
  <c r="N473" i="5"/>
  <c r="Q473" i="5"/>
  <c r="S473" i="5" s="1"/>
  <c r="R473" i="5"/>
  <c r="T473" i="5"/>
  <c r="C474" i="5"/>
  <c r="D474" i="5"/>
  <c r="E474" i="5"/>
  <c r="F474" i="5"/>
  <c r="H474" i="5"/>
  <c r="I474" i="5"/>
  <c r="L474" i="5"/>
  <c r="N474" i="5"/>
  <c r="Q474" i="5"/>
  <c r="S474" i="5" s="1"/>
  <c r="R474" i="5"/>
  <c r="T474" i="5"/>
  <c r="C475" i="5"/>
  <c r="D475" i="5"/>
  <c r="E475" i="5"/>
  <c r="F475" i="5"/>
  <c r="H475" i="5"/>
  <c r="I475" i="5"/>
  <c r="N475" i="5"/>
  <c r="Q475" i="5"/>
  <c r="R475" i="5"/>
  <c r="S475" i="5"/>
  <c r="T475" i="5"/>
  <c r="C476" i="5"/>
  <c r="L476" i="5" s="1"/>
  <c r="D476" i="5"/>
  <c r="E476" i="5"/>
  <c r="F476" i="5"/>
  <c r="H476" i="5"/>
  <c r="I476" i="5"/>
  <c r="N476" i="5"/>
  <c r="Q476" i="5"/>
  <c r="S476" i="5" s="1"/>
  <c r="R476" i="5"/>
  <c r="T476" i="5"/>
  <c r="C477" i="5"/>
  <c r="D477" i="5"/>
  <c r="E477" i="5"/>
  <c r="F477" i="5"/>
  <c r="H477" i="5"/>
  <c r="I477" i="5"/>
  <c r="N477" i="5"/>
  <c r="Q477" i="5"/>
  <c r="R477" i="5"/>
  <c r="S477" i="5"/>
  <c r="T477" i="5"/>
  <c r="C478" i="5"/>
  <c r="D478" i="5"/>
  <c r="E478" i="5"/>
  <c r="F478" i="5"/>
  <c r="H478" i="5"/>
  <c r="I478" i="5"/>
  <c r="L478" i="5"/>
  <c r="N478" i="5"/>
  <c r="Q478" i="5"/>
  <c r="S478" i="5" s="1"/>
  <c r="R478" i="5"/>
  <c r="T478" i="5"/>
  <c r="C479" i="5"/>
  <c r="D479" i="5"/>
  <c r="E479" i="5"/>
  <c r="F479" i="5"/>
  <c r="H479" i="5"/>
  <c r="I479" i="5"/>
  <c r="N479" i="5"/>
  <c r="Q479" i="5"/>
  <c r="R479" i="5"/>
  <c r="S479" i="5"/>
  <c r="T479" i="5"/>
  <c r="C480" i="5"/>
  <c r="D480" i="5"/>
  <c r="E480" i="5"/>
  <c r="F480" i="5"/>
  <c r="H480" i="5"/>
  <c r="I480" i="5"/>
  <c r="L480" i="5"/>
  <c r="N480" i="5"/>
  <c r="Q480" i="5"/>
  <c r="R480" i="5"/>
  <c r="T480" i="5"/>
  <c r="C481" i="5"/>
  <c r="D481" i="5"/>
  <c r="E481" i="5"/>
  <c r="L481" i="5" s="1"/>
  <c r="F481" i="5"/>
  <c r="H481" i="5"/>
  <c r="I481" i="5"/>
  <c r="N481" i="5"/>
  <c r="Q481" i="5"/>
  <c r="R481" i="5"/>
  <c r="S481" i="5"/>
  <c r="T481" i="5"/>
  <c r="C482" i="5"/>
  <c r="L482" i="5" s="1"/>
  <c r="D482" i="5"/>
  <c r="E482" i="5"/>
  <c r="F482" i="5"/>
  <c r="H482" i="5"/>
  <c r="I482" i="5"/>
  <c r="N482" i="5"/>
  <c r="Q482" i="5"/>
  <c r="S482" i="5" s="1"/>
  <c r="R482" i="5"/>
  <c r="T482" i="5"/>
  <c r="C483" i="5"/>
  <c r="D483" i="5"/>
  <c r="E483" i="5"/>
  <c r="F483" i="5"/>
  <c r="H483" i="5"/>
  <c r="I483" i="5"/>
  <c r="N483" i="5"/>
  <c r="Q483" i="5"/>
  <c r="R483" i="5"/>
  <c r="S483" i="5"/>
  <c r="T483" i="5"/>
  <c r="C484" i="5"/>
  <c r="L484" i="5" s="1"/>
  <c r="D484" i="5"/>
  <c r="E484" i="5"/>
  <c r="F484" i="5"/>
  <c r="H484" i="5"/>
  <c r="I484" i="5"/>
  <c r="N484" i="5"/>
  <c r="Q484" i="5"/>
  <c r="S484" i="5" s="1"/>
  <c r="R484" i="5"/>
  <c r="T484" i="5"/>
  <c r="C485" i="5"/>
  <c r="D485" i="5"/>
  <c r="E485" i="5"/>
  <c r="F485" i="5"/>
  <c r="H485" i="5"/>
  <c r="I485" i="5"/>
  <c r="N485" i="5"/>
  <c r="Q485" i="5"/>
  <c r="R485" i="5"/>
  <c r="S485" i="5"/>
  <c r="T485" i="5"/>
  <c r="C486" i="5"/>
  <c r="D486" i="5"/>
  <c r="E486" i="5"/>
  <c r="F486" i="5"/>
  <c r="H486" i="5"/>
  <c r="I486" i="5"/>
  <c r="L486" i="5"/>
  <c r="N486" i="5"/>
  <c r="Q486" i="5"/>
  <c r="S486" i="5" s="1"/>
  <c r="R486" i="5"/>
  <c r="T486" i="5"/>
  <c r="C487" i="5"/>
  <c r="D487" i="5"/>
  <c r="E487" i="5"/>
  <c r="F487" i="5"/>
  <c r="H487" i="5"/>
  <c r="I487" i="5"/>
  <c r="N487" i="5"/>
  <c r="Q487" i="5"/>
  <c r="R487" i="5"/>
  <c r="S487" i="5"/>
  <c r="T487" i="5"/>
  <c r="C488" i="5"/>
  <c r="D488" i="5"/>
  <c r="E488" i="5"/>
  <c r="F488" i="5"/>
  <c r="H488" i="5"/>
  <c r="I488" i="5"/>
  <c r="L488" i="5"/>
  <c r="N488" i="5"/>
  <c r="Q488" i="5"/>
  <c r="S488" i="5" s="1"/>
  <c r="R488" i="5"/>
  <c r="T488" i="5"/>
  <c r="C489" i="5"/>
  <c r="D489" i="5"/>
  <c r="E489" i="5"/>
  <c r="F489" i="5"/>
  <c r="H489" i="5"/>
  <c r="I489" i="5"/>
  <c r="N489" i="5"/>
  <c r="Q489" i="5"/>
  <c r="R489" i="5"/>
  <c r="S489" i="5"/>
  <c r="T489" i="5"/>
  <c r="C490" i="5"/>
  <c r="L490" i="5" s="1"/>
  <c r="D490" i="5"/>
  <c r="E490" i="5"/>
  <c r="F490" i="5"/>
  <c r="H490" i="5"/>
  <c r="I490" i="5"/>
  <c r="N490" i="5"/>
  <c r="Q490" i="5"/>
  <c r="S490" i="5" s="1"/>
  <c r="R490" i="5"/>
  <c r="T490" i="5"/>
  <c r="C491" i="5"/>
  <c r="D491" i="5"/>
  <c r="E491" i="5"/>
  <c r="F491" i="5"/>
  <c r="H491" i="5"/>
  <c r="I491" i="5"/>
  <c r="N491" i="5"/>
  <c r="Q491" i="5"/>
  <c r="R491" i="5"/>
  <c r="S491" i="5"/>
  <c r="T491" i="5"/>
  <c r="C492" i="5"/>
  <c r="L492" i="5" s="1"/>
  <c r="D492" i="5"/>
  <c r="E492" i="5"/>
  <c r="F492" i="5"/>
  <c r="H492" i="5"/>
  <c r="I492" i="5"/>
  <c r="N492" i="5"/>
  <c r="Q492" i="5"/>
  <c r="S492" i="5" s="1"/>
  <c r="R492" i="5"/>
  <c r="T492" i="5"/>
  <c r="C493" i="5"/>
  <c r="D493" i="5"/>
  <c r="E493" i="5"/>
  <c r="L493" i="5" s="1"/>
  <c r="F493" i="5"/>
  <c r="H493" i="5"/>
  <c r="I493" i="5"/>
  <c r="N493" i="5"/>
  <c r="Q493" i="5"/>
  <c r="R493" i="5"/>
  <c r="S493" i="5"/>
  <c r="T493" i="5"/>
  <c r="C494" i="5"/>
  <c r="D494" i="5"/>
  <c r="E494" i="5"/>
  <c r="F494" i="5"/>
  <c r="H494" i="5"/>
  <c r="I494" i="5"/>
  <c r="L494" i="5"/>
  <c r="N494" i="5"/>
  <c r="Q494" i="5"/>
  <c r="S494" i="5" s="1"/>
  <c r="R494" i="5"/>
  <c r="T494" i="5"/>
  <c r="C495" i="5"/>
  <c r="D495" i="5"/>
  <c r="E495" i="5"/>
  <c r="F495" i="5"/>
  <c r="H495" i="5"/>
  <c r="I495" i="5"/>
  <c r="N495" i="5"/>
  <c r="Q495" i="5"/>
  <c r="R495" i="5"/>
  <c r="S495" i="5"/>
  <c r="T495" i="5"/>
  <c r="C496" i="5"/>
  <c r="D496" i="5"/>
  <c r="E496" i="5"/>
  <c r="F496" i="5"/>
  <c r="H496" i="5"/>
  <c r="I496" i="5"/>
  <c r="N496" i="5"/>
  <c r="Q496" i="5"/>
  <c r="R496" i="5"/>
  <c r="T496" i="5"/>
  <c r="C497" i="5"/>
  <c r="D497" i="5"/>
  <c r="E497" i="5"/>
  <c r="F497" i="5"/>
  <c r="H497" i="5"/>
  <c r="I497" i="5"/>
  <c r="N497" i="5"/>
  <c r="Q497" i="5"/>
  <c r="R497" i="5"/>
  <c r="S497" i="5"/>
  <c r="T497" i="5"/>
  <c r="C498" i="5"/>
  <c r="D498" i="5"/>
  <c r="E498" i="5"/>
  <c r="F498" i="5"/>
  <c r="H498" i="5"/>
  <c r="I498" i="5"/>
  <c r="L498" i="5"/>
  <c r="N498" i="5"/>
  <c r="Q498" i="5"/>
  <c r="S498" i="5" s="1"/>
  <c r="R498" i="5"/>
  <c r="T498" i="5"/>
  <c r="C499" i="5"/>
  <c r="D499" i="5"/>
  <c r="E499" i="5"/>
  <c r="F499" i="5"/>
  <c r="H499" i="5"/>
  <c r="I499" i="5"/>
  <c r="N499" i="5"/>
  <c r="Q499" i="5"/>
  <c r="R499" i="5"/>
  <c r="S499" i="5"/>
  <c r="T499" i="5"/>
  <c r="C500" i="5"/>
  <c r="D500" i="5"/>
  <c r="E500" i="5"/>
  <c r="F500" i="5"/>
  <c r="H500" i="5"/>
  <c r="I500" i="5"/>
  <c r="N500" i="5"/>
  <c r="Q500" i="5"/>
  <c r="R500" i="5"/>
  <c r="T500" i="5"/>
  <c r="C501" i="5"/>
  <c r="D501" i="5"/>
  <c r="E501" i="5"/>
  <c r="F501" i="5"/>
  <c r="H501" i="5"/>
  <c r="I501" i="5"/>
  <c r="N501" i="5"/>
  <c r="Q501" i="5"/>
  <c r="R501" i="5"/>
  <c r="S501" i="5"/>
  <c r="T501" i="5"/>
  <c r="C502" i="5"/>
  <c r="D502" i="5"/>
  <c r="E502" i="5"/>
  <c r="F502" i="5"/>
  <c r="H502" i="5"/>
  <c r="I502" i="5"/>
  <c r="L502" i="5"/>
  <c r="N502" i="5"/>
  <c r="Q502" i="5"/>
  <c r="S502" i="5" s="1"/>
  <c r="R502" i="5"/>
  <c r="T502" i="5"/>
  <c r="C503" i="5"/>
  <c r="D503" i="5"/>
  <c r="E503" i="5"/>
  <c r="F503" i="5"/>
  <c r="H503" i="5"/>
  <c r="I503" i="5"/>
  <c r="N503" i="5"/>
  <c r="Q503" i="5"/>
  <c r="R503" i="5"/>
  <c r="S503" i="5"/>
  <c r="T503" i="5"/>
  <c r="C504" i="5"/>
  <c r="D504" i="5"/>
  <c r="E504" i="5"/>
  <c r="F504" i="5"/>
  <c r="H504" i="5"/>
  <c r="I504" i="5"/>
  <c r="N504" i="5"/>
  <c r="Q504" i="5"/>
  <c r="R504" i="5"/>
  <c r="T504" i="5"/>
  <c r="C505" i="5"/>
  <c r="D505" i="5"/>
  <c r="E505" i="5"/>
  <c r="L505" i="5" s="1"/>
  <c r="F505" i="5"/>
  <c r="H505" i="5"/>
  <c r="I505" i="5"/>
  <c r="N505" i="5"/>
  <c r="Q505" i="5"/>
  <c r="R505" i="5"/>
  <c r="S505" i="5"/>
  <c r="T505" i="5"/>
  <c r="C506" i="5"/>
  <c r="D506" i="5"/>
  <c r="E506" i="5"/>
  <c r="F506" i="5"/>
  <c r="H506" i="5"/>
  <c r="I506" i="5"/>
  <c r="L506" i="5"/>
  <c r="N506" i="5"/>
  <c r="Q506" i="5"/>
  <c r="S506" i="5" s="1"/>
  <c r="R506" i="5"/>
  <c r="T506" i="5"/>
  <c r="C507" i="5"/>
  <c r="D507" i="5"/>
  <c r="E507" i="5"/>
  <c r="F507" i="5"/>
  <c r="H507" i="5"/>
  <c r="I507" i="5"/>
  <c r="N507" i="5"/>
  <c r="Q507" i="5"/>
  <c r="R507" i="5"/>
  <c r="S507" i="5"/>
  <c r="T507" i="5"/>
  <c r="C508" i="5"/>
  <c r="L508" i="5" s="1"/>
  <c r="D508" i="5"/>
  <c r="E508" i="5"/>
  <c r="F508" i="5"/>
  <c r="H508" i="5"/>
  <c r="I508" i="5"/>
  <c r="N508" i="5"/>
  <c r="Q508" i="5"/>
  <c r="S508" i="5" s="1"/>
  <c r="R508" i="5"/>
  <c r="T508" i="5"/>
  <c r="C509" i="5"/>
  <c r="D509" i="5"/>
  <c r="E509" i="5"/>
  <c r="L509" i="5" s="1"/>
  <c r="F509" i="5"/>
  <c r="H509" i="5"/>
  <c r="I509" i="5"/>
  <c r="N509" i="5"/>
  <c r="Q509" i="5"/>
  <c r="R509" i="5"/>
  <c r="S509" i="5"/>
  <c r="T509" i="5"/>
  <c r="C510" i="5"/>
  <c r="D510" i="5"/>
  <c r="E510" i="5"/>
  <c r="F510" i="5"/>
  <c r="H510" i="5"/>
  <c r="I510" i="5"/>
  <c r="L510" i="5"/>
  <c r="N510" i="5"/>
  <c r="Q510" i="5"/>
  <c r="S510" i="5" s="1"/>
  <c r="R510" i="5"/>
  <c r="T510" i="5"/>
  <c r="C511" i="5"/>
  <c r="D511" i="5"/>
  <c r="E511" i="5"/>
  <c r="F511" i="5"/>
  <c r="H511" i="5"/>
  <c r="I511" i="5"/>
  <c r="N511" i="5"/>
  <c r="Q511" i="5"/>
  <c r="R511" i="5"/>
  <c r="S511" i="5"/>
  <c r="T511" i="5"/>
  <c r="C512" i="5"/>
  <c r="D512" i="5"/>
  <c r="E512" i="5"/>
  <c r="F512" i="5"/>
  <c r="H512" i="5"/>
  <c r="I512" i="5"/>
  <c r="L512" i="5"/>
  <c r="N512" i="5"/>
  <c r="Q512" i="5"/>
  <c r="S512" i="5" s="1"/>
  <c r="R512" i="5"/>
  <c r="T512" i="5"/>
  <c r="C513" i="5"/>
  <c r="D513" i="5"/>
  <c r="E513" i="5"/>
  <c r="L513" i="5" s="1"/>
  <c r="F513" i="5"/>
  <c r="H513" i="5"/>
  <c r="I513" i="5"/>
  <c r="N513" i="5"/>
  <c r="Q513" i="5"/>
  <c r="R513" i="5"/>
  <c r="S513" i="5"/>
  <c r="T513" i="5"/>
  <c r="C514" i="5"/>
  <c r="L514" i="5" s="1"/>
  <c r="D514" i="5"/>
  <c r="E514" i="5"/>
  <c r="F514" i="5"/>
  <c r="H514" i="5"/>
  <c r="I514" i="5"/>
  <c r="N514" i="5"/>
  <c r="Q514" i="5"/>
  <c r="S514" i="5" s="1"/>
  <c r="R514" i="5"/>
  <c r="T514" i="5"/>
  <c r="C515" i="5"/>
  <c r="D515" i="5"/>
  <c r="E515" i="5"/>
  <c r="F515" i="5"/>
  <c r="H515" i="5"/>
  <c r="I515" i="5"/>
  <c r="N515" i="5"/>
  <c r="Q515" i="5"/>
  <c r="R515" i="5"/>
  <c r="S515" i="5"/>
  <c r="T515" i="5"/>
  <c r="C516" i="5"/>
  <c r="L516" i="5" s="1"/>
  <c r="D516" i="5"/>
  <c r="E516" i="5"/>
  <c r="F516" i="5"/>
  <c r="H516" i="5"/>
  <c r="I516" i="5"/>
  <c r="N516" i="5"/>
  <c r="Q516" i="5"/>
  <c r="S516" i="5" s="1"/>
  <c r="R516" i="5"/>
  <c r="T516" i="5"/>
  <c r="C517" i="5"/>
  <c r="D517" i="5"/>
  <c r="E517" i="5"/>
  <c r="L517" i="5" s="1"/>
  <c r="F517" i="5"/>
  <c r="H517" i="5"/>
  <c r="I517" i="5"/>
  <c r="N517" i="5"/>
  <c r="Q517" i="5"/>
  <c r="R517" i="5"/>
  <c r="S517" i="5"/>
  <c r="T517" i="5"/>
  <c r="C518" i="5"/>
  <c r="D518" i="5"/>
  <c r="E518" i="5"/>
  <c r="F518" i="5"/>
  <c r="H518" i="5"/>
  <c r="I518" i="5"/>
  <c r="L518" i="5"/>
  <c r="N518" i="5"/>
  <c r="Q518" i="5"/>
  <c r="S518" i="5" s="1"/>
  <c r="R518" i="5"/>
  <c r="T518" i="5"/>
  <c r="C519" i="5"/>
  <c r="D519" i="5"/>
  <c r="E519" i="5"/>
  <c r="L519" i="5" s="1"/>
  <c r="F519" i="5"/>
  <c r="H519" i="5"/>
  <c r="I519" i="5"/>
  <c r="N519" i="5"/>
  <c r="Q519" i="5"/>
  <c r="R519" i="5"/>
  <c r="S519" i="5"/>
  <c r="T519" i="5"/>
  <c r="C520" i="5"/>
  <c r="D520" i="5"/>
  <c r="E520" i="5"/>
  <c r="F520" i="5"/>
  <c r="H520" i="5"/>
  <c r="I520" i="5"/>
  <c r="L520" i="5"/>
  <c r="N520" i="5"/>
  <c r="Q520" i="5"/>
  <c r="S520" i="5" s="1"/>
  <c r="R520" i="5"/>
  <c r="T520" i="5"/>
  <c r="C521" i="5"/>
  <c r="D521" i="5"/>
  <c r="E521" i="5"/>
  <c r="F521" i="5"/>
  <c r="H521" i="5"/>
  <c r="I521" i="5"/>
  <c r="N521" i="5"/>
  <c r="Q521" i="5"/>
  <c r="R521" i="5"/>
  <c r="S521" i="5"/>
  <c r="T521" i="5"/>
  <c r="C522" i="5"/>
  <c r="L522" i="5" s="1"/>
  <c r="D522" i="5"/>
  <c r="E522" i="5"/>
  <c r="F522" i="5"/>
  <c r="H522" i="5"/>
  <c r="I522" i="5"/>
  <c r="N522" i="5"/>
  <c r="Q522" i="5"/>
  <c r="S522" i="5" s="1"/>
  <c r="R522" i="5"/>
  <c r="T522" i="5"/>
  <c r="C523" i="5"/>
  <c r="D523" i="5"/>
  <c r="E523" i="5"/>
  <c r="F523" i="5"/>
  <c r="H523" i="5"/>
  <c r="I523" i="5"/>
  <c r="N523" i="5"/>
  <c r="Q523" i="5"/>
  <c r="R523" i="5"/>
  <c r="S523" i="5"/>
  <c r="T523" i="5"/>
  <c r="C524" i="5"/>
  <c r="L524" i="5" s="1"/>
  <c r="D524" i="5"/>
  <c r="E524" i="5"/>
  <c r="F524" i="5"/>
  <c r="H524" i="5"/>
  <c r="I524" i="5"/>
  <c r="N524" i="5"/>
  <c r="Q524" i="5"/>
  <c r="S524" i="5" s="1"/>
  <c r="R524" i="5"/>
  <c r="T524" i="5"/>
  <c r="C525" i="5"/>
  <c r="D525" i="5"/>
  <c r="E525" i="5"/>
  <c r="L525" i="5" s="1"/>
  <c r="F525" i="5"/>
  <c r="H525" i="5"/>
  <c r="I525" i="5"/>
  <c r="N525" i="5"/>
  <c r="Q525" i="5"/>
  <c r="R525" i="5"/>
  <c r="S525" i="5"/>
  <c r="T525" i="5"/>
  <c r="C526" i="5"/>
  <c r="D526" i="5"/>
  <c r="E526" i="5"/>
  <c r="F526" i="5"/>
  <c r="H526" i="5"/>
  <c r="I526" i="5"/>
  <c r="L526" i="5"/>
  <c r="N526" i="5"/>
  <c r="Q526" i="5"/>
  <c r="S526" i="5" s="1"/>
  <c r="R526" i="5"/>
  <c r="T526" i="5"/>
  <c r="C527" i="5"/>
  <c r="D527" i="5"/>
  <c r="E527" i="5"/>
  <c r="L527" i="5" s="1"/>
  <c r="F527" i="5"/>
  <c r="H527" i="5"/>
  <c r="I527" i="5"/>
  <c r="N527" i="5"/>
  <c r="Q527" i="5"/>
  <c r="R527" i="5"/>
  <c r="S527" i="5"/>
  <c r="T527" i="5"/>
  <c r="C528" i="5"/>
  <c r="D528" i="5"/>
  <c r="E528" i="5"/>
  <c r="F528" i="5"/>
  <c r="H528" i="5"/>
  <c r="I528" i="5"/>
  <c r="L528" i="5"/>
  <c r="N528" i="5"/>
  <c r="Q528" i="5"/>
  <c r="S528" i="5" s="1"/>
  <c r="R528" i="5"/>
  <c r="T528" i="5"/>
  <c r="C529" i="5"/>
  <c r="D529" i="5"/>
  <c r="E529" i="5"/>
  <c r="F529" i="5"/>
  <c r="H529" i="5"/>
  <c r="I529" i="5"/>
  <c r="N529" i="5"/>
  <c r="Q529" i="5"/>
  <c r="R529" i="5"/>
  <c r="S529" i="5"/>
  <c r="T529" i="5"/>
  <c r="C530" i="5"/>
  <c r="L530" i="5" s="1"/>
  <c r="D530" i="5"/>
  <c r="E530" i="5"/>
  <c r="F530" i="5"/>
  <c r="H530" i="5"/>
  <c r="I530" i="5"/>
  <c r="N530" i="5"/>
  <c r="Q530" i="5"/>
  <c r="S530" i="5" s="1"/>
  <c r="R530" i="5"/>
  <c r="T530" i="5"/>
  <c r="C531" i="5"/>
  <c r="D531" i="5"/>
  <c r="E531" i="5"/>
  <c r="F531" i="5"/>
  <c r="H531" i="5"/>
  <c r="I531" i="5"/>
  <c r="N531" i="5"/>
  <c r="Q531" i="5"/>
  <c r="R531" i="5"/>
  <c r="S531" i="5"/>
  <c r="T531" i="5"/>
  <c r="C532" i="5"/>
  <c r="L532" i="5" s="1"/>
  <c r="D532" i="5"/>
  <c r="E532" i="5"/>
  <c r="F532" i="5"/>
  <c r="H532" i="5"/>
  <c r="I532" i="5"/>
  <c r="N532" i="5"/>
  <c r="Q532" i="5"/>
  <c r="S532" i="5" s="1"/>
  <c r="R532" i="5"/>
  <c r="T532" i="5"/>
  <c r="C533" i="5"/>
  <c r="D533" i="5"/>
  <c r="E533" i="5"/>
  <c r="L533" i="5" s="1"/>
  <c r="F533" i="5"/>
  <c r="H533" i="5"/>
  <c r="I533" i="5"/>
  <c r="N533" i="5"/>
  <c r="Q533" i="5"/>
  <c r="R533" i="5"/>
  <c r="S533" i="5"/>
  <c r="T533" i="5"/>
  <c r="C534" i="5"/>
  <c r="D534" i="5"/>
  <c r="E534" i="5"/>
  <c r="F534" i="5"/>
  <c r="H534" i="5"/>
  <c r="I534" i="5"/>
  <c r="L534" i="5"/>
  <c r="N534" i="5"/>
  <c r="Q534" i="5"/>
  <c r="S534" i="5" s="1"/>
  <c r="R534" i="5"/>
  <c r="T534" i="5"/>
  <c r="C535" i="5"/>
  <c r="D535" i="5"/>
  <c r="E535" i="5"/>
  <c r="L535" i="5" s="1"/>
  <c r="F535" i="5"/>
  <c r="H535" i="5"/>
  <c r="I535" i="5"/>
  <c r="N535" i="5"/>
  <c r="Q535" i="5"/>
  <c r="R535" i="5"/>
  <c r="S535" i="5"/>
  <c r="T535" i="5"/>
  <c r="C536" i="5"/>
  <c r="L536" i="5" s="1"/>
  <c r="D536" i="5"/>
  <c r="E536" i="5"/>
  <c r="F536" i="5"/>
  <c r="H536" i="5"/>
  <c r="I536" i="5"/>
  <c r="N536" i="5"/>
  <c r="Q536" i="5"/>
  <c r="S536" i="5" s="1"/>
  <c r="R536" i="5"/>
  <c r="T536" i="5"/>
  <c r="C537" i="5"/>
  <c r="D537" i="5"/>
  <c r="E537" i="5"/>
  <c r="F537" i="5"/>
  <c r="H537" i="5"/>
  <c r="I537" i="5"/>
  <c r="N537" i="5"/>
  <c r="Q537" i="5"/>
  <c r="R537" i="5"/>
  <c r="S537" i="5"/>
  <c r="T537" i="5"/>
  <c r="C538" i="5"/>
  <c r="D538" i="5"/>
  <c r="E538" i="5"/>
  <c r="F538" i="5"/>
  <c r="H538" i="5"/>
  <c r="I538" i="5"/>
  <c r="L538" i="5"/>
  <c r="N538" i="5"/>
  <c r="Q538" i="5"/>
  <c r="S538" i="5" s="1"/>
  <c r="R538" i="5"/>
  <c r="T538" i="5"/>
  <c r="C539" i="5"/>
  <c r="D539" i="5"/>
  <c r="E539" i="5"/>
  <c r="F539" i="5"/>
  <c r="H539" i="5"/>
  <c r="I539" i="5"/>
  <c r="N539" i="5"/>
  <c r="Q539" i="5"/>
  <c r="R539" i="5"/>
  <c r="S539" i="5"/>
  <c r="T539" i="5"/>
  <c r="C540" i="5"/>
  <c r="L540" i="5" s="1"/>
  <c r="D540" i="5"/>
  <c r="E540" i="5"/>
  <c r="F540" i="5"/>
  <c r="H540" i="5"/>
  <c r="I540" i="5"/>
  <c r="N540" i="5"/>
  <c r="Q540" i="5"/>
  <c r="S540" i="5" s="1"/>
  <c r="R540" i="5"/>
  <c r="T540" i="5"/>
  <c r="C541" i="5"/>
  <c r="D541" i="5"/>
  <c r="E541" i="5"/>
  <c r="L541" i="5" s="1"/>
  <c r="F541" i="5"/>
  <c r="H541" i="5"/>
  <c r="I541" i="5"/>
  <c r="N541" i="5"/>
  <c r="Q541" i="5"/>
  <c r="R541" i="5"/>
  <c r="S541" i="5"/>
  <c r="T541" i="5"/>
  <c r="C542" i="5"/>
  <c r="D542" i="5"/>
  <c r="E542" i="5"/>
  <c r="F542" i="5"/>
  <c r="H542" i="5"/>
  <c r="I542" i="5"/>
  <c r="L542" i="5"/>
  <c r="N542" i="5"/>
  <c r="Q542" i="5"/>
  <c r="S542" i="5" s="1"/>
  <c r="R542" i="5"/>
  <c r="T542" i="5"/>
  <c r="C543" i="5"/>
  <c r="D543" i="5"/>
  <c r="E543" i="5"/>
  <c r="F543" i="5"/>
  <c r="H543" i="5"/>
  <c r="I543" i="5"/>
  <c r="N543" i="5"/>
  <c r="Q543" i="5"/>
  <c r="R543" i="5"/>
  <c r="S543" i="5"/>
  <c r="T543" i="5"/>
  <c r="C544" i="5"/>
  <c r="L544" i="5" s="1"/>
  <c r="D544" i="5"/>
  <c r="E544" i="5"/>
  <c r="F544" i="5"/>
  <c r="H544" i="5"/>
  <c r="I544" i="5"/>
  <c r="N544" i="5"/>
  <c r="Q544" i="5"/>
  <c r="S544" i="5" s="1"/>
  <c r="R544" i="5"/>
  <c r="T544" i="5"/>
  <c r="C545" i="5"/>
  <c r="D545" i="5"/>
  <c r="E545" i="5"/>
  <c r="L545" i="5" s="1"/>
  <c r="F545" i="5"/>
  <c r="H545" i="5"/>
  <c r="I545" i="5"/>
  <c r="N545" i="5"/>
  <c r="Q545" i="5"/>
  <c r="R545" i="5"/>
  <c r="S545" i="5"/>
  <c r="T545" i="5"/>
  <c r="C546" i="5"/>
  <c r="L546" i="5" s="1"/>
  <c r="D546" i="5"/>
  <c r="E546" i="5"/>
  <c r="F546" i="5"/>
  <c r="H546" i="5"/>
  <c r="I546" i="5"/>
  <c r="N546" i="5"/>
  <c r="Q546" i="5"/>
  <c r="S546" i="5" s="1"/>
  <c r="R546" i="5"/>
  <c r="T546" i="5"/>
  <c r="C547" i="5"/>
  <c r="D547" i="5"/>
  <c r="E547" i="5"/>
  <c r="F547" i="5"/>
  <c r="H547" i="5"/>
  <c r="I547" i="5"/>
  <c r="N547" i="5"/>
  <c r="Q547" i="5"/>
  <c r="R547" i="5"/>
  <c r="S547" i="5"/>
  <c r="T547" i="5"/>
  <c r="C548" i="5"/>
  <c r="L548" i="5" s="1"/>
  <c r="D548" i="5"/>
  <c r="E548" i="5"/>
  <c r="F548" i="5"/>
  <c r="H548" i="5"/>
  <c r="I548" i="5"/>
  <c r="N548" i="5"/>
  <c r="Q548" i="5"/>
  <c r="S548" i="5" s="1"/>
  <c r="R548" i="5"/>
  <c r="T548" i="5"/>
  <c r="C549" i="5"/>
  <c r="D549" i="5"/>
  <c r="E549" i="5"/>
  <c r="L549" i="5" s="1"/>
  <c r="F549" i="5"/>
  <c r="H549" i="5"/>
  <c r="I549" i="5"/>
  <c r="N549" i="5"/>
  <c r="Q549" i="5"/>
  <c r="R549" i="5"/>
  <c r="S549" i="5"/>
  <c r="T549" i="5"/>
  <c r="C550" i="5"/>
  <c r="D550" i="5"/>
  <c r="E550" i="5"/>
  <c r="F550" i="5"/>
  <c r="H550" i="5"/>
  <c r="I550" i="5"/>
  <c r="L550" i="5"/>
  <c r="N550" i="5"/>
  <c r="Q550" i="5"/>
  <c r="S550" i="5" s="1"/>
  <c r="R550" i="5"/>
  <c r="T550" i="5"/>
  <c r="C551" i="5"/>
  <c r="D551" i="5"/>
  <c r="E551" i="5"/>
  <c r="L551" i="5" s="1"/>
  <c r="F551" i="5"/>
  <c r="H551" i="5"/>
  <c r="I551" i="5"/>
  <c r="N551" i="5"/>
  <c r="Q551" i="5"/>
  <c r="R551" i="5"/>
  <c r="S551" i="5"/>
  <c r="T551" i="5"/>
  <c r="C552" i="5"/>
  <c r="D552" i="5"/>
  <c r="E552" i="5"/>
  <c r="F552" i="5"/>
  <c r="H552" i="5"/>
  <c r="I552" i="5"/>
  <c r="L552" i="5"/>
  <c r="N552" i="5"/>
  <c r="Q552" i="5"/>
  <c r="S552" i="5" s="1"/>
  <c r="R552" i="5"/>
  <c r="T552" i="5"/>
  <c r="C553" i="5"/>
  <c r="D553" i="5"/>
  <c r="E553" i="5"/>
  <c r="F553" i="5"/>
  <c r="H553" i="5"/>
  <c r="I553" i="5"/>
  <c r="N553" i="5"/>
  <c r="Q553" i="5"/>
  <c r="R553" i="5"/>
  <c r="S553" i="5"/>
  <c r="T553" i="5"/>
  <c r="C554" i="5"/>
  <c r="L554" i="5" s="1"/>
  <c r="D554" i="5"/>
  <c r="E554" i="5"/>
  <c r="F554" i="5"/>
  <c r="H554" i="5"/>
  <c r="I554" i="5"/>
  <c r="N554" i="5"/>
  <c r="Q554" i="5"/>
  <c r="S554" i="5" s="1"/>
  <c r="R554" i="5"/>
  <c r="T554" i="5"/>
  <c r="C555" i="5"/>
  <c r="D555" i="5"/>
  <c r="E555" i="5"/>
  <c r="F555" i="5"/>
  <c r="H555" i="5"/>
  <c r="I555" i="5"/>
  <c r="N555" i="5"/>
  <c r="Q555" i="5"/>
  <c r="R555" i="5"/>
  <c r="S555" i="5"/>
  <c r="T555" i="5"/>
  <c r="C556" i="5"/>
  <c r="L556" i="5" s="1"/>
  <c r="D556" i="5"/>
  <c r="E556" i="5"/>
  <c r="F556" i="5"/>
  <c r="H556" i="5"/>
  <c r="I556" i="5"/>
  <c r="N556" i="5"/>
  <c r="Q556" i="5"/>
  <c r="S556" i="5" s="1"/>
  <c r="R556" i="5"/>
  <c r="T556" i="5"/>
  <c r="C557" i="5"/>
  <c r="D557" i="5"/>
  <c r="E557" i="5"/>
  <c r="L557" i="5" s="1"/>
  <c r="F557" i="5"/>
  <c r="H557" i="5"/>
  <c r="I557" i="5"/>
  <c r="N557" i="5"/>
  <c r="Q557" i="5"/>
  <c r="R557" i="5"/>
  <c r="S557" i="5"/>
  <c r="T557" i="5"/>
  <c r="C558" i="5"/>
  <c r="D558" i="5"/>
  <c r="E558" i="5"/>
  <c r="F558" i="5"/>
  <c r="H558" i="5"/>
  <c r="I558" i="5"/>
  <c r="L558" i="5"/>
  <c r="N558" i="5"/>
  <c r="Q558" i="5"/>
  <c r="S558" i="5" s="1"/>
  <c r="R558" i="5"/>
  <c r="T558" i="5"/>
  <c r="C559" i="5"/>
  <c r="D559" i="5"/>
  <c r="E559" i="5"/>
  <c r="L559" i="5" s="1"/>
  <c r="F559" i="5"/>
  <c r="H559" i="5"/>
  <c r="I559" i="5"/>
  <c r="N559" i="5"/>
  <c r="Q559" i="5"/>
  <c r="R559" i="5"/>
  <c r="S559" i="5"/>
  <c r="T559" i="5"/>
  <c r="C560" i="5"/>
  <c r="L560" i="5" s="1"/>
  <c r="D560" i="5"/>
  <c r="E560" i="5"/>
  <c r="F560" i="5"/>
  <c r="H560" i="5"/>
  <c r="I560" i="5"/>
  <c r="N560" i="5"/>
  <c r="Q560" i="5"/>
  <c r="S560" i="5" s="1"/>
  <c r="R560" i="5"/>
  <c r="T560" i="5"/>
  <c r="C561" i="5"/>
  <c r="D561" i="5"/>
  <c r="E561" i="5"/>
  <c r="F561" i="5"/>
  <c r="H561" i="5"/>
  <c r="I561" i="5"/>
  <c r="N561" i="5"/>
  <c r="Q561" i="5"/>
  <c r="R561" i="5"/>
  <c r="S561" i="5"/>
  <c r="T561" i="5"/>
  <c r="C562" i="5"/>
  <c r="D562" i="5"/>
  <c r="E562" i="5"/>
  <c r="F562" i="5"/>
  <c r="H562" i="5"/>
  <c r="I562" i="5"/>
  <c r="L562" i="5"/>
  <c r="N562" i="5"/>
  <c r="Q562" i="5"/>
  <c r="S562" i="5" s="1"/>
  <c r="R562" i="5"/>
  <c r="T562" i="5"/>
  <c r="C563" i="5"/>
  <c r="D563" i="5"/>
  <c r="E563" i="5"/>
  <c r="F563" i="5"/>
  <c r="H563" i="5"/>
  <c r="I563" i="5"/>
  <c r="N563" i="5"/>
  <c r="Q563" i="5"/>
  <c r="R563" i="5"/>
  <c r="S563" i="5"/>
  <c r="T563" i="5"/>
  <c r="C564" i="5"/>
  <c r="L564" i="5" s="1"/>
  <c r="D564" i="5"/>
  <c r="E564" i="5"/>
  <c r="F564" i="5"/>
  <c r="H564" i="5"/>
  <c r="I564" i="5"/>
  <c r="N564" i="5"/>
  <c r="Q564" i="5"/>
  <c r="S564" i="5" s="1"/>
  <c r="R564" i="5"/>
  <c r="T564" i="5"/>
  <c r="C565" i="5"/>
  <c r="D565" i="5"/>
  <c r="E565" i="5"/>
  <c r="L565" i="5" s="1"/>
  <c r="F565" i="5"/>
  <c r="H565" i="5"/>
  <c r="I565" i="5"/>
  <c r="N565" i="5"/>
  <c r="Q565" i="5"/>
  <c r="R565" i="5"/>
  <c r="S565" i="5"/>
  <c r="T565" i="5"/>
  <c r="C566" i="5"/>
  <c r="D566" i="5"/>
  <c r="E566" i="5"/>
  <c r="F566" i="5"/>
  <c r="H566" i="5"/>
  <c r="I566" i="5"/>
  <c r="L566" i="5"/>
  <c r="N566" i="5"/>
  <c r="Q566" i="5"/>
  <c r="S566" i="5" s="1"/>
  <c r="R566" i="5"/>
  <c r="T566" i="5"/>
  <c r="C567" i="5"/>
  <c r="D567" i="5"/>
  <c r="E567" i="5"/>
  <c r="F567" i="5"/>
  <c r="H567" i="5"/>
  <c r="I567" i="5"/>
  <c r="N567" i="5"/>
  <c r="Q567" i="5"/>
  <c r="R567" i="5"/>
  <c r="S567" i="5"/>
  <c r="T567" i="5"/>
  <c r="C568" i="5"/>
  <c r="L568" i="5" s="1"/>
  <c r="D568" i="5"/>
  <c r="E568" i="5"/>
  <c r="F568" i="5"/>
  <c r="H568" i="5"/>
  <c r="I568" i="5"/>
  <c r="N568" i="5"/>
  <c r="Q568" i="5"/>
  <c r="S568" i="5" s="1"/>
  <c r="R568" i="5"/>
  <c r="T568" i="5"/>
  <c r="C569" i="5"/>
  <c r="D569" i="5"/>
  <c r="E569" i="5"/>
  <c r="L569" i="5" s="1"/>
  <c r="F569" i="5"/>
  <c r="H569" i="5"/>
  <c r="I569" i="5"/>
  <c r="N569" i="5"/>
  <c r="Q569" i="5"/>
  <c r="R569" i="5"/>
  <c r="S569" i="5"/>
  <c r="T569" i="5"/>
  <c r="C570" i="5"/>
  <c r="D570" i="5"/>
  <c r="E570" i="5"/>
  <c r="F570" i="5"/>
  <c r="H570" i="5"/>
  <c r="I570" i="5"/>
  <c r="L570" i="5"/>
  <c r="N570" i="5"/>
  <c r="Q570" i="5"/>
  <c r="S570" i="5" s="1"/>
  <c r="R570" i="5"/>
  <c r="T570" i="5"/>
  <c r="C571" i="5"/>
  <c r="D571" i="5"/>
  <c r="E571" i="5"/>
  <c r="F571" i="5"/>
  <c r="H571" i="5"/>
  <c r="I571" i="5"/>
  <c r="N571" i="5"/>
  <c r="Q571" i="5"/>
  <c r="R571" i="5"/>
  <c r="S571" i="5"/>
  <c r="T571" i="5"/>
  <c r="C572" i="5"/>
  <c r="L572" i="5" s="1"/>
  <c r="D572" i="5"/>
  <c r="E572" i="5"/>
  <c r="F572" i="5"/>
  <c r="H572" i="5"/>
  <c r="I572" i="5"/>
  <c r="N572" i="5"/>
  <c r="Q572" i="5"/>
  <c r="S572" i="5" s="1"/>
  <c r="R572" i="5"/>
  <c r="T572" i="5"/>
  <c r="C573" i="5"/>
  <c r="D573" i="5"/>
  <c r="E573" i="5"/>
  <c r="L573" i="5" s="1"/>
  <c r="F573" i="5"/>
  <c r="H573" i="5"/>
  <c r="I573" i="5"/>
  <c r="N573" i="5"/>
  <c r="Q573" i="5"/>
  <c r="R573" i="5"/>
  <c r="S573" i="5"/>
  <c r="T573" i="5"/>
  <c r="C574" i="5"/>
  <c r="D574" i="5"/>
  <c r="E574" i="5"/>
  <c r="F574" i="5"/>
  <c r="H574" i="5"/>
  <c r="I574" i="5"/>
  <c r="L574" i="5"/>
  <c r="N574" i="5"/>
  <c r="Q574" i="5"/>
  <c r="S574" i="5" s="1"/>
  <c r="R574" i="5"/>
  <c r="T574" i="5"/>
  <c r="C575" i="5"/>
  <c r="D575" i="5"/>
  <c r="E575" i="5"/>
  <c r="F575" i="5"/>
  <c r="H575" i="5"/>
  <c r="I575" i="5"/>
  <c r="N575" i="5"/>
  <c r="Q575" i="5"/>
  <c r="R575" i="5"/>
  <c r="S575" i="5"/>
  <c r="T575" i="5"/>
  <c r="C576" i="5"/>
  <c r="D576" i="5"/>
  <c r="E576" i="5"/>
  <c r="F576" i="5"/>
  <c r="H576" i="5"/>
  <c r="I576" i="5"/>
  <c r="L576" i="5"/>
  <c r="N576" i="5"/>
  <c r="Q576" i="5"/>
  <c r="S576" i="5" s="1"/>
  <c r="R576" i="5"/>
  <c r="T576" i="5"/>
  <c r="C577" i="5"/>
  <c r="D577" i="5"/>
  <c r="E577" i="5"/>
  <c r="L577" i="5" s="1"/>
  <c r="F577" i="5"/>
  <c r="H577" i="5"/>
  <c r="I577" i="5"/>
  <c r="N577" i="5"/>
  <c r="Q577" i="5"/>
  <c r="R577" i="5"/>
  <c r="S577" i="5"/>
  <c r="T577" i="5"/>
  <c r="C578" i="5"/>
  <c r="D578" i="5"/>
  <c r="E578" i="5"/>
  <c r="F578" i="5"/>
  <c r="H578" i="5"/>
  <c r="I578" i="5"/>
  <c r="L578" i="5"/>
  <c r="N578" i="5"/>
  <c r="Q578" i="5"/>
  <c r="S578" i="5" s="1"/>
  <c r="R578" i="5"/>
  <c r="T578" i="5"/>
  <c r="C579" i="5"/>
  <c r="D579" i="5"/>
  <c r="E579" i="5"/>
  <c r="F579" i="5"/>
  <c r="H579" i="5"/>
  <c r="I579" i="5"/>
  <c r="N579" i="5"/>
  <c r="Q579" i="5"/>
  <c r="R579" i="5"/>
  <c r="S579" i="5"/>
  <c r="T579" i="5"/>
  <c r="C580" i="5"/>
  <c r="L580" i="5" s="1"/>
  <c r="D580" i="5"/>
  <c r="E580" i="5"/>
  <c r="F580" i="5"/>
  <c r="H580" i="5"/>
  <c r="I580" i="5"/>
  <c r="N580" i="5"/>
  <c r="Q580" i="5"/>
  <c r="S580" i="5" s="1"/>
  <c r="R580" i="5"/>
  <c r="T580" i="5"/>
  <c r="C581" i="5"/>
  <c r="D581" i="5"/>
  <c r="E581" i="5"/>
  <c r="L581" i="5" s="1"/>
  <c r="F581" i="5"/>
  <c r="H581" i="5"/>
  <c r="I581" i="5"/>
  <c r="N581" i="5"/>
  <c r="Q581" i="5"/>
  <c r="R581" i="5"/>
  <c r="S581" i="5"/>
  <c r="T581" i="5"/>
  <c r="C582" i="5"/>
  <c r="D582" i="5"/>
  <c r="E582" i="5"/>
  <c r="F582" i="5"/>
  <c r="H582" i="5"/>
  <c r="I582" i="5"/>
  <c r="L582" i="5"/>
  <c r="N582" i="5"/>
  <c r="Q582" i="5"/>
  <c r="S582" i="5" s="1"/>
  <c r="R582" i="5"/>
  <c r="T582" i="5"/>
  <c r="C583" i="5"/>
  <c r="D583" i="5"/>
  <c r="E583" i="5"/>
  <c r="L583" i="5" s="1"/>
  <c r="F583" i="5"/>
  <c r="H583" i="5"/>
  <c r="I583" i="5"/>
  <c r="N583" i="5"/>
  <c r="Q583" i="5"/>
  <c r="R583" i="5"/>
  <c r="S583" i="5"/>
  <c r="T583" i="5"/>
  <c r="C584" i="5"/>
  <c r="D584" i="5"/>
  <c r="E584" i="5"/>
  <c r="F584" i="5"/>
  <c r="H584" i="5"/>
  <c r="I584" i="5"/>
  <c r="L584" i="5"/>
  <c r="N584" i="5"/>
  <c r="Q584" i="5"/>
  <c r="S584" i="5" s="1"/>
  <c r="R584" i="5"/>
  <c r="T584" i="5"/>
  <c r="C585" i="5"/>
  <c r="D585" i="5"/>
  <c r="E585" i="5"/>
  <c r="L585" i="5" s="1"/>
  <c r="F585" i="5"/>
  <c r="H585" i="5"/>
  <c r="I585" i="5"/>
  <c r="N585" i="5"/>
  <c r="Q585" i="5"/>
  <c r="R585" i="5"/>
  <c r="S585" i="5"/>
  <c r="T585" i="5"/>
  <c r="C586" i="5"/>
  <c r="L586" i="5" s="1"/>
  <c r="D586" i="5"/>
  <c r="E586" i="5"/>
  <c r="F586" i="5"/>
  <c r="H586" i="5"/>
  <c r="I586" i="5"/>
  <c r="N586" i="5"/>
  <c r="Q586" i="5"/>
  <c r="S586" i="5" s="1"/>
  <c r="R586" i="5"/>
  <c r="T586" i="5"/>
  <c r="C587" i="5"/>
  <c r="D587" i="5"/>
  <c r="E587" i="5"/>
  <c r="F587" i="5"/>
  <c r="H587" i="5"/>
  <c r="I587" i="5"/>
  <c r="N587" i="5"/>
  <c r="Q587" i="5"/>
  <c r="R587" i="5"/>
  <c r="S587" i="5"/>
  <c r="T587" i="5"/>
  <c r="B588" i="5"/>
  <c r="C588" i="5"/>
  <c r="D588" i="5"/>
  <c r="E588" i="5"/>
  <c r="F588" i="5"/>
  <c r="H588" i="5"/>
  <c r="I588" i="5"/>
  <c r="N588" i="5"/>
  <c r="Q588" i="5"/>
  <c r="S588" i="5" s="1"/>
  <c r="R588" i="5"/>
  <c r="T588" i="5"/>
  <c r="B589" i="5"/>
  <c r="C589" i="5"/>
  <c r="L589" i="5" s="1"/>
  <c r="D589" i="5"/>
  <c r="E589" i="5"/>
  <c r="F589" i="5"/>
  <c r="H589" i="5"/>
  <c r="I589" i="5"/>
  <c r="N589" i="5"/>
  <c r="Q589" i="5"/>
  <c r="R589" i="5"/>
  <c r="S589" i="5"/>
  <c r="T589" i="5"/>
  <c r="B590" i="5"/>
  <c r="C590" i="5"/>
  <c r="D590" i="5"/>
  <c r="E590" i="5"/>
  <c r="F590" i="5"/>
  <c r="H590" i="5"/>
  <c r="I590" i="5"/>
  <c r="L590" i="5" s="1"/>
  <c r="N590" i="5"/>
  <c r="Q590" i="5"/>
  <c r="S590" i="5" s="1"/>
  <c r="R590" i="5"/>
  <c r="T590" i="5"/>
  <c r="B591" i="5"/>
  <c r="C591" i="5"/>
  <c r="L591" i="5" s="1"/>
  <c r="D591" i="5"/>
  <c r="E591" i="5"/>
  <c r="F591" i="5"/>
  <c r="H591" i="5"/>
  <c r="I591" i="5"/>
  <c r="N591" i="5"/>
  <c r="R591" i="5"/>
  <c r="Q591" i="5" s="1"/>
  <c r="S591" i="5" s="1"/>
  <c r="T591" i="5"/>
  <c r="B592" i="5"/>
  <c r="C592" i="5"/>
  <c r="D592" i="5"/>
  <c r="E592" i="5"/>
  <c r="F592" i="5"/>
  <c r="H592" i="5"/>
  <c r="I592" i="5"/>
  <c r="N592" i="5"/>
  <c r="Q592" i="5"/>
  <c r="S592" i="5" s="1"/>
  <c r="R592" i="5"/>
  <c r="T592" i="5"/>
  <c r="B593" i="5"/>
  <c r="C593" i="5"/>
  <c r="D593" i="5"/>
  <c r="E593" i="5"/>
  <c r="F593" i="5"/>
  <c r="H593" i="5"/>
  <c r="I593" i="5"/>
  <c r="N593" i="5"/>
  <c r="R593" i="5"/>
  <c r="Q593" i="5" s="1"/>
  <c r="S593" i="5" s="1"/>
  <c r="T593" i="5"/>
  <c r="B594" i="5"/>
  <c r="C594" i="5"/>
  <c r="D594" i="5"/>
  <c r="E594" i="5"/>
  <c r="F594" i="5"/>
  <c r="H594" i="5"/>
  <c r="I594" i="5"/>
  <c r="N594" i="5"/>
  <c r="R594" i="5"/>
  <c r="Q594" i="5" s="1"/>
  <c r="S594" i="5"/>
  <c r="T594" i="5"/>
  <c r="B595" i="5"/>
  <c r="C595" i="5"/>
  <c r="D595" i="5"/>
  <c r="E595" i="5"/>
  <c r="F595" i="5"/>
  <c r="H595" i="5"/>
  <c r="I595" i="5"/>
  <c r="N595" i="5"/>
  <c r="R595" i="5"/>
  <c r="Q595" i="5" s="1"/>
  <c r="S595" i="5" s="1"/>
  <c r="T595" i="5"/>
  <c r="B596" i="5"/>
  <c r="C596" i="5"/>
  <c r="D596" i="5"/>
  <c r="E596" i="5"/>
  <c r="F596" i="5"/>
  <c r="H596" i="5"/>
  <c r="I596" i="5"/>
  <c r="N596" i="5"/>
  <c r="R596" i="5"/>
  <c r="Q596" i="5" s="1"/>
  <c r="S596" i="5" s="1"/>
  <c r="T596" i="5"/>
  <c r="B597" i="5"/>
  <c r="C597" i="5"/>
  <c r="L597" i="5" s="1"/>
  <c r="D597" i="5"/>
  <c r="E597" i="5"/>
  <c r="F597" i="5"/>
  <c r="H597" i="5"/>
  <c r="I597" i="5"/>
  <c r="N597" i="5"/>
  <c r="Q597" i="5"/>
  <c r="S597" i="5" s="1"/>
  <c r="R597" i="5"/>
  <c r="T597" i="5"/>
  <c r="B598" i="5"/>
  <c r="C598" i="5"/>
  <c r="L598" i="5" s="1"/>
  <c r="D598" i="5"/>
  <c r="E598" i="5"/>
  <c r="F598" i="5"/>
  <c r="H598" i="5"/>
  <c r="I598" i="5"/>
  <c r="N598" i="5"/>
  <c r="R598" i="5"/>
  <c r="Q598" i="5" s="1"/>
  <c r="S598" i="5" s="1"/>
  <c r="T598" i="5"/>
  <c r="B599" i="5"/>
  <c r="C599" i="5"/>
  <c r="D599" i="5"/>
  <c r="E599" i="5"/>
  <c r="L599" i="5" s="1"/>
  <c r="F599" i="5"/>
  <c r="H599" i="5"/>
  <c r="I599" i="5"/>
  <c r="N599" i="5"/>
  <c r="Q599" i="5"/>
  <c r="R599" i="5"/>
  <c r="S599" i="5"/>
  <c r="T599" i="5"/>
  <c r="B600" i="5"/>
  <c r="C600" i="5"/>
  <c r="D600" i="5"/>
  <c r="E600" i="5"/>
  <c r="F600" i="5"/>
  <c r="H600" i="5"/>
  <c r="I600" i="5"/>
  <c r="L600" i="5"/>
  <c r="N600" i="5"/>
  <c r="R600" i="5"/>
  <c r="Q600" i="5" s="1"/>
  <c r="S600" i="5" s="1"/>
  <c r="T600" i="5"/>
  <c r="B601" i="5"/>
  <c r="C601" i="5"/>
  <c r="D601" i="5"/>
  <c r="E601" i="5"/>
  <c r="F601" i="5"/>
  <c r="H601" i="5"/>
  <c r="I601" i="5"/>
  <c r="N601" i="5"/>
  <c r="Q601" i="5"/>
  <c r="S601" i="5" s="1"/>
  <c r="R601" i="5"/>
  <c r="T601" i="5"/>
  <c r="B602" i="5"/>
  <c r="C602" i="5"/>
  <c r="D602" i="5"/>
  <c r="E602" i="5"/>
  <c r="F602" i="5"/>
  <c r="L602" i="5" s="1"/>
  <c r="H602" i="5"/>
  <c r="I602" i="5"/>
  <c r="N602" i="5"/>
  <c r="R602" i="5"/>
  <c r="Q602" i="5" s="1"/>
  <c r="S602" i="5" s="1"/>
  <c r="T602" i="5"/>
  <c r="B603" i="5"/>
  <c r="C603" i="5"/>
  <c r="D603" i="5"/>
  <c r="E603" i="5"/>
  <c r="F603" i="5"/>
  <c r="H603" i="5"/>
  <c r="I603" i="5"/>
  <c r="N603" i="5"/>
  <c r="Q603" i="5"/>
  <c r="R603" i="5"/>
  <c r="S603" i="5"/>
  <c r="T603" i="5"/>
  <c r="B604" i="5"/>
  <c r="C604" i="5"/>
  <c r="D604" i="5"/>
  <c r="E604" i="5"/>
  <c r="F604" i="5"/>
  <c r="H604" i="5"/>
  <c r="I604" i="5"/>
  <c r="N604" i="5"/>
  <c r="R604" i="5"/>
  <c r="Q604" i="5" s="1"/>
  <c r="S604" i="5" s="1"/>
  <c r="T604" i="5"/>
  <c r="B605" i="5"/>
  <c r="C605" i="5"/>
  <c r="L605" i="5" s="1"/>
  <c r="D605" i="5"/>
  <c r="E605" i="5"/>
  <c r="F605" i="5"/>
  <c r="H605" i="5"/>
  <c r="I605" i="5"/>
  <c r="N605" i="5"/>
  <c r="Q605" i="5"/>
  <c r="R605" i="5"/>
  <c r="S605" i="5"/>
  <c r="T605" i="5"/>
  <c r="B606" i="5"/>
  <c r="C606" i="5"/>
  <c r="D606" i="5"/>
  <c r="E606" i="5"/>
  <c r="F606" i="5"/>
  <c r="H606" i="5"/>
  <c r="I606" i="5"/>
  <c r="N606" i="5"/>
  <c r="Q606" i="5"/>
  <c r="S606" i="5" s="1"/>
  <c r="R606" i="5"/>
  <c r="T606" i="5"/>
  <c r="B607" i="5"/>
  <c r="C607" i="5"/>
  <c r="D607" i="5"/>
  <c r="E607" i="5"/>
  <c r="F607" i="5"/>
  <c r="H607" i="5"/>
  <c r="I607" i="5"/>
  <c r="N607" i="5"/>
  <c r="Q607" i="5"/>
  <c r="R607" i="5"/>
  <c r="S607" i="5"/>
  <c r="T607" i="5"/>
  <c r="B608" i="5"/>
  <c r="C608" i="5"/>
  <c r="D608" i="5"/>
  <c r="E608" i="5"/>
  <c r="F608" i="5"/>
  <c r="H608" i="5"/>
  <c r="I608" i="5"/>
  <c r="L608" i="5" s="1"/>
  <c r="N608" i="5"/>
  <c r="Q608" i="5"/>
  <c r="S608" i="5" s="1"/>
  <c r="R608" i="5"/>
  <c r="T608" i="5"/>
  <c r="B609" i="5"/>
  <c r="C609" i="5"/>
  <c r="D609" i="5"/>
  <c r="E609" i="5"/>
  <c r="F609" i="5"/>
  <c r="H609" i="5"/>
  <c r="I609" i="5"/>
  <c r="N609" i="5"/>
  <c r="R609" i="5"/>
  <c r="Q609" i="5" s="1"/>
  <c r="S609" i="5"/>
  <c r="T609" i="5"/>
  <c r="B610" i="5"/>
  <c r="C610" i="5"/>
  <c r="D610" i="5"/>
  <c r="E610" i="5"/>
  <c r="F610" i="5"/>
  <c r="H610" i="5"/>
  <c r="I610" i="5"/>
  <c r="N610" i="5"/>
  <c r="R610" i="5"/>
  <c r="Q610" i="5" s="1"/>
  <c r="S610" i="5" s="1"/>
  <c r="T610" i="5"/>
  <c r="B611" i="5"/>
  <c r="C611" i="5"/>
  <c r="L611" i="5" s="1"/>
  <c r="D611" i="5"/>
  <c r="E611" i="5"/>
  <c r="F611" i="5"/>
  <c r="H611" i="5"/>
  <c r="I611" i="5"/>
  <c r="N611" i="5"/>
  <c r="R611" i="5"/>
  <c r="Q611" i="5" s="1"/>
  <c r="S611" i="5" s="1"/>
  <c r="T611" i="5"/>
  <c r="B612" i="5"/>
  <c r="C612" i="5"/>
  <c r="D612" i="5"/>
  <c r="E612" i="5"/>
  <c r="F612" i="5"/>
  <c r="H612" i="5"/>
  <c r="I612" i="5"/>
  <c r="N612" i="5"/>
  <c r="R612" i="5"/>
  <c r="Q612" i="5" s="1"/>
  <c r="S612" i="5" s="1"/>
  <c r="T612" i="5"/>
  <c r="B613" i="5"/>
  <c r="C613" i="5"/>
  <c r="D613" i="5"/>
  <c r="E613" i="5"/>
  <c r="F613" i="5"/>
  <c r="H613" i="5"/>
  <c r="I613" i="5"/>
  <c r="L613" i="5"/>
  <c r="N613" i="5"/>
  <c r="Q613" i="5"/>
  <c r="R613" i="5"/>
  <c r="S613" i="5"/>
  <c r="T613" i="5"/>
  <c r="B614" i="5"/>
  <c r="C614" i="5"/>
  <c r="D614" i="5"/>
  <c r="E614" i="5"/>
  <c r="F614" i="5"/>
  <c r="H614" i="5"/>
  <c r="I614" i="5"/>
  <c r="N614" i="5"/>
  <c r="Q614" i="5"/>
  <c r="R614" i="5"/>
  <c r="S614" i="5"/>
  <c r="T614" i="5"/>
  <c r="B615" i="5"/>
  <c r="C615" i="5"/>
  <c r="D615" i="5"/>
  <c r="E615" i="5"/>
  <c r="F615" i="5"/>
  <c r="H615" i="5"/>
  <c r="I615" i="5"/>
  <c r="N615" i="5"/>
  <c r="Q615" i="5"/>
  <c r="S615" i="5" s="1"/>
  <c r="R615" i="5"/>
  <c r="T615" i="5"/>
  <c r="B616" i="5"/>
  <c r="C616" i="5"/>
  <c r="D616" i="5"/>
  <c r="E616" i="5"/>
  <c r="F616" i="5"/>
  <c r="H616" i="5"/>
  <c r="I616" i="5"/>
  <c r="N616" i="5"/>
  <c r="R616" i="5"/>
  <c r="Q616" i="5" s="1"/>
  <c r="S616" i="5" s="1"/>
  <c r="T616" i="5"/>
  <c r="B617" i="5"/>
  <c r="C617" i="5"/>
  <c r="D617" i="5"/>
  <c r="E617" i="5"/>
  <c r="F617" i="5"/>
  <c r="H617" i="5"/>
  <c r="I617" i="5"/>
  <c r="L617" i="5"/>
  <c r="N617" i="5"/>
  <c r="Q617" i="5"/>
  <c r="S617" i="5" s="1"/>
  <c r="R617" i="5"/>
  <c r="T617" i="5"/>
  <c r="B618" i="5"/>
  <c r="C618" i="5"/>
  <c r="D618" i="5"/>
  <c r="L618" i="5" s="1"/>
  <c r="E618" i="5"/>
  <c r="F618" i="5"/>
  <c r="H618" i="5"/>
  <c r="I618" i="5"/>
  <c r="N618" i="5"/>
  <c r="R618" i="5"/>
  <c r="Q618" i="5" s="1"/>
  <c r="S618" i="5" s="1"/>
  <c r="T618" i="5"/>
  <c r="B619" i="5"/>
  <c r="C619" i="5"/>
  <c r="D619" i="5"/>
  <c r="E619" i="5"/>
  <c r="F619" i="5"/>
  <c r="H619" i="5"/>
  <c r="I619" i="5"/>
  <c r="N619" i="5"/>
  <c r="Q619" i="5"/>
  <c r="S619" i="5" s="1"/>
  <c r="R619" i="5"/>
  <c r="T619" i="5"/>
  <c r="B620" i="5"/>
  <c r="C620" i="5"/>
  <c r="L620" i="5" s="1"/>
  <c r="D620" i="5"/>
  <c r="E620" i="5"/>
  <c r="F620" i="5"/>
  <c r="H620" i="5"/>
  <c r="I620" i="5"/>
  <c r="N620" i="5"/>
  <c r="R620" i="5"/>
  <c r="Q620" i="5" s="1"/>
  <c r="S620" i="5"/>
  <c r="T620" i="5"/>
  <c r="B621" i="5"/>
  <c r="C621" i="5"/>
  <c r="D621" i="5"/>
  <c r="E621" i="5"/>
  <c r="F621" i="5"/>
  <c r="H621" i="5"/>
  <c r="I621" i="5"/>
  <c r="N621" i="5"/>
  <c r="Q621" i="5"/>
  <c r="S621" i="5" s="1"/>
  <c r="R621" i="5"/>
  <c r="T621" i="5"/>
  <c r="B622" i="5"/>
  <c r="C622" i="5"/>
  <c r="D622" i="5"/>
  <c r="E622" i="5"/>
  <c r="F622" i="5"/>
  <c r="H622" i="5"/>
  <c r="I622" i="5"/>
  <c r="N622" i="5"/>
  <c r="R622" i="5"/>
  <c r="Q622" i="5" s="1"/>
  <c r="S622" i="5"/>
  <c r="T622" i="5"/>
  <c r="B623" i="5"/>
  <c r="C623" i="5"/>
  <c r="D623" i="5"/>
  <c r="E623" i="5"/>
  <c r="F623" i="5"/>
  <c r="H623" i="5"/>
  <c r="I623" i="5"/>
  <c r="L623" i="5"/>
  <c r="N623" i="5"/>
  <c r="Q623" i="5"/>
  <c r="S623" i="5" s="1"/>
  <c r="R623" i="5"/>
  <c r="T623" i="5"/>
  <c r="B624" i="5"/>
  <c r="C624" i="5"/>
  <c r="D624" i="5"/>
  <c r="E624" i="5"/>
  <c r="F624" i="5"/>
  <c r="H624" i="5"/>
  <c r="I624" i="5"/>
  <c r="N624" i="5"/>
  <c r="Q624" i="5"/>
  <c r="S624" i="5" s="1"/>
  <c r="R624" i="5"/>
  <c r="T624" i="5"/>
  <c r="B625" i="5"/>
  <c r="C625" i="5"/>
  <c r="D625" i="5"/>
  <c r="E625" i="5"/>
  <c r="F625" i="5"/>
  <c r="H625" i="5"/>
  <c r="I625" i="5"/>
  <c r="L625" i="5"/>
  <c r="N625" i="5"/>
  <c r="Q625" i="5"/>
  <c r="R625" i="5"/>
  <c r="S625" i="5"/>
  <c r="T625" i="5"/>
  <c r="B626" i="5"/>
  <c r="C626" i="5"/>
  <c r="D626" i="5"/>
  <c r="L626" i="5" s="1"/>
  <c r="E626" i="5"/>
  <c r="F626" i="5"/>
  <c r="H626" i="5"/>
  <c r="I626" i="5"/>
  <c r="N626" i="5"/>
  <c r="R626" i="5"/>
  <c r="Q626" i="5" s="1"/>
  <c r="S626" i="5" s="1"/>
  <c r="T626" i="5"/>
  <c r="B627" i="5"/>
  <c r="C627" i="5"/>
  <c r="D627" i="5"/>
  <c r="E627" i="5"/>
  <c r="F627" i="5"/>
  <c r="H627" i="5"/>
  <c r="L627" i="5" s="1"/>
  <c r="I627" i="5"/>
  <c r="N627" i="5"/>
  <c r="Q627" i="5"/>
  <c r="R627" i="5"/>
  <c r="S627" i="5"/>
  <c r="T627" i="5"/>
  <c r="B628" i="5"/>
  <c r="C628" i="5"/>
  <c r="L628" i="5" s="1"/>
  <c r="D628" i="5"/>
  <c r="E628" i="5"/>
  <c r="F628" i="5"/>
  <c r="H628" i="5"/>
  <c r="I628" i="5"/>
  <c r="N628" i="5"/>
  <c r="R628" i="5"/>
  <c r="Q628" i="5" s="1"/>
  <c r="S628" i="5" s="1"/>
  <c r="T628" i="5"/>
  <c r="B629" i="5"/>
  <c r="C629" i="5"/>
  <c r="D629" i="5"/>
  <c r="E629" i="5"/>
  <c r="F629" i="5"/>
  <c r="H629" i="5"/>
  <c r="L629" i="5" s="1"/>
  <c r="I629" i="5"/>
  <c r="N629" i="5"/>
  <c r="Q629" i="5"/>
  <c r="R629" i="5"/>
  <c r="S629" i="5"/>
  <c r="T629" i="5"/>
  <c r="B630" i="5"/>
  <c r="C630" i="5"/>
  <c r="L630" i="5" s="1"/>
  <c r="D630" i="5"/>
  <c r="E630" i="5"/>
  <c r="F630" i="5"/>
  <c r="H630" i="5"/>
  <c r="I630" i="5"/>
  <c r="N630" i="5"/>
  <c r="Q630" i="5"/>
  <c r="S630" i="5" s="1"/>
  <c r="R630" i="5"/>
  <c r="T630" i="5"/>
  <c r="B631" i="5"/>
  <c r="C631" i="5"/>
  <c r="D631" i="5"/>
  <c r="E631" i="5"/>
  <c r="F631" i="5"/>
  <c r="H631" i="5"/>
  <c r="I631" i="5"/>
  <c r="N631" i="5"/>
  <c r="Q631" i="5"/>
  <c r="R631" i="5"/>
  <c r="S631" i="5"/>
  <c r="T631" i="5"/>
  <c r="B632" i="5"/>
  <c r="C632" i="5"/>
  <c r="L632" i="5" s="1"/>
  <c r="D632" i="5"/>
  <c r="E632" i="5"/>
  <c r="F632" i="5"/>
  <c r="H632" i="5"/>
  <c r="I632" i="5"/>
  <c r="N632" i="5"/>
  <c r="Q632" i="5"/>
  <c r="S632" i="5" s="1"/>
  <c r="R632" i="5"/>
  <c r="T632" i="5"/>
  <c r="B633" i="5"/>
  <c r="C633" i="5"/>
  <c r="D633" i="5"/>
  <c r="E633" i="5"/>
  <c r="F633" i="5"/>
  <c r="H633" i="5"/>
  <c r="I633" i="5"/>
  <c r="N633" i="5"/>
  <c r="Q633" i="5"/>
  <c r="S633" i="5" s="1"/>
  <c r="R633" i="5"/>
  <c r="T633" i="5"/>
  <c r="B634" i="5"/>
  <c r="C634" i="5"/>
  <c r="D634" i="5"/>
  <c r="E634" i="5"/>
  <c r="F634" i="5"/>
  <c r="H634" i="5"/>
  <c r="I634" i="5"/>
  <c r="N634" i="5"/>
  <c r="R634" i="5"/>
  <c r="Q634" i="5" s="1"/>
  <c r="S634" i="5" s="1"/>
  <c r="T634" i="5"/>
  <c r="B635" i="5"/>
  <c r="C635" i="5"/>
  <c r="L635" i="5" s="1"/>
  <c r="D635" i="5"/>
  <c r="E635" i="5"/>
  <c r="F635" i="5"/>
  <c r="H635" i="5"/>
  <c r="I635" i="5"/>
  <c r="N635" i="5"/>
  <c r="R635" i="5"/>
  <c r="Q635" i="5" s="1"/>
  <c r="S635" i="5" s="1"/>
  <c r="T635" i="5"/>
  <c r="B636" i="5"/>
  <c r="C636" i="5"/>
  <c r="D636" i="5"/>
  <c r="E636" i="5"/>
  <c r="F636" i="5"/>
  <c r="H636" i="5"/>
  <c r="I636" i="5"/>
  <c r="N636" i="5"/>
  <c r="R636" i="5"/>
  <c r="Q636" i="5" s="1"/>
  <c r="S636" i="5" s="1"/>
  <c r="T636" i="5"/>
  <c r="B637" i="5"/>
  <c r="C637" i="5"/>
  <c r="D637" i="5"/>
  <c r="E637" i="5"/>
  <c r="F637" i="5"/>
  <c r="H637" i="5"/>
  <c r="I637" i="5"/>
  <c r="N637" i="5"/>
  <c r="Q637" i="5"/>
  <c r="R637" i="5"/>
  <c r="S637" i="5"/>
  <c r="T637" i="5"/>
  <c r="B638" i="5"/>
  <c r="C638" i="5"/>
  <c r="D638" i="5"/>
  <c r="E638" i="5"/>
  <c r="F638" i="5"/>
  <c r="H638" i="5"/>
  <c r="I638" i="5"/>
  <c r="N638" i="5"/>
  <c r="Q638" i="5"/>
  <c r="S638" i="5" s="1"/>
  <c r="R638" i="5"/>
  <c r="T638" i="5"/>
  <c r="B639" i="5"/>
  <c r="C639" i="5"/>
  <c r="D639" i="5"/>
  <c r="E639" i="5"/>
  <c r="F639" i="5"/>
  <c r="H639" i="5"/>
  <c r="I639" i="5"/>
  <c r="N639" i="5"/>
  <c r="Q639" i="5"/>
  <c r="S639" i="5" s="1"/>
  <c r="R639" i="5"/>
  <c r="T639" i="5"/>
  <c r="B640" i="5"/>
  <c r="C640" i="5"/>
  <c r="D640" i="5"/>
  <c r="E640" i="5"/>
  <c r="F640" i="5"/>
  <c r="L640" i="5" s="1"/>
  <c r="H640" i="5"/>
  <c r="I640" i="5"/>
  <c r="N640" i="5"/>
  <c r="Q640" i="5"/>
  <c r="S640" i="5" s="1"/>
  <c r="R640" i="5"/>
  <c r="T640" i="5"/>
  <c r="B641" i="5"/>
  <c r="C641" i="5"/>
  <c r="D641" i="5"/>
  <c r="E641" i="5"/>
  <c r="F641" i="5"/>
  <c r="H641" i="5"/>
  <c r="I641" i="5"/>
  <c r="N641" i="5"/>
  <c r="Q641" i="5"/>
  <c r="S641" i="5" s="1"/>
  <c r="R641" i="5"/>
  <c r="T641" i="5"/>
  <c r="B642" i="5"/>
  <c r="C642" i="5"/>
  <c r="D642" i="5"/>
  <c r="E642" i="5"/>
  <c r="F642" i="5"/>
  <c r="H642" i="5"/>
  <c r="I642" i="5"/>
  <c r="N642" i="5"/>
  <c r="R642" i="5"/>
  <c r="Q642" i="5" s="1"/>
  <c r="S642" i="5" s="1"/>
  <c r="T642" i="5"/>
  <c r="B643" i="5"/>
  <c r="C643" i="5"/>
  <c r="D643" i="5"/>
  <c r="E643" i="5"/>
  <c r="F643" i="5"/>
  <c r="H643" i="5"/>
  <c r="I643" i="5"/>
  <c r="N643" i="5"/>
  <c r="R643" i="5"/>
  <c r="Q643" i="5" s="1"/>
  <c r="S643" i="5" s="1"/>
  <c r="T643" i="5"/>
  <c r="B644" i="5"/>
  <c r="C644" i="5"/>
  <c r="D644" i="5"/>
  <c r="E644" i="5"/>
  <c r="F644" i="5"/>
  <c r="H644" i="5"/>
  <c r="I644" i="5"/>
  <c r="N644" i="5"/>
  <c r="R644" i="5"/>
  <c r="Q644" i="5" s="1"/>
  <c r="S644" i="5" s="1"/>
  <c r="T644" i="5"/>
  <c r="B645" i="5"/>
  <c r="C645" i="5"/>
  <c r="D645" i="5"/>
  <c r="E645" i="5"/>
  <c r="L645" i="5" s="1"/>
  <c r="F645" i="5"/>
  <c r="H645" i="5"/>
  <c r="I645" i="5"/>
  <c r="N645" i="5"/>
  <c r="Q645" i="5"/>
  <c r="R645" i="5"/>
  <c r="S645" i="5"/>
  <c r="T645" i="5"/>
  <c r="B646" i="5"/>
  <c r="C646" i="5"/>
  <c r="D646" i="5"/>
  <c r="E646" i="5"/>
  <c r="F646" i="5"/>
  <c r="H646" i="5"/>
  <c r="I646" i="5"/>
  <c r="N646" i="5"/>
  <c r="R646" i="5"/>
  <c r="Q646" i="5" s="1"/>
  <c r="S646" i="5"/>
  <c r="T646" i="5"/>
  <c r="B647" i="5"/>
  <c r="C647" i="5"/>
  <c r="D647" i="5"/>
  <c r="E647" i="5"/>
  <c r="F647" i="5"/>
  <c r="H647" i="5"/>
  <c r="I647" i="5"/>
  <c r="L647" i="5"/>
  <c r="N647" i="5"/>
  <c r="Q647" i="5"/>
  <c r="S647" i="5" s="1"/>
  <c r="R647" i="5"/>
  <c r="T647" i="5"/>
  <c r="B648" i="5"/>
  <c r="C648" i="5"/>
  <c r="D648" i="5"/>
  <c r="E648" i="5"/>
  <c r="F648" i="5"/>
  <c r="H648" i="5"/>
  <c r="I648" i="5"/>
  <c r="N648" i="5"/>
  <c r="Q648" i="5"/>
  <c r="R648" i="5"/>
  <c r="T648" i="5"/>
  <c r="B649" i="5"/>
  <c r="C649" i="5"/>
  <c r="D649" i="5"/>
  <c r="E649" i="5"/>
  <c r="F649" i="5"/>
  <c r="H649" i="5"/>
  <c r="I649" i="5"/>
  <c r="N649" i="5"/>
  <c r="R649" i="5"/>
  <c r="Q649" i="5" s="1"/>
  <c r="S649" i="5" s="1"/>
  <c r="T649" i="5"/>
  <c r="B650" i="5"/>
  <c r="C650" i="5"/>
  <c r="D650" i="5"/>
  <c r="L650" i="5" s="1"/>
  <c r="E650" i="5"/>
  <c r="F650" i="5"/>
  <c r="H650" i="5"/>
  <c r="I650" i="5"/>
  <c r="N650" i="5"/>
  <c r="R650" i="5"/>
  <c r="Q650" i="5" s="1"/>
  <c r="S650" i="5" s="1"/>
  <c r="T650" i="5"/>
  <c r="B651" i="5"/>
  <c r="C651" i="5"/>
  <c r="D651" i="5"/>
  <c r="E651" i="5"/>
  <c r="F651" i="5"/>
  <c r="H651" i="5"/>
  <c r="I651" i="5"/>
  <c r="L651" i="5"/>
  <c r="N651" i="5"/>
  <c r="Q651" i="5"/>
  <c r="R651" i="5"/>
  <c r="S651" i="5"/>
  <c r="T651" i="5"/>
  <c r="B652" i="5"/>
  <c r="C652" i="5"/>
  <c r="D652" i="5"/>
  <c r="E652" i="5"/>
  <c r="F652" i="5"/>
  <c r="H652" i="5"/>
  <c r="I652" i="5"/>
  <c r="N652" i="5"/>
  <c r="Q652" i="5"/>
  <c r="S652" i="5" s="1"/>
  <c r="R652" i="5"/>
  <c r="T652" i="5"/>
  <c r="B653" i="5"/>
  <c r="C653" i="5"/>
  <c r="D653" i="5"/>
  <c r="E653" i="5"/>
  <c r="F653" i="5"/>
  <c r="H653" i="5"/>
  <c r="I653" i="5"/>
  <c r="N653" i="5"/>
  <c r="R653" i="5"/>
  <c r="Q653" i="5" s="1"/>
  <c r="S653" i="5" s="1"/>
  <c r="T653" i="5"/>
  <c r="B654" i="5"/>
  <c r="C654" i="5"/>
  <c r="L654" i="5" s="1"/>
  <c r="D654" i="5"/>
  <c r="E654" i="5"/>
  <c r="F654" i="5"/>
  <c r="H654" i="5"/>
  <c r="I654" i="5"/>
  <c r="N654" i="5"/>
  <c r="Q654" i="5"/>
  <c r="S654" i="5" s="1"/>
  <c r="R654" i="5"/>
  <c r="T654" i="5"/>
  <c r="B655" i="5"/>
  <c r="C655" i="5"/>
  <c r="L655" i="5" s="1"/>
  <c r="D655" i="5"/>
  <c r="E655" i="5"/>
  <c r="F655" i="5"/>
  <c r="H655" i="5"/>
  <c r="I655" i="5"/>
  <c r="N655" i="5"/>
  <c r="R655" i="5"/>
  <c r="Q655" i="5" s="1"/>
  <c r="S655" i="5" s="1"/>
  <c r="T655" i="5"/>
  <c r="B656" i="5"/>
  <c r="C656" i="5"/>
  <c r="D656" i="5"/>
  <c r="E656" i="5"/>
  <c r="F656" i="5"/>
  <c r="H656" i="5"/>
  <c r="I656" i="5"/>
  <c r="N656" i="5"/>
  <c r="Q656" i="5"/>
  <c r="R656" i="5"/>
  <c r="S656" i="5"/>
  <c r="T656" i="5"/>
  <c r="B657" i="5"/>
  <c r="C657" i="5"/>
  <c r="D657" i="5"/>
  <c r="E657" i="5"/>
  <c r="F657" i="5"/>
  <c r="H657" i="5"/>
  <c r="I657" i="5"/>
  <c r="L657" i="5" s="1"/>
  <c r="N657" i="5"/>
  <c r="R657" i="5"/>
  <c r="Q657" i="5" s="1"/>
  <c r="S657" i="5" s="1"/>
  <c r="T657" i="5"/>
  <c r="B658" i="5"/>
  <c r="C658" i="5"/>
  <c r="D658" i="5"/>
  <c r="E658" i="5"/>
  <c r="F658" i="5"/>
  <c r="H658" i="5"/>
  <c r="I658" i="5"/>
  <c r="N658" i="5"/>
  <c r="R658" i="5"/>
  <c r="Q658" i="5" s="1"/>
  <c r="S658" i="5" s="1"/>
  <c r="T658" i="5"/>
  <c r="B659" i="5"/>
  <c r="C659" i="5"/>
  <c r="D659" i="5"/>
  <c r="E659" i="5"/>
  <c r="F659" i="5"/>
  <c r="H659" i="5"/>
  <c r="I659" i="5"/>
  <c r="L659" i="5"/>
  <c r="N659" i="5"/>
  <c r="R659" i="5"/>
  <c r="Q659" i="5" s="1"/>
  <c r="S659" i="5" s="1"/>
  <c r="T659" i="5"/>
  <c r="B660" i="5"/>
  <c r="C660" i="5"/>
  <c r="D660" i="5"/>
  <c r="E660" i="5"/>
  <c r="F660" i="5"/>
  <c r="H660" i="5"/>
  <c r="I660" i="5"/>
  <c r="N660" i="5"/>
  <c r="Q660" i="5"/>
  <c r="R660" i="5"/>
  <c r="T660" i="5"/>
  <c r="B661" i="5"/>
  <c r="C661" i="5"/>
  <c r="D661" i="5"/>
  <c r="E661" i="5"/>
  <c r="F661" i="5"/>
  <c r="H661" i="5"/>
  <c r="I661" i="5"/>
  <c r="N661" i="5"/>
  <c r="R661" i="5"/>
  <c r="Q661" i="5" s="1"/>
  <c r="S661" i="5" s="1"/>
  <c r="T661" i="5"/>
  <c r="B662" i="5"/>
  <c r="C662" i="5"/>
  <c r="D662" i="5"/>
  <c r="E662" i="5"/>
  <c r="F662" i="5"/>
  <c r="H662" i="5"/>
  <c r="I662" i="5"/>
  <c r="N662" i="5"/>
  <c r="Q662" i="5"/>
  <c r="S662" i="5" s="1"/>
  <c r="R662" i="5"/>
  <c r="T662" i="5"/>
  <c r="B663" i="5"/>
  <c r="C663" i="5"/>
  <c r="D663" i="5"/>
  <c r="E663" i="5"/>
  <c r="F663" i="5"/>
  <c r="H663" i="5"/>
  <c r="I663" i="5"/>
  <c r="N663" i="5"/>
  <c r="R663" i="5"/>
  <c r="Q663" i="5" s="1"/>
  <c r="S663" i="5" s="1"/>
  <c r="T663" i="5"/>
  <c r="B664" i="5"/>
  <c r="C664" i="5"/>
  <c r="D664" i="5"/>
  <c r="E664" i="5"/>
  <c r="F664" i="5"/>
  <c r="H664" i="5"/>
  <c r="I664" i="5"/>
  <c r="N664" i="5"/>
  <c r="Q664" i="5"/>
  <c r="R664" i="5"/>
  <c r="S664" i="5"/>
  <c r="T664" i="5"/>
  <c r="B665" i="5"/>
  <c r="C665" i="5"/>
  <c r="D665" i="5"/>
  <c r="E665" i="5"/>
  <c r="F665" i="5"/>
  <c r="H665" i="5"/>
  <c r="I665" i="5"/>
  <c r="L665" i="5" s="1"/>
  <c r="N665" i="5"/>
  <c r="R665" i="5"/>
  <c r="Q665" i="5" s="1"/>
  <c r="S665" i="5" s="1"/>
  <c r="T665" i="5"/>
  <c r="B666" i="5"/>
  <c r="C666" i="5"/>
  <c r="L666" i="5" s="1"/>
  <c r="D666" i="5"/>
  <c r="E666" i="5"/>
  <c r="F666" i="5"/>
  <c r="H666" i="5"/>
  <c r="I666" i="5"/>
  <c r="N666" i="5"/>
  <c r="R666" i="5"/>
  <c r="Q666" i="5" s="1"/>
  <c r="S666" i="5" s="1"/>
  <c r="T666" i="5"/>
  <c r="B667" i="5"/>
  <c r="C667" i="5"/>
  <c r="D667" i="5"/>
  <c r="E667" i="5"/>
  <c r="F667" i="5"/>
  <c r="L667" i="5" s="1"/>
  <c r="H667" i="5"/>
  <c r="I667" i="5"/>
  <c r="N667" i="5"/>
  <c r="R667" i="5"/>
  <c r="Q667" i="5" s="1"/>
  <c r="S667" i="5" s="1"/>
  <c r="T667" i="5"/>
  <c r="B668" i="5"/>
  <c r="C668" i="5"/>
  <c r="L668" i="5" s="1"/>
  <c r="D668" i="5"/>
  <c r="E668" i="5"/>
  <c r="F668" i="5"/>
  <c r="H668" i="5"/>
  <c r="I668" i="5"/>
  <c r="N668" i="5"/>
  <c r="R668" i="5"/>
  <c r="Q668" i="5" s="1"/>
  <c r="S668" i="5"/>
  <c r="T668" i="5"/>
  <c r="B669" i="5"/>
  <c r="C669" i="5"/>
  <c r="D669" i="5"/>
  <c r="E669" i="5"/>
  <c r="F669" i="5"/>
  <c r="H669" i="5"/>
  <c r="I669" i="5"/>
  <c r="N669" i="5"/>
  <c r="R669" i="5"/>
  <c r="Q669" i="5" s="1"/>
  <c r="S669" i="5" s="1"/>
  <c r="T669" i="5"/>
  <c r="B670" i="5"/>
  <c r="C670" i="5"/>
  <c r="D670" i="5"/>
  <c r="E670" i="5"/>
  <c r="F670" i="5"/>
  <c r="H670" i="5"/>
  <c r="I670" i="5"/>
  <c r="N670" i="5"/>
  <c r="Q670" i="5"/>
  <c r="S670" i="5" s="1"/>
  <c r="R670" i="5"/>
  <c r="T670" i="5"/>
  <c r="B671" i="5"/>
  <c r="C671" i="5"/>
  <c r="L671" i="5" s="1"/>
  <c r="D671" i="5"/>
  <c r="E671" i="5"/>
  <c r="F671" i="5"/>
  <c r="H671" i="5"/>
  <c r="I671" i="5"/>
  <c r="N671" i="5"/>
  <c r="R671" i="5"/>
  <c r="Q671" i="5" s="1"/>
  <c r="S671" i="5" s="1"/>
  <c r="T671" i="5"/>
  <c r="B672" i="5"/>
  <c r="C672" i="5"/>
  <c r="D672" i="5"/>
  <c r="E672" i="5"/>
  <c r="F672" i="5"/>
  <c r="H672" i="5"/>
  <c r="I672" i="5"/>
  <c r="N672" i="5"/>
  <c r="Q672" i="5"/>
  <c r="R672" i="5"/>
  <c r="S672" i="5"/>
  <c r="T672" i="5"/>
  <c r="B673" i="5"/>
  <c r="C673" i="5"/>
  <c r="D673" i="5"/>
  <c r="E673" i="5"/>
  <c r="F673" i="5"/>
  <c r="H673" i="5"/>
  <c r="I673" i="5"/>
  <c r="L673" i="5" s="1"/>
  <c r="N673" i="5"/>
  <c r="R673" i="5"/>
  <c r="Q673" i="5" s="1"/>
  <c r="S673" i="5" s="1"/>
  <c r="T673" i="5"/>
  <c r="B674" i="5"/>
  <c r="C674" i="5"/>
  <c r="D674" i="5"/>
  <c r="E674" i="5"/>
  <c r="F674" i="5"/>
  <c r="H674" i="5"/>
  <c r="I674" i="5"/>
  <c r="N674" i="5"/>
  <c r="R674" i="5"/>
  <c r="Q674" i="5" s="1"/>
  <c r="S674" i="5" s="1"/>
  <c r="T674" i="5"/>
  <c r="B675" i="5"/>
  <c r="C675" i="5"/>
  <c r="D675" i="5"/>
  <c r="E675" i="5"/>
  <c r="F675" i="5"/>
  <c r="H675" i="5"/>
  <c r="L675" i="5" s="1"/>
  <c r="I675" i="5"/>
  <c r="N675" i="5"/>
  <c r="R675" i="5"/>
  <c r="Q675" i="5" s="1"/>
  <c r="S675" i="5" s="1"/>
  <c r="T675" i="5"/>
  <c r="B676" i="5"/>
  <c r="C676" i="5"/>
  <c r="D676" i="5"/>
  <c r="E676" i="5"/>
  <c r="F676" i="5"/>
  <c r="H676" i="5"/>
  <c r="I676" i="5"/>
  <c r="N676" i="5"/>
  <c r="Q676" i="5"/>
  <c r="R676" i="5"/>
  <c r="S676" i="5"/>
  <c r="T676" i="5"/>
  <c r="B677" i="5"/>
  <c r="C677" i="5"/>
  <c r="D677" i="5"/>
  <c r="E677" i="5"/>
  <c r="F677" i="5"/>
  <c r="H677" i="5"/>
  <c r="I677" i="5"/>
  <c r="N677" i="5"/>
  <c r="R677" i="5"/>
  <c r="Q677" i="5" s="1"/>
  <c r="S677" i="5" s="1"/>
  <c r="T677" i="5"/>
  <c r="B678" i="5"/>
  <c r="C678" i="5"/>
  <c r="D678" i="5"/>
  <c r="E678" i="5"/>
  <c r="F678" i="5"/>
  <c r="H678" i="5"/>
  <c r="I678" i="5"/>
  <c r="N678" i="5"/>
  <c r="Q678" i="5"/>
  <c r="S678" i="5" s="1"/>
  <c r="R678" i="5"/>
  <c r="T678" i="5"/>
  <c r="B679" i="5"/>
  <c r="C679" i="5"/>
  <c r="L679" i="5" s="1"/>
  <c r="D679" i="5"/>
  <c r="E679" i="5"/>
  <c r="F679" i="5"/>
  <c r="H679" i="5"/>
  <c r="I679" i="5"/>
  <c r="N679" i="5"/>
  <c r="R679" i="5"/>
  <c r="Q679" i="5" s="1"/>
  <c r="S679" i="5" s="1"/>
  <c r="T679" i="5"/>
  <c r="B680" i="5"/>
  <c r="C680" i="5"/>
  <c r="D680" i="5"/>
  <c r="E680" i="5"/>
  <c r="L680" i="5" s="1"/>
  <c r="F680" i="5"/>
  <c r="H680" i="5"/>
  <c r="I680" i="5"/>
  <c r="N680" i="5"/>
  <c r="Q680" i="5"/>
  <c r="R680" i="5"/>
  <c r="S680" i="5"/>
  <c r="T680" i="5"/>
  <c r="B681" i="5"/>
  <c r="C681" i="5"/>
  <c r="D681" i="5"/>
  <c r="E681" i="5"/>
  <c r="F681" i="5"/>
  <c r="H681" i="5"/>
  <c r="I681" i="5"/>
  <c r="L681" i="5"/>
  <c r="N681" i="5"/>
  <c r="R681" i="5"/>
  <c r="Q681" i="5" s="1"/>
  <c r="S681" i="5" s="1"/>
  <c r="T681" i="5"/>
  <c r="B682" i="5"/>
  <c r="C682" i="5"/>
  <c r="D682" i="5"/>
  <c r="E682" i="5"/>
  <c r="F682" i="5"/>
  <c r="H682" i="5"/>
  <c r="I682" i="5"/>
  <c r="N682" i="5"/>
  <c r="Q682" i="5"/>
  <c r="S682" i="5" s="1"/>
  <c r="R682" i="5"/>
  <c r="T682" i="5"/>
  <c r="B683" i="5"/>
  <c r="C683" i="5"/>
  <c r="D683" i="5"/>
  <c r="E683" i="5"/>
  <c r="F683" i="5"/>
  <c r="L683" i="5" s="1"/>
  <c r="H683" i="5"/>
  <c r="I683" i="5"/>
  <c r="N683" i="5"/>
  <c r="R683" i="5"/>
  <c r="Q683" i="5" s="1"/>
  <c r="S683" i="5" s="1"/>
  <c r="T683" i="5"/>
  <c r="B684" i="5"/>
  <c r="C684" i="5"/>
  <c r="D684" i="5"/>
  <c r="E684" i="5"/>
  <c r="F684" i="5"/>
  <c r="H684" i="5"/>
  <c r="I684" i="5"/>
  <c r="N684" i="5"/>
  <c r="R684" i="5"/>
  <c r="Q684" i="5" s="1"/>
  <c r="S684" i="5" s="1"/>
  <c r="T684" i="5"/>
  <c r="B685" i="5"/>
  <c r="C685" i="5"/>
  <c r="D685" i="5"/>
  <c r="E685" i="5"/>
  <c r="F685" i="5"/>
  <c r="H685" i="5"/>
  <c r="I685" i="5"/>
  <c r="N685" i="5"/>
  <c r="R685" i="5"/>
  <c r="Q685" i="5" s="1"/>
  <c r="S685" i="5" s="1"/>
  <c r="T685" i="5"/>
  <c r="B686" i="5"/>
  <c r="C686" i="5"/>
  <c r="L686" i="5" s="1"/>
  <c r="D686" i="5"/>
  <c r="E686" i="5"/>
  <c r="F686" i="5"/>
  <c r="H686" i="5"/>
  <c r="I686" i="5"/>
  <c r="N686" i="5"/>
  <c r="Q686" i="5"/>
  <c r="S686" i="5" s="1"/>
  <c r="R686" i="5"/>
  <c r="T686" i="5"/>
  <c r="B687" i="5"/>
  <c r="C687" i="5"/>
  <c r="D687" i="5"/>
  <c r="E687" i="5"/>
  <c r="F687" i="5"/>
  <c r="H687" i="5"/>
  <c r="I687" i="5"/>
  <c r="N687" i="5"/>
  <c r="R687" i="5"/>
  <c r="Q687" i="5" s="1"/>
  <c r="S687" i="5" s="1"/>
  <c r="T687" i="5"/>
  <c r="B688" i="5"/>
  <c r="C688" i="5"/>
  <c r="D688" i="5"/>
  <c r="E688" i="5"/>
  <c r="F688" i="5"/>
  <c r="H688" i="5"/>
  <c r="I688" i="5"/>
  <c r="N688" i="5"/>
  <c r="Q688" i="5"/>
  <c r="R688" i="5"/>
  <c r="S688" i="5"/>
  <c r="T688" i="5"/>
  <c r="B689" i="5"/>
  <c r="C689" i="5"/>
  <c r="D689" i="5"/>
  <c r="E689" i="5"/>
  <c r="F689" i="5"/>
  <c r="H689" i="5"/>
  <c r="I689" i="5"/>
  <c r="L689" i="5" s="1"/>
  <c r="N689" i="5"/>
  <c r="R689" i="5"/>
  <c r="Q689" i="5" s="1"/>
  <c r="S689" i="5" s="1"/>
  <c r="T689" i="5"/>
  <c r="B690" i="5"/>
  <c r="C690" i="5"/>
  <c r="D690" i="5"/>
  <c r="E690" i="5"/>
  <c r="F690" i="5"/>
  <c r="H690" i="5"/>
  <c r="I690" i="5"/>
  <c r="N690" i="5"/>
  <c r="R690" i="5"/>
  <c r="Q690" i="5" s="1"/>
  <c r="S690" i="5" s="1"/>
  <c r="T690" i="5"/>
  <c r="B691" i="5"/>
  <c r="C691" i="5"/>
  <c r="D691" i="5"/>
  <c r="E691" i="5"/>
  <c r="F691" i="5"/>
  <c r="H691" i="5"/>
  <c r="I691" i="5"/>
  <c r="L691" i="5" s="1"/>
  <c r="N691" i="5"/>
  <c r="R691" i="5"/>
  <c r="Q691" i="5" s="1"/>
  <c r="S691" i="5" s="1"/>
  <c r="T691" i="5"/>
  <c r="B692" i="5"/>
  <c r="C692" i="5"/>
  <c r="D692" i="5"/>
  <c r="E692" i="5"/>
  <c r="F692" i="5"/>
  <c r="H692" i="5"/>
  <c r="I692" i="5"/>
  <c r="N692" i="5"/>
  <c r="Q692" i="5"/>
  <c r="S692" i="5" s="1"/>
  <c r="R692" i="5"/>
  <c r="T692" i="5"/>
  <c r="B693" i="5"/>
  <c r="C693" i="5"/>
  <c r="D693" i="5"/>
  <c r="E693" i="5"/>
  <c r="F693" i="5"/>
  <c r="H693" i="5"/>
  <c r="I693" i="5"/>
  <c r="N693" i="5"/>
  <c r="R693" i="5"/>
  <c r="Q693" i="5" s="1"/>
  <c r="S693" i="5" s="1"/>
  <c r="T693" i="5"/>
  <c r="B694" i="5"/>
  <c r="C694" i="5"/>
  <c r="L694" i="5" s="1"/>
  <c r="D694" i="5"/>
  <c r="E694" i="5"/>
  <c r="F694" i="5"/>
  <c r="H694" i="5"/>
  <c r="I694" i="5"/>
  <c r="N694" i="5"/>
  <c r="Q694" i="5"/>
  <c r="S694" i="5" s="1"/>
  <c r="R694" i="5"/>
  <c r="T694" i="5"/>
  <c r="B695" i="5"/>
  <c r="C695" i="5"/>
  <c r="D695" i="5"/>
  <c r="E695" i="5"/>
  <c r="F695" i="5"/>
  <c r="H695" i="5"/>
  <c r="I695" i="5"/>
  <c r="N695" i="5"/>
  <c r="R695" i="5"/>
  <c r="Q695" i="5" s="1"/>
  <c r="S695" i="5" s="1"/>
  <c r="T695" i="5"/>
  <c r="B696" i="5"/>
  <c r="C696" i="5"/>
  <c r="D696" i="5"/>
  <c r="E696" i="5"/>
  <c r="L696" i="5" s="1"/>
  <c r="F696" i="5"/>
  <c r="H696" i="5"/>
  <c r="I696" i="5"/>
  <c r="N696" i="5"/>
  <c r="Q696" i="5"/>
  <c r="R696" i="5"/>
  <c r="S696" i="5"/>
  <c r="T696" i="5"/>
  <c r="B697" i="5"/>
  <c r="C697" i="5"/>
  <c r="D697" i="5"/>
  <c r="E697" i="5"/>
  <c r="F697" i="5"/>
  <c r="H697" i="5"/>
  <c r="I697" i="5"/>
  <c r="L697" i="5"/>
  <c r="N697" i="5"/>
  <c r="R697" i="5"/>
  <c r="Q697" i="5" s="1"/>
  <c r="S697" i="5" s="1"/>
  <c r="T697" i="5"/>
  <c r="B698" i="5"/>
  <c r="C698" i="5"/>
  <c r="D698" i="5"/>
  <c r="E698" i="5"/>
  <c r="F698" i="5"/>
  <c r="H698" i="5"/>
  <c r="I698" i="5"/>
  <c r="N698" i="5"/>
  <c r="R698" i="5"/>
  <c r="Q698" i="5" s="1"/>
  <c r="S698" i="5" s="1"/>
  <c r="T698" i="5"/>
  <c r="B699" i="5"/>
  <c r="C699" i="5"/>
  <c r="D699" i="5"/>
  <c r="E699" i="5"/>
  <c r="F699" i="5"/>
  <c r="H699" i="5"/>
  <c r="I699" i="5"/>
  <c r="L699" i="5"/>
  <c r="N699" i="5"/>
  <c r="R699" i="5"/>
  <c r="Q699" i="5" s="1"/>
  <c r="S699" i="5" s="1"/>
  <c r="T699" i="5"/>
  <c r="B700" i="5"/>
  <c r="C700" i="5"/>
  <c r="D700" i="5"/>
  <c r="E700" i="5"/>
  <c r="F700" i="5"/>
  <c r="H700" i="5"/>
  <c r="I700" i="5"/>
  <c r="N700" i="5"/>
  <c r="R700" i="5"/>
  <c r="Q700" i="5" s="1"/>
  <c r="S700" i="5" s="1"/>
  <c r="T700" i="5"/>
  <c r="B701" i="5"/>
  <c r="C701" i="5"/>
  <c r="D701" i="5"/>
  <c r="E701" i="5"/>
  <c r="F701" i="5"/>
  <c r="H701" i="5"/>
  <c r="I701" i="5"/>
  <c r="N701" i="5"/>
  <c r="R701" i="5"/>
  <c r="Q701" i="5" s="1"/>
  <c r="S701" i="5" s="1"/>
  <c r="T701" i="5"/>
  <c r="B702" i="5"/>
  <c r="C702" i="5"/>
  <c r="D702" i="5"/>
  <c r="E702" i="5"/>
  <c r="F702" i="5"/>
  <c r="H702" i="5"/>
  <c r="I702" i="5"/>
  <c r="N702" i="5"/>
  <c r="Q702" i="5"/>
  <c r="S702" i="5" s="1"/>
  <c r="R702" i="5"/>
  <c r="T702" i="5"/>
  <c r="B703" i="5"/>
  <c r="C703" i="5"/>
  <c r="D703" i="5"/>
  <c r="E703" i="5"/>
  <c r="F703" i="5"/>
  <c r="H703" i="5"/>
  <c r="I703" i="5"/>
  <c r="N703" i="5"/>
  <c r="Q703" i="5"/>
  <c r="R703" i="5"/>
  <c r="T703" i="5"/>
  <c r="B704" i="5"/>
  <c r="C704" i="5"/>
  <c r="D704" i="5"/>
  <c r="E704" i="5"/>
  <c r="F704" i="5"/>
  <c r="H704" i="5"/>
  <c r="I704" i="5"/>
  <c r="N704" i="5"/>
  <c r="Q704" i="5"/>
  <c r="R704" i="5"/>
  <c r="S704" i="5"/>
  <c r="T704" i="5"/>
  <c r="B705" i="5"/>
  <c r="C705" i="5"/>
  <c r="D705" i="5"/>
  <c r="E705" i="5"/>
  <c r="F705" i="5"/>
  <c r="H705" i="5"/>
  <c r="I705" i="5"/>
  <c r="L705" i="5" s="1"/>
  <c r="N705" i="5"/>
  <c r="R705" i="5"/>
  <c r="Q705" i="5" s="1"/>
  <c r="S705" i="5" s="1"/>
  <c r="T705" i="5"/>
  <c r="B706" i="5"/>
  <c r="C706" i="5"/>
  <c r="D706" i="5"/>
  <c r="E706" i="5"/>
  <c r="F706" i="5"/>
  <c r="H706" i="5"/>
  <c r="I706" i="5"/>
  <c r="N706" i="5"/>
  <c r="R706" i="5"/>
  <c r="Q706" i="5" s="1"/>
  <c r="S706" i="5"/>
  <c r="T706" i="5"/>
  <c r="B707" i="5"/>
  <c r="C707" i="5"/>
  <c r="D707" i="5"/>
  <c r="E707" i="5"/>
  <c r="F707" i="5"/>
  <c r="H707" i="5"/>
  <c r="I707" i="5"/>
  <c r="L707" i="5"/>
  <c r="N707" i="5"/>
  <c r="R707" i="5"/>
  <c r="Q707" i="5" s="1"/>
  <c r="S707" i="5" s="1"/>
  <c r="T707" i="5"/>
  <c r="B708" i="5"/>
  <c r="C708" i="5"/>
  <c r="D708" i="5"/>
  <c r="E708" i="5"/>
  <c r="F708" i="5"/>
  <c r="H708" i="5"/>
  <c r="I708" i="5"/>
  <c r="N708" i="5"/>
  <c r="Q708" i="5"/>
  <c r="S708" i="5" s="1"/>
  <c r="R708" i="5"/>
  <c r="T708" i="5"/>
  <c r="B709" i="5"/>
  <c r="C709" i="5"/>
  <c r="D709" i="5"/>
  <c r="E709" i="5"/>
  <c r="F709" i="5"/>
  <c r="H709" i="5"/>
  <c r="I709" i="5"/>
  <c r="N709" i="5"/>
  <c r="R709" i="5"/>
  <c r="Q709" i="5" s="1"/>
  <c r="S709" i="5" s="1"/>
  <c r="T709" i="5"/>
  <c r="B710" i="5"/>
  <c r="C710" i="5"/>
  <c r="L710" i="5" s="1"/>
  <c r="D710" i="5"/>
  <c r="E710" i="5"/>
  <c r="F710" i="5"/>
  <c r="H710" i="5"/>
  <c r="I710" i="5"/>
  <c r="N710" i="5"/>
  <c r="Q710" i="5"/>
  <c r="S710" i="5" s="1"/>
  <c r="R710" i="5"/>
  <c r="T710" i="5"/>
  <c r="B711" i="5"/>
  <c r="C711" i="5"/>
  <c r="L711" i="5" s="1"/>
  <c r="D711" i="5"/>
  <c r="E711" i="5"/>
  <c r="F711" i="5"/>
  <c r="H711" i="5"/>
  <c r="I711" i="5"/>
  <c r="N711" i="5"/>
  <c r="Q711" i="5"/>
  <c r="S711" i="5" s="1"/>
  <c r="R711" i="5"/>
  <c r="T711" i="5"/>
  <c r="B712" i="5"/>
  <c r="C712" i="5"/>
  <c r="D712" i="5"/>
  <c r="E712" i="5"/>
  <c r="F712" i="5"/>
  <c r="H712" i="5"/>
  <c r="I712" i="5"/>
  <c r="N712" i="5"/>
  <c r="Q712" i="5"/>
  <c r="R712" i="5"/>
  <c r="S712" i="5"/>
  <c r="T712" i="5"/>
  <c r="B713" i="5"/>
  <c r="C713" i="5"/>
  <c r="D713" i="5"/>
  <c r="E713" i="5"/>
  <c r="F713" i="5"/>
  <c r="H713" i="5"/>
  <c r="I713" i="5"/>
  <c r="N713" i="5"/>
  <c r="R713" i="5"/>
  <c r="Q713" i="5" s="1"/>
  <c r="S713" i="5" s="1"/>
  <c r="T713" i="5"/>
  <c r="B714" i="5"/>
  <c r="C714" i="5"/>
  <c r="D714" i="5"/>
  <c r="E714" i="5"/>
  <c r="F714" i="5"/>
  <c r="H714" i="5"/>
  <c r="I714" i="5"/>
  <c r="N714" i="5"/>
  <c r="R714" i="5"/>
  <c r="Q714" i="5" s="1"/>
  <c r="S714" i="5"/>
  <c r="T714" i="5"/>
  <c r="B715" i="5"/>
  <c r="C715" i="5"/>
  <c r="D715" i="5"/>
  <c r="E715" i="5"/>
  <c r="F715" i="5"/>
  <c r="H715" i="5"/>
  <c r="I715" i="5"/>
  <c r="L715" i="5"/>
  <c r="N715" i="5"/>
  <c r="R715" i="5"/>
  <c r="Q715" i="5" s="1"/>
  <c r="S715" i="5" s="1"/>
  <c r="T715" i="5"/>
  <c r="B716" i="5"/>
  <c r="C716" i="5"/>
  <c r="D716" i="5"/>
  <c r="E716" i="5"/>
  <c r="L716" i="5" s="1"/>
  <c r="F716" i="5"/>
  <c r="H716" i="5"/>
  <c r="I716" i="5"/>
  <c r="N716" i="5"/>
  <c r="R716" i="5"/>
  <c r="Q716" i="5" s="1"/>
  <c r="S716" i="5"/>
  <c r="T716" i="5"/>
  <c r="B717" i="5"/>
  <c r="C717" i="5"/>
  <c r="D717" i="5"/>
  <c r="L717" i="5" s="1"/>
  <c r="E717" i="5"/>
  <c r="F717" i="5"/>
  <c r="H717" i="5"/>
  <c r="I717" i="5"/>
  <c r="N717" i="5"/>
  <c r="R717" i="5"/>
  <c r="Q717" i="5" s="1"/>
  <c r="S717" i="5" s="1"/>
  <c r="T717" i="5"/>
  <c r="B718" i="5"/>
  <c r="C718" i="5"/>
  <c r="D718" i="5"/>
  <c r="E718" i="5"/>
  <c r="F718" i="5"/>
  <c r="H718" i="5"/>
  <c r="I718" i="5"/>
  <c r="N718" i="5"/>
  <c r="Q718" i="5"/>
  <c r="S718" i="5" s="1"/>
  <c r="R718" i="5"/>
  <c r="T718" i="5"/>
  <c r="B719" i="5"/>
  <c r="C719" i="5"/>
  <c r="D719" i="5"/>
  <c r="E719" i="5"/>
  <c r="F719" i="5"/>
  <c r="H719" i="5"/>
  <c r="I719" i="5"/>
  <c r="N719" i="5"/>
  <c r="R719" i="5"/>
  <c r="Q719" i="5" s="1"/>
  <c r="S719" i="5" s="1"/>
  <c r="T719" i="5"/>
  <c r="B720" i="5"/>
  <c r="C720" i="5"/>
  <c r="D720" i="5"/>
  <c r="E720" i="5"/>
  <c r="F720" i="5"/>
  <c r="H720" i="5"/>
  <c r="L720" i="5" s="1"/>
  <c r="I720" i="5"/>
  <c r="N720" i="5"/>
  <c r="Q720" i="5"/>
  <c r="R720" i="5"/>
  <c r="S720" i="5"/>
  <c r="T720" i="5"/>
  <c r="B721" i="5"/>
  <c r="C721" i="5"/>
  <c r="D721" i="5"/>
  <c r="L721" i="5" s="1"/>
  <c r="E721" i="5"/>
  <c r="F721" i="5"/>
  <c r="H721" i="5"/>
  <c r="I721" i="5"/>
  <c r="N721" i="5"/>
  <c r="R721" i="5"/>
  <c r="Q721" i="5" s="1"/>
  <c r="S721" i="5" s="1"/>
  <c r="T721" i="5"/>
  <c r="B722" i="5"/>
  <c r="C722" i="5"/>
  <c r="L722" i="5" s="1"/>
  <c r="D722" i="5"/>
  <c r="E722" i="5"/>
  <c r="F722" i="5"/>
  <c r="H722" i="5"/>
  <c r="I722" i="5"/>
  <c r="N722" i="5"/>
  <c r="R722" i="5"/>
  <c r="Q722" i="5" s="1"/>
  <c r="S722" i="5" s="1"/>
  <c r="T722" i="5"/>
  <c r="B723" i="5"/>
  <c r="C723" i="5"/>
  <c r="D723" i="5"/>
  <c r="E723" i="5"/>
  <c r="F723" i="5"/>
  <c r="L723" i="5" s="1"/>
  <c r="H723" i="5"/>
  <c r="I723" i="5"/>
  <c r="N723" i="5"/>
  <c r="R723" i="5"/>
  <c r="Q723" i="5" s="1"/>
  <c r="S723" i="5" s="1"/>
  <c r="T723" i="5"/>
  <c r="B724" i="5"/>
  <c r="C724" i="5"/>
  <c r="D724" i="5"/>
  <c r="E724" i="5"/>
  <c r="F724" i="5"/>
  <c r="H724" i="5"/>
  <c r="I724" i="5"/>
  <c r="L724" i="5"/>
  <c r="N724" i="5"/>
  <c r="R724" i="5"/>
  <c r="Q724" i="5" s="1"/>
  <c r="S724" i="5"/>
  <c r="T724" i="5"/>
  <c r="B725" i="5"/>
  <c r="C725" i="5"/>
  <c r="D725" i="5"/>
  <c r="L725" i="5" s="1"/>
  <c r="E725" i="5"/>
  <c r="F725" i="5"/>
  <c r="H725" i="5"/>
  <c r="I725" i="5"/>
  <c r="N725" i="5"/>
  <c r="R725" i="5"/>
  <c r="Q725" i="5" s="1"/>
  <c r="S725" i="5" s="1"/>
  <c r="T725" i="5"/>
  <c r="B726" i="5"/>
  <c r="C726" i="5"/>
  <c r="D726" i="5"/>
  <c r="E726" i="5"/>
  <c r="F726" i="5"/>
  <c r="H726" i="5"/>
  <c r="I726" i="5"/>
  <c r="L726" i="5"/>
  <c r="N726" i="5"/>
  <c r="Q726" i="5"/>
  <c r="S726" i="5" s="1"/>
  <c r="R726" i="5"/>
  <c r="T726" i="5"/>
  <c r="B727" i="5"/>
  <c r="C727" i="5"/>
  <c r="D727" i="5"/>
  <c r="E727" i="5"/>
  <c r="F727" i="5"/>
  <c r="H727" i="5"/>
  <c r="I727" i="5"/>
  <c r="N727" i="5"/>
  <c r="Q727" i="5"/>
  <c r="S727" i="5" s="1"/>
  <c r="R727" i="5"/>
  <c r="T727" i="5"/>
  <c r="B728" i="5"/>
  <c r="C728" i="5"/>
  <c r="D728" i="5"/>
  <c r="E728" i="5"/>
  <c r="F728" i="5"/>
  <c r="H728" i="5"/>
  <c r="I728" i="5"/>
  <c r="N728" i="5"/>
  <c r="Q728" i="5"/>
  <c r="R728" i="5"/>
  <c r="S728" i="5"/>
  <c r="T728" i="5"/>
  <c r="B729" i="5"/>
  <c r="C729" i="5"/>
  <c r="D729" i="5"/>
  <c r="E729" i="5"/>
  <c r="F729" i="5"/>
  <c r="H729" i="5"/>
  <c r="I729" i="5"/>
  <c r="L729" i="5"/>
  <c r="N729" i="5"/>
  <c r="R729" i="5"/>
  <c r="Q729" i="5" s="1"/>
  <c r="S729" i="5" s="1"/>
  <c r="T729" i="5"/>
  <c r="B730" i="5"/>
  <c r="C730" i="5"/>
  <c r="L730" i="5" s="1"/>
  <c r="D730" i="5"/>
  <c r="E730" i="5"/>
  <c r="F730" i="5"/>
  <c r="H730" i="5"/>
  <c r="I730" i="5"/>
  <c r="N730" i="5"/>
  <c r="R730" i="5"/>
  <c r="Q730" i="5" s="1"/>
  <c r="S730" i="5" s="1"/>
  <c r="T730" i="5"/>
  <c r="B731" i="5"/>
  <c r="C731" i="5"/>
  <c r="D731" i="5"/>
  <c r="E731" i="5"/>
  <c r="F731" i="5"/>
  <c r="H731" i="5"/>
  <c r="I731" i="5"/>
  <c r="L731" i="5"/>
  <c r="N731" i="5"/>
  <c r="R731" i="5"/>
  <c r="Q731" i="5" s="1"/>
  <c r="S731" i="5" s="1"/>
  <c r="T731" i="5"/>
  <c r="B732" i="5"/>
  <c r="C732" i="5"/>
  <c r="D732" i="5"/>
  <c r="E732" i="5"/>
  <c r="F732" i="5"/>
  <c r="H732" i="5"/>
  <c r="I732" i="5"/>
  <c r="N732" i="5"/>
  <c r="Q732" i="5"/>
  <c r="S732" i="5" s="1"/>
  <c r="R732" i="5"/>
  <c r="T732" i="5"/>
  <c r="B733" i="5"/>
  <c r="C733" i="5"/>
  <c r="D733" i="5"/>
  <c r="E733" i="5"/>
  <c r="F733" i="5"/>
  <c r="H733" i="5"/>
  <c r="I733" i="5"/>
  <c r="N733" i="5"/>
  <c r="R733" i="5"/>
  <c r="Q733" i="5" s="1"/>
  <c r="S733" i="5" s="1"/>
  <c r="T733" i="5"/>
  <c r="B734" i="5"/>
  <c r="C734" i="5"/>
  <c r="D734" i="5"/>
  <c r="E734" i="5"/>
  <c r="F734" i="5"/>
  <c r="H734" i="5"/>
  <c r="I734" i="5"/>
  <c r="L734" i="5"/>
  <c r="N734" i="5"/>
  <c r="Q734" i="5"/>
  <c r="S734" i="5" s="1"/>
  <c r="R734" i="5"/>
  <c r="T734" i="5"/>
  <c r="B735" i="5"/>
  <c r="C735" i="5"/>
  <c r="D735" i="5"/>
  <c r="E735" i="5"/>
  <c r="F735" i="5"/>
  <c r="H735" i="5"/>
  <c r="I735" i="5"/>
  <c r="N735" i="5"/>
  <c r="R735" i="5"/>
  <c r="Q735" i="5" s="1"/>
  <c r="S735" i="5" s="1"/>
  <c r="T735" i="5"/>
  <c r="B736" i="5"/>
  <c r="C736" i="5"/>
  <c r="D736" i="5"/>
  <c r="E736" i="5"/>
  <c r="F736" i="5"/>
  <c r="H736" i="5"/>
  <c r="I736" i="5"/>
  <c r="L736" i="5"/>
  <c r="N736" i="5"/>
  <c r="Q736" i="5"/>
  <c r="R736" i="5"/>
  <c r="S736" i="5"/>
  <c r="T736" i="5"/>
  <c r="B737" i="5"/>
  <c r="C737" i="5"/>
  <c r="D737" i="5"/>
  <c r="L737" i="5" s="1"/>
  <c r="E737" i="5"/>
  <c r="F737" i="5"/>
  <c r="H737" i="5"/>
  <c r="I737" i="5"/>
  <c r="N737" i="5"/>
  <c r="R737" i="5"/>
  <c r="Q737" i="5" s="1"/>
  <c r="S737" i="5" s="1"/>
  <c r="T737" i="5"/>
  <c r="B738" i="5"/>
  <c r="C738" i="5"/>
  <c r="D738" i="5"/>
  <c r="E738" i="5"/>
  <c r="F738" i="5"/>
  <c r="H738" i="5"/>
  <c r="I738" i="5"/>
  <c r="N738" i="5"/>
  <c r="Q738" i="5"/>
  <c r="S738" i="5" s="1"/>
  <c r="R738" i="5"/>
  <c r="T738" i="5"/>
  <c r="B739" i="5"/>
  <c r="C739" i="5"/>
  <c r="D739" i="5"/>
  <c r="E739" i="5"/>
  <c r="F739" i="5"/>
  <c r="L739" i="5" s="1"/>
  <c r="H739" i="5"/>
  <c r="I739" i="5"/>
  <c r="N739" i="5"/>
  <c r="R739" i="5"/>
  <c r="Q739" i="5" s="1"/>
  <c r="S739" i="5" s="1"/>
  <c r="T739" i="5"/>
  <c r="B740" i="5"/>
  <c r="C740" i="5"/>
  <c r="L740" i="5" s="1"/>
  <c r="D740" i="5"/>
  <c r="E740" i="5"/>
  <c r="F740" i="5"/>
  <c r="H740" i="5"/>
  <c r="I740" i="5"/>
  <c r="N740" i="5"/>
  <c r="Q740" i="5"/>
  <c r="S740" i="5" s="1"/>
  <c r="R740" i="5"/>
  <c r="T740" i="5"/>
  <c r="B741" i="5"/>
  <c r="C741" i="5"/>
  <c r="D741" i="5"/>
  <c r="L741" i="5" s="1"/>
  <c r="E741" i="5"/>
  <c r="F741" i="5"/>
  <c r="H741" i="5"/>
  <c r="I741" i="5"/>
  <c r="N741" i="5"/>
  <c r="R741" i="5"/>
  <c r="Q741" i="5" s="1"/>
  <c r="S741" i="5" s="1"/>
  <c r="T741" i="5"/>
  <c r="B742" i="5"/>
  <c r="C742" i="5"/>
  <c r="D742" i="5"/>
  <c r="E742" i="5"/>
  <c r="F742" i="5"/>
  <c r="H742" i="5"/>
  <c r="I742" i="5"/>
  <c r="N742" i="5"/>
  <c r="Q742" i="5"/>
  <c r="S742" i="5" s="1"/>
  <c r="R742" i="5"/>
  <c r="T742" i="5"/>
  <c r="B743" i="5"/>
  <c r="C743" i="5"/>
  <c r="L743" i="5" s="1"/>
  <c r="D743" i="5"/>
  <c r="E743" i="5"/>
  <c r="F743" i="5"/>
  <c r="H743" i="5"/>
  <c r="I743" i="5"/>
  <c r="N743" i="5"/>
  <c r="R743" i="5"/>
  <c r="Q743" i="5" s="1"/>
  <c r="S743" i="5" s="1"/>
  <c r="T743" i="5"/>
  <c r="B744" i="5"/>
  <c r="C744" i="5"/>
  <c r="D744" i="5"/>
  <c r="E744" i="5"/>
  <c r="L744" i="5" s="1"/>
  <c r="F744" i="5"/>
  <c r="H744" i="5"/>
  <c r="I744" i="5"/>
  <c r="N744" i="5"/>
  <c r="Q744" i="5"/>
  <c r="R744" i="5"/>
  <c r="S744" i="5"/>
  <c r="T744" i="5"/>
  <c r="B745" i="5"/>
  <c r="C745" i="5"/>
  <c r="D745" i="5"/>
  <c r="E745" i="5"/>
  <c r="F745" i="5"/>
  <c r="H745" i="5"/>
  <c r="I745" i="5"/>
  <c r="N745" i="5"/>
  <c r="R745" i="5"/>
  <c r="Q745" i="5" s="1"/>
  <c r="S745" i="5" s="1"/>
  <c r="T745" i="5"/>
  <c r="B746" i="5"/>
  <c r="C746" i="5"/>
  <c r="L746" i="5" s="1"/>
  <c r="D746" i="5"/>
  <c r="E746" i="5"/>
  <c r="F746" i="5"/>
  <c r="H746" i="5"/>
  <c r="I746" i="5"/>
  <c r="N746" i="5"/>
  <c r="R746" i="5"/>
  <c r="Q746" i="5" s="1"/>
  <c r="S746" i="5" s="1"/>
  <c r="T746" i="5"/>
  <c r="B747" i="5"/>
  <c r="C747" i="5"/>
  <c r="D747" i="5"/>
  <c r="E747" i="5"/>
  <c r="F747" i="5"/>
  <c r="H747" i="5"/>
  <c r="L747" i="5" s="1"/>
  <c r="I747" i="5"/>
  <c r="N747" i="5"/>
  <c r="R747" i="5"/>
  <c r="Q747" i="5" s="1"/>
  <c r="S747" i="5" s="1"/>
  <c r="T747" i="5"/>
  <c r="B748" i="5"/>
  <c r="C748" i="5"/>
  <c r="D748" i="5"/>
  <c r="E748" i="5"/>
  <c r="F748" i="5"/>
  <c r="H748" i="5"/>
  <c r="I748" i="5"/>
  <c r="L748" i="5"/>
  <c r="N748" i="5"/>
  <c r="R748" i="5"/>
  <c r="Q748" i="5" s="1"/>
  <c r="S748" i="5" s="1"/>
  <c r="T748" i="5"/>
  <c r="B749" i="5"/>
  <c r="C749" i="5"/>
  <c r="D749" i="5"/>
  <c r="L749" i="5" s="1"/>
  <c r="E749" i="5"/>
  <c r="F749" i="5"/>
  <c r="H749" i="5"/>
  <c r="I749" i="5"/>
  <c r="N749" i="5"/>
  <c r="R749" i="5"/>
  <c r="Q749" i="5" s="1"/>
  <c r="S749" i="5" s="1"/>
  <c r="T749" i="5"/>
  <c r="B750" i="5"/>
  <c r="C750" i="5"/>
  <c r="L750" i="5" s="1"/>
  <c r="D750" i="5"/>
  <c r="E750" i="5"/>
  <c r="F750" i="5"/>
  <c r="H750" i="5"/>
  <c r="I750" i="5"/>
  <c r="N750" i="5"/>
  <c r="Q750" i="5"/>
  <c r="S750" i="5" s="1"/>
  <c r="R750" i="5"/>
  <c r="T750" i="5"/>
  <c r="B751" i="5"/>
  <c r="C751" i="5"/>
  <c r="L751" i="5" s="1"/>
  <c r="D751" i="5"/>
  <c r="E751" i="5"/>
  <c r="F751" i="5"/>
  <c r="H751" i="5"/>
  <c r="I751" i="5"/>
  <c r="N751" i="5"/>
  <c r="Q751" i="5"/>
  <c r="S751" i="5" s="1"/>
  <c r="R751" i="5"/>
  <c r="T751" i="5"/>
  <c r="B752" i="5"/>
  <c r="C752" i="5"/>
  <c r="D752" i="5"/>
  <c r="E752" i="5"/>
  <c r="L752" i="5" s="1"/>
  <c r="F752" i="5"/>
  <c r="H752" i="5"/>
  <c r="I752" i="5"/>
  <c r="N752" i="5"/>
  <c r="Q752" i="5"/>
  <c r="R752" i="5"/>
  <c r="S752" i="5"/>
  <c r="T752" i="5"/>
  <c r="B753" i="5"/>
  <c r="C753" i="5"/>
  <c r="D753" i="5"/>
  <c r="E753" i="5"/>
  <c r="F753" i="5"/>
  <c r="H753" i="5"/>
  <c r="I753" i="5"/>
  <c r="L753" i="5"/>
  <c r="N753" i="5"/>
  <c r="R753" i="5"/>
  <c r="Q753" i="5" s="1"/>
  <c r="S753" i="5" s="1"/>
  <c r="T753" i="5"/>
  <c r="B754" i="5"/>
  <c r="C754" i="5"/>
  <c r="D754" i="5"/>
  <c r="E754" i="5"/>
  <c r="F754" i="5"/>
  <c r="H754" i="5"/>
  <c r="I754" i="5"/>
  <c r="N754" i="5"/>
  <c r="R754" i="5"/>
  <c r="Q754" i="5" s="1"/>
  <c r="S754" i="5" s="1"/>
  <c r="T754" i="5"/>
  <c r="B755" i="5"/>
  <c r="C755" i="5"/>
  <c r="D755" i="5"/>
  <c r="E755" i="5"/>
  <c r="F755" i="5"/>
  <c r="H755" i="5"/>
  <c r="L755" i="5" s="1"/>
  <c r="I755" i="5"/>
  <c r="N755" i="5"/>
  <c r="R755" i="5"/>
  <c r="Q755" i="5" s="1"/>
  <c r="S755" i="5" s="1"/>
  <c r="T755" i="5"/>
  <c r="B756" i="5"/>
  <c r="C756" i="5"/>
  <c r="D756" i="5"/>
  <c r="E756" i="5"/>
  <c r="F756" i="5"/>
  <c r="H756" i="5"/>
  <c r="I756" i="5"/>
  <c r="L756" i="5"/>
  <c r="N756" i="5"/>
  <c r="R756" i="5"/>
  <c r="Q756" i="5" s="1"/>
  <c r="S756" i="5"/>
  <c r="T756" i="5"/>
  <c r="B757" i="5"/>
  <c r="C757" i="5"/>
  <c r="D757" i="5"/>
  <c r="L757" i="5" s="1"/>
  <c r="E757" i="5"/>
  <c r="F757" i="5"/>
  <c r="H757" i="5"/>
  <c r="I757" i="5"/>
  <c r="N757" i="5"/>
  <c r="R757" i="5"/>
  <c r="Q757" i="5" s="1"/>
  <c r="S757" i="5" s="1"/>
  <c r="T757" i="5"/>
  <c r="B758" i="5"/>
  <c r="C758" i="5"/>
  <c r="D758" i="5"/>
  <c r="E758" i="5"/>
  <c r="F758" i="5"/>
  <c r="H758" i="5"/>
  <c r="I758" i="5"/>
  <c r="L758" i="5"/>
  <c r="N758" i="5"/>
  <c r="Q758" i="5"/>
  <c r="S758" i="5" s="1"/>
  <c r="R758" i="5"/>
  <c r="T758" i="5"/>
  <c r="B759" i="5"/>
  <c r="C759" i="5"/>
  <c r="D759" i="5"/>
  <c r="E759" i="5"/>
  <c r="F759" i="5"/>
  <c r="H759" i="5"/>
  <c r="I759" i="5"/>
  <c r="N759" i="5"/>
  <c r="Q759" i="5"/>
  <c r="S759" i="5" s="1"/>
  <c r="R759" i="5"/>
  <c r="T759" i="5"/>
  <c r="B760" i="5"/>
  <c r="C760" i="5"/>
  <c r="D760" i="5"/>
  <c r="E760" i="5"/>
  <c r="F760" i="5"/>
  <c r="H760" i="5"/>
  <c r="I760" i="5"/>
  <c r="N760" i="5"/>
  <c r="Q760" i="5"/>
  <c r="R760" i="5"/>
  <c r="S760" i="5"/>
  <c r="T760" i="5"/>
  <c r="B761" i="5"/>
  <c r="C761" i="5"/>
  <c r="D761" i="5"/>
  <c r="E761" i="5"/>
  <c r="F761" i="5"/>
  <c r="H761" i="5"/>
  <c r="I761" i="5"/>
  <c r="L761" i="5"/>
  <c r="N761" i="5"/>
  <c r="R761" i="5"/>
  <c r="Q761" i="5" s="1"/>
  <c r="S761" i="5" s="1"/>
  <c r="T761" i="5"/>
  <c r="B762" i="5"/>
  <c r="C762" i="5"/>
  <c r="D762" i="5"/>
  <c r="E762" i="5"/>
  <c r="F762" i="5"/>
  <c r="H762" i="5"/>
  <c r="I762" i="5"/>
  <c r="N762" i="5"/>
  <c r="R762" i="5"/>
  <c r="Q762" i="5" s="1"/>
  <c r="S762" i="5" s="1"/>
  <c r="T762" i="5"/>
  <c r="B763" i="5"/>
  <c r="C763" i="5"/>
  <c r="D763" i="5"/>
  <c r="E763" i="5"/>
  <c r="F763" i="5"/>
  <c r="H763" i="5"/>
  <c r="I763" i="5"/>
  <c r="N763" i="5"/>
  <c r="R763" i="5"/>
  <c r="Q763" i="5" s="1"/>
  <c r="S763" i="5" s="1"/>
  <c r="T763" i="5"/>
  <c r="B764" i="5"/>
  <c r="C764" i="5"/>
  <c r="L764" i="5" s="1"/>
  <c r="D764" i="5"/>
  <c r="E764" i="5"/>
  <c r="F764" i="5"/>
  <c r="H764" i="5"/>
  <c r="I764" i="5"/>
  <c r="N764" i="5"/>
  <c r="Q764" i="5"/>
  <c r="S764" i="5" s="1"/>
  <c r="R764" i="5"/>
  <c r="T764" i="5"/>
  <c r="B765" i="5"/>
  <c r="C765" i="5"/>
  <c r="D765" i="5"/>
  <c r="E765" i="5"/>
  <c r="F765" i="5"/>
  <c r="H765" i="5"/>
  <c r="I765" i="5"/>
  <c r="N765" i="5"/>
  <c r="R765" i="5"/>
  <c r="Q765" i="5" s="1"/>
  <c r="S765" i="5" s="1"/>
  <c r="T765" i="5"/>
  <c r="B766" i="5"/>
  <c r="C766" i="5"/>
  <c r="D766" i="5"/>
  <c r="E766" i="5"/>
  <c r="F766" i="5"/>
  <c r="H766" i="5"/>
  <c r="I766" i="5"/>
  <c r="L766" i="5"/>
  <c r="N766" i="5"/>
  <c r="Q766" i="5"/>
  <c r="S766" i="5" s="1"/>
  <c r="R766" i="5"/>
  <c r="T766" i="5"/>
  <c r="B767" i="5"/>
  <c r="C767" i="5"/>
  <c r="D767" i="5"/>
  <c r="E767" i="5"/>
  <c r="F767" i="5"/>
  <c r="H767" i="5"/>
  <c r="I767" i="5"/>
  <c r="N767" i="5"/>
  <c r="R767" i="5"/>
  <c r="Q767" i="5" s="1"/>
  <c r="S767" i="5" s="1"/>
  <c r="T767" i="5"/>
  <c r="B768" i="5"/>
  <c r="C768" i="5"/>
  <c r="D768" i="5"/>
  <c r="E768" i="5"/>
  <c r="F768" i="5"/>
  <c r="H768" i="5"/>
  <c r="I768" i="5"/>
  <c r="N768" i="5"/>
  <c r="Q768" i="5"/>
  <c r="R768" i="5"/>
  <c r="S768" i="5"/>
  <c r="T768" i="5"/>
  <c r="B769" i="5"/>
  <c r="C769" i="5"/>
  <c r="D769" i="5"/>
  <c r="E769" i="5"/>
  <c r="F769" i="5"/>
  <c r="H769" i="5"/>
  <c r="I769" i="5"/>
  <c r="L769" i="5"/>
  <c r="N769" i="5"/>
  <c r="R769" i="5"/>
  <c r="Q769" i="5" s="1"/>
  <c r="S769" i="5" s="1"/>
  <c r="T769" i="5"/>
  <c r="B770" i="5"/>
  <c r="C770" i="5"/>
  <c r="D770" i="5"/>
  <c r="E770" i="5"/>
  <c r="F770" i="5"/>
  <c r="H770" i="5"/>
  <c r="I770" i="5"/>
  <c r="N770" i="5"/>
  <c r="Q770" i="5"/>
  <c r="R770" i="5"/>
  <c r="S770" i="5"/>
  <c r="T770" i="5"/>
  <c r="B771" i="5"/>
  <c r="C771" i="5"/>
  <c r="D771" i="5"/>
  <c r="E771" i="5"/>
  <c r="F771" i="5"/>
  <c r="H771" i="5"/>
  <c r="I771" i="5"/>
  <c r="N771" i="5"/>
  <c r="R771" i="5"/>
  <c r="Q771" i="5" s="1"/>
  <c r="S771" i="5" s="1"/>
  <c r="T771" i="5"/>
  <c r="B772" i="5"/>
  <c r="C772" i="5"/>
  <c r="D772" i="5"/>
  <c r="E772" i="5"/>
  <c r="F772" i="5"/>
  <c r="H772" i="5"/>
  <c r="I772" i="5"/>
  <c r="N772" i="5"/>
  <c r="Q772" i="5"/>
  <c r="R772" i="5"/>
  <c r="S772" i="5"/>
  <c r="T772" i="5"/>
  <c r="B773" i="5"/>
  <c r="C773" i="5"/>
  <c r="D773" i="5"/>
  <c r="E773" i="5"/>
  <c r="F773" i="5"/>
  <c r="H773" i="5"/>
  <c r="I773" i="5"/>
  <c r="N773" i="5"/>
  <c r="R773" i="5"/>
  <c r="Q773" i="5" s="1"/>
  <c r="S773" i="5" s="1"/>
  <c r="T773" i="5"/>
  <c r="B774" i="5"/>
  <c r="C774" i="5"/>
  <c r="L774" i="5" s="1"/>
  <c r="D774" i="5"/>
  <c r="E774" i="5"/>
  <c r="F774" i="5"/>
  <c r="H774" i="5"/>
  <c r="I774" i="5"/>
  <c r="N774" i="5"/>
  <c r="Q774" i="5"/>
  <c r="S774" i="5" s="1"/>
  <c r="R774" i="5"/>
  <c r="T774" i="5"/>
  <c r="B775" i="5"/>
  <c r="C775" i="5"/>
  <c r="L775" i="5" s="1"/>
  <c r="D775" i="5"/>
  <c r="E775" i="5"/>
  <c r="F775" i="5"/>
  <c r="H775" i="5"/>
  <c r="I775" i="5"/>
  <c r="N775" i="5"/>
  <c r="R775" i="5"/>
  <c r="Q775" i="5" s="1"/>
  <c r="S775" i="5" s="1"/>
  <c r="T775" i="5"/>
  <c r="B776" i="5"/>
  <c r="C776" i="5"/>
  <c r="D776" i="5"/>
  <c r="E776" i="5"/>
  <c r="L776" i="5" s="1"/>
  <c r="F776" i="5"/>
  <c r="H776" i="5"/>
  <c r="I776" i="5"/>
  <c r="N776" i="5"/>
  <c r="Q776" i="5"/>
  <c r="R776" i="5"/>
  <c r="S776" i="5"/>
  <c r="T776" i="5"/>
  <c r="B777" i="5"/>
  <c r="C777" i="5"/>
  <c r="D777" i="5"/>
  <c r="E777" i="5"/>
  <c r="F777" i="5"/>
  <c r="H777" i="5"/>
  <c r="I777" i="5"/>
  <c r="N777" i="5"/>
  <c r="R777" i="5"/>
  <c r="Q777" i="5" s="1"/>
  <c r="S777" i="5" s="1"/>
  <c r="T777" i="5"/>
  <c r="B778" i="5"/>
  <c r="C778" i="5"/>
  <c r="D778" i="5"/>
  <c r="E778" i="5"/>
  <c r="F778" i="5"/>
  <c r="H778" i="5"/>
  <c r="I778" i="5"/>
  <c r="N778" i="5"/>
  <c r="R778" i="5"/>
  <c r="Q778" i="5" s="1"/>
  <c r="S778" i="5" s="1"/>
  <c r="T778" i="5"/>
  <c r="B779" i="5"/>
  <c r="C779" i="5"/>
  <c r="D779" i="5"/>
  <c r="E779" i="5"/>
  <c r="F779" i="5"/>
  <c r="H779" i="5"/>
  <c r="I779" i="5"/>
  <c r="L779" i="5"/>
  <c r="N779" i="5"/>
  <c r="R779" i="5"/>
  <c r="Q779" i="5" s="1"/>
  <c r="S779" i="5" s="1"/>
  <c r="T779" i="5"/>
  <c r="B780" i="5"/>
  <c r="C780" i="5"/>
  <c r="D780" i="5"/>
  <c r="E780" i="5"/>
  <c r="L780" i="5" s="1"/>
  <c r="F780" i="5"/>
  <c r="H780" i="5"/>
  <c r="I780" i="5"/>
  <c r="N780" i="5"/>
  <c r="R780" i="5"/>
  <c r="Q780" i="5" s="1"/>
  <c r="S780" i="5"/>
  <c r="T780" i="5"/>
  <c r="B781" i="5"/>
  <c r="C781" i="5"/>
  <c r="D781" i="5"/>
  <c r="L781" i="5" s="1"/>
  <c r="E781" i="5"/>
  <c r="F781" i="5"/>
  <c r="H781" i="5"/>
  <c r="I781" i="5"/>
  <c r="N781" i="5"/>
  <c r="R781" i="5"/>
  <c r="Q781" i="5" s="1"/>
  <c r="S781" i="5" s="1"/>
  <c r="T781" i="5"/>
  <c r="B782" i="5"/>
  <c r="C782" i="5"/>
  <c r="D782" i="5"/>
  <c r="E782" i="5"/>
  <c r="F782" i="5"/>
  <c r="H782" i="5"/>
  <c r="I782" i="5"/>
  <c r="L782" i="5"/>
  <c r="N782" i="5"/>
  <c r="Q782" i="5"/>
  <c r="S782" i="5" s="1"/>
  <c r="R782" i="5"/>
  <c r="T782" i="5"/>
  <c r="B783" i="5"/>
  <c r="C783" i="5"/>
  <c r="D783" i="5"/>
  <c r="E783" i="5"/>
  <c r="F783" i="5"/>
  <c r="H783" i="5"/>
  <c r="I783" i="5"/>
  <c r="N783" i="5"/>
  <c r="Q783" i="5"/>
  <c r="S783" i="5" s="1"/>
  <c r="R783" i="5"/>
  <c r="T783" i="5"/>
  <c r="B784" i="5"/>
  <c r="C784" i="5"/>
  <c r="D784" i="5"/>
  <c r="E784" i="5"/>
  <c r="F784" i="5"/>
  <c r="H784" i="5"/>
  <c r="L784" i="5" s="1"/>
  <c r="I784" i="5"/>
  <c r="N784" i="5"/>
  <c r="Q784" i="5"/>
  <c r="R784" i="5"/>
  <c r="S784" i="5"/>
  <c r="T784" i="5"/>
  <c r="B785" i="5"/>
  <c r="C785" i="5"/>
  <c r="D785" i="5"/>
  <c r="L785" i="5" s="1"/>
  <c r="E785" i="5"/>
  <c r="F785" i="5"/>
  <c r="H785" i="5"/>
  <c r="I785" i="5"/>
  <c r="N785" i="5"/>
  <c r="R785" i="5"/>
  <c r="Q785" i="5" s="1"/>
  <c r="S785" i="5" s="1"/>
  <c r="T785" i="5"/>
  <c r="B786" i="5"/>
  <c r="C786" i="5"/>
  <c r="L786" i="5" s="1"/>
  <c r="D786" i="5"/>
  <c r="E786" i="5"/>
  <c r="F786" i="5"/>
  <c r="H786" i="5"/>
  <c r="I786" i="5"/>
  <c r="N786" i="5"/>
  <c r="R786" i="5"/>
  <c r="Q786" i="5" s="1"/>
  <c r="S786" i="5"/>
  <c r="T786" i="5"/>
  <c r="B787" i="5"/>
  <c r="C787" i="5"/>
  <c r="D787" i="5"/>
  <c r="E787" i="5"/>
  <c r="F787" i="5"/>
  <c r="H787" i="5"/>
  <c r="I787" i="5"/>
  <c r="N787" i="5"/>
  <c r="R787" i="5"/>
  <c r="Q787" i="5" s="1"/>
  <c r="S787" i="5" s="1"/>
  <c r="T787" i="5"/>
  <c r="B788" i="5"/>
  <c r="C788" i="5"/>
  <c r="L788" i="5" s="1"/>
  <c r="D788" i="5"/>
  <c r="E788" i="5"/>
  <c r="F788" i="5"/>
  <c r="H788" i="5"/>
  <c r="I788" i="5"/>
  <c r="N788" i="5"/>
  <c r="Q788" i="5"/>
  <c r="R788" i="5"/>
  <c r="S788" i="5"/>
  <c r="T788" i="5"/>
  <c r="B789" i="5"/>
  <c r="C789" i="5"/>
  <c r="D789" i="5"/>
  <c r="E789" i="5"/>
  <c r="F789" i="5"/>
  <c r="H789" i="5"/>
  <c r="I789" i="5"/>
  <c r="N789" i="5"/>
  <c r="R789" i="5"/>
  <c r="Q789" i="5" s="1"/>
  <c r="S789" i="5" s="1"/>
  <c r="T789" i="5"/>
  <c r="B790" i="5"/>
  <c r="C790" i="5"/>
  <c r="D790" i="5"/>
  <c r="E790" i="5"/>
  <c r="F790" i="5"/>
  <c r="H790" i="5"/>
  <c r="I790" i="5"/>
  <c r="L790" i="5"/>
  <c r="N790" i="5"/>
  <c r="Q790" i="5"/>
  <c r="S790" i="5" s="1"/>
  <c r="R790" i="5"/>
  <c r="T790" i="5"/>
  <c r="B791" i="5"/>
  <c r="C791" i="5"/>
  <c r="D791" i="5"/>
  <c r="E791" i="5"/>
  <c r="F791" i="5"/>
  <c r="H791" i="5"/>
  <c r="I791" i="5"/>
  <c r="N791" i="5"/>
  <c r="Q791" i="5"/>
  <c r="S791" i="5" s="1"/>
  <c r="R791" i="5"/>
  <c r="T791" i="5"/>
  <c r="B792" i="5"/>
  <c r="C792" i="5"/>
  <c r="D792" i="5"/>
  <c r="E792" i="5"/>
  <c r="F792" i="5"/>
  <c r="H792" i="5"/>
  <c r="I792" i="5"/>
  <c r="N792" i="5"/>
  <c r="Q792" i="5"/>
  <c r="R792" i="5"/>
  <c r="S792" i="5"/>
  <c r="T792" i="5"/>
  <c r="B793" i="5"/>
  <c r="C793" i="5"/>
  <c r="D793" i="5"/>
  <c r="E793" i="5"/>
  <c r="F793" i="5"/>
  <c r="H793" i="5"/>
  <c r="I793" i="5"/>
  <c r="L793" i="5"/>
  <c r="N793" i="5"/>
  <c r="R793" i="5"/>
  <c r="Q793" i="5" s="1"/>
  <c r="S793" i="5" s="1"/>
  <c r="T793" i="5"/>
  <c r="B794" i="5"/>
  <c r="C794" i="5"/>
  <c r="D794" i="5"/>
  <c r="E794" i="5"/>
  <c r="F794" i="5"/>
  <c r="H794" i="5"/>
  <c r="I794" i="5"/>
  <c r="N794" i="5"/>
  <c r="Q794" i="5"/>
  <c r="S794" i="5" s="1"/>
  <c r="R794" i="5"/>
  <c r="T794" i="5"/>
  <c r="B795" i="5"/>
  <c r="C795" i="5"/>
  <c r="D795" i="5"/>
  <c r="E795" i="5"/>
  <c r="F795" i="5"/>
  <c r="H795" i="5"/>
  <c r="I795" i="5"/>
  <c r="N795" i="5"/>
  <c r="R795" i="5"/>
  <c r="Q795" i="5" s="1"/>
  <c r="S795" i="5" s="1"/>
  <c r="T795" i="5"/>
  <c r="B796" i="5"/>
  <c r="C796" i="5"/>
  <c r="L796" i="5" s="1"/>
  <c r="D796" i="5"/>
  <c r="E796" i="5"/>
  <c r="F796" i="5"/>
  <c r="H796" i="5"/>
  <c r="I796" i="5"/>
  <c r="N796" i="5"/>
  <c r="R796" i="5"/>
  <c r="Q796" i="5" s="1"/>
  <c r="T796" i="5"/>
  <c r="B797" i="5"/>
  <c r="C797" i="5"/>
  <c r="D797" i="5"/>
  <c r="E797" i="5"/>
  <c r="F797" i="5"/>
  <c r="H797" i="5"/>
  <c r="I797" i="5"/>
  <c r="N797" i="5"/>
  <c r="R797" i="5"/>
  <c r="Q797" i="5" s="1"/>
  <c r="S797" i="5" s="1"/>
  <c r="T797" i="5"/>
  <c r="B798" i="5"/>
  <c r="C798" i="5"/>
  <c r="D798" i="5"/>
  <c r="E798" i="5"/>
  <c r="F798" i="5"/>
  <c r="H798" i="5"/>
  <c r="L798" i="5" s="1"/>
  <c r="I798" i="5"/>
  <c r="N798" i="5"/>
  <c r="Q798" i="5"/>
  <c r="S798" i="5" s="1"/>
  <c r="R798" i="5"/>
  <c r="T798" i="5"/>
  <c r="B799" i="5"/>
  <c r="C799" i="5"/>
  <c r="L799" i="5" s="1"/>
  <c r="D799" i="5"/>
  <c r="E799" i="5"/>
  <c r="F799" i="5"/>
  <c r="H799" i="5"/>
  <c r="I799" i="5"/>
  <c r="N799" i="5"/>
  <c r="R799" i="5"/>
  <c r="Q799" i="5" s="1"/>
  <c r="S799" i="5" s="1"/>
  <c r="T799" i="5"/>
  <c r="B800" i="5"/>
  <c r="C800" i="5"/>
  <c r="D800" i="5"/>
  <c r="E800" i="5"/>
  <c r="F800" i="5"/>
  <c r="H800" i="5"/>
  <c r="I800" i="5"/>
  <c r="L800" i="5"/>
  <c r="N800" i="5"/>
  <c r="Q800" i="5"/>
  <c r="R800" i="5"/>
  <c r="S800" i="5"/>
  <c r="T800" i="5"/>
  <c r="B801" i="5"/>
  <c r="C801" i="5"/>
  <c r="D801" i="5"/>
  <c r="L801" i="5" s="1"/>
  <c r="E801" i="5"/>
  <c r="F801" i="5"/>
  <c r="H801" i="5"/>
  <c r="I801" i="5"/>
  <c r="N801" i="5"/>
  <c r="R801" i="5"/>
  <c r="Q801" i="5" s="1"/>
  <c r="S801" i="5" s="1"/>
  <c r="T801" i="5"/>
  <c r="B802" i="5"/>
  <c r="C802" i="5"/>
  <c r="D802" i="5"/>
  <c r="E802" i="5"/>
  <c r="F802" i="5"/>
  <c r="H802" i="5"/>
  <c r="I802" i="5"/>
  <c r="N802" i="5"/>
  <c r="Q802" i="5"/>
  <c r="S802" i="5" s="1"/>
  <c r="R802" i="5"/>
  <c r="T802" i="5"/>
  <c r="B803" i="5"/>
  <c r="C803" i="5"/>
  <c r="D803" i="5"/>
  <c r="E803" i="5"/>
  <c r="F803" i="5"/>
  <c r="L803" i="5" s="1"/>
  <c r="H803" i="5"/>
  <c r="I803" i="5"/>
  <c r="N803" i="5"/>
  <c r="R803" i="5"/>
  <c r="Q803" i="5" s="1"/>
  <c r="S803" i="5" s="1"/>
  <c r="T803" i="5"/>
  <c r="B804" i="5"/>
  <c r="C804" i="5"/>
  <c r="D804" i="5"/>
  <c r="E804" i="5"/>
  <c r="F804" i="5"/>
  <c r="H804" i="5"/>
  <c r="I804" i="5"/>
  <c r="L804" i="5"/>
  <c r="N804" i="5"/>
  <c r="Q804" i="5"/>
  <c r="S804" i="5" s="1"/>
  <c r="R804" i="5"/>
  <c r="T804" i="5"/>
  <c r="B805" i="5"/>
  <c r="C805" i="5"/>
  <c r="D805" i="5"/>
  <c r="E805" i="5"/>
  <c r="F805" i="5"/>
  <c r="H805" i="5"/>
  <c r="I805" i="5"/>
  <c r="N805" i="5"/>
  <c r="R805" i="5"/>
  <c r="Q805" i="5" s="1"/>
  <c r="S805" i="5" s="1"/>
  <c r="T805" i="5"/>
  <c r="B806" i="5"/>
  <c r="C806" i="5"/>
  <c r="L806" i="5" s="1"/>
  <c r="D806" i="5"/>
  <c r="E806" i="5"/>
  <c r="F806" i="5"/>
  <c r="H806" i="5"/>
  <c r="I806" i="5"/>
  <c r="N806" i="5"/>
  <c r="Q806" i="5"/>
  <c r="S806" i="5" s="1"/>
  <c r="R806" i="5"/>
  <c r="T806" i="5"/>
  <c r="B807" i="5"/>
  <c r="C807" i="5"/>
  <c r="D807" i="5"/>
  <c r="E807" i="5"/>
  <c r="F807" i="5"/>
  <c r="H807" i="5"/>
  <c r="I807" i="5"/>
  <c r="N807" i="5"/>
  <c r="R807" i="5"/>
  <c r="Q807" i="5" s="1"/>
  <c r="S807" i="5" s="1"/>
  <c r="T807" i="5"/>
  <c r="B808" i="5"/>
  <c r="C808" i="5"/>
  <c r="D808" i="5"/>
  <c r="E808" i="5"/>
  <c r="L808" i="5" s="1"/>
  <c r="F808" i="5"/>
  <c r="H808" i="5"/>
  <c r="I808" i="5"/>
  <c r="N808" i="5"/>
  <c r="Q808" i="5"/>
  <c r="R808" i="5"/>
  <c r="S808" i="5"/>
  <c r="T808" i="5"/>
  <c r="B809" i="5"/>
  <c r="C809" i="5"/>
  <c r="D809" i="5"/>
  <c r="E809" i="5"/>
  <c r="F809" i="5"/>
  <c r="H809" i="5"/>
  <c r="I809" i="5"/>
  <c r="N809" i="5"/>
  <c r="R809" i="5"/>
  <c r="Q809" i="5" s="1"/>
  <c r="S809" i="5" s="1"/>
  <c r="T809" i="5"/>
  <c r="B810" i="5"/>
  <c r="C810" i="5"/>
  <c r="D810" i="5"/>
  <c r="E810" i="5"/>
  <c r="F810" i="5"/>
  <c r="H810" i="5"/>
  <c r="I810" i="5"/>
  <c r="N810" i="5"/>
  <c r="R810" i="5"/>
  <c r="Q810" i="5" s="1"/>
  <c r="S810" i="5"/>
  <c r="T810" i="5"/>
  <c r="B811" i="5"/>
  <c r="C811" i="5"/>
  <c r="D811" i="5"/>
  <c r="E811" i="5"/>
  <c r="F811" i="5"/>
  <c r="H811" i="5"/>
  <c r="I811" i="5"/>
  <c r="L811" i="5"/>
  <c r="N811" i="5"/>
  <c r="R811" i="5"/>
  <c r="Q811" i="5" s="1"/>
  <c r="S811" i="5" s="1"/>
  <c r="T811" i="5"/>
  <c r="B812" i="5"/>
  <c r="C812" i="5"/>
  <c r="D812" i="5"/>
  <c r="E812" i="5"/>
  <c r="F812" i="5"/>
  <c r="H812" i="5"/>
  <c r="I812" i="5"/>
  <c r="L812" i="5"/>
  <c r="N812" i="5"/>
  <c r="R812" i="5"/>
  <c r="Q812" i="5" s="1"/>
  <c r="S812" i="5" s="1"/>
  <c r="T812" i="5"/>
  <c r="B813" i="5"/>
  <c r="C813" i="5"/>
  <c r="D813" i="5"/>
  <c r="E813" i="5"/>
  <c r="F813" i="5"/>
  <c r="H813" i="5"/>
  <c r="I813" i="5"/>
  <c r="N813" i="5"/>
  <c r="R813" i="5"/>
  <c r="Q813" i="5" s="1"/>
  <c r="S813" i="5" s="1"/>
  <c r="T813" i="5"/>
  <c r="B814" i="5"/>
  <c r="C814" i="5"/>
  <c r="L814" i="5" s="1"/>
  <c r="D814" i="5"/>
  <c r="E814" i="5"/>
  <c r="F814" i="5"/>
  <c r="H814" i="5"/>
  <c r="I814" i="5"/>
  <c r="N814" i="5"/>
  <c r="Q814" i="5"/>
  <c r="S814" i="5" s="1"/>
  <c r="R814" i="5"/>
  <c r="T814" i="5"/>
  <c r="B815" i="5"/>
  <c r="C815" i="5"/>
  <c r="D815" i="5"/>
  <c r="E815" i="5"/>
  <c r="F815" i="5"/>
  <c r="H815" i="5"/>
  <c r="I815" i="5"/>
  <c r="N815" i="5"/>
  <c r="Q815" i="5"/>
  <c r="S815" i="5" s="1"/>
  <c r="R815" i="5"/>
  <c r="T815" i="5"/>
  <c r="B816" i="5"/>
  <c r="C816" i="5"/>
  <c r="D816" i="5"/>
  <c r="E816" i="5"/>
  <c r="F816" i="5"/>
  <c r="H816" i="5"/>
  <c r="I816" i="5"/>
  <c r="N816" i="5"/>
  <c r="Q816" i="5"/>
  <c r="R816" i="5"/>
  <c r="S816" i="5"/>
  <c r="T816" i="5"/>
  <c r="B817" i="5"/>
  <c r="C817" i="5"/>
  <c r="D817" i="5"/>
  <c r="E817" i="5"/>
  <c r="F817" i="5"/>
  <c r="H817" i="5"/>
  <c r="I817" i="5"/>
  <c r="L817" i="5"/>
  <c r="N817" i="5"/>
  <c r="R817" i="5"/>
  <c r="Q817" i="5" s="1"/>
  <c r="S817" i="5" s="1"/>
  <c r="T817" i="5"/>
  <c r="B818" i="5"/>
  <c r="C818" i="5"/>
  <c r="L818" i="5" s="1"/>
  <c r="D818" i="5"/>
  <c r="E818" i="5"/>
  <c r="F818" i="5"/>
  <c r="H818" i="5"/>
  <c r="I818" i="5"/>
  <c r="N818" i="5"/>
  <c r="R818" i="5"/>
  <c r="Q818" i="5" s="1"/>
  <c r="S818" i="5"/>
  <c r="T818" i="5"/>
  <c r="B819" i="5"/>
  <c r="C819" i="5"/>
  <c r="D819" i="5"/>
  <c r="E819" i="5"/>
  <c r="F819" i="5"/>
  <c r="H819" i="5"/>
  <c r="I819" i="5"/>
  <c r="N819" i="5"/>
  <c r="R819" i="5"/>
  <c r="Q819" i="5" s="1"/>
  <c r="S819" i="5" s="1"/>
  <c r="T819" i="5"/>
  <c r="B820" i="5"/>
  <c r="C820" i="5"/>
  <c r="D820" i="5"/>
  <c r="E820" i="5"/>
  <c r="F820" i="5"/>
  <c r="H820" i="5"/>
  <c r="I820" i="5"/>
  <c r="L820" i="5"/>
  <c r="N820" i="5"/>
  <c r="R820" i="5"/>
  <c r="Q820" i="5" s="1"/>
  <c r="T820" i="5"/>
  <c r="B821" i="5"/>
  <c r="C821" i="5"/>
  <c r="D821" i="5"/>
  <c r="E821" i="5"/>
  <c r="F821" i="5"/>
  <c r="H821" i="5"/>
  <c r="I821" i="5"/>
  <c r="N821" i="5"/>
  <c r="R821" i="5"/>
  <c r="Q821" i="5" s="1"/>
  <c r="S821" i="5" s="1"/>
  <c r="T821" i="5"/>
  <c r="B822" i="5"/>
  <c r="C822" i="5"/>
  <c r="D822" i="5"/>
  <c r="E822" i="5"/>
  <c r="F822" i="5"/>
  <c r="H822" i="5"/>
  <c r="I822" i="5"/>
  <c r="L822" i="5"/>
  <c r="N822" i="5"/>
  <c r="Q822" i="5"/>
  <c r="S822" i="5" s="1"/>
  <c r="R822" i="5"/>
  <c r="T822" i="5"/>
  <c r="B823" i="5"/>
  <c r="C823" i="5"/>
  <c r="D823" i="5"/>
  <c r="E823" i="5"/>
  <c r="F823" i="5"/>
  <c r="H823" i="5"/>
  <c r="I823" i="5"/>
  <c r="N823" i="5"/>
  <c r="Q823" i="5"/>
  <c r="S823" i="5" s="1"/>
  <c r="R823" i="5"/>
  <c r="T823" i="5"/>
  <c r="B824" i="5"/>
  <c r="C824" i="5"/>
  <c r="D824" i="5"/>
  <c r="E824" i="5"/>
  <c r="F824" i="5"/>
  <c r="L824" i="5" s="1"/>
  <c r="H824" i="5"/>
  <c r="I824" i="5"/>
  <c r="N824" i="5"/>
  <c r="Q824" i="5"/>
  <c r="R824" i="5"/>
  <c r="S824" i="5"/>
  <c r="T824" i="5"/>
  <c r="B825" i="5"/>
  <c r="C825" i="5"/>
  <c r="D825" i="5"/>
  <c r="E825" i="5"/>
  <c r="F825" i="5"/>
  <c r="H825" i="5"/>
  <c r="I825" i="5"/>
  <c r="L825" i="5"/>
  <c r="N825" i="5"/>
  <c r="R825" i="5"/>
  <c r="Q825" i="5" s="1"/>
  <c r="S825" i="5" s="1"/>
  <c r="T825" i="5"/>
  <c r="B826" i="5"/>
  <c r="C826" i="5"/>
  <c r="D826" i="5"/>
  <c r="E826" i="5"/>
  <c r="F826" i="5"/>
  <c r="H826" i="5"/>
  <c r="I826" i="5"/>
  <c r="N826" i="5"/>
  <c r="Q826" i="5"/>
  <c r="S826" i="5" s="1"/>
  <c r="R826" i="5"/>
  <c r="T826" i="5"/>
  <c r="B827" i="5"/>
  <c r="C827" i="5"/>
  <c r="D827" i="5"/>
  <c r="E827" i="5"/>
  <c r="F827" i="5"/>
  <c r="L827" i="5" s="1"/>
  <c r="H827" i="5"/>
  <c r="I827" i="5"/>
  <c r="N827" i="5"/>
  <c r="R827" i="5"/>
  <c r="Q827" i="5" s="1"/>
  <c r="S827" i="5" s="1"/>
  <c r="T827" i="5"/>
  <c r="B828" i="5"/>
  <c r="C828" i="5"/>
  <c r="D828" i="5"/>
  <c r="E828" i="5"/>
  <c r="F828" i="5"/>
  <c r="H828" i="5"/>
  <c r="I828" i="5"/>
  <c r="N828" i="5"/>
  <c r="R828" i="5"/>
  <c r="Q828" i="5" s="1"/>
  <c r="S828" i="5" s="1"/>
  <c r="T828" i="5"/>
  <c r="B829" i="5"/>
  <c r="C829" i="5"/>
  <c r="D829" i="5"/>
  <c r="E829" i="5"/>
  <c r="F829" i="5"/>
  <c r="H829" i="5"/>
  <c r="I829" i="5"/>
  <c r="N829" i="5"/>
  <c r="R829" i="5"/>
  <c r="Q829" i="5" s="1"/>
  <c r="S829" i="5" s="1"/>
  <c r="T829" i="5"/>
  <c r="B830" i="5"/>
  <c r="C830" i="5"/>
  <c r="L830" i="5" s="1"/>
  <c r="D830" i="5"/>
  <c r="E830" i="5"/>
  <c r="F830" i="5"/>
  <c r="H830" i="5"/>
  <c r="I830" i="5"/>
  <c r="N830" i="5"/>
  <c r="Q830" i="5"/>
  <c r="S830" i="5" s="1"/>
  <c r="R830" i="5"/>
  <c r="T830" i="5"/>
  <c r="B831" i="5"/>
  <c r="C831" i="5"/>
  <c r="D831" i="5"/>
  <c r="E831" i="5"/>
  <c r="F831" i="5"/>
  <c r="H831" i="5"/>
  <c r="I831" i="5"/>
  <c r="N831" i="5"/>
  <c r="R831" i="5"/>
  <c r="Q831" i="5" s="1"/>
  <c r="S831" i="5" s="1"/>
  <c r="T831" i="5"/>
  <c r="B832" i="5"/>
  <c r="C832" i="5"/>
  <c r="D832" i="5"/>
  <c r="E832" i="5"/>
  <c r="F832" i="5"/>
  <c r="H832" i="5"/>
  <c r="I832" i="5"/>
  <c r="L832" i="5"/>
  <c r="N832" i="5"/>
  <c r="Q832" i="5"/>
  <c r="R832" i="5"/>
  <c r="S832" i="5"/>
  <c r="T832" i="5"/>
  <c r="B833" i="5"/>
  <c r="C833" i="5"/>
  <c r="D833" i="5"/>
  <c r="L833" i="5" s="1"/>
  <c r="E833" i="5"/>
  <c r="F833" i="5"/>
  <c r="H833" i="5"/>
  <c r="I833" i="5"/>
  <c r="N833" i="5"/>
  <c r="R833" i="5"/>
  <c r="Q833" i="5" s="1"/>
  <c r="S833" i="5" s="1"/>
  <c r="T833" i="5"/>
  <c r="B834" i="5"/>
  <c r="C834" i="5"/>
  <c r="D834" i="5"/>
  <c r="E834" i="5"/>
  <c r="F834" i="5"/>
  <c r="H834" i="5"/>
  <c r="I834" i="5"/>
  <c r="N834" i="5"/>
  <c r="Q834" i="5"/>
  <c r="S834" i="5" s="1"/>
  <c r="R834" i="5"/>
  <c r="T834" i="5"/>
  <c r="B835" i="5"/>
  <c r="C835" i="5"/>
  <c r="D835" i="5"/>
  <c r="E835" i="5"/>
  <c r="F835" i="5"/>
  <c r="L835" i="5" s="1"/>
  <c r="H835" i="5"/>
  <c r="I835" i="5"/>
  <c r="N835" i="5"/>
  <c r="R835" i="5"/>
  <c r="Q835" i="5" s="1"/>
  <c r="S835" i="5" s="1"/>
  <c r="T835" i="5"/>
  <c r="B836" i="5"/>
  <c r="C836" i="5"/>
  <c r="L836" i="5" s="1"/>
  <c r="D836" i="5"/>
  <c r="E836" i="5"/>
  <c r="F836" i="5"/>
  <c r="H836" i="5"/>
  <c r="I836" i="5"/>
  <c r="N836" i="5"/>
  <c r="Q836" i="5"/>
  <c r="R836" i="5"/>
  <c r="T836" i="5"/>
  <c r="B837" i="5"/>
  <c r="C837" i="5"/>
  <c r="D837" i="5"/>
  <c r="E837" i="5"/>
  <c r="F837" i="5"/>
  <c r="H837" i="5"/>
  <c r="I837" i="5"/>
  <c r="N837" i="5"/>
  <c r="R837" i="5"/>
  <c r="Q837" i="5" s="1"/>
  <c r="S837" i="5" s="1"/>
  <c r="T837" i="5"/>
  <c r="B838" i="5"/>
  <c r="C838" i="5"/>
  <c r="D838" i="5"/>
  <c r="E838" i="5"/>
  <c r="F838" i="5"/>
  <c r="H838" i="5"/>
  <c r="I838" i="5"/>
  <c r="N838" i="5"/>
  <c r="Q838" i="5"/>
  <c r="S838" i="5" s="1"/>
  <c r="R838" i="5"/>
  <c r="T838" i="5"/>
  <c r="B839" i="5"/>
  <c r="C839" i="5"/>
  <c r="L839" i="5" s="1"/>
  <c r="D839" i="5"/>
  <c r="E839" i="5"/>
  <c r="F839" i="5"/>
  <c r="H839" i="5"/>
  <c r="I839" i="5"/>
  <c r="N839" i="5"/>
  <c r="Q839" i="5"/>
  <c r="S839" i="5" s="1"/>
  <c r="R839" i="5"/>
  <c r="T839" i="5"/>
  <c r="B840" i="5"/>
  <c r="C840" i="5"/>
  <c r="D840" i="5"/>
  <c r="E840" i="5"/>
  <c r="F840" i="5"/>
  <c r="H840" i="5"/>
  <c r="L840" i="5" s="1"/>
  <c r="I840" i="5"/>
  <c r="N840" i="5"/>
  <c r="Q840" i="5"/>
  <c r="R840" i="5"/>
  <c r="S840" i="5"/>
  <c r="T840" i="5"/>
  <c r="B841" i="5"/>
  <c r="C841" i="5"/>
  <c r="D841" i="5"/>
  <c r="L841" i="5" s="1"/>
  <c r="E841" i="5"/>
  <c r="F841" i="5"/>
  <c r="H841" i="5"/>
  <c r="I841" i="5"/>
  <c r="N841" i="5"/>
  <c r="R841" i="5"/>
  <c r="Q841" i="5" s="1"/>
  <c r="S841" i="5" s="1"/>
  <c r="T841" i="5"/>
  <c r="B842" i="5"/>
  <c r="C842" i="5"/>
  <c r="D842" i="5"/>
  <c r="E842" i="5"/>
  <c r="F842" i="5"/>
  <c r="H842" i="5"/>
  <c r="I842" i="5"/>
  <c r="N842" i="5"/>
  <c r="R842" i="5"/>
  <c r="Q842" i="5" s="1"/>
  <c r="S842" i="5" s="1"/>
  <c r="T842" i="5"/>
  <c r="B843" i="5"/>
  <c r="C843" i="5"/>
  <c r="D843" i="5"/>
  <c r="E843" i="5"/>
  <c r="F843" i="5"/>
  <c r="H843" i="5"/>
  <c r="I843" i="5"/>
  <c r="L843" i="5" s="1"/>
  <c r="N843" i="5"/>
  <c r="R843" i="5"/>
  <c r="Q843" i="5" s="1"/>
  <c r="S843" i="5" s="1"/>
  <c r="T843" i="5"/>
  <c r="B844" i="5"/>
  <c r="C844" i="5"/>
  <c r="D844" i="5"/>
  <c r="E844" i="5"/>
  <c r="F844" i="5"/>
  <c r="H844" i="5"/>
  <c r="I844" i="5"/>
  <c r="L844" i="5"/>
  <c r="N844" i="5"/>
  <c r="R844" i="5"/>
  <c r="Q844" i="5" s="1"/>
  <c r="S844" i="5"/>
  <c r="T844" i="5"/>
  <c r="B845" i="5"/>
  <c r="C845" i="5"/>
  <c r="D845" i="5"/>
  <c r="E845" i="5"/>
  <c r="F845" i="5"/>
  <c r="H845" i="5"/>
  <c r="I845" i="5"/>
  <c r="N845" i="5"/>
  <c r="R845" i="5"/>
  <c r="Q845" i="5" s="1"/>
  <c r="S845" i="5" s="1"/>
  <c r="T845" i="5"/>
  <c r="B846" i="5"/>
  <c r="C846" i="5"/>
  <c r="L846" i="5" s="1"/>
  <c r="D846" i="5"/>
  <c r="E846" i="5"/>
  <c r="F846" i="5"/>
  <c r="H846" i="5"/>
  <c r="I846" i="5"/>
  <c r="N846" i="5"/>
  <c r="Q846" i="5"/>
  <c r="S846" i="5" s="1"/>
  <c r="R846" i="5"/>
  <c r="T846" i="5"/>
  <c r="B847" i="5"/>
  <c r="C847" i="5"/>
  <c r="L847" i="5" s="1"/>
  <c r="D847" i="5"/>
  <c r="E847" i="5"/>
  <c r="F847" i="5"/>
  <c r="H847" i="5"/>
  <c r="I847" i="5"/>
  <c r="N847" i="5"/>
  <c r="Q847" i="5"/>
  <c r="S847" i="5" s="1"/>
  <c r="R847" i="5"/>
  <c r="T847" i="5"/>
  <c r="B848" i="5"/>
  <c r="C848" i="5"/>
  <c r="D848" i="5"/>
  <c r="E848" i="5"/>
  <c r="F848" i="5"/>
  <c r="H848" i="5"/>
  <c r="L848" i="5" s="1"/>
  <c r="I848" i="5"/>
  <c r="N848" i="5"/>
  <c r="Q848" i="5"/>
  <c r="R848" i="5"/>
  <c r="S848" i="5"/>
  <c r="T848" i="5"/>
  <c r="B849" i="5"/>
  <c r="C849" i="5"/>
  <c r="D849" i="5"/>
  <c r="L849" i="5" s="1"/>
  <c r="E849" i="5"/>
  <c r="F849" i="5"/>
  <c r="H849" i="5"/>
  <c r="I849" i="5"/>
  <c r="N849" i="5"/>
  <c r="R849" i="5"/>
  <c r="Q849" i="5" s="1"/>
  <c r="S849" i="5" s="1"/>
  <c r="T849" i="5"/>
  <c r="B850" i="5"/>
  <c r="C850" i="5"/>
  <c r="L850" i="5" s="1"/>
  <c r="D850" i="5"/>
  <c r="E850" i="5"/>
  <c r="F850" i="5"/>
  <c r="H850" i="5"/>
  <c r="I850" i="5"/>
  <c r="N850" i="5"/>
  <c r="Q850" i="5"/>
  <c r="S850" i="5" s="1"/>
  <c r="R850" i="5"/>
  <c r="T850" i="5"/>
  <c r="B851" i="5"/>
  <c r="C851" i="5"/>
  <c r="D851" i="5"/>
  <c r="E851" i="5"/>
  <c r="F851" i="5"/>
  <c r="L851" i="5" s="1"/>
  <c r="H851" i="5"/>
  <c r="I851" i="5"/>
  <c r="N851" i="5"/>
  <c r="R851" i="5"/>
  <c r="Q851" i="5" s="1"/>
  <c r="S851" i="5" s="1"/>
  <c r="T851" i="5"/>
  <c r="B852" i="5"/>
  <c r="C852" i="5"/>
  <c r="L852" i="5" s="1"/>
  <c r="D852" i="5"/>
  <c r="E852" i="5"/>
  <c r="F852" i="5"/>
  <c r="H852" i="5"/>
  <c r="I852" i="5"/>
  <c r="N852" i="5"/>
  <c r="R852" i="5"/>
  <c r="Q852" i="5" s="1"/>
  <c r="S852" i="5"/>
  <c r="T852" i="5"/>
  <c r="B853" i="5"/>
  <c r="C853" i="5"/>
  <c r="D853" i="5"/>
  <c r="E853" i="5"/>
  <c r="F853" i="5"/>
  <c r="H853" i="5"/>
  <c r="I853" i="5"/>
  <c r="N853" i="5"/>
  <c r="R853" i="5"/>
  <c r="Q853" i="5" s="1"/>
  <c r="S853" i="5" s="1"/>
  <c r="T853" i="5"/>
  <c r="B854" i="5"/>
  <c r="C854" i="5"/>
  <c r="D854" i="5"/>
  <c r="E854" i="5"/>
  <c r="F854" i="5"/>
  <c r="H854" i="5"/>
  <c r="I854" i="5"/>
  <c r="L854" i="5"/>
  <c r="N854" i="5"/>
  <c r="Q854" i="5"/>
  <c r="S854" i="5" s="1"/>
  <c r="R854" i="5"/>
  <c r="T854" i="5"/>
  <c r="B855" i="5"/>
  <c r="C855" i="5"/>
  <c r="D855" i="5"/>
  <c r="E855" i="5"/>
  <c r="F855" i="5"/>
  <c r="H855" i="5"/>
  <c r="I855" i="5"/>
  <c r="N855" i="5"/>
  <c r="Q855" i="5"/>
  <c r="R855" i="5"/>
  <c r="T855" i="5"/>
  <c r="B856" i="5"/>
  <c r="C856" i="5"/>
  <c r="D856" i="5"/>
  <c r="E856" i="5"/>
  <c r="F856" i="5"/>
  <c r="H856" i="5"/>
  <c r="I856" i="5"/>
  <c r="N856" i="5"/>
  <c r="Q856" i="5"/>
  <c r="R856" i="5"/>
  <c r="S856" i="5"/>
  <c r="T856" i="5"/>
  <c r="B857" i="5"/>
  <c r="C857" i="5"/>
  <c r="D857" i="5"/>
  <c r="E857" i="5"/>
  <c r="F857" i="5"/>
  <c r="H857" i="5"/>
  <c r="I857" i="5"/>
  <c r="L857" i="5"/>
  <c r="N857" i="5"/>
  <c r="R857" i="5"/>
  <c r="Q857" i="5" s="1"/>
  <c r="S857" i="5" s="1"/>
  <c r="T857" i="5"/>
  <c r="B858" i="5"/>
  <c r="C858" i="5"/>
  <c r="D858" i="5"/>
  <c r="E858" i="5"/>
  <c r="F858" i="5"/>
  <c r="H858" i="5"/>
  <c r="I858" i="5"/>
  <c r="N858" i="5"/>
  <c r="R858" i="5"/>
  <c r="Q858" i="5" s="1"/>
  <c r="S858" i="5" s="1"/>
  <c r="T858" i="5"/>
  <c r="B859" i="5"/>
  <c r="C859" i="5"/>
  <c r="D859" i="5"/>
  <c r="E859" i="5"/>
  <c r="F859" i="5"/>
  <c r="H859" i="5"/>
  <c r="I859" i="5"/>
  <c r="L859" i="5"/>
  <c r="N859" i="5"/>
  <c r="R859" i="5"/>
  <c r="Q859" i="5" s="1"/>
  <c r="S859" i="5" s="1"/>
  <c r="T859" i="5"/>
  <c r="B860" i="5"/>
  <c r="C860" i="5"/>
  <c r="D860" i="5"/>
  <c r="E860" i="5"/>
  <c r="F860" i="5"/>
  <c r="H860" i="5"/>
  <c r="I860" i="5"/>
  <c r="N860" i="5"/>
  <c r="Q860" i="5"/>
  <c r="S860" i="5" s="1"/>
  <c r="R860" i="5"/>
  <c r="T860" i="5"/>
  <c r="B861" i="5"/>
  <c r="C861" i="5"/>
  <c r="D861" i="5"/>
  <c r="E861" i="5"/>
  <c r="F861" i="5"/>
  <c r="H861" i="5"/>
  <c r="I861" i="5"/>
  <c r="N861" i="5"/>
  <c r="R861" i="5"/>
  <c r="Q861" i="5" s="1"/>
  <c r="S861" i="5" s="1"/>
  <c r="T861" i="5"/>
  <c r="B862" i="5"/>
  <c r="C862" i="5"/>
  <c r="D862" i="5"/>
  <c r="E862" i="5"/>
  <c r="F862" i="5"/>
  <c r="H862" i="5"/>
  <c r="I862" i="5"/>
  <c r="L862" i="5"/>
  <c r="N862" i="5"/>
  <c r="Q862" i="5"/>
  <c r="S862" i="5" s="1"/>
  <c r="R862" i="5"/>
  <c r="T862" i="5"/>
  <c r="B863" i="5"/>
  <c r="C863" i="5"/>
  <c r="D863" i="5"/>
  <c r="E863" i="5"/>
  <c r="F863" i="5"/>
  <c r="H863" i="5"/>
  <c r="I863" i="5"/>
  <c r="N863" i="5"/>
  <c r="R863" i="5"/>
  <c r="Q863" i="5" s="1"/>
  <c r="S863" i="5" s="1"/>
  <c r="T863" i="5"/>
  <c r="B864" i="5"/>
  <c r="C864" i="5"/>
  <c r="D864" i="5"/>
  <c r="E864" i="5"/>
  <c r="F864" i="5"/>
  <c r="H864" i="5"/>
  <c r="I864" i="5"/>
  <c r="N864" i="5"/>
  <c r="Q864" i="5"/>
  <c r="R864" i="5"/>
  <c r="S864" i="5"/>
  <c r="T864" i="5"/>
  <c r="B865" i="5"/>
  <c r="C865" i="5"/>
  <c r="D865" i="5"/>
  <c r="E865" i="5"/>
  <c r="F865" i="5"/>
  <c r="H865" i="5"/>
  <c r="I865" i="5"/>
  <c r="L865" i="5"/>
  <c r="N865" i="5"/>
  <c r="R865" i="5"/>
  <c r="Q865" i="5" s="1"/>
  <c r="S865" i="5" s="1"/>
  <c r="T865" i="5"/>
  <c r="B866" i="5"/>
  <c r="C866" i="5"/>
  <c r="D866" i="5"/>
  <c r="E866" i="5"/>
  <c r="F866" i="5"/>
  <c r="H866" i="5"/>
  <c r="I866" i="5"/>
  <c r="N866" i="5"/>
  <c r="Q866" i="5"/>
  <c r="S866" i="5" s="1"/>
  <c r="R866" i="5"/>
  <c r="T866" i="5"/>
  <c r="B867" i="5"/>
  <c r="C867" i="5"/>
  <c r="D867" i="5"/>
  <c r="E867" i="5"/>
  <c r="F867" i="5"/>
  <c r="L867" i="5" s="1"/>
  <c r="H867" i="5"/>
  <c r="I867" i="5"/>
  <c r="N867" i="5"/>
  <c r="R867" i="5"/>
  <c r="Q867" i="5" s="1"/>
  <c r="S867" i="5" s="1"/>
  <c r="T867" i="5"/>
  <c r="B868" i="5"/>
  <c r="C868" i="5"/>
  <c r="D868" i="5"/>
  <c r="E868" i="5"/>
  <c r="F868" i="5"/>
  <c r="H868" i="5"/>
  <c r="I868" i="5"/>
  <c r="L868" i="5"/>
  <c r="N868" i="5"/>
  <c r="Q868" i="5"/>
  <c r="S868" i="5" s="1"/>
  <c r="R868" i="5"/>
  <c r="T868" i="5"/>
  <c r="B869" i="5"/>
  <c r="C869" i="5"/>
  <c r="D869" i="5"/>
  <c r="E869" i="5"/>
  <c r="F869" i="5"/>
  <c r="H869" i="5"/>
  <c r="I869" i="5"/>
  <c r="N869" i="5"/>
  <c r="R869" i="5"/>
  <c r="Q869" i="5" s="1"/>
  <c r="S869" i="5" s="1"/>
  <c r="T869" i="5"/>
  <c r="B870" i="5"/>
  <c r="C870" i="5"/>
  <c r="D870" i="5"/>
  <c r="E870" i="5"/>
  <c r="F870" i="5"/>
  <c r="H870" i="5"/>
  <c r="I870" i="5"/>
  <c r="N870" i="5"/>
  <c r="Q870" i="5"/>
  <c r="S870" i="5" s="1"/>
  <c r="R870" i="5"/>
  <c r="T870" i="5"/>
  <c r="B871" i="5"/>
  <c r="C871" i="5"/>
  <c r="L871" i="5" s="1"/>
  <c r="D871" i="5"/>
  <c r="E871" i="5"/>
  <c r="F871" i="5"/>
  <c r="H871" i="5"/>
  <c r="I871" i="5"/>
  <c r="N871" i="5"/>
  <c r="R871" i="5"/>
  <c r="Q871" i="5" s="1"/>
  <c r="S871" i="5" s="1"/>
  <c r="T871" i="5"/>
  <c r="B872" i="5"/>
  <c r="C872" i="5"/>
  <c r="D872" i="5"/>
  <c r="E872" i="5"/>
  <c r="F872" i="5"/>
  <c r="H872" i="5"/>
  <c r="I872" i="5"/>
  <c r="L872" i="5"/>
  <c r="N872" i="5"/>
  <c r="Q872" i="5"/>
  <c r="R872" i="5"/>
  <c r="S872" i="5"/>
  <c r="T872" i="5"/>
  <c r="B873" i="5"/>
  <c r="C873" i="5"/>
  <c r="D873" i="5"/>
  <c r="L873" i="5" s="1"/>
  <c r="E873" i="5"/>
  <c r="F873" i="5"/>
  <c r="H873" i="5"/>
  <c r="I873" i="5"/>
  <c r="N873" i="5"/>
  <c r="R873" i="5"/>
  <c r="Q873" i="5" s="1"/>
  <c r="S873" i="5" s="1"/>
  <c r="T873" i="5"/>
  <c r="B874" i="5"/>
  <c r="C874" i="5"/>
  <c r="L874" i="5" s="1"/>
  <c r="D874" i="5"/>
  <c r="E874" i="5"/>
  <c r="F874" i="5"/>
  <c r="H874" i="5"/>
  <c r="I874" i="5"/>
  <c r="N874" i="5"/>
  <c r="R874" i="5"/>
  <c r="Q874" i="5" s="1"/>
  <c r="S874" i="5" s="1"/>
  <c r="T874" i="5"/>
  <c r="B875" i="5"/>
  <c r="C875" i="5"/>
  <c r="D875" i="5"/>
  <c r="E875" i="5"/>
  <c r="F875" i="5"/>
  <c r="H875" i="5"/>
  <c r="L875" i="5" s="1"/>
  <c r="I875" i="5"/>
  <c r="N875" i="5"/>
  <c r="R875" i="5"/>
  <c r="Q875" i="5" s="1"/>
  <c r="S875" i="5" s="1"/>
  <c r="T875" i="5"/>
  <c r="B876" i="5"/>
  <c r="C876" i="5"/>
  <c r="D876" i="5"/>
  <c r="L876" i="5" s="1"/>
  <c r="E876" i="5"/>
  <c r="F876" i="5"/>
  <c r="H876" i="5"/>
  <c r="I876" i="5"/>
  <c r="N876" i="5"/>
  <c r="R876" i="5"/>
  <c r="Q876" i="5" s="1"/>
  <c r="S876" i="5"/>
  <c r="T876" i="5"/>
  <c r="B877" i="5"/>
  <c r="C877" i="5"/>
  <c r="D877" i="5"/>
  <c r="E877" i="5"/>
  <c r="F877" i="5"/>
  <c r="H877" i="5"/>
  <c r="I877" i="5"/>
  <c r="N877" i="5"/>
  <c r="R877" i="5"/>
  <c r="Q877" i="5" s="1"/>
  <c r="S877" i="5" s="1"/>
  <c r="T877" i="5"/>
  <c r="B878" i="5"/>
  <c r="C878" i="5"/>
  <c r="D878" i="5"/>
  <c r="E878" i="5"/>
  <c r="F878" i="5"/>
  <c r="H878" i="5"/>
  <c r="I878" i="5"/>
  <c r="N878" i="5"/>
  <c r="Q878" i="5"/>
  <c r="S878" i="5" s="1"/>
  <c r="R878" i="5"/>
  <c r="T878" i="5"/>
  <c r="B879" i="5"/>
  <c r="C879" i="5"/>
  <c r="L879" i="5" s="1"/>
  <c r="D879" i="5"/>
  <c r="E879" i="5"/>
  <c r="F879" i="5"/>
  <c r="H879" i="5"/>
  <c r="I879" i="5"/>
  <c r="N879" i="5"/>
  <c r="R879" i="5"/>
  <c r="Q879" i="5" s="1"/>
  <c r="S879" i="5" s="1"/>
  <c r="T879" i="5"/>
  <c r="B880" i="5"/>
  <c r="C880" i="5"/>
  <c r="D880" i="5"/>
  <c r="E880" i="5"/>
  <c r="L880" i="5" s="1"/>
  <c r="F880" i="5"/>
  <c r="H880" i="5"/>
  <c r="I880" i="5"/>
  <c r="N880" i="5"/>
  <c r="Q880" i="5"/>
  <c r="R880" i="5"/>
  <c r="S880" i="5"/>
  <c r="T880" i="5"/>
  <c r="B881" i="5"/>
  <c r="C881" i="5"/>
  <c r="D881" i="5"/>
  <c r="E881" i="5"/>
  <c r="F881" i="5"/>
  <c r="H881" i="5"/>
  <c r="I881" i="5"/>
  <c r="L881" i="5"/>
  <c r="N881" i="5"/>
  <c r="R881" i="5"/>
  <c r="Q881" i="5" s="1"/>
  <c r="S881" i="5" s="1"/>
  <c r="T881" i="5"/>
  <c r="B882" i="5"/>
  <c r="C882" i="5"/>
  <c r="D882" i="5"/>
  <c r="E882" i="5"/>
  <c r="F882" i="5"/>
  <c r="H882" i="5"/>
  <c r="I882" i="5"/>
  <c r="N882" i="5"/>
  <c r="R882" i="5"/>
  <c r="Q882" i="5" s="1"/>
  <c r="S882" i="5" s="1"/>
  <c r="T882" i="5"/>
  <c r="B883" i="5"/>
  <c r="C883" i="5"/>
  <c r="D883" i="5"/>
  <c r="E883" i="5"/>
  <c r="F883" i="5"/>
  <c r="H883" i="5"/>
  <c r="L883" i="5" s="1"/>
  <c r="I883" i="5"/>
  <c r="N883" i="5"/>
  <c r="R883" i="5"/>
  <c r="Q883" i="5" s="1"/>
  <c r="S883" i="5" s="1"/>
  <c r="T883" i="5"/>
  <c r="B884" i="5"/>
  <c r="C884" i="5"/>
  <c r="D884" i="5"/>
  <c r="L884" i="5" s="1"/>
  <c r="E884" i="5"/>
  <c r="F884" i="5"/>
  <c r="H884" i="5"/>
  <c r="I884" i="5"/>
  <c r="N884" i="5"/>
  <c r="R884" i="5"/>
  <c r="Q884" i="5" s="1"/>
  <c r="S884" i="5"/>
  <c r="T884" i="5"/>
  <c r="B885" i="5"/>
  <c r="C885" i="5"/>
  <c r="D885" i="5"/>
  <c r="L885" i="5" s="1"/>
  <c r="E885" i="5"/>
  <c r="F885" i="5"/>
  <c r="H885" i="5"/>
  <c r="I885" i="5"/>
  <c r="N885" i="5"/>
  <c r="R885" i="5"/>
  <c r="Q885" i="5" s="1"/>
  <c r="S885" i="5" s="1"/>
  <c r="T885" i="5"/>
  <c r="B886" i="5"/>
  <c r="C886" i="5"/>
  <c r="D886" i="5"/>
  <c r="E886" i="5"/>
  <c r="F886" i="5"/>
  <c r="H886" i="5"/>
  <c r="I886" i="5"/>
  <c r="L886" i="5"/>
  <c r="N886" i="5"/>
  <c r="Q886" i="5"/>
  <c r="S886" i="5" s="1"/>
  <c r="R886" i="5"/>
  <c r="T886" i="5"/>
  <c r="B887" i="5"/>
  <c r="C887" i="5"/>
  <c r="D887" i="5"/>
  <c r="E887" i="5"/>
  <c r="F887" i="5"/>
  <c r="H887" i="5"/>
  <c r="I887" i="5"/>
  <c r="N887" i="5"/>
  <c r="Q887" i="5"/>
  <c r="S887" i="5" s="1"/>
  <c r="R887" i="5"/>
  <c r="T887" i="5"/>
  <c r="B888" i="5"/>
  <c r="C888" i="5"/>
  <c r="D888" i="5"/>
  <c r="E888" i="5"/>
  <c r="F888" i="5"/>
  <c r="H888" i="5"/>
  <c r="I888" i="5"/>
  <c r="N888" i="5"/>
  <c r="Q888" i="5"/>
  <c r="R888" i="5"/>
  <c r="S888" i="5"/>
  <c r="T888" i="5"/>
  <c r="B889" i="5"/>
  <c r="C889" i="5"/>
  <c r="D889" i="5"/>
  <c r="E889" i="5"/>
  <c r="F889" i="5"/>
  <c r="H889" i="5"/>
  <c r="I889" i="5"/>
  <c r="L889" i="5"/>
  <c r="N889" i="5"/>
  <c r="R889" i="5"/>
  <c r="Q889" i="5" s="1"/>
  <c r="S889" i="5" s="1"/>
  <c r="T889" i="5"/>
  <c r="B890" i="5"/>
  <c r="C890" i="5"/>
  <c r="L890" i="5" s="1"/>
  <c r="D890" i="5"/>
  <c r="E890" i="5"/>
  <c r="F890" i="5"/>
  <c r="H890" i="5"/>
  <c r="I890" i="5"/>
  <c r="N890" i="5"/>
  <c r="R890" i="5"/>
  <c r="Q890" i="5" s="1"/>
  <c r="S890" i="5" s="1"/>
  <c r="T890" i="5"/>
  <c r="B891" i="5"/>
  <c r="C891" i="5"/>
  <c r="D891" i="5"/>
  <c r="E891" i="5"/>
  <c r="F891" i="5"/>
  <c r="H891" i="5"/>
  <c r="I891" i="5"/>
  <c r="N891" i="5"/>
  <c r="R891" i="5"/>
  <c r="Q891" i="5" s="1"/>
  <c r="S891" i="5" s="1"/>
  <c r="T891" i="5"/>
  <c r="B892" i="5"/>
  <c r="C892" i="5"/>
  <c r="L892" i="5" s="1"/>
  <c r="D892" i="5"/>
  <c r="E892" i="5"/>
  <c r="F892" i="5"/>
  <c r="H892" i="5"/>
  <c r="I892" i="5"/>
  <c r="N892" i="5"/>
  <c r="R892" i="5"/>
  <c r="Q892" i="5" s="1"/>
  <c r="S892" i="5" s="1"/>
  <c r="T892" i="5"/>
  <c r="B893" i="5"/>
  <c r="C893" i="5"/>
  <c r="D893" i="5"/>
  <c r="E893" i="5"/>
  <c r="F893" i="5"/>
  <c r="H893" i="5"/>
  <c r="I893" i="5"/>
  <c r="N893" i="5"/>
  <c r="R893" i="5"/>
  <c r="Q893" i="5" s="1"/>
  <c r="S893" i="5" s="1"/>
  <c r="T893" i="5"/>
  <c r="B894" i="5"/>
  <c r="C894" i="5"/>
  <c r="D894" i="5"/>
  <c r="E894" i="5"/>
  <c r="F894" i="5"/>
  <c r="H894" i="5"/>
  <c r="I894" i="5"/>
  <c r="L894" i="5"/>
  <c r="N894" i="5"/>
  <c r="Q894" i="5"/>
  <c r="S894" i="5" s="1"/>
  <c r="R894" i="5"/>
  <c r="T894" i="5"/>
  <c r="B895" i="5"/>
  <c r="C895" i="5"/>
  <c r="D895" i="5"/>
  <c r="E895" i="5"/>
  <c r="F895" i="5"/>
  <c r="H895" i="5"/>
  <c r="I895" i="5"/>
  <c r="N895" i="5"/>
  <c r="R895" i="5"/>
  <c r="Q895" i="5" s="1"/>
  <c r="S895" i="5" s="1"/>
  <c r="T895" i="5"/>
  <c r="B896" i="5"/>
  <c r="C896" i="5"/>
  <c r="D896" i="5"/>
  <c r="E896" i="5"/>
  <c r="F896" i="5"/>
  <c r="L896" i="5" s="1"/>
  <c r="H896" i="5"/>
  <c r="I896" i="5"/>
  <c r="N896" i="5"/>
  <c r="Q896" i="5"/>
  <c r="R896" i="5"/>
  <c r="S896" i="5"/>
  <c r="T896" i="5"/>
  <c r="B897" i="5"/>
  <c r="C897" i="5"/>
  <c r="D897" i="5"/>
  <c r="E897" i="5"/>
  <c r="F897" i="5"/>
  <c r="H897" i="5"/>
  <c r="I897" i="5"/>
  <c r="L897" i="5"/>
  <c r="N897" i="5"/>
  <c r="R897" i="5"/>
  <c r="Q897" i="5" s="1"/>
  <c r="S897" i="5" s="1"/>
  <c r="T897" i="5"/>
  <c r="B898" i="5"/>
  <c r="C898" i="5"/>
  <c r="D898" i="5"/>
  <c r="E898" i="5"/>
  <c r="F898" i="5"/>
  <c r="H898" i="5"/>
  <c r="I898" i="5"/>
  <c r="N898" i="5"/>
  <c r="R898" i="5"/>
  <c r="Q898" i="5" s="1"/>
  <c r="S898" i="5" s="1"/>
  <c r="T898" i="5"/>
  <c r="B899" i="5"/>
  <c r="C899" i="5"/>
  <c r="D899" i="5"/>
  <c r="E899" i="5"/>
  <c r="F899" i="5"/>
  <c r="H899" i="5"/>
  <c r="I899" i="5"/>
  <c r="N899" i="5"/>
  <c r="R899" i="5"/>
  <c r="Q899" i="5" s="1"/>
  <c r="S899" i="5" s="1"/>
  <c r="T899" i="5"/>
  <c r="B900" i="5"/>
  <c r="C900" i="5"/>
  <c r="L900" i="5" s="1"/>
  <c r="D900" i="5"/>
  <c r="E900" i="5"/>
  <c r="F900" i="5"/>
  <c r="H900" i="5"/>
  <c r="I900" i="5"/>
  <c r="N900" i="5"/>
  <c r="R900" i="5"/>
  <c r="Q900" i="5" s="1"/>
  <c r="S900" i="5"/>
  <c r="T900" i="5"/>
  <c r="B901" i="5"/>
  <c r="C901" i="5"/>
  <c r="D901" i="5"/>
  <c r="E901" i="5"/>
  <c r="F901" i="5"/>
  <c r="H901" i="5"/>
  <c r="I901" i="5"/>
  <c r="N901" i="5"/>
  <c r="R901" i="5"/>
  <c r="Q901" i="5" s="1"/>
  <c r="S901" i="5" s="1"/>
  <c r="T901" i="5"/>
  <c r="B902" i="5"/>
  <c r="C902" i="5"/>
  <c r="D902" i="5"/>
  <c r="E902" i="5"/>
  <c r="F902" i="5"/>
  <c r="H902" i="5"/>
  <c r="I902" i="5"/>
  <c r="N902" i="5"/>
  <c r="Q902" i="5"/>
  <c r="S902" i="5" s="1"/>
  <c r="R902" i="5"/>
  <c r="T902" i="5"/>
  <c r="B903" i="5"/>
  <c r="C903" i="5"/>
  <c r="L903" i="5" s="1"/>
  <c r="D903" i="5"/>
  <c r="E903" i="5"/>
  <c r="F903" i="5"/>
  <c r="H903" i="5"/>
  <c r="I903" i="5"/>
  <c r="N903" i="5"/>
  <c r="R903" i="5"/>
  <c r="Q903" i="5" s="1"/>
  <c r="S903" i="5" s="1"/>
  <c r="T903" i="5"/>
  <c r="B904" i="5"/>
  <c r="C904" i="5"/>
  <c r="D904" i="5"/>
  <c r="E904" i="5"/>
  <c r="F904" i="5"/>
  <c r="H904" i="5"/>
  <c r="I904" i="5"/>
  <c r="L904" i="5"/>
  <c r="N904" i="5"/>
  <c r="Q904" i="5"/>
  <c r="R904" i="5"/>
  <c r="S904" i="5"/>
  <c r="T904" i="5"/>
  <c r="B905" i="5"/>
  <c r="C905" i="5"/>
  <c r="D905" i="5"/>
  <c r="L905" i="5" s="1"/>
  <c r="E905" i="5"/>
  <c r="F905" i="5"/>
  <c r="H905" i="5"/>
  <c r="I905" i="5"/>
  <c r="N905" i="5"/>
  <c r="R905" i="5"/>
  <c r="Q905" i="5" s="1"/>
  <c r="S905" i="5" s="1"/>
  <c r="T905" i="5"/>
  <c r="B906" i="5"/>
  <c r="C906" i="5"/>
  <c r="D906" i="5"/>
  <c r="E906" i="5"/>
  <c r="F906" i="5"/>
  <c r="H906" i="5"/>
  <c r="I906" i="5"/>
  <c r="N906" i="5"/>
  <c r="R906" i="5"/>
  <c r="Q906" i="5" s="1"/>
  <c r="S906" i="5"/>
  <c r="T906" i="5"/>
  <c r="B907" i="5"/>
  <c r="C907" i="5"/>
  <c r="D907" i="5"/>
  <c r="E907" i="5"/>
  <c r="F907" i="5"/>
  <c r="H907" i="5"/>
  <c r="I907" i="5"/>
  <c r="L907" i="5"/>
  <c r="N907" i="5"/>
  <c r="R907" i="5"/>
  <c r="Q907" i="5" s="1"/>
  <c r="S907" i="5" s="1"/>
  <c r="T907" i="5"/>
  <c r="B908" i="5"/>
  <c r="C908" i="5"/>
  <c r="D908" i="5"/>
  <c r="E908" i="5"/>
  <c r="F908" i="5"/>
  <c r="H908" i="5"/>
  <c r="I908" i="5"/>
  <c r="L908" i="5"/>
  <c r="N908" i="5"/>
  <c r="R908" i="5"/>
  <c r="Q908" i="5" s="1"/>
  <c r="T908" i="5"/>
  <c r="B909" i="5"/>
  <c r="C909" i="5"/>
  <c r="D909" i="5"/>
  <c r="E909" i="5"/>
  <c r="F909" i="5"/>
  <c r="H909" i="5"/>
  <c r="I909" i="5"/>
  <c r="N909" i="5"/>
  <c r="R909" i="5"/>
  <c r="Q909" i="5" s="1"/>
  <c r="S909" i="5" s="1"/>
  <c r="T909" i="5"/>
  <c r="B910" i="5"/>
  <c r="C910" i="5"/>
  <c r="D910" i="5"/>
  <c r="E910" i="5"/>
  <c r="F910" i="5"/>
  <c r="H910" i="5"/>
  <c r="I910" i="5"/>
  <c r="L910" i="5"/>
  <c r="N910" i="5"/>
  <c r="Q910" i="5"/>
  <c r="S910" i="5" s="1"/>
  <c r="R910" i="5"/>
  <c r="T910" i="5"/>
  <c r="B911" i="5"/>
  <c r="C911" i="5"/>
  <c r="D911" i="5"/>
  <c r="E911" i="5"/>
  <c r="F911" i="5"/>
  <c r="H911" i="5"/>
  <c r="I911" i="5"/>
  <c r="N911" i="5"/>
  <c r="R911" i="5"/>
  <c r="Q911" i="5" s="1"/>
  <c r="S911" i="5" s="1"/>
  <c r="T911" i="5"/>
  <c r="B912" i="5"/>
  <c r="C912" i="5"/>
  <c r="D912" i="5"/>
  <c r="E912" i="5"/>
  <c r="F912" i="5"/>
  <c r="H912" i="5"/>
  <c r="I912" i="5"/>
  <c r="L912" i="5"/>
  <c r="N912" i="5"/>
  <c r="Q912" i="5"/>
  <c r="R912" i="5"/>
  <c r="S912" i="5"/>
  <c r="T912" i="5"/>
  <c r="B913" i="5"/>
  <c r="C913" i="5"/>
  <c r="D913" i="5"/>
  <c r="L913" i="5" s="1"/>
  <c r="E913" i="5"/>
  <c r="F913" i="5"/>
  <c r="H913" i="5"/>
  <c r="I913" i="5"/>
  <c r="N913" i="5"/>
  <c r="R913" i="5"/>
  <c r="Q913" i="5" s="1"/>
  <c r="S913" i="5" s="1"/>
  <c r="T913" i="5"/>
  <c r="B914" i="5"/>
  <c r="C914" i="5"/>
  <c r="L914" i="5" s="1"/>
  <c r="D914" i="5"/>
  <c r="E914" i="5"/>
  <c r="F914" i="5"/>
  <c r="H914" i="5"/>
  <c r="I914" i="5"/>
  <c r="N914" i="5"/>
  <c r="Q914" i="5"/>
  <c r="S914" i="5" s="1"/>
  <c r="R914" i="5"/>
  <c r="T914" i="5"/>
  <c r="B915" i="5"/>
  <c r="C915" i="5"/>
  <c r="D915" i="5"/>
  <c r="E915" i="5"/>
  <c r="F915" i="5"/>
  <c r="H915" i="5"/>
  <c r="I915" i="5"/>
  <c r="N915" i="5"/>
  <c r="R915" i="5"/>
  <c r="Q915" i="5" s="1"/>
  <c r="S915" i="5" s="1"/>
  <c r="T915" i="5"/>
  <c r="B916" i="5"/>
  <c r="C916" i="5"/>
  <c r="D916" i="5"/>
  <c r="E916" i="5"/>
  <c r="F916" i="5"/>
  <c r="H916" i="5"/>
  <c r="I916" i="5"/>
  <c r="N916" i="5"/>
  <c r="R916" i="5"/>
  <c r="Q916" i="5" s="1"/>
  <c r="S916" i="5"/>
  <c r="T916" i="5"/>
  <c r="B917" i="5"/>
  <c r="C917" i="5"/>
  <c r="D917" i="5"/>
  <c r="E917" i="5"/>
  <c r="F917" i="5"/>
  <c r="H917" i="5"/>
  <c r="I917" i="5"/>
  <c r="N917" i="5"/>
  <c r="R917" i="5"/>
  <c r="Q917" i="5" s="1"/>
  <c r="S917" i="5" s="1"/>
  <c r="T917" i="5"/>
  <c r="B918" i="5"/>
  <c r="C918" i="5"/>
  <c r="D918" i="5"/>
  <c r="E918" i="5"/>
  <c r="F918" i="5"/>
  <c r="H918" i="5"/>
  <c r="I918" i="5"/>
  <c r="L918" i="5"/>
  <c r="N918" i="5"/>
  <c r="Q918" i="5"/>
  <c r="S918" i="5" s="1"/>
  <c r="R918" i="5"/>
  <c r="T918" i="5"/>
  <c r="B919" i="5"/>
  <c r="C919" i="5"/>
  <c r="D919" i="5"/>
  <c r="E919" i="5"/>
  <c r="F919" i="5"/>
  <c r="H919" i="5"/>
  <c r="I919" i="5"/>
  <c r="N919" i="5"/>
  <c r="Q919" i="5"/>
  <c r="S919" i="5" s="1"/>
  <c r="R919" i="5"/>
  <c r="T919" i="5"/>
  <c r="B920" i="5"/>
  <c r="C920" i="5"/>
  <c r="D920" i="5"/>
  <c r="E920" i="5"/>
  <c r="F920" i="5"/>
  <c r="H920" i="5"/>
  <c r="I920" i="5"/>
  <c r="N920" i="5"/>
  <c r="Q920" i="5"/>
  <c r="R920" i="5"/>
  <c r="S920" i="5"/>
  <c r="T920" i="5"/>
  <c r="B921" i="5"/>
  <c r="C921" i="5"/>
  <c r="D921" i="5"/>
  <c r="E921" i="5"/>
  <c r="F921" i="5"/>
  <c r="H921" i="5"/>
  <c r="I921" i="5"/>
  <c r="L921" i="5"/>
  <c r="N921" i="5"/>
  <c r="R921" i="5"/>
  <c r="Q921" i="5" s="1"/>
  <c r="S921" i="5" s="1"/>
  <c r="T921" i="5"/>
  <c r="B922" i="5"/>
  <c r="C922" i="5"/>
  <c r="D922" i="5"/>
  <c r="E922" i="5"/>
  <c r="F922" i="5"/>
  <c r="H922" i="5"/>
  <c r="I922" i="5"/>
  <c r="N922" i="5"/>
  <c r="Q922" i="5"/>
  <c r="S922" i="5" s="1"/>
  <c r="R922" i="5"/>
  <c r="T922" i="5"/>
  <c r="B923" i="5"/>
  <c r="C923" i="5"/>
  <c r="D923" i="5"/>
  <c r="E923" i="5"/>
  <c r="F923" i="5"/>
  <c r="L923" i="5" s="1"/>
  <c r="H923" i="5"/>
  <c r="I923" i="5"/>
  <c r="N923" i="5"/>
  <c r="R923" i="5"/>
  <c r="Q923" i="5" s="1"/>
  <c r="S923" i="5" s="1"/>
  <c r="T923" i="5"/>
  <c r="B924" i="5"/>
  <c r="C924" i="5"/>
  <c r="D924" i="5"/>
  <c r="E924" i="5"/>
  <c r="F924" i="5"/>
  <c r="H924" i="5"/>
  <c r="I924" i="5"/>
  <c r="N924" i="5"/>
  <c r="R924" i="5"/>
  <c r="Q924" i="5" s="1"/>
  <c r="S924" i="5"/>
  <c r="T924" i="5"/>
  <c r="B925" i="5"/>
  <c r="C925" i="5"/>
  <c r="D925" i="5"/>
  <c r="E925" i="5"/>
  <c r="F925" i="5"/>
  <c r="H925" i="5"/>
  <c r="I925" i="5"/>
  <c r="N925" i="5"/>
  <c r="R925" i="5"/>
  <c r="Q925" i="5" s="1"/>
  <c r="S925" i="5" s="1"/>
  <c r="T925" i="5"/>
  <c r="B926" i="5"/>
  <c r="C926" i="5"/>
  <c r="D926" i="5"/>
  <c r="E926" i="5"/>
  <c r="F926" i="5"/>
  <c r="H926" i="5"/>
  <c r="L926" i="5" s="1"/>
  <c r="I926" i="5"/>
  <c r="N926" i="5"/>
  <c r="Q926" i="5"/>
  <c r="S926" i="5" s="1"/>
  <c r="R926" i="5"/>
  <c r="T926" i="5"/>
  <c r="B927" i="5"/>
  <c r="C927" i="5"/>
  <c r="L927" i="5" s="1"/>
  <c r="D927" i="5"/>
  <c r="E927" i="5"/>
  <c r="F927" i="5"/>
  <c r="H927" i="5"/>
  <c r="I927" i="5"/>
  <c r="N927" i="5"/>
  <c r="R927" i="5"/>
  <c r="Q927" i="5" s="1"/>
  <c r="T927" i="5"/>
  <c r="B928" i="5"/>
  <c r="C928" i="5"/>
  <c r="D928" i="5"/>
  <c r="E928" i="5"/>
  <c r="F928" i="5"/>
  <c r="H928" i="5"/>
  <c r="I928" i="5"/>
  <c r="N928" i="5"/>
  <c r="Q928" i="5"/>
  <c r="R928" i="5"/>
  <c r="S928" i="5"/>
  <c r="T928" i="5"/>
  <c r="B929" i="5"/>
  <c r="C929" i="5"/>
  <c r="D929" i="5"/>
  <c r="E929" i="5"/>
  <c r="F929" i="5"/>
  <c r="H929" i="5"/>
  <c r="I929" i="5"/>
  <c r="L929" i="5"/>
  <c r="N929" i="5"/>
  <c r="R929" i="5"/>
  <c r="Q929" i="5" s="1"/>
  <c r="S929" i="5" s="1"/>
  <c r="T929" i="5"/>
  <c r="B930" i="5"/>
  <c r="C930" i="5"/>
  <c r="D930" i="5"/>
  <c r="E930" i="5"/>
  <c r="F930" i="5"/>
  <c r="H930" i="5"/>
  <c r="I930" i="5"/>
  <c r="N930" i="5"/>
  <c r="Q930" i="5"/>
  <c r="S930" i="5" s="1"/>
  <c r="R930" i="5"/>
  <c r="T930" i="5"/>
  <c r="B931" i="5"/>
  <c r="C931" i="5"/>
  <c r="D931" i="5"/>
  <c r="E931" i="5"/>
  <c r="F931" i="5"/>
  <c r="H931" i="5"/>
  <c r="I931" i="5"/>
  <c r="L931" i="5"/>
  <c r="N931" i="5"/>
  <c r="R931" i="5"/>
  <c r="Q931" i="5" s="1"/>
  <c r="S931" i="5" s="1"/>
  <c r="T931" i="5"/>
  <c r="B932" i="5"/>
  <c r="C932" i="5"/>
  <c r="D932" i="5"/>
  <c r="E932" i="5"/>
  <c r="F932" i="5"/>
  <c r="H932" i="5"/>
  <c r="I932" i="5"/>
  <c r="L932" i="5"/>
  <c r="N932" i="5"/>
  <c r="Q932" i="5"/>
  <c r="S932" i="5" s="1"/>
  <c r="R932" i="5"/>
  <c r="T932" i="5"/>
  <c r="B933" i="5"/>
  <c r="C933" i="5"/>
  <c r="D933" i="5"/>
  <c r="E933" i="5"/>
  <c r="F933" i="5"/>
  <c r="H933" i="5"/>
  <c r="I933" i="5"/>
  <c r="N933" i="5"/>
  <c r="R933" i="5"/>
  <c r="Q933" i="5" s="1"/>
  <c r="S933" i="5" s="1"/>
  <c r="T933" i="5"/>
  <c r="B934" i="5"/>
  <c r="C934" i="5"/>
  <c r="D934" i="5"/>
  <c r="E934" i="5"/>
  <c r="F934" i="5"/>
  <c r="H934" i="5"/>
  <c r="I934" i="5"/>
  <c r="N934" i="5"/>
  <c r="Q934" i="5"/>
  <c r="S934" i="5" s="1"/>
  <c r="R934" i="5"/>
  <c r="T934" i="5"/>
  <c r="B935" i="5"/>
  <c r="C935" i="5"/>
  <c r="L935" i="5" s="1"/>
  <c r="D935" i="5"/>
  <c r="E935" i="5"/>
  <c r="F935" i="5"/>
  <c r="H935" i="5"/>
  <c r="I935" i="5"/>
  <c r="N935" i="5"/>
  <c r="R935" i="5"/>
  <c r="Q935" i="5" s="1"/>
  <c r="S935" i="5" s="1"/>
  <c r="T935" i="5"/>
  <c r="B936" i="5"/>
  <c r="C936" i="5"/>
  <c r="D936" i="5"/>
  <c r="E936" i="5"/>
  <c r="F936" i="5"/>
  <c r="H936" i="5"/>
  <c r="I936" i="5"/>
  <c r="L936" i="5"/>
  <c r="N936" i="5"/>
  <c r="Q936" i="5"/>
  <c r="R936" i="5"/>
  <c r="S936" i="5"/>
  <c r="T936" i="5"/>
  <c r="B937" i="5"/>
  <c r="C937" i="5"/>
  <c r="D937" i="5"/>
  <c r="L937" i="5" s="1"/>
  <c r="E937" i="5"/>
  <c r="F937" i="5"/>
  <c r="H937" i="5"/>
  <c r="I937" i="5"/>
  <c r="N937" i="5"/>
  <c r="R937" i="5"/>
  <c r="Q937" i="5" s="1"/>
  <c r="S937" i="5" s="1"/>
  <c r="T937" i="5"/>
  <c r="B938" i="5"/>
  <c r="C938" i="5"/>
  <c r="L938" i="5" s="1"/>
  <c r="D938" i="5"/>
  <c r="E938" i="5"/>
  <c r="F938" i="5"/>
  <c r="H938" i="5"/>
  <c r="I938" i="5"/>
  <c r="N938" i="5"/>
  <c r="Q938" i="5"/>
  <c r="S938" i="5" s="1"/>
  <c r="R938" i="5"/>
  <c r="T938" i="5"/>
  <c r="B939" i="5"/>
  <c r="C939" i="5"/>
  <c r="D939" i="5"/>
  <c r="E939" i="5"/>
  <c r="F939" i="5"/>
  <c r="H939" i="5"/>
  <c r="I939" i="5"/>
  <c r="N939" i="5"/>
  <c r="R939" i="5"/>
  <c r="Q939" i="5" s="1"/>
  <c r="S939" i="5" s="1"/>
  <c r="T939" i="5"/>
  <c r="B940" i="5"/>
  <c r="C940" i="5"/>
  <c r="D940" i="5"/>
  <c r="E940" i="5"/>
  <c r="F940" i="5"/>
  <c r="H940" i="5"/>
  <c r="I940" i="5"/>
  <c r="N940" i="5"/>
  <c r="R940" i="5"/>
  <c r="Q940" i="5" s="1"/>
  <c r="S940" i="5" s="1"/>
  <c r="T940" i="5"/>
  <c r="B941" i="5"/>
  <c r="C941" i="5"/>
  <c r="D941" i="5"/>
  <c r="E941" i="5"/>
  <c r="F941" i="5"/>
  <c r="H941" i="5"/>
  <c r="I941" i="5"/>
  <c r="N941" i="5"/>
  <c r="R941" i="5"/>
  <c r="Q941" i="5" s="1"/>
  <c r="S941" i="5" s="1"/>
  <c r="T941" i="5"/>
  <c r="B942" i="5"/>
  <c r="C942" i="5"/>
  <c r="D942" i="5"/>
  <c r="E942" i="5"/>
  <c r="F942" i="5"/>
  <c r="H942" i="5"/>
  <c r="I942" i="5"/>
  <c r="N942" i="5"/>
  <c r="Q942" i="5"/>
  <c r="S942" i="5" s="1"/>
  <c r="R942" i="5"/>
  <c r="T942" i="5"/>
  <c r="B943" i="5"/>
  <c r="C943" i="5"/>
  <c r="D943" i="5"/>
  <c r="E943" i="5"/>
  <c r="F943" i="5"/>
  <c r="H943" i="5"/>
  <c r="I943" i="5"/>
  <c r="N943" i="5"/>
  <c r="Q943" i="5"/>
  <c r="S943" i="5" s="1"/>
  <c r="R943" i="5"/>
  <c r="T943" i="5"/>
  <c r="B944" i="5"/>
  <c r="C944" i="5"/>
  <c r="D944" i="5"/>
  <c r="E944" i="5"/>
  <c r="F944" i="5"/>
  <c r="H944" i="5"/>
  <c r="I944" i="5"/>
  <c r="N944" i="5"/>
  <c r="Q944" i="5"/>
  <c r="R944" i="5"/>
  <c r="S944" i="5"/>
  <c r="T944" i="5"/>
  <c r="B945" i="5"/>
  <c r="C945" i="5"/>
  <c r="D945" i="5"/>
  <c r="E945" i="5"/>
  <c r="F945" i="5"/>
  <c r="H945" i="5"/>
  <c r="I945" i="5"/>
  <c r="L945" i="5"/>
  <c r="N945" i="5"/>
  <c r="R945" i="5"/>
  <c r="Q945" i="5" s="1"/>
  <c r="S945" i="5" s="1"/>
  <c r="T945" i="5"/>
  <c r="B946" i="5"/>
  <c r="C946" i="5"/>
  <c r="D946" i="5"/>
  <c r="E946" i="5"/>
  <c r="F946" i="5"/>
  <c r="H946" i="5"/>
  <c r="I946" i="5"/>
  <c r="N946" i="5"/>
  <c r="R946" i="5"/>
  <c r="Q946" i="5" s="1"/>
  <c r="S946" i="5" s="1"/>
  <c r="T946" i="5"/>
  <c r="B947" i="5"/>
  <c r="C947" i="5"/>
  <c r="D947" i="5"/>
  <c r="E947" i="5"/>
  <c r="F947" i="5"/>
  <c r="H947" i="5"/>
  <c r="L947" i="5" s="1"/>
  <c r="I947" i="5"/>
  <c r="N947" i="5"/>
  <c r="R947" i="5"/>
  <c r="Q947" i="5" s="1"/>
  <c r="S947" i="5" s="1"/>
  <c r="T947" i="5"/>
  <c r="B948" i="5"/>
  <c r="C948" i="5"/>
  <c r="D948" i="5"/>
  <c r="L948" i="5" s="1"/>
  <c r="E948" i="5"/>
  <c r="F948" i="5"/>
  <c r="H948" i="5"/>
  <c r="I948" i="5"/>
  <c r="N948" i="5"/>
  <c r="R948" i="5"/>
  <c r="Q948" i="5" s="1"/>
  <c r="S948" i="5"/>
  <c r="T948" i="5"/>
  <c r="B949" i="5"/>
  <c r="C949" i="5"/>
  <c r="D949" i="5"/>
  <c r="E949" i="5"/>
  <c r="F949" i="5"/>
  <c r="H949" i="5"/>
  <c r="I949" i="5"/>
  <c r="N949" i="5"/>
  <c r="R949" i="5"/>
  <c r="Q949" i="5" s="1"/>
  <c r="S949" i="5" s="1"/>
  <c r="T949" i="5"/>
  <c r="B950" i="5"/>
  <c r="C950" i="5"/>
  <c r="D950" i="5"/>
  <c r="E950" i="5"/>
  <c r="F950" i="5"/>
  <c r="H950" i="5"/>
  <c r="L950" i="5" s="1"/>
  <c r="I950" i="5"/>
  <c r="N950" i="5"/>
  <c r="Q950" i="5"/>
  <c r="S950" i="5" s="1"/>
  <c r="R950" i="5"/>
  <c r="T950" i="5"/>
  <c r="B951" i="5"/>
  <c r="C951" i="5"/>
  <c r="L951" i="5" s="1"/>
  <c r="D951" i="5"/>
  <c r="E951" i="5"/>
  <c r="F951" i="5"/>
  <c r="H951" i="5"/>
  <c r="I951" i="5"/>
  <c r="N951" i="5"/>
  <c r="Q951" i="5"/>
  <c r="S951" i="5" s="1"/>
  <c r="R951" i="5"/>
  <c r="T951" i="5"/>
  <c r="B952" i="5"/>
  <c r="C952" i="5"/>
  <c r="D952" i="5"/>
  <c r="E952" i="5"/>
  <c r="F952" i="5"/>
  <c r="H952" i="5"/>
  <c r="L952" i="5" s="1"/>
  <c r="I952" i="5"/>
  <c r="N952" i="5"/>
  <c r="Q952" i="5"/>
  <c r="R952" i="5"/>
  <c r="S952" i="5"/>
  <c r="T952" i="5"/>
  <c r="B953" i="5"/>
  <c r="C953" i="5"/>
  <c r="D953" i="5"/>
  <c r="L953" i="5" s="1"/>
  <c r="E953" i="5"/>
  <c r="F953" i="5"/>
  <c r="H953" i="5"/>
  <c r="I953" i="5"/>
  <c r="N953" i="5"/>
  <c r="R953" i="5"/>
  <c r="Q953" i="5" s="1"/>
  <c r="S953" i="5" s="1"/>
  <c r="T953" i="5"/>
  <c r="B954" i="5"/>
  <c r="C954" i="5"/>
  <c r="L954" i="5" s="1"/>
  <c r="D954" i="5"/>
  <c r="E954" i="5"/>
  <c r="F954" i="5"/>
  <c r="H954" i="5"/>
  <c r="I954" i="5"/>
  <c r="N954" i="5"/>
  <c r="R954" i="5"/>
  <c r="Q954" i="5" s="1"/>
  <c r="S954" i="5" s="1"/>
  <c r="T954" i="5"/>
  <c r="B955" i="5"/>
  <c r="C955" i="5"/>
  <c r="D955" i="5"/>
  <c r="E955" i="5"/>
  <c r="F955" i="5"/>
  <c r="L955" i="5" s="1"/>
  <c r="H955" i="5"/>
  <c r="I955" i="5"/>
  <c r="N955" i="5"/>
  <c r="R955" i="5"/>
  <c r="Q955" i="5" s="1"/>
  <c r="S955" i="5" s="1"/>
  <c r="T955" i="5"/>
  <c r="B956" i="5"/>
  <c r="C956" i="5"/>
  <c r="D956" i="5"/>
  <c r="E956" i="5"/>
  <c r="F956" i="5"/>
  <c r="H956" i="5"/>
  <c r="I956" i="5"/>
  <c r="N956" i="5"/>
  <c r="R956" i="5"/>
  <c r="Q956" i="5" s="1"/>
  <c r="T956" i="5"/>
  <c r="B957" i="5"/>
  <c r="C957" i="5"/>
  <c r="D957" i="5"/>
  <c r="L957" i="5" s="1"/>
  <c r="E957" i="5"/>
  <c r="F957" i="5"/>
  <c r="H957" i="5"/>
  <c r="I957" i="5"/>
  <c r="N957" i="5"/>
  <c r="R957" i="5"/>
  <c r="Q957" i="5" s="1"/>
  <c r="S957" i="5" s="1"/>
  <c r="T957" i="5"/>
  <c r="B958" i="5"/>
  <c r="C958" i="5"/>
  <c r="D958" i="5"/>
  <c r="E958" i="5"/>
  <c r="F958" i="5"/>
  <c r="H958" i="5"/>
  <c r="I958" i="5"/>
  <c r="L958" i="5"/>
  <c r="N958" i="5"/>
  <c r="Q958" i="5"/>
  <c r="S958" i="5" s="1"/>
  <c r="R958" i="5"/>
  <c r="T958" i="5"/>
  <c r="B959" i="5"/>
  <c r="C959" i="5"/>
  <c r="D959" i="5"/>
  <c r="E959" i="5"/>
  <c r="F959" i="5"/>
  <c r="H959" i="5"/>
  <c r="I959" i="5"/>
  <c r="N959" i="5"/>
  <c r="R959" i="5"/>
  <c r="Q959" i="5" s="1"/>
  <c r="T959" i="5"/>
  <c r="B960" i="5"/>
  <c r="C960" i="5"/>
  <c r="D960" i="5"/>
  <c r="E960" i="5"/>
  <c r="F960" i="5"/>
  <c r="H960" i="5"/>
  <c r="I960" i="5"/>
  <c r="N960" i="5"/>
  <c r="Q960" i="5"/>
  <c r="R960" i="5"/>
  <c r="S960" i="5"/>
  <c r="T960" i="5"/>
  <c r="B961" i="5"/>
  <c r="C961" i="5"/>
  <c r="D961" i="5"/>
  <c r="E961" i="5"/>
  <c r="F961" i="5"/>
  <c r="H961" i="5"/>
  <c r="I961" i="5"/>
  <c r="L961" i="5"/>
  <c r="N961" i="5"/>
  <c r="R961" i="5"/>
  <c r="Q961" i="5" s="1"/>
  <c r="S961" i="5" s="1"/>
  <c r="T961" i="5"/>
  <c r="B962" i="5"/>
  <c r="C962" i="5"/>
  <c r="L962" i="5" s="1"/>
  <c r="D962" i="5"/>
  <c r="E962" i="5"/>
  <c r="F962" i="5"/>
  <c r="H962" i="5"/>
  <c r="I962" i="5"/>
  <c r="N962" i="5"/>
  <c r="R962" i="5"/>
  <c r="Q962" i="5" s="1"/>
  <c r="S962" i="5"/>
  <c r="T962" i="5"/>
  <c r="B963" i="5"/>
  <c r="C963" i="5"/>
  <c r="D963" i="5"/>
  <c r="E963" i="5"/>
  <c r="F963" i="5"/>
  <c r="L963" i="5" s="1"/>
  <c r="H963" i="5"/>
  <c r="I963" i="5"/>
  <c r="N963" i="5"/>
  <c r="R963" i="5"/>
  <c r="Q963" i="5" s="1"/>
  <c r="S963" i="5" s="1"/>
  <c r="T963" i="5"/>
  <c r="B964" i="5"/>
  <c r="C964" i="5"/>
  <c r="D964" i="5"/>
  <c r="E964" i="5"/>
  <c r="F964" i="5"/>
  <c r="H964" i="5"/>
  <c r="I964" i="5"/>
  <c r="N964" i="5"/>
  <c r="R964" i="5"/>
  <c r="Q964" i="5" s="1"/>
  <c r="S964" i="5" s="1"/>
  <c r="T964" i="5"/>
  <c r="B965" i="5"/>
  <c r="C965" i="5"/>
  <c r="D965" i="5"/>
  <c r="E965" i="5"/>
  <c r="F965" i="5"/>
  <c r="H965" i="5"/>
  <c r="I965" i="5"/>
  <c r="N965" i="5"/>
  <c r="R965" i="5"/>
  <c r="Q965" i="5" s="1"/>
  <c r="S965" i="5" s="1"/>
  <c r="T965" i="5"/>
  <c r="B966" i="5"/>
  <c r="C966" i="5"/>
  <c r="L966" i="5" s="1"/>
  <c r="D966" i="5"/>
  <c r="E966" i="5"/>
  <c r="F966" i="5"/>
  <c r="H966" i="5"/>
  <c r="I966" i="5"/>
  <c r="N966" i="5"/>
  <c r="Q966" i="5"/>
  <c r="S966" i="5" s="1"/>
  <c r="R966" i="5"/>
  <c r="T966" i="5"/>
  <c r="B967" i="5"/>
  <c r="C967" i="5"/>
  <c r="D967" i="5"/>
  <c r="E967" i="5"/>
  <c r="F967" i="5"/>
  <c r="H967" i="5"/>
  <c r="I967" i="5"/>
  <c r="N967" i="5"/>
  <c r="R967" i="5"/>
  <c r="Q967" i="5" s="1"/>
  <c r="S967" i="5" s="1"/>
  <c r="T967" i="5"/>
  <c r="B968" i="5"/>
  <c r="C968" i="5"/>
  <c r="D968" i="5"/>
  <c r="E968" i="5"/>
  <c r="L968" i="5" s="1"/>
  <c r="F968" i="5"/>
  <c r="H968" i="5"/>
  <c r="I968" i="5"/>
  <c r="N968" i="5"/>
  <c r="Q968" i="5"/>
  <c r="R968" i="5"/>
  <c r="S968" i="5"/>
  <c r="T968" i="5"/>
  <c r="B969" i="5"/>
  <c r="C969" i="5"/>
  <c r="D969" i="5"/>
  <c r="E969" i="5"/>
  <c r="F969" i="5"/>
  <c r="H969" i="5"/>
  <c r="I969" i="5"/>
  <c r="L969" i="5"/>
  <c r="N969" i="5"/>
  <c r="R969" i="5"/>
  <c r="Q969" i="5" s="1"/>
  <c r="S969" i="5" s="1"/>
  <c r="T969" i="5"/>
  <c r="B970" i="5"/>
  <c r="C970" i="5"/>
  <c r="D970" i="5"/>
  <c r="E970" i="5"/>
  <c r="F970" i="5"/>
  <c r="H970" i="5"/>
  <c r="I970" i="5"/>
  <c r="N970" i="5"/>
  <c r="Q970" i="5"/>
  <c r="R970" i="5"/>
  <c r="S970" i="5"/>
  <c r="T970" i="5"/>
  <c r="B971" i="5"/>
  <c r="C971" i="5"/>
  <c r="D971" i="5"/>
  <c r="E971" i="5"/>
  <c r="F971" i="5"/>
  <c r="H971" i="5"/>
  <c r="I971" i="5"/>
  <c r="L971" i="5" s="1"/>
  <c r="N971" i="5"/>
  <c r="R971" i="5"/>
  <c r="Q971" i="5" s="1"/>
  <c r="S971" i="5" s="1"/>
  <c r="T971" i="5"/>
  <c r="B972" i="5"/>
  <c r="C972" i="5"/>
  <c r="D972" i="5"/>
  <c r="E972" i="5"/>
  <c r="F972" i="5"/>
  <c r="H972" i="5"/>
  <c r="I972" i="5"/>
  <c r="N972" i="5"/>
  <c r="Q972" i="5"/>
  <c r="S972" i="5" s="1"/>
  <c r="R972" i="5"/>
  <c r="T972" i="5"/>
  <c r="B973" i="5"/>
  <c r="C973" i="5"/>
  <c r="D973" i="5"/>
  <c r="E973" i="5"/>
  <c r="F973" i="5"/>
  <c r="H973" i="5"/>
  <c r="I973" i="5"/>
  <c r="N973" i="5"/>
  <c r="R973" i="5"/>
  <c r="Q973" i="5" s="1"/>
  <c r="S973" i="5" s="1"/>
  <c r="T973" i="5"/>
  <c r="B974" i="5"/>
  <c r="C974" i="5"/>
  <c r="D974" i="5"/>
  <c r="E974" i="5"/>
  <c r="F974" i="5"/>
  <c r="H974" i="5"/>
  <c r="I974" i="5"/>
  <c r="N974" i="5"/>
  <c r="Q974" i="5"/>
  <c r="S974" i="5" s="1"/>
  <c r="R974" i="5"/>
  <c r="T974" i="5"/>
  <c r="B975" i="5"/>
  <c r="C975" i="5"/>
  <c r="D975" i="5"/>
  <c r="E975" i="5"/>
  <c r="F975" i="5"/>
  <c r="H975" i="5"/>
  <c r="I975" i="5"/>
  <c r="N975" i="5"/>
  <c r="Q975" i="5"/>
  <c r="S975" i="5" s="1"/>
  <c r="R975" i="5"/>
  <c r="T975" i="5"/>
  <c r="B976" i="5"/>
  <c r="C976" i="5"/>
  <c r="D976" i="5"/>
  <c r="E976" i="5"/>
  <c r="F976" i="5"/>
  <c r="H976" i="5"/>
  <c r="I976" i="5"/>
  <c r="N976" i="5"/>
  <c r="Q976" i="5"/>
  <c r="R976" i="5"/>
  <c r="S976" i="5"/>
  <c r="T976" i="5"/>
  <c r="B977" i="5"/>
  <c r="C977" i="5"/>
  <c r="D977" i="5"/>
  <c r="E977" i="5"/>
  <c r="F977" i="5"/>
  <c r="H977" i="5"/>
  <c r="I977" i="5"/>
  <c r="L977" i="5"/>
  <c r="N977" i="5"/>
  <c r="R977" i="5"/>
  <c r="Q977" i="5" s="1"/>
  <c r="S977" i="5" s="1"/>
  <c r="T977" i="5"/>
  <c r="B978" i="5"/>
  <c r="C978" i="5"/>
  <c r="L978" i="5" s="1"/>
  <c r="D978" i="5"/>
  <c r="E978" i="5"/>
  <c r="F978" i="5"/>
  <c r="H978" i="5"/>
  <c r="I978" i="5"/>
  <c r="N978" i="5"/>
  <c r="R978" i="5"/>
  <c r="Q978" i="5" s="1"/>
  <c r="S978" i="5"/>
  <c r="T978" i="5"/>
  <c r="B979" i="5"/>
  <c r="C979" i="5"/>
  <c r="D979" i="5"/>
  <c r="E979" i="5"/>
  <c r="F979" i="5"/>
  <c r="H979" i="5"/>
  <c r="I979" i="5"/>
  <c r="N979" i="5"/>
  <c r="R979" i="5"/>
  <c r="Q979" i="5" s="1"/>
  <c r="S979" i="5" s="1"/>
  <c r="T979" i="5"/>
  <c r="B980" i="5"/>
  <c r="C980" i="5"/>
  <c r="D980" i="5"/>
  <c r="E980" i="5"/>
  <c r="F980" i="5"/>
  <c r="H980" i="5"/>
  <c r="I980" i="5"/>
  <c r="N980" i="5"/>
  <c r="R980" i="5"/>
  <c r="Q980" i="5" s="1"/>
  <c r="S980" i="5" s="1"/>
  <c r="T980" i="5"/>
  <c r="B981" i="5"/>
  <c r="C981" i="5"/>
  <c r="D981" i="5"/>
  <c r="E981" i="5"/>
  <c r="F981" i="5"/>
  <c r="H981" i="5"/>
  <c r="I981" i="5"/>
  <c r="N981" i="5"/>
  <c r="R981" i="5"/>
  <c r="Q981" i="5" s="1"/>
  <c r="S981" i="5" s="1"/>
  <c r="T981" i="5"/>
  <c r="B982" i="5"/>
  <c r="C982" i="5"/>
  <c r="L982" i="5" s="1"/>
  <c r="D982" i="5"/>
  <c r="E982" i="5"/>
  <c r="F982" i="5"/>
  <c r="H982" i="5"/>
  <c r="I982" i="5"/>
  <c r="N982" i="5"/>
  <c r="Q982" i="5"/>
  <c r="S982" i="5" s="1"/>
  <c r="R982" i="5"/>
  <c r="T982" i="5"/>
  <c r="B983" i="5"/>
  <c r="C983" i="5"/>
  <c r="L983" i="5" s="1"/>
  <c r="D983" i="5"/>
  <c r="E983" i="5"/>
  <c r="F983" i="5"/>
  <c r="H983" i="5"/>
  <c r="I983" i="5"/>
  <c r="N983" i="5"/>
  <c r="Q983" i="5"/>
  <c r="S983" i="5" s="1"/>
  <c r="R983" i="5"/>
  <c r="T983" i="5"/>
  <c r="B984" i="5"/>
  <c r="C984" i="5"/>
  <c r="D984" i="5"/>
  <c r="E984" i="5"/>
  <c r="L984" i="5" s="1"/>
  <c r="F984" i="5"/>
  <c r="H984" i="5"/>
  <c r="I984" i="5"/>
  <c r="N984" i="5"/>
  <c r="Q984" i="5"/>
  <c r="R984" i="5"/>
  <c r="S984" i="5"/>
  <c r="T984" i="5"/>
  <c r="B985" i="5"/>
  <c r="C985" i="5"/>
  <c r="D985" i="5"/>
  <c r="E985" i="5"/>
  <c r="F985" i="5"/>
  <c r="H985" i="5"/>
  <c r="I985" i="5"/>
  <c r="L985" i="5" s="1"/>
  <c r="N985" i="5"/>
  <c r="R985" i="5"/>
  <c r="Q985" i="5" s="1"/>
  <c r="S985" i="5" s="1"/>
  <c r="T985" i="5"/>
  <c r="B986" i="5"/>
  <c r="C986" i="5"/>
  <c r="D986" i="5"/>
  <c r="E986" i="5"/>
  <c r="F986" i="5"/>
  <c r="H986" i="5"/>
  <c r="I986" i="5"/>
  <c r="N986" i="5"/>
  <c r="Q986" i="5"/>
  <c r="S986" i="5" s="1"/>
  <c r="R986" i="5"/>
  <c r="T986" i="5"/>
  <c r="B987" i="5"/>
  <c r="C987" i="5"/>
  <c r="D987" i="5"/>
  <c r="E987" i="5"/>
  <c r="F987" i="5"/>
  <c r="H987" i="5"/>
  <c r="I987" i="5"/>
  <c r="L987" i="5"/>
  <c r="N987" i="5"/>
  <c r="R987" i="5"/>
  <c r="Q987" i="5" s="1"/>
  <c r="S987" i="5" s="1"/>
  <c r="T987" i="5"/>
  <c r="B988" i="5"/>
  <c r="C988" i="5"/>
  <c r="L988" i="5" s="1"/>
  <c r="D988" i="5"/>
  <c r="E988" i="5"/>
  <c r="F988" i="5"/>
  <c r="H988" i="5"/>
  <c r="I988" i="5"/>
  <c r="N988" i="5"/>
  <c r="Q988" i="5"/>
  <c r="S988" i="5" s="1"/>
  <c r="R988" i="5"/>
  <c r="T988" i="5"/>
  <c r="B989" i="5"/>
  <c r="C989" i="5"/>
  <c r="D989" i="5"/>
  <c r="E989" i="5"/>
  <c r="F989" i="5"/>
  <c r="H989" i="5"/>
  <c r="I989" i="5"/>
  <c r="N989" i="5"/>
  <c r="R989" i="5"/>
  <c r="Q989" i="5" s="1"/>
  <c r="S989" i="5" s="1"/>
  <c r="T989" i="5"/>
  <c r="B990" i="5"/>
  <c r="C990" i="5"/>
  <c r="L990" i="5" s="1"/>
  <c r="D990" i="5"/>
  <c r="E990" i="5"/>
  <c r="F990" i="5"/>
  <c r="H990" i="5"/>
  <c r="I990" i="5"/>
  <c r="N990" i="5"/>
  <c r="Q990" i="5"/>
  <c r="S990" i="5" s="1"/>
  <c r="R990" i="5"/>
  <c r="T990" i="5"/>
  <c r="B991" i="5"/>
  <c r="C991" i="5"/>
  <c r="D991" i="5"/>
  <c r="E991" i="5"/>
  <c r="F991" i="5"/>
  <c r="H991" i="5"/>
  <c r="I991" i="5"/>
  <c r="N991" i="5"/>
  <c r="Q991" i="5"/>
  <c r="S991" i="5" s="1"/>
  <c r="R991" i="5"/>
  <c r="T991" i="5"/>
  <c r="B992" i="5"/>
  <c r="C992" i="5"/>
  <c r="D992" i="5"/>
  <c r="E992" i="5"/>
  <c r="L992" i="5" s="1"/>
  <c r="F992" i="5"/>
  <c r="H992" i="5"/>
  <c r="I992" i="5"/>
  <c r="N992" i="5"/>
  <c r="Q992" i="5"/>
  <c r="R992" i="5"/>
  <c r="S992" i="5"/>
  <c r="T992" i="5"/>
  <c r="B993" i="5"/>
  <c r="C993" i="5"/>
  <c r="D993" i="5"/>
  <c r="E993" i="5"/>
  <c r="F993" i="5"/>
  <c r="H993" i="5"/>
  <c r="I993" i="5"/>
  <c r="L993" i="5"/>
  <c r="N993" i="5"/>
  <c r="R993" i="5"/>
  <c r="Q993" i="5" s="1"/>
  <c r="S993" i="5" s="1"/>
  <c r="T993" i="5"/>
  <c r="B994" i="5"/>
  <c r="C994" i="5"/>
  <c r="D994" i="5"/>
  <c r="E994" i="5"/>
  <c r="F994" i="5"/>
  <c r="H994" i="5"/>
  <c r="I994" i="5"/>
  <c r="N994" i="5"/>
  <c r="R994" i="5"/>
  <c r="Q994" i="5" s="1"/>
  <c r="S994" i="5" s="1"/>
  <c r="T994" i="5"/>
  <c r="B995" i="5"/>
  <c r="C995" i="5"/>
  <c r="D995" i="5"/>
  <c r="E995" i="5"/>
  <c r="F995" i="5"/>
  <c r="H995" i="5"/>
  <c r="I995" i="5"/>
  <c r="N995" i="5"/>
  <c r="R995" i="5"/>
  <c r="Q995" i="5" s="1"/>
  <c r="S995" i="5" s="1"/>
  <c r="T995" i="5"/>
  <c r="B996" i="5"/>
  <c r="C996" i="5"/>
  <c r="D996" i="5"/>
  <c r="E996" i="5"/>
  <c r="F996" i="5"/>
  <c r="H996" i="5"/>
  <c r="I996" i="5"/>
  <c r="N996" i="5"/>
  <c r="R996" i="5"/>
  <c r="Q996" i="5" s="1"/>
  <c r="S996" i="5"/>
  <c r="T996" i="5"/>
  <c r="B997" i="5"/>
  <c r="C997" i="5"/>
  <c r="D997" i="5"/>
  <c r="E997" i="5"/>
  <c r="F997" i="5"/>
  <c r="H997" i="5"/>
  <c r="I997" i="5"/>
  <c r="N997" i="5"/>
  <c r="R997" i="5"/>
  <c r="Q997" i="5" s="1"/>
  <c r="S997" i="5" s="1"/>
  <c r="T997" i="5"/>
  <c r="B998" i="5"/>
  <c r="C998" i="5"/>
  <c r="L998" i="5" s="1"/>
  <c r="D998" i="5"/>
  <c r="E998" i="5"/>
  <c r="F998" i="5"/>
  <c r="H998" i="5"/>
  <c r="I998" i="5"/>
  <c r="N998" i="5"/>
  <c r="Q998" i="5"/>
  <c r="S998" i="5" s="1"/>
  <c r="R998" i="5"/>
  <c r="T998" i="5"/>
  <c r="B999" i="5"/>
  <c r="C999" i="5"/>
  <c r="D999" i="5"/>
  <c r="E999" i="5"/>
  <c r="F999" i="5"/>
  <c r="H999" i="5"/>
  <c r="I999" i="5"/>
  <c r="N999" i="5"/>
  <c r="R999" i="5"/>
  <c r="Q999" i="5" s="1"/>
  <c r="S999" i="5" s="1"/>
  <c r="T999" i="5"/>
  <c r="B1000" i="5"/>
  <c r="C1000" i="5"/>
  <c r="D1000" i="5"/>
  <c r="E1000" i="5"/>
  <c r="L1000" i="5" s="1"/>
  <c r="F1000" i="5"/>
  <c r="H1000" i="5"/>
  <c r="I1000" i="5"/>
  <c r="N1000" i="5"/>
  <c r="Q1000" i="5"/>
  <c r="R1000" i="5"/>
  <c r="S1000" i="5"/>
  <c r="T1000" i="5"/>
  <c r="B1001" i="5"/>
  <c r="C1001" i="5"/>
  <c r="D1001" i="5"/>
  <c r="E1001" i="5"/>
  <c r="F1001" i="5"/>
  <c r="H1001" i="5"/>
  <c r="I1001" i="5"/>
  <c r="L1001" i="5"/>
  <c r="N1001" i="5"/>
  <c r="R1001" i="5"/>
  <c r="Q1001" i="5" s="1"/>
  <c r="S1001" i="5" s="1"/>
  <c r="T1001" i="5"/>
  <c r="B1002" i="5"/>
  <c r="C1002" i="5"/>
  <c r="D1002" i="5"/>
  <c r="E1002" i="5"/>
  <c r="F1002" i="5"/>
  <c r="H1002" i="5"/>
  <c r="I1002" i="5"/>
  <c r="N1002" i="5"/>
  <c r="Q1002" i="5"/>
  <c r="R1002" i="5"/>
  <c r="S1002" i="5"/>
  <c r="T1002" i="5"/>
  <c r="B1003" i="5"/>
  <c r="C1003" i="5"/>
  <c r="D1003" i="5"/>
  <c r="E1003" i="5"/>
  <c r="F1003" i="5"/>
  <c r="H1003" i="5"/>
  <c r="I1003" i="5"/>
  <c r="L1003" i="5" s="1"/>
  <c r="N1003" i="5"/>
  <c r="R1003" i="5"/>
  <c r="Q1003" i="5" s="1"/>
  <c r="S1003" i="5" s="1"/>
  <c r="T1003" i="5"/>
  <c r="B1004" i="5"/>
  <c r="C1004" i="5"/>
  <c r="D1004" i="5"/>
  <c r="E1004" i="5"/>
  <c r="F1004" i="5"/>
  <c r="H1004" i="5"/>
  <c r="I1004" i="5"/>
  <c r="N1004" i="5"/>
  <c r="R1004" i="5"/>
  <c r="Q1004" i="5" s="1"/>
  <c r="S1004" i="5" s="1"/>
  <c r="T1004" i="5"/>
  <c r="B1005" i="5"/>
  <c r="C1005" i="5"/>
  <c r="D1005" i="5"/>
  <c r="E1005" i="5"/>
  <c r="F1005" i="5"/>
  <c r="H1005" i="5"/>
  <c r="I1005" i="5"/>
  <c r="N1005" i="5"/>
  <c r="R1005" i="5"/>
  <c r="Q1005" i="5" s="1"/>
  <c r="S1005" i="5" s="1"/>
  <c r="T1005" i="5"/>
  <c r="B1006" i="5"/>
  <c r="C1006" i="5"/>
  <c r="D1006" i="5"/>
  <c r="E1006" i="5"/>
  <c r="F1006" i="5"/>
  <c r="H1006" i="5"/>
  <c r="I1006" i="5"/>
  <c r="N1006" i="5"/>
  <c r="Q1006" i="5"/>
  <c r="S1006" i="5" s="1"/>
  <c r="R1006" i="5"/>
  <c r="T1006" i="5"/>
  <c r="B1007" i="5"/>
  <c r="C1007" i="5"/>
  <c r="D1007" i="5"/>
  <c r="E1007" i="5"/>
  <c r="F1007" i="5"/>
  <c r="H1007" i="5"/>
  <c r="I1007" i="5"/>
  <c r="N1007" i="5"/>
  <c r="Q1007" i="5"/>
  <c r="S1007" i="5" s="1"/>
  <c r="R1007" i="5"/>
  <c r="T1007" i="5"/>
  <c r="B1008" i="5"/>
  <c r="C1008" i="5"/>
  <c r="D1008" i="5"/>
  <c r="E1008" i="5"/>
  <c r="F1008" i="5"/>
  <c r="H1008" i="5"/>
  <c r="I1008" i="5"/>
  <c r="N1008" i="5"/>
  <c r="Q1008" i="5"/>
  <c r="R1008" i="5"/>
  <c r="S1008" i="5"/>
  <c r="T1008" i="5"/>
  <c r="B1009" i="5"/>
  <c r="C1009" i="5"/>
  <c r="D1009" i="5"/>
  <c r="E1009" i="5"/>
  <c r="F1009" i="5"/>
  <c r="H1009" i="5"/>
  <c r="I1009" i="5"/>
  <c r="L1009" i="5"/>
  <c r="N1009" i="5"/>
  <c r="R1009" i="5"/>
  <c r="Q1009" i="5" s="1"/>
  <c r="S1009" i="5" s="1"/>
  <c r="T1009" i="5"/>
  <c r="B1010" i="5"/>
  <c r="C1010" i="5"/>
  <c r="D1010" i="5"/>
  <c r="E1010" i="5"/>
  <c r="F1010" i="5"/>
  <c r="H1010" i="5"/>
  <c r="I1010" i="5"/>
  <c r="N1010" i="5"/>
  <c r="R1010" i="5"/>
  <c r="Q1010" i="5" s="1"/>
  <c r="S1010" i="5" s="1"/>
  <c r="T1010" i="5"/>
  <c r="B1011" i="5"/>
  <c r="C1011" i="5"/>
  <c r="D1011" i="5"/>
  <c r="E1011" i="5"/>
  <c r="F1011" i="5"/>
  <c r="H1011" i="5"/>
  <c r="I1011" i="5"/>
  <c r="N1011" i="5"/>
  <c r="R1011" i="5"/>
  <c r="Q1011" i="5" s="1"/>
  <c r="S1011" i="5" s="1"/>
  <c r="T1011" i="5"/>
  <c r="B1012" i="5"/>
  <c r="C1012" i="5"/>
  <c r="D1012" i="5"/>
  <c r="E1012" i="5"/>
  <c r="F1012" i="5"/>
  <c r="H1012" i="5"/>
  <c r="I1012" i="5"/>
  <c r="N1012" i="5"/>
  <c r="R1012" i="5"/>
  <c r="Q1012" i="5" s="1"/>
  <c r="S1012" i="5"/>
  <c r="T1012" i="5"/>
  <c r="B1013" i="5"/>
  <c r="C1013" i="5"/>
  <c r="D1013" i="5"/>
  <c r="E1013" i="5"/>
  <c r="F1013" i="5"/>
  <c r="H1013" i="5"/>
  <c r="I1013" i="5"/>
  <c r="N1013" i="5"/>
  <c r="R1013" i="5"/>
  <c r="Q1013" i="5" s="1"/>
  <c r="S1013" i="5" s="1"/>
  <c r="T1013" i="5"/>
  <c r="B1014" i="5"/>
  <c r="C1014" i="5"/>
  <c r="L1014" i="5" s="1"/>
  <c r="D1014" i="5"/>
  <c r="E1014" i="5"/>
  <c r="F1014" i="5"/>
  <c r="H1014" i="5"/>
  <c r="I1014" i="5"/>
  <c r="N1014" i="5"/>
  <c r="Q1014" i="5"/>
  <c r="S1014" i="5" s="1"/>
  <c r="R1014" i="5"/>
  <c r="T1014" i="5"/>
  <c r="B1015" i="5"/>
  <c r="C1015" i="5"/>
  <c r="L1015" i="5" s="1"/>
  <c r="D1015" i="5"/>
  <c r="E1015" i="5"/>
  <c r="F1015" i="5"/>
  <c r="H1015" i="5"/>
  <c r="I1015" i="5"/>
  <c r="N1015" i="5"/>
  <c r="R1015" i="5"/>
  <c r="Q1015" i="5" s="1"/>
  <c r="S1015" i="5" s="1"/>
  <c r="T1015" i="5"/>
  <c r="B1016" i="5"/>
  <c r="C1016" i="5"/>
  <c r="D1016" i="5"/>
  <c r="E1016" i="5"/>
  <c r="L1016" i="5" s="1"/>
  <c r="F1016" i="5"/>
  <c r="H1016" i="5"/>
  <c r="I1016" i="5"/>
  <c r="N1016" i="5"/>
  <c r="Q1016" i="5"/>
  <c r="R1016" i="5"/>
  <c r="S1016" i="5"/>
  <c r="T1016" i="5"/>
  <c r="B1017" i="5"/>
  <c r="C1017" i="5"/>
  <c r="D1017" i="5"/>
  <c r="E1017" i="5"/>
  <c r="F1017" i="5"/>
  <c r="H1017" i="5"/>
  <c r="I1017" i="5"/>
  <c r="L1017" i="5"/>
  <c r="N1017" i="5"/>
  <c r="R1017" i="5"/>
  <c r="Q1017" i="5" s="1"/>
  <c r="S1017" i="5" s="1"/>
  <c r="T1017" i="5"/>
  <c r="B1018" i="5"/>
  <c r="C1018" i="5"/>
  <c r="D1018" i="5"/>
  <c r="E1018" i="5"/>
  <c r="F1018" i="5"/>
  <c r="H1018" i="5"/>
  <c r="I1018" i="5"/>
  <c r="N1018" i="5"/>
  <c r="Q1018" i="5"/>
  <c r="S1018" i="5" s="1"/>
  <c r="R1018" i="5"/>
  <c r="T1018" i="5"/>
  <c r="B1019" i="5"/>
  <c r="C1019" i="5"/>
  <c r="D1019" i="5"/>
  <c r="E1019" i="5"/>
  <c r="F1019" i="5"/>
  <c r="H1019" i="5"/>
  <c r="I1019" i="5"/>
  <c r="L1019" i="5"/>
  <c r="N1019" i="5"/>
  <c r="R1019" i="5"/>
  <c r="Q1019" i="5" s="1"/>
  <c r="S1019" i="5" s="1"/>
  <c r="T1019" i="5"/>
  <c r="B1020" i="5"/>
  <c r="C1020" i="5"/>
  <c r="L1020" i="5" s="1"/>
  <c r="D1020" i="5"/>
  <c r="E1020" i="5"/>
  <c r="F1020" i="5"/>
  <c r="H1020" i="5"/>
  <c r="I1020" i="5"/>
  <c r="N1020" i="5"/>
  <c r="R1020" i="5"/>
  <c r="Q1020" i="5" s="1"/>
  <c r="S1020" i="5" s="1"/>
  <c r="T1020" i="5"/>
  <c r="B1021" i="5"/>
  <c r="C1021" i="5"/>
  <c r="D1021" i="5"/>
  <c r="E1021" i="5"/>
  <c r="F1021" i="5"/>
  <c r="H1021" i="5"/>
  <c r="I1021" i="5"/>
  <c r="N1021" i="5"/>
  <c r="R1021" i="5"/>
  <c r="Q1021" i="5" s="1"/>
  <c r="S1021" i="5" s="1"/>
  <c r="T1021" i="5"/>
  <c r="B1022" i="5"/>
  <c r="C1022" i="5"/>
  <c r="L1022" i="5" s="1"/>
  <c r="D1022" i="5"/>
  <c r="E1022" i="5"/>
  <c r="F1022" i="5"/>
  <c r="H1022" i="5"/>
  <c r="I1022" i="5"/>
  <c r="N1022" i="5"/>
  <c r="Q1022" i="5"/>
  <c r="S1022" i="5" s="1"/>
  <c r="R1022" i="5"/>
  <c r="T1022" i="5"/>
  <c r="B1023" i="5"/>
  <c r="C1023" i="5"/>
  <c r="D1023" i="5"/>
  <c r="E1023" i="5"/>
  <c r="F1023" i="5"/>
  <c r="H1023" i="5"/>
  <c r="I1023" i="5"/>
  <c r="N1023" i="5"/>
  <c r="Q1023" i="5"/>
  <c r="S1023" i="5" s="1"/>
  <c r="R1023" i="5"/>
  <c r="T1023" i="5"/>
  <c r="B1024" i="5"/>
  <c r="C1024" i="5"/>
  <c r="D1024" i="5"/>
  <c r="E1024" i="5"/>
  <c r="F1024" i="5"/>
  <c r="H1024" i="5"/>
  <c r="I1024" i="5"/>
  <c r="N1024" i="5"/>
  <c r="Q1024" i="5"/>
  <c r="R1024" i="5"/>
  <c r="S1024" i="5"/>
  <c r="T1024" i="5"/>
  <c r="B1025" i="5"/>
  <c r="C1025" i="5"/>
  <c r="D1025" i="5"/>
  <c r="E1025" i="5"/>
  <c r="F1025" i="5"/>
  <c r="H1025" i="5"/>
  <c r="I1025" i="5"/>
  <c r="L1025" i="5"/>
  <c r="N1025" i="5"/>
  <c r="R1025" i="5"/>
  <c r="Q1025" i="5" s="1"/>
  <c r="S1025" i="5" s="1"/>
  <c r="T1025" i="5"/>
  <c r="B1026" i="5"/>
  <c r="C1026" i="5"/>
  <c r="D1026" i="5"/>
  <c r="E1026" i="5"/>
  <c r="F1026" i="5"/>
  <c r="H1026" i="5"/>
  <c r="I1026" i="5"/>
  <c r="N1026" i="5"/>
  <c r="R1026" i="5"/>
  <c r="Q1026" i="5" s="1"/>
  <c r="S1026" i="5"/>
  <c r="T1026" i="5"/>
  <c r="B1027" i="5"/>
  <c r="C1027" i="5"/>
  <c r="D1027" i="5"/>
  <c r="E1027" i="5"/>
  <c r="F1027" i="5"/>
  <c r="H1027" i="5"/>
  <c r="I1027" i="5"/>
  <c r="N1027" i="5"/>
  <c r="R1027" i="5"/>
  <c r="Q1027" i="5" s="1"/>
  <c r="S1027" i="5" s="1"/>
  <c r="T1027" i="5"/>
  <c r="B1028" i="5"/>
  <c r="C1028" i="5"/>
  <c r="D1028" i="5"/>
  <c r="E1028" i="5"/>
  <c r="F1028" i="5"/>
  <c r="H1028" i="5"/>
  <c r="I1028" i="5"/>
  <c r="N1028" i="5"/>
  <c r="R1028" i="5"/>
  <c r="Q1028" i="5" s="1"/>
  <c r="S1028" i="5" s="1"/>
  <c r="T1028" i="5"/>
  <c r="B1029" i="5"/>
  <c r="C1029" i="5"/>
  <c r="D1029" i="5"/>
  <c r="E1029" i="5"/>
  <c r="F1029" i="5"/>
  <c r="H1029" i="5"/>
  <c r="I1029" i="5"/>
  <c r="N1029" i="5"/>
  <c r="R1029" i="5"/>
  <c r="Q1029" i="5" s="1"/>
  <c r="S1029" i="5" s="1"/>
  <c r="T1029" i="5"/>
  <c r="B1030" i="5"/>
  <c r="C1030" i="5"/>
  <c r="L1030" i="5" s="1"/>
  <c r="D1030" i="5"/>
  <c r="E1030" i="5"/>
  <c r="F1030" i="5"/>
  <c r="H1030" i="5"/>
  <c r="I1030" i="5"/>
  <c r="N1030" i="5"/>
  <c r="Q1030" i="5"/>
  <c r="S1030" i="5" s="1"/>
  <c r="R1030" i="5"/>
  <c r="T1030" i="5"/>
  <c r="B1031" i="5"/>
  <c r="C1031" i="5"/>
  <c r="D1031" i="5"/>
  <c r="E1031" i="5"/>
  <c r="F1031" i="5"/>
  <c r="H1031" i="5"/>
  <c r="I1031" i="5"/>
  <c r="N1031" i="5"/>
  <c r="R1031" i="5"/>
  <c r="Q1031" i="5" s="1"/>
  <c r="S1031" i="5" s="1"/>
  <c r="T1031" i="5"/>
  <c r="B1032" i="5"/>
  <c r="C1032" i="5"/>
  <c r="D1032" i="5"/>
  <c r="E1032" i="5"/>
  <c r="L1032" i="5" s="1"/>
  <c r="F1032" i="5"/>
  <c r="H1032" i="5"/>
  <c r="I1032" i="5"/>
  <c r="N1032" i="5"/>
  <c r="Q1032" i="5"/>
  <c r="R1032" i="5"/>
  <c r="S1032" i="5"/>
  <c r="T1032" i="5"/>
  <c r="B1033" i="5"/>
  <c r="C1033" i="5"/>
  <c r="D1033" i="5"/>
  <c r="E1033" i="5"/>
  <c r="F1033" i="5"/>
  <c r="H1033" i="5"/>
  <c r="I1033" i="5"/>
  <c r="L1033" i="5"/>
  <c r="N1033" i="5"/>
  <c r="R1033" i="5"/>
  <c r="Q1033" i="5" s="1"/>
  <c r="S1033" i="5" s="1"/>
  <c r="T1033" i="5"/>
  <c r="B1034" i="5"/>
  <c r="C1034" i="5"/>
  <c r="D1034" i="5"/>
  <c r="E1034" i="5"/>
  <c r="F1034" i="5"/>
  <c r="H1034" i="5"/>
  <c r="I1034" i="5"/>
  <c r="N1034" i="5"/>
  <c r="Q1034" i="5"/>
  <c r="R1034" i="5"/>
  <c r="S1034" i="5"/>
  <c r="T1034" i="5"/>
  <c r="B1035" i="5"/>
  <c r="C1035" i="5"/>
  <c r="D1035" i="5"/>
  <c r="E1035" i="5"/>
  <c r="F1035" i="5"/>
  <c r="H1035" i="5"/>
  <c r="I1035" i="5"/>
  <c r="L1035" i="5"/>
  <c r="N1035" i="5"/>
  <c r="R1035" i="5"/>
  <c r="Q1035" i="5" s="1"/>
  <c r="S1035" i="5" s="1"/>
  <c r="T1035" i="5"/>
  <c r="B1036" i="5"/>
  <c r="C1036" i="5"/>
  <c r="D1036" i="5"/>
  <c r="E1036" i="5"/>
  <c r="F1036" i="5"/>
  <c r="H1036" i="5"/>
  <c r="I1036" i="5"/>
  <c r="N1036" i="5"/>
  <c r="Q1036" i="5"/>
  <c r="S1036" i="5" s="1"/>
  <c r="R1036" i="5"/>
  <c r="T1036" i="5"/>
  <c r="B1037" i="5"/>
  <c r="C1037" i="5"/>
  <c r="D1037" i="5"/>
  <c r="E1037" i="5"/>
  <c r="F1037" i="5"/>
  <c r="H1037" i="5"/>
  <c r="I1037" i="5"/>
  <c r="N1037" i="5"/>
  <c r="R1037" i="5"/>
  <c r="Q1037" i="5" s="1"/>
  <c r="S1037" i="5" s="1"/>
  <c r="T1037" i="5"/>
  <c r="B1038" i="5"/>
  <c r="C1038" i="5"/>
  <c r="D1038" i="5"/>
  <c r="E1038" i="5"/>
  <c r="F1038" i="5"/>
  <c r="H1038" i="5"/>
  <c r="I1038" i="5"/>
  <c r="N1038" i="5"/>
  <c r="Q1038" i="5"/>
  <c r="S1038" i="5" s="1"/>
  <c r="R1038" i="5"/>
  <c r="T1038" i="5"/>
  <c r="B1039" i="5"/>
  <c r="C1039" i="5"/>
  <c r="D1039" i="5"/>
  <c r="E1039" i="5"/>
  <c r="F1039" i="5"/>
  <c r="H1039" i="5"/>
  <c r="I1039" i="5"/>
  <c r="N1039" i="5"/>
  <c r="Q1039" i="5"/>
  <c r="S1039" i="5" s="1"/>
  <c r="R1039" i="5"/>
  <c r="T1039" i="5"/>
  <c r="B1040" i="5"/>
  <c r="C1040" i="5"/>
  <c r="D1040" i="5"/>
  <c r="E1040" i="5"/>
  <c r="F1040" i="5"/>
  <c r="H1040" i="5"/>
  <c r="I1040" i="5"/>
  <c r="N1040" i="5"/>
  <c r="Q1040" i="5"/>
  <c r="R1040" i="5"/>
  <c r="S1040" i="5"/>
  <c r="T1040" i="5"/>
  <c r="B1041" i="5"/>
  <c r="C1041" i="5"/>
  <c r="D1041" i="5"/>
  <c r="E1041" i="5"/>
  <c r="F1041" i="5"/>
  <c r="H1041" i="5"/>
  <c r="I1041" i="5"/>
  <c r="L1041" i="5"/>
  <c r="N1041" i="5"/>
  <c r="R1041" i="5"/>
  <c r="Q1041" i="5" s="1"/>
  <c r="S1041" i="5" s="1"/>
  <c r="T1041" i="5"/>
  <c r="B1042" i="5"/>
  <c r="C1042" i="5"/>
  <c r="D1042" i="5"/>
  <c r="E1042" i="5"/>
  <c r="F1042" i="5"/>
  <c r="H1042" i="5"/>
  <c r="I1042" i="5"/>
  <c r="N1042" i="5"/>
  <c r="Q1042" i="5"/>
  <c r="R1042" i="5"/>
  <c r="S1042" i="5"/>
  <c r="T1042" i="5"/>
  <c r="B1043" i="5"/>
  <c r="C1043" i="5"/>
  <c r="D1043" i="5"/>
  <c r="E1043" i="5"/>
  <c r="F1043" i="5"/>
  <c r="H1043" i="5"/>
  <c r="I1043" i="5"/>
  <c r="N1043" i="5"/>
  <c r="R1043" i="5"/>
  <c r="Q1043" i="5" s="1"/>
  <c r="S1043" i="5" s="1"/>
  <c r="T1043" i="5"/>
  <c r="B1044" i="5"/>
  <c r="C1044" i="5"/>
  <c r="D1044" i="5"/>
  <c r="E1044" i="5"/>
  <c r="F1044" i="5"/>
  <c r="H1044" i="5"/>
  <c r="I1044" i="5"/>
  <c r="N1044" i="5"/>
  <c r="R1044" i="5"/>
  <c r="Q1044" i="5" s="1"/>
  <c r="S1044" i="5" s="1"/>
  <c r="T1044" i="5"/>
  <c r="B1045" i="5"/>
  <c r="C1045" i="5"/>
  <c r="D1045" i="5"/>
  <c r="E1045" i="5"/>
  <c r="F1045" i="5"/>
  <c r="H1045" i="5"/>
  <c r="I1045" i="5"/>
  <c r="N1045" i="5"/>
  <c r="R1045" i="5"/>
  <c r="Q1045" i="5" s="1"/>
  <c r="S1045" i="5" s="1"/>
  <c r="T1045" i="5"/>
  <c r="B1046" i="5"/>
  <c r="C1046" i="5"/>
  <c r="L1046" i="5" s="1"/>
  <c r="D1046" i="5"/>
  <c r="E1046" i="5"/>
  <c r="F1046" i="5"/>
  <c r="H1046" i="5"/>
  <c r="I1046" i="5"/>
  <c r="N1046" i="5"/>
  <c r="Q1046" i="5"/>
  <c r="S1046" i="5" s="1"/>
  <c r="R1046" i="5"/>
  <c r="T1046" i="5"/>
  <c r="B1047" i="5"/>
  <c r="C1047" i="5"/>
  <c r="L1047" i="5" s="1"/>
  <c r="D1047" i="5"/>
  <c r="E1047" i="5"/>
  <c r="F1047" i="5"/>
  <c r="H1047" i="5"/>
  <c r="I1047" i="5"/>
  <c r="N1047" i="5"/>
  <c r="Q1047" i="5"/>
  <c r="S1047" i="5" s="1"/>
  <c r="R1047" i="5"/>
  <c r="T1047" i="5"/>
  <c r="B1048" i="5"/>
  <c r="C1048" i="5"/>
  <c r="D1048" i="5"/>
  <c r="E1048" i="5"/>
  <c r="F1048" i="5"/>
  <c r="H1048" i="5"/>
  <c r="I1048" i="5"/>
  <c r="N1048" i="5"/>
  <c r="Q1048" i="5"/>
  <c r="R1048" i="5"/>
  <c r="S1048" i="5"/>
  <c r="T1048" i="5"/>
  <c r="B1049" i="5"/>
  <c r="C1049" i="5"/>
  <c r="D1049" i="5"/>
  <c r="E1049" i="5"/>
  <c r="F1049" i="5"/>
  <c r="H1049" i="5"/>
  <c r="I1049" i="5"/>
  <c r="L1049" i="5"/>
  <c r="N1049" i="5"/>
  <c r="R1049" i="5"/>
  <c r="Q1049" i="5" s="1"/>
  <c r="S1049" i="5" s="1"/>
  <c r="T1049" i="5"/>
  <c r="B1050" i="5"/>
  <c r="C1050" i="5"/>
  <c r="D1050" i="5"/>
  <c r="E1050" i="5"/>
  <c r="F1050" i="5"/>
  <c r="H1050" i="5"/>
  <c r="I1050" i="5"/>
  <c r="N1050" i="5"/>
  <c r="Q1050" i="5"/>
  <c r="S1050" i="5" s="1"/>
  <c r="R1050" i="5"/>
  <c r="T1050" i="5"/>
  <c r="B1051" i="5"/>
  <c r="C1051" i="5"/>
  <c r="D1051" i="5"/>
  <c r="E1051" i="5"/>
  <c r="F1051" i="5"/>
  <c r="H1051" i="5"/>
  <c r="I1051" i="5"/>
  <c r="L1051" i="5"/>
  <c r="N1051" i="5"/>
  <c r="R1051" i="5"/>
  <c r="Q1051" i="5" s="1"/>
  <c r="S1051" i="5" s="1"/>
  <c r="T1051" i="5"/>
  <c r="B1052" i="5"/>
  <c r="C1052" i="5"/>
  <c r="L1052" i="5" s="1"/>
  <c r="D1052" i="5"/>
  <c r="E1052" i="5"/>
  <c r="F1052" i="5"/>
  <c r="H1052" i="5"/>
  <c r="I1052" i="5"/>
  <c r="N1052" i="5"/>
  <c r="Q1052" i="5"/>
  <c r="S1052" i="5" s="1"/>
  <c r="R1052" i="5"/>
  <c r="T1052" i="5"/>
  <c r="B1053" i="5"/>
  <c r="C1053" i="5"/>
  <c r="D1053" i="5"/>
  <c r="E1053" i="5"/>
  <c r="F1053" i="5"/>
  <c r="H1053" i="5"/>
  <c r="I1053" i="5"/>
  <c r="N1053" i="5"/>
  <c r="R1053" i="5"/>
  <c r="Q1053" i="5" s="1"/>
  <c r="S1053" i="5" s="1"/>
  <c r="T1053" i="5"/>
  <c r="B1054" i="5"/>
  <c r="C1054" i="5"/>
  <c r="L1054" i="5" s="1"/>
  <c r="D1054" i="5"/>
  <c r="E1054" i="5"/>
  <c r="F1054" i="5"/>
  <c r="H1054" i="5"/>
  <c r="I1054" i="5"/>
  <c r="N1054" i="5"/>
  <c r="Q1054" i="5"/>
  <c r="S1054" i="5" s="1"/>
  <c r="R1054" i="5"/>
  <c r="T1054" i="5"/>
  <c r="B1055" i="5"/>
  <c r="C1055" i="5"/>
  <c r="D1055" i="5"/>
  <c r="E1055" i="5"/>
  <c r="F1055" i="5"/>
  <c r="H1055" i="5"/>
  <c r="I1055" i="5"/>
  <c r="N1055" i="5"/>
  <c r="Q1055" i="5"/>
  <c r="S1055" i="5" s="1"/>
  <c r="R1055" i="5"/>
  <c r="T1055" i="5"/>
  <c r="B1057" i="5"/>
  <c r="C1057" i="5"/>
  <c r="D1057" i="5"/>
  <c r="E1057" i="5"/>
  <c r="F1057" i="5"/>
  <c r="G1057" i="5"/>
  <c r="H1057" i="5"/>
  <c r="I1057" i="5"/>
  <c r="J1057" i="5"/>
  <c r="K1057" i="5"/>
  <c r="N1057" i="5"/>
  <c r="O1057" i="5"/>
  <c r="P1057" i="5"/>
  <c r="R1057" i="5"/>
  <c r="B1058" i="5"/>
  <c r="C1058" i="5"/>
  <c r="D1058" i="5"/>
  <c r="E1058" i="5"/>
  <c r="F1058" i="5"/>
  <c r="G1058" i="5"/>
  <c r="H1058" i="5"/>
  <c r="I1058" i="5"/>
  <c r="J1058" i="5"/>
  <c r="K1058" i="5"/>
  <c r="N1058" i="5"/>
  <c r="O1058" i="5"/>
  <c r="P1058" i="5"/>
  <c r="T1058" i="5"/>
  <c r="B1059" i="5"/>
  <c r="E1059" i="5"/>
  <c r="G1059" i="5"/>
  <c r="I1059" i="5"/>
  <c r="J1059" i="5"/>
  <c r="K1059" i="5"/>
  <c r="O1059" i="5"/>
  <c r="P1059" i="5"/>
  <c r="T1059" i="5"/>
  <c r="B1060" i="5"/>
  <c r="D1060" i="5"/>
  <c r="G1060" i="5"/>
  <c r="H1060" i="5"/>
  <c r="J1060" i="5"/>
  <c r="K1060" i="5"/>
  <c r="M1060" i="5"/>
  <c r="N1060" i="5"/>
  <c r="O1060" i="5"/>
  <c r="P1060" i="5"/>
  <c r="Q1060" i="5"/>
  <c r="R1060" i="5"/>
  <c r="S1060" i="5"/>
  <c r="T1060" i="5"/>
  <c r="B1061" i="5"/>
  <c r="E1061" i="5"/>
  <c r="F1061" i="5"/>
  <c r="G1061" i="5"/>
  <c r="H1061" i="5"/>
  <c r="I1061" i="5"/>
  <c r="J1061" i="5"/>
  <c r="K1061" i="5"/>
  <c r="M1061" i="5"/>
  <c r="N1061" i="5"/>
  <c r="O1061" i="5"/>
  <c r="P1061" i="5"/>
  <c r="T1061" i="5"/>
  <c r="B1062" i="5"/>
  <c r="E1062" i="5"/>
  <c r="G1062" i="5"/>
  <c r="I1062" i="5"/>
  <c r="J1062" i="5"/>
  <c r="K1062" i="5"/>
  <c r="M1062" i="5"/>
  <c r="O1062" i="5"/>
  <c r="P1062" i="5"/>
  <c r="Q1062" i="5"/>
  <c r="R1062" i="5"/>
  <c r="S1062" i="5"/>
  <c r="T1062" i="5"/>
  <c r="B1063" i="5"/>
  <c r="E1063" i="5"/>
  <c r="F1063" i="5"/>
  <c r="G1063" i="5"/>
  <c r="I1063" i="5"/>
  <c r="J1063" i="5"/>
  <c r="K1063" i="5"/>
  <c r="M1063" i="5"/>
  <c r="O1063" i="5"/>
  <c r="P1063" i="5"/>
  <c r="B1064" i="5"/>
  <c r="C1064" i="5"/>
  <c r="E1064" i="5"/>
  <c r="F1064" i="5"/>
  <c r="G1064" i="5"/>
  <c r="J1064" i="5"/>
  <c r="K1064" i="5"/>
  <c r="M1064" i="5"/>
  <c r="O1064" i="5"/>
  <c r="P1064" i="5"/>
  <c r="T1064" i="5"/>
  <c r="B1065" i="5"/>
  <c r="G1065" i="5"/>
  <c r="J1065" i="5"/>
  <c r="K1065" i="5"/>
  <c r="M1065" i="5"/>
  <c r="N1065" i="5"/>
  <c r="O1065" i="5"/>
  <c r="P1065" i="5"/>
  <c r="R1065" i="5"/>
  <c r="T1065" i="5"/>
  <c r="B1066" i="5"/>
  <c r="E1066" i="5"/>
  <c r="F1066" i="5"/>
  <c r="G1066" i="5"/>
  <c r="H1066" i="5"/>
  <c r="I1066" i="5"/>
  <c r="J1066" i="5"/>
  <c r="K1066" i="5"/>
  <c r="M1066" i="5"/>
  <c r="O1066" i="5"/>
  <c r="P1066" i="5"/>
  <c r="T1066" i="5"/>
  <c r="B1067" i="5"/>
  <c r="C1067" i="5"/>
  <c r="E1067" i="5"/>
  <c r="F1067" i="5"/>
  <c r="G1067" i="5"/>
  <c r="J1067" i="5"/>
  <c r="K1067" i="5"/>
  <c r="M1067" i="5"/>
  <c r="N1067" i="5"/>
  <c r="O1067" i="5"/>
  <c r="P1067" i="5"/>
  <c r="R1067" i="5"/>
  <c r="B1068" i="5"/>
  <c r="G1068" i="5"/>
  <c r="J1068" i="5"/>
  <c r="K1068" i="5"/>
  <c r="M1068" i="5"/>
  <c r="O1068" i="5"/>
  <c r="P1068" i="5"/>
  <c r="B1069" i="5"/>
  <c r="F1069" i="5"/>
  <c r="G1069" i="5"/>
  <c r="J1069" i="5"/>
  <c r="K1069" i="5"/>
  <c r="M1069" i="5"/>
  <c r="O1069" i="5"/>
  <c r="P1069" i="5"/>
  <c r="B1070" i="5"/>
  <c r="C1070" i="5"/>
  <c r="D1070" i="5"/>
  <c r="G1070" i="5"/>
  <c r="I1070" i="5"/>
  <c r="J1070" i="5"/>
  <c r="K1070" i="5"/>
  <c r="M1070" i="5"/>
  <c r="O1070" i="5"/>
  <c r="P1070" i="5"/>
  <c r="R1070" i="5"/>
  <c r="T1070" i="5"/>
  <c r="B1071" i="5"/>
  <c r="F1071" i="5"/>
  <c r="G1071" i="5"/>
  <c r="J1071" i="5"/>
  <c r="K1071" i="5"/>
  <c r="M1071" i="5"/>
  <c r="N1071" i="5"/>
  <c r="O1071" i="5"/>
  <c r="P1071" i="5"/>
  <c r="R1071" i="5"/>
  <c r="B1072" i="5"/>
  <c r="C1072" i="5"/>
  <c r="F1072" i="5"/>
  <c r="G1072" i="5"/>
  <c r="J1072" i="5"/>
  <c r="K1072" i="5"/>
  <c r="M1072" i="5"/>
  <c r="O1072" i="5"/>
  <c r="P1072" i="5"/>
  <c r="B1073" i="5"/>
  <c r="C1073" i="5"/>
  <c r="D1073" i="5"/>
  <c r="F1073" i="5"/>
  <c r="G1073" i="5"/>
  <c r="I1073" i="5"/>
  <c r="J1073" i="5"/>
  <c r="K1073" i="5"/>
  <c r="M1073" i="5"/>
  <c r="N1073" i="5"/>
  <c r="O1073" i="5"/>
  <c r="P1073" i="5"/>
  <c r="R1073" i="5"/>
  <c r="B1074" i="5"/>
  <c r="E1074" i="5"/>
  <c r="F1074" i="5"/>
  <c r="G1074" i="5"/>
  <c r="H1074" i="5"/>
  <c r="J1074" i="5"/>
  <c r="K1074" i="5"/>
  <c r="M1074" i="5"/>
  <c r="O1074" i="5"/>
  <c r="P1074" i="5"/>
  <c r="B1075" i="5"/>
  <c r="C1075" i="5"/>
  <c r="E1075" i="5"/>
  <c r="G1075" i="5"/>
  <c r="H1075" i="5"/>
  <c r="J1075" i="5"/>
  <c r="K1075" i="5"/>
  <c r="M1075" i="5"/>
  <c r="O1075" i="5"/>
  <c r="P1075" i="5"/>
  <c r="R1075" i="5"/>
  <c r="B1076" i="5"/>
  <c r="C1076" i="5"/>
  <c r="G1076" i="5"/>
  <c r="I1076" i="5"/>
  <c r="J1076" i="5"/>
  <c r="K1076" i="5"/>
  <c r="M1076" i="5"/>
  <c r="O1076" i="5"/>
  <c r="P1076" i="5"/>
  <c r="R1076" i="5"/>
  <c r="S1076" i="5"/>
  <c r="B1077" i="5"/>
  <c r="D1077" i="5"/>
  <c r="G1077" i="5"/>
  <c r="J1077" i="5"/>
  <c r="K1077" i="5"/>
  <c r="M1077" i="5"/>
  <c r="N1077" i="5"/>
  <c r="O1077" i="5"/>
  <c r="P1077" i="5"/>
  <c r="T1077" i="5"/>
  <c r="B1078" i="5"/>
  <c r="D1078" i="5"/>
  <c r="E1078" i="5"/>
  <c r="G1078" i="5"/>
  <c r="I1078" i="5"/>
  <c r="J1078" i="5"/>
  <c r="K1078" i="5"/>
  <c r="M1078" i="5"/>
  <c r="O1078" i="5"/>
  <c r="P1078" i="5"/>
  <c r="B1079" i="5"/>
  <c r="D1079" i="5"/>
  <c r="G1079" i="5"/>
  <c r="H1079" i="5"/>
  <c r="I1079" i="5"/>
  <c r="J1079" i="5"/>
  <c r="K1079" i="5"/>
  <c r="M1079" i="5"/>
  <c r="N1079" i="5"/>
  <c r="O1079" i="5"/>
  <c r="P1079" i="5"/>
  <c r="B1080" i="5"/>
  <c r="D1080" i="5"/>
  <c r="E1080" i="5"/>
  <c r="F1080" i="5"/>
  <c r="G1080" i="5"/>
  <c r="J1080" i="5"/>
  <c r="K1080" i="5"/>
  <c r="M1080" i="5"/>
  <c r="N1080" i="5"/>
  <c r="O1080" i="5"/>
  <c r="P1080" i="5"/>
  <c r="T1080" i="5"/>
  <c r="A1081" i="5"/>
  <c r="B1081" i="5" s="1"/>
  <c r="C1081" i="5"/>
  <c r="E1081" i="5"/>
  <c r="G1081" i="5"/>
  <c r="I1081" i="5"/>
  <c r="J1081" i="5"/>
  <c r="K1081" i="5"/>
  <c r="M1081" i="5"/>
  <c r="O1081" i="5"/>
  <c r="P1081" i="5"/>
  <c r="R1081" i="5"/>
  <c r="A1082" i="5"/>
  <c r="C1082" i="5"/>
  <c r="E1082" i="5"/>
  <c r="F1082" i="5"/>
  <c r="G1082" i="5"/>
  <c r="I1082" i="5"/>
  <c r="J1082" i="5"/>
  <c r="K1082" i="5"/>
  <c r="M1082" i="5"/>
  <c r="N1082" i="5"/>
  <c r="O1082" i="5"/>
  <c r="P1082" i="5"/>
  <c r="C1083" i="5"/>
  <c r="G1083" i="5"/>
  <c r="J1083" i="5"/>
  <c r="K1083" i="5"/>
  <c r="M1083" i="5"/>
  <c r="O1083" i="5"/>
  <c r="P1083" i="5"/>
  <c r="C1084" i="5"/>
  <c r="D1084" i="5"/>
  <c r="E1084" i="5"/>
  <c r="G1084" i="5"/>
  <c r="J1084" i="5"/>
  <c r="K1084" i="5"/>
  <c r="M1084" i="5"/>
  <c r="N1084" i="5"/>
  <c r="O1084" i="5"/>
  <c r="P1084" i="5"/>
  <c r="T1084" i="5"/>
  <c r="G1085" i="5"/>
  <c r="J1085" i="5"/>
  <c r="K1085" i="5"/>
  <c r="M1085" i="5"/>
  <c r="O1085" i="5"/>
  <c r="P1085" i="5"/>
  <c r="G1086" i="5"/>
  <c r="J1086" i="5"/>
  <c r="K1086" i="5"/>
  <c r="M1086" i="5"/>
  <c r="O1086" i="5"/>
  <c r="P1086" i="5"/>
  <c r="T1086" i="5"/>
  <c r="G1087" i="5"/>
  <c r="J1087" i="5"/>
  <c r="K1087" i="5"/>
  <c r="M1087" i="5"/>
  <c r="O1087" i="5"/>
  <c r="P1087" i="5"/>
  <c r="D1088" i="5"/>
  <c r="E1088" i="5"/>
  <c r="G1088" i="5"/>
  <c r="J1088" i="5"/>
  <c r="K1088" i="5"/>
  <c r="M1088" i="5"/>
  <c r="N1088" i="5"/>
  <c r="O1088" i="5"/>
  <c r="P1088" i="5"/>
  <c r="T1088" i="5"/>
  <c r="C1089" i="5"/>
  <c r="E1089" i="5"/>
  <c r="G1089" i="5"/>
  <c r="I1089" i="5"/>
  <c r="J1089" i="5"/>
  <c r="K1089" i="5"/>
  <c r="M1089" i="5"/>
  <c r="O1089" i="5"/>
  <c r="P1089" i="5"/>
  <c r="Q1089" i="5"/>
  <c r="D1090" i="5"/>
  <c r="F1090" i="5"/>
  <c r="G1090" i="5"/>
  <c r="J1090" i="5"/>
  <c r="K1090" i="5"/>
  <c r="M1090" i="5"/>
  <c r="N1090" i="5"/>
  <c r="O1090" i="5"/>
  <c r="P1090" i="5"/>
  <c r="T1090" i="5"/>
  <c r="E1091" i="5"/>
  <c r="G1091" i="5"/>
  <c r="I1091" i="5"/>
  <c r="J1091" i="5"/>
  <c r="K1091" i="5"/>
  <c r="M1091" i="5"/>
  <c r="O1091" i="5"/>
  <c r="P1091" i="5"/>
  <c r="R1091" i="5"/>
  <c r="D1092" i="5"/>
  <c r="E1092" i="5"/>
  <c r="G1092" i="5"/>
  <c r="I1092" i="5"/>
  <c r="J1092" i="5"/>
  <c r="K1092" i="5"/>
  <c r="M1092" i="5"/>
  <c r="N1092" i="5"/>
  <c r="O1092" i="5"/>
  <c r="P1092" i="5"/>
  <c r="E1093" i="5"/>
  <c r="G1093" i="5"/>
  <c r="I1093" i="5"/>
  <c r="J1093" i="5"/>
  <c r="K1093" i="5"/>
  <c r="M1093" i="5"/>
  <c r="O1093" i="5"/>
  <c r="P1093" i="5"/>
  <c r="C1094" i="5"/>
  <c r="F1094" i="5"/>
  <c r="G1094" i="5"/>
  <c r="J1094" i="5"/>
  <c r="K1094" i="5"/>
  <c r="M1094" i="5"/>
  <c r="O1094" i="5"/>
  <c r="P1094" i="5"/>
  <c r="T1094" i="5"/>
  <c r="C1095" i="5"/>
  <c r="G1095" i="5"/>
  <c r="I1095" i="5"/>
  <c r="J1095" i="5"/>
  <c r="K1095" i="5"/>
  <c r="M1095" i="5"/>
  <c r="O1095" i="5"/>
  <c r="P1095" i="5"/>
  <c r="Q1095" i="5"/>
  <c r="R1095" i="5"/>
  <c r="C1096" i="5"/>
  <c r="D1096" i="5"/>
  <c r="F1096" i="5"/>
  <c r="G1096" i="5"/>
  <c r="I1096" i="5"/>
  <c r="J1096" i="5"/>
  <c r="K1096" i="5"/>
  <c r="M1096" i="5"/>
  <c r="N1096" i="5"/>
  <c r="O1096" i="5"/>
  <c r="P1096" i="5"/>
  <c r="R1096" i="5"/>
  <c r="T1096" i="5"/>
  <c r="D1097" i="5"/>
  <c r="F1097" i="5"/>
  <c r="G1097" i="5"/>
  <c r="I1097" i="5"/>
  <c r="J1097" i="5"/>
  <c r="K1097" i="5"/>
  <c r="M1097" i="5"/>
  <c r="N1097" i="5"/>
  <c r="O1097" i="5"/>
  <c r="P1097" i="5"/>
  <c r="R1097" i="5"/>
  <c r="T1097" i="5"/>
  <c r="D1098" i="5"/>
  <c r="F1098" i="5"/>
  <c r="G1098" i="5"/>
  <c r="I1098" i="5"/>
  <c r="J1098" i="5"/>
  <c r="K1098" i="5"/>
  <c r="M1098" i="5"/>
  <c r="N1098" i="5"/>
  <c r="O1098" i="5"/>
  <c r="P1098" i="5"/>
  <c r="R1098" i="5"/>
  <c r="T1098" i="5"/>
  <c r="C1099" i="5"/>
  <c r="D1099" i="5"/>
  <c r="F1099" i="5"/>
  <c r="G1099" i="5"/>
  <c r="I1099" i="5"/>
  <c r="J1099" i="5"/>
  <c r="K1099" i="5"/>
  <c r="M1099" i="5"/>
  <c r="N1099" i="5"/>
  <c r="O1099" i="5"/>
  <c r="P1099" i="5"/>
  <c r="R1099" i="5"/>
  <c r="T1099" i="5"/>
  <c r="C1100" i="5"/>
  <c r="D1100" i="5"/>
  <c r="F1100" i="5"/>
  <c r="G1100" i="5"/>
  <c r="I1100" i="5"/>
  <c r="J1100" i="5"/>
  <c r="K1100" i="5"/>
  <c r="M1100" i="5"/>
  <c r="N1100" i="5"/>
  <c r="O1100" i="5"/>
  <c r="P1100" i="5"/>
  <c r="R1100" i="5"/>
  <c r="T1100" i="5"/>
  <c r="D1101" i="5"/>
  <c r="F1101" i="5"/>
  <c r="G1101" i="5"/>
  <c r="I1101" i="5"/>
  <c r="J1101" i="5"/>
  <c r="K1101" i="5"/>
  <c r="M1101" i="5"/>
  <c r="N1101" i="5"/>
  <c r="O1101" i="5"/>
  <c r="P1101" i="5"/>
  <c r="R1101" i="5"/>
  <c r="T1101" i="5"/>
  <c r="D1102" i="5"/>
  <c r="E1102" i="5"/>
  <c r="F1102" i="5"/>
  <c r="G1102" i="5"/>
  <c r="I1102" i="5"/>
  <c r="J1102" i="5"/>
  <c r="K1102" i="5"/>
  <c r="M1102" i="5"/>
  <c r="N1102" i="5"/>
  <c r="O1102" i="5"/>
  <c r="P1102" i="5"/>
  <c r="R1102" i="5"/>
  <c r="T1102" i="5"/>
  <c r="D1103" i="5"/>
  <c r="F1103" i="5"/>
  <c r="G1103" i="5"/>
  <c r="H1103" i="5"/>
  <c r="I1103" i="5"/>
  <c r="J1103" i="5"/>
  <c r="K1103" i="5"/>
  <c r="M1103" i="5"/>
  <c r="N1103" i="5"/>
  <c r="O1103" i="5"/>
  <c r="P1103" i="5"/>
  <c r="Q1103" i="5"/>
  <c r="R1103" i="5"/>
  <c r="T1103" i="5"/>
  <c r="D1104" i="5"/>
  <c r="F1104" i="5"/>
  <c r="G1104" i="5"/>
  <c r="I1104" i="5"/>
  <c r="J1104" i="5"/>
  <c r="K1104" i="5"/>
  <c r="M1104" i="5"/>
  <c r="N1104" i="5"/>
  <c r="O1104" i="5"/>
  <c r="P1104" i="5"/>
  <c r="R1104" i="5"/>
  <c r="T1104" i="5"/>
  <c r="C9" i="4"/>
  <c r="E9" i="4"/>
  <c r="K13" i="4"/>
  <c r="K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Z16" i="4"/>
  <c r="Z1058" i="4" s="1"/>
  <c r="AA16" i="4"/>
  <c r="AB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AD17" i="4" s="1"/>
  <c r="O17" i="4"/>
  <c r="P17" i="4"/>
  <c r="Q17" i="4"/>
  <c r="R17" i="4"/>
  <c r="S17" i="4"/>
  <c r="T17" i="4"/>
  <c r="U17" i="4"/>
  <c r="V17" i="4"/>
  <c r="W17" i="4"/>
  <c r="X17" i="4"/>
  <c r="Z17" i="4"/>
  <c r="AA17" i="4"/>
  <c r="AB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Z18" i="4"/>
  <c r="AA18" i="4"/>
  <c r="AB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Z19" i="4"/>
  <c r="AA19" i="4"/>
  <c r="AB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Z20" i="4"/>
  <c r="AA20" i="4"/>
  <c r="AB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Z21" i="4"/>
  <c r="AA21" i="4"/>
  <c r="AB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Z22" i="4"/>
  <c r="AA22" i="4"/>
  <c r="AB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Z23" i="4"/>
  <c r="AA23" i="4"/>
  <c r="AB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Z24" i="4"/>
  <c r="AA24" i="4"/>
  <c r="AB24" i="4"/>
  <c r="B25" i="4"/>
  <c r="C25" i="4"/>
  <c r="D25" i="4"/>
  <c r="E25" i="4"/>
  <c r="F25" i="4"/>
  <c r="G25" i="4"/>
  <c r="H25" i="4"/>
  <c r="I25" i="4"/>
  <c r="J25" i="4"/>
  <c r="K25" i="4"/>
  <c r="L25" i="4"/>
  <c r="M25" i="4"/>
  <c r="AD25" i="4" s="1"/>
  <c r="N25" i="4"/>
  <c r="O25" i="4"/>
  <c r="P25" i="4"/>
  <c r="Q25" i="4"/>
  <c r="R25" i="4"/>
  <c r="S25" i="4"/>
  <c r="T25" i="4"/>
  <c r="U25" i="4"/>
  <c r="V25" i="4"/>
  <c r="W25" i="4"/>
  <c r="Z25" i="4"/>
  <c r="AA25" i="4"/>
  <c r="AB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Z26" i="4"/>
  <c r="AA26" i="4"/>
  <c r="AB26" i="4"/>
  <c r="B27" i="4"/>
  <c r="C27" i="4"/>
  <c r="D27" i="4"/>
  <c r="E27" i="4"/>
  <c r="F27" i="4"/>
  <c r="G27" i="4"/>
  <c r="H27" i="4"/>
  <c r="I27" i="4"/>
  <c r="J27" i="4"/>
  <c r="K27" i="4"/>
  <c r="L27" i="4"/>
  <c r="M27" i="4"/>
  <c r="AD27" i="4" s="1"/>
  <c r="N27" i="4"/>
  <c r="O27" i="4"/>
  <c r="P27" i="4"/>
  <c r="Q27" i="4"/>
  <c r="R27" i="4"/>
  <c r="S27" i="4"/>
  <c r="T27" i="4"/>
  <c r="U27" i="4"/>
  <c r="V27" i="4"/>
  <c r="W27" i="4"/>
  <c r="Z27" i="4"/>
  <c r="AA27" i="4"/>
  <c r="AB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Z28" i="4"/>
  <c r="AA28" i="4"/>
  <c r="AB28" i="4"/>
  <c r="AC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Z29" i="4"/>
  <c r="AA29" i="4"/>
  <c r="AB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AD30" i="4" s="1"/>
  <c r="P30" i="4"/>
  <c r="Q30" i="4"/>
  <c r="R30" i="4"/>
  <c r="S30" i="4"/>
  <c r="T30" i="4"/>
  <c r="U30" i="4"/>
  <c r="V30" i="4"/>
  <c r="W30" i="4"/>
  <c r="X30" i="4"/>
  <c r="Z30" i="4"/>
  <c r="AA30" i="4"/>
  <c r="AB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Z31" i="4"/>
  <c r="Z1059" i="4" s="1"/>
  <c r="AA31" i="4"/>
  <c r="AB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AD32" i="4" s="1"/>
  <c r="O32" i="4"/>
  <c r="P32" i="4"/>
  <c r="Q32" i="4"/>
  <c r="R32" i="4"/>
  <c r="S32" i="4"/>
  <c r="T32" i="4"/>
  <c r="U32" i="4"/>
  <c r="V32" i="4"/>
  <c r="W32" i="4"/>
  <c r="X32" i="4"/>
  <c r="Z32" i="4"/>
  <c r="AA32" i="4"/>
  <c r="AB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Z33" i="4"/>
  <c r="AA33" i="4"/>
  <c r="AB33" i="4"/>
  <c r="AC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Z34" i="4"/>
  <c r="AA34" i="4"/>
  <c r="AB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Z35" i="4"/>
  <c r="AA35" i="4"/>
  <c r="AB35" i="4"/>
  <c r="B36" i="4"/>
  <c r="C36" i="4"/>
  <c r="D36" i="4"/>
  <c r="E36" i="4"/>
  <c r="F36" i="4"/>
  <c r="G36" i="4"/>
  <c r="H36" i="4"/>
  <c r="H1059" i="4" s="1"/>
  <c r="I36" i="4"/>
  <c r="J36" i="4"/>
  <c r="K36" i="4"/>
  <c r="L36" i="4"/>
  <c r="M36" i="4"/>
  <c r="N36" i="4"/>
  <c r="O36" i="4"/>
  <c r="P36" i="4"/>
  <c r="P1059" i="4" s="1"/>
  <c r="Q36" i="4"/>
  <c r="R36" i="4"/>
  <c r="S36" i="4"/>
  <c r="T36" i="4"/>
  <c r="U36" i="4"/>
  <c r="V36" i="4"/>
  <c r="W36" i="4"/>
  <c r="X36" i="4"/>
  <c r="Z36" i="4"/>
  <c r="AA36" i="4"/>
  <c r="AB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AD37" i="4" s="1"/>
  <c r="P37" i="4"/>
  <c r="Q37" i="4"/>
  <c r="R37" i="4"/>
  <c r="S37" i="4"/>
  <c r="T37" i="4"/>
  <c r="U37" i="4"/>
  <c r="V37" i="4"/>
  <c r="W37" i="4"/>
  <c r="X37" i="4"/>
  <c r="Z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Z38" i="4"/>
  <c r="AC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Z39" i="4"/>
  <c r="B40" i="4"/>
  <c r="C40" i="4"/>
  <c r="D40" i="4"/>
  <c r="E40" i="4"/>
  <c r="F40" i="4"/>
  <c r="G40" i="4"/>
  <c r="H40" i="4"/>
  <c r="I40" i="4"/>
  <c r="J40" i="4"/>
  <c r="K40" i="4"/>
  <c r="L40" i="4"/>
  <c r="M40" i="4"/>
  <c r="AD40" i="4" s="1"/>
  <c r="N40" i="4"/>
  <c r="O40" i="4"/>
  <c r="P40" i="4"/>
  <c r="Q40" i="4"/>
  <c r="R40" i="4"/>
  <c r="S40" i="4"/>
  <c r="T40" i="4"/>
  <c r="U40" i="4"/>
  <c r="V40" i="4"/>
  <c r="W40" i="4"/>
  <c r="X40" i="4"/>
  <c r="Z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Z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Z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Z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Z44" i="4"/>
  <c r="B45" i="4"/>
  <c r="C45" i="4"/>
  <c r="D45" i="4"/>
  <c r="AC45" i="4" s="1"/>
  <c r="E45" i="4"/>
  <c r="F45" i="4"/>
  <c r="G45" i="4"/>
  <c r="H45" i="4"/>
  <c r="I45" i="4"/>
  <c r="J45" i="4"/>
  <c r="K45" i="4"/>
  <c r="L45" i="4"/>
  <c r="M45" i="4"/>
  <c r="N45" i="4"/>
  <c r="O45" i="4"/>
  <c r="P45" i="4"/>
  <c r="AD45" i="4" s="1"/>
  <c r="Q45" i="4"/>
  <c r="R45" i="4"/>
  <c r="S45" i="4"/>
  <c r="T45" i="4"/>
  <c r="U45" i="4"/>
  <c r="V45" i="4"/>
  <c r="W45" i="4"/>
  <c r="X45" i="4"/>
  <c r="Z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Z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Z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Z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Z49" i="4"/>
  <c r="AC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Z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Z51" i="4"/>
  <c r="B52" i="4"/>
  <c r="C52" i="4"/>
  <c r="D52" i="4"/>
  <c r="E52" i="4"/>
  <c r="F52" i="4"/>
  <c r="G52" i="4"/>
  <c r="H52" i="4"/>
  <c r="I52" i="4"/>
  <c r="J52" i="4"/>
  <c r="K52" i="4"/>
  <c r="L52" i="4"/>
  <c r="M52" i="4"/>
  <c r="AD52" i="4" s="1"/>
  <c r="N52" i="4"/>
  <c r="O52" i="4"/>
  <c r="P52" i="4"/>
  <c r="Q52" i="4"/>
  <c r="R52" i="4"/>
  <c r="S52" i="4"/>
  <c r="T52" i="4"/>
  <c r="U52" i="4"/>
  <c r="V52" i="4"/>
  <c r="W52" i="4"/>
  <c r="X52" i="4"/>
  <c r="Z52" i="4"/>
  <c r="B53" i="4"/>
  <c r="C53" i="4"/>
  <c r="D53" i="4"/>
  <c r="E53" i="4"/>
  <c r="F53" i="4"/>
  <c r="G53" i="4"/>
  <c r="H53" i="4"/>
  <c r="I53" i="4"/>
  <c r="J53" i="4"/>
  <c r="K53" i="4"/>
  <c r="L53" i="4"/>
  <c r="M53" i="4"/>
  <c r="AD53" i="4" s="1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AC54" i="4" s="1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AC56" i="4" s="1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AD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AD62" i="4" s="1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AD64" i="4" s="1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AC65" i="4" s="1"/>
  <c r="E65" i="4"/>
  <c r="F65" i="4"/>
  <c r="G65" i="4"/>
  <c r="H65" i="4"/>
  <c r="I65" i="4"/>
  <c r="J65" i="4"/>
  <c r="K65" i="4"/>
  <c r="L65" i="4"/>
  <c r="M65" i="4"/>
  <c r="N65" i="4"/>
  <c r="O65" i="4"/>
  <c r="P65" i="4"/>
  <c r="AD65" i="4" s="1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AC70" i="4" s="1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AD71" i="4"/>
  <c r="B72" i="4"/>
  <c r="C72" i="4"/>
  <c r="D72" i="4"/>
  <c r="E72" i="4"/>
  <c r="F72" i="4"/>
  <c r="G72" i="4"/>
  <c r="H72" i="4"/>
  <c r="I72" i="4"/>
  <c r="J72" i="4"/>
  <c r="K72" i="4"/>
  <c r="L72" i="4"/>
  <c r="M72" i="4"/>
  <c r="AD72" i="4" s="1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AD76" i="4" s="1"/>
  <c r="Q76" i="4"/>
  <c r="R76" i="4"/>
  <c r="S76" i="4"/>
  <c r="T76" i="4"/>
  <c r="U76" i="4"/>
  <c r="V76" i="4"/>
  <c r="W76" i="4"/>
  <c r="X76" i="4"/>
  <c r="Y76" i="4"/>
  <c r="B77" i="4"/>
  <c r="C77" i="4"/>
  <c r="D77" i="4"/>
  <c r="AC77" i="4" s="1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AC79" i="4" s="1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AD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AD85" i="4" s="1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AD87" i="4" s="1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AC88" i="4" s="1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AD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AC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AD93" i="4" s="1"/>
  <c r="Q93" i="4"/>
  <c r="R93" i="4"/>
  <c r="S93" i="4"/>
  <c r="T93" i="4"/>
  <c r="U93" i="4"/>
  <c r="V93" i="4"/>
  <c r="W93" i="4"/>
  <c r="X93" i="4"/>
  <c r="Y93" i="4"/>
  <c r="AC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AD97" i="4" s="1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AC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AD99" i="4"/>
  <c r="B100" i="4"/>
  <c r="C100" i="4"/>
  <c r="D100" i="4"/>
  <c r="E100" i="4"/>
  <c r="F100" i="4"/>
  <c r="G100" i="4"/>
  <c r="H100" i="4"/>
  <c r="I100" i="4"/>
  <c r="AC100" i="4" s="1"/>
  <c r="J100" i="4"/>
  <c r="K100" i="4"/>
  <c r="L100" i="4"/>
  <c r="M100" i="4"/>
  <c r="AD100" i="4" s="1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AD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AD108" i="4" s="1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AD110" i="4" s="1"/>
  <c r="N110" i="4"/>
  <c r="O110" i="4"/>
  <c r="P110" i="4"/>
  <c r="Q110" i="4"/>
  <c r="R110" i="4"/>
  <c r="S110" i="4"/>
  <c r="T110" i="4"/>
  <c r="U110" i="4"/>
  <c r="V110" i="4"/>
  <c r="W110" i="4"/>
  <c r="X110" i="4"/>
  <c r="Y110" i="4"/>
  <c r="AC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AD111" i="4" s="1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AC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AD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AC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AD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AC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AD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AC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AD129" i="4" s="1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AD131" i="4" s="1"/>
  <c r="Q131" i="4"/>
  <c r="R131" i="4"/>
  <c r="S131" i="4"/>
  <c r="T131" i="4"/>
  <c r="U131" i="4"/>
  <c r="V131" i="4"/>
  <c r="W131" i="4"/>
  <c r="X131" i="4"/>
  <c r="Y131" i="4"/>
  <c r="B132" i="4"/>
  <c r="C132" i="4"/>
  <c r="D132" i="4"/>
  <c r="AC132" i="4" s="1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AD135" i="4" s="1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AD137" i="4"/>
  <c r="B138" i="4"/>
  <c r="C138" i="4"/>
  <c r="D138" i="4"/>
  <c r="E138" i="4"/>
  <c r="AC138" i="4" s="1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AD139" i="4" s="1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AC142" i="4" s="1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AD143" i="4"/>
  <c r="B144" i="4"/>
  <c r="C144" i="4"/>
  <c r="D144" i="4"/>
  <c r="E144" i="4"/>
  <c r="F144" i="4"/>
  <c r="G144" i="4"/>
  <c r="H144" i="4"/>
  <c r="I144" i="4"/>
  <c r="AC144" i="4" s="1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AD148" i="4" s="1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AD149" i="4" s="1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AC150" i="4" s="1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AD151" i="4" s="1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AC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AD155" i="4" s="1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AD161" i="4" s="1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AC164" i="4" s="1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AD167" i="4" s="1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AD169" i="4"/>
  <c r="B170" i="4"/>
  <c r="C170" i="4"/>
  <c r="D170" i="4"/>
  <c r="E170" i="4"/>
  <c r="AC170" i="4" s="1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AD171" i="4" s="1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AC174" i="4" s="1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AD175" i="4"/>
  <c r="B176" i="4"/>
  <c r="C176" i="4"/>
  <c r="D176" i="4"/>
  <c r="E176" i="4"/>
  <c r="F176" i="4"/>
  <c r="G176" i="4"/>
  <c r="H176" i="4"/>
  <c r="I176" i="4"/>
  <c r="AC176" i="4" s="1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AD181" i="4" s="1"/>
  <c r="Q181" i="4"/>
  <c r="R181" i="4"/>
  <c r="S181" i="4"/>
  <c r="T181" i="4"/>
  <c r="U181" i="4"/>
  <c r="V181" i="4"/>
  <c r="W181" i="4"/>
  <c r="X181" i="4"/>
  <c r="Y181" i="4"/>
  <c r="B182" i="4"/>
  <c r="C182" i="4"/>
  <c r="AC182" i="4" s="1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AD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AD189" i="4" s="1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AC190" i="4" s="1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AD195" i="4" s="1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AC201" i="4" s="1"/>
  <c r="E201" i="4"/>
  <c r="F201" i="4"/>
  <c r="G201" i="4"/>
  <c r="H201" i="4"/>
  <c r="I201" i="4"/>
  <c r="J201" i="4"/>
  <c r="K201" i="4"/>
  <c r="L201" i="4"/>
  <c r="M201" i="4"/>
  <c r="N201" i="4"/>
  <c r="O201" i="4"/>
  <c r="P201" i="4"/>
  <c r="AD201" i="4" s="1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V1073" i="4" s="1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AD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AD210" i="4" s="1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AD212" i="4" s="1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AD213" i="4" s="1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AC214" i="4" s="1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AD215" i="4" s="1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AD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AD224" i="4" s="1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AC226" i="4" s="1"/>
  <c r="D226" i="4"/>
  <c r="E226" i="4"/>
  <c r="F226" i="4"/>
  <c r="G226" i="4"/>
  <c r="H226" i="4"/>
  <c r="I226" i="4"/>
  <c r="J226" i="4"/>
  <c r="K226" i="4"/>
  <c r="L226" i="4"/>
  <c r="M226" i="4"/>
  <c r="AD226" i="4" s="1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AC228" i="4" s="1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AD233" i="4" s="1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AC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AD236" i="4" s="1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AD238" i="4" s="1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AD239" i="4" s="1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AD241" i="4" s="1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AD245" i="4" s="1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AD251" i="4" s="1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AC252" i="4"/>
  <c r="B253" i="4"/>
  <c r="C253" i="4"/>
  <c r="D253" i="4"/>
  <c r="E253" i="4"/>
  <c r="AC253" i="4" s="1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AC254" i="4" s="1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AD257" i="4" s="1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AC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AD262" i="4" s="1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B1078" i="4" s="1"/>
  <c r="C264" i="4"/>
  <c r="D264" i="4"/>
  <c r="E264" i="4"/>
  <c r="AC264" i="4" s="1"/>
  <c r="F264" i="4"/>
  <c r="G264" i="4"/>
  <c r="H264" i="4"/>
  <c r="I264" i="4"/>
  <c r="J264" i="4"/>
  <c r="J1078" i="4" s="1"/>
  <c r="K264" i="4"/>
  <c r="L264" i="4"/>
  <c r="M264" i="4"/>
  <c r="AD264" i="4" s="1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AC265" i="4" s="1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AD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AD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AD276" i="4" s="1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AD277" i="4" s="1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AD288" i="4" s="1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AD290" i="4" s="1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AD291" i="4" s="1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AC292" i="4" s="1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AC293" i="4" s="1"/>
  <c r="D293" i="4"/>
  <c r="E293" i="4"/>
  <c r="F293" i="4"/>
  <c r="G293" i="4"/>
  <c r="H293" i="4"/>
  <c r="I293" i="4"/>
  <c r="J293" i="4"/>
  <c r="K293" i="4"/>
  <c r="L293" i="4"/>
  <c r="M293" i="4"/>
  <c r="N293" i="4"/>
  <c r="O293" i="4"/>
  <c r="AD293" i="4" s="1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AD295" i="4" s="1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AC296" i="4"/>
  <c r="B297" i="4"/>
  <c r="C297" i="4"/>
  <c r="D297" i="4"/>
  <c r="E297" i="4"/>
  <c r="AC297" i="4" s="1"/>
  <c r="F297" i="4"/>
  <c r="G297" i="4"/>
  <c r="H297" i="4"/>
  <c r="I297" i="4"/>
  <c r="J297" i="4"/>
  <c r="K297" i="4"/>
  <c r="L297" i="4"/>
  <c r="M297" i="4"/>
  <c r="AD297" i="4" s="1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AD303" i="4" s="1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AC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AD305" i="4" s="1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AC309" i="4" s="1"/>
  <c r="E309" i="4"/>
  <c r="F309" i="4"/>
  <c r="G309" i="4"/>
  <c r="H309" i="4"/>
  <c r="I309" i="4"/>
  <c r="J309" i="4"/>
  <c r="K309" i="4"/>
  <c r="L309" i="4"/>
  <c r="M309" i="4"/>
  <c r="N309" i="4"/>
  <c r="O309" i="4"/>
  <c r="P309" i="4"/>
  <c r="AD309" i="4" s="1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AD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AD316" i="4" s="1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AD317" i="4" s="1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AD323" i="4" s="1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AC328" i="4" s="1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AC329" i="4"/>
  <c r="AD329" i="4"/>
  <c r="B330" i="4"/>
  <c r="C330" i="4"/>
  <c r="D330" i="4"/>
  <c r="E330" i="4"/>
  <c r="F330" i="4"/>
  <c r="G330" i="4"/>
  <c r="H330" i="4"/>
  <c r="AC330" i="4" s="1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AD335" i="4" s="1"/>
  <c r="Q335" i="4"/>
  <c r="R335" i="4"/>
  <c r="S335" i="4"/>
  <c r="T335" i="4"/>
  <c r="U335" i="4"/>
  <c r="V335" i="4"/>
  <c r="W335" i="4"/>
  <c r="X335" i="4"/>
  <c r="Y335" i="4"/>
  <c r="B336" i="4"/>
  <c r="C336" i="4"/>
  <c r="AC336" i="4" s="1"/>
  <c r="D336" i="4"/>
  <c r="E336" i="4"/>
  <c r="F336" i="4"/>
  <c r="G336" i="4"/>
  <c r="H336" i="4"/>
  <c r="I336" i="4"/>
  <c r="I1084" i="4" s="1"/>
  <c r="J336" i="4"/>
  <c r="K336" i="4"/>
  <c r="L336" i="4"/>
  <c r="M336" i="4"/>
  <c r="N336" i="4"/>
  <c r="O336" i="4"/>
  <c r="P336" i="4"/>
  <c r="Q336" i="4"/>
  <c r="Q1084" i="4" s="1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AD341" i="4"/>
  <c r="B342" i="4"/>
  <c r="C342" i="4"/>
  <c r="D342" i="4"/>
  <c r="E342" i="4"/>
  <c r="F342" i="4"/>
  <c r="G342" i="4"/>
  <c r="H342" i="4"/>
  <c r="I342" i="4"/>
  <c r="AC342" i="4" s="1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AD343" i="4" s="1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AC344" i="4" s="1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AD347" i="4" s="1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AC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AC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AC354" i="4" s="1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AD355" i="4" s="1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AC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AD363" i="4" s="1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AC366" i="4" s="1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AC368" i="4" s="1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AD371" i="4" s="1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AD373" i="4"/>
  <c r="B374" i="4"/>
  <c r="C374" i="4"/>
  <c r="D374" i="4"/>
  <c r="E374" i="4"/>
  <c r="AC374" i="4" s="1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AD375" i="4"/>
  <c r="B376" i="4"/>
  <c r="C376" i="4"/>
  <c r="AC376" i="4" s="1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AD379" i="4"/>
  <c r="B380" i="4"/>
  <c r="C380" i="4"/>
  <c r="D380" i="4"/>
  <c r="E380" i="4"/>
  <c r="F380" i="4"/>
  <c r="G380" i="4"/>
  <c r="H380" i="4"/>
  <c r="I380" i="4"/>
  <c r="AC380" i="4" s="1"/>
  <c r="J380" i="4"/>
  <c r="K380" i="4"/>
  <c r="L380" i="4"/>
  <c r="M380" i="4"/>
  <c r="AD380" i="4" s="1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E1088" i="4" s="1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U1088" i="4" s="1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AD385" i="4" s="1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AC388" i="4" s="1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AC389" i="4" s="1"/>
  <c r="D389" i="4"/>
  <c r="E389" i="4"/>
  <c r="F389" i="4"/>
  <c r="G389" i="4"/>
  <c r="H389" i="4"/>
  <c r="I389" i="4"/>
  <c r="J389" i="4"/>
  <c r="K389" i="4"/>
  <c r="L389" i="4"/>
  <c r="M389" i="4"/>
  <c r="N389" i="4"/>
  <c r="O389" i="4"/>
  <c r="AD389" i="4" s="1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AD391" i="4" s="1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AD393" i="4"/>
  <c r="B394" i="4"/>
  <c r="C394" i="4"/>
  <c r="D394" i="4"/>
  <c r="E394" i="4"/>
  <c r="AC394" i="4" s="1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AD395" i="4" s="1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AD399" i="4" s="1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AD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AC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AD407" i="4"/>
  <c r="B408" i="4"/>
  <c r="C408" i="4"/>
  <c r="D408" i="4"/>
  <c r="E408" i="4"/>
  <c r="F408" i="4"/>
  <c r="G408" i="4"/>
  <c r="H408" i="4"/>
  <c r="I408" i="4"/>
  <c r="AC408" i="4" s="1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AD411" i="4" s="1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AD413" i="4" s="1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AC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AD417" i="4" s="1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AD419" i="4" s="1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AC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AD425" i="4" s="1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AC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AD427" i="4" s="1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AC430" i="4" s="1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AD431" i="4" s="1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AD437" i="4"/>
  <c r="B438" i="4"/>
  <c r="C438" i="4"/>
  <c r="D438" i="4"/>
  <c r="E438" i="4"/>
  <c r="AC438" i="4" s="1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AD439" i="4"/>
  <c r="B440" i="4"/>
  <c r="C440" i="4"/>
  <c r="AC440" i="4" s="1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AD445" i="4" s="1"/>
  <c r="Q445" i="4"/>
  <c r="R445" i="4"/>
  <c r="S445" i="4"/>
  <c r="T445" i="4"/>
  <c r="U445" i="4"/>
  <c r="V445" i="4"/>
  <c r="W445" i="4"/>
  <c r="X445" i="4"/>
  <c r="Y445" i="4"/>
  <c r="B446" i="4"/>
  <c r="C446" i="4"/>
  <c r="AC446" i="4" s="1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AD449" i="4"/>
  <c r="B450" i="4"/>
  <c r="C450" i="4"/>
  <c r="D450" i="4"/>
  <c r="E450" i="4"/>
  <c r="F450" i="4"/>
  <c r="G450" i="4"/>
  <c r="H450" i="4"/>
  <c r="I450" i="4"/>
  <c r="AC450" i="4" s="1"/>
  <c r="J450" i="4"/>
  <c r="K450" i="4"/>
  <c r="L450" i="4"/>
  <c r="M450" i="4"/>
  <c r="AD450" i="4" s="1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AC452" i="4" s="1"/>
  <c r="J452" i="4"/>
  <c r="K452" i="4"/>
  <c r="L452" i="4"/>
  <c r="M452" i="4"/>
  <c r="AD452" i="4" s="1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AD457" i="4" s="1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AC458" i="4" s="1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AD463" i="4" s="1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AD469" i="4"/>
  <c r="B470" i="4"/>
  <c r="C470" i="4"/>
  <c r="D470" i="4"/>
  <c r="E470" i="4"/>
  <c r="F470" i="4"/>
  <c r="G470" i="4"/>
  <c r="H470" i="4"/>
  <c r="I470" i="4"/>
  <c r="AC470" i="4" s="1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AD476" i="4" s="1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AC477" i="4" s="1"/>
  <c r="E477" i="4"/>
  <c r="F477" i="4"/>
  <c r="G477" i="4"/>
  <c r="H477" i="4"/>
  <c r="I477" i="4"/>
  <c r="J477" i="4"/>
  <c r="K477" i="4"/>
  <c r="L477" i="4"/>
  <c r="M477" i="4"/>
  <c r="AD477" i="4" s="1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AD481" i="4" s="1"/>
  <c r="P481" i="4"/>
  <c r="Q481" i="4"/>
  <c r="R481" i="4"/>
  <c r="S481" i="4"/>
  <c r="T481" i="4"/>
  <c r="U481" i="4"/>
  <c r="V481" i="4"/>
  <c r="W481" i="4"/>
  <c r="X481" i="4"/>
  <c r="Y481" i="4"/>
  <c r="B482" i="4"/>
  <c r="C482" i="4"/>
  <c r="AC482" i="4" s="1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AC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AC488" i="4" s="1"/>
  <c r="E488" i="4"/>
  <c r="F488" i="4"/>
  <c r="G488" i="4"/>
  <c r="H488" i="4"/>
  <c r="I488" i="4"/>
  <c r="J488" i="4"/>
  <c r="K488" i="4"/>
  <c r="L488" i="4"/>
  <c r="M488" i="4"/>
  <c r="AD488" i="4" s="1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AD489" i="4" s="1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AD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AD497" i="4" s="1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AD501" i="4" s="1"/>
  <c r="Q501" i="4"/>
  <c r="R501" i="4"/>
  <c r="S501" i="4"/>
  <c r="T501" i="4"/>
  <c r="U501" i="4"/>
  <c r="V501" i="4"/>
  <c r="W501" i="4"/>
  <c r="X501" i="4"/>
  <c r="Y501" i="4"/>
  <c r="B502" i="4"/>
  <c r="C502" i="4"/>
  <c r="AC502" i="4" s="1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AD507" i="4" s="1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AC508" i="4"/>
  <c r="B509" i="4"/>
  <c r="C509" i="4"/>
  <c r="D509" i="4"/>
  <c r="E509" i="4"/>
  <c r="AC509" i="4" s="1"/>
  <c r="F509" i="4"/>
  <c r="G509" i="4"/>
  <c r="H509" i="4"/>
  <c r="I509" i="4"/>
  <c r="J509" i="4"/>
  <c r="K509" i="4"/>
  <c r="L509" i="4"/>
  <c r="M509" i="4"/>
  <c r="AD509" i="4" s="1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AC510" i="4" s="1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AD511" i="4" s="1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AD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AD514" i="4" s="1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AC516" i="4" s="1"/>
  <c r="E516" i="4"/>
  <c r="F516" i="4"/>
  <c r="G516" i="4"/>
  <c r="H516" i="4"/>
  <c r="I516" i="4"/>
  <c r="J516" i="4"/>
  <c r="K516" i="4"/>
  <c r="L516" i="4"/>
  <c r="M516" i="4"/>
  <c r="AD516" i="4" s="1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AC517" i="4" s="1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AC520" i="4" s="1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AD521" i="4" s="1"/>
  <c r="O521" i="4"/>
  <c r="P521" i="4"/>
  <c r="Q521" i="4"/>
  <c r="R521" i="4"/>
  <c r="S521" i="4"/>
  <c r="T521" i="4"/>
  <c r="U521" i="4"/>
  <c r="V521" i="4"/>
  <c r="W521" i="4"/>
  <c r="X521" i="4"/>
  <c r="Y521" i="4"/>
  <c r="AC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AD527" i="4" s="1"/>
  <c r="Q527" i="4"/>
  <c r="R527" i="4"/>
  <c r="S527" i="4"/>
  <c r="T527" i="4"/>
  <c r="U527" i="4"/>
  <c r="V527" i="4"/>
  <c r="W527" i="4"/>
  <c r="X527" i="4"/>
  <c r="Y527" i="4"/>
  <c r="B528" i="4"/>
  <c r="C528" i="4"/>
  <c r="AC528" i="4" s="1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AD529" i="4" s="1"/>
  <c r="O529" i="4"/>
  <c r="P529" i="4"/>
  <c r="Q529" i="4"/>
  <c r="R529" i="4"/>
  <c r="S529" i="4"/>
  <c r="T529" i="4"/>
  <c r="U529" i="4"/>
  <c r="V529" i="4"/>
  <c r="W529" i="4"/>
  <c r="X529" i="4"/>
  <c r="Y529" i="4"/>
  <c r="AC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AD533" i="4" s="1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L1101" i="4" s="1"/>
  <c r="M540" i="4"/>
  <c r="N540" i="4"/>
  <c r="O540" i="4"/>
  <c r="P540" i="4"/>
  <c r="Q540" i="4"/>
  <c r="R540" i="4"/>
  <c r="S540" i="4"/>
  <c r="T540" i="4"/>
  <c r="T1101" i="4" s="1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AD541" i="4" s="1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AD547" i="4"/>
  <c r="B548" i="4"/>
  <c r="C548" i="4"/>
  <c r="D548" i="4"/>
  <c r="E548" i="4"/>
  <c r="AC548" i="4" s="1"/>
  <c r="F548" i="4"/>
  <c r="G548" i="4"/>
  <c r="H548" i="4"/>
  <c r="I548" i="4"/>
  <c r="J548" i="4"/>
  <c r="K548" i="4"/>
  <c r="L548" i="4"/>
  <c r="M548" i="4"/>
  <c r="AD548" i="4" s="1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AC549" i="4" s="1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AC552" i="4" s="1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AD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AD559" i="4" s="1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AC560" i="4" s="1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AC565" i="4" s="1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AD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AD571" i="4" s="1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AD573" i="4" s="1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AD577" i="4" s="1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AD579" i="4" s="1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AC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AC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AC585" i="4"/>
  <c r="AD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U1105" i="4" s="1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AC590" i="4" s="1"/>
  <c r="F590" i="4"/>
  <c r="G590" i="4"/>
  <c r="H590" i="4"/>
  <c r="I590" i="4"/>
  <c r="J590" i="4"/>
  <c r="K590" i="4"/>
  <c r="L590" i="4"/>
  <c r="M590" i="4"/>
  <c r="AD590" i="4" s="1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AD591" i="4" s="1"/>
  <c r="P591" i="4"/>
  <c r="Q591" i="4"/>
  <c r="R591" i="4"/>
  <c r="S591" i="4"/>
  <c r="T591" i="4"/>
  <c r="U591" i="4"/>
  <c r="V591" i="4"/>
  <c r="W591" i="4"/>
  <c r="X591" i="4"/>
  <c r="Y591" i="4"/>
  <c r="B592" i="4"/>
  <c r="C592" i="4"/>
  <c r="AC592" i="4" s="1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AD597" i="4"/>
  <c r="B598" i="4"/>
  <c r="C598" i="4"/>
  <c r="D598" i="4"/>
  <c r="E598" i="4"/>
  <c r="AC598" i="4" s="1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AD599" i="4" s="1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AD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AC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AD606" i="4" s="1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AD608" i="4" s="1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AC609" i="4" s="1"/>
  <c r="F609" i="4"/>
  <c r="G609" i="4"/>
  <c r="H609" i="4"/>
  <c r="I609" i="4"/>
  <c r="J609" i="4"/>
  <c r="K609" i="4"/>
  <c r="L609" i="4"/>
  <c r="M609" i="4"/>
  <c r="AD609" i="4" s="1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AC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AD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AD615" i="4" s="1"/>
  <c r="Q615" i="4"/>
  <c r="R615" i="4"/>
  <c r="S615" i="4"/>
  <c r="T615" i="4"/>
  <c r="U615" i="4"/>
  <c r="V615" i="4"/>
  <c r="W615" i="4"/>
  <c r="X615" i="4"/>
  <c r="Y615" i="4"/>
  <c r="B616" i="4"/>
  <c r="C616" i="4"/>
  <c r="D616" i="4"/>
  <c r="AC616" i="4" s="1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AD619" i="4" s="1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AD623" i="4" s="1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AD625" i="4"/>
  <c r="B626" i="4"/>
  <c r="C626" i="4"/>
  <c r="D626" i="4"/>
  <c r="E626" i="4"/>
  <c r="F626" i="4"/>
  <c r="G626" i="4"/>
  <c r="H626" i="4"/>
  <c r="I626" i="4"/>
  <c r="AC626" i="4" s="1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AD628" i="4" s="1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AD629" i="4" s="1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AD633" i="4" s="1"/>
  <c r="Q633" i="4"/>
  <c r="R633" i="4"/>
  <c r="S633" i="4"/>
  <c r="T633" i="4"/>
  <c r="U633" i="4"/>
  <c r="V633" i="4"/>
  <c r="W633" i="4"/>
  <c r="X633" i="4"/>
  <c r="Y633" i="4"/>
  <c r="B634" i="4"/>
  <c r="C634" i="4"/>
  <c r="D634" i="4"/>
  <c r="AC634" i="4" s="1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AD637" i="4" s="1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AC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AC640" i="4" s="1"/>
  <c r="F640" i="4"/>
  <c r="G640" i="4"/>
  <c r="H640" i="4"/>
  <c r="I640" i="4"/>
  <c r="J640" i="4"/>
  <c r="K640" i="4"/>
  <c r="L640" i="4"/>
  <c r="M640" i="4"/>
  <c r="AD640" i="4" s="1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AD645" i="4" s="1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AC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AD648" i="4" s="1"/>
  <c r="N648" i="4"/>
  <c r="O648" i="4"/>
  <c r="P648" i="4"/>
  <c r="Q648" i="4"/>
  <c r="R648" i="4"/>
  <c r="S648" i="4"/>
  <c r="T648" i="4"/>
  <c r="U648" i="4"/>
  <c r="V648" i="4"/>
  <c r="W648" i="4"/>
  <c r="X648" i="4"/>
  <c r="Y648" i="4"/>
  <c r="AC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C650" i="4"/>
  <c r="D650" i="4"/>
  <c r="E650" i="4"/>
  <c r="F650" i="4"/>
  <c r="G650" i="4"/>
  <c r="H650" i="4"/>
  <c r="AC650" i="4" s="1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AC652" i="4"/>
  <c r="AD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AC657" i="4"/>
  <c r="AD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AD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AD663" i="4" s="1"/>
  <c r="N663" i="4"/>
  <c r="O663" i="4"/>
  <c r="P663" i="4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AD664" i="4" s="1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AD665" i="4" s="1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AC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AD669" i="4" s="1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AC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AC672" i="4"/>
  <c r="AD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AD673" i="4" s="1"/>
  <c r="Q673" i="4"/>
  <c r="R673" i="4"/>
  <c r="S673" i="4"/>
  <c r="T673" i="4"/>
  <c r="U673" i="4"/>
  <c r="V673" i="4"/>
  <c r="W673" i="4"/>
  <c r="X673" i="4"/>
  <c r="Y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AD677" i="4" s="1"/>
  <c r="N677" i="4"/>
  <c r="O677" i="4"/>
  <c r="P677" i="4"/>
  <c r="Q677" i="4"/>
  <c r="R677" i="4"/>
  <c r="S677" i="4"/>
  <c r="T677" i="4"/>
  <c r="U677" i="4"/>
  <c r="V677" i="4"/>
  <c r="W677" i="4"/>
  <c r="X677" i="4"/>
  <c r="Y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B680" i="4"/>
  <c r="C680" i="4"/>
  <c r="AC680" i="4" s="1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B681" i="4"/>
  <c r="C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B682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AD682" i="4" s="1"/>
  <c r="O682" i="4"/>
  <c r="P682" i="4"/>
  <c r="Q682" i="4"/>
  <c r="R682" i="4"/>
  <c r="S682" i="4"/>
  <c r="T682" i="4"/>
  <c r="U682" i="4"/>
  <c r="V682" i="4"/>
  <c r="W682" i="4"/>
  <c r="X682" i="4"/>
  <c r="Y682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B685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AD685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AD687" i="4" s="1"/>
  <c r="N687" i="4"/>
  <c r="O687" i="4"/>
  <c r="P687" i="4"/>
  <c r="Q687" i="4"/>
  <c r="R687" i="4"/>
  <c r="S687" i="4"/>
  <c r="T687" i="4"/>
  <c r="U687" i="4"/>
  <c r="V687" i="4"/>
  <c r="W687" i="4"/>
  <c r="X687" i="4"/>
  <c r="Y687" i="4"/>
  <c r="B688" i="4"/>
  <c r="C688" i="4"/>
  <c r="D688" i="4"/>
  <c r="E688" i="4"/>
  <c r="F688" i="4"/>
  <c r="G688" i="4"/>
  <c r="H688" i="4"/>
  <c r="I688" i="4"/>
  <c r="J688" i="4"/>
  <c r="K688" i="4"/>
  <c r="L688" i="4"/>
  <c r="M688" i="4"/>
  <c r="AD688" i="4" s="1"/>
  <c r="N688" i="4"/>
  <c r="O688" i="4"/>
  <c r="P688" i="4"/>
  <c r="Q688" i="4"/>
  <c r="R688" i="4"/>
  <c r="S688" i="4"/>
  <c r="T688" i="4"/>
  <c r="U688" i="4"/>
  <c r="V688" i="4"/>
  <c r="W688" i="4"/>
  <c r="X688" i="4"/>
  <c r="Y688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AD689" i="4" s="1"/>
  <c r="N689" i="4"/>
  <c r="O689" i="4"/>
  <c r="P689" i="4"/>
  <c r="Q689" i="4"/>
  <c r="R689" i="4"/>
  <c r="S689" i="4"/>
  <c r="T689" i="4"/>
  <c r="U689" i="4"/>
  <c r="V689" i="4"/>
  <c r="W689" i="4"/>
  <c r="X689" i="4"/>
  <c r="Y689" i="4"/>
  <c r="B690" i="4"/>
  <c r="C690" i="4"/>
  <c r="D690" i="4"/>
  <c r="AC690" i="4" s="1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B692" i="4"/>
  <c r="C692" i="4"/>
  <c r="AC692" i="4" s="1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AD692" i="4"/>
  <c r="B693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B694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AD697" i="4" s="1"/>
  <c r="N697" i="4"/>
  <c r="O697" i="4"/>
  <c r="P697" i="4"/>
  <c r="Q697" i="4"/>
  <c r="R697" i="4"/>
  <c r="S697" i="4"/>
  <c r="T697" i="4"/>
  <c r="U697" i="4"/>
  <c r="V697" i="4"/>
  <c r="W697" i="4"/>
  <c r="X697" i="4"/>
  <c r="Y697" i="4"/>
  <c r="B698" i="4"/>
  <c r="C698" i="4"/>
  <c r="D698" i="4"/>
  <c r="AC698" i="4" s="1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AD701" i="4" s="1"/>
  <c r="P701" i="4"/>
  <c r="Q701" i="4"/>
  <c r="R701" i="4"/>
  <c r="S701" i="4"/>
  <c r="T701" i="4"/>
  <c r="U701" i="4"/>
  <c r="V701" i="4"/>
  <c r="W701" i="4"/>
  <c r="X701" i="4"/>
  <c r="Y701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AC702" i="4"/>
  <c r="B703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B704" i="4"/>
  <c r="C704" i="4"/>
  <c r="D704" i="4"/>
  <c r="E704" i="4"/>
  <c r="AC704" i="4" s="1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B705" i="4"/>
  <c r="C705" i="4"/>
  <c r="D705" i="4"/>
  <c r="E705" i="4"/>
  <c r="F705" i="4"/>
  <c r="G705" i="4"/>
  <c r="H705" i="4"/>
  <c r="AC705" i="4" s="1"/>
  <c r="I705" i="4"/>
  <c r="J705" i="4"/>
  <c r="K705" i="4"/>
  <c r="L705" i="4"/>
  <c r="M705" i="4"/>
  <c r="N705" i="4"/>
  <c r="O705" i="4"/>
  <c r="P705" i="4"/>
  <c r="AD705" i="4" s="1"/>
  <c r="Q705" i="4"/>
  <c r="R705" i="4"/>
  <c r="S705" i="4"/>
  <c r="T705" i="4"/>
  <c r="U705" i="4"/>
  <c r="V705" i="4"/>
  <c r="W705" i="4"/>
  <c r="X705" i="4"/>
  <c r="Y705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W707" i="4"/>
  <c r="X707" i="4"/>
  <c r="Y707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AD708" i="4" s="1"/>
  <c r="Q708" i="4"/>
  <c r="R708" i="4"/>
  <c r="S708" i="4"/>
  <c r="T708" i="4"/>
  <c r="U708" i="4"/>
  <c r="V708" i="4"/>
  <c r="W708" i="4"/>
  <c r="X708" i="4"/>
  <c r="Y708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AD709" i="4" s="1"/>
  <c r="P709" i="4"/>
  <c r="Q709" i="4"/>
  <c r="R709" i="4"/>
  <c r="S709" i="4"/>
  <c r="T709" i="4"/>
  <c r="U709" i="4"/>
  <c r="V709" i="4"/>
  <c r="W709" i="4"/>
  <c r="X709" i="4"/>
  <c r="Y709" i="4"/>
  <c r="B710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B712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AC712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AD715" i="4" s="1"/>
  <c r="N715" i="4"/>
  <c r="O715" i="4"/>
  <c r="P715" i="4"/>
  <c r="Q715" i="4"/>
  <c r="R715" i="4"/>
  <c r="S715" i="4"/>
  <c r="T715" i="4"/>
  <c r="U715" i="4"/>
  <c r="V715" i="4"/>
  <c r="W715" i="4"/>
  <c r="X715" i="4"/>
  <c r="Y715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AD716" i="4" s="1"/>
  <c r="N716" i="4"/>
  <c r="O716" i="4"/>
  <c r="P716" i="4"/>
  <c r="Q716" i="4"/>
  <c r="R716" i="4"/>
  <c r="S716" i="4"/>
  <c r="T716" i="4"/>
  <c r="U716" i="4"/>
  <c r="V716" i="4"/>
  <c r="W716" i="4"/>
  <c r="X716" i="4"/>
  <c r="Y716" i="4"/>
  <c r="B717" i="4"/>
  <c r="C717" i="4"/>
  <c r="D717" i="4"/>
  <c r="E717" i="4"/>
  <c r="F717" i="4"/>
  <c r="G717" i="4"/>
  <c r="H717" i="4"/>
  <c r="I717" i="4"/>
  <c r="J717" i="4"/>
  <c r="K717" i="4"/>
  <c r="L717" i="4"/>
  <c r="M717" i="4"/>
  <c r="AD717" i="4" s="1"/>
  <c r="N717" i="4"/>
  <c r="O717" i="4"/>
  <c r="P717" i="4"/>
  <c r="Q717" i="4"/>
  <c r="R717" i="4"/>
  <c r="S717" i="4"/>
  <c r="T717" i="4"/>
  <c r="U717" i="4"/>
  <c r="V717" i="4"/>
  <c r="W717" i="4"/>
  <c r="X717" i="4"/>
  <c r="Y717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B719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AD721" i="4" s="1"/>
  <c r="P721" i="4"/>
  <c r="Q721" i="4"/>
  <c r="R721" i="4"/>
  <c r="S721" i="4"/>
  <c r="T721" i="4"/>
  <c r="U721" i="4"/>
  <c r="V721" i="4"/>
  <c r="W721" i="4"/>
  <c r="X721" i="4"/>
  <c r="Y721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B724" i="4"/>
  <c r="C724" i="4"/>
  <c r="AC724" i="4" s="1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AD724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B727" i="4"/>
  <c r="C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AD728" i="4" s="1"/>
  <c r="N728" i="4"/>
  <c r="O728" i="4"/>
  <c r="P728" i="4"/>
  <c r="Q728" i="4"/>
  <c r="R728" i="4"/>
  <c r="S728" i="4"/>
  <c r="T728" i="4"/>
  <c r="U728" i="4"/>
  <c r="V728" i="4"/>
  <c r="W728" i="4"/>
  <c r="X728" i="4"/>
  <c r="Y728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AD729" i="4" s="1"/>
  <c r="P729" i="4"/>
  <c r="Q729" i="4"/>
  <c r="R729" i="4"/>
  <c r="S729" i="4"/>
  <c r="T729" i="4"/>
  <c r="U729" i="4"/>
  <c r="V729" i="4"/>
  <c r="W729" i="4"/>
  <c r="X729" i="4"/>
  <c r="Y729" i="4"/>
  <c r="B730" i="4"/>
  <c r="C730" i="4"/>
  <c r="AC730" i="4" s="1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B731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AD733" i="4"/>
  <c r="B734" i="4"/>
  <c r="C734" i="4"/>
  <c r="D734" i="4"/>
  <c r="E734" i="4"/>
  <c r="F734" i="4"/>
  <c r="G734" i="4"/>
  <c r="H734" i="4"/>
  <c r="I734" i="4"/>
  <c r="AC734" i="4" s="1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AD736" i="4" s="1"/>
  <c r="N736" i="4"/>
  <c r="O736" i="4"/>
  <c r="P736" i="4"/>
  <c r="Q736" i="4"/>
  <c r="R736" i="4"/>
  <c r="S736" i="4"/>
  <c r="T736" i="4"/>
  <c r="U736" i="4"/>
  <c r="V736" i="4"/>
  <c r="W736" i="4"/>
  <c r="X736" i="4"/>
  <c r="Y736" i="4"/>
  <c r="B737" i="4"/>
  <c r="C737" i="4"/>
  <c r="D737" i="4"/>
  <c r="AC737" i="4" s="1"/>
  <c r="E737" i="4"/>
  <c r="F737" i="4"/>
  <c r="G737" i="4"/>
  <c r="H737" i="4"/>
  <c r="I737" i="4"/>
  <c r="J737" i="4"/>
  <c r="K737" i="4"/>
  <c r="L737" i="4"/>
  <c r="M737" i="4"/>
  <c r="N737" i="4"/>
  <c r="O737" i="4"/>
  <c r="P737" i="4"/>
  <c r="AD737" i="4" s="1"/>
  <c r="Q737" i="4"/>
  <c r="R737" i="4"/>
  <c r="S737" i="4"/>
  <c r="T737" i="4"/>
  <c r="U737" i="4"/>
  <c r="V737" i="4"/>
  <c r="W737" i="4"/>
  <c r="X737" i="4"/>
  <c r="Y737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B739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AD740" i="4" s="1"/>
  <c r="P740" i="4"/>
  <c r="Q740" i="4"/>
  <c r="R740" i="4"/>
  <c r="S740" i="4"/>
  <c r="T740" i="4"/>
  <c r="U740" i="4"/>
  <c r="V740" i="4"/>
  <c r="W740" i="4"/>
  <c r="X740" i="4"/>
  <c r="Y740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AD741" i="4" s="1"/>
  <c r="O741" i="4"/>
  <c r="P741" i="4"/>
  <c r="Q741" i="4"/>
  <c r="R741" i="4"/>
  <c r="S741" i="4"/>
  <c r="T741" i="4"/>
  <c r="U741" i="4"/>
  <c r="V741" i="4"/>
  <c r="W741" i="4"/>
  <c r="X741" i="4"/>
  <c r="Y741" i="4"/>
  <c r="AC741" i="4"/>
  <c r="B742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B743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AD745" i="4" s="1"/>
  <c r="Q745" i="4"/>
  <c r="R745" i="4"/>
  <c r="S745" i="4"/>
  <c r="T745" i="4"/>
  <c r="U745" i="4"/>
  <c r="V745" i="4"/>
  <c r="W745" i="4"/>
  <c r="X745" i="4"/>
  <c r="Y745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AD748" i="4" s="1"/>
  <c r="Q748" i="4"/>
  <c r="R748" i="4"/>
  <c r="S748" i="4"/>
  <c r="T748" i="4"/>
  <c r="U748" i="4"/>
  <c r="V748" i="4"/>
  <c r="W748" i="4"/>
  <c r="X748" i="4"/>
  <c r="Y748" i="4"/>
  <c r="B749" i="4"/>
  <c r="C749" i="4"/>
  <c r="AC749" i="4" s="1"/>
  <c r="D749" i="4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AD749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B751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AD753" i="4" s="1"/>
  <c r="N753" i="4"/>
  <c r="O753" i="4"/>
  <c r="P753" i="4"/>
  <c r="Q753" i="4"/>
  <c r="R753" i="4"/>
  <c r="S753" i="4"/>
  <c r="T753" i="4"/>
  <c r="U753" i="4"/>
  <c r="V753" i="4"/>
  <c r="W753" i="4"/>
  <c r="X753" i="4"/>
  <c r="Y753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B756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AD756" i="4" s="1"/>
  <c r="Q756" i="4"/>
  <c r="R756" i="4"/>
  <c r="S756" i="4"/>
  <c r="T756" i="4"/>
  <c r="U756" i="4"/>
  <c r="V756" i="4"/>
  <c r="W756" i="4"/>
  <c r="X756" i="4"/>
  <c r="Y756" i="4"/>
  <c r="B757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B758" i="4"/>
  <c r="C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B759" i="4"/>
  <c r="C759" i="4"/>
  <c r="D759" i="4"/>
  <c r="E759" i="4"/>
  <c r="F759" i="4"/>
  <c r="G759" i="4"/>
  <c r="H759" i="4"/>
  <c r="I759" i="4"/>
  <c r="J759" i="4"/>
  <c r="K759" i="4"/>
  <c r="L759" i="4"/>
  <c r="M759" i="4"/>
  <c r="AD759" i="4" s="1"/>
  <c r="N759" i="4"/>
  <c r="O759" i="4"/>
  <c r="P759" i="4"/>
  <c r="Q759" i="4"/>
  <c r="R759" i="4"/>
  <c r="S759" i="4"/>
  <c r="T759" i="4"/>
  <c r="U759" i="4"/>
  <c r="V759" i="4"/>
  <c r="W759" i="4"/>
  <c r="X759" i="4"/>
  <c r="Y759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AD760" i="4" s="1"/>
  <c r="N760" i="4"/>
  <c r="O760" i="4"/>
  <c r="P760" i="4"/>
  <c r="Q760" i="4"/>
  <c r="R760" i="4"/>
  <c r="S760" i="4"/>
  <c r="T760" i="4"/>
  <c r="U760" i="4"/>
  <c r="V760" i="4"/>
  <c r="W760" i="4"/>
  <c r="X760" i="4"/>
  <c r="Y760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AD761" i="4" s="1"/>
  <c r="N761" i="4"/>
  <c r="O761" i="4"/>
  <c r="P761" i="4"/>
  <c r="Q761" i="4"/>
  <c r="R761" i="4"/>
  <c r="S761" i="4"/>
  <c r="T761" i="4"/>
  <c r="U761" i="4"/>
  <c r="V761" i="4"/>
  <c r="W761" i="4"/>
  <c r="X761" i="4"/>
  <c r="Y761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B763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AC769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B771" i="4"/>
  <c r="C771" i="4"/>
  <c r="D771" i="4"/>
  <c r="E771" i="4"/>
  <c r="F771" i="4"/>
  <c r="G771" i="4"/>
  <c r="H771" i="4"/>
  <c r="I771" i="4"/>
  <c r="J771" i="4"/>
  <c r="K771" i="4"/>
  <c r="L771" i="4"/>
  <c r="M771" i="4"/>
  <c r="AD771" i="4" s="1"/>
  <c r="N771" i="4"/>
  <c r="O771" i="4"/>
  <c r="P771" i="4"/>
  <c r="Q771" i="4"/>
  <c r="R771" i="4"/>
  <c r="S771" i="4"/>
  <c r="T771" i="4"/>
  <c r="U771" i="4"/>
  <c r="V771" i="4"/>
  <c r="W771" i="4"/>
  <c r="X771" i="4"/>
  <c r="Y771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AD772" i="4" s="1"/>
  <c r="N772" i="4"/>
  <c r="O772" i="4"/>
  <c r="P772" i="4"/>
  <c r="Q772" i="4"/>
  <c r="R772" i="4"/>
  <c r="S772" i="4"/>
  <c r="T772" i="4"/>
  <c r="U772" i="4"/>
  <c r="V772" i="4"/>
  <c r="W772" i="4"/>
  <c r="X772" i="4"/>
  <c r="Y772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AD777" i="4" s="1"/>
  <c r="Q777" i="4"/>
  <c r="R777" i="4"/>
  <c r="S777" i="4"/>
  <c r="T777" i="4"/>
  <c r="U777" i="4"/>
  <c r="V777" i="4"/>
  <c r="W777" i="4"/>
  <c r="X777" i="4"/>
  <c r="Y777" i="4"/>
  <c r="B778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AD782" i="4" s="1"/>
  <c r="O782" i="4"/>
  <c r="P782" i="4"/>
  <c r="Q782" i="4"/>
  <c r="R782" i="4"/>
  <c r="S782" i="4"/>
  <c r="T782" i="4"/>
  <c r="U782" i="4"/>
  <c r="V782" i="4"/>
  <c r="W782" i="4"/>
  <c r="X782" i="4"/>
  <c r="Y782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AD785" i="4" s="1"/>
  <c r="O785" i="4"/>
  <c r="P785" i="4"/>
  <c r="Q785" i="4"/>
  <c r="R785" i="4"/>
  <c r="S785" i="4"/>
  <c r="T785" i="4"/>
  <c r="U785" i="4"/>
  <c r="V785" i="4"/>
  <c r="W785" i="4"/>
  <c r="X785" i="4"/>
  <c r="Y785" i="4"/>
  <c r="AC785" i="4"/>
  <c r="B786" i="4"/>
  <c r="C786" i="4"/>
  <c r="D786" i="4"/>
  <c r="E786" i="4"/>
  <c r="F786" i="4"/>
  <c r="G786" i="4"/>
  <c r="H786" i="4"/>
  <c r="AC786" i="4" s="1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W788" i="4"/>
  <c r="X788" i="4"/>
  <c r="Y788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AD789" i="4" s="1"/>
  <c r="Q789" i="4"/>
  <c r="R789" i="4"/>
  <c r="S789" i="4"/>
  <c r="T789" i="4"/>
  <c r="U789" i="4"/>
  <c r="V789" i="4"/>
  <c r="W789" i="4"/>
  <c r="X789" i="4"/>
  <c r="Y789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AD792" i="4" s="1"/>
  <c r="Q792" i="4"/>
  <c r="R792" i="4"/>
  <c r="S792" i="4"/>
  <c r="T792" i="4"/>
  <c r="U792" i="4"/>
  <c r="V792" i="4"/>
  <c r="W792" i="4"/>
  <c r="X792" i="4"/>
  <c r="Y792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B798" i="4"/>
  <c r="C798" i="4"/>
  <c r="D798" i="4"/>
  <c r="E798" i="4"/>
  <c r="AC798" i="4" s="1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B801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AD804" i="4"/>
  <c r="B805" i="4"/>
  <c r="C805" i="4"/>
  <c r="D805" i="4"/>
  <c r="E805" i="4"/>
  <c r="AC805" i="4" s="1"/>
  <c r="F805" i="4"/>
  <c r="G805" i="4"/>
  <c r="H805" i="4"/>
  <c r="I805" i="4"/>
  <c r="J805" i="4"/>
  <c r="K805" i="4"/>
  <c r="L805" i="4"/>
  <c r="M805" i="4"/>
  <c r="AD805" i="4" s="1"/>
  <c r="N805" i="4"/>
  <c r="O805" i="4"/>
  <c r="P805" i="4"/>
  <c r="Q805" i="4"/>
  <c r="R805" i="4"/>
  <c r="S805" i="4"/>
  <c r="T805" i="4"/>
  <c r="U805" i="4"/>
  <c r="V805" i="4"/>
  <c r="W805" i="4"/>
  <c r="X805" i="4"/>
  <c r="Y805" i="4"/>
  <c r="Y1124" i="4" s="1"/>
  <c r="B806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B809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AD809" i="4" s="1"/>
  <c r="Q809" i="4"/>
  <c r="R809" i="4"/>
  <c r="S809" i="4"/>
  <c r="T809" i="4"/>
  <c r="U809" i="4"/>
  <c r="V809" i="4"/>
  <c r="W809" i="4"/>
  <c r="X809" i="4"/>
  <c r="Y809" i="4"/>
  <c r="B810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AD812" i="4" s="1"/>
  <c r="Q812" i="4"/>
  <c r="R812" i="4"/>
  <c r="S812" i="4"/>
  <c r="T812" i="4"/>
  <c r="U812" i="4"/>
  <c r="V812" i="4"/>
  <c r="W812" i="4"/>
  <c r="X812" i="4"/>
  <c r="Y812" i="4"/>
  <c r="B813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B815" i="4"/>
  <c r="C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B817" i="4"/>
  <c r="C817" i="4"/>
  <c r="D817" i="4"/>
  <c r="E817" i="4"/>
  <c r="AC817" i="4" s="1"/>
  <c r="F817" i="4"/>
  <c r="G817" i="4"/>
  <c r="H817" i="4"/>
  <c r="I817" i="4"/>
  <c r="J817" i="4"/>
  <c r="K817" i="4"/>
  <c r="L817" i="4"/>
  <c r="M817" i="4"/>
  <c r="AD817" i="4" s="1"/>
  <c r="N817" i="4"/>
  <c r="O817" i="4"/>
  <c r="P817" i="4"/>
  <c r="Q817" i="4"/>
  <c r="R817" i="4"/>
  <c r="S817" i="4"/>
  <c r="T817" i="4"/>
  <c r="U817" i="4"/>
  <c r="V817" i="4"/>
  <c r="W817" i="4"/>
  <c r="X817" i="4"/>
  <c r="Y817" i="4"/>
  <c r="B818" i="4"/>
  <c r="C818" i="4"/>
  <c r="D818" i="4"/>
  <c r="E818" i="4"/>
  <c r="F818" i="4"/>
  <c r="G818" i="4"/>
  <c r="H818" i="4"/>
  <c r="AC818" i="4" s="1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B821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B823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AD824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W826" i="4"/>
  <c r="X826" i="4"/>
  <c r="Y826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B828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AD829" i="4" s="1"/>
  <c r="N829" i="4"/>
  <c r="O829" i="4"/>
  <c r="P829" i="4"/>
  <c r="Q829" i="4"/>
  <c r="R829" i="4"/>
  <c r="S829" i="4"/>
  <c r="T829" i="4"/>
  <c r="U829" i="4"/>
  <c r="V829" i="4"/>
  <c r="W829" i="4"/>
  <c r="X829" i="4"/>
  <c r="Y829" i="4"/>
  <c r="B830" i="4"/>
  <c r="C830" i="4"/>
  <c r="D830" i="4"/>
  <c r="AC830" i="4" s="1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B832" i="4"/>
  <c r="C832" i="4"/>
  <c r="AC832" i="4" s="1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AD832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B835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W835" i="4"/>
  <c r="X835" i="4"/>
  <c r="Y835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B837" i="4"/>
  <c r="C837" i="4"/>
  <c r="D837" i="4"/>
  <c r="E837" i="4"/>
  <c r="F837" i="4"/>
  <c r="G837" i="4"/>
  <c r="H837" i="4"/>
  <c r="I837" i="4"/>
  <c r="AC837" i="4" s="1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B838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B842" i="4"/>
  <c r="C842" i="4"/>
  <c r="AC842" i="4" s="1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B843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AD844" i="4" s="1"/>
  <c r="Q844" i="4"/>
  <c r="R844" i="4"/>
  <c r="S844" i="4"/>
  <c r="T844" i="4"/>
  <c r="U844" i="4"/>
  <c r="V844" i="4"/>
  <c r="W844" i="4"/>
  <c r="X844" i="4"/>
  <c r="Y844" i="4"/>
  <c r="B845" i="4"/>
  <c r="C845" i="4"/>
  <c r="AC845" i="4" s="1"/>
  <c r="D845" i="4"/>
  <c r="E845" i="4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W845" i="4"/>
  <c r="X845" i="4"/>
  <c r="Y845" i="4"/>
  <c r="B846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B847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AD849" i="4"/>
  <c r="B850" i="4"/>
  <c r="C850" i="4"/>
  <c r="AC850" i="4" s="1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B852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AD852" i="4" s="1"/>
  <c r="Q852" i="4"/>
  <c r="R852" i="4"/>
  <c r="S852" i="4"/>
  <c r="T852" i="4"/>
  <c r="U852" i="4"/>
  <c r="V852" i="4"/>
  <c r="W852" i="4"/>
  <c r="X852" i="4"/>
  <c r="Y852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B854" i="4"/>
  <c r="C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B855" i="4"/>
  <c r="C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AD861" i="4" s="1"/>
  <c r="N861" i="4"/>
  <c r="O861" i="4"/>
  <c r="P861" i="4"/>
  <c r="Q861" i="4"/>
  <c r="R861" i="4"/>
  <c r="S861" i="4"/>
  <c r="T861" i="4"/>
  <c r="U861" i="4"/>
  <c r="V861" i="4"/>
  <c r="W861" i="4"/>
  <c r="X861" i="4"/>
  <c r="Y861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AC862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AD864" i="4" s="1"/>
  <c r="N864" i="4"/>
  <c r="O864" i="4"/>
  <c r="P864" i="4"/>
  <c r="Q864" i="4"/>
  <c r="R864" i="4"/>
  <c r="S864" i="4"/>
  <c r="T864" i="4"/>
  <c r="U864" i="4"/>
  <c r="V864" i="4"/>
  <c r="W864" i="4"/>
  <c r="X864" i="4"/>
  <c r="Y864" i="4"/>
  <c r="B865" i="4"/>
  <c r="C865" i="4"/>
  <c r="D865" i="4"/>
  <c r="AC865" i="4" s="1"/>
  <c r="E865" i="4"/>
  <c r="F865" i="4"/>
  <c r="G865" i="4"/>
  <c r="H865" i="4"/>
  <c r="I865" i="4"/>
  <c r="J865" i="4"/>
  <c r="K865" i="4"/>
  <c r="L865" i="4"/>
  <c r="M865" i="4"/>
  <c r="N865" i="4"/>
  <c r="O865" i="4"/>
  <c r="P865" i="4"/>
  <c r="AD865" i="4" s="1"/>
  <c r="Q865" i="4"/>
  <c r="R865" i="4"/>
  <c r="S865" i="4"/>
  <c r="T865" i="4"/>
  <c r="U865" i="4"/>
  <c r="V865" i="4"/>
  <c r="W865" i="4"/>
  <c r="X865" i="4"/>
  <c r="Y865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AD869" i="4" s="1"/>
  <c r="N869" i="4"/>
  <c r="O869" i="4"/>
  <c r="P869" i="4"/>
  <c r="Q869" i="4"/>
  <c r="R869" i="4"/>
  <c r="S869" i="4"/>
  <c r="T869" i="4"/>
  <c r="U869" i="4"/>
  <c r="V869" i="4"/>
  <c r="W869" i="4"/>
  <c r="X869" i="4"/>
  <c r="Y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AC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B872" i="4"/>
  <c r="C872" i="4"/>
  <c r="AC872" i="4" s="1"/>
  <c r="D872" i="4"/>
  <c r="E872" i="4"/>
  <c r="F872" i="4"/>
  <c r="G872" i="4"/>
  <c r="H872" i="4"/>
  <c r="I872" i="4"/>
  <c r="J872" i="4"/>
  <c r="K872" i="4"/>
  <c r="L872" i="4"/>
  <c r="M872" i="4"/>
  <c r="AD872" i="4" s="1"/>
  <c r="N872" i="4"/>
  <c r="O872" i="4"/>
  <c r="P872" i="4"/>
  <c r="Q872" i="4"/>
  <c r="R872" i="4"/>
  <c r="S872" i="4"/>
  <c r="T872" i="4"/>
  <c r="U872" i="4"/>
  <c r="V872" i="4"/>
  <c r="W872" i="4"/>
  <c r="X872" i="4"/>
  <c r="Y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AD873" i="4" s="1"/>
  <c r="Q873" i="4"/>
  <c r="R873" i="4"/>
  <c r="S873" i="4"/>
  <c r="T873" i="4"/>
  <c r="U873" i="4"/>
  <c r="V873" i="4"/>
  <c r="W873" i="4"/>
  <c r="X873" i="4"/>
  <c r="Y873" i="4"/>
  <c r="B874" i="4"/>
  <c r="C874" i="4"/>
  <c r="D874" i="4"/>
  <c r="AC874" i="4" s="1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B876" i="4"/>
  <c r="C876" i="4"/>
  <c r="AC876" i="4" s="1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A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AD881" i="4" s="1"/>
  <c r="N881" i="4"/>
  <c r="O881" i="4"/>
  <c r="P881" i="4"/>
  <c r="Q881" i="4"/>
  <c r="R881" i="4"/>
  <c r="S881" i="4"/>
  <c r="T881" i="4"/>
  <c r="U881" i="4"/>
  <c r="V881" i="4"/>
  <c r="W881" i="4"/>
  <c r="X881" i="4"/>
  <c r="Y881" i="4"/>
  <c r="B882" i="4"/>
  <c r="C882" i="4"/>
  <c r="D882" i="4"/>
  <c r="AC882" i="4" s="1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B884" i="4"/>
  <c r="C884" i="4"/>
  <c r="AC884" i="4" s="1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A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B888" i="4"/>
  <c r="C888" i="4"/>
  <c r="AC888" i="4" s="1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AD889" i="4" s="1"/>
  <c r="Q889" i="4"/>
  <c r="R889" i="4"/>
  <c r="S889" i="4"/>
  <c r="T889" i="4"/>
  <c r="U889" i="4"/>
  <c r="V889" i="4"/>
  <c r="W889" i="4"/>
  <c r="X889" i="4"/>
  <c r="Y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AD893" i="4" s="1"/>
  <c r="Q893" i="4"/>
  <c r="R893" i="4"/>
  <c r="S893" i="4"/>
  <c r="T893" i="4"/>
  <c r="U893" i="4"/>
  <c r="V893" i="4"/>
  <c r="W893" i="4"/>
  <c r="X893" i="4"/>
  <c r="Y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AD896" i="4" s="1"/>
  <c r="N896" i="4"/>
  <c r="O896" i="4"/>
  <c r="P896" i="4"/>
  <c r="Q896" i="4"/>
  <c r="R896" i="4"/>
  <c r="S896" i="4"/>
  <c r="T896" i="4"/>
  <c r="U896" i="4"/>
  <c r="V896" i="4"/>
  <c r="W896" i="4"/>
  <c r="X896" i="4"/>
  <c r="Y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AD898" i="4" s="1"/>
  <c r="O898" i="4"/>
  <c r="P898" i="4"/>
  <c r="Q898" i="4"/>
  <c r="R898" i="4"/>
  <c r="S898" i="4"/>
  <c r="T898" i="4"/>
  <c r="U898" i="4"/>
  <c r="V898" i="4"/>
  <c r="W898" i="4"/>
  <c r="X898" i="4"/>
  <c r="Y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AD901" i="4"/>
  <c r="B902" i="4"/>
  <c r="C902" i="4"/>
  <c r="D902" i="4"/>
  <c r="E902" i="4"/>
  <c r="F902" i="4"/>
  <c r="G902" i="4"/>
  <c r="H902" i="4"/>
  <c r="I902" i="4"/>
  <c r="AC902" i="4" s="1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B904" i="4"/>
  <c r="C904" i="4"/>
  <c r="AC904" i="4" s="1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AD905" i="4" s="1"/>
  <c r="Q905" i="4"/>
  <c r="R905" i="4"/>
  <c r="S905" i="4"/>
  <c r="T905" i="4"/>
  <c r="U905" i="4"/>
  <c r="V905" i="4"/>
  <c r="W905" i="4"/>
  <c r="X905" i="4"/>
  <c r="Y905" i="4"/>
  <c r="B906" i="4"/>
  <c r="C906" i="4"/>
  <c r="D906" i="4"/>
  <c r="AC906" i="4" s="1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B908" i="4"/>
  <c r="C908" i="4"/>
  <c r="AC908" i="4" s="1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AD910" i="4" s="1"/>
  <c r="O910" i="4"/>
  <c r="P910" i="4"/>
  <c r="Q910" i="4"/>
  <c r="R910" i="4"/>
  <c r="S910" i="4"/>
  <c r="T910" i="4"/>
  <c r="U910" i="4"/>
  <c r="V910" i="4"/>
  <c r="W910" i="4"/>
  <c r="X910" i="4"/>
  <c r="Y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AD913" i="4"/>
  <c r="B914" i="4"/>
  <c r="C914" i="4"/>
  <c r="AC914" i="4" s="1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B916" i="4"/>
  <c r="C916" i="4"/>
  <c r="D916" i="4"/>
  <c r="AC916" i="4" s="1"/>
  <c r="E916" i="4"/>
  <c r="F916" i="4"/>
  <c r="G916" i="4"/>
  <c r="H916" i="4"/>
  <c r="I916" i="4"/>
  <c r="J916" i="4"/>
  <c r="K916" i="4"/>
  <c r="L916" i="4"/>
  <c r="M916" i="4"/>
  <c r="N916" i="4"/>
  <c r="AD916" i="4" s="1"/>
  <c r="O916" i="4"/>
  <c r="P916" i="4"/>
  <c r="Q916" i="4"/>
  <c r="R916" i="4"/>
  <c r="S916" i="4"/>
  <c r="T916" i="4"/>
  <c r="U916" i="4"/>
  <c r="V916" i="4"/>
  <c r="W916" i="4"/>
  <c r="X916" i="4"/>
  <c r="Y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AD921" i="4"/>
  <c r="B922" i="4"/>
  <c r="C922" i="4"/>
  <c r="AC922" i="4" s="1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AD925" i="4" s="1"/>
  <c r="Q925" i="4"/>
  <c r="R925" i="4"/>
  <c r="S925" i="4"/>
  <c r="T925" i="4"/>
  <c r="U925" i="4"/>
  <c r="V925" i="4"/>
  <c r="W925" i="4"/>
  <c r="X925" i="4"/>
  <c r="Y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B928" i="4"/>
  <c r="C928" i="4"/>
  <c r="AC928" i="4" s="1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A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B936" i="4"/>
  <c r="C936" i="4"/>
  <c r="AC936" i="4" s="1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AD937" i="4" s="1"/>
  <c r="Q937" i="4"/>
  <c r="R937" i="4"/>
  <c r="S937" i="4"/>
  <c r="T937" i="4"/>
  <c r="U937" i="4"/>
  <c r="V937" i="4"/>
  <c r="W937" i="4"/>
  <c r="X937" i="4"/>
  <c r="Y937" i="4"/>
  <c r="B938" i="4"/>
  <c r="C938" i="4"/>
  <c r="D938" i="4"/>
  <c r="AC938" i="4" s="1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AD941" i="4" s="1"/>
  <c r="N941" i="4"/>
  <c r="O941" i="4"/>
  <c r="P941" i="4"/>
  <c r="Q941" i="4"/>
  <c r="R941" i="4"/>
  <c r="S941" i="4"/>
  <c r="T941" i="4"/>
  <c r="U941" i="4"/>
  <c r="V941" i="4"/>
  <c r="W941" i="4"/>
  <c r="X941" i="4"/>
  <c r="Y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AD945" i="4"/>
  <c r="B946" i="4"/>
  <c r="C946" i="4"/>
  <c r="AC946" i="4" s="1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B948" i="4"/>
  <c r="C948" i="4"/>
  <c r="D948" i="4"/>
  <c r="AC948" i="4" s="1"/>
  <c r="E948" i="4"/>
  <c r="F948" i="4"/>
  <c r="G948" i="4"/>
  <c r="H948" i="4"/>
  <c r="I948" i="4"/>
  <c r="J948" i="4"/>
  <c r="K948" i="4"/>
  <c r="L948" i="4"/>
  <c r="M948" i="4"/>
  <c r="N948" i="4"/>
  <c r="AD948" i="4" s="1"/>
  <c r="O948" i="4"/>
  <c r="P948" i="4"/>
  <c r="Q948" i="4"/>
  <c r="R948" i="4"/>
  <c r="S948" i="4"/>
  <c r="T948" i="4"/>
  <c r="U948" i="4"/>
  <c r="V948" i="4"/>
  <c r="W948" i="4"/>
  <c r="X948" i="4"/>
  <c r="Y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AD953" i="4"/>
  <c r="B954" i="4"/>
  <c r="C954" i="4"/>
  <c r="AC954" i="4" s="1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B958" i="4"/>
  <c r="C958" i="4"/>
  <c r="D958" i="4"/>
  <c r="AC958" i="4" s="1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B961" i="4"/>
  <c r="C961" i="4"/>
  <c r="AC961" i="4" s="1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AD962" i="4" s="1"/>
  <c r="O962" i="4"/>
  <c r="P962" i="4"/>
  <c r="Q962" i="4"/>
  <c r="R962" i="4"/>
  <c r="S962" i="4"/>
  <c r="T962" i="4"/>
  <c r="U962" i="4"/>
  <c r="V962" i="4"/>
  <c r="W962" i="4"/>
  <c r="X962" i="4"/>
  <c r="Y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A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AD965" i="4" s="1"/>
  <c r="N965" i="4"/>
  <c r="O965" i="4"/>
  <c r="P965" i="4"/>
  <c r="Q965" i="4"/>
  <c r="R965" i="4"/>
  <c r="S965" i="4"/>
  <c r="T965" i="4"/>
  <c r="U965" i="4"/>
  <c r="V965" i="4"/>
  <c r="W965" i="4"/>
  <c r="X965" i="4"/>
  <c r="Y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AD969" i="4" s="1"/>
  <c r="Q969" i="4"/>
  <c r="R969" i="4"/>
  <c r="S969" i="4"/>
  <c r="T969" i="4"/>
  <c r="U969" i="4"/>
  <c r="V969" i="4"/>
  <c r="W969" i="4"/>
  <c r="X969" i="4"/>
  <c r="Y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AD973" i="4" s="1"/>
  <c r="Q973" i="4"/>
  <c r="R973" i="4"/>
  <c r="S973" i="4"/>
  <c r="T973" i="4"/>
  <c r="U973" i="4"/>
  <c r="V973" i="4"/>
  <c r="W973" i="4"/>
  <c r="X973" i="4"/>
  <c r="Y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AD977" i="4" s="1"/>
  <c r="N977" i="4"/>
  <c r="O977" i="4"/>
  <c r="P977" i="4"/>
  <c r="Q977" i="4"/>
  <c r="R977" i="4"/>
  <c r="S977" i="4"/>
  <c r="T977" i="4"/>
  <c r="U977" i="4"/>
  <c r="V977" i="4"/>
  <c r="W977" i="4"/>
  <c r="X977" i="4"/>
  <c r="Y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AD980" i="4" s="1"/>
  <c r="O980" i="4"/>
  <c r="P980" i="4"/>
  <c r="Q980" i="4"/>
  <c r="R980" i="4"/>
  <c r="S980" i="4"/>
  <c r="T980" i="4"/>
  <c r="U980" i="4"/>
  <c r="V980" i="4"/>
  <c r="W980" i="4"/>
  <c r="X980" i="4"/>
  <c r="Y980" i="4"/>
  <c r="AC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AD981" i="4" s="1"/>
  <c r="Q981" i="4"/>
  <c r="R981" i="4"/>
  <c r="S981" i="4"/>
  <c r="T981" i="4"/>
  <c r="U981" i="4"/>
  <c r="V981" i="4"/>
  <c r="W981" i="4"/>
  <c r="X981" i="4"/>
  <c r="Y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AD984" i="4" s="1"/>
  <c r="Q984" i="4"/>
  <c r="R984" i="4"/>
  <c r="S984" i="4"/>
  <c r="T984" i="4"/>
  <c r="U984" i="4"/>
  <c r="V984" i="4"/>
  <c r="W984" i="4"/>
  <c r="X984" i="4"/>
  <c r="Y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AD985" i="4" s="1"/>
  <c r="N985" i="4"/>
  <c r="O985" i="4"/>
  <c r="P985" i="4"/>
  <c r="Q985" i="4"/>
  <c r="R985" i="4"/>
  <c r="S985" i="4"/>
  <c r="T985" i="4"/>
  <c r="U985" i="4"/>
  <c r="V985" i="4"/>
  <c r="W985" i="4"/>
  <c r="X985" i="4"/>
  <c r="Y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AD989" i="4"/>
  <c r="B990" i="4"/>
  <c r="C990" i="4"/>
  <c r="D990" i="4"/>
  <c r="E990" i="4"/>
  <c r="F990" i="4"/>
  <c r="G990" i="4"/>
  <c r="H990" i="4"/>
  <c r="I990" i="4"/>
  <c r="AC990" i="4" s="1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AD992" i="4" s="1"/>
  <c r="N992" i="4"/>
  <c r="O992" i="4"/>
  <c r="P992" i="4"/>
  <c r="Q992" i="4"/>
  <c r="R992" i="4"/>
  <c r="S992" i="4"/>
  <c r="T992" i="4"/>
  <c r="U992" i="4"/>
  <c r="V992" i="4"/>
  <c r="W992" i="4"/>
  <c r="X992" i="4"/>
  <c r="Y992" i="4"/>
  <c r="B993" i="4"/>
  <c r="C993" i="4"/>
  <c r="D993" i="4"/>
  <c r="AC993" i="4" s="1"/>
  <c r="E993" i="4"/>
  <c r="F993" i="4"/>
  <c r="G993" i="4"/>
  <c r="H993" i="4"/>
  <c r="I993" i="4"/>
  <c r="J993" i="4"/>
  <c r="K993" i="4"/>
  <c r="L993" i="4"/>
  <c r="M993" i="4"/>
  <c r="N993" i="4"/>
  <c r="O993" i="4"/>
  <c r="P993" i="4"/>
  <c r="AD993" i="4" s="1"/>
  <c r="Q993" i="4"/>
  <c r="R993" i="4"/>
  <c r="S993" i="4"/>
  <c r="T993" i="4"/>
  <c r="U993" i="4"/>
  <c r="V993" i="4"/>
  <c r="W993" i="4"/>
  <c r="X993" i="4"/>
  <c r="Y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AD996" i="4" s="1"/>
  <c r="N996" i="4"/>
  <c r="O996" i="4"/>
  <c r="P996" i="4"/>
  <c r="Q996" i="4"/>
  <c r="R996" i="4"/>
  <c r="S996" i="4"/>
  <c r="T996" i="4"/>
  <c r="U996" i="4"/>
  <c r="V996" i="4"/>
  <c r="W996" i="4"/>
  <c r="X996" i="4"/>
  <c r="Y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A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AD1003" i="4" s="1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AD1004" i="4" s="1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AD1008" i="4" s="1"/>
  <c r="Q1008" i="4"/>
  <c r="R1008" i="4"/>
  <c r="S1008" i="4"/>
  <c r="T1008" i="4"/>
  <c r="U1008" i="4"/>
  <c r="V1008" i="4"/>
  <c r="W1008" i="4"/>
  <c r="X1008" i="4"/>
  <c r="Y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B1015" i="4"/>
  <c r="C1015" i="4"/>
  <c r="AC1015" i="4" s="1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AC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AD1019" i="4" s="1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AD1020" i="4" s="1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B1021" i="4"/>
  <c r="C1021" i="4"/>
  <c r="D1021" i="4"/>
  <c r="AC1021" i="4" s="1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AD1024" i="4" s="1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AD1029" i="4" s="1"/>
  <c r="O1029" i="4"/>
  <c r="P1029" i="4"/>
  <c r="Q1029" i="4"/>
  <c r="R1029" i="4"/>
  <c r="S1029" i="4"/>
  <c r="T1029" i="4"/>
  <c r="U1029" i="4"/>
  <c r="V1029" i="4"/>
  <c r="W1029" i="4"/>
  <c r="X1029" i="4"/>
  <c r="Y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A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B1033" i="4"/>
  <c r="C1033" i="4"/>
  <c r="AC1033" i="4" s="1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AD1034" i="4" s="1"/>
  <c r="Q1034" i="4"/>
  <c r="R1034" i="4"/>
  <c r="S1034" i="4"/>
  <c r="T1034" i="4"/>
  <c r="U1034" i="4"/>
  <c r="V1034" i="4"/>
  <c r="W1034" i="4"/>
  <c r="X1034" i="4"/>
  <c r="Y1034" i="4"/>
  <c r="B1035" i="4"/>
  <c r="C1035" i="4"/>
  <c r="D1035" i="4"/>
  <c r="AC1035" i="4" s="1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B1037" i="4"/>
  <c r="C1037" i="4"/>
  <c r="AC1037" i="4" s="1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A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B1042" i="4"/>
  <c r="C1042" i="4"/>
  <c r="AC1042" i="4" s="1"/>
  <c r="D1042" i="4"/>
  <c r="E1042" i="4"/>
  <c r="F1042" i="4"/>
  <c r="G1042" i="4"/>
  <c r="H1042" i="4"/>
  <c r="I1042" i="4"/>
  <c r="J1042" i="4"/>
  <c r="K1042" i="4"/>
  <c r="L1042" i="4"/>
  <c r="M1042" i="4"/>
  <c r="AD1042" i="4" s="1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AD1045" i="4" s="1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A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AD1054" i="4" s="1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B1055" i="4"/>
  <c r="C1055" i="4"/>
  <c r="D1055" i="4"/>
  <c r="AC1055" i="4" s="1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B1058" i="4"/>
  <c r="C1058" i="4"/>
  <c r="D1058" i="4"/>
  <c r="E1058" i="4"/>
  <c r="J1058" i="4"/>
  <c r="L1058" i="4"/>
  <c r="M1058" i="4"/>
  <c r="N1058" i="4"/>
  <c r="O1058" i="4"/>
  <c r="S1058" i="4"/>
  <c r="T1058" i="4"/>
  <c r="U1058" i="4"/>
  <c r="W1058" i="4"/>
  <c r="AA1058" i="4"/>
  <c r="AB1058" i="4"/>
  <c r="J1059" i="4"/>
  <c r="X1059" i="4"/>
  <c r="AB1059" i="4"/>
  <c r="E1060" i="4"/>
  <c r="F1060" i="4"/>
  <c r="H1060" i="4"/>
  <c r="M1060" i="4"/>
  <c r="N1060" i="4"/>
  <c r="U1060" i="4"/>
  <c r="V1060" i="4"/>
  <c r="W1060" i="4"/>
  <c r="X1060" i="4"/>
  <c r="Z1060" i="4"/>
  <c r="F1061" i="4"/>
  <c r="G1061" i="4"/>
  <c r="K1061" i="4"/>
  <c r="M1061" i="4"/>
  <c r="N1061" i="4"/>
  <c r="T1061" i="4"/>
  <c r="U1061" i="4"/>
  <c r="V1061" i="4"/>
  <c r="W1061" i="4"/>
  <c r="D1062" i="4"/>
  <c r="E1062" i="4"/>
  <c r="F1062" i="4"/>
  <c r="I1062" i="4"/>
  <c r="K1062" i="4"/>
  <c r="L1062" i="4"/>
  <c r="M1062" i="4"/>
  <c r="N1062" i="4"/>
  <c r="Q1062" i="4"/>
  <c r="R1062" i="4"/>
  <c r="S1062" i="4"/>
  <c r="T1062" i="4"/>
  <c r="U1062" i="4"/>
  <c r="V1062" i="4"/>
  <c r="C1063" i="4"/>
  <c r="Q1063" i="4"/>
  <c r="R1063" i="4"/>
  <c r="S1063" i="4"/>
  <c r="E1064" i="4"/>
  <c r="F1064" i="4"/>
  <c r="G1064" i="4"/>
  <c r="M1064" i="4"/>
  <c r="N1064" i="4"/>
  <c r="Q1064" i="4"/>
  <c r="U1064" i="4"/>
  <c r="D1065" i="4"/>
  <c r="E1065" i="4"/>
  <c r="F1065" i="4"/>
  <c r="H1065" i="4"/>
  <c r="L1065" i="4"/>
  <c r="M1065" i="4"/>
  <c r="P1065" i="4"/>
  <c r="T1065" i="4"/>
  <c r="U1065" i="4"/>
  <c r="X1065" i="4"/>
  <c r="C1066" i="4"/>
  <c r="D1066" i="4"/>
  <c r="E1066" i="4"/>
  <c r="F1066" i="4"/>
  <c r="N1066" i="4"/>
  <c r="T1066" i="4"/>
  <c r="U1066" i="4"/>
  <c r="D1067" i="4"/>
  <c r="E1067" i="4"/>
  <c r="F1067" i="4"/>
  <c r="N1067" i="4"/>
  <c r="T1067" i="4"/>
  <c r="U1067" i="4"/>
  <c r="C1068" i="4"/>
  <c r="D1068" i="4"/>
  <c r="I1068" i="4"/>
  <c r="J1068" i="4"/>
  <c r="K1068" i="4"/>
  <c r="Q1068" i="4"/>
  <c r="R1068" i="4"/>
  <c r="S1068" i="4"/>
  <c r="T1068" i="4"/>
  <c r="D1069" i="4"/>
  <c r="H1069" i="4"/>
  <c r="Q1069" i="4"/>
  <c r="R1069" i="4"/>
  <c r="X1069" i="4"/>
  <c r="C1070" i="4"/>
  <c r="G1070" i="4"/>
  <c r="I1070" i="4"/>
  <c r="O1070" i="4"/>
  <c r="Q1070" i="4"/>
  <c r="S1070" i="4"/>
  <c r="W1070" i="4"/>
  <c r="F1071" i="4"/>
  <c r="G1071" i="4"/>
  <c r="J1071" i="4"/>
  <c r="Q1071" i="4"/>
  <c r="V1071" i="4"/>
  <c r="W1071" i="4"/>
  <c r="X1071" i="4"/>
  <c r="E1072" i="4"/>
  <c r="F1072" i="4"/>
  <c r="G1072" i="4"/>
  <c r="M1072" i="4"/>
  <c r="N1072" i="4"/>
  <c r="U1072" i="4"/>
  <c r="V1072" i="4"/>
  <c r="W1072" i="4"/>
  <c r="H1073" i="4"/>
  <c r="L1073" i="4"/>
  <c r="T1073" i="4"/>
  <c r="U1073" i="4"/>
  <c r="F1074" i="4"/>
  <c r="G1074" i="4"/>
  <c r="M1074" i="4"/>
  <c r="U1074" i="4"/>
  <c r="W1074" i="4"/>
  <c r="B1075" i="4"/>
  <c r="D1075" i="4"/>
  <c r="E1075" i="4"/>
  <c r="F1075" i="4"/>
  <c r="J1075" i="4"/>
  <c r="K1075" i="4"/>
  <c r="L1075" i="4"/>
  <c r="M1075" i="4"/>
  <c r="N1075" i="4"/>
  <c r="T1075" i="4"/>
  <c r="U1075" i="4"/>
  <c r="V1075" i="4"/>
  <c r="B1077" i="4"/>
  <c r="I1077" i="4"/>
  <c r="L1077" i="4"/>
  <c r="T1077" i="4"/>
  <c r="G1078" i="4"/>
  <c r="H1078" i="4"/>
  <c r="I1078" i="4"/>
  <c r="O1078" i="4"/>
  <c r="P1078" i="4"/>
  <c r="W1078" i="4"/>
  <c r="X1078" i="4"/>
  <c r="J1079" i="4"/>
  <c r="N1079" i="4"/>
  <c r="W1079" i="4"/>
  <c r="I1080" i="4"/>
  <c r="O1080" i="4"/>
  <c r="P1080" i="4"/>
  <c r="X1080" i="4"/>
  <c r="P1081" i="4"/>
  <c r="X1081" i="4"/>
  <c r="A1082" i="4"/>
  <c r="C1082" i="4"/>
  <c r="L1082" i="4"/>
  <c r="M1082" i="4"/>
  <c r="A1083" i="4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B1083" i="4"/>
  <c r="J1083" i="4"/>
  <c r="K1083" i="4"/>
  <c r="P1083" i="4"/>
  <c r="T1083" i="4"/>
  <c r="X1083" i="4"/>
  <c r="H1084" i="4"/>
  <c r="N1084" i="4"/>
  <c r="O1084" i="4"/>
  <c r="X1084" i="4"/>
  <c r="H1085" i="4"/>
  <c r="M1085" i="4"/>
  <c r="N1085" i="4"/>
  <c r="U1085" i="4"/>
  <c r="V1085" i="4"/>
  <c r="D1086" i="4"/>
  <c r="E1086" i="4"/>
  <c r="F1086" i="4"/>
  <c r="J1086" i="4"/>
  <c r="K1086" i="4"/>
  <c r="L1086" i="4"/>
  <c r="M1086" i="4"/>
  <c r="T1086" i="4"/>
  <c r="U1086" i="4"/>
  <c r="H1087" i="4"/>
  <c r="K1087" i="4"/>
  <c r="L1087" i="4"/>
  <c r="T1087" i="4"/>
  <c r="X1087" i="4"/>
  <c r="G1088" i="4"/>
  <c r="N1088" i="4"/>
  <c r="O1088" i="4"/>
  <c r="R1088" i="4"/>
  <c r="W1088" i="4"/>
  <c r="F1089" i="4"/>
  <c r="G1089" i="4"/>
  <c r="H1089" i="4"/>
  <c r="L1089" i="4"/>
  <c r="N1089" i="4"/>
  <c r="O1089" i="4"/>
  <c r="V1089" i="4"/>
  <c r="W1089" i="4"/>
  <c r="X1089" i="4"/>
  <c r="E1090" i="4"/>
  <c r="K1090" i="4"/>
  <c r="S1090" i="4"/>
  <c r="T1090" i="4"/>
  <c r="U1090" i="4"/>
  <c r="D1091" i="4"/>
  <c r="H1091" i="4"/>
  <c r="K1091" i="4"/>
  <c r="L1091" i="4"/>
  <c r="S1091" i="4"/>
  <c r="T1091" i="4"/>
  <c r="X1091" i="4"/>
  <c r="F1092" i="4"/>
  <c r="G1092" i="4"/>
  <c r="H1092" i="4"/>
  <c r="N1092" i="4"/>
  <c r="Q1092" i="4"/>
  <c r="V1092" i="4"/>
  <c r="W1092" i="4"/>
  <c r="X1092" i="4"/>
  <c r="E1093" i="4"/>
  <c r="H1093" i="4"/>
  <c r="L1093" i="4"/>
  <c r="P1093" i="4"/>
  <c r="T1093" i="4"/>
  <c r="U1093" i="4"/>
  <c r="E1094" i="4"/>
  <c r="F1094" i="4"/>
  <c r="R1094" i="4"/>
  <c r="U1094" i="4"/>
  <c r="V1094" i="4"/>
  <c r="H1095" i="4"/>
  <c r="F1096" i="4"/>
  <c r="N1096" i="4"/>
  <c r="R1096" i="4"/>
  <c r="V1096" i="4"/>
  <c r="E1097" i="4"/>
  <c r="F1097" i="4"/>
  <c r="O1097" i="4"/>
  <c r="P1097" i="4"/>
  <c r="V1097" i="4"/>
  <c r="C1098" i="4"/>
  <c r="E1098" i="4"/>
  <c r="J1098" i="4"/>
  <c r="S1098" i="4"/>
  <c r="T1098" i="4"/>
  <c r="U1098" i="4"/>
  <c r="C1099" i="4"/>
  <c r="D1099" i="4"/>
  <c r="H1099" i="4"/>
  <c r="K1099" i="4"/>
  <c r="P1099" i="4"/>
  <c r="S1099" i="4"/>
  <c r="T1099" i="4"/>
  <c r="X1099" i="4"/>
  <c r="B1100" i="4"/>
  <c r="F1100" i="4"/>
  <c r="I1100" i="4"/>
  <c r="O1100" i="4"/>
  <c r="Q1100" i="4"/>
  <c r="V1100" i="4"/>
  <c r="D1101" i="4"/>
  <c r="E1101" i="4"/>
  <c r="F1101" i="4"/>
  <c r="O1101" i="4"/>
  <c r="E1102" i="4"/>
  <c r="F1102" i="4"/>
  <c r="M1102" i="4"/>
  <c r="N1102" i="4"/>
  <c r="S1102" i="4"/>
  <c r="U1102" i="4"/>
  <c r="V1102" i="4"/>
  <c r="B1103" i="4"/>
  <c r="D1103" i="4"/>
  <c r="H1103" i="4"/>
  <c r="L1103" i="4"/>
  <c r="R1103" i="4"/>
  <c r="S1103" i="4"/>
  <c r="B1104" i="4"/>
  <c r="F1104" i="4"/>
  <c r="N1104" i="4"/>
  <c r="O1104" i="4"/>
  <c r="P1104" i="4"/>
  <c r="D1105" i="4"/>
  <c r="E1105" i="4"/>
  <c r="F1105" i="4"/>
  <c r="L1105" i="4"/>
  <c r="M1105" i="4"/>
  <c r="N1105" i="4"/>
  <c r="O1105" i="4"/>
  <c r="P1105" i="4"/>
  <c r="T1105" i="4"/>
  <c r="V1105" i="4"/>
  <c r="X1105" i="4"/>
  <c r="E9" i="3"/>
  <c r="G9" i="3"/>
  <c r="J12" i="3"/>
  <c r="J13" i="3"/>
  <c r="J14" i="3"/>
  <c r="B15" i="3"/>
  <c r="C15" i="3"/>
  <c r="D15" i="3"/>
  <c r="E15" i="3"/>
  <c r="F15" i="3"/>
  <c r="G15" i="3"/>
  <c r="H15" i="3"/>
  <c r="I15" i="3"/>
  <c r="J15" i="3"/>
  <c r="B16" i="3"/>
  <c r="C16" i="3"/>
  <c r="D16" i="3"/>
  <c r="E16" i="3"/>
  <c r="F16" i="3"/>
  <c r="G16" i="3"/>
  <c r="H16" i="3"/>
  <c r="I16" i="3"/>
  <c r="J16" i="3"/>
  <c r="B17" i="3"/>
  <c r="C17" i="3"/>
  <c r="D17" i="3"/>
  <c r="E17" i="3"/>
  <c r="F17" i="3"/>
  <c r="G17" i="3"/>
  <c r="H17" i="3"/>
  <c r="I17" i="3"/>
  <c r="J17" i="3"/>
  <c r="B18" i="3"/>
  <c r="C18" i="3"/>
  <c r="D18" i="3"/>
  <c r="E18" i="3"/>
  <c r="F18" i="3"/>
  <c r="G18" i="3"/>
  <c r="H18" i="3"/>
  <c r="I18" i="3"/>
  <c r="J18" i="3"/>
  <c r="B19" i="3"/>
  <c r="C19" i="3"/>
  <c r="D19" i="3"/>
  <c r="E19" i="3"/>
  <c r="F19" i="3"/>
  <c r="G19" i="3"/>
  <c r="H19" i="3"/>
  <c r="I19" i="3"/>
  <c r="J19" i="3"/>
  <c r="B20" i="3"/>
  <c r="C20" i="3"/>
  <c r="D20" i="3"/>
  <c r="E20" i="3"/>
  <c r="F20" i="3"/>
  <c r="G20" i="3"/>
  <c r="H20" i="3"/>
  <c r="I20" i="3"/>
  <c r="J20" i="3"/>
  <c r="B21" i="3"/>
  <c r="C21" i="3"/>
  <c r="D21" i="3"/>
  <c r="E21" i="3"/>
  <c r="F21" i="3"/>
  <c r="G21" i="3"/>
  <c r="H21" i="3"/>
  <c r="I21" i="3"/>
  <c r="J21" i="3"/>
  <c r="B22" i="3"/>
  <c r="C22" i="3"/>
  <c r="D22" i="3"/>
  <c r="E22" i="3"/>
  <c r="F22" i="3"/>
  <c r="G22" i="3"/>
  <c r="H22" i="3"/>
  <c r="I22" i="3"/>
  <c r="J22" i="3"/>
  <c r="B23" i="3"/>
  <c r="C23" i="3"/>
  <c r="D23" i="3"/>
  <c r="E23" i="3"/>
  <c r="F23" i="3"/>
  <c r="G23" i="3"/>
  <c r="H23" i="3"/>
  <c r="I23" i="3"/>
  <c r="J23" i="3"/>
  <c r="B24" i="3"/>
  <c r="C24" i="3"/>
  <c r="D24" i="3"/>
  <c r="E24" i="3"/>
  <c r="F24" i="3"/>
  <c r="G24" i="3"/>
  <c r="H24" i="3"/>
  <c r="I24" i="3"/>
  <c r="J24" i="3"/>
  <c r="B25" i="3"/>
  <c r="C25" i="3"/>
  <c r="D25" i="3"/>
  <c r="E25" i="3"/>
  <c r="F25" i="3"/>
  <c r="G25" i="3"/>
  <c r="H25" i="3"/>
  <c r="I25" i="3"/>
  <c r="J25" i="3"/>
  <c r="B26" i="3"/>
  <c r="C26" i="3"/>
  <c r="D26" i="3"/>
  <c r="E26" i="3"/>
  <c r="F26" i="3"/>
  <c r="G26" i="3"/>
  <c r="H26" i="3"/>
  <c r="I26" i="3"/>
  <c r="J26" i="3"/>
  <c r="B27" i="3"/>
  <c r="C27" i="3"/>
  <c r="D27" i="3"/>
  <c r="E27" i="3"/>
  <c r="F27" i="3"/>
  <c r="G27" i="3"/>
  <c r="H27" i="3"/>
  <c r="I27" i="3"/>
  <c r="J27" i="3"/>
  <c r="B28" i="3"/>
  <c r="C28" i="3"/>
  <c r="D28" i="3"/>
  <c r="E28" i="3"/>
  <c r="F28" i="3"/>
  <c r="G28" i="3"/>
  <c r="H28" i="3"/>
  <c r="I28" i="3"/>
  <c r="J28" i="3"/>
  <c r="B29" i="3"/>
  <c r="C29" i="3"/>
  <c r="D29" i="3"/>
  <c r="E29" i="3"/>
  <c r="F29" i="3"/>
  <c r="G29" i="3"/>
  <c r="H29" i="3"/>
  <c r="I29" i="3"/>
  <c r="J29" i="3"/>
  <c r="B30" i="3"/>
  <c r="C30" i="3"/>
  <c r="D30" i="3"/>
  <c r="E30" i="3"/>
  <c r="F30" i="3"/>
  <c r="G30" i="3"/>
  <c r="H30" i="3"/>
  <c r="I30" i="3"/>
  <c r="J30" i="3"/>
  <c r="B31" i="3"/>
  <c r="C31" i="3"/>
  <c r="D31" i="3"/>
  <c r="E31" i="3"/>
  <c r="F31" i="3"/>
  <c r="G31" i="3"/>
  <c r="H31" i="3"/>
  <c r="I31" i="3"/>
  <c r="J31" i="3"/>
  <c r="B32" i="3"/>
  <c r="C32" i="3"/>
  <c r="D32" i="3"/>
  <c r="E32" i="3"/>
  <c r="F32" i="3"/>
  <c r="G32" i="3"/>
  <c r="H32" i="3"/>
  <c r="I32" i="3"/>
  <c r="J32" i="3"/>
  <c r="B33" i="3"/>
  <c r="C33" i="3"/>
  <c r="D33" i="3"/>
  <c r="E33" i="3"/>
  <c r="F33" i="3"/>
  <c r="G33" i="3"/>
  <c r="H33" i="3"/>
  <c r="I33" i="3"/>
  <c r="J33" i="3"/>
  <c r="B34" i="3"/>
  <c r="C34" i="3"/>
  <c r="D34" i="3"/>
  <c r="E34" i="3"/>
  <c r="F34" i="3"/>
  <c r="G34" i="3"/>
  <c r="H34" i="3"/>
  <c r="I34" i="3"/>
  <c r="J34" i="3"/>
  <c r="B35" i="3"/>
  <c r="C35" i="3"/>
  <c r="D35" i="3"/>
  <c r="E35" i="3"/>
  <c r="F35" i="3"/>
  <c r="G35" i="3"/>
  <c r="H35" i="3"/>
  <c r="I35" i="3"/>
  <c r="J35" i="3"/>
  <c r="B36" i="3"/>
  <c r="C36" i="3"/>
  <c r="D36" i="3"/>
  <c r="E36" i="3"/>
  <c r="F36" i="3"/>
  <c r="G36" i="3"/>
  <c r="H36" i="3"/>
  <c r="I36" i="3"/>
  <c r="J36" i="3"/>
  <c r="B37" i="3"/>
  <c r="C37" i="3"/>
  <c r="D37" i="3"/>
  <c r="E37" i="3"/>
  <c r="F37" i="3"/>
  <c r="G37" i="3"/>
  <c r="H37" i="3"/>
  <c r="I37" i="3"/>
  <c r="J37" i="3"/>
  <c r="B38" i="3"/>
  <c r="C38" i="3"/>
  <c r="D38" i="3"/>
  <c r="E38" i="3"/>
  <c r="F38" i="3"/>
  <c r="G38" i="3"/>
  <c r="H38" i="3"/>
  <c r="I38" i="3"/>
  <c r="J38" i="3"/>
  <c r="B39" i="3"/>
  <c r="C39" i="3"/>
  <c r="D39" i="3"/>
  <c r="E39" i="3"/>
  <c r="F39" i="3"/>
  <c r="G39" i="3"/>
  <c r="H39" i="3"/>
  <c r="I39" i="3"/>
  <c r="J39" i="3"/>
  <c r="B40" i="3"/>
  <c r="C40" i="3"/>
  <c r="D40" i="3"/>
  <c r="E40" i="3"/>
  <c r="F40" i="3"/>
  <c r="G40" i="3"/>
  <c r="H40" i="3"/>
  <c r="I40" i="3"/>
  <c r="J40" i="3"/>
  <c r="B41" i="3"/>
  <c r="C41" i="3"/>
  <c r="D41" i="3"/>
  <c r="E41" i="3"/>
  <c r="F41" i="3"/>
  <c r="G41" i="3"/>
  <c r="H41" i="3"/>
  <c r="I41" i="3"/>
  <c r="J41" i="3"/>
  <c r="B42" i="3"/>
  <c r="C42" i="3"/>
  <c r="D42" i="3"/>
  <c r="E42" i="3"/>
  <c r="F42" i="3"/>
  <c r="G42" i="3"/>
  <c r="H42" i="3"/>
  <c r="I42" i="3"/>
  <c r="J42" i="3"/>
  <c r="B43" i="3"/>
  <c r="C43" i="3"/>
  <c r="D43" i="3"/>
  <c r="E43" i="3"/>
  <c r="F43" i="3"/>
  <c r="G43" i="3"/>
  <c r="H43" i="3"/>
  <c r="I43" i="3"/>
  <c r="J43" i="3"/>
  <c r="B44" i="3"/>
  <c r="C44" i="3"/>
  <c r="D44" i="3"/>
  <c r="E44" i="3"/>
  <c r="F44" i="3"/>
  <c r="G44" i="3"/>
  <c r="H44" i="3"/>
  <c r="I44" i="3"/>
  <c r="J44" i="3"/>
  <c r="B45" i="3"/>
  <c r="C45" i="3"/>
  <c r="D45" i="3"/>
  <c r="E45" i="3"/>
  <c r="F45" i="3"/>
  <c r="G45" i="3"/>
  <c r="H45" i="3"/>
  <c r="I45" i="3"/>
  <c r="J45" i="3"/>
  <c r="B46" i="3"/>
  <c r="C46" i="3"/>
  <c r="D46" i="3"/>
  <c r="E46" i="3"/>
  <c r="F46" i="3"/>
  <c r="G46" i="3"/>
  <c r="H46" i="3"/>
  <c r="I46" i="3"/>
  <c r="J46" i="3"/>
  <c r="B47" i="3"/>
  <c r="C47" i="3"/>
  <c r="D47" i="3"/>
  <c r="E47" i="3"/>
  <c r="F47" i="3"/>
  <c r="G47" i="3"/>
  <c r="H47" i="3"/>
  <c r="I47" i="3"/>
  <c r="J47" i="3"/>
  <c r="B48" i="3"/>
  <c r="C48" i="3"/>
  <c r="D48" i="3"/>
  <c r="E48" i="3"/>
  <c r="F48" i="3"/>
  <c r="G48" i="3"/>
  <c r="H48" i="3"/>
  <c r="I48" i="3"/>
  <c r="J48" i="3"/>
  <c r="B49" i="3"/>
  <c r="C49" i="3"/>
  <c r="D49" i="3"/>
  <c r="E49" i="3"/>
  <c r="F49" i="3"/>
  <c r="G49" i="3"/>
  <c r="H49" i="3"/>
  <c r="I49" i="3"/>
  <c r="J49" i="3"/>
  <c r="B50" i="3"/>
  <c r="C50" i="3"/>
  <c r="D50" i="3"/>
  <c r="E50" i="3"/>
  <c r="F50" i="3"/>
  <c r="G50" i="3"/>
  <c r="H50" i="3"/>
  <c r="I50" i="3"/>
  <c r="J50" i="3"/>
  <c r="B51" i="3"/>
  <c r="C51" i="3"/>
  <c r="D51" i="3"/>
  <c r="E51" i="3"/>
  <c r="F51" i="3"/>
  <c r="G51" i="3"/>
  <c r="H51" i="3"/>
  <c r="I51" i="3"/>
  <c r="J51" i="3"/>
  <c r="B52" i="3"/>
  <c r="C52" i="3"/>
  <c r="D52" i="3"/>
  <c r="E52" i="3"/>
  <c r="F52" i="3"/>
  <c r="G52" i="3"/>
  <c r="H52" i="3"/>
  <c r="I52" i="3"/>
  <c r="J52" i="3"/>
  <c r="B53" i="3"/>
  <c r="C53" i="3"/>
  <c r="D53" i="3"/>
  <c r="E53" i="3"/>
  <c r="F53" i="3"/>
  <c r="G53" i="3"/>
  <c r="H53" i="3"/>
  <c r="I53" i="3"/>
  <c r="J53" i="3"/>
  <c r="B54" i="3"/>
  <c r="C54" i="3"/>
  <c r="D54" i="3"/>
  <c r="E54" i="3"/>
  <c r="F54" i="3"/>
  <c r="G54" i="3"/>
  <c r="H54" i="3"/>
  <c r="I54" i="3"/>
  <c r="J54" i="3"/>
  <c r="B55" i="3"/>
  <c r="C55" i="3"/>
  <c r="D55" i="3"/>
  <c r="E55" i="3"/>
  <c r="F55" i="3"/>
  <c r="G55" i="3"/>
  <c r="H55" i="3"/>
  <c r="I55" i="3"/>
  <c r="J55" i="3"/>
  <c r="B56" i="3"/>
  <c r="C56" i="3"/>
  <c r="D56" i="3"/>
  <c r="E56" i="3"/>
  <c r="F56" i="3"/>
  <c r="G56" i="3"/>
  <c r="H56" i="3"/>
  <c r="I56" i="3"/>
  <c r="J56" i="3"/>
  <c r="B57" i="3"/>
  <c r="C57" i="3"/>
  <c r="D57" i="3"/>
  <c r="E57" i="3"/>
  <c r="F57" i="3"/>
  <c r="G57" i="3"/>
  <c r="H57" i="3"/>
  <c r="I57" i="3"/>
  <c r="J57" i="3"/>
  <c r="B58" i="3"/>
  <c r="C58" i="3"/>
  <c r="D58" i="3"/>
  <c r="E58" i="3"/>
  <c r="F58" i="3"/>
  <c r="G58" i="3"/>
  <c r="H58" i="3"/>
  <c r="I58" i="3"/>
  <c r="J58" i="3"/>
  <c r="B59" i="3"/>
  <c r="C59" i="3"/>
  <c r="D59" i="3"/>
  <c r="E59" i="3"/>
  <c r="F59" i="3"/>
  <c r="G59" i="3"/>
  <c r="H59" i="3"/>
  <c r="I59" i="3"/>
  <c r="J59" i="3"/>
  <c r="B60" i="3"/>
  <c r="C60" i="3"/>
  <c r="D60" i="3"/>
  <c r="E60" i="3"/>
  <c r="F60" i="3"/>
  <c r="G60" i="3"/>
  <c r="H60" i="3"/>
  <c r="I60" i="3"/>
  <c r="J60" i="3"/>
  <c r="B61" i="3"/>
  <c r="C61" i="3"/>
  <c r="D61" i="3"/>
  <c r="E61" i="3"/>
  <c r="F61" i="3"/>
  <c r="G61" i="3"/>
  <c r="H61" i="3"/>
  <c r="I61" i="3"/>
  <c r="J61" i="3"/>
  <c r="B62" i="3"/>
  <c r="C62" i="3"/>
  <c r="D62" i="3"/>
  <c r="E62" i="3"/>
  <c r="F62" i="3"/>
  <c r="G62" i="3"/>
  <c r="H62" i="3"/>
  <c r="I62" i="3"/>
  <c r="J62" i="3"/>
  <c r="B63" i="3"/>
  <c r="C63" i="3"/>
  <c r="D63" i="3"/>
  <c r="E63" i="3"/>
  <c r="F63" i="3"/>
  <c r="G63" i="3"/>
  <c r="H63" i="3"/>
  <c r="I63" i="3"/>
  <c r="J63" i="3"/>
  <c r="B64" i="3"/>
  <c r="C64" i="3"/>
  <c r="D64" i="3"/>
  <c r="E64" i="3"/>
  <c r="F64" i="3"/>
  <c r="G64" i="3"/>
  <c r="H64" i="3"/>
  <c r="I64" i="3"/>
  <c r="J64" i="3"/>
  <c r="B65" i="3"/>
  <c r="C65" i="3"/>
  <c r="D65" i="3"/>
  <c r="E65" i="3"/>
  <c r="F65" i="3"/>
  <c r="G65" i="3"/>
  <c r="H65" i="3"/>
  <c r="I65" i="3"/>
  <c r="J65" i="3"/>
  <c r="B66" i="3"/>
  <c r="C66" i="3"/>
  <c r="D66" i="3"/>
  <c r="E66" i="3"/>
  <c r="F66" i="3"/>
  <c r="G66" i="3"/>
  <c r="H66" i="3"/>
  <c r="I66" i="3"/>
  <c r="J66" i="3"/>
  <c r="B67" i="3"/>
  <c r="C67" i="3"/>
  <c r="D67" i="3"/>
  <c r="E67" i="3"/>
  <c r="F67" i="3"/>
  <c r="G67" i="3"/>
  <c r="H67" i="3"/>
  <c r="I67" i="3"/>
  <c r="J67" i="3"/>
  <c r="B68" i="3"/>
  <c r="C68" i="3"/>
  <c r="D68" i="3"/>
  <c r="E68" i="3"/>
  <c r="F68" i="3"/>
  <c r="G68" i="3"/>
  <c r="H68" i="3"/>
  <c r="I68" i="3"/>
  <c r="J68" i="3"/>
  <c r="B69" i="3"/>
  <c r="C69" i="3"/>
  <c r="D69" i="3"/>
  <c r="E69" i="3"/>
  <c r="F69" i="3"/>
  <c r="G69" i="3"/>
  <c r="H69" i="3"/>
  <c r="I69" i="3"/>
  <c r="J69" i="3"/>
  <c r="B70" i="3"/>
  <c r="C70" i="3"/>
  <c r="D70" i="3"/>
  <c r="E70" i="3"/>
  <c r="F70" i="3"/>
  <c r="G70" i="3"/>
  <c r="H70" i="3"/>
  <c r="I70" i="3"/>
  <c r="J70" i="3"/>
  <c r="B71" i="3"/>
  <c r="C71" i="3"/>
  <c r="D71" i="3"/>
  <c r="E71" i="3"/>
  <c r="F71" i="3"/>
  <c r="G71" i="3"/>
  <c r="H71" i="3"/>
  <c r="I71" i="3"/>
  <c r="J71" i="3"/>
  <c r="B72" i="3"/>
  <c r="C72" i="3"/>
  <c r="D72" i="3"/>
  <c r="E72" i="3"/>
  <c r="F72" i="3"/>
  <c r="G72" i="3"/>
  <c r="H72" i="3"/>
  <c r="I72" i="3"/>
  <c r="J72" i="3"/>
  <c r="J1062" i="3" s="1"/>
  <c r="B73" i="3"/>
  <c r="C73" i="3"/>
  <c r="D73" i="3"/>
  <c r="E73" i="3"/>
  <c r="F73" i="3"/>
  <c r="G73" i="3"/>
  <c r="H73" i="3"/>
  <c r="I73" i="3"/>
  <c r="J73" i="3"/>
  <c r="B74" i="3"/>
  <c r="C74" i="3"/>
  <c r="D74" i="3"/>
  <c r="E74" i="3"/>
  <c r="F74" i="3"/>
  <c r="G74" i="3"/>
  <c r="H74" i="3"/>
  <c r="I74" i="3"/>
  <c r="J74" i="3"/>
  <c r="B75" i="3"/>
  <c r="C75" i="3"/>
  <c r="D75" i="3"/>
  <c r="E75" i="3"/>
  <c r="F75" i="3"/>
  <c r="G75" i="3"/>
  <c r="H75" i="3"/>
  <c r="I75" i="3"/>
  <c r="J75" i="3"/>
  <c r="B76" i="3"/>
  <c r="C76" i="3"/>
  <c r="D76" i="3"/>
  <c r="E76" i="3"/>
  <c r="F76" i="3"/>
  <c r="G76" i="3"/>
  <c r="H76" i="3"/>
  <c r="I76" i="3"/>
  <c r="J76" i="3"/>
  <c r="B77" i="3"/>
  <c r="C77" i="3"/>
  <c r="D77" i="3"/>
  <c r="E77" i="3"/>
  <c r="F77" i="3"/>
  <c r="G77" i="3"/>
  <c r="H77" i="3"/>
  <c r="I77" i="3"/>
  <c r="J77" i="3"/>
  <c r="B78" i="3"/>
  <c r="C78" i="3"/>
  <c r="D78" i="3"/>
  <c r="E78" i="3"/>
  <c r="F78" i="3"/>
  <c r="G78" i="3"/>
  <c r="H78" i="3"/>
  <c r="I78" i="3"/>
  <c r="J78" i="3"/>
  <c r="B79" i="3"/>
  <c r="C79" i="3"/>
  <c r="D79" i="3"/>
  <c r="E79" i="3"/>
  <c r="F79" i="3"/>
  <c r="G79" i="3"/>
  <c r="H79" i="3"/>
  <c r="I79" i="3"/>
  <c r="J79" i="3"/>
  <c r="B80" i="3"/>
  <c r="C80" i="3"/>
  <c r="D80" i="3"/>
  <c r="E80" i="3"/>
  <c r="F80" i="3"/>
  <c r="G80" i="3"/>
  <c r="H80" i="3"/>
  <c r="I80" i="3"/>
  <c r="J80" i="3"/>
  <c r="B81" i="3"/>
  <c r="C81" i="3"/>
  <c r="D81" i="3"/>
  <c r="E81" i="3"/>
  <c r="F81" i="3"/>
  <c r="G81" i="3"/>
  <c r="H81" i="3"/>
  <c r="I81" i="3"/>
  <c r="J81" i="3"/>
  <c r="B82" i="3"/>
  <c r="C82" i="3"/>
  <c r="D82" i="3"/>
  <c r="E82" i="3"/>
  <c r="F82" i="3"/>
  <c r="G82" i="3"/>
  <c r="H82" i="3"/>
  <c r="I82" i="3"/>
  <c r="J82" i="3"/>
  <c r="B83" i="3"/>
  <c r="C83" i="3"/>
  <c r="D83" i="3"/>
  <c r="E83" i="3"/>
  <c r="F83" i="3"/>
  <c r="G83" i="3"/>
  <c r="H83" i="3"/>
  <c r="I83" i="3"/>
  <c r="J83" i="3"/>
  <c r="B84" i="3"/>
  <c r="C84" i="3"/>
  <c r="D84" i="3"/>
  <c r="E84" i="3"/>
  <c r="F84" i="3"/>
  <c r="G84" i="3"/>
  <c r="H84" i="3"/>
  <c r="I84" i="3"/>
  <c r="J84" i="3"/>
  <c r="B85" i="3"/>
  <c r="C85" i="3"/>
  <c r="D85" i="3"/>
  <c r="E85" i="3"/>
  <c r="F85" i="3"/>
  <c r="G85" i="3"/>
  <c r="H85" i="3"/>
  <c r="I85" i="3"/>
  <c r="J85" i="3"/>
  <c r="B86" i="3"/>
  <c r="C86" i="3"/>
  <c r="D86" i="3"/>
  <c r="E86" i="3"/>
  <c r="F86" i="3"/>
  <c r="G86" i="3"/>
  <c r="H86" i="3"/>
  <c r="I86" i="3"/>
  <c r="J86" i="3"/>
  <c r="B87" i="3"/>
  <c r="C87" i="3"/>
  <c r="D87" i="3"/>
  <c r="E87" i="3"/>
  <c r="F87" i="3"/>
  <c r="G87" i="3"/>
  <c r="H87" i="3"/>
  <c r="I87" i="3"/>
  <c r="J87" i="3"/>
  <c r="J1063" i="3" s="1"/>
  <c r="B88" i="3"/>
  <c r="C88" i="3"/>
  <c r="D88" i="3"/>
  <c r="E88" i="3"/>
  <c r="F88" i="3"/>
  <c r="G88" i="3"/>
  <c r="H88" i="3"/>
  <c r="I88" i="3"/>
  <c r="J88" i="3"/>
  <c r="B89" i="3"/>
  <c r="C89" i="3"/>
  <c r="D89" i="3"/>
  <c r="E89" i="3"/>
  <c r="F89" i="3"/>
  <c r="G89" i="3"/>
  <c r="H89" i="3"/>
  <c r="I89" i="3"/>
  <c r="J89" i="3"/>
  <c r="B90" i="3"/>
  <c r="C90" i="3"/>
  <c r="D90" i="3"/>
  <c r="E90" i="3"/>
  <c r="F90" i="3"/>
  <c r="G90" i="3"/>
  <c r="H90" i="3"/>
  <c r="I90" i="3"/>
  <c r="J90" i="3"/>
  <c r="B91" i="3"/>
  <c r="C91" i="3"/>
  <c r="D91" i="3"/>
  <c r="E91" i="3"/>
  <c r="F91" i="3"/>
  <c r="G91" i="3"/>
  <c r="H91" i="3"/>
  <c r="I91" i="3"/>
  <c r="J91" i="3"/>
  <c r="B92" i="3"/>
  <c r="C92" i="3"/>
  <c r="D92" i="3"/>
  <c r="E92" i="3"/>
  <c r="F92" i="3"/>
  <c r="G92" i="3"/>
  <c r="H92" i="3"/>
  <c r="I92" i="3"/>
  <c r="J92" i="3"/>
  <c r="B93" i="3"/>
  <c r="C93" i="3"/>
  <c r="D93" i="3"/>
  <c r="E93" i="3"/>
  <c r="F93" i="3"/>
  <c r="G93" i="3"/>
  <c r="H93" i="3"/>
  <c r="I93" i="3"/>
  <c r="J93" i="3"/>
  <c r="B94" i="3"/>
  <c r="C94" i="3"/>
  <c r="D94" i="3"/>
  <c r="E94" i="3"/>
  <c r="F94" i="3"/>
  <c r="G94" i="3"/>
  <c r="H94" i="3"/>
  <c r="I94" i="3"/>
  <c r="J94" i="3"/>
  <c r="B95" i="3"/>
  <c r="C95" i="3"/>
  <c r="D95" i="3"/>
  <c r="E95" i="3"/>
  <c r="F95" i="3"/>
  <c r="G95" i="3"/>
  <c r="H95" i="3"/>
  <c r="I95" i="3"/>
  <c r="J95" i="3"/>
  <c r="B96" i="3"/>
  <c r="C96" i="3"/>
  <c r="D96" i="3"/>
  <c r="E96" i="3"/>
  <c r="F96" i="3"/>
  <c r="G96" i="3"/>
  <c r="H96" i="3"/>
  <c r="I96" i="3"/>
  <c r="J96" i="3"/>
  <c r="B97" i="3"/>
  <c r="C97" i="3"/>
  <c r="D97" i="3"/>
  <c r="E97" i="3"/>
  <c r="F97" i="3"/>
  <c r="G97" i="3"/>
  <c r="H97" i="3"/>
  <c r="I97" i="3"/>
  <c r="J97" i="3"/>
  <c r="B98" i="3"/>
  <c r="C98" i="3"/>
  <c r="D98" i="3"/>
  <c r="E98" i="3"/>
  <c r="F98" i="3"/>
  <c r="G98" i="3"/>
  <c r="H98" i="3"/>
  <c r="I98" i="3"/>
  <c r="J98" i="3"/>
  <c r="B99" i="3"/>
  <c r="C99" i="3"/>
  <c r="D99" i="3"/>
  <c r="E99" i="3"/>
  <c r="F99" i="3"/>
  <c r="G99" i="3"/>
  <c r="H99" i="3"/>
  <c r="I99" i="3"/>
  <c r="J99" i="3"/>
  <c r="B100" i="3"/>
  <c r="C100" i="3"/>
  <c r="D100" i="3"/>
  <c r="E100" i="3"/>
  <c r="F100" i="3"/>
  <c r="G100" i="3"/>
  <c r="H100" i="3"/>
  <c r="I100" i="3"/>
  <c r="J100" i="3"/>
  <c r="B101" i="3"/>
  <c r="C101" i="3"/>
  <c r="D101" i="3"/>
  <c r="E101" i="3"/>
  <c r="F101" i="3"/>
  <c r="G101" i="3"/>
  <c r="H101" i="3"/>
  <c r="I101" i="3"/>
  <c r="J101" i="3"/>
  <c r="B102" i="3"/>
  <c r="C102" i="3"/>
  <c r="D102" i="3"/>
  <c r="E102" i="3"/>
  <c r="F102" i="3"/>
  <c r="G102" i="3"/>
  <c r="H102" i="3"/>
  <c r="I102" i="3"/>
  <c r="J102" i="3"/>
  <c r="B103" i="3"/>
  <c r="C103" i="3"/>
  <c r="D103" i="3"/>
  <c r="E103" i="3"/>
  <c r="F103" i="3"/>
  <c r="G103" i="3"/>
  <c r="H103" i="3"/>
  <c r="I103" i="3"/>
  <c r="J103" i="3"/>
  <c r="B104" i="3"/>
  <c r="C104" i="3"/>
  <c r="D104" i="3"/>
  <c r="E104" i="3"/>
  <c r="F104" i="3"/>
  <c r="G104" i="3"/>
  <c r="H104" i="3"/>
  <c r="I104" i="3"/>
  <c r="J104" i="3"/>
  <c r="B105" i="3"/>
  <c r="C105" i="3"/>
  <c r="D105" i="3"/>
  <c r="E105" i="3"/>
  <c r="F105" i="3"/>
  <c r="G105" i="3"/>
  <c r="H105" i="3"/>
  <c r="I105" i="3"/>
  <c r="J105" i="3"/>
  <c r="B106" i="3"/>
  <c r="C106" i="3"/>
  <c r="D106" i="3"/>
  <c r="E106" i="3"/>
  <c r="F106" i="3"/>
  <c r="G106" i="3"/>
  <c r="H106" i="3"/>
  <c r="I106" i="3"/>
  <c r="J106" i="3"/>
  <c r="B107" i="3"/>
  <c r="C107" i="3"/>
  <c r="D107" i="3"/>
  <c r="E107" i="3"/>
  <c r="F107" i="3"/>
  <c r="G107" i="3"/>
  <c r="H107" i="3"/>
  <c r="I107" i="3"/>
  <c r="J107" i="3"/>
  <c r="B108" i="3"/>
  <c r="C108" i="3"/>
  <c r="D108" i="3"/>
  <c r="E108" i="3"/>
  <c r="F108" i="3"/>
  <c r="G108" i="3"/>
  <c r="H108" i="3"/>
  <c r="I108" i="3"/>
  <c r="J108" i="3"/>
  <c r="B109" i="3"/>
  <c r="C109" i="3"/>
  <c r="D109" i="3"/>
  <c r="E109" i="3"/>
  <c r="F109" i="3"/>
  <c r="G109" i="3"/>
  <c r="H109" i="3"/>
  <c r="I109" i="3"/>
  <c r="J109" i="3"/>
  <c r="B110" i="3"/>
  <c r="C110" i="3"/>
  <c r="D110" i="3"/>
  <c r="E110" i="3"/>
  <c r="F110" i="3"/>
  <c r="G110" i="3"/>
  <c r="H110" i="3"/>
  <c r="I110" i="3"/>
  <c r="J110" i="3"/>
  <c r="J1065" i="3" s="1"/>
  <c r="B111" i="3"/>
  <c r="C111" i="3"/>
  <c r="D111" i="3"/>
  <c r="E111" i="3"/>
  <c r="F111" i="3"/>
  <c r="G111" i="3"/>
  <c r="H111" i="3"/>
  <c r="I111" i="3"/>
  <c r="J111" i="3"/>
  <c r="B112" i="3"/>
  <c r="C112" i="3"/>
  <c r="D112" i="3"/>
  <c r="E112" i="3"/>
  <c r="F112" i="3"/>
  <c r="G112" i="3"/>
  <c r="H112" i="3"/>
  <c r="I112" i="3"/>
  <c r="J112" i="3"/>
  <c r="B113" i="3"/>
  <c r="C113" i="3"/>
  <c r="D113" i="3"/>
  <c r="E113" i="3"/>
  <c r="F113" i="3"/>
  <c r="G113" i="3"/>
  <c r="H113" i="3"/>
  <c r="I113" i="3"/>
  <c r="J113" i="3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J1066" i="3" s="1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J1072" i="3" s="1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J1073" i="3" s="1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J1079" i="3" s="1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J1080" i="3" s="1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J1083" i="3" s="1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J1084" i="3" s="1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J1087" i="3" s="1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J1088" i="3" s="1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J1089" i="3" s="1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J1091" i="3" s="1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J1092" i="3" s="1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J1093" i="3" s="1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J1096" i="3" s="1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J1097" i="3" s="1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J1104" i="3" s="1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B1003" i="3"/>
  <c r="C1003" i="3"/>
  <c r="D1003" i="3"/>
  <c r="E1003" i="3"/>
  <c r="F1003" i="3"/>
  <c r="G1003" i="3"/>
  <c r="H1003" i="3"/>
  <c r="I1003" i="3"/>
  <c r="J1003" i="3"/>
  <c r="B1004" i="3"/>
  <c r="C1004" i="3"/>
  <c r="D1004" i="3"/>
  <c r="E1004" i="3"/>
  <c r="F1004" i="3"/>
  <c r="G1004" i="3"/>
  <c r="H1004" i="3"/>
  <c r="I1004" i="3"/>
  <c r="J1004" i="3"/>
  <c r="B1005" i="3"/>
  <c r="C1005" i="3"/>
  <c r="D1005" i="3"/>
  <c r="E1005" i="3"/>
  <c r="F1005" i="3"/>
  <c r="G1005" i="3"/>
  <c r="H1005" i="3"/>
  <c r="I1005" i="3"/>
  <c r="J1005" i="3"/>
  <c r="B1006" i="3"/>
  <c r="C1006" i="3"/>
  <c r="D1006" i="3"/>
  <c r="E1006" i="3"/>
  <c r="F1006" i="3"/>
  <c r="G1006" i="3"/>
  <c r="H1006" i="3"/>
  <c r="I1006" i="3"/>
  <c r="J1006" i="3"/>
  <c r="B1007" i="3"/>
  <c r="C1007" i="3"/>
  <c r="D1007" i="3"/>
  <c r="E1007" i="3"/>
  <c r="F1007" i="3"/>
  <c r="G1007" i="3"/>
  <c r="H1007" i="3"/>
  <c r="I1007" i="3"/>
  <c r="J1007" i="3"/>
  <c r="B1008" i="3"/>
  <c r="C1008" i="3"/>
  <c r="D1008" i="3"/>
  <c r="E1008" i="3"/>
  <c r="F1008" i="3"/>
  <c r="G1008" i="3"/>
  <c r="H1008" i="3"/>
  <c r="I1008" i="3"/>
  <c r="J1008" i="3"/>
  <c r="B1009" i="3"/>
  <c r="C1009" i="3"/>
  <c r="D1009" i="3"/>
  <c r="E1009" i="3"/>
  <c r="F1009" i="3"/>
  <c r="G1009" i="3"/>
  <c r="H1009" i="3"/>
  <c r="I1009" i="3"/>
  <c r="J1009" i="3"/>
  <c r="B1010" i="3"/>
  <c r="C1010" i="3"/>
  <c r="D1010" i="3"/>
  <c r="E1010" i="3"/>
  <c r="F1010" i="3"/>
  <c r="G1010" i="3"/>
  <c r="H1010" i="3"/>
  <c r="I1010" i="3"/>
  <c r="J1010" i="3"/>
  <c r="B1011" i="3"/>
  <c r="C1011" i="3"/>
  <c r="D1011" i="3"/>
  <c r="E1011" i="3"/>
  <c r="F1011" i="3"/>
  <c r="G1011" i="3"/>
  <c r="H1011" i="3"/>
  <c r="I1011" i="3"/>
  <c r="J1011" i="3"/>
  <c r="B1012" i="3"/>
  <c r="C1012" i="3"/>
  <c r="D1012" i="3"/>
  <c r="E1012" i="3"/>
  <c r="F1012" i="3"/>
  <c r="G1012" i="3"/>
  <c r="H1012" i="3"/>
  <c r="I1012" i="3"/>
  <c r="J1012" i="3"/>
  <c r="B1013" i="3"/>
  <c r="C1013" i="3"/>
  <c r="D1013" i="3"/>
  <c r="E1013" i="3"/>
  <c r="F1013" i="3"/>
  <c r="G1013" i="3"/>
  <c r="H1013" i="3"/>
  <c r="I1013" i="3"/>
  <c r="J1013" i="3"/>
  <c r="B1014" i="3"/>
  <c r="C1014" i="3"/>
  <c r="D1014" i="3"/>
  <c r="E1014" i="3"/>
  <c r="F1014" i="3"/>
  <c r="G1014" i="3"/>
  <c r="H1014" i="3"/>
  <c r="I1014" i="3"/>
  <c r="J1014" i="3"/>
  <c r="B1015" i="3"/>
  <c r="C1015" i="3"/>
  <c r="D1015" i="3"/>
  <c r="E1015" i="3"/>
  <c r="F1015" i="3"/>
  <c r="G1015" i="3"/>
  <c r="H1015" i="3"/>
  <c r="I1015" i="3"/>
  <c r="J1015" i="3"/>
  <c r="B1016" i="3"/>
  <c r="C1016" i="3"/>
  <c r="D1016" i="3"/>
  <c r="E1016" i="3"/>
  <c r="F1016" i="3"/>
  <c r="G1016" i="3"/>
  <c r="H1016" i="3"/>
  <c r="I1016" i="3"/>
  <c r="J1016" i="3"/>
  <c r="B1017" i="3"/>
  <c r="C1017" i="3"/>
  <c r="D1017" i="3"/>
  <c r="E1017" i="3"/>
  <c r="F1017" i="3"/>
  <c r="G1017" i="3"/>
  <c r="H1017" i="3"/>
  <c r="I1017" i="3"/>
  <c r="J1017" i="3"/>
  <c r="B1018" i="3"/>
  <c r="C1018" i="3"/>
  <c r="D1018" i="3"/>
  <c r="E1018" i="3"/>
  <c r="F1018" i="3"/>
  <c r="G1018" i="3"/>
  <c r="H1018" i="3"/>
  <c r="I1018" i="3"/>
  <c r="J1018" i="3"/>
  <c r="B1019" i="3"/>
  <c r="C1019" i="3"/>
  <c r="D1019" i="3"/>
  <c r="E1019" i="3"/>
  <c r="F1019" i="3"/>
  <c r="G1019" i="3"/>
  <c r="H1019" i="3"/>
  <c r="I1019" i="3"/>
  <c r="J1019" i="3"/>
  <c r="B1020" i="3"/>
  <c r="C1020" i="3"/>
  <c r="D1020" i="3"/>
  <c r="E1020" i="3"/>
  <c r="F1020" i="3"/>
  <c r="G1020" i="3"/>
  <c r="H1020" i="3"/>
  <c r="I1020" i="3"/>
  <c r="J1020" i="3"/>
  <c r="B1021" i="3"/>
  <c r="C1021" i="3"/>
  <c r="D1021" i="3"/>
  <c r="E1021" i="3"/>
  <c r="F1021" i="3"/>
  <c r="G1021" i="3"/>
  <c r="H1021" i="3"/>
  <c r="I1021" i="3"/>
  <c r="J1021" i="3"/>
  <c r="B1022" i="3"/>
  <c r="C1022" i="3"/>
  <c r="D1022" i="3"/>
  <c r="E1022" i="3"/>
  <c r="F1022" i="3"/>
  <c r="G1022" i="3"/>
  <c r="H1022" i="3"/>
  <c r="I1022" i="3"/>
  <c r="J1022" i="3"/>
  <c r="B1023" i="3"/>
  <c r="C1023" i="3"/>
  <c r="D1023" i="3"/>
  <c r="E1023" i="3"/>
  <c r="F1023" i="3"/>
  <c r="G1023" i="3"/>
  <c r="H1023" i="3"/>
  <c r="I1023" i="3"/>
  <c r="J1023" i="3"/>
  <c r="B1024" i="3"/>
  <c r="C1024" i="3"/>
  <c r="D1024" i="3"/>
  <c r="E1024" i="3"/>
  <c r="F1024" i="3"/>
  <c r="G1024" i="3"/>
  <c r="H1024" i="3"/>
  <c r="I1024" i="3"/>
  <c r="J1024" i="3"/>
  <c r="B1025" i="3"/>
  <c r="C1025" i="3"/>
  <c r="D1025" i="3"/>
  <c r="E1025" i="3"/>
  <c r="F1025" i="3"/>
  <c r="G1025" i="3"/>
  <c r="H1025" i="3"/>
  <c r="I1025" i="3"/>
  <c r="J1025" i="3"/>
  <c r="B1026" i="3"/>
  <c r="C1026" i="3"/>
  <c r="D1026" i="3"/>
  <c r="E1026" i="3"/>
  <c r="F1026" i="3"/>
  <c r="G1026" i="3"/>
  <c r="H1026" i="3"/>
  <c r="I1026" i="3"/>
  <c r="J1026" i="3"/>
  <c r="B1027" i="3"/>
  <c r="C1027" i="3"/>
  <c r="D1027" i="3"/>
  <c r="E1027" i="3"/>
  <c r="F1027" i="3"/>
  <c r="G1027" i="3"/>
  <c r="H1027" i="3"/>
  <c r="I1027" i="3"/>
  <c r="J1027" i="3"/>
  <c r="B1028" i="3"/>
  <c r="C1028" i="3"/>
  <c r="D1028" i="3"/>
  <c r="E1028" i="3"/>
  <c r="F1028" i="3"/>
  <c r="G1028" i="3"/>
  <c r="H1028" i="3"/>
  <c r="I1028" i="3"/>
  <c r="J1028" i="3"/>
  <c r="B1029" i="3"/>
  <c r="C1029" i="3"/>
  <c r="D1029" i="3"/>
  <c r="E1029" i="3"/>
  <c r="F1029" i="3"/>
  <c r="G1029" i="3"/>
  <c r="H1029" i="3"/>
  <c r="I1029" i="3"/>
  <c r="J1029" i="3"/>
  <c r="B1030" i="3"/>
  <c r="C1030" i="3"/>
  <c r="D1030" i="3"/>
  <c r="E1030" i="3"/>
  <c r="F1030" i="3"/>
  <c r="G1030" i="3"/>
  <c r="H1030" i="3"/>
  <c r="I1030" i="3"/>
  <c r="J1030" i="3"/>
  <c r="B1031" i="3"/>
  <c r="C1031" i="3"/>
  <c r="D1031" i="3"/>
  <c r="E1031" i="3"/>
  <c r="F1031" i="3"/>
  <c r="G1031" i="3"/>
  <c r="H1031" i="3"/>
  <c r="I1031" i="3"/>
  <c r="J1031" i="3"/>
  <c r="B1032" i="3"/>
  <c r="C1032" i="3"/>
  <c r="D1032" i="3"/>
  <c r="E1032" i="3"/>
  <c r="F1032" i="3"/>
  <c r="G1032" i="3"/>
  <c r="H1032" i="3"/>
  <c r="I1032" i="3"/>
  <c r="J1032" i="3"/>
  <c r="B1033" i="3"/>
  <c r="C1033" i="3"/>
  <c r="D1033" i="3"/>
  <c r="E1033" i="3"/>
  <c r="F1033" i="3"/>
  <c r="G1033" i="3"/>
  <c r="H1033" i="3"/>
  <c r="I1033" i="3"/>
  <c r="J1033" i="3"/>
  <c r="B1034" i="3"/>
  <c r="C1034" i="3"/>
  <c r="D1034" i="3"/>
  <c r="E1034" i="3"/>
  <c r="F1034" i="3"/>
  <c r="G1034" i="3"/>
  <c r="H1034" i="3"/>
  <c r="I1034" i="3"/>
  <c r="J1034" i="3"/>
  <c r="B1035" i="3"/>
  <c r="C1035" i="3"/>
  <c r="D1035" i="3"/>
  <c r="E1035" i="3"/>
  <c r="F1035" i="3"/>
  <c r="G1035" i="3"/>
  <c r="H1035" i="3"/>
  <c r="I1035" i="3"/>
  <c r="J1035" i="3"/>
  <c r="B1036" i="3"/>
  <c r="C1036" i="3"/>
  <c r="D1036" i="3"/>
  <c r="E1036" i="3"/>
  <c r="F1036" i="3"/>
  <c r="G1036" i="3"/>
  <c r="H1036" i="3"/>
  <c r="I1036" i="3"/>
  <c r="J1036" i="3"/>
  <c r="B1037" i="3"/>
  <c r="C1037" i="3"/>
  <c r="D1037" i="3"/>
  <c r="E1037" i="3"/>
  <c r="F1037" i="3"/>
  <c r="G1037" i="3"/>
  <c r="H1037" i="3"/>
  <c r="I1037" i="3"/>
  <c r="J1037" i="3"/>
  <c r="B1038" i="3"/>
  <c r="C1038" i="3"/>
  <c r="D1038" i="3"/>
  <c r="E1038" i="3"/>
  <c r="F1038" i="3"/>
  <c r="G1038" i="3"/>
  <c r="H1038" i="3"/>
  <c r="I1038" i="3"/>
  <c r="J1038" i="3"/>
  <c r="B1039" i="3"/>
  <c r="C1039" i="3"/>
  <c r="D1039" i="3"/>
  <c r="E1039" i="3"/>
  <c r="F1039" i="3"/>
  <c r="G1039" i="3"/>
  <c r="H1039" i="3"/>
  <c r="I1039" i="3"/>
  <c r="J1039" i="3"/>
  <c r="B1040" i="3"/>
  <c r="C1040" i="3"/>
  <c r="D1040" i="3"/>
  <c r="E1040" i="3"/>
  <c r="F1040" i="3"/>
  <c r="G1040" i="3"/>
  <c r="H1040" i="3"/>
  <c r="I1040" i="3"/>
  <c r="J1040" i="3"/>
  <c r="B1041" i="3"/>
  <c r="C1041" i="3"/>
  <c r="D1041" i="3"/>
  <c r="E1041" i="3"/>
  <c r="F1041" i="3"/>
  <c r="G1041" i="3"/>
  <c r="H1041" i="3"/>
  <c r="I1041" i="3"/>
  <c r="J1041" i="3"/>
  <c r="B1042" i="3"/>
  <c r="C1042" i="3"/>
  <c r="D1042" i="3"/>
  <c r="E1042" i="3"/>
  <c r="F1042" i="3"/>
  <c r="G1042" i="3"/>
  <c r="H1042" i="3"/>
  <c r="I1042" i="3"/>
  <c r="J1042" i="3"/>
  <c r="B1043" i="3"/>
  <c r="C1043" i="3"/>
  <c r="D1043" i="3"/>
  <c r="E1043" i="3"/>
  <c r="F1043" i="3"/>
  <c r="G1043" i="3"/>
  <c r="H1043" i="3"/>
  <c r="I1043" i="3"/>
  <c r="J1043" i="3"/>
  <c r="B1044" i="3"/>
  <c r="C1044" i="3"/>
  <c r="D1044" i="3"/>
  <c r="E1044" i="3"/>
  <c r="F1044" i="3"/>
  <c r="G1044" i="3"/>
  <c r="H1044" i="3"/>
  <c r="I1044" i="3"/>
  <c r="J1044" i="3"/>
  <c r="B1045" i="3"/>
  <c r="C1045" i="3"/>
  <c r="D1045" i="3"/>
  <c r="E1045" i="3"/>
  <c r="F1045" i="3"/>
  <c r="G1045" i="3"/>
  <c r="H1045" i="3"/>
  <c r="I1045" i="3"/>
  <c r="J1045" i="3"/>
  <c r="B1046" i="3"/>
  <c r="C1046" i="3"/>
  <c r="D1046" i="3"/>
  <c r="E1046" i="3"/>
  <c r="F1046" i="3"/>
  <c r="G1046" i="3"/>
  <c r="H1046" i="3"/>
  <c r="I1046" i="3"/>
  <c r="J1046" i="3"/>
  <c r="B1047" i="3"/>
  <c r="C1047" i="3"/>
  <c r="D1047" i="3"/>
  <c r="E1047" i="3"/>
  <c r="F1047" i="3"/>
  <c r="G1047" i="3"/>
  <c r="H1047" i="3"/>
  <c r="I1047" i="3"/>
  <c r="J1047" i="3"/>
  <c r="B1048" i="3"/>
  <c r="C1048" i="3"/>
  <c r="D1048" i="3"/>
  <c r="E1048" i="3"/>
  <c r="F1048" i="3"/>
  <c r="G1048" i="3"/>
  <c r="H1048" i="3"/>
  <c r="I1048" i="3"/>
  <c r="J1048" i="3"/>
  <c r="B1049" i="3"/>
  <c r="C1049" i="3"/>
  <c r="D1049" i="3"/>
  <c r="E1049" i="3"/>
  <c r="F1049" i="3"/>
  <c r="G1049" i="3"/>
  <c r="H1049" i="3"/>
  <c r="I1049" i="3"/>
  <c r="J1049" i="3"/>
  <c r="B1050" i="3"/>
  <c r="C1050" i="3"/>
  <c r="D1050" i="3"/>
  <c r="E1050" i="3"/>
  <c r="F1050" i="3"/>
  <c r="G1050" i="3"/>
  <c r="H1050" i="3"/>
  <c r="I1050" i="3"/>
  <c r="J1050" i="3"/>
  <c r="B1051" i="3"/>
  <c r="C1051" i="3"/>
  <c r="D1051" i="3"/>
  <c r="E1051" i="3"/>
  <c r="F1051" i="3"/>
  <c r="G1051" i="3"/>
  <c r="H1051" i="3"/>
  <c r="I1051" i="3"/>
  <c r="J1051" i="3"/>
  <c r="B1052" i="3"/>
  <c r="C1052" i="3"/>
  <c r="D1052" i="3"/>
  <c r="E1052" i="3"/>
  <c r="F1052" i="3"/>
  <c r="G1052" i="3"/>
  <c r="H1052" i="3"/>
  <c r="I1052" i="3"/>
  <c r="J1052" i="3"/>
  <c r="B1053" i="3"/>
  <c r="C1053" i="3"/>
  <c r="D1053" i="3"/>
  <c r="E1053" i="3"/>
  <c r="F1053" i="3"/>
  <c r="G1053" i="3"/>
  <c r="H1053" i="3"/>
  <c r="I1053" i="3"/>
  <c r="J1053" i="3"/>
  <c r="B1054" i="3"/>
  <c r="C1054" i="3"/>
  <c r="D1054" i="3"/>
  <c r="E1054" i="3"/>
  <c r="F1054" i="3"/>
  <c r="G1054" i="3"/>
  <c r="H1054" i="3"/>
  <c r="I1054" i="3"/>
  <c r="J1054" i="3"/>
  <c r="B1055" i="3"/>
  <c r="C1055" i="3"/>
  <c r="D1055" i="3"/>
  <c r="E1055" i="3"/>
  <c r="F1055" i="3"/>
  <c r="G1055" i="3"/>
  <c r="H1055" i="3"/>
  <c r="I1055" i="3"/>
  <c r="J1055" i="3"/>
  <c r="B1057" i="3"/>
  <c r="D1061" i="3"/>
  <c r="H1064" i="3"/>
  <c r="E1068" i="3"/>
  <c r="I1071" i="3"/>
  <c r="F1075" i="3"/>
  <c r="E1079" i="3"/>
  <c r="A1081" i="3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G1082" i="3"/>
  <c r="J1085" i="3"/>
  <c r="D1092" i="3"/>
  <c r="F1095" i="3"/>
  <c r="C1099" i="3"/>
  <c r="J1101" i="3"/>
  <c r="D9" i="2"/>
  <c r="F9" i="2"/>
  <c r="B15" i="2"/>
  <c r="C15" i="2"/>
  <c r="D15" i="2"/>
  <c r="E15" i="2"/>
  <c r="F15" i="2"/>
  <c r="G15" i="2"/>
  <c r="H15" i="2"/>
  <c r="I15" i="2"/>
  <c r="J15" i="2"/>
  <c r="K15" i="2"/>
  <c r="B16" i="2"/>
  <c r="C16" i="2"/>
  <c r="D16" i="2"/>
  <c r="E16" i="2"/>
  <c r="F16" i="2"/>
  <c r="G16" i="2"/>
  <c r="H16" i="2"/>
  <c r="I16" i="2"/>
  <c r="J16" i="2"/>
  <c r="K16" i="2"/>
  <c r="B17" i="2"/>
  <c r="C17" i="2"/>
  <c r="D17" i="2"/>
  <c r="E17" i="2"/>
  <c r="F17" i="2"/>
  <c r="G17" i="2"/>
  <c r="H17" i="2"/>
  <c r="I17" i="2"/>
  <c r="J17" i="2"/>
  <c r="K17" i="2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G1059" i="2"/>
  <c r="H1059" i="2"/>
  <c r="I1063" i="2"/>
  <c r="I1066" i="2"/>
  <c r="J1070" i="2"/>
  <c r="E1073" i="2"/>
  <c r="C1075" i="2"/>
  <c r="E1075" i="2"/>
  <c r="I1077" i="2"/>
  <c r="I1079" i="2"/>
  <c r="A1081" i="2"/>
  <c r="G1081" i="2"/>
  <c r="A1082" i="2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K1083" i="2"/>
  <c r="K1085" i="2"/>
  <c r="K1087" i="2"/>
  <c r="K1089" i="2"/>
  <c r="E1092" i="2"/>
  <c r="K1093" i="2"/>
  <c r="C1094" i="2"/>
  <c r="K1095" i="2"/>
  <c r="E1096" i="2"/>
  <c r="C1098" i="2"/>
  <c r="K1099" i="2"/>
  <c r="E1100" i="2"/>
  <c r="E1102" i="2"/>
  <c r="K1103" i="2"/>
  <c r="G1104" i="2"/>
  <c r="H1104" i="2" l="1"/>
  <c r="J1103" i="2"/>
  <c r="B1103" i="2"/>
  <c r="J1102" i="2"/>
  <c r="B1102" i="2"/>
  <c r="F1101" i="2"/>
  <c r="H1100" i="2"/>
  <c r="J1099" i="2"/>
  <c r="H1099" i="2"/>
  <c r="J1098" i="2"/>
  <c r="B1098" i="2"/>
  <c r="B1097" i="2"/>
  <c r="F1097" i="2"/>
  <c r="F1096" i="2"/>
  <c r="H1095" i="2"/>
  <c r="J1094" i="2"/>
  <c r="B1093" i="2"/>
  <c r="F1093" i="2"/>
  <c r="F1092" i="2"/>
  <c r="J1091" i="2"/>
  <c r="B1091" i="2"/>
  <c r="F1088" i="2"/>
  <c r="H1088" i="2"/>
  <c r="J1087" i="2"/>
  <c r="B1087" i="2"/>
  <c r="J1086" i="2"/>
  <c r="B1086" i="2"/>
  <c r="F1085" i="2"/>
  <c r="H1084" i="2"/>
  <c r="B1083" i="2"/>
  <c r="H1083" i="2"/>
  <c r="J1082" i="2"/>
  <c r="B1082" i="2"/>
  <c r="B1081" i="2"/>
  <c r="F1081" i="2"/>
  <c r="F1080" i="2"/>
  <c r="H1079" i="2"/>
  <c r="J1078" i="2"/>
  <c r="B1078" i="2"/>
  <c r="H1077" i="2"/>
  <c r="J1076" i="2"/>
  <c r="B1076" i="2"/>
  <c r="F1075" i="2"/>
  <c r="B1074" i="2"/>
  <c r="F1073" i="2"/>
  <c r="H1073" i="2"/>
  <c r="F1072" i="2"/>
  <c r="H1072" i="2"/>
  <c r="J1071" i="2"/>
  <c r="F1071" i="2"/>
  <c r="H1070" i="2"/>
  <c r="B1069" i="2"/>
  <c r="B1068" i="2"/>
  <c r="H1066" i="2"/>
  <c r="J1064" i="2"/>
  <c r="H1063" i="2"/>
  <c r="B1062" i="2"/>
  <c r="B1061" i="2"/>
  <c r="F1060" i="2"/>
  <c r="H1057" i="2"/>
  <c r="J1057" i="2"/>
  <c r="B1104" i="3"/>
  <c r="I1101" i="3"/>
  <c r="F1101" i="3"/>
  <c r="B1100" i="3"/>
  <c r="D1098" i="3"/>
  <c r="D1095" i="3"/>
  <c r="F1091" i="3"/>
  <c r="F1087" i="3"/>
  <c r="I1103" i="2"/>
  <c r="G1103" i="2"/>
  <c r="I1102" i="2"/>
  <c r="C1101" i="2"/>
  <c r="E1101" i="2"/>
  <c r="I1100" i="2"/>
  <c r="G1099" i="2"/>
  <c r="I1098" i="2"/>
  <c r="K1098" i="2"/>
  <c r="K1097" i="2"/>
  <c r="E1097" i="2"/>
  <c r="G1097" i="2"/>
  <c r="I1096" i="2"/>
  <c r="I1095" i="2"/>
  <c r="K1094" i="2"/>
  <c r="E1094" i="2"/>
  <c r="C1093" i="2"/>
  <c r="G1093" i="2"/>
  <c r="G1092" i="2"/>
  <c r="I1091" i="2"/>
  <c r="I1090" i="2"/>
  <c r="K1090" i="2"/>
  <c r="E1090" i="2"/>
  <c r="C1089" i="2"/>
  <c r="E1089" i="2"/>
  <c r="G1089" i="2"/>
  <c r="G1088" i="2"/>
  <c r="G1087" i="2"/>
  <c r="I1086" i="2"/>
  <c r="E1085" i="2"/>
  <c r="I1084" i="2"/>
  <c r="E1084" i="2"/>
  <c r="G1084" i="2"/>
  <c r="G1083" i="2"/>
  <c r="K1082" i="2"/>
  <c r="C1082" i="2"/>
  <c r="I1080" i="2"/>
  <c r="G1080" i="2"/>
  <c r="G1079" i="2"/>
  <c r="K1078" i="2"/>
  <c r="G1078" i="2"/>
  <c r="K1077" i="2"/>
  <c r="I1076" i="2"/>
  <c r="K1076" i="2"/>
  <c r="C1076" i="2"/>
  <c r="K1074" i="2"/>
  <c r="C1074" i="2"/>
  <c r="G1074" i="2"/>
  <c r="G1072" i="2"/>
  <c r="I1071" i="2"/>
  <c r="K1070" i="2"/>
  <c r="E1070" i="2"/>
  <c r="C1069" i="2"/>
  <c r="E1069" i="2"/>
  <c r="C1068" i="2"/>
  <c r="E1066" i="2"/>
  <c r="G1066" i="2"/>
  <c r="G1065" i="2"/>
  <c r="I1064" i="2"/>
  <c r="K1063" i="2"/>
  <c r="C1062" i="2"/>
  <c r="E1062" i="2"/>
  <c r="C1061" i="2"/>
  <c r="C1059" i="2"/>
  <c r="E1059" i="2"/>
  <c r="I1057" i="2"/>
  <c r="D1104" i="3"/>
  <c r="G1101" i="3"/>
  <c r="C1095" i="3"/>
  <c r="G1081" i="3"/>
  <c r="E1078" i="3"/>
  <c r="E1077" i="3"/>
  <c r="G1074" i="3"/>
  <c r="I1072" i="3"/>
  <c r="B1071" i="3"/>
  <c r="E1067" i="3"/>
  <c r="C1104" i="3"/>
  <c r="C1103" i="3"/>
  <c r="D1103" i="3"/>
  <c r="G1102" i="3"/>
  <c r="C1100" i="3"/>
  <c r="D1100" i="3"/>
  <c r="D1099" i="3"/>
  <c r="G1097" i="3"/>
  <c r="I1097" i="3"/>
  <c r="C1096" i="3"/>
  <c r="D1096" i="3"/>
  <c r="D1094" i="3"/>
  <c r="I1093" i="3"/>
  <c r="C1091" i="3"/>
  <c r="D1091" i="3"/>
  <c r="D1090" i="3"/>
  <c r="I1089" i="3"/>
  <c r="D1087" i="3"/>
  <c r="D1086" i="3"/>
  <c r="G1086" i="3"/>
  <c r="E1061" i="3"/>
  <c r="D1060" i="3"/>
  <c r="I1058" i="3"/>
  <c r="AC1045" i="4"/>
  <c r="Y1143" i="4"/>
  <c r="AC1024" i="4"/>
  <c r="AC997" i="4"/>
  <c r="AC996" i="4"/>
  <c r="AC981" i="4"/>
  <c r="AC977" i="4"/>
  <c r="AC976" i="4"/>
  <c r="AC962" i="4"/>
  <c r="AC941" i="4"/>
  <c r="AC924" i="4"/>
  <c r="AC910" i="4"/>
  <c r="AC898" i="4"/>
  <c r="AC896" i="4"/>
  <c r="Y1130" i="4"/>
  <c r="AC861" i="4"/>
  <c r="AC856" i="4"/>
  <c r="AC843" i="4"/>
  <c r="Y1127" i="4"/>
  <c r="Y1126" i="4"/>
  <c r="AC767" i="4"/>
  <c r="Y1120" i="4"/>
  <c r="H1082" i="3"/>
  <c r="I1079" i="3"/>
  <c r="C1077" i="3"/>
  <c r="D1077" i="3"/>
  <c r="G1076" i="3"/>
  <c r="I1075" i="3"/>
  <c r="H1072" i="3"/>
  <c r="C1070" i="3"/>
  <c r="D1070" i="3"/>
  <c r="G1069" i="3"/>
  <c r="F1068" i="3"/>
  <c r="H1065" i="3"/>
  <c r="I1065" i="3"/>
  <c r="C1065" i="3"/>
  <c r="C1063" i="3"/>
  <c r="F1062" i="3"/>
  <c r="G1059" i="3"/>
  <c r="F1058" i="3"/>
  <c r="H1058" i="3"/>
  <c r="AC1053" i="4"/>
  <c r="AD1049" i="4"/>
  <c r="AD1048" i="4"/>
  <c r="AC1034" i="4"/>
  <c r="AC1018" i="4"/>
  <c r="AD1013" i="4"/>
  <c r="AC1013" i="4"/>
  <c r="AD1010" i="4"/>
  <c r="AC1010" i="4"/>
  <c r="AC1008" i="4"/>
  <c r="AD1001" i="4"/>
  <c r="Y1140" i="4"/>
  <c r="AC991" i="4"/>
  <c r="AC973" i="4"/>
  <c r="AC966" i="4"/>
  <c r="AC957" i="4"/>
  <c r="Y1136" i="4"/>
  <c r="AD944" i="4"/>
  <c r="AD943" i="4"/>
  <c r="Y1133" i="4"/>
  <c r="AD912" i="4"/>
  <c r="AD911" i="4"/>
  <c r="AC905" i="4"/>
  <c r="Y1132" i="4"/>
  <c r="AC889" i="4"/>
  <c r="AD885" i="4"/>
  <c r="AC879" i="4"/>
  <c r="AD877" i="4"/>
  <c r="AC877" i="4"/>
  <c r="AC873" i="4"/>
  <c r="AD866" i="4"/>
  <c r="AC866" i="4"/>
  <c r="AC863" i="4"/>
  <c r="AD858" i="4"/>
  <c r="AC858" i="4"/>
  <c r="AC852" i="4"/>
  <c r="AD848" i="4"/>
  <c r="AD841" i="4"/>
  <c r="AD833" i="4"/>
  <c r="AC833" i="4"/>
  <c r="AD825" i="4"/>
  <c r="AD820" i="4"/>
  <c r="AC812" i="4"/>
  <c r="AD800" i="4"/>
  <c r="AC792" i="4"/>
  <c r="AC789" i="4"/>
  <c r="AD781" i="4"/>
  <c r="AD773" i="4"/>
  <c r="AC768" i="4"/>
  <c r="AC1054" i="4"/>
  <c r="AD1046" i="4"/>
  <c r="AC1046" i="4"/>
  <c r="Y1144" i="4"/>
  <c r="AD1037" i="4"/>
  <c r="AD1036" i="4"/>
  <c r="AD1035" i="4"/>
  <c r="AD1025" i="4"/>
  <c r="Y1141" i="4"/>
  <c r="AC1004" i="4"/>
  <c r="AD995" i="4"/>
  <c r="Y1139" i="4"/>
  <c r="AD982" i="4"/>
  <c r="AC982" i="4"/>
  <c r="AD976" i="4"/>
  <c r="AD970" i="4"/>
  <c r="AC970" i="4"/>
  <c r="AC968" i="4"/>
  <c r="Y1137" i="4"/>
  <c r="AC951" i="4"/>
  <c r="AD949" i="4"/>
  <c r="AC949" i="4"/>
  <c r="AD940" i="4"/>
  <c r="AD939" i="4"/>
  <c r="AD938" i="4"/>
  <c r="AD929" i="4"/>
  <c r="AC929" i="4"/>
  <c r="AC926" i="4"/>
  <c r="AC920" i="4"/>
  <c r="AD917" i="4"/>
  <c r="AD908" i="4"/>
  <c r="AD907" i="4"/>
  <c r="AD906" i="4"/>
  <c r="AD897" i="4"/>
  <c r="AC894" i="4"/>
  <c r="AD890" i="4"/>
  <c r="AC890" i="4"/>
  <c r="AD874" i="4"/>
  <c r="Y1128" i="4"/>
  <c r="AC838" i="4"/>
  <c r="AC829" i="4"/>
  <c r="AC828" i="4"/>
  <c r="AC823" i="4"/>
  <c r="Y1125" i="4"/>
  <c r="AC800" i="4"/>
  <c r="AC799" i="4"/>
  <c r="Y1123" i="4"/>
  <c r="F1085" i="3"/>
  <c r="F1083" i="3"/>
  <c r="D1082" i="3"/>
  <c r="F1081" i="3"/>
  <c r="F1078" i="3"/>
  <c r="E1075" i="3"/>
  <c r="B1074" i="3"/>
  <c r="E1071" i="3"/>
  <c r="F1069" i="3"/>
  <c r="D1068" i="3"/>
  <c r="B1064" i="3"/>
  <c r="F1061" i="3"/>
  <c r="E1060" i="3"/>
  <c r="B1058" i="3"/>
  <c r="AC1050" i="4"/>
  <c r="AC1043" i="4"/>
  <c r="AD1039" i="4"/>
  <c r="AC1030" i="4"/>
  <c r="AC1023" i="4"/>
  <c r="AC1022" i="4"/>
  <c r="Y1142" i="4"/>
  <c r="AD1018" i="4"/>
  <c r="AC1014" i="4"/>
  <c r="AD1009" i="4"/>
  <c r="AD1002" i="4"/>
  <c r="AC1002" i="4"/>
  <c r="AC1000" i="4"/>
  <c r="AC989" i="4"/>
  <c r="AC986" i="4"/>
  <c r="AC975" i="4"/>
  <c r="Y1138" i="4"/>
  <c r="AD972" i="4"/>
  <c r="AD971" i="4"/>
  <c r="AD961" i="4"/>
  <c r="AC960" i="4"/>
  <c r="AC945" i="4"/>
  <c r="Y1135" i="4"/>
  <c r="AC933" i="4"/>
  <c r="Y1134" i="4"/>
  <c r="AD924" i="4"/>
  <c r="AD892" i="4"/>
  <c r="AD891" i="4"/>
  <c r="Y1131" i="4"/>
  <c r="AC875" i="4"/>
  <c r="Y1129" i="4"/>
  <c r="AD857" i="4"/>
  <c r="AD845" i="4"/>
  <c r="AD843" i="4"/>
  <c r="AC840" i="4"/>
  <c r="AD836" i="4"/>
  <c r="AC831" i="4"/>
  <c r="AC824" i="4"/>
  <c r="AC821" i="4"/>
  <c r="AC820" i="4"/>
  <c r="AC804" i="4"/>
  <c r="AD788" i="4"/>
  <c r="AC781" i="4"/>
  <c r="AD768" i="4"/>
  <c r="AD765" i="4"/>
  <c r="AD758" i="4"/>
  <c r="AC758" i="4"/>
  <c r="AD823" i="4"/>
  <c r="AD813" i="4"/>
  <c r="AD810" i="4"/>
  <c r="AC810" i="4"/>
  <c r="AC808" i="4"/>
  <c r="AD793" i="4"/>
  <c r="AD790" i="4"/>
  <c r="AC790" i="4"/>
  <c r="AC788" i="4"/>
  <c r="AD778" i="4"/>
  <c r="AC778" i="4"/>
  <c r="AC776" i="4"/>
  <c r="AC773" i="4"/>
  <c r="AC771" i="4"/>
  <c r="Y1121" i="4"/>
  <c r="AD757" i="4"/>
  <c r="AD747" i="4"/>
  <c r="Y1119" i="4"/>
  <c r="AC733" i="4"/>
  <c r="AD726" i="4"/>
  <c r="AC726" i="4"/>
  <c r="Y1117" i="4"/>
  <c r="AD720" i="4"/>
  <c r="AD714" i="4"/>
  <c r="AC714" i="4"/>
  <c r="AC710" i="4"/>
  <c r="AD686" i="4"/>
  <c r="AC685" i="4"/>
  <c r="Y1113" i="4"/>
  <c r="AD668" i="4"/>
  <c r="AD666" i="4"/>
  <c r="AC658" i="4"/>
  <c r="AD654" i="4"/>
  <c r="AC654" i="4"/>
  <c r="Y1111" i="4"/>
  <c r="AC643" i="4"/>
  <c r="AD641" i="4"/>
  <c r="AC641" i="4"/>
  <c r="AC618" i="4"/>
  <c r="AD614" i="4"/>
  <c r="AC606" i="4"/>
  <c r="Y1106" i="4"/>
  <c r="AD588" i="4"/>
  <c r="AC588" i="4"/>
  <c r="Q1105" i="4"/>
  <c r="AD580" i="4"/>
  <c r="I1105" i="4"/>
  <c r="AC573" i="4"/>
  <c r="X1104" i="4"/>
  <c r="R1104" i="4"/>
  <c r="J1104" i="4"/>
  <c r="AC557" i="4"/>
  <c r="Y1103" i="4"/>
  <c r="AD546" i="4"/>
  <c r="AC546" i="4"/>
  <c r="AD544" i="4"/>
  <c r="Q1102" i="4"/>
  <c r="AD539" i="4"/>
  <c r="AC536" i="4"/>
  <c r="AC533" i="4"/>
  <c r="W1101" i="4"/>
  <c r="G1101" i="4"/>
  <c r="Y1101" i="4"/>
  <c r="R1100" i="4"/>
  <c r="AD811" i="4"/>
  <c r="AD801" i="4"/>
  <c r="AC801" i="4"/>
  <c r="AD791" i="4"/>
  <c r="Y1122" i="4"/>
  <c r="AD780" i="4"/>
  <c r="AC780" i="4"/>
  <c r="AD779" i="4"/>
  <c r="AD769" i="4"/>
  <c r="AC766" i="4"/>
  <c r="AC761" i="4"/>
  <c r="AC757" i="4"/>
  <c r="AC740" i="4"/>
  <c r="AC719" i="4"/>
  <c r="AC709" i="4"/>
  <c r="AC701" i="4"/>
  <c r="AC700" i="4"/>
  <c r="Y1115" i="4"/>
  <c r="AC682" i="4"/>
  <c r="AC673" i="4"/>
  <c r="AC660" i="4"/>
  <c r="AC636" i="4"/>
  <c r="AC619" i="4"/>
  <c r="AC617" i="4"/>
  <c r="Y1108" i="4"/>
  <c r="AC599" i="4"/>
  <c r="AC591" i="4"/>
  <c r="AC589" i="4"/>
  <c r="AC586" i="4"/>
  <c r="AD578" i="4"/>
  <c r="AC578" i="4"/>
  <c r="Y1105" i="4"/>
  <c r="Q1104" i="4"/>
  <c r="I1104" i="4"/>
  <c r="AC569" i="4"/>
  <c r="W1104" i="4"/>
  <c r="AD567" i="4"/>
  <c r="G1104" i="4"/>
  <c r="Y1104" i="4"/>
  <c r="J1103" i="4"/>
  <c r="K1103" i="4"/>
  <c r="AD557" i="4"/>
  <c r="T1102" i="4"/>
  <c r="Y1102" i="4"/>
  <c r="AD540" i="4"/>
  <c r="AC756" i="4"/>
  <c r="AC748" i="4"/>
  <c r="AD738" i="4"/>
  <c r="AC738" i="4"/>
  <c r="Y1118" i="4"/>
  <c r="AC729" i="4"/>
  <c r="AD725" i="4"/>
  <c r="AC721" i="4"/>
  <c r="AC720" i="4"/>
  <c r="AD713" i="4"/>
  <c r="AC695" i="4"/>
  <c r="AD693" i="4"/>
  <c r="Y1114" i="4"/>
  <c r="AD684" i="4"/>
  <c r="AC684" i="4"/>
  <c r="AD683" i="4"/>
  <c r="AC677" i="4"/>
  <c r="AC676" i="4"/>
  <c r="AC669" i="4"/>
  <c r="AC668" i="4"/>
  <c r="AC664" i="4"/>
  <c r="Y1112" i="4"/>
  <c r="AD653" i="4"/>
  <c r="Y1109" i="4"/>
  <c r="AD624" i="4"/>
  <c r="Y1107" i="4"/>
  <c r="AC600" i="4"/>
  <c r="AC576" i="4"/>
  <c r="AD572" i="4"/>
  <c r="V1104" i="4"/>
  <c r="AC568" i="4"/>
  <c r="X1103" i="4"/>
  <c r="P1103" i="4"/>
  <c r="Q1103" i="4"/>
  <c r="I1103" i="4"/>
  <c r="AC553" i="4"/>
  <c r="B1102" i="4"/>
  <c r="AD545" i="4"/>
  <c r="AC753" i="4"/>
  <c r="AC752" i="4"/>
  <c r="AD746" i="4"/>
  <c r="AC746" i="4"/>
  <c r="AC744" i="4"/>
  <c r="AD739" i="4"/>
  <c r="AC725" i="4"/>
  <c r="AC717" i="4"/>
  <c r="Y1116" i="4"/>
  <c r="AD706" i="4"/>
  <c r="AC706" i="4"/>
  <c r="AD681" i="4"/>
  <c r="AD651" i="4"/>
  <c r="AD650" i="4"/>
  <c r="Y1110" i="4"/>
  <c r="AD636" i="4"/>
  <c r="AD635" i="4"/>
  <c r="AD634" i="4"/>
  <c r="AD632" i="4"/>
  <c r="AC632" i="4"/>
  <c r="AD630" i="4"/>
  <c r="AC630" i="4"/>
  <c r="AC628" i="4"/>
  <c r="AD618" i="4"/>
  <c r="AC610" i="4"/>
  <c r="AC597" i="4"/>
  <c r="AC593" i="4"/>
  <c r="AD587" i="4"/>
  <c r="R1105" i="4"/>
  <c r="J1105" i="4"/>
  <c r="B1105" i="4"/>
  <c r="S1105" i="4"/>
  <c r="K1105" i="4"/>
  <c r="AC572" i="4"/>
  <c r="U1104" i="4"/>
  <c r="AC561" i="4"/>
  <c r="AC537" i="4"/>
  <c r="P1101" i="4"/>
  <c r="R1101" i="4"/>
  <c r="J1101" i="4"/>
  <c r="B1101" i="4"/>
  <c r="AC525" i="4"/>
  <c r="X1100" i="4"/>
  <c r="P1100" i="4"/>
  <c r="Q1099" i="4"/>
  <c r="I1099" i="4"/>
  <c r="R1099" i="4"/>
  <c r="J1099" i="4"/>
  <c r="B1099" i="4"/>
  <c r="AC504" i="4"/>
  <c r="AC500" i="4"/>
  <c r="D1098" i="4"/>
  <c r="T1097" i="4"/>
  <c r="D1097" i="4"/>
  <c r="U1097" i="4"/>
  <c r="AC486" i="4"/>
  <c r="G1097" i="4"/>
  <c r="Q1096" i="4"/>
  <c r="Y1095" i="4"/>
  <c r="AC444" i="4"/>
  <c r="AC432" i="4"/>
  <c r="AD424" i="4"/>
  <c r="Y1092" i="4"/>
  <c r="Y1091" i="4"/>
  <c r="AC404" i="4"/>
  <c r="Y1090" i="4"/>
  <c r="T1089" i="4"/>
  <c r="S1089" i="4"/>
  <c r="K1089" i="4"/>
  <c r="T1088" i="4"/>
  <c r="L1088" i="4"/>
  <c r="D1088" i="4"/>
  <c r="AC343" i="4"/>
  <c r="X1085" i="4"/>
  <c r="P1085" i="4"/>
  <c r="AC334" i="4"/>
  <c r="V1084" i="4"/>
  <c r="AD328" i="4"/>
  <c r="Y1084" i="4"/>
  <c r="AD324" i="4"/>
  <c r="S1083" i="4"/>
  <c r="C1083" i="4"/>
  <c r="AC310" i="4"/>
  <c r="AC305" i="4"/>
  <c r="U1082" i="4"/>
  <c r="Y1082" i="4"/>
  <c r="Q1081" i="4"/>
  <c r="I1081" i="4"/>
  <c r="H1081" i="4"/>
  <c r="S1081" i="4"/>
  <c r="K1081" i="4"/>
  <c r="AD525" i="4"/>
  <c r="G1100" i="4"/>
  <c r="AD515" i="4"/>
  <c r="L1099" i="4"/>
  <c r="AD508" i="4"/>
  <c r="Y1099" i="4"/>
  <c r="R1098" i="4"/>
  <c r="AC501" i="4"/>
  <c r="AC496" i="4"/>
  <c r="Y1098" i="4"/>
  <c r="AD484" i="4"/>
  <c r="AC476" i="4"/>
  <c r="Y1096" i="4"/>
  <c r="AD468" i="4"/>
  <c r="AC462" i="4"/>
  <c r="T1095" i="4"/>
  <c r="L1095" i="4"/>
  <c r="D1095" i="4"/>
  <c r="AC456" i="4"/>
  <c r="D1094" i="4"/>
  <c r="AD451" i="4"/>
  <c r="J1094" i="4"/>
  <c r="B1094" i="4"/>
  <c r="AD441" i="4"/>
  <c r="G1093" i="4"/>
  <c r="I1092" i="4"/>
  <c r="AC424" i="4"/>
  <c r="AD420" i="4"/>
  <c r="AD418" i="4"/>
  <c r="AC418" i="4"/>
  <c r="P1091" i="4"/>
  <c r="X1090" i="4"/>
  <c r="P1090" i="4"/>
  <c r="H1090" i="4"/>
  <c r="AD388" i="4"/>
  <c r="AD386" i="4"/>
  <c r="AD383" i="4"/>
  <c r="V1088" i="4"/>
  <c r="AC379" i="4"/>
  <c r="AD366" i="4"/>
  <c r="Q1087" i="4"/>
  <c r="I1087" i="4"/>
  <c r="AC361" i="4"/>
  <c r="AD357" i="4"/>
  <c r="AC357" i="4"/>
  <c r="AD354" i="4"/>
  <c r="R1086" i="4"/>
  <c r="B1086" i="4"/>
  <c r="T1085" i="4"/>
  <c r="L1085" i="4"/>
  <c r="D1085" i="4"/>
  <c r="AC341" i="4"/>
  <c r="W1085" i="4"/>
  <c r="G1085" i="4"/>
  <c r="P1084" i="4"/>
  <c r="AC325" i="4"/>
  <c r="AD322" i="4"/>
  <c r="AC322" i="4"/>
  <c r="AD320" i="4"/>
  <c r="R1083" i="4"/>
  <c r="AC313" i="4"/>
  <c r="AC298" i="4"/>
  <c r="AC295" i="4"/>
  <c r="AD292" i="4"/>
  <c r="AD287" i="4"/>
  <c r="AC286" i="4"/>
  <c r="AD520" i="4"/>
  <c r="AC497" i="4"/>
  <c r="X1097" i="4"/>
  <c r="AC489" i="4"/>
  <c r="AC487" i="4"/>
  <c r="AD485" i="4"/>
  <c r="AC485" i="4"/>
  <c r="AD483" i="4"/>
  <c r="AD482" i="4"/>
  <c r="Y1097" i="4"/>
  <c r="W1096" i="4"/>
  <c r="G1096" i="4"/>
  <c r="T1096" i="4"/>
  <c r="L1096" i="4"/>
  <c r="D1096" i="4"/>
  <c r="AC464" i="4"/>
  <c r="R1095" i="4"/>
  <c r="S1095" i="4"/>
  <c r="K1095" i="4"/>
  <c r="K1094" i="4"/>
  <c r="AC448" i="4"/>
  <c r="X1094" i="4"/>
  <c r="P1094" i="4"/>
  <c r="H1094" i="4"/>
  <c r="Q1094" i="4"/>
  <c r="I1094" i="4"/>
  <c r="AD443" i="4"/>
  <c r="V1093" i="4"/>
  <c r="F1093" i="4"/>
  <c r="R1092" i="4"/>
  <c r="J1092" i="4"/>
  <c r="B1092" i="4"/>
  <c r="S1092" i="4"/>
  <c r="K1092" i="4"/>
  <c r="AD416" i="4"/>
  <c r="R1091" i="4"/>
  <c r="J1091" i="4"/>
  <c r="B1091" i="4"/>
  <c r="W1091" i="4"/>
  <c r="G1091" i="4"/>
  <c r="V1090" i="4"/>
  <c r="F1090" i="4"/>
  <c r="AC399" i="4"/>
  <c r="Y1089" i="4"/>
  <c r="S1087" i="4"/>
  <c r="AC360" i="4"/>
  <c r="V1086" i="4"/>
  <c r="AC355" i="4"/>
  <c r="Y1086" i="4"/>
  <c r="AC345" i="4"/>
  <c r="T1084" i="4"/>
  <c r="L1084" i="4"/>
  <c r="W1084" i="4"/>
  <c r="G1084" i="4"/>
  <c r="AC320" i="4"/>
  <c r="AC312" i="4"/>
  <c r="J1082" i="4"/>
  <c r="S1082" i="4"/>
  <c r="K1082" i="4"/>
  <c r="AC303" i="4"/>
  <c r="W1082" i="4"/>
  <c r="G1082" i="4"/>
  <c r="W1081" i="4"/>
  <c r="O1081" i="4"/>
  <c r="G1081" i="4"/>
  <c r="U1081" i="4"/>
  <c r="Y1081" i="4"/>
  <c r="AC284" i="4"/>
  <c r="Y1100" i="4"/>
  <c r="W1099" i="4"/>
  <c r="G1099" i="4"/>
  <c r="Q1098" i="4"/>
  <c r="I1098" i="4"/>
  <c r="W1098" i="4"/>
  <c r="G1098" i="4"/>
  <c r="AD487" i="4"/>
  <c r="AC478" i="4"/>
  <c r="B1096" i="4"/>
  <c r="AD475" i="4"/>
  <c r="AD465" i="4"/>
  <c r="Q1095" i="4"/>
  <c r="I1095" i="4"/>
  <c r="AD455" i="4"/>
  <c r="Y1094" i="4"/>
  <c r="AD444" i="4"/>
  <c r="AC439" i="4"/>
  <c r="Y1093" i="4"/>
  <c r="AD423" i="4"/>
  <c r="Q1091" i="4"/>
  <c r="I1091" i="4"/>
  <c r="AC407" i="4"/>
  <c r="AC400" i="4"/>
  <c r="R1090" i="4"/>
  <c r="J1090" i="4"/>
  <c r="B1090" i="4"/>
  <c r="AD392" i="4"/>
  <c r="AD390" i="4"/>
  <c r="AC390" i="4"/>
  <c r="X1088" i="4"/>
  <c r="H1088" i="4"/>
  <c r="J1088" i="4"/>
  <c r="B1088" i="4"/>
  <c r="S1088" i="4"/>
  <c r="K1088" i="4"/>
  <c r="Y1088" i="4"/>
  <c r="J1087" i="4"/>
  <c r="Y1087" i="4"/>
  <c r="Q1086" i="4"/>
  <c r="AD356" i="4"/>
  <c r="S1086" i="4"/>
  <c r="AD353" i="4"/>
  <c r="AD348" i="4"/>
  <c r="Q1085" i="4"/>
  <c r="I1085" i="4"/>
  <c r="Y1085" i="4"/>
  <c r="AC335" i="4"/>
  <c r="AC316" i="4"/>
  <c r="U1083" i="4"/>
  <c r="Y1083" i="4"/>
  <c r="V1082" i="4"/>
  <c r="N1082" i="4"/>
  <c r="F1082" i="4"/>
  <c r="N1081" i="4"/>
  <c r="F1081" i="4"/>
  <c r="T1081" i="4"/>
  <c r="L1081" i="4"/>
  <c r="D1081" i="4"/>
  <c r="AD285" i="4"/>
  <c r="Y1080" i="4"/>
  <c r="I1079" i="4"/>
  <c r="O1079" i="4"/>
  <c r="AC262" i="4"/>
  <c r="Y1078" i="4"/>
  <c r="AC245" i="4"/>
  <c r="AC240" i="4"/>
  <c r="AC238" i="4"/>
  <c r="J1076" i="4"/>
  <c r="K1076" i="4"/>
  <c r="Q1075" i="4"/>
  <c r="I1075" i="4"/>
  <c r="R1075" i="4"/>
  <c r="AD219" i="4"/>
  <c r="V1074" i="4"/>
  <c r="N1074" i="4"/>
  <c r="AC206" i="4"/>
  <c r="AC192" i="4"/>
  <c r="AD187" i="4"/>
  <c r="AC183" i="4"/>
  <c r="Y1072" i="4"/>
  <c r="K1070" i="4"/>
  <c r="AC163" i="4"/>
  <c r="X1070" i="4"/>
  <c r="P1070" i="4"/>
  <c r="H1070" i="4"/>
  <c r="J1069" i="4"/>
  <c r="AC151" i="4"/>
  <c r="Y1069" i="4"/>
  <c r="W1068" i="4"/>
  <c r="G1068" i="4"/>
  <c r="L1067" i="4"/>
  <c r="R1067" i="4"/>
  <c r="J1067" i="4"/>
  <c r="B1067" i="4"/>
  <c r="S1067" i="4"/>
  <c r="K1067" i="4"/>
  <c r="W1067" i="4"/>
  <c r="G1067" i="4"/>
  <c r="AC121" i="4"/>
  <c r="AC113" i="4"/>
  <c r="R1066" i="4"/>
  <c r="J1066" i="4"/>
  <c r="B1066" i="4"/>
  <c r="AC105" i="4"/>
  <c r="AC101" i="4"/>
  <c r="AD98" i="4"/>
  <c r="Y1065" i="4"/>
  <c r="T1064" i="4"/>
  <c r="L1064" i="4"/>
  <c r="D1064" i="4"/>
  <c r="AC85" i="4"/>
  <c r="G1063" i="4"/>
  <c r="AD77" i="4"/>
  <c r="AC72" i="4"/>
  <c r="AD70" i="4"/>
  <c r="AD68" i="4"/>
  <c r="AC68" i="4"/>
  <c r="J1062" i="4"/>
  <c r="B1062" i="4"/>
  <c r="O1061" i="4"/>
  <c r="S1061" i="4"/>
  <c r="AC50" i="4"/>
  <c r="AD49" i="4"/>
  <c r="AC46" i="4"/>
  <c r="AC40" i="4"/>
  <c r="AC39" i="4"/>
  <c r="AC34" i="4"/>
  <c r="AD33" i="4"/>
  <c r="U1059" i="4"/>
  <c r="M1059" i="4"/>
  <c r="AD28" i="4"/>
  <c r="M1080" i="6"/>
  <c r="E1059" i="6"/>
  <c r="AC281" i="4"/>
  <c r="W1080" i="4"/>
  <c r="AD279" i="4"/>
  <c r="G1080" i="4"/>
  <c r="AD260" i="4"/>
  <c r="AC260" i="4"/>
  <c r="U1078" i="4"/>
  <c r="Q1078" i="4"/>
  <c r="AD252" i="4"/>
  <c r="R1077" i="4"/>
  <c r="J1077" i="4"/>
  <c r="K1077" i="4"/>
  <c r="Q1076" i="4"/>
  <c r="I1076" i="4"/>
  <c r="AD220" i="4"/>
  <c r="Y1075" i="4"/>
  <c r="AC212" i="4"/>
  <c r="T1074" i="4"/>
  <c r="Y1074" i="4"/>
  <c r="AD197" i="4"/>
  <c r="AC197" i="4"/>
  <c r="AD188" i="4"/>
  <c r="Q1072" i="4"/>
  <c r="T1072" i="4"/>
  <c r="L1072" i="4"/>
  <c r="D1072" i="4"/>
  <c r="AC180" i="4"/>
  <c r="Y1071" i="4"/>
  <c r="AD168" i="4"/>
  <c r="AD166" i="4"/>
  <c r="AC166" i="4"/>
  <c r="R1070" i="4"/>
  <c r="J1070" i="4"/>
  <c r="P1069" i="4"/>
  <c r="I1069" i="4"/>
  <c r="AD136" i="4"/>
  <c r="AC136" i="4"/>
  <c r="U1068" i="4"/>
  <c r="AC134" i="4"/>
  <c r="AC133" i="4"/>
  <c r="B1068" i="4"/>
  <c r="AD125" i="4"/>
  <c r="Q1067" i="4"/>
  <c r="AD124" i="4"/>
  <c r="I1067" i="4"/>
  <c r="Y1066" i="4"/>
  <c r="AC104" i="4"/>
  <c r="AD103" i="4"/>
  <c r="AC89" i="4"/>
  <c r="AC86" i="4"/>
  <c r="AC78" i="4"/>
  <c r="X1062" i="4"/>
  <c r="P1062" i="4"/>
  <c r="Y1062" i="4"/>
  <c r="AD54" i="4"/>
  <c r="AC48" i="4"/>
  <c r="T1060" i="4"/>
  <c r="L1060" i="4"/>
  <c r="D1060" i="4"/>
  <c r="AD34" i="4"/>
  <c r="Q1059" i="4"/>
  <c r="R1058" i="4"/>
  <c r="AD19" i="4"/>
  <c r="Q1058" i="4"/>
  <c r="I1058" i="4"/>
  <c r="H1079" i="6"/>
  <c r="N1068" i="6"/>
  <c r="AD283" i="4"/>
  <c r="S1080" i="4"/>
  <c r="K1080" i="4"/>
  <c r="C1080" i="4"/>
  <c r="AC272" i="4"/>
  <c r="R1079" i="4"/>
  <c r="B1079" i="4"/>
  <c r="S1078" i="4"/>
  <c r="K1078" i="4"/>
  <c r="AD259" i="4"/>
  <c r="X1077" i="4"/>
  <c r="P1077" i="4"/>
  <c r="AD232" i="4"/>
  <c r="U1076" i="4"/>
  <c r="Y1076" i="4"/>
  <c r="AD225" i="4"/>
  <c r="AC220" i="4"/>
  <c r="X1075" i="4"/>
  <c r="P1075" i="4"/>
  <c r="H1075" i="4"/>
  <c r="S1074" i="4"/>
  <c r="K1074" i="4"/>
  <c r="AD209" i="4"/>
  <c r="X1073" i="4"/>
  <c r="P1073" i="4"/>
  <c r="AC202" i="4"/>
  <c r="AD199" i="4"/>
  <c r="AC188" i="4"/>
  <c r="X1072" i="4"/>
  <c r="P1072" i="4"/>
  <c r="H1072" i="4"/>
  <c r="AD174" i="4"/>
  <c r="AD172" i="4"/>
  <c r="I1071" i="4"/>
  <c r="AD164" i="4"/>
  <c r="AD162" i="4"/>
  <c r="AC162" i="4"/>
  <c r="V1070" i="4"/>
  <c r="N1070" i="4"/>
  <c r="F1070" i="4"/>
  <c r="L1068" i="4"/>
  <c r="AC137" i="4"/>
  <c r="Y1068" i="4"/>
  <c r="AC129" i="4"/>
  <c r="AC122" i="4"/>
  <c r="Y1067" i="4"/>
  <c r="AC119" i="4"/>
  <c r="S1066" i="4"/>
  <c r="K1066" i="4"/>
  <c r="AC111" i="4"/>
  <c r="L1066" i="4"/>
  <c r="AC109" i="4"/>
  <c r="S1065" i="4"/>
  <c r="K1065" i="4"/>
  <c r="W1064" i="4"/>
  <c r="O1064" i="4"/>
  <c r="AD92" i="4"/>
  <c r="I1064" i="4"/>
  <c r="Y1064" i="4"/>
  <c r="K1063" i="4"/>
  <c r="AC62" i="4"/>
  <c r="AC55" i="4"/>
  <c r="R1060" i="4"/>
  <c r="J1060" i="4"/>
  <c r="B1060" i="4"/>
  <c r="S1060" i="4"/>
  <c r="T1059" i="4"/>
  <c r="L1059" i="4"/>
  <c r="V1058" i="4"/>
  <c r="F1058" i="4"/>
  <c r="X1058" i="4"/>
  <c r="P1058" i="4"/>
  <c r="H1058" i="4"/>
  <c r="AC273" i="4"/>
  <c r="X1079" i="4"/>
  <c r="Y1079" i="4"/>
  <c r="AD249" i="4"/>
  <c r="AC244" i="4"/>
  <c r="Y1077" i="4"/>
  <c r="T1076" i="4"/>
  <c r="AD228" i="4"/>
  <c r="S1075" i="4"/>
  <c r="C1075" i="4"/>
  <c r="AC207" i="4"/>
  <c r="W1073" i="4"/>
  <c r="G1073" i="4"/>
  <c r="AD196" i="4"/>
  <c r="AC196" i="4"/>
  <c r="AD194" i="4"/>
  <c r="AC194" i="4"/>
  <c r="Y1073" i="4"/>
  <c r="AC189" i="4"/>
  <c r="AD179" i="4"/>
  <c r="S1071" i="4"/>
  <c r="K1071" i="4"/>
  <c r="AD163" i="4"/>
  <c r="Y1070" i="4"/>
  <c r="AD156" i="4"/>
  <c r="AC143" i="4"/>
  <c r="AD132" i="4"/>
  <c r="M1067" i="4"/>
  <c r="AC130" i="4"/>
  <c r="AD127" i="4"/>
  <c r="V1067" i="4"/>
  <c r="AC126" i="4"/>
  <c r="AC117" i="4"/>
  <c r="Q1066" i="4"/>
  <c r="I1066" i="4"/>
  <c r="AD109" i="4"/>
  <c r="AC106" i="4"/>
  <c r="R1065" i="4"/>
  <c r="J1065" i="4"/>
  <c r="B1065" i="4"/>
  <c r="V1064" i="4"/>
  <c r="X1063" i="4"/>
  <c r="H1063" i="4"/>
  <c r="AD73" i="4"/>
  <c r="AC57" i="4"/>
  <c r="L1061" i="4"/>
  <c r="D1061" i="4"/>
  <c r="AD41" i="4"/>
  <c r="P1060" i="4"/>
  <c r="Q1060" i="4"/>
  <c r="AA1059" i="4"/>
  <c r="R1059" i="4"/>
  <c r="AD26" i="4"/>
  <c r="AC26" i="4"/>
  <c r="AD24" i="4"/>
  <c r="AD23" i="4"/>
  <c r="AC23" i="4"/>
  <c r="AC19" i="4"/>
  <c r="C1105" i="3"/>
  <c r="A1106" i="3"/>
  <c r="D1105" i="3"/>
  <c r="E1105" i="3"/>
  <c r="J1105" i="3"/>
  <c r="B1105" i="3"/>
  <c r="H1105" i="3"/>
  <c r="I1105" i="3"/>
  <c r="F1105" i="3"/>
  <c r="G1105" i="3"/>
  <c r="G1106" i="4"/>
  <c r="O1106" i="4"/>
  <c r="W1106" i="4"/>
  <c r="H1106" i="4"/>
  <c r="P1106" i="4"/>
  <c r="X1106" i="4"/>
  <c r="I1106" i="4"/>
  <c r="Q1106" i="4"/>
  <c r="F1106" i="4"/>
  <c r="T1106" i="4"/>
  <c r="J1106" i="4"/>
  <c r="U1106" i="4"/>
  <c r="K1106" i="4"/>
  <c r="V1106" i="4"/>
  <c r="M1106" i="4"/>
  <c r="N1106" i="4"/>
  <c r="C1106" i="4"/>
  <c r="D1106" i="4"/>
  <c r="A1107" i="4"/>
  <c r="S1106" i="4"/>
  <c r="E1106" i="4"/>
  <c r="L1106" i="4"/>
  <c r="R1106" i="4"/>
  <c r="B1106" i="4"/>
  <c r="H1105" i="2"/>
  <c r="I1105" i="2"/>
  <c r="J1105" i="2"/>
  <c r="F1105" i="2"/>
  <c r="G1105" i="2"/>
  <c r="B1105" i="2"/>
  <c r="E1105" i="2"/>
  <c r="C1105" i="2"/>
  <c r="K1105" i="2"/>
  <c r="A1106" i="2"/>
  <c r="F1100" i="2"/>
  <c r="H1098" i="2"/>
  <c r="H1097" i="2"/>
  <c r="H1092" i="2"/>
  <c r="B1090" i="2"/>
  <c r="H1086" i="2"/>
  <c r="H1085" i="2"/>
  <c r="H1081" i="2"/>
  <c r="J1079" i="2"/>
  <c r="H1078" i="2"/>
  <c r="B1077" i="2"/>
  <c r="H1075" i="2"/>
  <c r="H1061" i="2"/>
  <c r="F1058" i="2"/>
  <c r="J1098" i="3"/>
  <c r="B1090" i="3"/>
  <c r="B1082" i="3"/>
  <c r="F1073" i="3"/>
  <c r="F1071" i="3"/>
  <c r="B1070" i="3"/>
  <c r="AC333" i="4"/>
  <c r="D1084" i="4"/>
  <c r="L1074" i="4"/>
  <c r="M1145" i="6"/>
  <c r="M1144" i="6"/>
  <c r="O1143" i="6"/>
  <c r="E1142" i="6"/>
  <c r="G1141" i="6"/>
  <c r="M1140" i="6"/>
  <c r="G1139" i="6"/>
  <c r="M1138" i="6"/>
  <c r="G1137" i="6"/>
  <c r="O1136" i="6"/>
  <c r="O1135" i="6"/>
  <c r="O1134" i="6"/>
  <c r="O1133" i="6"/>
  <c r="G1132" i="6"/>
  <c r="E1131" i="6"/>
  <c r="O1130" i="6"/>
  <c r="G1129" i="6"/>
  <c r="E1128" i="6"/>
  <c r="O1127" i="6"/>
  <c r="O1126" i="6"/>
  <c r="O1125" i="6"/>
  <c r="O1124" i="6"/>
  <c r="O1123" i="6"/>
  <c r="O1122" i="6"/>
  <c r="E1121" i="6"/>
  <c r="G1120" i="6"/>
  <c r="O1119" i="6"/>
  <c r="O1118" i="6"/>
  <c r="G1117" i="6"/>
  <c r="E1116" i="6"/>
  <c r="O1115" i="6"/>
  <c r="E1114" i="6"/>
  <c r="O1113" i="6"/>
  <c r="E1112" i="6"/>
  <c r="O1111" i="6"/>
  <c r="O1110" i="6"/>
  <c r="O1109" i="6"/>
  <c r="O1108" i="6"/>
  <c r="M1107" i="6"/>
  <c r="O1106" i="6"/>
  <c r="M1105" i="6"/>
  <c r="O1104" i="6"/>
  <c r="E1103" i="6"/>
  <c r="O1102" i="6"/>
  <c r="M1101" i="6"/>
  <c r="E1099" i="6"/>
  <c r="G1098" i="6"/>
  <c r="O1097" i="6"/>
  <c r="E1096" i="6"/>
  <c r="G1095" i="6"/>
  <c r="O1094" i="6"/>
  <c r="O1093" i="6"/>
  <c r="O1092" i="6"/>
  <c r="O1091" i="6"/>
  <c r="E1090" i="6"/>
  <c r="O1089" i="6"/>
  <c r="O1088" i="6"/>
  <c r="M1087" i="6"/>
  <c r="M1086" i="6"/>
  <c r="O1085" i="6"/>
  <c r="O1084" i="6"/>
  <c r="O1083" i="6"/>
  <c r="M1082" i="6"/>
  <c r="G1081" i="6"/>
  <c r="G1080" i="6"/>
  <c r="E1079" i="6"/>
  <c r="E1078" i="6"/>
  <c r="E1077" i="6"/>
  <c r="E1076" i="6"/>
  <c r="E1075" i="6"/>
  <c r="M1074" i="6"/>
  <c r="O1073" i="6"/>
  <c r="M1072" i="6"/>
  <c r="M1071" i="6"/>
  <c r="O1070" i="6"/>
  <c r="E1069" i="6"/>
  <c r="O1068" i="6"/>
  <c r="M1067" i="6"/>
  <c r="G1066" i="6"/>
  <c r="O1065" i="6"/>
  <c r="I1100" i="6"/>
  <c r="I1059" i="6"/>
  <c r="G1101" i="2"/>
  <c r="G1086" i="2"/>
  <c r="C1085" i="2"/>
  <c r="I1083" i="2"/>
  <c r="I1078" i="2"/>
  <c r="E1074" i="2"/>
  <c r="G1071" i="2"/>
  <c r="G1067" i="2"/>
  <c r="G1064" i="2"/>
  <c r="I1086" i="3"/>
  <c r="E1085" i="3"/>
  <c r="E1073" i="3"/>
  <c r="AC398" i="4"/>
  <c r="AC246" i="4"/>
  <c r="AC184" i="4"/>
  <c r="I1072" i="4"/>
  <c r="N1145" i="6"/>
  <c r="N1144" i="6"/>
  <c r="N1143" i="6"/>
  <c r="N1142" i="6"/>
  <c r="L1141" i="6"/>
  <c r="L1140" i="6"/>
  <c r="N1139" i="6"/>
  <c r="D1138" i="6"/>
  <c r="L1137" i="6"/>
  <c r="D1136" i="6"/>
  <c r="F1135" i="6"/>
  <c r="N1134" i="6"/>
  <c r="D1133" i="6"/>
  <c r="N1132" i="6"/>
  <c r="N1131" i="6"/>
  <c r="N1130" i="6"/>
  <c r="N1129" i="6"/>
  <c r="D1128" i="6"/>
  <c r="F1127" i="6"/>
  <c r="D1126" i="6"/>
  <c r="D1125" i="6"/>
  <c r="N1124" i="6"/>
  <c r="L1123" i="6"/>
  <c r="F1122" i="6"/>
  <c r="N1121" i="6"/>
  <c r="N1120" i="6"/>
  <c r="F1119" i="6"/>
  <c r="D1118" i="6"/>
  <c r="D1117" i="6"/>
  <c r="L1116" i="6"/>
  <c r="N1115" i="6"/>
  <c r="N1114" i="6"/>
  <c r="N1113" i="6"/>
  <c r="L1112" i="6"/>
  <c r="F1111" i="6"/>
  <c r="D1110" i="6"/>
  <c r="L1109" i="6"/>
  <c r="N1108" i="6"/>
  <c r="N1107" i="6"/>
  <c r="N1106" i="6"/>
  <c r="D1105" i="6"/>
  <c r="L1104" i="6"/>
  <c r="N1103" i="6"/>
  <c r="N1102" i="6"/>
  <c r="D1101" i="6"/>
  <c r="N1099" i="6"/>
  <c r="F1098" i="6"/>
  <c r="N1097" i="6"/>
  <c r="N1096" i="6"/>
  <c r="N1095" i="6"/>
  <c r="N1094" i="6"/>
  <c r="F1093" i="6"/>
  <c r="D1092" i="6"/>
  <c r="F1091" i="6"/>
  <c r="N1090" i="6"/>
  <c r="N1089" i="6"/>
  <c r="N1088" i="6"/>
  <c r="L1087" i="6"/>
  <c r="L1086" i="6"/>
  <c r="N1085" i="6"/>
  <c r="B1100" i="6"/>
  <c r="B1059" i="6"/>
  <c r="H1103" i="2"/>
  <c r="B1099" i="2"/>
  <c r="B1094" i="2"/>
  <c r="H1093" i="2"/>
  <c r="B1089" i="2"/>
  <c r="J1083" i="2"/>
  <c r="F1069" i="2"/>
  <c r="H1067" i="2"/>
  <c r="H1062" i="2"/>
  <c r="H1060" i="2"/>
  <c r="J1102" i="3"/>
  <c r="B1098" i="3"/>
  <c r="B1094" i="3"/>
  <c r="J1090" i="3"/>
  <c r="J1082" i="3"/>
  <c r="B1080" i="3"/>
  <c r="B1078" i="3"/>
  <c r="B1076" i="3"/>
  <c r="B1072" i="3"/>
  <c r="J1070" i="3"/>
  <c r="B1068" i="3"/>
  <c r="B1066" i="3"/>
  <c r="B1062" i="3"/>
  <c r="J1058" i="3"/>
  <c r="AD301" i="4"/>
  <c r="O1082" i="4"/>
  <c r="AC280" i="4"/>
  <c r="F1080" i="4"/>
  <c r="AC208" i="4"/>
  <c r="D1074" i="4"/>
  <c r="R1080" i="5"/>
  <c r="Q288" i="5"/>
  <c r="G1145" i="6"/>
  <c r="G1144" i="6"/>
  <c r="E1143" i="6"/>
  <c r="M1142" i="6"/>
  <c r="M1141" i="6"/>
  <c r="G1140" i="6"/>
  <c r="O1139" i="6"/>
  <c r="O1138" i="6"/>
  <c r="E1137" i="6"/>
  <c r="E1136" i="6"/>
  <c r="G1135" i="6"/>
  <c r="G1134" i="6"/>
  <c r="G1133" i="6"/>
  <c r="O1132" i="6"/>
  <c r="G1131" i="6"/>
  <c r="M1130" i="6"/>
  <c r="M1129" i="6"/>
  <c r="O1128" i="6"/>
  <c r="G1127" i="6"/>
  <c r="E1126" i="6"/>
  <c r="M1125" i="6"/>
  <c r="E1124" i="6"/>
  <c r="E1123" i="6"/>
  <c r="G1122" i="6"/>
  <c r="M1121" i="6"/>
  <c r="M1120" i="6"/>
  <c r="M1119" i="6"/>
  <c r="M1118" i="6"/>
  <c r="O1117" i="6"/>
  <c r="G1116" i="6"/>
  <c r="G1115" i="6"/>
  <c r="M1114" i="6"/>
  <c r="M1113" i="6"/>
  <c r="M1112" i="6"/>
  <c r="M1111" i="6"/>
  <c r="E1110" i="6"/>
  <c r="G1109" i="6"/>
  <c r="M1108" i="6"/>
  <c r="G1107" i="6"/>
  <c r="G1106" i="6"/>
  <c r="E1105" i="6"/>
  <c r="G1104" i="6"/>
  <c r="O1103" i="6"/>
  <c r="G1102" i="6"/>
  <c r="G1101" i="6"/>
  <c r="G1099" i="6"/>
  <c r="O1098" i="6"/>
  <c r="M1097" i="6"/>
  <c r="O1096" i="6"/>
  <c r="O1095" i="6"/>
  <c r="G1094" i="6"/>
  <c r="M1093" i="6"/>
  <c r="G1092" i="6"/>
  <c r="G1091" i="6"/>
  <c r="O1090" i="6"/>
  <c r="M1089" i="6"/>
  <c r="G1088" i="6"/>
  <c r="E1087" i="6"/>
  <c r="E1086" i="6"/>
  <c r="G1085" i="6"/>
  <c r="M1084" i="6"/>
  <c r="M1083" i="6"/>
  <c r="G1082" i="6"/>
  <c r="O1081" i="6"/>
  <c r="G1079" i="6"/>
  <c r="O1078" i="6"/>
  <c r="G1077" i="6"/>
  <c r="G1076" i="6"/>
  <c r="M1075" i="6"/>
  <c r="O1074" i="6"/>
  <c r="G1073" i="6"/>
  <c r="E1072" i="6"/>
  <c r="G1071" i="6"/>
  <c r="M1070" i="6"/>
  <c r="M1069" i="6"/>
  <c r="E1068" i="6"/>
  <c r="E1067" i="6"/>
  <c r="E1066" i="6"/>
  <c r="E1065" i="6"/>
  <c r="G1064" i="6"/>
  <c r="M1063" i="6"/>
  <c r="M1062" i="6"/>
  <c r="G1061" i="6"/>
  <c r="G1060" i="6"/>
  <c r="G1059" i="6"/>
  <c r="G1100" i="6"/>
  <c r="E1104" i="2"/>
  <c r="G1102" i="2"/>
  <c r="G1098" i="2"/>
  <c r="G1095" i="2"/>
  <c r="I1092" i="2"/>
  <c r="C1086" i="2"/>
  <c r="E1082" i="2"/>
  <c r="E1080" i="2"/>
  <c r="C1073" i="2"/>
  <c r="K1064" i="2"/>
  <c r="G1062" i="2"/>
  <c r="K1060" i="2"/>
  <c r="E1103" i="3"/>
  <c r="I1100" i="3"/>
  <c r="E1095" i="3"/>
  <c r="E1093" i="3"/>
  <c r="E1089" i="3"/>
  <c r="I1088" i="3"/>
  <c r="I1082" i="3"/>
  <c r="E1065" i="3"/>
  <c r="E1059" i="3"/>
  <c r="AC1048" i="4"/>
  <c r="AC1011" i="4"/>
  <c r="AC921" i="4"/>
  <c r="AC880" i="4"/>
  <c r="AC864" i="4"/>
  <c r="AD840" i="4"/>
  <c r="AC834" i="4"/>
  <c r="H1101" i="4"/>
  <c r="N1099" i="4"/>
  <c r="AD370" i="4"/>
  <c r="U1080" i="4"/>
  <c r="AD230" i="4"/>
  <c r="M1076" i="4"/>
  <c r="H1145" i="6"/>
  <c r="D1145" i="6"/>
  <c r="L1144" i="6"/>
  <c r="L1143" i="6"/>
  <c r="F1142" i="6"/>
  <c r="F1141" i="6"/>
  <c r="J1140" i="6"/>
  <c r="N1140" i="6"/>
  <c r="F1139" i="6"/>
  <c r="L1138" i="6"/>
  <c r="F1137" i="6"/>
  <c r="L1136" i="6"/>
  <c r="H1135" i="6"/>
  <c r="D1135" i="6"/>
  <c r="F1134" i="6"/>
  <c r="F1133" i="6"/>
  <c r="H1132" i="6"/>
  <c r="L1132" i="6"/>
  <c r="L1131" i="6"/>
  <c r="H1130" i="6"/>
  <c r="L1130" i="6"/>
  <c r="H1129" i="6"/>
  <c r="D1129" i="6"/>
  <c r="B1128" i="6"/>
  <c r="L1128" i="6"/>
  <c r="L1127" i="6"/>
  <c r="N1126" i="6"/>
  <c r="H1125" i="6"/>
  <c r="F1125" i="6"/>
  <c r="F1124" i="6"/>
  <c r="H1123" i="6"/>
  <c r="D1123" i="6"/>
  <c r="H1122" i="6"/>
  <c r="D1122" i="6"/>
  <c r="H1121" i="6"/>
  <c r="D1121" i="6"/>
  <c r="F1120" i="6"/>
  <c r="N1119" i="6"/>
  <c r="F1118" i="6"/>
  <c r="N1117" i="6"/>
  <c r="N1116" i="6"/>
  <c r="B1115" i="6"/>
  <c r="D1115" i="6"/>
  <c r="L1114" i="6"/>
  <c r="L1113" i="6"/>
  <c r="F1112" i="6"/>
  <c r="H1111" i="6"/>
  <c r="D1111" i="6"/>
  <c r="L1110" i="6"/>
  <c r="N1109" i="6"/>
  <c r="H1108" i="6"/>
  <c r="D1108" i="6"/>
  <c r="F1107" i="6"/>
  <c r="F1106" i="6"/>
  <c r="F1105" i="6"/>
  <c r="F1104" i="6"/>
  <c r="H1103" i="6"/>
  <c r="D1103" i="6"/>
  <c r="H1102" i="6"/>
  <c r="D1102" i="6"/>
  <c r="H1101" i="6"/>
  <c r="L1101" i="6"/>
  <c r="L1099" i="6"/>
  <c r="H1098" i="6"/>
  <c r="D1098" i="6"/>
  <c r="L1097" i="6"/>
  <c r="F1096" i="6"/>
  <c r="F1095" i="6"/>
  <c r="L1094" i="6"/>
  <c r="H1093" i="6"/>
  <c r="D1093" i="6"/>
  <c r="N1092" i="6"/>
  <c r="H1091" i="6"/>
  <c r="D1091" i="6"/>
  <c r="F1090" i="6"/>
  <c r="F1089" i="6"/>
  <c r="F1088" i="6"/>
  <c r="F1087" i="6"/>
  <c r="N1086" i="6"/>
  <c r="F1085" i="6"/>
  <c r="N1084" i="6"/>
  <c r="D1084" i="6"/>
  <c r="H1083" i="6"/>
  <c r="D1083" i="6"/>
  <c r="N1082" i="6"/>
  <c r="D1082" i="6"/>
  <c r="F1081" i="6"/>
  <c r="F1080" i="6"/>
  <c r="L1079" i="6"/>
  <c r="N1078" i="6"/>
  <c r="D1078" i="6"/>
  <c r="L1077" i="6"/>
  <c r="N1076" i="6"/>
  <c r="D1076" i="6"/>
  <c r="N1075" i="6"/>
  <c r="F1075" i="6"/>
  <c r="J1074" i="6"/>
  <c r="F1074" i="6"/>
  <c r="N1073" i="6"/>
  <c r="D1073" i="6"/>
  <c r="H1072" i="6"/>
  <c r="L1072" i="6"/>
  <c r="N1071" i="6"/>
  <c r="L1071" i="6"/>
  <c r="N1070" i="6"/>
  <c r="D1070" i="6"/>
  <c r="H1069" i="6"/>
  <c r="F1069" i="6"/>
  <c r="D1068" i="6"/>
  <c r="N1067" i="6"/>
  <c r="D1067" i="6"/>
  <c r="H1066" i="6"/>
  <c r="L1066" i="6"/>
  <c r="N1065" i="6"/>
  <c r="D1065" i="6"/>
  <c r="N1064" i="6"/>
  <c r="D1064" i="6"/>
  <c r="H1063" i="6"/>
  <c r="F1063" i="6"/>
  <c r="H1062" i="6"/>
  <c r="D1062" i="6"/>
  <c r="L1061" i="6"/>
  <c r="N1060" i="6"/>
  <c r="D1060" i="6"/>
  <c r="J1100" i="6"/>
  <c r="J1059" i="6"/>
  <c r="F1059" i="6"/>
  <c r="F1100" i="6"/>
  <c r="J1095" i="2"/>
  <c r="F1084" i="2"/>
  <c r="B1075" i="2"/>
  <c r="F1102" i="3"/>
  <c r="H1097" i="3"/>
  <c r="D1097" i="3"/>
  <c r="H1093" i="3"/>
  <c r="H1090" i="3"/>
  <c r="H1089" i="3"/>
  <c r="D1089" i="3"/>
  <c r="D1088" i="3"/>
  <c r="H1088" i="3"/>
  <c r="C1087" i="3"/>
  <c r="B1085" i="3"/>
  <c r="J1081" i="3"/>
  <c r="D1078" i="3"/>
  <c r="F1076" i="3"/>
  <c r="G1075" i="3"/>
  <c r="F1074" i="3"/>
  <c r="B1073" i="3"/>
  <c r="G1068" i="3"/>
  <c r="G1065" i="3"/>
  <c r="B1063" i="3"/>
  <c r="D1062" i="3"/>
  <c r="H1062" i="3"/>
  <c r="G1058" i="3"/>
  <c r="H1057" i="3"/>
  <c r="G1066" i="4"/>
  <c r="AD930" i="4"/>
  <c r="AD814" i="4"/>
  <c r="AD794" i="4"/>
  <c r="V1101" i="4"/>
  <c r="H1096" i="4"/>
  <c r="W1090" i="4"/>
  <c r="AC392" i="4"/>
  <c r="AC266" i="4"/>
  <c r="H1079" i="4"/>
  <c r="L1076" i="4"/>
  <c r="F1073" i="4"/>
  <c r="C1102" i="2"/>
  <c r="I1099" i="2"/>
  <c r="C1097" i="2"/>
  <c r="E1093" i="2"/>
  <c r="K1086" i="2"/>
  <c r="E1072" i="2"/>
  <c r="E1068" i="2"/>
  <c r="AC1039" i="4"/>
  <c r="AC860" i="4"/>
  <c r="AC825" i="4"/>
  <c r="AC806" i="4"/>
  <c r="AD538" i="4"/>
  <c r="M1101" i="4"/>
  <c r="C1095" i="4"/>
  <c r="AC457" i="4"/>
  <c r="AD80" i="4"/>
  <c r="P1063" i="4"/>
  <c r="O1060" i="4"/>
  <c r="S956" i="5"/>
  <c r="AD957" i="4"/>
  <c r="AD1040" i="4"/>
  <c r="AC953" i="4"/>
  <c r="AC742" i="4"/>
  <c r="V1103" i="4"/>
  <c r="R1102" i="4"/>
  <c r="AC547" i="4"/>
  <c r="AD493" i="4"/>
  <c r="O1098" i="4"/>
  <c r="B1082" i="4"/>
  <c r="B1076" i="4"/>
  <c r="J1074" i="4"/>
  <c r="AC146" i="4"/>
  <c r="E1069" i="4"/>
  <c r="O1063" i="4"/>
  <c r="J1063" i="4"/>
  <c r="C1102" i="4"/>
  <c r="E1080" i="4"/>
  <c r="AD983" i="4"/>
  <c r="AC932" i="4"/>
  <c r="AC913" i="4"/>
  <c r="AD868" i="4"/>
  <c r="AD867" i="4"/>
  <c r="AD847" i="4"/>
  <c r="AC813" i="4"/>
  <c r="AC793" i="4"/>
  <c r="AC762" i="4"/>
  <c r="AC715" i="4"/>
  <c r="AC522" i="4"/>
  <c r="H1100" i="4"/>
  <c r="S1100" i="4"/>
  <c r="K1100" i="4"/>
  <c r="AC519" i="4"/>
  <c r="C1100" i="4"/>
  <c r="AC514" i="4"/>
  <c r="N1098" i="4"/>
  <c r="AD461" i="4"/>
  <c r="L1090" i="4"/>
  <c r="D1090" i="4"/>
  <c r="J1084" i="4"/>
  <c r="AD314" i="4"/>
  <c r="M1083" i="4"/>
  <c r="AC314" i="4"/>
  <c r="E1083" i="4"/>
  <c r="AC148" i="4"/>
  <c r="T1069" i="4"/>
  <c r="L1069" i="4"/>
  <c r="V1065" i="4"/>
  <c r="N1065" i="4"/>
  <c r="AC91" i="4"/>
  <c r="AD83" i="4"/>
  <c r="AD81" i="4"/>
  <c r="AC81" i="4"/>
  <c r="S703" i="5"/>
  <c r="AD704" i="4"/>
  <c r="S648" i="5"/>
  <c r="AD649" i="4"/>
  <c r="H1096" i="2"/>
  <c r="H1094" i="2"/>
  <c r="H1090" i="2"/>
  <c r="H1089" i="2"/>
  <c r="H1080" i="2"/>
  <c r="J1075" i="2"/>
  <c r="F1074" i="2"/>
  <c r="J1069" i="2"/>
  <c r="H1065" i="2"/>
  <c r="H1064" i="2"/>
  <c r="H1058" i="2"/>
  <c r="F1099" i="3"/>
  <c r="B1096" i="3"/>
  <c r="B1092" i="3"/>
  <c r="F1089" i="3"/>
  <c r="J1086" i="3"/>
  <c r="J1078" i="3"/>
  <c r="F1077" i="3"/>
  <c r="J1076" i="3"/>
  <c r="J1074" i="3"/>
  <c r="F1065" i="3"/>
  <c r="F1063" i="3"/>
  <c r="B1060" i="3"/>
  <c r="F1059" i="3"/>
  <c r="C1057" i="3"/>
  <c r="V1080" i="4"/>
  <c r="AD113" i="4"/>
  <c r="O1066" i="4"/>
  <c r="S380" i="5"/>
  <c r="AD381" i="4"/>
  <c r="S366" i="5"/>
  <c r="AD367" i="4"/>
  <c r="O1145" i="6"/>
  <c r="E1144" i="6"/>
  <c r="G1143" i="6"/>
  <c r="G1142" i="6"/>
  <c r="O1141" i="6"/>
  <c r="E1140" i="6"/>
  <c r="M1139" i="6"/>
  <c r="E1138" i="6"/>
  <c r="M1137" i="6"/>
  <c r="M1136" i="6"/>
  <c r="E1135" i="6"/>
  <c r="E1134" i="6"/>
  <c r="M1133" i="6"/>
  <c r="M1132" i="6"/>
  <c r="O1131" i="6"/>
  <c r="G1130" i="6"/>
  <c r="O1129" i="6"/>
  <c r="G1128" i="6"/>
  <c r="E1127" i="6"/>
  <c r="G1126" i="6"/>
  <c r="G1125" i="6"/>
  <c r="M1124" i="6"/>
  <c r="M1123" i="6"/>
  <c r="E1122" i="6"/>
  <c r="O1121" i="6"/>
  <c r="E1120" i="6"/>
  <c r="E1119" i="6"/>
  <c r="E1118" i="6"/>
  <c r="M1117" i="6"/>
  <c r="O1116" i="6"/>
  <c r="E1115" i="6"/>
  <c r="O1114" i="6"/>
  <c r="G1113" i="6"/>
  <c r="G1112" i="6"/>
  <c r="G1111" i="6"/>
  <c r="G1110" i="6"/>
  <c r="M1109" i="6"/>
  <c r="E1108" i="6"/>
  <c r="E1107" i="6"/>
  <c r="M1106" i="6"/>
  <c r="O1105" i="6"/>
  <c r="M1104" i="6"/>
  <c r="M1103" i="6"/>
  <c r="E1102" i="6"/>
  <c r="O1101" i="6"/>
  <c r="M1099" i="6"/>
  <c r="E1098" i="6"/>
  <c r="E1097" i="6"/>
  <c r="M1096" i="6"/>
  <c r="E1095" i="6"/>
  <c r="E1094" i="6"/>
  <c r="G1093" i="6"/>
  <c r="M1092" i="6"/>
  <c r="M1091" i="6"/>
  <c r="G1090" i="6"/>
  <c r="G1089" i="6"/>
  <c r="M1088" i="6"/>
  <c r="G1087" i="6"/>
  <c r="O1086" i="6"/>
  <c r="E1085" i="6"/>
  <c r="E1084" i="6"/>
  <c r="E1083" i="6"/>
  <c r="E1082" i="6"/>
  <c r="E1081" i="6"/>
  <c r="O1080" i="6"/>
  <c r="O1079" i="6"/>
  <c r="G1078" i="6"/>
  <c r="O1077" i="6"/>
  <c r="O1076" i="6"/>
  <c r="G1075" i="6"/>
  <c r="G1074" i="6"/>
  <c r="E1073" i="6"/>
  <c r="G1072" i="6"/>
  <c r="O1071" i="6"/>
  <c r="E1070" i="6"/>
  <c r="O1069" i="6"/>
  <c r="G1068" i="6"/>
  <c r="O1067" i="6"/>
  <c r="M1066" i="6"/>
  <c r="M1065" i="6"/>
  <c r="O1064" i="6"/>
  <c r="E1064" i="6"/>
  <c r="O1063" i="6"/>
  <c r="E1063" i="6"/>
  <c r="O1062" i="6"/>
  <c r="E1062" i="6"/>
  <c r="M1061" i="6"/>
  <c r="M1060" i="6"/>
  <c r="K1102" i="2"/>
  <c r="K1101" i="2"/>
  <c r="G1100" i="2"/>
  <c r="G1096" i="2"/>
  <c r="G1094" i="2"/>
  <c r="G1091" i="2"/>
  <c r="C1090" i="2"/>
  <c r="I1088" i="2"/>
  <c r="E1086" i="2"/>
  <c r="G1085" i="2"/>
  <c r="E1081" i="2"/>
  <c r="C1077" i="2"/>
  <c r="G1075" i="2"/>
  <c r="G1073" i="2"/>
  <c r="I1072" i="2"/>
  <c r="G1068" i="2"/>
  <c r="G1063" i="2"/>
  <c r="G1061" i="2"/>
  <c r="E1058" i="2"/>
  <c r="I1102" i="3"/>
  <c r="E1101" i="3"/>
  <c r="E1099" i="3"/>
  <c r="I1096" i="3"/>
  <c r="I1092" i="3"/>
  <c r="E1087" i="3"/>
  <c r="I1084" i="3"/>
  <c r="E1083" i="3"/>
  <c r="E1081" i="3"/>
  <c r="I1078" i="3"/>
  <c r="I1076" i="3"/>
  <c r="I1070" i="3"/>
  <c r="E1069" i="3"/>
  <c r="I1066" i="3"/>
  <c r="I1064" i="3"/>
  <c r="AD1012" i="4"/>
  <c r="AD570" i="4"/>
  <c r="M1104" i="4"/>
  <c r="AD372" i="4"/>
  <c r="AD299" i="4"/>
  <c r="AD284" i="4"/>
  <c r="M1080" i="4"/>
  <c r="AC230" i="4"/>
  <c r="E1076" i="4"/>
  <c r="I1059" i="4"/>
  <c r="AC31" i="4"/>
  <c r="F1145" i="6"/>
  <c r="H1144" i="6"/>
  <c r="D1144" i="6"/>
  <c r="F1143" i="6"/>
  <c r="L1142" i="6"/>
  <c r="N1141" i="6"/>
  <c r="H1140" i="6"/>
  <c r="F1140" i="6"/>
  <c r="L1139" i="6"/>
  <c r="F1138" i="6"/>
  <c r="N1137" i="6"/>
  <c r="F1136" i="6"/>
  <c r="L1135" i="6"/>
  <c r="L1134" i="6"/>
  <c r="H1133" i="6"/>
  <c r="N1133" i="6"/>
  <c r="D1132" i="6"/>
  <c r="F1131" i="6"/>
  <c r="F1130" i="6"/>
  <c r="F1129" i="6"/>
  <c r="H1128" i="6"/>
  <c r="F1128" i="6"/>
  <c r="H1127" i="6"/>
  <c r="D1127" i="6"/>
  <c r="H1126" i="6"/>
  <c r="L1126" i="6"/>
  <c r="N1125" i="6"/>
  <c r="L1124" i="6"/>
  <c r="N1123" i="6"/>
  <c r="N1122" i="6"/>
  <c r="F1121" i="6"/>
  <c r="L1120" i="6"/>
  <c r="L1119" i="6"/>
  <c r="N1118" i="6"/>
  <c r="H1117" i="6"/>
  <c r="F1117" i="6"/>
  <c r="H1116" i="6"/>
  <c r="D1116" i="6"/>
  <c r="H1115" i="6"/>
  <c r="L1115" i="6"/>
  <c r="H1114" i="6"/>
  <c r="D1114" i="6"/>
  <c r="F1113" i="6"/>
  <c r="H1112" i="6"/>
  <c r="D1112" i="6"/>
  <c r="N1111" i="6"/>
  <c r="H1110" i="6"/>
  <c r="F1110" i="6"/>
  <c r="F1109" i="6"/>
  <c r="L1108" i="6"/>
  <c r="H1107" i="6"/>
  <c r="D1107" i="6"/>
  <c r="H1106" i="6"/>
  <c r="D1106" i="6"/>
  <c r="N1105" i="6"/>
  <c r="H1104" i="6"/>
  <c r="D1104" i="6"/>
  <c r="L1103" i="6"/>
  <c r="L1102" i="6"/>
  <c r="F1101" i="6"/>
  <c r="J1099" i="6"/>
  <c r="F1099" i="6"/>
  <c r="N1098" i="6"/>
  <c r="H1097" i="6"/>
  <c r="D1097" i="6"/>
  <c r="L1096" i="6"/>
  <c r="L1095" i="6"/>
  <c r="H1094" i="6"/>
  <c r="D1094" i="6"/>
  <c r="N1093" i="6"/>
  <c r="F1092" i="6"/>
  <c r="N1091" i="6"/>
  <c r="L1090" i="6"/>
  <c r="H1089" i="6"/>
  <c r="D1089" i="6"/>
  <c r="L1088" i="6"/>
  <c r="N1087" i="6"/>
  <c r="F1086" i="6"/>
  <c r="H1085" i="6"/>
  <c r="D1085" i="6"/>
  <c r="F1084" i="6"/>
  <c r="F1083" i="6"/>
  <c r="H1082" i="6"/>
  <c r="L1082" i="6"/>
  <c r="N1081" i="6"/>
  <c r="D1081" i="6"/>
  <c r="H1080" i="6"/>
  <c r="L1080" i="6"/>
  <c r="F1079" i="6"/>
  <c r="H1078" i="6"/>
  <c r="L1078" i="6"/>
  <c r="N1077" i="6"/>
  <c r="D1077" i="6"/>
  <c r="F1076" i="6"/>
  <c r="L1075" i="6"/>
  <c r="N1074" i="6"/>
  <c r="D1074" i="6"/>
  <c r="F1073" i="6"/>
  <c r="F1072" i="6"/>
  <c r="H1071" i="6"/>
  <c r="D1071" i="6"/>
  <c r="H1070" i="6"/>
  <c r="L1070" i="6"/>
  <c r="N1069" i="6"/>
  <c r="D1069" i="6"/>
  <c r="F1068" i="6"/>
  <c r="H1067" i="6"/>
  <c r="L1067" i="6"/>
  <c r="N1066" i="6"/>
  <c r="D1066" i="6"/>
  <c r="H1065" i="6"/>
  <c r="L1065" i="6"/>
  <c r="H1064" i="6"/>
  <c r="L1064" i="6"/>
  <c r="D1063" i="6"/>
  <c r="N1062" i="6"/>
  <c r="L1062" i="6"/>
  <c r="H1061" i="6"/>
  <c r="F1061" i="6"/>
  <c r="H1060" i="6"/>
  <c r="F1060" i="6"/>
  <c r="D1059" i="6"/>
  <c r="N1059" i="6"/>
  <c r="N1100" i="6"/>
  <c r="J1090" i="2"/>
  <c r="J1077" i="2"/>
  <c r="J1063" i="2"/>
  <c r="F1059" i="2"/>
  <c r="J1103" i="3"/>
  <c r="H1101" i="3"/>
  <c r="D1101" i="3"/>
  <c r="G1098" i="3"/>
  <c r="H1094" i="3"/>
  <c r="H1092" i="3"/>
  <c r="B1091" i="3"/>
  <c r="F1090" i="3"/>
  <c r="F1086" i="3"/>
  <c r="D1083" i="3"/>
  <c r="F1082" i="3"/>
  <c r="D1081" i="3"/>
  <c r="D1079" i="3"/>
  <c r="C1078" i="3"/>
  <c r="H1078" i="3"/>
  <c r="I1073" i="3"/>
  <c r="D1073" i="3"/>
  <c r="D1072" i="3"/>
  <c r="C1071" i="3"/>
  <c r="H1070" i="3"/>
  <c r="D1069" i="3"/>
  <c r="H1068" i="3"/>
  <c r="G1066" i="3"/>
  <c r="B1065" i="3"/>
  <c r="D1064" i="3"/>
  <c r="I1063" i="3"/>
  <c r="C1061" i="3"/>
  <c r="H1060" i="3"/>
  <c r="H1059" i="3"/>
  <c r="D1059" i="3"/>
  <c r="I1057" i="3"/>
  <c r="AC1049" i="4"/>
  <c r="AC814" i="4"/>
  <c r="AD776" i="4"/>
  <c r="AC759" i="4"/>
  <c r="AC689" i="4"/>
  <c r="N1101" i="4"/>
  <c r="X1096" i="4"/>
  <c r="L1094" i="4"/>
  <c r="O1090" i="4"/>
  <c r="AD401" i="4"/>
  <c r="N1073" i="4"/>
  <c r="E1098" i="2"/>
  <c r="K1091" i="2"/>
  <c r="K1081" i="2"/>
  <c r="E1076" i="2"/>
  <c r="K1061" i="2"/>
  <c r="AC1028" i="4"/>
  <c r="AC760" i="4"/>
  <c r="U1101" i="4"/>
  <c r="AC490" i="4"/>
  <c r="H1097" i="4"/>
  <c r="AD473" i="4"/>
  <c r="O1096" i="4"/>
  <c r="S959" i="5"/>
  <c r="AD960" i="4"/>
  <c r="I1088" i="4"/>
  <c r="AC1029" i="4"/>
  <c r="AC978" i="4"/>
  <c r="AC952" i="4"/>
  <c r="AD622" i="4"/>
  <c r="AD555" i="4"/>
  <c r="N1103" i="4"/>
  <c r="X1095" i="4"/>
  <c r="J1095" i="4"/>
  <c r="R1074" i="4"/>
  <c r="U1069" i="4"/>
  <c r="AD101" i="4"/>
  <c r="O1065" i="4"/>
  <c r="W1063" i="4"/>
  <c r="M1081" i="4"/>
  <c r="AC1031" i="4"/>
  <c r="AC985" i="4"/>
  <c r="AD963" i="4"/>
  <c r="AC934" i="4"/>
  <c r="AC847" i="4"/>
  <c r="AC722" i="4"/>
  <c r="AC697" i="4"/>
  <c r="AD656" i="4"/>
  <c r="AD655" i="4"/>
  <c r="AC645" i="4"/>
  <c r="AC603" i="4"/>
  <c r="AC566" i="4"/>
  <c r="H1104" i="4"/>
  <c r="I1102" i="4"/>
  <c r="AC542" i="4"/>
  <c r="U1095" i="4"/>
  <c r="AD466" i="4"/>
  <c r="M1095" i="4"/>
  <c r="AC466" i="4"/>
  <c r="E1095" i="4"/>
  <c r="S1094" i="4"/>
  <c r="AC445" i="4"/>
  <c r="C1094" i="4"/>
  <c r="W1093" i="4"/>
  <c r="AD433" i="4"/>
  <c r="O1093" i="4"/>
  <c r="T1092" i="4"/>
  <c r="L1092" i="4"/>
  <c r="D1092" i="4"/>
  <c r="AC324" i="4"/>
  <c r="I1083" i="4"/>
  <c r="L1083" i="4"/>
  <c r="AC269" i="4"/>
  <c r="AD177" i="4"/>
  <c r="AC177" i="4"/>
  <c r="T1071" i="4"/>
  <c r="L1071" i="4"/>
  <c r="D1071" i="4"/>
  <c r="AC168" i="4"/>
  <c r="S1069" i="4"/>
  <c r="G1065" i="4"/>
  <c r="S855" i="5"/>
  <c r="AD856" i="4"/>
  <c r="F1104" i="2"/>
  <c r="H1102" i="2"/>
  <c r="H1101" i="2"/>
  <c r="B1095" i="2"/>
  <c r="H1091" i="2"/>
  <c r="H1087" i="2"/>
  <c r="B1085" i="2"/>
  <c r="H1082" i="2"/>
  <c r="H1076" i="2"/>
  <c r="H1074" i="2"/>
  <c r="H1071" i="2"/>
  <c r="H1069" i="2"/>
  <c r="H1068" i="2"/>
  <c r="F1065" i="2"/>
  <c r="B1057" i="2"/>
  <c r="F1103" i="3"/>
  <c r="B1102" i="3"/>
  <c r="J1100" i="3"/>
  <c r="F1097" i="3"/>
  <c r="J1094" i="3"/>
  <c r="F1093" i="3"/>
  <c r="B1088" i="3"/>
  <c r="B1086" i="3"/>
  <c r="B1084" i="3"/>
  <c r="F1079" i="3"/>
  <c r="J1068" i="3"/>
  <c r="F1067" i="3"/>
  <c r="J1064" i="3"/>
  <c r="J1060" i="3"/>
  <c r="AC290" i="4"/>
  <c r="E1081" i="4"/>
  <c r="N1080" i="4"/>
  <c r="AC123" i="4"/>
  <c r="C1067" i="4"/>
  <c r="W1066" i="4"/>
  <c r="E1145" i="6"/>
  <c r="O1144" i="6"/>
  <c r="M1143" i="6"/>
  <c r="O1142" i="6"/>
  <c r="E1141" i="6"/>
  <c r="O1140" i="6"/>
  <c r="E1139" i="6"/>
  <c r="G1138" i="6"/>
  <c r="O1137" i="6"/>
  <c r="G1136" i="6"/>
  <c r="M1135" i="6"/>
  <c r="M1134" i="6"/>
  <c r="E1133" i="6"/>
  <c r="E1132" i="6"/>
  <c r="M1131" i="6"/>
  <c r="E1130" i="6"/>
  <c r="E1129" i="6"/>
  <c r="M1128" i="6"/>
  <c r="M1127" i="6"/>
  <c r="M1126" i="6"/>
  <c r="E1125" i="6"/>
  <c r="G1124" i="6"/>
  <c r="G1123" i="6"/>
  <c r="M1122" i="6"/>
  <c r="G1121" i="6"/>
  <c r="O1120" i="6"/>
  <c r="G1119" i="6"/>
  <c r="G1118" i="6"/>
  <c r="E1117" i="6"/>
  <c r="M1116" i="6"/>
  <c r="M1115" i="6"/>
  <c r="G1114" i="6"/>
  <c r="E1113" i="6"/>
  <c r="O1112" i="6"/>
  <c r="E1111" i="6"/>
  <c r="M1110" i="6"/>
  <c r="E1109" i="6"/>
  <c r="G1108" i="6"/>
  <c r="O1107" i="6"/>
  <c r="E1106" i="6"/>
  <c r="G1105" i="6"/>
  <c r="E1104" i="6"/>
  <c r="G1103" i="6"/>
  <c r="M1102" i="6"/>
  <c r="E1101" i="6"/>
  <c r="O1099" i="6"/>
  <c r="M1098" i="6"/>
  <c r="G1097" i="6"/>
  <c r="G1096" i="6"/>
  <c r="M1095" i="6"/>
  <c r="M1094" i="6"/>
  <c r="E1093" i="6"/>
  <c r="E1092" i="6"/>
  <c r="E1091" i="6"/>
  <c r="M1090" i="6"/>
  <c r="E1089" i="6"/>
  <c r="E1088" i="6"/>
  <c r="O1087" i="6"/>
  <c r="G1086" i="6"/>
  <c r="M1085" i="6"/>
  <c r="G1084" i="6"/>
  <c r="G1083" i="6"/>
  <c r="O1082" i="6"/>
  <c r="M1081" i="6"/>
  <c r="E1080" i="6"/>
  <c r="M1079" i="6"/>
  <c r="M1078" i="6"/>
  <c r="M1077" i="6"/>
  <c r="M1076" i="6"/>
  <c r="O1075" i="6"/>
  <c r="E1074" i="6"/>
  <c r="M1073" i="6"/>
  <c r="O1072" i="6"/>
  <c r="E1071" i="6"/>
  <c r="G1070" i="6"/>
  <c r="G1069" i="6"/>
  <c r="M1068" i="6"/>
  <c r="G1067" i="6"/>
  <c r="O1066" i="6"/>
  <c r="G1065" i="6"/>
  <c r="M1064" i="6"/>
  <c r="G1063" i="6"/>
  <c r="G1062" i="6"/>
  <c r="O1061" i="6"/>
  <c r="E1061" i="6"/>
  <c r="O1060" i="6"/>
  <c r="E1060" i="6"/>
  <c r="O1059" i="6"/>
  <c r="O1100" i="6"/>
  <c r="G1090" i="2"/>
  <c r="I1087" i="2"/>
  <c r="I1082" i="2"/>
  <c r="G1082" i="2"/>
  <c r="C1081" i="2"/>
  <c r="G1077" i="2"/>
  <c r="G1076" i="2"/>
  <c r="K1075" i="2"/>
  <c r="G1070" i="2"/>
  <c r="G1069" i="2"/>
  <c r="C1063" i="2"/>
  <c r="I1062" i="2"/>
  <c r="G1060" i="2"/>
  <c r="G1058" i="2"/>
  <c r="I1104" i="3"/>
  <c r="I1098" i="3"/>
  <c r="E1097" i="3"/>
  <c r="I1094" i="3"/>
  <c r="E1091" i="3"/>
  <c r="I1090" i="3"/>
  <c r="I1080" i="3"/>
  <c r="I1074" i="3"/>
  <c r="I1068" i="3"/>
  <c r="E1063" i="3"/>
  <c r="I1062" i="3"/>
  <c r="I1060" i="3"/>
  <c r="AD1011" i="4"/>
  <c r="AC881" i="4"/>
  <c r="AC844" i="4"/>
  <c r="AD834" i="4"/>
  <c r="AC687" i="4"/>
  <c r="AC570" i="4"/>
  <c r="E1104" i="4"/>
  <c r="X1101" i="4"/>
  <c r="V1099" i="4"/>
  <c r="F1099" i="4"/>
  <c r="AC375" i="4"/>
  <c r="C1088" i="4"/>
  <c r="AC370" i="4"/>
  <c r="V1081" i="4"/>
  <c r="AC263" i="4"/>
  <c r="C1078" i="4"/>
  <c r="C1074" i="4"/>
  <c r="AC213" i="4"/>
  <c r="L1145" i="6"/>
  <c r="F1144" i="6"/>
  <c r="H1143" i="6"/>
  <c r="D1143" i="6"/>
  <c r="H1142" i="6"/>
  <c r="D1142" i="6"/>
  <c r="H1141" i="6"/>
  <c r="D1141" i="6"/>
  <c r="D1140" i="6"/>
  <c r="H1139" i="6"/>
  <c r="D1139" i="6"/>
  <c r="H1138" i="6"/>
  <c r="N1138" i="6"/>
  <c r="H1137" i="6"/>
  <c r="D1137" i="6"/>
  <c r="H1136" i="6"/>
  <c r="N1136" i="6"/>
  <c r="N1135" i="6"/>
  <c r="H1134" i="6"/>
  <c r="D1134" i="6"/>
  <c r="L1133" i="6"/>
  <c r="F1132" i="6"/>
  <c r="H1131" i="6"/>
  <c r="D1131" i="6"/>
  <c r="D1130" i="6"/>
  <c r="L1129" i="6"/>
  <c r="N1128" i="6"/>
  <c r="N1127" i="6"/>
  <c r="F1126" i="6"/>
  <c r="L1125" i="6"/>
  <c r="H1124" i="6"/>
  <c r="D1124" i="6"/>
  <c r="F1123" i="6"/>
  <c r="L1122" i="6"/>
  <c r="L1121" i="6"/>
  <c r="H1120" i="6"/>
  <c r="D1120" i="6"/>
  <c r="H1119" i="6"/>
  <c r="D1119" i="6"/>
  <c r="H1118" i="6"/>
  <c r="L1118" i="6"/>
  <c r="L1117" i="6"/>
  <c r="F1116" i="6"/>
  <c r="F1115" i="6"/>
  <c r="F1114" i="6"/>
  <c r="H1113" i="6"/>
  <c r="D1113" i="6"/>
  <c r="N1112" i="6"/>
  <c r="L1111" i="6"/>
  <c r="N1110" i="6"/>
  <c r="H1109" i="6"/>
  <c r="D1109" i="6"/>
  <c r="F1108" i="6"/>
  <c r="L1107" i="6"/>
  <c r="L1106" i="6"/>
  <c r="H1105" i="6"/>
  <c r="L1105" i="6"/>
  <c r="N1104" i="6"/>
  <c r="F1103" i="6"/>
  <c r="F1102" i="6"/>
  <c r="N1101" i="6"/>
  <c r="H1099" i="6"/>
  <c r="D1099" i="6"/>
  <c r="L1098" i="6"/>
  <c r="F1097" i="6"/>
  <c r="H1096" i="6"/>
  <c r="D1096" i="6"/>
  <c r="H1095" i="6"/>
  <c r="D1095" i="6"/>
  <c r="F1094" i="6"/>
  <c r="L1093" i="6"/>
  <c r="H1092" i="6"/>
  <c r="L1092" i="6"/>
  <c r="L1091" i="6"/>
  <c r="H1090" i="6"/>
  <c r="D1090" i="6"/>
  <c r="L1089" i="6"/>
  <c r="H1088" i="6"/>
  <c r="D1088" i="6"/>
  <c r="H1087" i="6"/>
  <c r="D1087" i="6"/>
  <c r="H1086" i="6"/>
  <c r="D1086" i="6"/>
  <c r="L1085" i="6"/>
  <c r="H1084" i="6"/>
  <c r="L1084" i="6"/>
  <c r="N1083" i="6"/>
  <c r="L1083" i="6"/>
  <c r="F1082" i="6"/>
  <c r="H1081" i="6"/>
  <c r="L1081" i="6"/>
  <c r="N1080" i="6"/>
  <c r="D1080" i="6"/>
  <c r="N1079" i="6"/>
  <c r="D1079" i="6"/>
  <c r="F1078" i="6"/>
  <c r="H1077" i="6"/>
  <c r="F1077" i="6"/>
  <c r="H1076" i="6"/>
  <c r="L1076" i="6"/>
  <c r="H1075" i="6"/>
  <c r="D1075" i="6"/>
  <c r="H1074" i="6"/>
  <c r="L1074" i="6"/>
  <c r="H1073" i="6"/>
  <c r="L1073" i="6"/>
  <c r="N1072" i="6"/>
  <c r="D1072" i="6"/>
  <c r="F1071" i="6"/>
  <c r="F1070" i="6"/>
  <c r="L1069" i="6"/>
  <c r="H1068" i="6"/>
  <c r="L1068" i="6"/>
  <c r="F1067" i="6"/>
  <c r="F1066" i="6"/>
  <c r="F1065" i="6"/>
  <c r="F1064" i="6"/>
  <c r="N1063" i="6"/>
  <c r="L1063" i="6"/>
  <c r="F1062" i="6"/>
  <c r="N1061" i="6"/>
  <c r="D1061" i="6"/>
  <c r="L1060" i="6"/>
  <c r="H1100" i="6"/>
  <c r="H1059" i="6"/>
  <c r="B1101" i="2"/>
  <c r="F1089" i="2"/>
  <c r="F1079" i="2"/>
  <c r="F1066" i="2"/>
  <c r="H1104" i="3"/>
  <c r="B1103" i="3"/>
  <c r="H1102" i="3"/>
  <c r="B1101" i="3"/>
  <c r="H1100" i="3"/>
  <c r="B1099" i="3"/>
  <c r="H1098" i="3"/>
  <c r="H1096" i="3"/>
  <c r="B1095" i="3"/>
  <c r="E1094" i="3"/>
  <c r="D1093" i="3"/>
  <c r="E1090" i="3"/>
  <c r="B1089" i="3"/>
  <c r="E1086" i="3"/>
  <c r="H1086" i="3"/>
  <c r="I1085" i="3"/>
  <c r="D1085" i="3"/>
  <c r="H1084" i="3"/>
  <c r="E1082" i="3"/>
  <c r="B1081" i="3"/>
  <c r="H1080" i="3"/>
  <c r="H1076" i="3"/>
  <c r="H1075" i="3"/>
  <c r="D1075" i="3"/>
  <c r="H1074" i="3"/>
  <c r="H1073" i="3"/>
  <c r="D1071" i="3"/>
  <c r="I1067" i="3"/>
  <c r="D1067" i="3"/>
  <c r="H1066" i="3"/>
  <c r="D1065" i="3"/>
  <c r="C1064" i="3"/>
  <c r="D1063" i="3"/>
  <c r="E1062" i="3"/>
  <c r="G1061" i="3"/>
  <c r="I1059" i="3"/>
  <c r="G1057" i="3"/>
  <c r="J1057" i="3"/>
  <c r="I1096" i="4"/>
  <c r="AC998" i="4"/>
  <c r="AC930" i="4"/>
  <c r="AC794" i="4"/>
  <c r="AC527" i="4"/>
  <c r="P1096" i="4"/>
  <c r="AD471" i="4"/>
  <c r="T1094" i="4"/>
  <c r="G1090" i="4"/>
  <c r="P1079" i="4"/>
  <c r="AC232" i="4"/>
  <c r="D1076" i="4"/>
  <c r="AC37" i="4"/>
  <c r="C1060" i="4"/>
  <c r="I1104" i="2"/>
  <c r="I1094" i="2"/>
  <c r="E1088" i="2"/>
  <c r="I1070" i="2"/>
  <c r="AC971" i="4"/>
  <c r="AC538" i="4"/>
  <c r="AC455" i="4"/>
  <c r="U1089" i="4"/>
  <c r="AC233" i="4"/>
  <c r="G1060" i="4"/>
  <c r="S927" i="5"/>
  <c r="AD928" i="4"/>
  <c r="AC1051" i="4"/>
  <c r="AD1041" i="4"/>
  <c r="AC911" i="4"/>
  <c r="F1103" i="4"/>
  <c r="D1102" i="4"/>
  <c r="R1082" i="4"/>
  <c r="B1074" i="4"/>
  <c r="AD146" i="4"/>
  <c r="M1069" i="4"/>
  <c r="B1063" i="4"/>
  <c r="C1080" i="3"/>
  <c r="F1098" i="4"/>
  <c r="AC1038" i="4"/>
  <c r="AC1025" i="4"/>
  <c r="AC1019" i="4"/>
  <c r="AC1005" i="4"/>
  <c r="AC965" i="4"/>
  <c r="AC943" i="4"/>
  <c r="AD900" i="4"/>
  <c r="AD899" i="4"/>
  <c r="AC809" i="4"/>
  <c r="AC782" i="4"/>
  <c r="AD727" i="4"/>
  <c r="AC678" i="4"/>
  <c r="AC559" i="4"/>
  <c r="C1103" i="4"/>
  <c r="O1073" i="4"/>
  <c r="AD203" i="4"/>
  <c r="H1071" i="4"/>
  <c r="R1071" i="4"/>
  <c r="AD853" i="4"/>
  <c r="L149" i="5"/>
  <c r="C1068" i="5"/>
  <c r="N1068" i="5"/>
  <c r="L115" i="5"/>
  <c r="C1065" i="5"/>
  <c r="S65" i="5"/>
  <c r="S1061" i="5" s="1"/>
  <c r="Q1061" i="5"/>
  <c r="AC1040" i="4"/>
  <c r="AD1026" i="4"/>
  <c r="AC1026" i="4"/>
  <c r="AC1020" i="4"/>
  <c r="AD1000" i="4"/>
  <c r="AC992" i="4"/>
  <c r="AC963" i="4"/>
  <c r="AD932" i="4"/>
  <c r="AD931" i="4"/>
  <c r="AC899" i="4"/>
  <c r="AD878" i="4"/>
  <c r="AC878" i="4"/>
  <c r="AC853" i="4"/>
  <c r="AC841" i="4"/>
  <c r="AD796" i="4"/>
  <c r="AD795" i="4"/>
  <c r="AC772" i="4"/>
  <c r="AC727" i="4"/>
  <c r="AC716" i="4"/>
  <c r="AD694" i="4"/>
  <c r="AC694" i="4"/>
  <c r="AC688" i="4"/>
  <c r="AC655" i="4"/>
  <c r="AC624" i="4"/>
  <c r="AC579" i="4"/>
  <c r="C1105" i="4"/>
  <c r="AD561" i="4"/>
  <c r="AD558" i="4"/>
  <c r="AC558" i="4"/>
  <c r="U1103" i="4"/>
  <c r="AD556" i="4"/>
  <c r="M1103" i="4"/>
  <c r="AC556" i="4"/>
  <c r="E1103" i="4"/>
  <c r="L1102" i="4"/>
  <c r="AC540" i="4"/>
  <c r="AD486" i="4"/>
  <c r="M1097" i="4"/>
  <c r="W1097" i="4"/>
  <c r="AC468" i="4"/>
  <c r="V1095" i="4"/>
  <c r="N1095" i="4"/>
  <c r="F1095" i="4"/>
  <c r="W1095" i="4"/>
  <c r="O1095" i="4"/>
  <c r="G1095" i="4"/>
  <c r="P1095" i="4"/>
  <c r="B1095" i="4"/>
  <c r="AD403" i="4"/>
  <c r="N1090" i="4"/>
  <c r="AC393" i="4"/>
  <c r="AC386" i="4"/>
  <c r="E1089" i="4"/>
  <c r="AC382" i="4"/>
  <c r="F1088" i="4"/>
  <c r="P1088" i="4"/>
  <c r="Q1088" i="4"/>
  <c r="AC372" i="4"/>
  <c r="I1086" i="4"/>
  <c r="AC356" i="4"/>
  <c r="AC353" i="4"/>
  <c r="C1086" i="4"/>
  <c r="AD337" i="4"/>
  <c r="S1085" i="4"/>
  <c r="K1085" i="4"/>
  <c r="C1085" i="4"/>
  <c r="AD331" i="4"/>
  <c r="F1084" i="4"/>
  <c r="R1084" i="4"/>
  <c r="B1084" i="4"/>
  <c r="AD311" i="4"/>
  <c r="AD302" i="4"/>
  <c r="AC302" i="4"/>
  <c r="E1082" i="4"/>
  <c r="AD300" i="4"/>
  <c r="AC300" i="4"/>
  <c r="R1081" i="4"/>
  <c r="J1081" i="4"/>
  <c r="B1081" i="4"/>
  <c r="AC291" i="4"/>
  <c r="C1081" i="4"/>
  <c r="AD237" i="4"/>
  <c r="X1076" i="4"/>
  <c r="P1076" i="4"/>
  <c r="H1076" i="4"/>
  <c r="S1076" i="4"/>
  <c r="AC231" i="4"/>
  <c r="C1076" i="4"/>
  <c r="W1075" i="4"/>
  <c r="O1075" i="4"/>
  <c r="G1075" i="4"/>
  <c r="N1071" i="4"/>
  <c r="B1071" i="4"/>
  <c r="C1071" i="4"/>
  <c r="AC169" i="4"/>
  <c r="U1070" i="4"/>
  <c r="AD160" i="4"/>
  <c r="M1070" i="4"/>
  <c r="E1070" i="4"/>
  <c r="AD153" i="4"/>
  <c r="B1069" i="4"/>
  <c r="K1069" i="4"/>
  <c r="AC149" i="4"/>
  <c r="AC108" i="4"/>
  <c r="W1065" i="4"/>
  <c r="X1064" i="4"/>
  <c r="H1064" i="4"/>
  <c r="AD84" i="4"/>
  <c r="AD82" i="4"/>
  <c r="L916" i="5"/>
  <c r="L915" i="5"/>
  <c r="S908" i="5"/>
  <c r="AD909" i="4"/>
  <c r="L856" i="5"/>
  <c r="K1145" i="6"/>
  <c r="C1145" i="6"/>
  <c r="K1144" i="6"/>
  <c r="C1144" i="6"/>
  <c r="K1143" i="6"/>
  <c r="C1143" i="6"/>
  <c r="K1142" i="6"/>
  <c r="C1142" i="6"/>
  <c r="K1141" i="6"/>
  <c r="C1141" i="6"/>
  <c r="K1140" i="6"/>
  <c r="C1140" i="6"/>
  <c r="K1139" i="6"/>
  <c r="C1139" i="6"/>
  <c r="K1138" i="6"/>
  <c r="C1138" i="6"/>
  <c r="K1137" i="6"/>
  <c r="C1137" i="6"/>
  <c r="K1136" i="6"/>
  <c r="C1136" i="6"/>
  <c r="K1135" i="6"/>
  <c r="C1135" i="6"/>
  <c r="K1134" i="6"/>
  <c r="C1134" i="6"/>
  <c r="K1133" i="6"/>
  <c r="C1133" i="6"/>
  <c r="K1132" i="6"/>
  <c r="C1132" i="6"/>
  <c r="K1131" i="6"/>
  <c r="C1131" i="6"/>
  <c r="K1130" i="6"/>
  <c r="C1130" i="6"/>
  <c r="K1129" i="6"/>
  <c r="C1129" i="6"/>
  <c r="K1128" i="6"/>
  <c r="C1128" i="6"/>
  <c r="K1127" i="6"/>
  <c r="C1127" i="6"/>
  <c r="K1126" i="6"/>
  <c r="C1126" i="6"/>
  <c r="K1125" i="6"/>
  <c r="C1125" i="6"/>
  <c r="K1124" i="6"/>
  <c r="C1124" i="6"/>
  <c r="K1123" i="6"/>
  <c r="C1123" i="6"/>
  <c r="K1122" i="6"/>
  <c r="C1122" i="6"/>
  <c r="K1121" i="6"/>
  <c r="C1121" i="6"/>
  <c r="K1120" i="6"/>
  <c r="C1120" i="6"/>
  <c r="K1119" i="6"/>
  <c r="C1119" i="6"/>
  <c r="K1118" i="6"/>
  <c r="C1118" i="6"/>
  <c r="K1117" i="6"/>
  <c r="C1117" i="6"/>
  <c r="K1116" i="6"/>
  <c r="C1116" i="6"/>
  <c r="K1115" i="6"/>
  <c r="C1115" i="6"/>
  <c r="K1114" i="6"/>
  <c r="C1114" i="6"/>
  <c r="K1113" i="6"/>
  <c r="C1113" i="6"/>
  <c r="K1112" i="6"/>
  <c r="C1112" i="6"/>
  <c r="K1111" i="6"/>
  <c r="C1111" i="6"/>
  <c r="K1110" i="6"/>
  <c r="C1110" i="6"/>
  <c r="K1109" i="6"/>
  <c r="C1109" i="6"/>
  <c r="K1108" i="6"/>
  <c r="C1108" i="6"/>
  <c r="K1107" i="6"/>
  <c r="C1107" i="6"/>
  <c r="K1106" i="6"/>
  <c r="C1106" i="6"/>
  <c r="K1105" i="6"/>
  <c r="C1105" i="6"/>
  <c r="K1104" i="6"/>
  <c r="C1104" i="6"/>
  <c r="K1103" i="6"/>
  <c r="C1103" i="6"/>
  <c r="K1102" i="6"/>
  <c r="C1102" i="6"/>
  <c r="K1101" i="6"/>
  <c r="C1101" i="6"/>
  <c r="K1099" i="6"/>
  <c r="C1099" i="6"/>
  <c r="K1098" i="6"/>
  <c r="C1098" i="6"/>
  <c r="K1097" i="6"/>
  <c r="C1097" i="6"/>
  <c r="K1096" i="6"/>
  <c r="C1096" i="6"/>
  <c r="K1095" i="6"/>
  <c r="C1095" i="6"/>
  <c r="K1094" i="6"/>
  <c r="C1094" i="6"/>
  <c r="K1093" i="6"/>
  <c r="C1093" i="6"/>
  <c r="K1092" i="6"/>
  <c r="C1092" i="6"/>
  <c r="K1091" i="6"/>
  <c r="C1091" i="6"/>
  <c r="K1090" i="6"/>
  <c r="C1090" i="6"/>
  <c r="K1089" i="6"/>
  <c r="C1089" i="6"/>
  <c r="K1088" i="6"/>
  <c r="C1088" i="6"/>
  <c r="K1087" i="6"/>
  <c r="C1087" i="6"/>
  <c r="K1086" i="6"/>
  <c r="C1086" i="6"/>
  <c r="K1085" i="6"/>
  <c r="C1085" i="6"/>
  <c r="K1084" i="6"/>
  <c r="C1084" i="6"/>
  <c r="K1083" i="6"/>
  <c r="C1083" i="6"/>
  <c r="K1082" i="6"/>
  <c r="C1082" i="6"/>
  <c r="K1081" i="6"/>
  <c r="C1081" i="6"/>
  <c r="K1080" i="6"/>
  <c r="C1080" i="6"/>
  <c r="K1079" i="6"/>
  <c r="C1079" i="6"/>
  <c r="K1078" i="6"/>
  <c r="C1078" i="6"/>
  <c r="K1077" i="6"/>
  <c r="C1077" i="6"/>
  <c r="K1076" i="6"/>
  <c r="C1076" i="6"/>
  <c r="K1075" i="6"/>
  <c r="C1075" i="6"/>
  <c r="K1074" i="6"/>
  <c r="C1074" i="6"/>
  <c r="K1073" i="6"/>
  <c r="C1073" i="6"/>
  <c r="K1072" i="6"/>
  <c r="C1072" i="6"/>
  <c r="K1071" i="6"/>
  <c r="C1071" i="6"/>
  <c r="K1070" i="6"/>
  <c r="C1070" i="6"/>
  <c r="K1069" i="6"/>
  <c r="C1069" i="6"/>
  <c r="K1068" i="6"/>
  <c r="C1068" i="6"/>
  <c r="K1067" i="6"/>
  <c r="C1067" i="6"/>
  <c r="K1066" i="6"/>
  <c r="C1066" i="6"/>
  <c r="K1065" i="6"/>
  <c r="C1065" i="6"/>
  <c r="K1064" i="6"/>
  <c r="C1064" i="6"/>
  <c r="K1063" i="6"/>
  <c r="C1063" i="6"/>
  <c r="K1062" i="6"/>
  <c r="C1062" i="6"/>
  <c r="K1061" i="6"/>
  <c r="C1061" i="6"/>
  <c r="K1060" i="6"/>
  <c r="C1060" i="6"/>
  <c r="M1100" i="6"/>
  <c r="M1059" i="6"/>
  <c r="E1100" i="6"/>
  <c r="I1101" i="2"/>
  <c r="I1097" i="2"/>
  <c r="I1093" i="2"/>
  <c r="I1089" i="2"/>
  <c r="I1085" i="2"/>
  <c r="I1081" i="2"/>
  <c r="I1074" i="2"/>
  <c r="I1065" i="2"/>
  <c r="D1102" i="3"/>
  <c r="E1102" i="3"/>
  <c r="J1099" i="3"/>
  <c r="E1098" i="3"/>
  <c r="F1098" i="3"/>
  <c r="B1097" i="3"/>
  <c r="J1095" i="3"/>
  <c r="F1094" i="3"/>
  <c r="G1094" i="3"/>
  <c r="B1093" i="3"/>
  <c r="G1090" i="3"/>
  <c r="B1087" i="3"/>
  <c r="H1085" i="3"/>
  <c r="D1084" i="3"/>
  <c r="B1083" i="3"/>
  <c r="C1083" i="3"/>
  <c r="H1081" i="3"/>
  <c r="I1081" i="3"/>
  <c r="D1080" i="3"/>
  <c r="B1079" i="3"/>
  <c r="C1079" i="3"/>
  <c r="D1076" i="3"/>
  <c r="E1076" i="3"/>
  <c r="C1073" i="3"/>
  <c r="J1071" i="3"/>
  <c r="E1070" i="3"/>
  <c r="F1070" i="3"/>
  <c r="C1069" i="3"/>
  <c r="H1067" i="3"/>
  <c r="F1066" i="3"/>
  <c r="F1060" i="3"/>
  <c r="G1060" i="3"/>
  <c r="AD1047" i="4"/>
  <c r="AC1047" i="4"/>
  <c r="AC1041" i="4"/>
  <c r="AD1028" i="4"/>
  <c r="AD1027" i="4"/>
  <c r="AC1027" i="4"/>
  <c r="AC1003" i="4"/>
  <c r="AC964" i="4"/>
  <c r="AC931" i="4"/>
  <c r="AC901" i="4"/>
  <c r="AD880" i="4"/>
  <c r="AD879" i="4"/>
  <c r="AC869" i="4"/>
  <c r="AD846" i="4"/>
  <c r="AC846" i="4"/>
  <c r="AC811" i="4"/>
  <c r="AD808" i="4"/>
  <c r="AC774" i="4"/>
  <c r="AD764" i="4"/>
  <c r="AD763" i="4"/>
  <c r="AD762" i="4"/>
  <c r="AC739" i="4"/>
  <c r="AC728" i="4"/>
  <c r="AD696" i="4"/>
  <c r="AD695" i="4"/>
  <c r="AD662" i="4"/>
  <c r="AC662" i="4"/>
  <c r="AC656" i="4"/>
  <c r="AC653" i="4"/>
  <c r="AC625" i="4"/>
  <c r="AC581" i="4"/>
  <c r="H1105" i="4"/>
  <c r="T1103" i="4"/>
  <c r="J1102" i="4"/>
  <c r="K1102" i="4"/>
  <c r="AC541" i="4"/>
  <c r="X1098" i="4"/>
  <c r="P1098" i="4"/>
  <c r="H1098" i="4"/>
  <c r="L1097" i="4"/>
  <c r="J1096" i="4"/>
  <c r="S1096" i="4"/>
  <c r="K1096" i="4"/>
  <c r="C1096" i="4"/>
  <c r="AC469" i="4"/>
  <c r="X1093" i="4"/>
  <c r="U1092" i="4"/>
  <c r="AD422" i="4"/>
  <c r="M1092" i="4"/>
  <c r="AC422" i="4"/>
  <c r="E1092" i="4"/>
  <c r="AD404" i="4"/>
  <c r="AD402" i="4"/>
  <c r="M1090" i="4"/>
  <c r="AC402" i="4"/>
  <c r="D1089" i="4"/>
  <c r="AC337" i="4"/>
  <c r="R1085" i="4"/>
  <c r="J1085" i="4"/>
  <c r="B1085" i="4"/>
  <c r="AD334" i="4"/>
  <c r="U1084" i="4"/>
  <c r="AD332" i="4"/>
  <c r="M1084" i="4"/>
  <c r="AC332" i="4"/>
  <c r="E1084" i="4"/>
  <c r="AC323" i="4"/>
  <c r="T1082" i="4"/>
  <c r="AC301" i="4"/>
  <c r="D1082" i="4"/>
  <c r="AC285" i="4"/>
  <c r="Q1079" i="4"/>
  <c r="S1079" i="4"/>
  <c r="K1079" i="4"/>
  <c r="C1079" i="4"/>
  <c r="AD258" i="4"/>
  <c r="M1078" i="4"/>
  <c r="AC258" i="4"/>
  <c r="E1078" i="4"/>
  <c r="V1078" i="4"/>
  <c r="AD255" i="4"/>
  <c r="N1078" i="4"/>
  <c r="F1078" i="4"/>
  <c r="D1077" i="4"/>
  <c r="AD235" i="4"/>
  <c r="R1076" i="4"/>
  <c r="AD180" i="4"/>
  <c r="U1071" i="4"/>
  <c r="AD178" i="4"/>
  <c r="M1071" i="4"/>
  <c r="AC178" i="4"/>
  <c r="E1071" i="4"/>
  <c r="AD173" i="4"/>
  <c r="O1071" i="4"/>
  <c r="P1071" i="4"/>
  <c r="X1066" i="4"/>
  <c r="P1066" i="4"/>
  <c r="H1066" i="4"/>
  <c r="L956" i="5"/>
  <c r="AC735" i="4"/>
  <c r="AC696" i="4"/>
  <c r="AC674" i="4"/>
  <c r="AC601" i="4"/>
  <c r="T1104" i="4"/>
  <c r="D1104" i="4"/>
  <c r="AD563" i="4"/>
  <c r="W1100" i="4"/>
  <c r="V1098" i="4"/>
  <c r="AD491" i="4"/>
  <c r="N1097" i="4"/>
  <c r="N1093" i="4"/>
  <c r="O1091" i="4"/>
  <c r="AC401" i="4"/>
  <c r="AC365" i="4"/>
  <c r="D1087" i="4"/>
  <c r="AD359" i="4"/>
  <c r="AC347" i="4"/>
  <c r="D1083" i="4"/>
  <c r="G1077" i="4"/>
  <c r="S1077" i="4"/>
  <c r="AD200" i="4"/>
  <c r="AD198" i="4"/>
  <c r="AD134" i="4"/>
  <c r="M1068" i="4"/>
  <c r="AD115" i="4"/>
  <c r="AC64" i="4"/>
  <c r="C1062" i="4"/>
  <c r="W1059" i="4"/>
  <c r="G1059" i="4"/>
  <c r="L370" i="5"/>
  <c r="L110" i="5"/>
  <c r="J1104" i="2"/>
  <c r="B1104" i="2"/>
  <c r="F1103" i="2"/>
  <c r="F1102" i="2"/>
  <c r="J1101" i="2"/>
  <c r="J1100" i="2"/>
  <c r="B1100" i="2"/>
  <c r="F1099" i="2"/>
  <c r="F1098" i="2"/>
  <c r="J1097" i="2"/>
  <c r="J1096" i="2"/>
  <c r="B1096" i="2"/>
  <c r="F1095" i="2"/>
  <c r="F1094" i="2"/>
  <c r="J1093" i="2"/>
  <c r="J1092" i="2"/>
  <c r="B1092" i="2"/>
  <c r="F1091" i="2"/>
  <c r="F1090" i="2"/>
  <c r="J1089" i="2"/>
  <c r="J1088" i="2"/>
  <c r="B1088" i="2"/>
  <c r="F1087" i="2"/>
  <c r="F1086" i="2"/>
  <c r="J1085" i="2"/>
  <c r="J1084" i="2"/>
  <c r="B1084" i="2"/>
  <c r="F1083" i="2"/>
  <c r="F1082" i="2"/>
  <c r="J1081" i="2"/>
  <c r="J1080" i="2"/>
  <c r="B1080" i="2"/>
  <c r="B1079" i="2"/>
  <c r="F1078" i="2"/>
  <c r="F1077" i="2"/>
  <c r="F1076" i="2"/>
  <c r="J1074" i="2"/>
  <c r="J1073" i="2"/>
  <c r="B1073" i="2"/>
  <c r="J1072" i="2"/>
  <c r="B1072" i="2"/>
  <c r="B1071" i="2"/>
  <c r="B1070" i="2"/>
  <c r="F1070" i="2"/>
  <c r="J1068" i="2"/>
  <c r="F1068" i="2"/>
  <c r="J1067" i="2"/>
  <c r="B1067" i="2"/>
  <c r="F1067" i="2"/>
  <c r="J1066" i="2"/>
  <c r="B1066" i="2"/>
  <c r="J1065" i="2"/>
  <c r="B1065" i="2"/>
  <c r="B1064" i="2"/>
  <c r="F1064" i="2"/>
  <c r="B1063" i="2"/>
  <c r="F1063" i="2"/>
  <c r="J1062" i="2"/>
  <c r="F1062" i="2"/>
  <c r="J1061" i="2"/>
  <c r="F1061" i="2"/>
  <c r="J1060" i="2"/>
  <c r="B1060" i="2"/>
  <c r="J1059" i="2"/>
  <c r="B1059" i="2"/>
  <c r="J1058" i="2"/>
  <c r="B1058" i="2"/>
  <c r="F1057" i="2"/>
  <c r="C1069" i="4"/>
  <c r="P1064" i="4"/>
  <c r="AC1056" i="4"/>
  <c r="AC1036" i="4"/>
  <c r="AC1012" i="4"/>
  <c r="AC1009" i="4"/>
  <c r="AC983" i="4"/>
  <c r="AC972" i="4"/>
  <c r="AD950" i="4"/>
  <c r="AC950" i="4"/>
  <c r="AC944" i="4"/>
  <c r="AC940" i="4"/>
  <c r="AD918" i="4"/>
  <c r="AC918" i="4"/>
  <c r="AC912" i="4"/>
  <c r="AC909" i="4"/>
  <c r="AC897" i="4"/>
  <c r="AD886" i="4"/>
  <c r="AC886" i="4"/>
  <c r="AD860" i="4"/>
  <c r="AD859" i="4"/>
  <c r="AC849" i="4"/>
  <c r="AD826" i="4"/>
  <c r="AC826" i="4"/>
  <c r="AD816" i="4"/>
  <c r="AD815" i="4"/>
  <c r="AC779" i="4"/>
  <c r="AC754" i="4"/>
  <c r="AD744" i="4"/>
  <c r="AC736" i="4"/>
  <c r="AC707" i="4"/>
  <c r="AD676" i="4"/>
  <c r="AD675" i="4"/>
  <c r="AC665" i="4"/>
  <c r="AC649" i="4"/>
  <c r="AD642" i="4"/>
  <c r="AC642" i="4"/>
  <c r="AC633" i="4"/>
  <c r="AC620" i="4"/>
  <c r="AC615" i="4"/>
  <c r="AD605" i="4"/>
  <c r="AD595" i="4"/>
  <c r="AD593" i="4"/>
  <c r="W1105" i="4"/>
  <c r="G1105" i="4"/>
  <c r="AC571" i="4"/>
  <c r="AC534" i="4"/>
  <c r="AD523" i="4"/>
  <c r="N1100" i="4"/>
  <c r="J1100" i="4"/>
  <c r="AD494" i="4"/>
  <c r="M1098" i="4"/>
  <c r="AC494" i="4"/>
  <c r="AD492" i="4"/>
  <c r="AC492" i="4"/>
  <c r="N1094" i="4"/>
  <c r="AD436" i="4"/>
  <c r="AD434" i="4"/>
  <c r="M1093" i="4"/>
  <c r="AC434" i="4"/>
  <c r="AD429" i="4"/>
  <c r="O1092" i="4"/>
  <c r="P1092" i="4"/>
  <c r="AC419" i="4"/>
  <c r="C1091" i="4"/>
  <c r="Q1089" i="4"/>
  <c r="I1089" i="4"/>
  <c r="P1087" i="4"/>
  <c r="W1086" i="4"/>
  <c r="O1086" i="4"/>
  <c r="G1086" i="4"/>
  <c r="X1086" i="4"/>
  <c r="P1086" i="4"/>
  <c r="H1086" i="4"/>
  <c r="AD340" i="4"/>
  <c r="AD338" i="4"/>
  <c r="AC338" i="4"/>
  <c r="E1085" i="4"/>
  <c r="O1085" i="4"/>
  <c r="H1083" i="4"/>
  <c r="AC317" i="4"/>
  <c r="Q1080" i="4"/>
  <c r="V1079" i="4"/>
  <c r="AD267" i="4"/>
  <c r="F1079" i="4"/>
  <c r="R1078" i="4"/>
  <c r="V1077" i="4"/>
  <c r="N1077" i="4"/>
  <c r="AC248" i="4"/>
  <c r="F1077" i="4"/>
  <c r="Q1077" i="4"/>
  <c r="X1074" i="4"/>
  <c r="P1074" i="4"/>
  <c r="H1074" i="4"/>
  <c r="AC200" i="4"/>
  <c r="D1073" i="4"/>
  <c r="AC158" i="4"/>
  <c r="B1070" i="4"/>
  <c r="W1069" i="4"/>
  <c r="O1069" i="4"/>
  <c r="G1069" i="4"/>
  <c r="AD116" i="4"/>
  <c r="AD114" i="4"/>
  <c r="M1066" i="4"/>
  <c r="AC114" i="4"/>
  <c r="U1063" i="4"/>
  <c r="AD75" i="4"/>
  <c r="M1063" i="4"/>
  <c r="E1063" i="4"/>
  <c r="H1062" i="4"/>
  <c r="AC66" i="4"/>
  <c r="AC36" i="4"/>
  <c r="S1059" i="4"/>
  <c r="C1059" i="4"/>
  <c r="S836" i="5"/>
  <c r="AD837" i="4"/>
  <c r="S796" i="5"/>
  <c r="AD797" i="4"/>
  <c r="L621" i="5"/>
  <c r="S424" i="5"/>
  <c r="S1091" i="5" s="1"/>
  <c r="Q1091" i="5"/>
  <c r="L388" i="5"/>
  <c r="C1088" i="5"/>
  <c r="S384" i="5"/>
  <c r="S1088" i="5" s="1"/>
  <c r="Q1088" i="5"/>
  <c r="L373" i="5"/>
  <c r="C1087" i="5"/>
  <c r="E1087" i="5"/>
  <c r="Q252" i="5"/>
  <c r="R1077" i="5"/>
  <c r="T1075" i="5"/>
  <c r="N1075" i="5"/>
  <c r="S226" i="5"/>
  <c r="AD227" i="4"/>
  <c r="L221" i="5"/>
  <c r="C1074" i="5"/>
  <c r="H1073" i="5"/>
  <c r="AD707" i="4"/>
  <c r="AD674" i="4"/>
  <c r="AC637" i="4"/>
  <c r="AC614" i="4"/>
  <c r="L1104" i="4"/>
  <c r="AD435" i="4"/>
  <c r="C1092" i="4"/>
  <c r="AC425" i="4"/>
  <c r="AC405" i="4"/>
  <c r="C1090" i="4"/>
  <c r="AC367" i="4"/>
  <c r="C1087" i="4"/>
  <c r="N1086" i="4"/>
  <c r="AD339" i="4"/>
  <c r="F1085" i="4"/>
  <c r="Q1083" i="4"/>
  <c r="AD269" i="4"/>
  <c r="G1079" i="4"/>
  <c r="W1077" i="4"/>
  <c r="AD247" i="4"/>
  <c r="O1077" i="4"/>
  <c r="H1077" i="4"/>
  <c r="C1077" i="4"/>
  <c r="AC241" i="4"/>
  <c r="AC198" i="4"/>
  <c r="E1073" i="4"/>
  <c r="AD185" i="4"/>
  <c r="O1072" i="4"/>
  <c r="V1066" i="4"/>
  <c r="AC35" i="4"/>
  <c r="B1059" i="4"/>
  <c r="O1059" i="4"/>
  <c r="D1059" i="4"/>
  <c r="Q144" i="5"/>
  <c r="R1068" i="5"/>
  <c r="L140" i="5"/>
  <c r="S1065" i="5"/>
  <c r="L105" i="5"/>
  <c r="S101" i="5"/>
  <c r="Q95" i="5"/>
  <c r="R1063" i="5"/>
  <c r="K1104" i="2"/>
  <c r="C1104" i="2"/>
  <c r="C1103" i="2"/>
  <c r="E1103" i="2"/>
  <c r="K1100" i="2"/>
  <c r="C1100" i="2"/>
  <c r="C1099" i="2"/>
  <c r="E1099" i="2"/>
  <c r="K1096" i="2"/>
  <c r="C1096" i="2"/>
  <c r="C1095" i="2"/>
  <c r="E1095" i="2"/>
  <c r="K1092" i="2"/>
  <c r="C1092" i="2"/>
  <c r="C1091" i="2"/>
  <c r="E1091" i="2"/>
  <c r="K1088" i="2"/>
  <c r="C1088" i="2"/>
  <c r="C1087" i="2"/>
  <c r="E1087" i="2"/>
  <c r="K1084" i="2"/>
  <c r="C1084" i="2"/>
  <c r="C1083" i="2"/>
  <c r="E1083" i="2"/>
  <c r="K1080" i="2"/>
  <c r="C1080" i="2"/>
  <c r="K1079" i="2"/>
  <c r="C1079" i="2"/>
  <c r="E1079" i="2"/>
  <c r="C1078" i="2"/>
  <c r="E1078" i="2"/>
  <c r="E1077" i="2"/>
  <c r="I1075" i="2"/>
  <c r="I1073" i="2"/>
  <c r="K1073" i="2"/>
  <c r="K1072" i="2"/>
  <c r="C1072" i="2"/>
  <c r="K1071" i="2"/>
  <c r="C1071" i="2"/>
  <c r="E1071" i="2"/>
  <c r="C1070" i="2"/>
  <c r="K1069" i="2"/>
  <c r="K1068" i="2"/>
  <c r="K1067" i="2"/>
  <c r="C1067" i="2"/>
  <c r="E1067" i="2"/>
  <c r="K1066" i="2"/>
  <c r="C1066" i="2"/>
  <c r="K1065" i="2"/>
  <c r="C1065" i="2"/>
  <c r="E1065" i="2"/>
  <c r="C1064" i="2"/>
  <c r="E1064" i="2"/>
  <c r="E1063" i="2"/>
  <c r="K1062" i="2"/>
  <c r="E1061" i="2"/>
  <c r="C1060" i="2"/>
  <c r="E1060" i="2"/>
  <c r="K1059" i="2"/>
  <c r="I1058" i="2"/>
  <c r="K1058" i="2"/>
  <c r="C1058" i="2"/>
  <c r="E1057" i="2"/>
  <c r="G1057" i="2"/>
  <c r="G1103" i="3"/>
  <c r="C1102" i="3"/>
  <c r="G1099" i="3"/>
  <c r="C1098" i="3"/>
  <c r="G1095" i="3"/>
  <c r="C1094" i="3"/>
  <c r="G1093" i="3"/>
  <c r="C1092" i="3"/>
  <c r="G1091" i="3"/>
  <c r="C1090" i="3"/>
  <c r="G1089" i="3"/>
  <c r="C1088" i="3"/>
  <c r="G1087" i="3"/>
  <c r="C1086" i="3"/>
  <c r="G1085" i="3"/>
  <c r="C1084" i="3"/>
  <c r="G1083" i="3"/>
  <c r="C1082" i="3"/>
  <c r="G1079" i="3"/>
  <c r="G1077" i="3"/>
  <c r="C1076" i="3"/>
  <c r="C1074" i="3"/>
  <c r="G1073" i="3"/>
  <c r="C1072" i="3"/>
  <c r="G1071" i="3"/>
  <c r="C1068" i="3"/>
  <c r="G1067" i="3"/>
  <c r="C1066" i="3"/>
  <c r="G1063" i="3"/>
  <c r="C1062" i="3"/>
  <c r="C1060" i="3"/>
  <c r="C1058" i="3"/>
  <c r="D1057" i="3"/>
  <c r="M1089" i="4"/>
  <c r="M1073" i="4"/>
  <c r="E1068" i="4"/>
  <c r="AD1053" i="4"/>
  <c r="AD1052" i="4"/>
  <c r="AD1051" i="4"/>
  <c r="AD1033" i="4"/>
  <c r="AD1017" i="4"/>
  <c r="AC995" i="4"/>
  <c r="AC984" i="4"/>
  <c r="AD952" i="4"/>
  <c r="AD951" i="4"/>
  <c r="AC925" i="4"/>
  <c r="AD920" i="4"/>
  <c r="AD919" i="4"/>
  <c r="AC893" i="4"/>
  <c r="AC892" i="4"/>
  <c r="AD888" i="4"/>
  <c r="AC857" i="4"/>
  <c r="AD828" i="4"/>
  <c r="AD827" i="4"/>
  <c r="AC791" i="4"/>
  <c r="AC777" i="4"/>
  <c r="AC747" i="4"/>
  <c r="AC708" i="4"/>
  <c r="AC675" i="4"/>
  <c r="AD644" i="4"/>
  <c r="AD643" i="4"/>
  <c r="AD621" i="4"/>
  <c r="AC621" i="4"/>
  <c r="AD607" i="4"/>
  <c r="AD596" i="4"/>
  <c r="AD594" i="4"/>
  <c r="AC594" i="4"/>
  <c r="AD535" i="4"/>
  <c r="Q1101" i="4"/>
  <c r="I1101" i="4"/>
  <c r="S1101" i="4"/>
  <c r="K1101" i="4"/>
  <c r="C1101" i="4"/>
  <c r="AD526" i="4"/>
  <c r="AC526" i="4"/>
  <c r="AD524" i="4"/>
  <c r="AC524" i="4"/>
  <c r="AD505" i="4"/>
  <c r="O1099" i="4"/>
  <c r="AD503" i="4"/>
  <c r="B1098" i="4"/>
  <c r="K1098" i="4"/>
  <c r="L1098" i="4"/>
  <c r="AD459" i="4"/>
  <c r="AD456" i="4"/>
  <c r="AD454" i="4"/>
  <c r="M1094" i="4"/>
  <c r="AC454" i="4"/>
  <c r="AC436" i="4"/>
  <c r="D1093" i="4"/>
  <c r="AD387" i="4"/>
  <c r="P1089" i="4"/>
  <c r="AC377" i="4"/>
  <c r="W1087" i="4"/>
  <c r="AD369" i="4"/>
  <c r="O1087" i="4"/>
  <c r="G1087" i="4"/>
  <c r="AC369" i="4"/>
  <c r="R1087" i="4"/>
  <c r="B1087" i="4"/>
  <c r="AC278" i="4"/>
  <c r="H1080" i="4"/>
  <c r="AC277" i="4"/>
  <c r="R1080" i="4"/>
  <c r="J1080" i="4"/>
  <c r="B1080" i="4"/>
  <c r="AD270" i="4"/>
  <c r="AC270" i="4"/>
  <c r="U1079" i="4"/>
  <c r="AD268" i="4"/>
  <c r="M1079" i="4"/>
  <c r="AC268" i="4"/>
  <c r="E1079" i="4"/>
  <c r="AC222" i="4"/>
  <c r="AC221" i="4"/>
  <c r="AC210" i="4"/>
  <c r="E1074" i="4"/>
  <c r="AD205" i="4"/>
  <c r="O1074" i="4"/>
  <c r="AC199" i="4"/>
  <c r="AD147" i="4"/>
  <c r="V1069" i="4"/>
  <c r="N1069" i="4"/>
  <c r="F1069" i="4"/>
  <c r="Y1063" i="4"/>
  <c r="I1063" i="4"/>
  <c r="T1063" i="4"/>
  <c r="L1063" i="4"/>
  <c r="AC76" i="4"/>
  <c r="D1063" i="4"/>
  <c r="AC75" i="4"/>
  <c r="AC52" i="4"/>
  <c r="E1061" i="4"/>
  <c r="AC41" i="4"/>
  <c r="AD36" i="4"/>
  <c r="AC30" i="4"/>
  <c r="E1059" i="4"/>
  <c r="S660" i="5"/>
  <c r="AD661" i="4"/>
  <c r="L643" i="5"/>
  <c r="L622" i="5"/>
  <c r="X1067" i="4"/>
  <c r="R1064" i="4"/>
  <c r="K1064" i="4"/>
  <c r="W1062" i="4"/>
  <c r="AC53" i="4"/>
  <c r="AC42" i="4"/>
  <c r="I1138" i="6"/>
  <c r="I1135" i="6"/>
  <c r="I1128" i="6"/>
  <c r="I1126" i="6"/>
  <c r="I1125" i="6"/>
  <c r="I1121" i="6"/>
  <c r="I1120" i="6"/>
  <c r="I1119" i="6"/>
  <c r="I1116" i="6"/>
  <c r="I1104" i="6"/>
  <c r="I1103" i="6"/>
  <c r="I1102" i="6"/>
  <c r="I1097" i="6"/>
  <c r="I1095" i="6"/>
  <c r="I1094" i="6"/>
  <c r="I1093" i="6"/>
  <c r="I1092" i="6"/>
  <c r="I1091" i="6"/>
  <c r="I1090" i="6"/>
  <c r="I1088" i="6"/>
  <c r="I1086" i="6"/>
  <c r="I1085" i="6"/>
  <c r="I1084" i="6"/>
  <c r="I1083" i="6"/>
  <c r="I1082" i="6"/>
  <c r="I1081" i="6"/>
  <c r="I1080" i="6"/>
  <c r="I1078" i="6"/>
  <c r="I1077" i="6"/>
  <c r="I1076" i="6"/>
  <c r="I1074" i="6"/>
  <c r="I1073" i="6"/>
  <c r="I1070" i="6"/>
  <c r="I1069" i="6"/>
  <c r="I1068" i="6"/>
  <c r="I1066" i="6"/>
  <c r="I1062" i="6"/>
  <c r="I1060" i="6"/>
  <c r="K1059" i="6"/>
  <c r="K1100" i="6"/>
  <c r="E1104" i="3"/>
  <c r="F1104" i="3"/>
  <c r="I1103" i="3"/>
  <c r="C1101" i="3"/>
  <c r="G1100" i="3"/>
  <c r="I1099" i="3"/>
  <c r="E1096" i="3"/>
  <c r="F1096" i="3"/>
  <c r="H1095" i="3"/>
  <c r="C1093" i="3"/>
  <c r="F1092" i="3"/>
  <c r="H1091" i="3"/>
  <c r="E1088" i="3"/>
  <c r="F1088" i="3"/>
  <c r="G1088" i="3"/>
  <c r="H1087" i="3"/>
  <c r="I1087" i="3"/>
  <c r="C1085" i="3"/>
  <c r="E1084" i="3"/>
  <c r="F1084" i="3"/>
  <c r="G1084" i="3"/>
  <c r="H1083" i="3"/>
  <c r="I1083" i="3"/>
  <c r="C1081" i="3"/>
  <c r="E1080" i="3"/>
  <c r="F1080" i="3"/>
  <c r="G1080" i="3"/>
  <c r="H1079" i="3"/>
  <c r="G1078" i="3"/>
  <c r="H1077" i="3"/>
  <c r="I1077" i="3"/>
  <c r="J1077" i="3"/>
  <c r="B1077" i="3"/>
  <c r="J1075" i="3"/>
  <c r="B1075" i="3"/>
  <c r="C1075" i="3"/>
  <c r="D1074" i="3"/>
  <c r="E1074" i="3"/>
  <c r="E1072" i="3"/>
  <c r="F1072" i="3"/>
  <c r="G1072" i="3"/>
  <c r="H1071" i="3"/>
  <c r="G1070" i="3"/>
  <c r="H1069" i="3"/>
  <c r="I1069" i="3"/>
  <c r="J1069" i="3"/>
  <c r="B1069" i="3"/>
  <c r="J1067" i="3"/>
  <c r="B1067" i="3"/>
  <c r="C1067" i="3"/>
  <c r="D1066" i="3"/>
  <c r="E1066" i="3"/>
  <c r="E1064" i="3"/>
  <c r="F1064" i="3"/>
  <c r="G1064" i="3"/>
  <c r="H1063" i="3"/>
  <c r="G1062" i="3"/>
  <c r="H1061" i="3"/>
  <c r="I1061" i="3"/>
  <c r="J1061" i="3"/>
  <c r="B1061" i="3"/>
  <c r="J1059" i="3"/>
  <c r="B1059" i="3"/>
  <c r="C1059" i="3"/>
  <c r="D1058" i="3"/>
  <c r="E1058" i="3"/>
  <c r="E1057" i="3"/>
  <c r="F1057" i="3"/>
  <c r="AC1052" i="4"/>
  <c r="AD1032" i="4"/>
  <c r="AD1031" i="4"/>
  <c r="AC1017" i="4"/>
  <c r="AD1016" i="4"/>
  <c r="AD1006" i="4"/>
  <c r="AC1001" i="4"/>
  <c r="AD988" i="4"/>
  <c r="AD987" i="4"/>
  <c r="AD986" i="4"/>
  <c r="AD968" i="4"/>
  <c r="AC959" i="4"/>
  <c r="AC939" i="4"/>
  <c r="AC919" i="4"/>
  <c r="AC917" i="4"/>
  <c r="AC900" i="4"/>
  <c r="AD887" i="4"/>
  <c r="AC867" i="4"/>
  <c r="AD854" i="4"/>
  <c r="AC854" i="4"/>
  <c r="AC848" i="4"/>
  <c r="AD835" i="4"/>
  <c r="AC815" i="4"/>
  <c r="AD802" i="4"/>
  <c r="AC802" i="4"/>
  <c r="AC797" i="4"/>
  <c r="AC796" i="4"/>
  <c r="AD784" i="4"/>
  <c r="AD783" i="4"/>
  <c r="AD750" i="4"/>
  <c r="AC750" i="4"/>
  <c r="AC745" i="4"/>
  <c r="AD732" i="4"/>
  <c r="AD731" i="4"/>
  <c r="AD730" i="4"/>
  <c r="AD712" i="4"/>
  <c r="AC703" i="4"/>
  <c r="AC693" i="4"/>
  <c r="AC683" i="4"/>
  <c r="AC663" i="4"/>
  <c r="AC644" i="4"/>
  <c r="AD631" i="4"/>
  <c r="AC608" i="4"/>
  <c r="AC607" i="4"/>
  <c r="AC583" i="4"/>
  <c r="AD575" i="4"/>
  <c r="AC574" i="4"/>
  <c r="S1104" i="4"/>
  <c r="K1104" i="4"/>
  <c r="AC567" i="4"/>
  <c r="C1104" i="4"/>
  <c r="W1102" i="4"/>
  <c r="O1102" i="4"/>
  <c r="G1102" i="4"/>
  <c r="U1099" i="4"/>
  <c r="AD506" i="4"/>
  <c r="M1099" i="4"/>
  <c r="AC506" i="4"/>
  <c r="E1099" i="4"/>
  <c r="R1097" i="4"/>
  <c r="J1097" i="4"/>
  <c r="B1097" i="4"/>
  <c r="S1097" i="4"/>
  <c r="K1097" i="4"/>
  <c r="AC481" i="4"/>
  <c r="C1097" i="4"/>
  <c r="AC472" i="4"/>
  <c r="AC465" i="4"/>
  <c r="Q1093" i="4"/>
  <c r="I1093" i="4"/>
  <c r="S1093" i="4"/>
  <c r="K1093" i="4"/>
  <c r="C1093" i="4"/>
  <c r="AC433" i="4"/>
  <c r="AC416" i="4"/>
  <c r="U1091" i="4"/>
  <c r="AD412" i="4"/>
  <c r="M1091" i="4"/>
  <c r="E1091" i="4"/>
  <c r="V1091" i="4"/>
  <c r="N1091" i="4"/>
  <c r="F1091" i="4"/>
  <c r="AC387" i="4"/>
  <c r="AD384" i="4"/>
  <c r="M1088" i="4"/>
  <c r="AC373" i="4"/>
  <c r="AD351" i="4"/>
  <c r="AC350" i="4"/>
  <c r="AD321" i="4"/>
  <c r="W1083" i="4"/>
  <c r="O1083" i="4"/>
  <c r="G1083" i="4"/>
  <c r="AC315" i="4"/>
  <c r="AD307" i="4"/>
  <c r="X1082" i="4"/>
  <c r="P1082" i="4"/>
  <c r="H1082" i="4"/>
  <c r="Q1082" i="4"/>
  <c r="I1082" i="4"/>
  <c r="AD282" i="4"/>
  <c r="AC282" i="4"/>
  <c r="AC271" i="4"/>
  <c r="T1078" i="4"/>
  <c r="L1078" i="4"/>
  <c r="D1078" i="4"/>
  <c r="U1077" i="4"/>
  <c r="AD250" i="4"/>
  <c r="M1077" i="4"/>
  <c r="AC250" i="4"/>
  <c r="E1077" i="4"/>
  <c r="AC225" i="4"/>
  <c r="AC216" i="4"/>
  <c r="AC209" i="4"/>
  <c r="S1072" i="4"/>
  <c r="K1072" i="4"/>
  <c r="C1072" i="4"/>
  <c r="AC160" i="4"/>
  <c r="AC156" i="4"/>
  <c r="AC131" i="4"/>
  <c r="AD128" i="4"/>
  <c r="AD121" i="4"/>
  <c r="O1067" i="4"/>
  <c r="AC69" i="4"/>
  <c r="AC58" i="4"/>
  <c r="X1061" i="4"/>
  <c r="P1061" i="4"/>
  <c r="H1061" i="4"/>
  <c r="Y1061" i="4"/>
  <c r="Q1061" i="4"/>
  <c r="I1061" i="4"/>
  <c r="B1082" i="5"/>
  <c r="A1083" i="5"/>
  <c r="L940" i="5"/>
  <c r="L735" i="5"/>
  <c r="AC145" i="4"/>
  <c r="AD130" i="4"/>
  <c r="P1067" i="4"/>
  <c r="AC116" i="4"/>
  <c r="B1064" i="4"/>
  <c r="AC87" i="4"/>
  <c r="C1064" i="4"/>
  <c r="G1062" i="4"/>
  <c r="AD57" i="4"/>
  <c r="L1026" i="5"/>
  <c r="L924" i="5"/>
  <c r="S820" i="5"/>
  <c r="AD821" i="4"/>
  <c r="I1144" i="6"/>
  <c r="I1143" i="6"/>
  <c r="I1137" i="6"/>
  <c r="I1134" i="6"/>
  <c r="I1130" i="6"/>
  <c r="I1129" i="6"/>
  <c r="I1124" i="6"/>
  <c r="I1122" i="6"/>
  <c r="I1118" i="6"/>
  <c r="I1117" i="6"/>
  <c r="I1115" i="6"/>
  <c r="I1113" i="6"/>
  <c r="I1112" i="6"/>
  <c r="I1109" i="6"/>
  <c r="I1107" i="6"/>
  <c r="I1106" i="6"/>
  <c r="I1105" i="6"/>
  <c r="I1099" i="6"/>
  <c r="I1098" i="6"/>
  <c r="I1089" i="6"/>
  <c r="I1087" i="6"/>
  <c r="I1079" i="6"/>
  <c r="I1075" i="6"/>
  <c r="I1072" i="6"/>
  <c r="I1071" i="6"/>
  <c r="I1067" i="6"/>
  <c r="I1065" i="6"/>
  <c r="I1064" i="6"/>
  <c r="I1063" i="6"/>
  <c r="I1061" i="6"/>
  <c r="C1100" i="6"/>
  <c r="C1059" i="6"/>
  <c r="G1104" i="3"/>
  <c r="H1103" i="3"/>
  <c r="E1100" i="3"/>
  <c r="F1100" i="3"/>
  <c r="H1099" i="3"/>
  <c r="C1097" i="3"/>
  <c r="G1096" i="3"/>
  <c r="I1095" i="3"/>
  <c r="E1092" i="3"/>
  <c r="G1092" i="3"/>
  <c r="I1091" i="3"/>
  <c r="C1089" i="3"/>
  <c r="AD1044" i="4"/>
  <c r="AD1043" i="4"/>
  <c r="AC1032" i="4"/>
  <c r="AD1022" i="4"/>
  <c r="AD1007" i="4"/>
  <c r="AD1005" i="4"/>
  <c r="AC988" i="4"/>
  <c r="AD974" i="4"/>
  <c r="AC974" i="4"/>
  <c r="AC969" i="4"/>
  <c r="AD956" i="4"/>
  <c r="AD955" i="4"/>
  <c r="AD954" i="4"/>
  <c r="AD936" i="4"/>
  <c r="AC927" i="4"/>
  <c r="AC907" i="4"/>
  <c r="AC887" i="4"/>
  <c r="AD875" i="4"/>
  <c r="AC868" i="4"/>
  <c r="AD855" i="4"/>
  <c r="AC835" i="4"/>
  <c r="AD822" i="4"/>
  <c r="AC822" i="4"/>
  <c r="AC816" i="4"/>
  <c r="AD803" i="4"/>
  <c r="AC783" i="4"/>
  <c r="AD770" i="4"/>
  <c r="AC770" i="4"/>
  <c r="AC765" i="4"/>
  <c r="AC764" i="4"/>
  <c r="AD752" i="4"/>
  <c r="AD751" i="4"/>
  <c r="AD718" i="4"/>
  <c r="AC718" i="4"/>
  <c r="AC713" i="4"/>
  <c r="AD700" i="4"/>
  <c r="AD699" i="4"/>
  <c r="AD698" i="4"/>
  <c r="AD680" i="4"/>
  <c r="AC671" i="4"/>
  <c r="AC661" i="4"/>
  <c r="AC651" i="4"/>
  <c r="AC631" i="4"/>
  <c r="AC605" i="4"/>
  <c r="AD576" i="4"/>
  <c r="AC554" i="4"/>
  <c r="AC551" i="4"/>
  <c r="AD543" i="4"/>
  <c r="AC539" i="4"/>
  <c r="U1100" i="4"/>
  <c r="AD518" i="4"/>
  <c r="M1100" i="4"/>
  <c r="AC518" i="4"/>
  <c r="E1100" i="4"/>
  <c r="Q1097" i="4"/>
  <c r="I1097" i="4"/>
  <c r="U1096" i="4"/>
  <c r="AD474" i="4"/>
  <c r="M1096" i="4"/>
  <c r="AC474" i="4"/>
  <c r="E1096" i="4"/>
  <c r="AC449" i="4"/>
  <c r="AD442" i="4"/>
  <c r="AC442" i="4"/>
  <c r="AC437" i="4"/>
  <c r="R1093" i="4"/>
  <c r="J1093" i="4"/>
  <c r="B1093" i="4"/>
  <c r="AD421" i="4"/>
  <c r="AC421" i="4"/>
  <c r="AC417" i="4"/>
  <c r="AC412" i="4"/>
  <c r="AC397" i="4"/>
  <c r="AC384" i="4"/>
  <c r="AD352" i="4"/>
  <c r="S1084" i="4"/>
  <c r="K1084" i="4"/>
  <c r="AC327" i="4"/>
  <c r="C1084" i="4"/>
  <c r="AD319" i="4"/>
  <c r="V1083" i="4"/>
  <c r="N1083" i="4"/>
  <c r="AC318" i="4"/>
  <c r="F1083" i="4"/>
  <c r="AC311" i="4"/>
  <c r="T1080" i="4"/>
  <c r="L1080" i="4"/>
  <c r="D1080" i="4"/>
  <c r="W1076" i="4"/>
  <c r="AD229" i="4"/>
  <c r="O1076" i="4"/>
  <c r="G1076" i="4"/>
  <c r="AC229" i="4"/>
  <c r="AD218" i="4"/>
  <c r="AC218" i="4"/>
  <c r="Q1074" i="4"/>
  <c r="I1074" i="4"/>
  <c r="R1073" i="4"/>
  <c r="J1073" i="4"/>
  <c r="B1073" i="4"/>
  <c r="S1073" i="4"/>
  <c r="K1073" i="4"/>
  <c r="AC193" i="4"/>
  <c r="C1073" i="4"/>
  <c r="AD186" i="4"/>
  <c r="AC186" i="4"/>
  <c r="AC181" i="4"/>
  <c r="R1072" i="4"/>
  <c r="J1072" i="4"/>
  <c r="B1072" i="4"/>
  <c r="AD165" i="4"/>
  <c r="AC165" i="4"/>
  <c r="AC161" i="4"/>
  <c r="T1070" i="4"/>
  <c r="L1070" i="4"/>
  <c r="D1070" i="4"/>
  <c r="AC157" i="4"/>
  <c r="AC141" i="4"/>
  <c r="AC140" i="4"/>
  <c r="X1068" i="4"/>
  <c r="P1068" i="4"/>
  <c r="H1068" i="4"/>
  <c r="AC128" i="4"/>
  <c r="AC99" i="4"/>
  <c r="AC96" i="4"/>
  <c r="AD60" i="4"/>
  <c r="AD59" i="4"/>
  <c r="R1061" i="4"/>
  <c r="J1061" i="4"/>
  <c r="B1061" i="4"/>
  <c r="L504" i="5"/>
  <c r="C1103" i="5"/>
  <c r="H1102" i="5"/>
  <c r="H1097" i="5"/>
  <c r="H1101" i="5"/>
  <c r="H1092" i="5"/>
  <c r="H1067" i="4"/>
  <c r="AD95" i="4"/>
  <c r="AC94" i="4"/>
  <c r="J1064" i="4"/>
  <c r="S1064" i="4"/>
  <c r="AD61" i="4"/>
  <c r="O1062" i="4"/>
  <c r="I1060" i="4"/>
  <c r="L1048" i="5"/>
  <c r="L939" i="5"/>
  <c r="L719" i="5"/>
  <c r="I1145" i="6"/>
  <c r="I1142" i="6"/>
  <c r="I1141" i="6"/>
  <c r="I1140" i="6"/>
  <c r="I1139" i="6"/>
  <c r="I1136" i="6"/>
  <c r="I1133" i="6"/>
  <c r="I1132" i="6"/>
  <c r="I1131" i="6"/>
  <c r="I1127" i="6"/>
  <c r="I1123" i="6"/>
  <c r="I1114" i="6"/>
  <c r="I1111" i="6"/>
  <c r="I1110" i="6"/>
  <c r="I1108" i="6"/>
  <c r="I1101" i="6"/>
  <c r="I1096" i="6"/>
  <c r="I1069" i="2"/>
  <c r="I1068" i="2"/>
  <c r="I1067" i="2"/>
  <c r="I1061" i="2"/>
  <c r="I1060" i="2"/>
  <c r="I1059" i="2"/>
  <c r="K1057" i="2"/>
  <c r="C1057" i="2"/>
  <c r="C1061" i="4"/>
  <c r="AD1056" i="4"/>
  <c r="AD1055" i="4"/>
  <c r="AC1044" i="4"/>
  <c r="AD1023" i="4"/>
  <c r="AD1021" i="4"/>
  <c r="AC1007" i="4"/>
  <c r="AC1006" i="4"/>
  <c r="AD994" i="4"/>
  <c r="AC994" i="4"/>
  <c r="AD975" i="4"/>
  <c r="AC956" i="4"/>
  <c r="AD942" i="4"/>
  <c r="AC942" i="4"/>
  <c r="AC937" i="4"/>
  <c r="AD923" i="4"/>
  <c r="AD922" i="4"/>
  <c r="AD904" i="4"/>
  <c r="AC895" i="4"/>
  <c r="AC885" i="4"/>
  <c r="AC855" i="4"/>
  <c r="AD842" i="4"/>
  <c r="AC836" i="4"/>
  <c r="AC803" i="4"/>
  <c r="AC784" i="4"/>
  <c r="AC751" i="4"/>
  <c r="AC732" i="4"/>
  <c r="AD719" i="4"/>
  <c r="AC686" i="4"/>
  <c r="AC681" i="4"/>
  <c r="AD667" i="4"/>
  <c r="AC639" i="4"/>
  <c r="AC629" i="4"/>
  <c r="W1103" i="4"/>
  <c r="O1103" i="4"/>
  <c r="G1103" i="4"/>
  <c r="X1102" i="4"/>
  <c r="P1102" i="4"/>
  <c r="H1102" i="4"/>
  <c r="T1100" i="4"/>
  <c r="L1100" i="4"/>
  <c r="D1100" i="4"/>
  <c r="AC507" i="4"/>
  <c r="AC505" i="4"/>
  <c r="W1094" i="4"/>
  <c r="O1094" i="4"/>
  <c r="G1094" i="4"/>
  <c r="AC453" i="4"/>
  <c r="AC413" i="4"/>
  <c r="Q1090" i="4"/>
  <c r="I1090" i="4"/>
  <c r="R1089" i="4"/>
  <c r="J1089" i="4"/>
  <c r="B1089" i="4"/>
  <c r="AC385" i="4"/>
  <c r="C1089" i="4"/>
  <c r="AC381" i="4"/>
  <c r="U1087" i="4"/>
  <c r="AD364" i="4"/>
  <c r="M1087" i="4"/>
  <c r="AC364" i="4"/>
  <c r="E1087" i="4"/>
  <c r="V1087" i="4"/>
  <c r="N1087" i="4"/>
  <c r="F1087" i="4"/>
  <c r="AC352" i="4"/>
  <c r="AC283" i="4"/>
  <c r="T1079" i="4"/>
  <c r="L1079" i="4"/>
  <c r="D1079" i="4"/>
  <c r="AC251" i="4"/>
  <c r="AC249" i="4"/>
  <c r="AD231" i="4"/>
  <c r="V1076" i="4"/>
  <c r="N1076" i="4"/>
  <c r="F1076" i="4"/>
  <c r="Q1073" i="4"/>
  <c r="I1073" i="4"/>
  <c r="V1068" i="4"/>
  <c r="N1068" i="4"/>
  <c r="F1068" i="4"/>
  <c r="AD133" i="4"/>
  <c r="O1068" i="4"/>
  <c r="AC125" i="4"/>
  <c r="Q1065" i="4"/>
  <c r="I1065" i="4"/>
  <c r="AC97" i="4"/>
  <c r="C1065" i="4"/>
  <c r="AC80" i="4"/>
  <c r="V1063" i="4"/>
  <c r="N1063" i="4"/>
  <c r="AC74" i="4"/>
  <c r="F1063" i="4"/>
  <c r="AC60" i="4"/>
  <c r="AC29" i="4"/>
  <c r="V1059" i="4"/>
  <c r="N1059" i="4"/>
  <c r="F1059" i="4"/>
  <c r="AC24" i="4"/>
  <c r="G1058" i="4"/>
  <c r="S504" i="5"/>
  <c r="Q1102" i="5"/>
  <c r="Q1100" i="5"/>
  <c r="L477" i="5"/>
  <c r="E1095" i="5"/>
  <c r="H1095" i="5"/>
  <c r="H1086" i="5"/>
  <c r="L349" i="5"/>
  <c r="C1085" i="5"/>
  <c r="L288" i="5"/>
  <c r="C1080" i="5"/>
  <c r="AD999" i="4"/>
  <c r="AD998" i="4"/>
  <c r="AC987" i="4"/>
  <c r="AD967" i="4"/>
  <c r="AD966" i="4"/>
  <c r="AC955" i="4"/>
  <c r="AD935" i="4"/>
  <c r="AD934" i="4"/>
  <c r="AC923" i="4"/>
  <c r="AD903" i="4"/>
  <c r="AD902" i="4"/>
  <c r="AC891" i="4"/>
  <c r="AD871" i="4"/>
  <c r="AD870" i="4"/>
  <c r="AC859" i="4"/>
  <c r="AD839" i="4"/>
  <c r="AD838" i="4"/>
  <c r="AC827" i="4"/>
  <c r="AD807" i="4"/>
  <c r="AD806" i="4"/>
  <c r="AC795" i="4"/>
  <c r="AD775" i="4"/>
  <c r="AD774" i="4"/>
  <c r="AC763" i="4"/>
  <c r="AD743" i="4"/>
  <c r="AD742" i="4"/>
  <c r="AC731" i="4"/>
  <c r="AD711" i="4"/>
  <c r="AD710" i="4"/>
  <c r="AC699" i="4"/>
  <c r="AD679" i="4"/>
  <c r="AD678" i="4"/>
  <c r="AC667" i="4"/>
  <c r="AD647" i="4"/>
  <c r="AD646" i="4"/>
  <c r="AC635" i="4"/>
  <c r="AC623" i="4"/>
  <c r="AC622" i="4"/>
  <c r="AD612" i="4"/>
  <c r="AD611" i="4"/>
  <c r="AD601" i="4"/>
  <c r="AC596" i="4"/>
  <c r="AD583" i="4"/>
  <c r="AD581" i="4"/>
  <c r="AC577" i="4"/>
  <c r="AD564" i="4"/>
  <c r="AD562" i="4"/>
  <c r="AC562" i="4"/>
  <c r="AC544" i="4"/>
  <c r="AC535" i="4"/>
  <c r="AD531" i="4"/>
  <c r="AC515" i="4"/>
  <c r="AD512" i="4"/>
  <c r="AC495" i="4"/>
  <c r="AC493" i="4"/>
  <c r="AD479" i="4"/>
  <c r="AC475" i="4"/>
  <c r="AC473" i="4"/>
  <c r="AD462" i="4"/>
  <c r="AD460" i="4"/>
  <c r="AC460" i="4"/>
  <c r="AC423" i="4"/>
  <c r="AD410" i="4"/>
  <c r="AC410" i="4"/>
  <c r="AD397" i="4"/>
  <c r="AD360" i="4"/>
  <c r="AD358" i="4"/>
  <c r="AC358" i="4"/>
  <c r="AD345" i="4"/>
  <c r="AC340" i="4"/>
  <c r="AD327" i="4"/>
  <c r="AD325" i="4"/>
  <c r="AC321" i="4"/>
  <c r="AD308" i="4"/>
  <c r="AD306" i="4"/>
  <c r="AC306" i="4"/>
  <c r="AC288" i="4"/>
  <c r="AC279" i="4"/>
  <c r="AD275" i="4"/>
  <c r="AC259" i="4"/>
  <c r="AD256" i="4"/>
  <c r="AC239" i="4"/>
  <c r="AC237" i="4"/>
  <c r="AC236" i="4"/>
  <c r="AD223" i="4"/>
  <c r="AC219" i="4"/>
  <c r="AC217" i="4"/>
  <c r="AD206" i="4"/>
  <c r="AD204" i="4"/>
  <c r="AC167" i="4"/>
  <c r="AD154" i="4"/>
  <c r="AC154" i="4"/>
  <c r="AD141" i="4"/>
  <c r="AD104" i="4"/>
  <c r="AD102" i="4"/>
  <c r="AC102" i="4"/>
  <c r="AD89" i="4"/>
  <c r="AC84" i="4"/>
  <c r="AC82" i="4"/>
  <c r="AD69" i="4"/>
  <c r="AD67" i="4"/>
  <c r="AC61" i="4"/>
  <c r="AD44" i="4"/>
  <c r="AD43" i="4"/>
  <c r="AD35" i="4"/>
  <c r="AC22" i="4"/>
  <c r="AC18" i="4"/>
  <c r="L994" i="5"/>
  <c r="L979" i="5"/>
  <c r="L870" i="5"/>
  <c r="L864" i="5"/>
  <c r="L768" i="5"/>
  <c r="L649" i="5"/>
  <c r="L440" i="5"/>
  <c r="L436" i="5"/>
  <c r="C1092" i="5"/>
  <c r="L423" i="5"/>
  <c r="C1091" i="5"/>
  <c r="L360" i="5"/>
  <c r="L1086" i="5" s="1"/>
  <c r="C1086" i="5"/>
  <c r="L356" i="5"/>
  <c r="L325" i="5"/>
  <c r="I1083" i="5"/>
  <c r="I1077" i="5"/>
  <c r="L253" i="5"/>
  <c r="H1076" i="5"/>
  <c r="L234" i="5"/>
  <c r="S206" i="5"/>
  <c r="S1073" i="5" s="1"/>
  <c r="Q1073" i="5"/>
  <c r="L202" i="5"/>
  <c r="L152" i="5"/>
  <c r="Q47" i="5"/>
  <c r="R1059" i="5"/>
  <c r="AD1015" i="4"/>
  <c r="AD1014" i="4"/>
  <c r="AC999" i="4"/>
  <c r="AD979" i="4"/>
  <c r="AD978" i="4"/>
  <c r="AC967" i="4"/>
  <c r="AD947" i="4"/>
  <c r="AD946" i="4"/>
  <c r="AC935" i="4"/>
  <c r="AD915" i="4"/>
  <c r="AD914" i="4"/>
  <c r="AC903" i="4"/>
  <c r="AD883" i="4"/>
  <c r="AD882" i="4"/>
  <c r="AC871" i="4"/>
  <c r="AD851" i="4"/>
  <c r="AD850" i="4"/>
  <c r="AC839" i="4"/>
  <c r="AD819" i="4"/>
  <c r="AD818" i="4"/>
  <c r="AC807" i="4"/>
  <c r="AD787" i="4"/>
  <c r="AD786" i="4"/>
  <c r="AC775" i="4"/>
  <c r="AD755" i="4"/>
  <c r="AD754" i="4"/>
  <c r="AC743" i="4"/>
  <c r="AD723" i="4"/>
  <c r="AD722" i="4"/>
  <c r="AC711" i="4"/>
  <c r="AD691" i="4"/>
  <c r="AD690" i="4"/>
  <c r="AC679" i="4"/>
  <c r="AD659" i="4"/>
  <c r="AD658" i="4"/>
  <c r="AC647" i="4"/>
  <c r="AD627" i="4"/>
  <c r="AD626" i="4"/>
  <c r="AC612" i="4"/>
  <c r="AD584" i="4"/>
  <c r="AD582" i="4"/>
  <c r="AC582" i="4"/>
  <c r="AD569" i="4"/>
  <c r="AC564" i="4"/>
  <c r="AD551" i="4"/>
  <c r="AD549" i="4"/>
  <c r="AC545" i="4"/>
  <c r="AD532" i="4"/>
  <c r="AD530" i="4"/>
  <c r="AC530" i="4"/>
  <c r="AC512" i="4"/>
  <c r="AC503" i="4"/>
  <c r="AD499" i="4"/>
  <c r="AC483" i="4"/>
  <c r="AD480" i="4"/>
  <c r="AC463" i="4"/>
  <c r="AC461" i="4"/>
  <c r="AD447" i="4"/>
  <c r="AC443" i="4"/>
  <c r="AC441" i="4"/>
  <c r="AD430" i="4"/>
  <c r="AD428" i="4"/>
  <c r="AC428" i="4"/>
  <c r="AC391" i="4"/>
  <c r="AD378" i="4"/>
  <c r="AC378" i="4"/>
  <c r="AD365" i="4"/>
  <c r="AD326" i="4"/>
  <c r="AC326" i="4"/>
  <c r="AD313" i="4"/>
  <c r="AC308" i="4"/>
  <c r="AC289" i="4"/>
  <c r="AD274" i="4"/>
  <c r="AC274" i="4"/>
  <c r="AC256" i="4"/>
  <c r="AC247" i="4"/>
  <c r="AD243" i="4"/>
  <c r="AC227" i="4"/>
  <c r="AC205" i="4"/>
  <c r="AC204" i="4"/>
  <c r="AD191" i="4"/>
  <c r="AC187" i="4"/>
  <c r="AC185" i="4"/>
  <c r="AC135" i="4"/>
  <c r="AC44" i="4"/>
  <c r="L917" i="5"/>
  <c r="L792" i="5"/>
  <c r="L762" i="5"/>
  <c r="L745" i="5"/>
  <c r="L408" i="5"/>
  <c r="C1090" i="5"/>
  <c r="R1086" i="5"/>
  <c r="Q360" i="5"/>
  <c r="AD991" i="4"/>
  <c r="AD990" i="4"/>
  <c r="AC979" i="4"/>
  <c r="AD959" i="4"/>
  <c r="AD958" i="4"/>
  <c r="AC947" i="4"/>
  <c r="AD927" i="4"/>
  <c r="AD926" i="4"/>
  <c r="AC915" i="4"/>
  <c r="AD895" i="4"/>
  <c r="AD894" i="4"/>
  <c r="AC883" i="4"/>
  <c r="AD863" i="4"/>
  <c r="AD862" i="4"/>
  <c r="AC851" i="4"/>
  <c r="AD831" i="4"/>
  <c r="AD830" i="4"/>
  <c r="AC819" i="4"/>
  <c r="AD799" i="4"/>
  <c r="AD798" i="4"/>
  <c r="AC787" i="4"/>
  <c r="AD767" i="4"/>
  <c r="AD766" i="4"/>
  <c r="AC755" i="4"/>
  <c r="AD735" i="4"/>
  <c r="AD734" i="4"/>
  <c r="AC723" i="4"/>
  <c r="AD703" i="4"/>
  <c r="AD702" i="4"/>
  <c r="AC691" i="4"/>
  <c r="AD671" i="4"/>
  <c r="AD670" i="4"/>
  <c r="AC659" i="4"/>
  <c r="AD639" i="4"/>
  <c r="AD638" i="4"/>
  <c r="AC627" i="4"/>
  <c r="AD617" i="4"/>
  <c r="AC613" i="4"/>
  <c r="AD602" i="4"/>
  <c r="AC602" i="4"/>
  <c r="AD589" i="4"/>
  <c r="AD552" i="4"/>
  <c r="AD550" i="4"/>
  <c r="AC550" i="4"/>
  <c r="AD537" i="4"/>
  <c r="AC532" i="4"/>
  <c r="AD519" i="4"/>
  <c r="AD517" i="4"/>
  <c r="AC513" i="4"/>
  <c r="AD500" i="4"/>
  <c r="AD498" i="4"/>
  <c r="AC498" i="4"/>
  <c r="AC480" i="4"/>
  <c r="AC471" i="4"/>
  <c r="AD467" i="4"/>
  <c r="AC451" i="4"/>
  <c r="AD448" i="4"/>
  <c r="AC431" i="4"/>
  <c r="AC429" i="4"/>
  <c r="AD415" i="4"/>
  <c r="AC411" i="4"/>
  <c r="AC409" i="4"/>
  <c r="AD398" i="4"/>
  <c r="AD396" i="4"/>
  <c r="AC396" i="4"/>
  <c r="AC359" i="4"/>
  <c r="AD346" i="4"/>
  <c r="AC346" i="4"/>
  <c r="AD333" i="4"/>
  <c r="AD296" i="4"/>
  <c r="AD294" i="4"/>
  <c r="AC294" i="4"/>
  <c r="AD281" i="4"/>
  <c r="AC276" i="4"/>
  <c r="AD263" i="4"/>
  <c r="AD261" i="4"/>
  <c r="AC257" i="4"/>
  <c r="AD244" i="4"/>
  <c r="AD242" i="4"/>
  <c r="AC242" i="4"/>
  <c r="AC224" i="4"/>
  <c r="AC215" i="4"/>
  <c r="AD211" i="4"/>
  <c r="AC195" i="4"/>
  <c r="AD192" i="4"/>
  <c r="AC175" i="4"/>
  <c r="AC173" i="4"/>
  <c r="AC172" i="4"/>
  <c r="AD159" i="4"/>
  <c r="AC155" i="4"/>
  <c r="AC153" i="4"/>
  <c r="AD142" i="4"/>
  <c r="AD140" i="4"/>
  <c r="AC103" i="4"/>
  <c r="AD90" i="4"/>
  <c r="AC90" i="4"/>
  <c r="AC71" i="4"/>
  <c r="AD51" i="4"/>
  <c r="AC21" i="4"/>
  <c r="L1024" i="5"/>
  <c r="L1010" i="5"/>
  <c r="L946" i="5"/>
  <c r="L922" i="5"/>
  <c r="L899" i="5"/>
  <c r="L615" i="5"/>
  <c r="L501" i="5"/>
  <c r="E1104" i="5"/>
  <c r="E1101" i="5"/>
  <c r="E1103" i="5"/>
  <c r="S496" i="5"/>
  <c r="Q1099" i="5"/>
  <c r="Q1097" i="5"/>
  <c r="Q1098" i="5"/>
  <c r="Q1101" i="5"/>
  <c r="L495" i="5"/>
  <c r="E1100" i="5"/>
  <c r="E1099" i="5"/>
  <c r="E1098" i="5"/>
  <c r="N1094" i="5"/>
  <c r="H1093" i="5"/>
  <c r="N1093" i="5"/>
  <c r="AD616" i="4"/>
  <c r="AD600" i="4"/>
  <c r="AC595" i="4"/>
  <c r="AD574" i="4"/>
  <c r="AD568" i="4"/>
  <c r="AC563" i="4"/>
  <c r="AD542" i="4"/>
  <c r="AD1102" i="4" s="1"/>
  <c r="AD536" i="4"/>
  <c r="AC531" i="4"/>
  <c r="AD510" i="4"/>
  <c r="AD504" i="4"/>
  <c r="AC499" i="4"/>
  <c r="AD478" i="4"/>
  <c r="AD472" i="4"/>
  <c r="AC467" i="4"/>
  <c r="AD446" i="4"/>
  <c r="AD440" i="4"/>
  <c r="AC435" i="4"/>
  <c r="AD414" i="4"/>
  <c r="AD408" i="4"/>
  <c r="AC403" i="4"/>
  <c r="AD382" i="4"/>
  <c r="AD376" i="4"/>
  <c r="AC371" i="4"/>
  <c r="AD350" i="4"/>
  <c r="AD344" i="4"/>
  <c r="AC339" i="4"/>
  <c r="AD318" i="4"/>
  <c r="AD312" i="4"/>
  <c r="AC307" i="4"/>
  <c r="AD286" i="4"/>
  <c r="AD280" i="4"/>
  <c r="AC275" i="4"/>
  <c r="AD254" i="4"/>
  <c r="AD248" i="4"/>
  <c r="AC243" i="4"/>
  <c r="AD222" i="4"/>
  <c r="AD216" i="4"/>
  <c r="AC211" i="4"/>
  <c r="AD190" i="4"/>
  <c r="AD184" i="4"/>
  <c r="AC179" i="4"/>
  <c r="AD158" i="4"/>
  <c r="AD152" i="4"/>
  <c r="AC147" i="4"/>
  <c r="AD126" i="4"/>
  <c r="AD120" i="4"/>
  <c r="AC115" i="4"/>
  <c r="AD94" i="4"/>
  <c r="AD88" i="4"/>
  <c r="AC83" i="4"/>
  <c r="AD74" i="4"/>
  <c r="AC51" i="4"/>
  <c r="AC43" i="4"/>
  <c r="AC32" i="4"/>
  <c r="AD22" i="4"/>
  <c r="L1042" i="5"/>
  <c r="L1011" i="5"/>
  <c r="L995" i="5"/>
  <c r="L980" i="5"/>
  <c r="L972" i="5"/>
  <c r="L967" i="5"/>
  <c r="L934" i="5"/>
  <c r="L888" i="5"/>
  <c r="L878" i="5"/>
  <c r="L869" i="5"/>
  <c r="L853" i="5"/>
  <c r="L816" i="5"/>
  <c r="L687" i="5"/>
  <c r="L447" i="5"/>
  <c r="C1093" i="5"/>
  <c r="I1086" i="5"/>
  <c r="E1083" i="5"/>
  <c r="L312" i="5"/>
  <c r="L1082" i="5" s="1"/>
  <c r="L308" i="5"/>
  <c r="S304" i="5"/>
  <c r="Q1081" i="5"/>
  <c r="L264" i="5"/>
  <c r="C1078" i="5"/>
  <c r="L242" i="5"/>
  <c r="I1060" i="5"/>
  <c r="L48" i="5"/>
  <c r="AD610" i="4"/>
  <c r="AD586" i="4"/>
  <c r="AC575" i="4"/>
  <c r="AD554" i="4"/>
  <c r="AC543" i="4"/>
  <c r="AD522" i="4"/>
  <c r="AC511" i="4"/>
  <c r="AD490" i="4"/>
  <c r="AD1097" i="4" s="1"/>
  <c r="AC479" i="4"/>
  <c r="AD458" i="4"/>
  <c r="AC447" i="4"/>
  <c r="AD426" i="4"/>
  <c r="AC415" i="4"/>
  <c r="AD394" i="4"/>
  <c r="AC383" i="4"/>
  <c r="AD362" i="4"/>
  <c r="AC351" i="4"/>
  <c r="AD330" i="4"/>
  <c r="AC319" i="4"/>
  <c r="AD298" i="4"/>
  <c r="AC287" i="4"/>
  <c r="AD266" i="4"/>
  <c r="AC255" i="4"/>
  <c r="AD234" i="4"/>
  <c r="AC223" i="4"/>
  <c r="AD202" i="4"/>
  <c r="AC191" i="4"/>
  <c r="AD170" i="4"/>
  <c r="AC159" i="4"/>
  <c r="AD138" i="4"/>
  <c r="AC127" i="4"/>
  <c r="AD106" i="4"/>
  <c r="AC95" i="4"/>
  <c r="AC67" i="4"/>
  <c r="AC59" i="4"/>
  <c r="AD47" i="4"/>
  <c r="AD39" i="4"/>
  <c r="AC27" i="4"/>
  <c r="AC17" i="4"/>
  <c r="L1043" i="5"/>
  <c r="L1027" i="5"/>
  <c r="L1012" i="5"/>
  <c r="L1004" i="5"/>
  <c r="L999" i="5"/>
  <c r="L933" i="5"/>
  <c r="L928" i="5"/>
  <c r="L877" i="5"/>
  <c r="L858" i="5"/>
  <c r="L777" i="5"/>
  <c r="L771" i="5"/>
  <c r="L500" i="5"/>
  <c r="C1102" i="5"/>
  <c r="C1097" i="5"/>
  <c r="C1104" i="5"/>
  <c r="L1103" i="5"/>
  <c r="S1102" i="5"/>
  <c r="L485" i="5"/>
  <c r="E1096" i="5"/>
  <c r="Q376" i="5"/>
  <c r="R1087" i="5"/>
  <c r="Q312" i="5"/>
  <c r="R1082" i="5"/>
  <c r="L276" i="5"/>
  <c r="L1079" i="5" s="1"/>
  <c r="C1079" i="5"/>
  <c r="R1078" i="5"/>
  <c r="Q264" i="5"/>
  <c r="L81" i="5"/>
  <c r="C1062" i="5"/>
  <c r="L50" i="5"/>
  <c r="C1060" i="5"/>
  <c r="AD620" i="4"/>
  <c r="AD604" i="4"/>
  <c r="AD598" i="4"/>
  <c r="AD592" i="4"/>
  <c r="AC587" i="4"/>
  <c r="AD566" i="4"/>
  <c r="AD560" i="4"/>
  <c r="AC555" i="4"/>
  <c r="AD534" i="4"/>
  <c r="AD528" i="4"/>
  <c r="AC523" i="4"/>
  <c r="AD502" i="4"/>
  <c r="AD496" i="4"/>
  <c r="AC491" i="4"/>
  <c r="AD470" i="4"/>
  <c r="AD1096" i="4" s="1"/>
  <c r="AD464" i="4"/>
  <c r="AC459" i="4"/>
  <c r="AD438" i="4"/>
  <c r="AD432" i="4"/>
  <c r="AC427" i="4"/>
  <c r="AD406" i="4"/>
  <c r="AD400" i="4"/>
  <c r="AC395" i="4"/>
  <c r="AD374" i="4"/>
  <c r="AD368" i="4"/>
  <c r="AC363" i="4"/>
  <c r="AD342" i="4"/>
  <c r="AD336" i="4"/>
  <c r="AC331" i="4"/>
  <c r="AD310" i="4"/>
  <c r="AD304" i="4"/>
  <c r="AC299" i="4"/>
  <c r="AD278" i="4"/>
  <c r="AD1080" i="4" s="1"/>
  <c r="AD272" i="4"/>
  <c r="AC267" i="4"/>
  <c r="AD246" i="4"/>
  <c r="AD240" i="4"/>
  <c r="AC235" i="4"/>
  <c r="AD214" i="4"/>
  <c r="AD208" i="4"/>
  <c r="AC203" i="4"/>
  <c r="AD182" i="4"/>
  <c r="AD176" i="4"/>
  <c r="AC171" i="4"/>
  <c r="AD150" i="4"/>
  <c r="AD144" i="4"/>
  <c r="AC139" i="4"/>
  <c r="AD118" i="4"/>
  <c r="AD112" i="4"/>
  <c r="AD1066" i="4" s="1"/>
  <c r="AC107" i="4"/>
  <c r="AD86" i="4"/>
  <c r="AC73" i="4"/>
  <c r="AD63" i="4"/>
  <c r="AD55" i="4"/>
  <c r="AD46" i="4"/>
  <c r="AD38" i="4"/>
  <c r="AD21" i="4"/>
  <c r="AD18" i="4"/>
  <c r="L1044" i="5"/>
  <c r="L1036" i="5"/>
  <c r="L1031" i="5"/>
  <c r="L960" i="5"/>
  <c r="L902" i="5"/>
  <c r="L795" i="5"/>
  <c r="L760" i="5"/>
  <c r="L742" i="5"/>
  <c r="L718" i="5"/>
  <c r="L712" i="5"/>
  <c r="L698" i="5"/>
  <c r="S500" i="5"/>
  <c r="Q1104" i="5"/>
  <c r="S1095" i="5"/>
  <c r="S1089" i="5"/>
  <c r="L232" i="5"/>
  <c r="F1075" i="5"/>
  <c r="S1075" i="5"/>
  <c r="L228" i="5"/>
  <c r="H1072" i="5"/>
  <c r="L165" i="5"/>
  <c r="C1069" i="5"/>
  <c r="L164" i="5"/>
  <c r="R1058" i="5"/>
  <c r="Q26" i="5"/>
  <c r="AD78" i="4"/>
  <c r="AD58" i="4"/>
  <c r="AD42" i="4"/>
  <c r="AC25" i="4"/>
  <c r="AC20" i="4"/>
  <c r="AD16" i="4"/>
  <c r="L1039" i="5"/>
  <c r="L1034" i="5"/>
  <c r="L1007" i="5"/>
  <c r="L1002" i="5"/>
  <c r="L975" i="5"/>
  <c r="L970" i="5"/>
  <c r="L943" i="5"/>
  <c r="L909" i="5"/>
  <c r="L891" i="5"/>
  <c r="L882" i="5"/>
  <c r="L826" i="5"/>
  <c r="L821" i="5"/>
  <c r="L813" i="5"/>
  <c r="L805" i="5"/>
  <c r="L787" i="5"/>
  <c r="L783" i="5"/>
  <c r="L732" i="5"/>
  <c r="L682" i="5"/>
  <c r="L674" i="5"/>
  <c r="L652" i="5"/>
  <c r="L537" i="5"/>
  <c r="S480" i="5"/>
  <c r="S1096" i="5" s="1"/>
  <c r="Q1096" i="5"/>
  <c r="S1094" i="5"/>
  <c r="L458" i="5"/>
  <c r="H1094" i="5"/>
  <c r="N1091" i="5"/>
  <c r="H1091" i="5"/>
  <c r="L347" i="5"/>
  <c r="S336" i="5"/>
  <c r="S1084" i="5" s="1"/>
  <c r="Q1084" i="5"/>
  <c r="Q280" i="5"/>
  <c r="R1079" i="5"/>
  <c r="H1077" i="5"/>
  <c r="Q1076" i="5"/>
  <c r="N1069" i="5"/>
  <c r="D1069" i="5"/>
  <c r="I1069" i="5"/>
  <c r="Q156" i="5"/>
  <c r="R1069" i="5"/>
  <c r="L47" i="5"/>
  <c r="C1059" i="5"/>
  <c r="J1145" i="6"/>
  <c r="B1129" i="6"/>
  <c r="B1121" i="6"/>
  <c r="AC63" i="4"/>
  <c r="AC47" i="4"/>
  <c r="AD29" i="4"/>
  <c r="L1040" i="5"/>
  <c r="L1038" i="5"/>
  <c r="L1028" i="5"/>
  <c r="L1008" i="5"/>
  <c r="L1006" i="5"/>
  <c r="L996" i="5"/>
  <c r="L976" i="5"/>
  <c r="L974" i="5"/>
  <c r="L964" i="5"/>
  <c r="L949" i="5"/>
  <c r="L944" i="5"/>
  <c r="L942" i="5"/>
  <c r="L920" i="5"/>
  <c r="L911" i="5"/>
  <c r="L863" i="5"/>
  <c r="L845" i="5"/>
  <c r="L838" i="5"/>
  <c r="L828" i="5"/>
  <c r="L819" i="5"/>
  <c r="L810" i="5"/>
  <c r="L789" i="5"/>
  <c r="L772" i="5"/>
  <c r="L728" i="5"/>
  <c r="L713" i="5"/>
  <c r="L706" i="5"/>
  <c r="L684" i="5"/>
  <c r="L662" i="5"/>
  <c r="L646" i="5"/>
  <c r="L593" i="5"/>
  <c r="L592" i="5"/>
  <c r="L487" i="5"/>
  <c r="Q452" i="5"/>
  <c r="AD453" i="4" s="1"/>
  <c r="R1093" i="5"/>
  <c r="H1090" i="5"/>
  <c r="T1089" i="5"/>
  <c r="H1089" i="5"/>
  <c r="I1087" i="5"/>
  <c r="H1085" i="5"/>
  <c r="N1085" i="5"/>
  <c r="Q348" i="5"/>
  <c r="R1085" i="5"/>
  <c r="S1081" i="5"/>
  <c r="I1080" i="5"/>
  <c r="L266" i="5"/>
  <c r="H1078" i="5"/>
  <c r="L197" i="5"/>
  <c r="I1072" i="5"/>
  <c r="L169" i="5"/>
  <c r="L168" i="5"/>
  <c r="AD66" i="4"/>
  <c r="AD50" i="4"/>
  <c r="AD31" i="4"/>
  <c r="AD20" i="4"/>
  <c r="AC16" i="4"/>
  <c r="L1055" i="5"/>
  <c r="L1050" i="5"/>
  <c r="L1023" i="5"/>
  <c r="L1018" i="5"/>
  <c r="L991" i="5"/>
  <c r="L986" i="5"/>
  <c r="L941" i="5"/>
  <c r="L860" i="5"/>
  <c r="L815" i="5"/>
  <c r="L809" i="5"/>
  <c r="L807" i="5"/>
  <c r="L794" i="5"/>
  <c r="L763" i="5"/>
  <c r="L754" i="5"/>
  <c r="L703" i="5"/>
  <c r="L700" i="5"/>
  <c r="L678" i="5"/>
  <c r="L664" i="5"/>
  <c r="L633" i="5"/>
  <c r="L619" i="5"/>
  <c r="L601" i="5"/>
  <c r="L595" i="5"/>
  <c r="L521" i="5"/>
  <c r="C1098" i="5"/>
  <c r="C1101" i="5"/>
  <c r="L496" i="5"/>
  <c r="L433" i="5"/>
  <c r="D1089" i="5"/>
  <c r="N1089" i="5"/>
  <c r="F1089" i="5"/>
  <c r="L394" i="5"/>
  <c r="L385" i="5"/>
  <c r="L379" i="5"/>
  <c r="H1087" i="5"/>
  <c r="I1085" i="5"/>
  <c r="Q324" i="5"/>
  <c r="R1083" i="5"/>
  <c r="L307" i="5"/>
  <c r="H1081" i="5"/>
  <c r="H1080" i="5"/>
  <c r="C1071" i="5"/>
  <c r="L185" i="5"/>
  <c r="S181" i="5"/>
  <c r="Q1071" i="5"/>
  <c r="S169" i="5"/>
  <c r="S1070" i="5" s="1"/>
  <c r="Q1070" i="5"/>
  <c r="S111" i="5"/>
  <c r="Q1065" i="5"/>
  <c r="E1065" i="5"/>
  <c r="L109" i="5"/>
  <c r="F1065" i="5"/>
  <c r="I1065" i="5"/>
  <c r="Q30" i="5"/>
  <c r="S30" i="5" s="1"/>
  <c r="L898" i="5"/>
  <c r="L893" i="5"/>
  <c r="L887" i="5"/>
  <c r="L834" i="5"/>
  <c r="L829" i="5"/>
  <c r="L823" i="5"/>
  <c r="L770" i="5"/>
  <c r="L765" i="5"/>
  <c r="L759" i="5"/>
  <c r="L708" i="5"/>
  <c r="L688" i="5"/>
  <c r="L676" i="5"/>
  <c r="L656" i="5"/>
  <c r="L653" i="5"/>
  <c r="L634" i="5"/>
  <c r="L624" i="5"/>
  <c r="L603" i="5"/>
  <c r="L543" i="5"/>
  <c r="L529" i="5"/>
  <c r="H1100" i="5"/>
  <c r="H1096" i="5"/>
  <c r="L479" i="5"/>
  <c r="L466" i="5"/>
  <c r="T1091" i="5"/>
  <c r="L402" i="5"/>
  <c r="L372" i="5"/>
  <c r="F1085" i="5"/>
  <c r="L348" i="5"/>
  <c r="N1078" i="5"/>
  <c r="L184" i="5"/>
  <c r="D1071" i="5"/>
  <c r="S1071" i="5"/>
  <c r="B1145" i="6"/>
  <c r="J1144" i="6"/>
  <c r="B1144" i="6"/>
  <c r="J1143" i="6"/>
  <c r="B1143" i="6"/>
  <c r="J1142" i="6"/>
  <c r="B1142" i="6"/>
  <c r="J1141" i="6"/>
  <c r="B1141" i="6"/>
  <c r="B1140" i="6"/>
  <c r="J1139" i="6"/>
  <c r="B1139" i="6"/>
  <c r="J1138" i="6"/>
  <c r="B1138" i="6"/>
  <c r="J1137" i="6"/>
  <c r="B1137" i="6"/>
  <c r="J1136" i="6"/>
  <c r="B1136" i="6"/>
  <c r="J1135" i="6"/>
  <c r="B1135" i="6"/>
  <c r="J1134" i="6"/>
  <c r="B1134" i="6"/>
  <c r="J1133" i="6"/>
  <c r="B1133" i="6"/>
  <c r="J1132" i="6"/>
  <c r="B1132" i="6"/>
  <c r="J1131" i="6"/>
  <c r="B1131" i="6"/>
  <c r="J1130" i="6"/>
  <c r="B1130" i="6"/>
  <c r="J1129" i="6"/>
  <c r="J1128" i="6"/>
  <c r="J1127" i="6"/>
  <c r="B1127" i="6"/>
  <c r="J1126" i="6"/>
  <c r="B1126" i="6"/>
  <c r="J1125" i="6"/>
  <c r="B1125" i="6"/>
  <c r="J1124" i="6"/>
  <c r="B1124" i="6"/>
  <c r="J1123" i="6"/>
  <c r="B1123" i="6"/>
  <c r="J1122" i="6"/>
  <c r="B1122" i="6"/>
  <c r="J1121" i="6"/>
  <c r="J1120" i="6"/>
  <c r="B1120" i="6"/>
  <c r="J1119" i="6"/>
  <c r="B1119" i="6"/>
  <c r="J1118" i="6"/>
  <c r="B1118" i="6"/>
  <c r="J1117" i="6"/>
  <c r="B1117" i="6"/>
  <c r="J1116" i="6"/>
  <c r="B1116" i="6"/>
  <c r="J1115" i="6"/>
  <c r="J1114" i="6"/>
  <c r="B1114" i="6"/>
  <c r="J1113" i="6"/>
  <c r="B1113" i="6"/>
  <c r="J1112" i="6"/>
  <c r="B1112" i="6"/>
  <c r="J1111" i="6"/>
  <c r="B1111" i="6"/>
  <c r="J1110" i="6"/>
  <c r="B1110" i="6"/>
  <c r="J1109" i="6"/>
  <c r="B1109" i="6"/>
  <c r="J1108" i="6"/>
  <c r="B1108" i="6"/>
  <c r="J1107" i="6"/>
  <c r="B1107" i="6"/>
  <c r="J1106" i="6"/>
  <c r="B1106" i="6"/>
  <c r="J1105" i="6"/>
  <c r="B1105" i="6"/>
  <c r="J1104" i="6"/>
  <c r="B1104" i="6"/>
  <c r="L1053" i="5"/>
  <c r="L1045" i="5"/>
  <c r="L1029" i="5"/>
  <c r="L1013" i="5"/>
  <c r="L997" i="5"/>
  <c r="L981" i="5"/>
  <c r="L973" i="5"/>
  <c r="L965" i="5"/>
  <c r="L959" i="5"/>
  <c r="L906" i="5"/>
  <c r="L901" i="5"/>
  <c r="L895" i="5"/>
  <c r="L842" i="5"/>
  <c r="L837" i="5"/>
  <c r="L831" i="5"/>
  <c r="L778" i="5"/>
  <c r="L773" i="5"/>
  <c r="L767" i="5"/>
  <c r="L714" i="5"/>
  <c r="L695" i="5"/>
  <c r="L690" i="5"/>
  <c r="L663" i="5"/>
  <c r="L658" i="5"/>
  <c r="L637" i="5"/>
  <c r="L616" i="5"/>
  <c r="L609" i="5"/>
  <c r="L607" i="5"/>
  <c r="L567" i="5"/>
  <c r="L553" i="5"/>
  <c r="L503" i="5"/>
  <c r="L489" i="5"/>
  <c r="R1092" i="5"/>
  <c r="L434" i="5"/>
  <c r="L412" i="5"/>
  <c r="Q408" i="5"/>
  <c r="AD409" i="4" s="1"/>
  <c r="AD1091" i="4" s="1"/>
  <c r="R1090" i="5"/>
  <c r="R1084" i="5"/>
  <c r="L316" i="5"/>
  <c r="T1081" i="5"/>
  <c r="I1075" i="5"/>
  <c r="Q1075" i="5"/>
  <c r="L210" i="5"/>
  <c r="E1073" i="5"/>
  <c r="L150" i="5"/>
  <c r="L145" i="5"/>
  <c r="D1068" i="5"/>
  <c r="R1066" i="5"/>
  <c r="Q121" i="5"/>
  <c r="L84" i="5"/>
  <c r="C1063" i="5"/>
  <c r="H1099" i="5"/>
  <c r="E1097" i="5"/>
  <c r="L1037" i="5"/>
  <c r="L1021" i="5"/>
  <c r="L1005" i="5"/>
  <c r="L989" i="5"/>
  <c r="L930" i="5"/>
  <c r="L925" i="5"/>
  <c r="L919" i="5"/>
  <c r="L866" i="5"/>
  <c r="L861" i="5"/>
  <c r="L855" i="5"/>
  <c r="L802" i="5"/>
  <c r="L797" i="5"/>
  <c r="L791" i="5"/>
  <c r="L738" i="5"/>
  <c r="L733" i="5"/>
  <c r="L727" i="5"/>
  <c r="L704" i="5"/>
  <c r="L702" i="5"/>
  <c r="L692" i="5"/>
  <c r="L672" i="5"/>
  <c r="L670" i="5"/>
  <c r="L660" i="5"/>
  <c r="L648" i="5"/>
  <c r="L641" i="5"/>
  <c r="L639" i="5"/>
  <c r="L575" i="5"/>
  <c r="L561" i="5"/>
  <c r="L511" i="5"/>
  <c r="H1104" i="5"/>
  <c r="L497" i="5"/>
  <c r="L1102" i="5" s="1"/>
  <c r="L443" i="5"/>
  <c r="Q434" i="5"/>
  <c r="Q338" i="5"/>
  <c r="S338" i="5" s="1"/>
  <c r="L273" i="5"/>
  <c r="L252" i="5"/>
  <c r="C1077" i="5"/>
  <c r="E1068" i="5"/>
  <c r="T1068" i="5"/>
  <c r="I1067" i="5"/>
  <c r="D1063" i="5"/>
  <c r="J1103" i="6"/>
  <c r="B1103" i="6"/>
  <c r="J1102" i="6"/>
  <c r="B1102" i="6"/>
  <c r="J1101" i="6"/>
  <c r="B1101" i="6"/>
  <c r="B1099" i="6"/>
  <c r="J1098" i="6"/>
  <c r="B1098" i="6"/>
  <c r="J1097" i="6"/>
  <c r="B1097" i="6"/>
  <c r="J1096" i="6"/>
  <c r="B1096" i="6"/>
  <c r="J1095" i="6"/>
  <c r="B1095" i="6"/>
  <c r="J1094" i="6"/>
  <c r="B1094" i="6"/>
  <c r="J1093" i="6"/>
  <c r="B1093" i="6"/>
  <c r="J1092" i="6"/>
  <c r="B1092" i="6"/>
  <c r="J1091" i="6"/>
  <c r="B1091" i="6"/>
  <c r="J1090" i="6"/>
  <c r="B1090" i="6"/>
  <c r="J1089" i="6"/>
  <c r="B1089" i="6"/>
  <c r="J1088" i="6"/>
  <c r="B1088" i="6"/>
  <c r="J1087" i="6"/>
  <c r="B1087" i="6"/>
  <c r="J1086" i="6"/>
  <c r="B1086" i="6"/>
  <c r="J1085" i="6"/>
  <c r="B1085" i="6"/>
  <c r="J1084" i="6"/>
  <c r="B1084" i="6"/>
  <c r="J1083" i="6"/>
  <c r="B1083" i="6"/>
  <c r="J1082" i="6"/>
  <c r="B1082" i="6"/>
  <c r="J1081" i="6"/>
  <c r="B1081" i="6"/>
  <c r="J1080" i="6"/>
  <c r="B1080" i="6"/>
  <c r="J1079" i="6"/>
  <c r="B1079" i="6"/>
  <c r="J1078" i="6"/>
  <c r="B1078" i="6"/>
  <c r="J1077" i="6"/>
  <c r="B1077" i="6"/>
  <c r="J1076" i="6"/>
  <c r="B1076" i="6"/>
  <c r="J1075" i="6"/>
  <c r="B1075" i="6"/>
  <c r="B1074" i="6"/>
  <c r="J1073" i="6"/>
  <c r="B1073" i="6"/>
  <c r="J1072" i="6"/>
  <c r="B1072" i="6"/>
  <c r="J1071" i="6"/>
  <c r="B1071" i="6"/>
  <c r="J1070" i="6"/>
  <c r="B1070" i="6"/>
  <c r="J1069" i="6"/>
  <c r="B1069" i="6"/>
  <c r="J1068" i="6"/>
  <c r="B1068" i="6"/>
  <c r="J1067" i="6"/>
  <c r="B1067" i="6"/>
  <c r="J1066" i="6"/>
  <c r="B1066" i="6"/>
  <c r="J1065" i="6"/>
  <c r="B1065" i="6"/>
  <c r="J1064" i="6"/>
  <c r="B1064" i="6"/>
  <c r="J1063" i="6"/>
  <c r="B1063" i="6"/>
  <c r="J1062" i="6"/>
  <c r="B1062" i="6"/>
  <c r="J1061" i="6"/>
  <c r="B1061" i="6"/>
  <c r="J1060" i="6"/>
  <c r="B1060" i="6"/>
  <c r="L1100" i="6"/>
  <c r="L1059" i="6"/>
  <c r="D1100" i="6"/>
  <c r="L709" i="5"/>
  <c r="L701" i="5"/>
  <c r="L693" i="5"/>
  <c r="L685" i="5"/>
  <c r="L677" i="5"/>
  <c r="L669" i="5"/>
  <c r="L661" i="5"/>
  <c r="L642" i="5"/>
  <c r="L631" i="5"/>
  <c r="L610" i="5"/>
  <c r="L587" i="5"/>
  <c r="L579" i="5"/>
  <c r="L571" i="5"/>
  <c r="L563" i="5"/>
  <c r="L555" i="5"/>
  <c r="L547" i="5"/>
  <c r="L539" i="5"/>
  <c r="L531" i="5"/>
  <c r="L523" i="5"/>
  <c r="L515" i="5"/>
  <c r="L507" i="5"/>
  <c r="L499" i="5"/>
  <c r="H1098" i="5"/>
  <c r="L491" i="5"/>
  <c r="L483" i="5"/>
  <c r="L475" i="5"/>
  <c r="L472" i="5"/>
  <c r="L468" i="5"/>
  <c r="L1095" i="5" s="1"/>
  <c r="L465" i="5"/>
  <c r="L444" i="5"/>
  <c r="L424" i="5"/>
  <c r="F1091" i="5"/>
  <c r="L420" i="5"/>
  <c r="H1088" i="5"/>
  <c r="T1083" i="5"/>
  <c r="D1081" i="5"/>
  <c r="N1081" i="5"/>
  <c r="F1081" i="5"/>
  <c r="L298" i="5"/>
  <c r="E1079" i="5"/>
  <c r="L274" i="5"/>
  <c r="L257" i="5"/>
  <c r="L251" i="5"/>
  <c r="T1074" i="5"/>
  <c r="L216" i="5"/>
  <c r="L212" i="5"/>
  <c r="L209" i="5"/>
  <c r="R1072" i="5"/>
  <c r="S133" i="5"/>
  <c r="S1067" i="5" s="1"/>
  <c r="Q1067" i="5"/>
  <c r="L114" i="5"/>
  <c r="L113" i="5"/>
  <c r="I1064" i="5"/>
  <c r="L41" i="5"/>
  <c r="R1094" i="5"/>
  <c r="L456" i="5"/>
  <c r="L452" i="5"/>
  <c r="H1084" i="5"/>
  <c r="L330" i="5"/>
  <c r="N1083" i="5"/>
  <c r="L306" i="5"/>
  <c r="L289" i="5"/>
  <c r="L283" i="5"/>
  <c r="L248" i="5"/>
  <c r="L244" i="5"/>
  <c r="L241" i="5"/>
  <c r="L220" i="5"/>
  <c r="R1074" i="5"/>
  <c r="Q216" i="5"/>
  <c r="L200" i="5"/>
  <c r="L196" i="5"/>
  <c r="Q192" i="5"/>
  <c r="L187" i="5"/>
  <c r="T1071" i="5"/>
  <c r="F1068" i="5"/>
  <c r="L142" i="5"/>
  <c r="L121" i="5"/>
  <c r="C1066" i="5"/>
  <c r="Q104" i="5"/>
  <c r="R1064" i="5"/>
  <c r="L80" i="5"/>
  <c r="H1062" i="5"/>
  <c r="L71" i="5"/>
  <c r="C1061" i="5"/>
  <c r="Q1059" i="5"/>
  <c r="L644" i="5"/>
  <c r="L614" i="5"/>
  <c r="L612" i="5"/>
  <c r="L594" i="5"/>
  <c r="L159" i="5"/>
  <c r="L1069" i="5" s="1"/>
  <c r="L87" i="5"/>
  <c r="L464" i="5"/>
  <c r="L460" i="5"/>
  <c r="L457" i="5"/>
  <c r="L450" i="5"/>
  <c r="L432" i="5"/>
  <c r="L428" i="5"/>
  <c r="L425" i="5"/>
  <c r="L418" i="5"/>
  <c r="L400" i="5"/>
  <c r="L396" i="5"/>
  <c r="L393" i="5"/>
  <c r="L386" i="5"/>
  <c r="L368" i="5"/>
  <c r="L364" i="5"/>
  <c r="L361" i="5"/>
  <c r="L354" i="5"/>
  <c r="L336" i="5"/>
  <c r="L1084" i="5" s="1"/>
  <c r="L332" i="5"/>
  <c r="L329" i="5"/>
  <c r="L322" i="5"/>
  <c r="L304" i="5"/>
  <c r="L300" i="5"/>
  <c r="L297" i="5"/>
  <c r="L290" i="5"/>
  <c r="L272" i="5"/>
  <c r="L268" i="5"/>
  <c r="L265" i="5"/>
  <c r="L258" i="5"/>
  <c r="L240" i="5"/>
  <c r="L236" i="5"/>
  <c r="L233" i="5"/>
  <c r="L226" i="5"/>
  <c r="L208" i="5"/>
  <c r="L204" i="5"/>
  <c r="L201" i="5"/>
  <c r="L194" i="5"/>
  <c r="L171" i="5"/>
  <c r="L130" i="5"/>
  <c r="L129" i="5"/>
  <c r="L49" i="5"/>
  <c r="Q20" i="5"/>
  <c r="Q1057" i="5" s="1"/>
  <c r="L638" i="5"/>
  <c r="L636" i="5"/>
  <c r="L606" i="5"/>
  <c r="L604" i="5"/>
  <c r="L596" i="5"/>
  <c r="L588" i="5"/>
  <c r="L181" i="5"/>
  <c r="L180" i="5"/>
  <c r="L175" i="5"/>
  <c r="L98" i="5"/>
  <c r="L97" i="5"/>
  <c r="L31" i="5"/>
  <c r="L28" i="5"/>
  <c r="L174" i="5"/>
  <c r="L155" i="5"/>
  <c r="L136" i="5"/>
  <c r="L124" i="5"/>
  <c r="L117" i="5"/>
  <c r="L72" i="5"/>
  <c r="L55" i="5"/>
  <c r="L470" i="5"/>
  <c r="L462" i="5"/>
  <c r="L454" i="5"/>
  <c r="L446" i="5"/>
  <c r="L438" i="5"/>
  <c r="L430" i="5"/>
  <c r="L422" i="5"/>
  <c r="L414" i="5"/>
  <c r="L406" i="5"/>
  <c r="L398" i="5"/>
  <c r="L390" i="5"/>
  <c r="L382" i="5"/>
  <c r="L374" i="5"/>
  <c r="L366" i="5"/>
  <c r="L358" i="5"/>
  <c r="L350" i="5"/>
  <c r="L342" i="5"/>
  <c r="L334" i="5"/>
  <c r="L326" i="5"/>
  <c r="L1083" i="5" s="1"/>
  <c r="L318" i="5"/>
  <c r="L310" i="5"/>
  <c r="L302" i="5"/>
  <c r="L294" i="5"/>
  <c r="L286" i="5"/>
  <c r="L278" i="5"/>
  <c r="L270" i="5"/>
  <c r="L262" i="5"/>
  <c r="L254" i="5"/>
  <c r="L246" i="5"/>
  <c r="L238" i="5"/>
  <c r="L230" i="5"/>
  <c r="L222" i="5"/>
  <c r="L214" i="5"/>
  <c r="L206" i="5"/>
  <c r="L198" i="5"/>
  <c r="L158" i="5"/>
  <c r="L139" i="5"/>
  <c r="L120" i="5"/>
  <c r="L108" i="5"/>
  <c r="L101" i="5"/>
  <c r="L89" i="5"/>
  <c r="L62" i="5"/>
  <c r="L177" i="5"/>
  <c r="L162" i="5"/>
  <c r="L123" i="5"/>
  <c r="L104" i="5"/>
  <c r="L79" i="5"/>
  <c r="L73" i="5"/>
  <c r="L66" i="5"/>
  <c r="L40" i="5"/>
  <c r="L186" i="5"/>
  <c r="L170" i="5"/>
  <c r="L148" i="5"/>
  <c r="L132" i="5"/>
  <c r="L116" i="5"/>
  <c r="L100" i="5"/>
  <c r="L21" i="5"/>
  <c r="S17" i="5"/>
  <c r="L16" i="5"/>
  <c r="L1057" i="5" s="1"/>
  <c r="L176" i="5"/>
  <c r="L160" i="5"/>
  <c r="L154" i="5"/>
  <c r="L138" i="5"/>
  <c r="L122" i="5"/>
  <c r="L106" i="5"/>
  <c r="L57" i="5"/>
  <c r="L54" i="5"/>
  <c r="S32" i="5"/>
  <c r="L182" i="5"/>
  <c r="L166" i="5"/>
  <c r="L144" i="5"/>
  <c r="L128" i="5"/>
  <c r="L112" i="5"/>
  <c r="L96" i="5"/>
  <c r="L34" i="5"/>
  <c r="L25" i="5"/>
  <c r="L19" i="5"/>
  <c r="L91" i="5"/>
  <c r="L83" i="5"/>
  <c r="L75" i="5"/>
  <c r="L67" i="5"/>
  <c r="L59" i="5"/>
  <c r="L51" i="5"/>
  <c r="L43" i="5"/>
  <c r="L36" i="5"/>
  <c r="L30" i="5"/>
  <c r="L93" i="5"/>
  <c r="L85" i="5"/>
  <c r="L77" i="5"/>
  <c r="L69" i="5"/>
  <c r="L61" i="5"/>
  <c r="L1061" i="5" s="1"/>
  <c r="L53" i="5"/>
  <c r="L45" i="5"/>
  <c r="AD1071" i="4" l="1"/>
  <c r="AC1068" i="4"/>
  <c r="AC1067" i="4"/>
  <c r="AD1059" i="4"/>
  <c r="AC1061" i="4"/>
  <c r="AD1072" i="4"/>
  <c r="AD1084" i="4"/>
  <c r="AD1095" i="4"/>
  <c r="AC1089" i="4"/>
  <c r="AC1086" i="4"/>
  <c r="AD1106" i="4"/>
  <c r="AC1079" i="4"/>
  <c r="AD1094" i="4"/>
  <c r="AC1101" i="4"/>
  <c r="AC1098" i="4"/>
  <c r="AC1103" i="4"/>
  <c r="AD1101" i="4"/>
  <c r="AD1105" i="4"/>
  <c r="AC1100" i="4"/>
  <c r="AD1089" i="4"/>
  <c r="AC1106" i="4"/>
  <c r="AC1066" i="4"/>
  <c r="Q1069" i="5"/>
  <c r="S156" i="5"/>
  <c r="S1069" i="5" s="1"/>
  <c r="AD157" i="4"/>
  <c r="AD1070" i="4" s="1"/>
  <c r="AC1078" i="4"/>
  <c r="S288" i="5"/>
  <c r="S1080" i="5" s="1"/>
  <c r="Q1080" i="5"/>
  <c r="S121" i="5"/>
  <c r="S1066" i="5" s="1"/>
  <c r="Q1066" i="5"/>
  <c r="S324" i="5"/>
  <c r="S1083" i="5" s="1"/>
  <c r="Q1083" i="5"/>
  <c r="AD1061" i="4"/>
  <c r="AC1059" i="4"/>
  <c r="AC1081" i="4"/>
  <c r="AC1062" i="4"/>
  <c r="AC1070" i="4"/>
  <c r="AC1076" i="4"/>
  <c r="AD289" i="4"/>
  <c r="AD1081" i="4" s="1"/>
  <c r="AC1092" i="4"/>
  <c r="AC1093" i="4"/>
  <c r="AC1082" i="4"/>
  <c r="AC1096" i="4"/>
  <c r="AD1085" i="4"/>
  <c r="AC1104" i="4"/>
  <c r="AC1083" i="4"/>
  <c r="AC1095" i="4"/>
  <c r="F1106" i="2"/>
  <c r="G1106" i="2"/>
  <c r="H1106" i="2"/>
  <c r="J1106" i="2"/>
  <c r="K1106" i="2"/>
  <c r="B1106" i="2"/>
  <c r="I1106" i="2"/>
  <c r="A1107" i="2"/>
  <c r="C1106" i="2"/>
  <c r="E1106" i="2"/>
  <c r="L1081" i="5"/>
  <c r="L1091" i="5"/>
  <c r="L1096" i="5"/>
  <c r="S1103" i="5"/>
  <c r="S1104" i="5"/>
  <c r="AD1104" i="4"/>
  <c r="S312" i="5"/>
  <c r="S1082" i="5" s="1"/>
  <c r="Q1082" i="5"/>
  <c r="AD1100" i="4"/>
  <c r="S360" i="5"/>
  <c r="S1086" i="5" s="1"/>
  <c r="Q1086" i="5"/>
  <c r="AD361" i="4"/>
  <c r="AD1087" i="4" s="1"/>
  <c r="AC1074" i="4"/>
  <c r="S47" i="5"/>
  <c r="S1059" i="5" s="1"/>
  <c r="AD48" i="4"/>
  <c r="AD1060" i="4" s="1"/>
  <c r="AC1105" i="4"/>
  <c r="AD1092" i="4"/>
  <c r="AC1097" i="4"/>
  <c r="AC1102" i="4"/>
  <c r="AD1058" i="4"/>
  <c r="AC1065" i="4"/>
  <c r="L1077" i="5"/>
  <c r="AC1069" i="4"/>
  <c r="E1107" i="4"/>
  <c r="M1107" i="4"/>
  <c r="U1107" i="4"/>
  <c r="F1107" i="4"/>
  <c r="N1107" i="4"/>
  <c r="V1107" i="4"/>
  <c r="G1107" i="4"/>
  <c r="O1107" i="4"/>
  <c r="W1107" i="4"/>
  <c r="H1107" i="4"/>
  <c r="S1107" i="4"/>
  <c r="I1107" i="4"/>
  <c r="T1107" i="4"/>
  <c r="J1107" i="4"/>
  <c r="X1107" i="4"/>
  <c r="D1107" i="4"/>
  <c r="A1108" i="4"/>
  <c r="K1107" i="4"/>
  <c r="Q1107" i="4"/>
  <c r="R1107" i="4"/>
  <c r="P1107" i="4"/>
  <c r="B1107" i="4"/>
  <c r="C1107" i="4"/>
  <c r="L1107" i="4"/>
  <c r="AC1107" i="4"/>
  <c r="AD1107" i="4"/>
  <c r="L1062" i="5"/>
  <c r="L1076" i="5"/>
  <c r="S192" i="5"/>
  <c r="S1072" i="5" s="1"/>
  <c r="Q1072" i="5"/>
  <c r="AD193" i="4"/>
  <c r="AD1073" i="4" s="1"/>
  <c r="AD1103" i="4"/>
  <c r="AD1077" i="4"/>
  <c r="AC1072" i="4"/>
  <c r="AC1080" i="4"/>
  <c r="L1067" i="5"/>
  <c r="L1066" i="5"/>
  <c r="L1072" i="5"/>
  <c r="S104" i="5"/>
  <c r="AD105" i="4"/>
  <c r="AD1065" i="4" s="1"/>
  <c r="Q1092" i="5"/>
  <c r="S434" i="5"/>
  <c r="S1092" i="5" s="1"/>
  <c r="L1101" i="5"/>
  <c r="S348" i="5"/>
  <c r="S1085" i="5" s="1"/>
  <c r="Q1085" i="5"/>
  <c r="AD349" i="4"/>
  <c r="AD1086" i="4" s="1"/>
  <c r="AC1063" i="4"/>
  <c r="S264" i="5"/>
  <c r="S1078" i="5" s="1"/>
  <c r="Q1078" i="5"/>
  <c r="AD265" i="4"/>
  <c r="AD1079" i="4" s="1"/>
  <c r="S376" i="5"/>
  <c r="S1087" i="5" s="1"/>
  <c r="Q1087" i="5"/>
  <c r="S1100" i="5"/>
  <c r="S1097" i="5"/>
  <c r="S1101" i="5"/>
  <c r="S1098" i="5"/>
  <c r="S1099" i="5"/>
  <c r="AC1091" i="4"/>
  <c r="AD122" i="4"/>
  <c r="AC1084" i="4"/>
  <c r="AC1099" i="4"/>
  <c r="AD1076" i="4"/>
  <c r="AC1088" i="4"/>
  <c r="AD1074" i="4"/>
  <c r="AD1099" i="4"/>
  <c r="S95" i="5"/>
  <c r="S1063" i="5" s="1"/>
  <c r="Q1063" i="5"/>
  <c r="L1098" i="5"/>
  <c r="L1100" i="5"/>
  <c r="AC1073" i="4"/>
  <c r="Q1077" i="5"/>
  <c r="S252" i="5"/>
  <c r="S1077" i="5" s="1"/>
  <c r="AD253" i="4"/>
  <c r="AD1078" i="4" s="1"/>
  <c r="L1064" i="5"/>
  <c r="AC1075" i="4"/>
  <c r="L1080" i="5"/>
  <c r="AC1071" i="4"/>
  <c r="AD1082" i="4"/>
  <c r="L1065" i="5"/>
  <c r="L1085" i="5"/>
  <c r="L1099" i="5"/>
  <c r="L1075" i="5"/>
  <c r="A1084" i="5"/>
  <c r="B1083" i="5"/>
  <c r="S144" i="5"/>
  <c r="S1068" i="5" s="1"/>
  <c r="Q1068" i="5"/>
  <c r="AD1093" i="4"/>
  <c r="L1059" i="5"/>
  <c r="L1093" i="5"/>
  <c r="L1104" i="5"/>
  <c r="L1087" i="5"/>
  <c r="L1088" i="5"/>
  <c r="S452" i="5"/>
  <c r="S1093" i="5" s="1"/>
  <c r="Q1093" i="5"/>
  <c r="Q1058" i="5"/>
  <c r="S26" i="5"/>
  <c r="S1058" i="5" s="1"/>
  <c r="AD1063" i="4"/>
  <c r="L1090" i="5"/>
  <c r="AD1068" i="4"/>
  <c r="AD377" i="4"/>
  <c r="AD1088" i="4" s="1"/>
  <c r="Q1064" i="5"/>
  <c r="AC1077" i="4"/>
  <c r="AD145" i="4"/>
  <c r="AD1069" i="4" s="1"/>
  <c r="AC1085" i="4"/>
  <c r="AC1060" i="4"/>
  <c r="AD1098" i="4"/>
  <c r="I1106" i="3"/>
  <c r="B1106" i="3"/>
  <c r="J1106" i="3"/>
  <c r="C1106" i="3"/>
  <c r="A1107" i="3"/>
  <c r="D1106" i="3"/>
  <c r="E1106" i="3"/>
  <c r="H1106" i="3"/>
  <c r="F1106" i="3"/>
  <c r="G1106" i="3"/>
  <c r="L1060" i="5"/>
  <c r="L1063" i="5"/>
  <c r="AD1067" i="4"/>
  <c r="L1068" i="5"/>
  <c r="L1092" i="5"/>
  <c r="L1094" i="5"/>
  <c r="L1070" i="5"/>
  <c r="L1078" i="5"/>
  <c r="AD1083" i="4"/>
  <c r="AC1064" i="4"/>
  <c r="L1058" i="5"/>
  <c r="L1071" i="5"/>
  <c r="S20" i="5"/>
  <c r="S1057" i="5" s="1"/>
  <c r="L1073" i="5"/>
  <c r="L1089" i="5"/>
  <c r="S216" i="5"/>
  <c r="S1074" i="5" s="1"/>
  <c r="Q1074" i="5"/>
  <c r="L1074" i="5"/>
  <c r="L1097" i="5"/>
  <c r="S408" i="5"/>
  <c r="S1090" i="5" s="1"/>
  <c r="Q1090" i="5"/>
  <c r="AC1058" i="4"/>
  <c r="S280" i="5"/>
  <c r="S1079" i="5" s="1"/>
  <c r="Q1079" i="5"/>
  <c r="AC1087" i="4"/>
  <c r="AD1090" i="4"/>
  <c r="AD1062" i="4"/>
  <c r="AC1090" i="4"/>
  <c r="AD96" i="4"/>
  <c r="AD1064" i="4" s="1"/>
  <c r="S1064" i="5"/>
  <c r="AD217" i="4"/>
  <c r="AD1075" i="4" s="1"/>
  <c r="AC1094" i="4"/>
  <c r="C1108" i="4" l="1"/>
  <c r="K1108" i="4"/>
  <c r="S1108" i="4"/>
  <c r="A1109" i="4"/>
  <c r="D1108" i="4"/>
  <c r="L1108" i="4"/>
  <c r="T1108" i="4"/>
  <c r="E1108" i="4"/>
  <c r="M1108" i="4"/>
  <c r="U1108" i="4"/>
  <c r="G1108" i="4"/>
  <c r="R1108" i="4"/>
  <c r="H1108" i="4"/>
  <c r="V1108" i="4"/>
  <c r="I1108" i="4"/>
  <c r="W1108" i="4"/>
  <c r="X1108" i="4"/>
  <c r="B1108" i="4"/>
  <c r="AC1108" i="4"/>
  <c r="N1108" i="4"/>
  <c r="O1108" i="4"/>
  <c r="J1108" i="4"/>
  <c r="AD1108" i="4"/>
  <c r="P1108" i="4"/>
  <c r="Q1108" i="4"/>
  <c r="F1108" i="4"/>
  <c r="G1107" i="3"/>
  <c r="H1107" i="3"/>
  <c r="I1107" i="3"/>
  <c r="D1107" i="3"/>
  <c r="E1107" i="3"/>
  <c r="F1107" i="3"/>
  <c r="B1107" i="3"/>
  <c r="A1108" i="3"/>
  <c r="J1107" i="3"/>
  <c r="C1107" i="3"/>
  <c r="C1107" i="2"/>
  <c r="A1108" i="2"/>
  <c r="E1107" i="2"/>
  <c r="F1107" i="2"/>
  <c r="K1107" i="2"/>
  <c r="G1107" i="2"/>
  <c r="B1107" i="2"/>
  <c r="I1107" i="2"/>
  <c r="H1107" i="2"/>
  <c r="J1107" i="2"/>
  <c r="B1084" i="5"/>
  <c r="A1085" i="5"/>
  <c r="B1085" i="5" l="1"/>
  <c r="A1086" i="5"/>
  <c r="J1108" i="2"/>
  <c r="B1108" i="2"/>
  <c r="K1108" i="2"/>
  <c r="A1109" i="2"/>
  <c r="C1108" i="2"/>
  <c r="E1108" i="2"/>
  <c r="H1108" i="2"/>
  <c r="I1108" i="2"/>
  <c r="G1108" i="2"/>
  <c r="F1108" i="2"/>
  <c r="I1109" i="4"/>
  <c r="Q1109" i="4"/>
  <c r="AC1109" i="4"/>
  <c r="B1109" i="4"/>
  <c r="J1109" i="4"/>
  <c r="R1109" i="4"/>
  <c r="AD1109" i="4"/>
  <c r="C1109" i="4"/>
  <c r="K1109" i="4"/>
  <c r="S1109" i="4"/>
  <c r="A1110" i="4"/>
  <c r="F1109" i="4"/>
  <c r="T1109" i="4"/>
  <c r="G1109" i="4"/>
  <c r="U1109" i="4"/>
  <c r="H1109" i="4"/>
  <c r="V1109" i="4"/>
  <c r="O1109" i="4"/>
  <c r="P1109" i="4"/>
  <c r="E1109" i="4"/>
  <c r="W1109" i="4"/>
  <c r="N1109" i="4"/>
  <c r="X1109" i="4"/>
  <c r="L1109" i="4"/>
  <c r="M1109" i="4"/>
  <c r="D1109" i="4"/>
  <c r="E1108" i="3"/>
  <c r="F1108" i="3"/>
  <c r="G1108" i="3"/>
  <c r="H1108" i="3"/>
  <c r="I1108" i="3"/>
  <c r="J1108" i="3"/>
  <c r="A1109" i="3"/>
  <c r="C1108" i="3"/>
  <c r="D1108" i="3"/>
  <c r="B1108" i="3"/>
  <c r="G1110" i="4" l="1"/>
  <c r="O1110" i="4"/>
  <c r="W1110" i="4"/>
  <c r="H1110" i="4"/>
  <c r="P1110" i="4"/>
  <c r="X1110" i="4"/>
  <c r="I1110" i="4"/>
  <c r="Q1110" i="4"/>
  <c r="AC1110" i="4"/>
  <c r="E1110" i="4"/>
  <c r="S1110" i="4"/>
  <c r="F1110" i="4"/>
  <c r="T1110" i="4"/>
  <c r="J1110" i="4"/>
  <c r="U1110" i="4"/>
  <c r="L1110" i="4"/>
  <c r="M1110" i="4"/>
  <c r="B1110" i="4"/>
  <c r="V1110" i="4"/>
  <c r="A1111" i="4"/>
  <c r="N1110" i="4"/>
  <c r="D1110" i="4"/>
  <c r="K1110" i="4"/>
  <c r="AD1110" i="4"/>
  <c r="C1110" i="4"/>
  <c r="R1110" i="4"/>
  <c r="H1109" i="2"/>
  <c r="I1109" i="2"/>
  <c r="J1109" i="2"/>
  <c r="E1109" i="2"/>
  <c r="F1109" i="2"/>
  <c r="A1110" i="2"/>
  <c r="B1109" i="2"/>
  <c r="G1109" i="2"/>
  <c r="K1109" i="2"/>
  <c r="C1109" i="2"/>
  <c r="C1109" i="3"/>
  <c r="A1110" i="3"/>
  <c r="D1109" i="3"/>
  <c r="E1109" i="3"/>
  <c r="I1109" i="3"/>
  <c r="J1109" i="3"/>
  <c r="B1109" i="3"/>
  <c r="H1109" i="3"/>
  <c r="F1109" i="3"/>
  <c r="G1109" i="3"/>
  <c r="B1086" i="5"/>
  <c r="A1087" i="5"/>
  <c r="F1110" i="2" l="1"/>
  <c r="G1110" i="2"/>
  <c r="H1110" i="2"/>
  <c r="I1110" i="2"/>
  <c r="J1110" i="2"/>
  <c r="K1110" i="2"/>
  <c r="A1111" i="2"/>
  <c r="B1110" i="2"/>
  <c r="C1110" i="2"/>
  <c r="E1110" i="2"/>
  <c r="B1087" i="5"/>
  <c r="A1088" i="5"/>
  <c r="I1110" i="3"/>
  <c r="B1110" i="3"/>
  <c r="J1110" i="3"/>
  <c r="C1110" i="3"/>
  <c r="A1111" i="3"/>
  <c r="D1110" i="3"/>
  <c r="H1110" i="3"/>
  <c r="F1110" i="3"/>
  <c r="G1110" i="3"/>
  <c r="E1110" i="3"/>
  <c r="E1111" i="4"/>
  <c r="M1111" i="4"/>
  <c r="U1111" i="4"/>
  <c r="F1111" i="4"/>
  <c r="N1111" i="4"/>
  <c r="V1111" i="4"/>
  <c r="G1111" i="4"/>
  <c r="O1111" i="4"/>
  <c r="W1111" i="4"/>
  <c r="D1111" i="4"/>
  <c r="R1111" i="4"/>
  <c r="H1111" i="4"/>
  <c r="S1111" i="4"/>
  <c r="I1111" i="4"/>
  <c r="T1111" i="4"/>
  <c r="C1111" i="4"/>
  <c r="AD1111" i="4"/>
  <c r="J1111" i="4"/>
  <c r="A1112" i="4"/>
  <c r="P1111" i="4"/>
  <c r="Q1111" i="4"/>
  <c r="AC1111" i="4"/>
  <c r="B1111" i="4"/>
  <c r="K1111" i="4"/>
  <c r="L1111" i="4"/>
  <c r="X1111" i="4"/>
  <c r="B1088" i="5" l="1"/>
  <c r="A1089" i="5"/>
  <c r="C1111" i="2"/>
  <c r="A1112" i="2"/>
  <c r="E1111" i="2"/>
  <c r="F1111" i="2"/>
  <c r="J1111" i="2"/>
  <c r="K1111" i="2"/>
  <c r="B1111" i="2"/>
  <c r="G1111" i="2"/>
  <c r="H1111" i="2"/>
  <c r="I1111" i="2"/>
  <c r="C1112" i="4"/>
  <c r="K1112" i="4"/>
  <c r="S1112" i="4"/>
  <c r="A1113" i="4"/>
  <c r="D1112" i="4"/>
  <c r="L1112" i="4"/>
  <c r="T1112" i="4"/>
  <c r="E1112" i="4"/>
  <c r="M1112" i="4"/>
  <c r="U1112" i="4"/>
  <c r="F1112" i="4"/>
  <c r="Q1112" i="4"/>
  <c r="G1112" i="4"/>
  <c r="R1112" i="4"/>
  <c r="H1112" i="4"/>
  <c r="V1112" i="4"/>
  <c r="W1112" i="4"/>
  <c r="X1112" i="4"/>
  <c r="J1112" i="4"/>
  <c r="I1112" i="4"/>
  <c r="P1112" i="4"/>
  <c r="B1112" i="4"/>
  <c r="N1112" i="4"/>
  <c r="AD1112" i="4"/>
  <c r="O1112" i="4"/>
  <c r="AC1112" i="4"/>
  <c r="G1111" i="3"/>
  <c r="H1111" i="3"/>
  <c r="I1111" i="3"/>
  <c r="C1111" i="3"/>
  <c r="D1111" i="3"/>
  <c r="E1111" i="3"/>
  <c r="B1111" i="3"/>
  <c r="A1112" i="3"/>
  <c r="F1111" i="3"/>
  <c r="J1111" i="3"/>
  <c r="I1113" i="4" l="1"/>
  <c r="Q1113" i="4"/>
  <c r="AC1113" i="4"/>
  <c r="B1113" i="4"/>
  <c r="J1113" i="4"/>
  <c r="R1113" i="4"/>
  <c r="AD1113" i="4"/>
  <c r="C1113" i="4"/>
  <c r="K1113" i="4"/>
  <c r="S1113" i="4"/>
  <c r="A1114" i="4"/>
  <c r="E1113" i="4"/>
  <c r="P1113" i="4"/>
  <c r="F1113" i="4"/>
  <c r="T1113" i="4"/>
  <c r="G1113" i="4"/>
  <c r="U1113" i="4"/>
  <c r="N1113" i="4"/>
  <c r="O1113" i="4"/>
  <c r="D1113" i="4"/>
  <c r="X1113" i="4"/>
  <c r="M1113" i="4"/>
  <c r="V1113" i="4"/>
  <c r="W1113" i="4"/>
  <c r="L1113" i="4"/>
  <c r="H1113" i="4"/>
  <c r="E1112" i="3"/>
  <c r="F1112" i="3"/>
  <c r="G1112" i="3"/>
  <c r="D1112" i="3"/>
  <c r="H1112" i="3"/>
  <c r="I1112" i="3"/>
  <c r="A1113" i="3"/>
  <c r="C1112" i="3"/>
  <c r="J1112" i="3"/>
  <c r="B1112" i="3"/>
  <c r="J1112" i="2"/>
  <c r="B1112" i="2"/>
  <c r="K1112" i="2"/>
  <c r="C1112" i="2"/>
  <c r="A1113" i="2"/>
  <c r="G1112" i="2"/>
  <c r="I1112" i="2"/>
  <c r="E1112" i="2"/>
  <c r="H1112" i="2"/>
  <c r="F1112" i="2"/>
  <c r="A1090" i="5"/>
  <c r="B1089" i="5"/>
  <c r="B1090" i="5" l="1"/>
  <c r="A1091" i="5"/>
  <c r="G1114" i="4"/>
  <c r="O1114" i="4"/>
  <c r="W1114" i="4"/>
  <c r="H1114" i="4"/>
  <c r="P1114" i="4"/>
  <c r="X1114" i="4"/>
  <c r="I1114" i="4"/>
  <c r="Q1114" i="4"/>
  <c r="AC1114" i="4"/>
  <c r="D1114" i="4"/>
  <c r="R1114" i="4"/>
  <c r="E1114" i="4"/>
  <c r="S1114" i="4"/>
  <c r="F1114" i="4"/>
  <c r="T1114" i="4"/>
  <c r="K1114" i="4"/>
  <c r="L1114" i="4"/>
  <c r="U1114" i="4"/>
  <c r="V1114" i="4"/>
  <c r="C1114" i="4"/>
  <c r="N1114" i="4"/>
  <c r="AD1114" i="4"/>
  <c r="J1114" i="4"/>
  <c r="A1115" i="4"/>
  <c r="B1114" i="4"/>
  <c r="M1114" i="4"/>
  <c r="H1113" i="2"/>
  <c r="I1113" i="2"/>
  <c r="J1113" i="2"/>
  <c r="C1113" i="2"/>
  <c r="E1113" i="2"/>
  <c r="K1113" i="2"/>
  <c r="A1114" i="2"/>
  <c r="B1113" i="2"/>
  <c r="G1113" i="2"/>
  <c r="F1113" i="2"/>
  <c r="C1113" i="3"/>
  <c r="A1114" i="3"/>
  <c r="D1113" i="3"/>
  <c r="E1113" i="3"/>
  <c r="H1113" i="3"/>
  <c r="I1113" i="3"/>
  <c r="J1113" i="3"/>
  <c r="B1113" i="3"/>
  <c r="G1113" i="3"/>
  <c r="F1113" i="3"/>
  <c r="I1114" i="3" l="1"/>
  <c r="B1114" i="3"/>
  <c r="J1114" i="3"/>
  <c r="C1114" i="3"/>
  <c r="A1115" i="3"/>
  <c r="H1114" i="3"/>
  <c r="D1114" i="3"/>
  <c r="E1114" i="3"/>
  <c r="F1114" i="3"/>
  <c r="G1114" i="3"/>
  <c r="E1115" i="4"/>
  <c r="M1115" i="4"/>
  <c r="U1115" i="4"/>
  <c r="F1115" i="4"/>
  <c r="N1115" i="4"/>
  <c r="V1115" i="4"/>
  <c r="G1115" i="4"/>
  <c r="O1115" i="4"/>
  <c r="W1115" i="4"/>
  <c r="C1115" i="4"/>
  <c r="Q1115" i="4"/>
  <c r="D1115" i="4"/>
  <c r="R1115" i="4"/>
  <c r="H1115" i="4"/>
  <c r="S1115" i="4"/>
  <c r="B1115" i="4"/>
  <c r="AC1115" i="4"/>
  <c r="I1115" i="4"/>
  <c r="AD1115" i="4"/>
  <c r="L1115" i="4"/>
  <c r="A1116" i="4"/>
  <c r="J1115" i="4"/>
  <c r="K1115" i="4"/>
  <c r="P1115" i="4"/>
  <c r="T1115" i="4"/>
  <c r="X1115" i="4"/>
  <c r="B1091" i="5"/>
  <c r="A1092" i="5"/>
  <c r="F1114" i="2"/>
  <c r="G1114" i="2"/>
  <c r="H1114" i="2"/>
  <c r="E1114" i="2"/>
  <c r="I1114" i="2"/>
  <c r="A1115" i="2"/>
  <c r="K1114" i="2"/>
  <c r="J1114" i="2"/>
  <c r="B1114" i="2"/>
  <c r="C1114" i="2"/>
  <c r="G1115" i="3" l="1"/>
  <c r="H1115" i="3"/>
  <c r="I1115" i="3"/>
  <c r="B1115" i="3"/>
  <c r="C1115" i="3"/>
  <c r="D1115" i="3"/>
  <c r="E1115" i="3"/>
  <c r="A1116" i="3"/>
  <c r="J1115" i="3"/>
  <c r="F1115" i="3"/>
  <c r="C1116" i="4"/>
  <c r="K1116" i="4"/>
  <c r="S1116" i="4"/>
  <c r="A1117" i="4"/>
  <c r="D1116" i="4"/>
  <c r="L1116" i="4"/>
  <c r="T1116" i="4"/>
  <c r="E1116" i="4"/>
  <c r="M1116" i="4"/>
  <c r="U1116" i="4"/>
  <c r="B1116" i="4"/>
  <c r="P1116" i="4"/>
  <c r="F1116" i="4"/>
  <c r="Q1116" i="4"/>
  <c r="G1116" i="4"/>
  <c r="R1116" i="4"/>
  <c r="V1116" i="4"/>
  <c r="W1116" i="4"/>
  <c r="I1116" i="4"/>
  <c r="AD1116" i="4"/>
  <c r="AC1116" i="4"/>
  <c r="H1116" i="4"/>
  <c r="J1116" i="4"/>
  <c r="N1116" i="4"/>
  <c r="O1116" i="4"/>
  <c r="X1116" i="4"/>
  <c r="B1092" i="5"/>
  <c r="A1093" i="5"/>
  <c r="C1115" i="2"/>
  <c r="A1116" i="2"/>
  <c r="E1115" i="2"/>
  <c r="F1115" i="2"/>
  <c r="I1115" i="2"/>
  <c r="J1115" i="2"/>
  <c r="B1115" i="2"/>
  <c r="H1115" i="2"/>
  <c r="K1115" i="2"/>
  <c r="G1115" i="2"/>
  <c r="J1116" i="2" l="1"/>
  <c r="B1116" i="2"/>
  <c r="K1116" i="2"/>
  <c r="C1116" i="2"/>
  <c r="A1117" i="2"/>
  <c r="F1116" i="2"/>
  <c r="I1116" i="2"/>
  <c r="E1116" i="2"/>
  <c r="G1116" i="2"/>
  <c r="H1116" i="2"/>
  <c r="A1094" i="5"/>
  <c r="B1093" i="5"/>
  <c r="I1117" i="4"/>
  <c r="Q1117" i="4"/>
  <c r="AC1117" i="4"/>
  <c r="B1117" i="4"/>
  <c r="J1117" i="4"/>
  <c r="R1117" i="4"/>
  <c r="AD1117" i="4"/>
  <c r="C1117" i="4"/>
  <c r="K1117" i="4"/>
  <c r="S1117" i="4"/>
  <c r="A1118" i="4"/>
  <c r="D1117" i="4"/>
  <c r="O1117" i="4"/>
  <c r="E1117" i="4"/>
  <c r="P1117" i="4"/>
  <c r="F1117" i="4"/>
  <c r="T1117" i="4"/>
  <c r="M1117" i="4"/>
  <c r="N1117" i="4"/>
  <c r="W1117" i="4"/>
  <c r="H1117" i="4"/>
  <c r="V1117" i="4"/>
  <c r="X1117" i="4"/>
  <c r="L1117" i="4"/>
  <c r="U1117" i="4"/>
  <c r="G1117" i="4"/>
  <c r="E1116" i="3"/>
  <c r="F1116" i="3"/>
  <c r="G1116" i="3"/>
  <c r="C1116" i="3"/>
  <c r="D1116" i="3"/>
  <c r="H1116" i="3"/>
  <c r="A1117" i="3"/>
  <c r="J1116" i="3"/>
  <c r="B1116" i="3"/>
  <c r="I1116" i="3"/>
  <c r="G1118" i="4" l="1"/>
  <c r="O1118" i="4"/>
  <c r="W1118" i="4"/>
  <c r="H1118" i="4"/>
  <c r="P1118" i="4"/>
  <c r="X1118" i="4"/>
  <c r="I1118" i="4"/>
  <c r="Q1118" i="4"/>
  <c r="AC1118" i="4"/>
  <c r="C1118" i="4"/>
  <c r="N1118" i="4"/>
  <c r="D1118" i="4"/>
  <c r="R1118" i="4"/>
  <c r="E1118" i="4"/>
  <c r="S1118" i="4"/>
  <c r="J1118" i="4"/>
  <c r="A1119" i="4"/>
  <c r="K1118" i="4"/>
  <c r="T1118" i="4"/>
  <c r="M1118" i="4"/>
  <c r="B1118" i="4"/>
  <c r="L1118" i="4"/>
  <c r="U1118" i="4"/>
  <c r="AD1118" i="4"/>
  <c r="V1118" i="4"/>
  <c r="F1118" i="4"/>
  <c r="C1117" i="3"/>
  <c r="A1118" i="3"/>
  <c r="D1117" i="3"/>
  <c r="E1117" i="3"/>
  <c r="G1117" i="3"/>
  <c r="H1117" i="3"/>
  <c r="I1117" i="3"/>
  <c r="B1117" i="3"/>
  <c r="F1117" i="3"/>
  <c r="J1117" i="3"/>
  <c r="H1117" i="2"/>
  <c r="I1117" i="2"/>
  <c r="J1117" i="2"/>
  <c r="B1117" i="2"/>
  <c r="C1117" i="2"/>
  <c r="G1117" i="2"/>
  <c r="K1117" i="2"/>
  <c r="A1118" i="2"/>
  <c r="E1117" i="2"/>
  <c r="F1117" i="2"/>
  <c r="B1094" i="5"/>
  <c r="A1095" i="5"/>
  <c r="A1096" i="5" l="1"/>
  <c r="B1095" i="5"/>
  <c r="F1118" i="2"/>
  <c r="G1118" i="2"/>
  <c r="H1118" i="2"/>
  <c r="C1118" i="2"/>
  <c r="E1118" i="2"/>
  <c r="K1118" i="2"/>
  <c r="A1119" i="2"/>
  <c r="B1118" i="2"/>
  <c r="J1118" i="2"/>
  <c r="I1118" i="2"/>
  <c r="I1118" i="3"/>
  <c r="B1118" i="3"/>
  <c r="J1118" i="3"/>
  <c r="C1118" i="3"/>
  <c r="A1119" i="3"/>
  <c r="H1118" i="3"/>
  <c r="D1118" i="3"/>
  <c r="G1118" i="3"/>
  <c r="E1118" i="3"/>
  <c r="F1118" i="3"/>
  <c r="E1119" i="4"/>
  <c r="M1119" i="4"/>
  <c r="U1119" i="4"/>
  <c r="F1119" i="4"/>
  <c r="N1119" i="4"/>
  <c r="V1119" i="4"/>
  <c r="G1119" i="4"/>
  <c r="O1119" i="4"/>
  <c r="W1119" i="4"/>
  <c r="B1119" i="4"/>
  <c r="P1119" i="4"/>
  <c r="A1120" i="4"/>
  <c r="C1119" i="4"/>
  <c r="Q1119" i="4"/>
  <c r="D1119" i="4"/>
  <c r="R1119" i="4"/>
  <c r="X1119" i="4"/>
  <c r="H1119" i="4"/>
  <c r="AC1119" i="4"/>
  <c r="K1119" i="4"/>
  <c r="T1119" i="4"/>
  <c r="AD1119" i="4"/>
  <c r="J1119" i="4"/>
  <c r="L1119" i="4"/>
  <c r="S1119" i="4"/>
  <c r="I1119" i="4"/>
  <c r="C1120" i="4" l="1"/>
  <c r="K1120" i="4"/>
  <c r="S1120" i="4"/>
  <c r="A1121" i="4"/>
  <c r="D1120" i="4"/>
  <c r="L1120" i="4"/>
  <c r="T1120" i="4"/>
  <c r="E1120" i="4"/>
  <c r="M1120" i="4"/>
  <c r="U1120" i="4"/>
  <c r="O1120" i="4"/>
  <c r="AD1120" i="4"/>
  <c r="B1120" i="4"/>
  <c r="P1120" i="4"/>
  <c r="F1120" i="4"/>
  <c r="Q1120" i="4"/>
  <c r="R1120" i="4"/>
  <c r="V1120" i="4"/>
  <c r="H1120" i="4"/>
  <c r="AC1120" i="4"/>
  <c r="W1120" i="4"/>
  <c r="J1120" i="4"/>
  <c r="G1120" i="4"/>
  <c r="I1120" i="4"/>
  <c r="N1120" i="4"/>
  <c r="X1120" i="4"/>
  <c r="G1119" i="3"/>
  <c r="H1119" i="3"/>
  <c r="I1119" i="3"/>
  <c r="B1119" i="3"/>
  <c r="C1119" i="3"/>
  <c r="D1119" i="3"/>
  <c r="E1119" i="3"/>
  <c r="A1120" i="3"/>
  <c r="F1119" i="3"/>
  <c r="J1119" i="3"/>
  <c r="C1119" i="2"/>
  <c r="A1120" i="2"/>
  <c r="E1119" i="2"/>
  <c r="F1119" i="2"/>
  <c r="H1119" i="2"/>
  <c r="I1119" i="2"/>
  <c r="B1119" i="2"/>
  <c r="J1119" i="2"/>
  <c r="G1119" i="2"/>
  <c r="K1119" i="2"/>
  <c r="B1096" i="5"/>
  <c r="A1097" i="5"/>
  <c r="A1098" i="5" l="1"/>
  <c r="B1097" i="5"/>
  <c r="J1120" i="2"/>
  <c r="B1120" i="2"/>
  <c r="K1120" i="2"/>
  <c r="C1120" i="2"/>
  <c r="A1121" i="2"/>
  <c r="I1120" i="2"/>
  <c r="E1120" i="2"/>
  <c r="G1120" i="2"/>
  <c r="H1120" i="2"/>
  <c r="F1120" i="2"/>
  <c r="I1121" i="4"/>
  <c r="Q1121" i="4"/>
  <c r="AC1121" i="4"/>
  <c r="B1121" i="4"/>
  <c r="J1121" i="4"/>
  <c r="R1121" i="4"/>
  <c r="AD1121" i="4"/>
  <c r="C1121" i="4"/>
  <c r="K1121" i="4"/>
  <c r="S1121" i="4"/>
  <c r="A1122" i="4"/>
  <c r="N1121" i="4"/>
  <c r="D1121" i="4"/>
  <c r="O1121" i="4"/>
  <c r="E1121" i="4"/>
  <c r="P1121" i="4"/>
  <c r="L1121" i="4"/>
  <c r="M1121" i="4"/>
  <c r="V1121" i="4"/>
  <c r="F1121" i="4"/>
  <c r="T1121" i="4"/>
  <c r="U1121" i="4"/>
  <c r="G1121" i="4"/>
  <c r="W1121" i="4"/>
  <c r="H1121" i="4"/>
  <c r="X1121" i="4"/>
  <c r="E1120" i="3"/>
  <c r="F1120" i="3"/>
  <c r="G1120" i="3"/>
  <c r="B1120" i="3"/>
  <c r="C1120" i="3"/>
  <c r="D1120" i="3"/>
  <c r="A1121" i="3"/>
  <c r="I1120" i="3"/>
  <c r="J1120" i="3"/>
  <c r="H1120" i="3"/>
  <c r="C1121" i="3" l="1"/>
  <c r="A1122" i="3"/>
  <c r="D1121" i="3"/>
  <c r="E1121" i="3"/>
  <c r="F1121" i="3"/>
  <c r="G1121" i="3"/>
  <c r="H1121" i="3"/>
  <c r="B1121" i="3"/>
  <c r="I1121" i="3"/>
  <c r="J1121" i="3"/>
  <c r="G1122" i="4"/>
  <c r="O1122" i="4"/>
  <c r="W1122" i="4"/>
  <c r="H1122" i="4"/>
  <c r="P1122" i="4"/>
  <c r="X1122" i="4"/>
  <c r="I1122" i="4"/>
  <c r="Q1122" i="4"/>
  <c r="AC1122" i="4"/>
  <c r="B1122" i="4"/>
  <c r="M1122" i="4"/>
  <c r="A1123" i="4"/>
  <c r="C1122" i="4"/>
  <c r="N1122" i="4"/>
  <c r="D1122" i="4"/>
  <c r="R1122" i="4"/>
  <c r="F1122" i="4"/>
  <c r="AD1122" i="4"/>
  <c r="J1122" i="4"/>
  <c r="S1122" i="4"/>
  <c r="K1122" i="4"/>
  <c r="L1122" i="4"/>
  <c r="U1122" i="4"/>
  <c r="T1122" i="4"/>
  <c r="V1122" i="4"/>
  <c r="E1122" i="4"/>
  <c r="H1121" i="2"/>
  <c r="I1121" i="2"/>
  <c r="J1121" i="2"/>
  <c r="B1121" i="2"/>
  <c r="F1121" i="2"/>
  <c r="C1121" i="2"/>
  <c r="E1121" i="2"/>
  <c r="A1122" i="2"/>
  <c r="G1121" i="2"/>
  <c r="K1121" i="2"/>
  <c r="B1098" i="5"/>
  <c r="A1099" i="5"/>
  <c r="F1122" i="2" l="1"/>
  <c r="G1122" i="2"/>
  <c r="H1122" i="2"/>
  <c r="B1122" i="2"/>
  <c r="C1122" i="2"/>
  <c r="J1122" i="2"/>
  <c r="A1123" i="2"/>
  <c r="E1122" i="2"/>
  <c r="I1122" i="2"/>
  <c r="K1122" i="2"/>
  <c r="I1122" i="3"/>
  <c r="B1122" i="3"/>
  <c r="J1122" i="3"/>
  <c r="C1122" i="3"/>
  <c r="A1123" i="3"/>
  <c r="G1122" i="3"/>
  <c r="H1122" i="3"/>
  <c r="D1122" i="3"/>
  <c r="E1122" i="3"/>
  <c r="F1122" i="3"/>
  <c r="B1099" i="5"/>
  <c r="A1100" i="5"/>
  <c r="E1123" i="4"/>
  <c r="M1123" i="4"/>
  <c r="U1123" i="4"/>
  <c r="F1123" i="4"/>
  <c r="N1123" i="4"/>
  <c r="V1123" i="4"/>
  <c r="G1123" i="4"/>
  <c r="O1123" i="4"/>
  <c r="W1123" i="4"/>
  <c r="L1123" i="4"/>
  <c r="AD1123" i="4"/>
  <c r="B1123" i="4"/>
  <c r="P1123" i="4"/>
  <c r="A1124" i="4"/>
  <c r="C1123" i="4"/>
  <c r="Q1123" i="4"/>
  <c r="T1123" i="4"/>
  <c r="D1123" i="4"/>
  <c r="X1123" i="4"/>
  <c r="J1123" i="4"/>
  <c r="R1123" i="4"/>
  <c r="H1123" i="4"/>
  <c r="S1123" i="4"/>
  <c r="K1123" i="4"/>
  <c r="AC1123" i="4"/>
  <c r="I1123" i="4"/>
  <c r="C1123" i="2" l="1"/>
  <c r="A1124" i="2"/>
  <c r="E1123" i="2"/>
  <c r="F1123" i="2"/>
  <c r="G1123" i="2"/>
  <c r="H1123" i="2"/>
  <c r="K1123" i="2"/>
  <c r="J1123" i="2"/>
  <c r="B1123" i="2"/>
  <c r="I1123" i="2"/>
  <c r="B1100" i="5"/>
  <c r="A1101" i="5"/>
  <c r="G1123" i="3"/>
  <c r="H1123" i="3"/>
  <c r="I1123" i="3"/>
  <c r="A1124" i="3"/>
  <c r="B1123" i="3"/>
  <c r="D1123" i="3"/>
  <c r="E1123" i="3"/>
  <c r="F1123" i="3"/>
  <c r="J1123" i="3"/>
  <c r="C1123" i="3"/>
  <c r="C1124" i="4"/>
  <c r="K1124" i="4"/>
  <c r="S1124" i="4"/>
  <c r="A1125" i="4"/>
  <c r="D1124" i="4"/>
  <c r="L1124" i="4"/>
  <c r="T1124" i="4"/>
  <c r="E1124" i="4"/>
  <c r="M1124" i="4"/>
  <c r="U1124" i="4"/>
  <c r="N1124" i="4"/>
  <c r="AC1124" i="4"/>
  <c r="O1124" i="4"/>
  <c r="AD1124" i="4"/>
  <c r="B1124" i="4"/>
  <c r="P1124" i="4"/>
  <c r="Q1124" i="4"/>
  <c r="R1124" i="4"/>
  <c r="G1124" i="4"/>
  <c r="X1124" i="4"/>
  <c r="W1124" i="4"/>
  <c r="V1124" i="4"/>
  <c r="H1124" i="4"/>
  <c r="I1124" i="4"/>
  <c r="J1124" i="4"/>
  <c r="F1124" i="4"/>
  <c r="E1124" i="3" l="1"/>
  <c r="F1124" i="3"/>
  <c r="G1124" i="3"/>
  <c r="B1124" i="3"/>
  <c r="C1124" i="3"/>
  <c r="A1125" i="3"/>
  <c r="D1124" i="3"/>
  <c r="H1124" i="3"/>
  <c r="I1124" i="3"/>
  <c r="J1124" i="3"/>
  <c r="A1102" i="5"/>
  <c r="B1101" i="5"/>
  <c r="I1125" i="4"/>
  <c r="Q1125" i="4"/>
  <c r="AC1125" i="4"/>
  <c r="B1125" i="4"/>
  <c r="J1125" i="4"/>
  <c r="R1125" i="4"/>
  <c r="AD1125" i="4"/>
  <c r="C1125" i="4"/>
  <c r="K1125" i="4"/>
  <c r="S1125" i="4"/>
  <c r="A1126" i="4"/>
  <c r="M1125" i="4"/>
  <c r="X1125" i="4"/>
  <c r="N1125" i="4"/>
  <c r="D1125" i="4"/>
  <c r="O1125" i="4"/>
  <c r="H1125" i="4"/>
  <c r="L1125" i="4"/>
  <c r="U1125" i="4"/>
  <c r="G1125" i="4"/>
  <c r="P1125" i="4"/>
  <c r="V1125" i="4"/>
  <c r="E1125" i="4"/>
  <c r="F1125" i="4"/>
  <c r="T1125" i="4"/>
  <c r="W1125" i="4"/>
  <c r="J1124" i="2"/>
  <c r="B1124" i="2"/>
  <c r="K1124" i="2"/>
  <c r="A1125" i="2"/>
  <c r="C1124" i="2"/>
  <c r="H1124" i="2"/>
  <c r="I1124" i="2"/>
  <c r="E1124" i="2"/>
  <c r="F1124" i="2"/>
  <c r="G1124" i="2"/>
  <c r="C1125" i="3" l="1"/>
  <c r="A1126" i="3"/>
  <c r="D1125" i="3"/>
  <c r="E1125" i="3"/>
  <c r="B1125" i="3"/>
  <c r="F1125" i="3"/>
  <c r="G1125" i="3"/>
  <c r="H1125" i="3"/>
  <c r="I1125" i="3"/>
  <c r="J1125" i="3"/>
  <c r="G1126" i="4"/>
  <c r="O1126" i="4"/>
  <c r="W1126" i="4"/>
  <c r="H1126" i="4"/>
  <c r="P1126" i="4"/>
  <c r="X1126" i="4"/>
  <c r="I1126" i="4"/>
  <c r="Q1126" i="4"/>
  <c r="AC1126" i="4"/>
  <c r="L1126" i="4"/>
  <c r="AD1126" i="4"/>
  <c r="B1126" i="4"/>
  <c r="M1126" i="4"/>
  <c r="A1127" i="4"/>
  <c r="C1126" i="4"/>
  <c r="N1126" i="4"/>
  <c r="E1126" i="4"/>
  <c r="V1126" i="4"/>
  <c r="F1126" i="4"/>
  <c r="R1126" i="4"/>
  <c r="D1126" i="4"/>
  <c r="J1126" i="4"/>
  <c r="S1126" i="4"/>
  <c r="U1126" i="4"/>
  <c r="K1126" i="4"/>
  <c r="T1126" i="4"/>
  <c r="B1102" i="5"/>
  <c r="A1103" i="5"/>
  <c r="H1125" i="2"/>
  <c r="I1125" i="2"/>
  <c r="J1125" i="2"/>
  <c r="A1126" i="2"/>
  <c r="E1125" i="2"/>
  <c r="C1125" i="2"/>
  <c r="F1125" i="2"/>
  <c r="K1125" i="2"/>
  <c r="G1125" i="2"/>
  <c r="B1125" i="2"/>
  <c r="B1103" i="5" l="1"/>
  <c r="A1104" i="5"/>
  <c r="F1126" i="2"/>
  <c r="G1126" i="2"/>
  <c r="H1126" i="2"/>
  <c r="B1126" i="2"/>
  <c r="I1126" i="2"/>
  <c r="A1127" i="2"/>
  <c r="C1126" i="2"/>
  <c r="K1126" i="2"/>
  <c r="E1126" i="2"/>
  <c r="J1126" i="2"/>
  <c r="I1126" i="3"/>
  <c r="B1126" i="3"/>
  <c r="J1126" i="3"/>
  <c r="C1126" i="3"/>
  <c r="A1127" i="3"/>
  <c r="F1126" i="3"/>
  <c r="G1126" i="3"/>
  <c r="H1126" i="3"/>
  <c r="D1126" i="3"/>
  <c r="E1126" i="3"/>
  <c r="E1127" i="4"/>
  <c r="M1127" i="4"/>
  <c r="U1127" i="4"/>
  <c r="F1127" i="4"/>
  <c r="N1127" i="4"/>
  <c r="V1127" i="4"/>
  <c r="G1127" i="4"/>
  <c r="O1127" i="4"/>
  <c r="W1127" i="4"/>
  <c r="K1127" i="4"/>
  <c r="AC1127" i="4"/>
  <c r="L1127" i="4"/>
  <c r="AD1127" i="4"/>
  <c r="B1127" i="4"/>
  <c r="P1127" i="4"/>
  <c r="A1128" i="4"/>
  <c r="S1127" i="4"/>
  <c r="C1127" i="4"/>
  <c r="T1127" i="4"/>
  <c r="I1127" i="4"/>
  <c r="J1127" i="4"/>
  <c r="Q1127" i="4"/>
  <c r="H1127" i="4"/>
  <c r="R1127" i="4"/>
  <c r="X1127" i="4"/>
  <c r="D1127" i="4"/>
  <c r="C1128" i="4" l="1"/>
  <c r="K1128" i="4"/>
  <c r="S1128" i="4"/>
  <c r="A1129" i="4"/>
  <c r="D1128" i="4"/>
  <c r="L1128" i="4"/>
  <c r="T1128" i="4"/>
  <c r="E1128" i="4"/>
  <c r="M1128" i="4"/>
  <c r="U1128" i="4"/>
  <c r="J1128" i="4"/>
  <c r="X1128" i="4"/>
  <c r="N1128" i="4"/>
  <c r="AC1128" i="4"/>
  <c r="O1128" i="4"/>
  <c r="AD1128" i="4"/>
  <c r="P1128" i="4"/>
  <c r="Q1128" i="4"/>
  <c r="F1128" i="4"/>
  <c r="W1128" i="4"/>
  <c r="R1128" i="4"/>
  <c r="G1128" i="4"/>
  <c r="I1128" i="4"/>
  <c r="V1128" i="4"/>
  <c r="B1128" i="4"/>
  <c r="H1128" i="4"/>
  <c r="B1104" i="5"/>
  <c r="A1105" i="5"/>
  <c r="C1127" i="2"/>
  <c r="A1128" i="2"/>
  <c r="E1127" i="2"/>
  <c r="F1127" i="2"/>
  <c r="B1127" i="2"/>
  <c r="G1127" i="2"/>
  <c r="J1127" i="2"/>
  <c r="H1127" i="2"/>
  <c r="I1127" i="2"/>
  <c r="K1127" i="2"/>
  <c r="G1127" i="3"/>
  <c r="H1127" i="3"/>
  <c r="I1127" i="3"/>
  <c r="J1127" i="3"/>
  <c r="A1128" i="3"/>
  <c r="D1127" i="3"/>
  <c r="E1127" i="3"/>
  <c r="B1127" i="3"/>
  <c r="C1127" i="3"/>
  <c r="F1127" i="3"/>
  <c r="J1128" i="2" l="1"/>
  <c r="B1128" i="2"/>
  <c r="K1128" i="2"/>
  <c r="C1128" i="2"/>
  <c r="A1129" i="2"/>
  <c r="G1128" i="2"/>
  <c r="H1128" i="2"/>
  <c r="F1128" i="2"/>
  <c r="I1128" i="2"/>
  <c r="E1128" i="2"/>
  <c r="D1105" i="5"/>
  <c r="L1105" i="5"/>
  <c r="T1105" i="5"/>
  <c r="F1105" i="5"/>
  <c r="N1105" i="5"/>
  <c r="K1105" i="5"/>
  <c r="B1105" i="5"/>
  <c r="M1105" i="5"/>
  <c r="I1105" i="5"/>
  <c r="J1105" i="5"/>
  <c r="C1105" i="5"/>
  <c r="Q1105" i="5"/>
  <c r="A1106" i="5"/>
  <c r="E1105" i="5"/>
  <c r="G1105" i="5"/>
  <c r="S1105" i="5"/>
  <c r="O1105" i="5"/>
  <c r="P1105" i="5"/>
  <c r="R1105" i="5"/>
  <c r="H1105" i="5"/>
  <c r="I1129" i="4"/>
  <c r="Q1129" i="4"/>
  <c r="AC1129" i="4"/>
  <c r="B1129" i="4"/>
  <c r="J1129" i="4"/>
  <c r="R1129" i="4"/>
  <c r="AD1129" i="4"/>
  <c r="C1129" i="4"/>
  <c r="K1129" i="4"/>
  <c r="S1129" i="4"/>
  <c r="A1130" i="4"/>
  <c r="L1129" i="4"/>
  <c r="W1129" i="4"/>
  <c r="M1129" i="4"/>
  <c r="X1129" i="4"/>
  <c r="N1129" i="4"/>
  <c r="G1129" i="4"/>
  <c r="H1129" i="4"/>
  <c r="T1129" i="4"/>
  <c r="V1129" i="4"/>
  <c r="F1129" i="4"/>
  <c r="P1129" i="4"/>
  <c r="E1129" i="4"/>
  <c r="U1129" i="4"/>
  <c r="D1129" i="4"/>
  <c r="O1129" i="4"/>
  <c r="E1128" i="3"/>
  <c r="F1128" i="3"/>
  <c r="G1128" i="3"/>
  <c r="A1129" i="3"/>
  <c r="B1128" i="3"/>
  <c r="D1128" i="3"/>
  <c r="I1128" i="3"/>
  <c r="J1128" i="3"/>
  <c r="H1128" i="3"/>
  <c r="C1128" i="3"/>
  <c r="H1129" i="2" l="1"/>
  <c r="I1129" i="2"/>
  <c r="J1129" i="2"/>
  <c r="K1129" i="2"/>
  <c r="A1130" i="2"/>
  <c r="C1129" i="2"/>
  <c r="E1129" i="2"/>
  <c r="F1129" i="2"/>
  <c r="B1129" i="2"/>
  <c r="G1129" i="2"/>
  <c r="H1106" i="5"/>
  <c r="P1106" i="5"/>
  <c r="B1106" i="5"/>
  <c r="J1106" i="5"/>
  <c r="R1106" i="5"/>
  <c r="C1106" i="5"/>
  <c r="M1106" i="5"/>
  <c r="D1106" i="5"/>
  <c r="N1106" i="5"/>
  <c r="E1106" i="5"/>
  <c r="S1106" i="5"/>
  <c r="F1106" i="5"/>
  <c r="T1106" i="5"/>
  <c r="K1106" i="5"/>
  <c r="G1106" i="5"/>
  <c r="I1106" i="5"/>
  <c r="L1106" i="5"/>
  <c r="O1106" i="5"/>
  <c r="Q1106" i="5"/>
  <c r="A1107" i="5"/>
  <c r="C1129" i="3"/>
  <c r="A1130" i="3"/>
  <c r="D1129" i="3"/>
  <c r="E1129" i="3"/>
  <c r="B1129" i="3"/>
  <c r="F1129" i="3"/>
  <c r="G1129" i="3"/>
  <c r="H1129" i="3"/>
  <c r="I1129" i="3"/>
  <c r="J1129" i="3"/>
  <c r="G1130" i="4"/>
  <c r="O1130" i="4"/>
  <c r="W1130" i="4"/>
  <c r="H1130" i="4"/>
  <c r="P1130" i="4"/>
  <c r="X1130" i="4"/>
  <c r="I1130" i="4"/>
  <c r="Q1130" i="4"/>
  <c r="AC1130" i="4"/>
  <c r="K1130" i="4"/>
  <c r="V1130" i="4"/>
  <c r="L1130" i="4"/>
  <c r="AD1130" i="4"/>
  <c r="B1130" i="4"/>
  <c r="M1130" i="4"/>
  <c r="A1131" i="4"/>
  <c r="D1130" i="4"/>
  <c r="U1130" i="4"/>
  <c r="E1130" i="4"/>
  <c r="N1130" i="4"/>
  <c r="J1130" i="4"/>
  <c r="C1130" i="4"/>
  <c r="S1130" i="4"/>
  <c r="F1130" i="4"/>
  <c r="R1130" i="4"/>
  <c r="T1130" i="4"/>
  <c r="E1131" i="4" l="1"/>
  <c r="M1131" i="4"/>
  <c r="U1131" i="4"/>
  <c r="F1131" i="4"/>
  <c r="N1131" i="4"/>
  <c r="V1131" i="4"/>
  <c r="G1131" i="4"/>
  <c r="O1131" i="4"/>
  <c r="W1131" i="4"/>
  <c r="J1131" i="4"/>
  <c r="X1131" i="4"/>
  <c r="K1131" i="4"/>
  <c r="AC1131" i="4"/>
  <c r="L1131" i="4"/>
  <c r="AD1131" i="4"/>
  <c r="R1131" i="4"/>
  <c r="B1131" i="4"/>
  <c r="S1131" i="4"/>
  <c r="H1131" i="4"/>
  <c r="D1131" i="4"/>
  <c r="T1131" i="4"/>
  <c r="A1132" i="4"/>
  <c r="C1131" i="4"/>
  <c r="I1131" i="4"/>
  <c r="P1131" i="4"/>
  <c r="Q1131" i="4"/>
  <c r="D1107" i="5"/>
  <c r="L1107" i="5"/>
  <c r="T1107" i="5"/>
  <c r="F1107" i="5"/>
  <c r="N1107" i="5"/>
  <c r="C1107" i="5"/>
  <c r="O1107" i="5"/>
  <c r="E1107" i="5"/>
  <c r="P1107" i="5"/>
  <c r="K1107" i="5"/>
  <c r="M1107" i="5"/>
  <c r="G1107" i="5"/>
  <c r="S1107" i="5"/>
  <c r="H1107" i="5"/>
  <c r="I1107" i="5"/>
  <c r="J1107" i="5"/>
  <c r="A1108" i="5"/>
  <c r="Q1107" i="5"/>
  <c r="B1107" i="5"/>
  <c r="R1107" i="5"/>
  <c r="F1130" i="2"/>
  <c r="G1130" i="2"/>
  <c r="H1130" i="2"/>
  <c r="A1131" i="2"/>
  <c r="E1130" i="2"/>
  <c r="B1130" i="2"/>
  <c r="C1130" i="2"/>
  <c r="I1130" i="2"/>
  <c r="J1130" i="2"/>
  <c r="K1130" i="2"/>
  <c r="I1130" i="3"/>
  <c r="B1130" i="3"/>
  <c r="J1130" i="3"/>
  <c r="C1130" i="3"/>
  <c r="A1131" i="3"/>
  <c r="E1130" i="3"/>
  <c r="F1130" i="3"/>
  <c r="G1130" i="3"/>
  <c r="D1130" i="3"/>
  <c r="H1130" i="3"/>
  <c r="C1132" i="4" l="1"/>
  <c r="K1132" i="4"/>
  <c r="S1132" i="4"/>
  <c r="A1133" i="4"/>
  <c r="D1132" i="4"/>
  <c r="L1132" i="4"/>
  <c r="T1132" i="4"/>
  <c r="E1132" i="4"/>
  <c r="M1132" i="4"/>
  <c r="U1132" i="4"/>
  <c r="I1132" i="4"/>
  <c r="W1132" i="4"/>
  <c r="J1132" i="4"/>
  <c r="X1132" i="4"/>
  <c r="N1132" i="4"/>
  <c r="AC1132" i="4"/>
  <c r="O1132" i="4"/>
  <c r="P1132" i="4"/>
  <c r="B1132" i="4"/>
  <c r="V1132" i="4"/>
  <c r="H1132" i="4"/>
  <c r="Q1132" i="4"/>
  <c r="AD1132" i="4"/>
  <c r="R1132" i="4"/>
  <c r="G1132" i="4"/>
  <c r="F1132" i="4"/>
  <c r="G1131" i="3"/>
  <c r="H1131" i="3"/>
  <c r="I1131" i="3"/>
  <c r="F1131" i="3"/>
  <c r="J1131" i="3"/>
  <c r="A1132" i="3"/>
  <c r="D1131" i="3"/>
  <c r="E1131" i="3"/>
  <c r="B1131" i="3"/>
  <c r="C1131" i="3"/>
  <c r="H1108" i="5"/>
  <c r="P1108" i="5"/>
  <c r="B1108" i="5"/>
  <c r="J1108" i="5"/>
  <c r="R1108" i="5"/>
  <c r="E1108" i="5"/>
  <c r="O1108" i="5"/>
  <c r="F1108" i="5"/>
  <c r="Q1108" i="5"/>
  <c r="G1108" i="5"/>
  <c r="A1109" i="5"/>
  <c r="I1108" i="5"/>
  <c r="M1108" i="5"/>
  <c r="K1108" i="5"/>
  <c r="L1108" i="5"/>
  <c r="N1108" i="5"/>
  <c r="C1108" i="5"/>
  <c r="D1108" i="5"/>
  <c r="S1108" i="5"/>
  <c r="T1108" i="5"/>
  <c r="C1131" i="2"/>
  <c r="A1132" i="2"/>
  <c r="E1131" i="2"/>
  <c r="F1131" i="2"/>
  <c r="B1131" i="2"/>
  <c r="I1131" i="2"/>
  <c r="G1131" i="2"/>
  <c r="H1131" i="2"/>
  <c r="K1131" i="2"/>
  <c r="J1131" i="2"/>
  <c r="E1132" i="3" l="1"/>
  <c r="F1132" i="3"/>
  <c r="G1132" i="3"/>
  <c r="J1132" i="3"/>
  <c r="A1133" i="3"/>
  <c r="D1132" i="3"/>
  <c r="C1132" i="3"/>
  <c r="B1132" i="3"/>
  <c r="H1132" i="3"/>
  <c r="I1132" i="3"/>
  <c r="D1109" i="5"/>
  <c r="L1109" i="5"/>
  <c r="T1109" i="5"/>
  <c r="F1109" i="5"/>
  <c r="N1109" i="5"/>
  <c r="G1109" i="5"/>
  <c r="Q1109" i="5"/>
  <c r="H1109" i="5"/>
  <c r="R1109" i="5"/>
  <c r="O1109" i="5"/>
  <c r="B1109" i="5"/>
  <c r="P1109" i="5"/>
  <c r="I1109" i="5"/>
  <c r="K1109" i="5"/>
  <c r="M1109" i="5"/>
  <c r="S1109" i="5"/>
  <c r="A1110" i="5"/>
  <c r="E1109" i="5"/>
  <c r="J1109" i="5"/>
  <c r="C1109" i="5"/>
  <c r="I1133" i="4"/>
  <c r="Q1133" i="4"/>
  <c r="AC1133" i="4"/>
  <c r="B1133" i="4"/>
  <c r="J1133" i="4"/>
  <c r="R1133" i="4"/>
  <c r="AD1133" i="4"/>
  <c r="C1133" i="4"/>
  <c r="K1133" i="4"/>
  <c r="S1133" i="4"/>
  <c r="A1134" i="4"/>
  <c r="H1133" i="4"/>
  <c r="V1133" i="4"/>
  <c r="L1133" i="4"/>
  <c r="W1133" i="4"/>
  <c r="M1133" i="4"/>
  <c r="X1133" i="4"/>
  <c r="F1133" i="4"/>
  <c r="G1133" i="4"/>
  <c r="P1133" i="4"/>
  <c r="T1133" i="4"/>
  <c r="U1133" i="4"/>
  <c r="D1133" i="4"/>
  <c r="N1133" i="4"/>
  <c r="O1133" i="4"/>
  <c r="E1133" i="4"/>
  <c r="J1132" i="2"/>
  <c r="B1132" i="2"/>
  <c r="K1132" i="2"/>
  <c r="C1132" i="2"/>
  <c r="A1133" i="2"/>
  <c r="F1132" i="2"/>
  <c r="G1132" i="2"/>
  <c r="E1132" i="2"/>
  <c r="H1132" i="2"/>
  <c r="I1132" i="2"/>
  <c r="H1133" i="2" l="1"/>
  <c r="I1133" i="2"/>
  <c r="J1133" i="2"/>
  <c r="G1133" i="2"/>
  <c r="K1133" i="2"/>
  <c r="B1133" i="2"/>
  <c r="E1133" i="2"/>
  <c r="F1133" i="2"/>
  <c r="A1134" i="2"/>
  <c r="C1133" i="2"/>
  <c r="C1133" i="3"/>
  <c r="A1134" i="3"/>
  <c r="D1133" i="3"/>
  <c r="E1133" i="3"/>
  <c r="B1133" i="3"/>
  <c r="G1133" i="3"/>
  <c r="H1133" i="3"/>
  <c r="I1133" i="3"/>
  <c r="F1133" i="3"/>
  <c r="J1133" i="3"/>
  <c r="H1110" i="5"/>
  <c r="P1110" i="5"/>
  <c r="B1110" i="5"/>
  <c r="J1110" i="5"/>
  <c r="R1110" i="5"/>
  <c r="G1110" i="5"/>
  <c r="S1110" i="5"/>
  <c r="I1110" i="5"/>
  <c r="T1110" i="5"/>
  <c r="K1110" i="5"/>
  <c r="L1110" i="5"/>
  <c r="C1110" i="5"/>
  <c r="O1110" i="5"/>
  <c r="N1110" i="5"/>
  <c r="Q1110" i="5"/>
  <c r="A1111" i="5"/>
  <c r="D1110" i="5"/>
  <c r="E1110" i="5"/>
  <c r="F1110" i="5"/>
  <c r="M1110" i="5"/>
  <c r="G1134" i="4"/>
  <c r="O1134" i="4"/>
  <c r="W1134" i="4"/>
  <c r="H1134" i="4"/>
  <c r="P1134" i="4"/>
  <c r="X1134" i="4"/>
  <c r="I1134" i="4"/>
  <c r="Q1134" i="4"/>
  <c r="AC1134" i="4"/>
  <c r="J1134" i="4"/>
  <c r="U1134" i="4"/>
  <c r="K1134" i="4"/>
  <c r="V1134" i="4"/>
  <c r="L1134" i="4"/>
  <c r="AD1134" i="4"/>
  <c r="C1134" i="4"/>
  <c r="T1134" i="4"/>
  <c r="D1134" i="4"/>
  <c r="A1135" i="4"/>
  <c r="M1134" i="4"/>
  <c r="E1134" i="4"/>
  <c r="R1134" i="4"/>
  <c r="S1134" i="4"/>
  <c r="N1134" i="4"/>
  <c r="B1134" i="4"/>
  <c r="F1134" i="4"/>
  <c r="E1135" i="4" l="1"/>
  <c r="M1135" i="4"/>
  <c r="U1135" i="4"/>
  <c r="F1135" i="4"/>
  <c r="N1135" i="4"/>
  <c r="V1135" i="4"/>
  <c r="G1135" i="4"/>
  <c r="O1135" i="4"/>
  <c r="W1135" i="4"/>
  <c r="I1135" i="4"/>
  <c r="T1135" i="4"/>
  <c r="J1135" i="4"/>
  <c r="X1135" i="4"/>
  <c r="K1135" i="4"/>
  <c r="AC1135" i="4"/>
  <c r="Q1135" i="4"/>
  <c r="R1135" i="4"/>
  <c r="D1135" i="4"/>
  <c r="A1136" i="4"/>
  <c r="B1135" i="4"/>
  <c r="P1135" i="4"/>
  <c r="S1135" i="4"/>
  <c r="C1135" i="4"/>
  <c r="H1135" i="4"/>
  <c r="L1135" i="4"/>
  <c r="AD1135" i="4"/>
  <c r="I1134" i="3"/>
  <c r="B1134" i="3"/>
  <c r="J1134" i="3"/>
  <c r="C1134" i="3"/>
  <c r="A1135" i="3"/>
  <c r="D1134" i="3"/>
  <c r="E1134" i="3"/>
  <c r="F1134" i="3"/>
  <c r="G1134" i="3"/>
  <c r="H1134" i="3"/>
  <c r="D1111" i="5"/>
  <c r="L1111" i="5"/>
  <c r="T1111" i="5"/>
  <c r="F1111" i="5"/>
  <c r="N1111" i="5"/>
  <c r="I1111" i="5"/>
  <c r="S1111" i="5"/>
  <c r="J1111" i="5"/>
  <c r="A1112" i="5"/>
  <c r="C1111" i="5"/>
  <c r="Q1111" i="5"/>
  <c r="E1111" i="5"/>
  <c r="R1111" i="5"/>
  <c r="K1111" i="5"/>
  <c r="P1111" i="5"/>
  <c r="M1111" i="5"/>
  <c r="O1111" i="5"/>
  <c r="G1111" i="5"/>
  <c r="H1111" i="5"/>
  <c r="B1111" i="5"/>
  <c r="F1134" i="2"/>
  <c r="G1134" i="2"/>
  <c r="H1134" i="2"/>
  <c r="K1134" i="2"/>
  <c r="A1135" i="2"/>
  <c r="C1134" i="2"/>
  <c r="I1134" i="2"/>
  <c r="B1134" i="2"/>
  <c r="E1134" i="2"/>
  <c r="J1134" i="2"/>
  <c r="C1135" i="2" l="1"/>
  <c r="A1136" i="2"/>
  <c r="E1135" i="2"/>
  <c r="F1135" i="2"/>
  <c r="H1135" i="2"/>
  <c r="G1135" i="2"/>
  <c r="I1135" i="2"/>
  <c r="K1135" i="2"/>
  <c r="B1135" i="2"/>
  <c r="J1135" i="2"/>
  <c r="H1112" i="5"/>
  <c r="P1112" i="5"/>
  <c r="B1112" i="5"/>
  <c r="J1112" i="5"/>
  <c r="R1112" i="5"/>
  <c r="K1112" i="5"/>
  <c r="A1113" i="5"/>
  <c r="L1112" i="5"/>
  <c r="M1112" i="5"/>
  <c r="N1112" i="5"/>
  <c r="E1112" i="5"/>
  <c r="S1112" i="5"/>
  <c r="T1112" i="5"/>
  <c r="C1112" i="5"/>
  <c r="D1112" i="5"/>
  <c r="F1112" i="5"/>
  <c r="I1112" i="5"/>
  <c r="O1112" i="5"/>
  <c r="Q1112" i="5"/>
  <c r="G1112" i="5"/>
  <c r="G1135" i="3"/>
  <c r="H1135" i="3"/>
  <c r="I1135" i="3"/>
  <c r="E1135" i="3"/>
  <c r="F1135" i="3"/>
  <c r="J1135" i="3"/>
  <c r="D1135" i="3"/>
  <c r="A1136" i="3"/>
  <c r="C1135" i="3"/>
  <c r="B1135" i="3"/>
  <c r="C1136" i="4"/>
  <c r="K1136" i="4"/>
  <c r="S1136" i="4"/>
  <c r="A1137" i="4"/>
  <c r="D1136" i="4"/>
  <c r="L1136" i="4"/>
  <c r="T1136" i="4"/>
  <c r="E1136" i="4"/>
  <c r="M1136" i="4"/>
  <c r="U1136" i="4"/>
  <c r="H1136" i="4"/>
  <c r="V1136" i="4"/>
  <c r="I1136" i="4"/>
  <c r="W1136" i="4"/>
  <c r="J1136" i="4"/>
  <c r="X1136" i="4"/>
  <c r="N1136" i="4"/>
  <c r="O1136" i="4"/>
  <c r="R1136" i="4"/>
  <c r="F1136" i="4"/>
  <c r="G1136" i="4"/>
  <c r="Q1136" i="4"/>
  <c r="AC1136" i="4"/>
  <c r="P1136" i="4"/>
  <c r="AD1136" i="4"/>
  <c r="B1136" i="4"/>
  <c r="E1136" i="3" l="1"/>
  <c r="F1136" i="3"/>
  <c r="G1136" i="3"/>
  <c r="I1136" i="3"/>
  <c r="J1136" i="3"/>
  <c r="A1137" i="3"/>
  <c r="D1136" i="3"/>
  <c r="H1136" i="3"/>
  <c r="B1136" i="3"/>
  <c r="C1136" i="3"/>
  <c r="I1137" i="4"/>
  <c r="Q1137" i="4"/>
  <c r="AC1137" i="4"/>
  <c r="B1137" i="4"/>
  <c r="J1137" i="4"/>
  <c r="R1137" i="4"/>
  <c r="AD1137" i="4"/>
  <c r="C1137" i="4"/>
  <c r="K1137" i="4"/>
  <c r="S1137" i="4"/>
  <c r="A1138" i="4"/>
  <c r="G1137" i="4"/>
  <c r="U1137" i="4"/>
  <c r="H1137" i="4"/>
  <c r="V1137" i="4"/>
  <c r="L1137" i="4"/>
  <c r="W1137" i="4"/>
  <c r="E1137" i="4"/>
  <c r="F1137" i="4"/>
  <c r="O1137" i="4"/>
  <c r="N1137" i="4"/>
  <c r="X1137" i="4"/>
  <c r="P1137" i="4"/>
  <c r="D1137" i="4"/>
  <c r="T1137" i="4"/>
  <c r="M1137" i="4"/>
  <c r="J1136" i="2"/>
  <c r="B1136" i="2"/>
  <c r="K1136" i="2"/>
  <c r="A1137" i="2"/>
  <c r="C1136" i="2"/>
  <c r="E1136" i="2"/>
  <c r="F1136" i="2"/>
  <c r="I1136" i="2"/>
  <c r="G1136" i="2"/>
  <c r="H1136" i="2"/>
  <c r="D1113" i="5"/>
  <c r="L1113" i="5"/>
  <c r="T1113" i="5"/>
  <c r="F1113" i="5"/>
  <c r="N1113" i="5"/>
  <c r="K1113" i="5"/>
  <c r="B1113" i="5"/>
  <c r="M1113" i="5"/>
  <c r="G1113" i="5"/>
  <c r="S1113" i="5"/>
  <c r="H1113" i="5"/>
  <c r="A1114" i="5"/>
  <c r="O1113" i="5"/>
  <c r="C1113" i="5"/>
  <c r="E1113" i="5"/>
  <c r="J1113" i="5"/>
  <c r="P1113" i="5"/>
  <c r="Q1113" i="5"/>
  <c r="I1113" i="5"/>
  <c r="R1113" i="5"/>
  <c r="H1137" i="2" l="1"/>
  <c r="I1137" i="2"/>
  <c r="J1137" i="2"/>
  <c r="F1137" i="2"/>
  <c r="G1137" i="2"/>
  <c r="E1137" i="2"/>
  <c r="B1137" i="2"/>
  <c r="K1137" i="2"/>
  <c r="A1138" i="2"/>
  <c r="C1137" i="2"/>
  <c r="C1137" i="3"/>
  <c r="A1138" i="3"/>
  <c r="D1137" i="3"/>
  <c r="E1137" i="3"/>
  <c r="J1137" i="3"/>
  <c r="G1137" i="3"/>
  <c r="H1137" i="3"/>
  <c r="F1137" i="3"/>
  <c r="B1137" i="3"/>
  <c r="I1137" i="3"/>
  <c r="G1138" i="4"/>
  <c r="O1138" i="4"/>
  <c r="W1138" i="4"/>
  <c r="H1138" i="4"/>
  <c r="P1138" i="4"/>
  <c r="X1138" i="4"/>
  <c r="I1138" i="4"/>
  <c r="Q1138" i="4"/>
  <c r="AC1138" i="4"/>
  <c r="F1138" i="4"/>
  <c r="T1138" i="4"/>
  <c r="J1138" i="4"/>
  <c r="U1138" i="4"/>
  <c r="K1138" i="4"/>
  <c r="V1138" i="4"/>
  <c r="B1138" i="4"/>
  <c r="S1138" i="4"/>
  <c r="C1138" i="4"/>
  <c r="AD1138" i="4"/>
  <c r="L1138" i="4"/>
  <c r="R1138" i="4"/>
  <c r="M1138" i="4"/>
  <c r="A1139" i="4"/>
  <c r="E1138" i="4"/>
  <c r="N1138" i="4"/>
  <c r="D1138" i="4"/>
  <c r="H1114" i="5"/>
  <c r="P1114" i="5"/>
  <c r="B1114" i="5"/>
  <c r="J1114" i="5"/>
  <c r="R1114" i="5"/>
  <c r="C1114" i="5"/>
  <c r="M1114" i="5"/>
  <c r="D1114" i="5"/>
  <c r="N1114" i="5"/>
  <c r="O1114" i="5"/>
  <c r="Q1114" i="5"/>
  <c r="G1114" i="5"/>
  <c r="A1115" i="5"/>
  <c r="E1114" i="5"/>
  <c r="F1114" i="5"/>
  <c r="I1114" i="5"/>
  <c r="T1114" i="5"/>
  <c r="K1114" i="5"/>
  <c r="L1114" i="5"/>
  <c r="S1114" i="5"/>
  <c r="E1139" i="4" l="1"/>
  <c r="M1139" i="4"/>
  <c r="U1139" i="4"/>
  <c r="F1139" i="4"/>
  <c r="N1139" i="4"/>
  <c r="V1139" i="4"/>
  <c r="G1139" i="4"/>
  <c r="O1139" i="4"/>
  <c r="W1139" i="4"/>
  <c r="H1139" i="4"/>
  <c r="S1139" i="4"/>
  <c r="I1139" i="4"/>
  <c r="T1139" i="4"/>
  <c r="J1139" i="4"/>
  <c r="X1139" i="4"/>
  <c r="P1139" i="4"/>
  <c r="Q1139" i="4"/>
  <c r="C1139" i="4"/>
  <c r="AD1139" i="4"/>
  <c r="A1140" i="4"/>
  <c r="K1139" i="4"/>
  <c r="AC1139" i="4"/>
  <c r="B1139" i="4"/>
  <c r="D1139" i="4"/>
  <c r="L1139" i="4"/>
  <c r="R1139" i="4"/>
  <c r="I1138" i="3"/>
  <c r="B1138" i="3"/>
  <c r="J1138" i="3"/>
  <c r="C1138" i="3"/>
  <c r="A1139" i="3"/>
  <c r="D1138" i="3"/>
  <c r="E1138" i="3"/>
  <c r="G1138" i="3"/>
  <c r="H1138" i="3"/>
  <c r="F1138" i="3"/>
  <c r="D1115" i="5"/>
  <c r="L1115" i="5"/>
  <c r="T1115" i="5"/>
  <c r="F1115" i="5"/>
  <c r="N1115" i="5"/>
  <c r="C1115" i="5"/>
  <c r="O1115" i="5"/>
  <c r="E1115" i="5"/>
  <c r="P1115" i="5"/>
  <c r="I1115" i="5"/>
  <c r="J1115" i="5"/>
  <c r="Q1115" i="5"/>
  <c r="G1115" i="5"/>
  <c r="H1115" i="5"/>
  <c r="K1115" i="5"/>
  <c r="B1115" i="5"/>
  <c r="M1115" i="5"/>
  <c r="R1115" i="5"/>
  <c r="S1115" i="5"/>
  <c r="A1116" i="5"/>
  <c r="F1138" i="2"/>
  <c r="G1138" i="2"/>
  <c r="H1138" i="2"/>
  <c r="J1138" i="2"/>
  <c r="K1138" i="2"/>
  <c r="B1138" i="2"/>
  <c r="E1138" i="2"/>
  <c r="C1138" i="2"/>
  <c r="A1139" i="2"/>
  <c r="I1138" i="2"/>
  <c r="G1139" i="3" l="1"/>
  <c r="H1139" i="3"/>
  <c r="I1139" i="3"/>
  <c r="D1139" i="3"/>
  <c r="E1139" i="3"/>
  <c r="F1139" i="3"/>
  <c r="J1139" i="3"/>
  <c r="A1140" i="3"/>
  <c r="B1139" i="3"/>
  <c r="C1139" i="3"/>
  <c r="H1116" i="5"/>
  <c r="P1116" i="5"/>
  <c r="B1116" i="5"/>
  <c r="J1116" i="5"/>
  <c r="R1116" i="5"/>
  <c r="E1116" i="5"/>
  <c r="O1116" i="5"/>
  <c r="F1116" i="5"/>
  <c r="Q1116" i="5"/>
  <c r="C1116" i="5"/>
  <c r="S1116" i="5"/>
  <c r="D1116" i="5"/>
  <c r="T1116" i="5"/>
  <c r="K1116" i="5"/>
  <c r="I1116" i="5"/>
  <c r="L1116" i="5"/>
  <c r="M1116" i="5"/>
  <c r="G1116" i="5"/>
  <c r="A1117" i="5"/>
  <c r="N1116" i="5"/>
  <c r="C1140" i="4"/>
  <c r="K1140" i="4"/>
  <c r="S1140" i="4"/>
  <c r="A1141" i="4"/>
  <c r="D1140" i="4"/>
  <c r="L1140" i="4"/>
  <c r="T1140" i="4"/>
  <c r="E1140" i="4"/>
  <c r="M1140" i="4"/>
  <c r="U1140" i="4"/>
  <c r="G1140" i="4"/>
  <c r="R1140" i="4"/>
  <c r="H1140" i="4"/>
  <c r="V1140" i="4"/>
  <c r="I1140" i="4"/>
  <c r="W1140" i="4"/>
  <c r="J1140" i="4"/>
  <c r="N1140" i="4"/>
  <c r="Q1140" i="4"/>
  <c r="X1140" i="4"/>
  <c r="B1140" i="4"/>
  <c r="O1140" i="4"/>
  <c r="P1140" i="4"/>
  <c r="F1140" i="4"/>
  <c r="AD1140" i="4"/>
  <c r="AC1140" i="4"/>
  <c r="C1139" i="2"/>
  <c r="A1140" i="2"/>
  <c r="E1139" i="2"/>
  <c r="F1139" i="2"/>
  <c r="K1139" i="2"/>
  <c r="G1139" i="2"/>
  <c r="H1139" i="2"/>
  <c r="I1139" i="2"/>
  <c r="J1139" i="2"/>
  <c r="B1139" i="2"/>
  <c r="D1117" i="5" l="1"/>
  <c r="L1117" i="5"/>
  <c r="T1117" i="5"/>
  <c r="F1117" i="5"/>
  <c r="N1117" i="5"/>
  <c r="G1117" i="5"/>
  <c r="Q1117" i="5"/>
  <c r="H1117" i="5"/>
  <c r="R1117" i="5"/>
  <c r="K1117" i="5"/>
  <c r="M1117" i="5"/>
  <c r="C1117" i="5"/>
  <c r="S1117" i="5"/>
  <c r="J1117" i="5"/>
  <c r="O1117" i="5"/>
  <c r="P1117" i="5"/>
  <c r="B1117" i="5"/>
  <c r="E1117" i="5"/>
  <c r="I1117" i="5"/>
  <c r="A1118" i="5"/>
  <c r="J1140" i="2"/>
  <c r="B1140" i="2"/>
  <c r="K1140" i="2"/>
  <c r="C1140" i="2"/>
  <c r="A1141" i="2"/>
  <c r="E1140" i="2"/>
  <c r="H1140" i="2"/>
  <c r="I1140" i="2"/>
  <c r="F1140" i="2"/>
  <c r="G1140" i="2"/>
  <c r="I1141" i="4"/>
  <c r="Q1141" i="4"/>
  <c r="AC1141" i="4"/>
  <c r="B1141" i="4"/>
  <c r="J1141" i="4"/>
  <c r="R1141" i="4"/>
  <c r="AD1141" i="4"/>
  <c r="C1141" i="4"/>
  <c r="K1141" i="4"/>
  <c r="S1141" i="4"/>
  <c r="A1142" i="4"/>
  <c r="F1141" i="4"/>
  <c r="T1141" i="4"/>
  <c r="G1141" i="4"/>
  <c r="U1141" i="4"/>
  <c r="H1141" i="4"/>
  <c r="V1141" i="4"/>
  <c r="D1141" i="4"/>
  <c r="X1141" i="4"/>
  <c r="E1141" i="4"/>
  <c r="N1141" i="4"/>
  <c r="L1141" i="4"/>
  <c r="P1141" i="4"/>
  <c r="M1141" i="4"/>
  <c r="O1141" i="4"/>
  <c r="W1141" i="4"/>
  <c r="E1140" i="3"/>
  <c r="F1140" i="3"/>
  <c r="G1140" i="3"/>
  <c r="H1140" i="3"/>
  <c r="I1140" i="3"/>
  <c r="J1140" i="3"/>
  <c r="D1140" i="3"/>
  <c r="C1140" i="3"/>
  <c r="B1140" i="3"/>
  <c r="A1141" i="3"/>
  <c r="H1118" i="5" l="1"/>
  <c r="P1118" i="5"/>
  <c r="B1118" i="5"/>
  <c r="J1118" i="5"/>
  <c r="R1118" i="5"/>
  <c r="G1118" i="5"/>
  <c r="S1118" i="5"/>
  <c r="I1118" i="5"/>
  <c r="T1118" i="5"/>
  <c r="E1118" i="5"/>
  <c r="A1119" i="5"/>
  <c r="F1118" i="5"/>
  <c r="M1118" i="5"/>
  <c r="N1118" i="5"/>
  <c r="O1118" i="5"/>
  <c r="Q1118" i="5"/>
  <c r="D1118" i="5"/>
  <c r="K1118" i="5"/>
  <c r="L1118" i="5"/>
  <c r="C1118" i="5"/>
  <c r="C1141" i="3"/>
  <c r="A1142" i="3"/>
  <c r="D1141" i="3"/>
  <c r="E1141" i="3"/>
  <c r="I1141" i="3"/>
  <c r="J1141" i="3"/>
  <c r="G1141" i="3"/>
  <c r="H1141" i="3"/>
  <c r="B1141" i="3"/>
  <c r="F1141" i="3"/>
  <c r="G1142" i="4"/>
  <c r="O1142" i="4"/>
  <c r="W1142" i="4"/>
  <c r="H1142" i="4"/>
  <c r="P1142" i="4"/>
  <c r="X1142" i="4"/>
  <c r="I1142" i="4"/>
  <c r="Q1142" i="4"/>
  <c r="AC1142" i="4"/>
  <c r="E1142" i="4"/>
  <c r="S1142" i="4"/>
  <c r="F1142" i="4"/>
  <c r="T1142" i="4"/>
  <c r="J1142" i="4"/>
  <c r="U1142" i="4"/>
  <c r="R1142" i="4"/>
  <c r="B1142" i="4"/>
  <c r="V1142" i="4"/>
  <c r="K1142" i="4"/>
  <c r="M1142" i="4"/>
  <c r="N1142" i="4"/>
  <c r="C1142" i="4"/>
  <c r="D1142" i="4"/>
  <c r="L1142" i="4"/>
  <c r="AD1142" i="4"/>
  <c r="A1143" i="4"/>
  <c r="H1141" i="2"/>
  <c r="I1141" i="2"/>
  <c r="J1141" i="2"/>
  <c r="E1141" i="2"/>
  <c r="F1141" i="2"/>
  <c r="A1142" i="2"/>
  <c r="G1141" i="2"/>
  <c r="K1141" i="2"/>
  <c r="B1141" i="2"/>
  <c r="C1141" i="2"/>
  <c r="F1142" i="2" l="1"/>
  <c r="G1142" i="2"/>
  <c r="H1142" i="2"/>
  <c r="I1142" i="2"/>
  <c r="J1142" i="2"/>
  <c r="C1142" i="2"/>
  <c r="B1142" i="2"/>
  <c r="E1142" i="2"/>
  <c r="K1142" i="2"/>
  <c r="A1143" i="2"/>
  <c r="I1142" i="3"/>
  <c r="B1142" i="3"/>
  <c r="J1142" i="3"/>
  <c r="C1142" i="3"/>
  <c r="A1143" i="3"/>
  <c r="D1142" i="3"/>
  <c r="G1142" i="3"/>
  <c r="E1142" i="3"/>
  <c r="F1142" i="3"/>
  <c r="H1142" i="3"/>
  <c r="D1119" i="5"/>
  <c r="L1119" i="5"/>
  <c r="F1119" i="5"/>
  <c r="N1119" i="5"/>
  <c r="I1119" i="5"/>
  <c r="S1119" i="5"/>
  <c r="J1119" i="5"/>
  <c r="T1119" i="5"/>
  <c r="O1119" i="5"/>
  <c r="B1119" i="5"/>
  <c r="P1119" i="5"/>
  <c r="G1119" i="5"/>
  <c r="A1120" i="5"/>
  <c r="Q1119" i="5"/>
  <c r="R1119" i="5"/>
  <c r="C1119" i="5"/>
  <c r="E1119" i="5"/>
  <c r="H1119" i="5"/>
  <c r="K1119" i="5"/>
  <c r="M1119" i="5"/>
  <c r="E1143" i="4"/>
  <c r="M1143" i="4"/>
  <c r="U1143" i="4"/>
  <c r="F1143" i="4"/>
  <c r="N1143" i="4"/>
  <c r="V1143" i="4"/>
  <c r="G1143" i="4"/>
  <c r="O1143" i="4"/>
  <c r="W1143" i="4"/>
  <c r="D1143" i="4"/>
  <c r="R1143" i="4"/>
  <c r="H1143" i="4"/>
  <c r="S1143" i="4"/>
  <c r="I1143" i="4"/>
  <c r="T1143" i="4"/>
  <c r="L1143" i="4"/>
  <c r="P1143" i="4"/>
  <c r="B1143" i="4"/>
  <c r="AC1143" i="4"/>
  <c r="X1143" i="4"/>
  <c r="C1143" i="4"/>
  <c r="K1143" i="4"/>
  <c r="Q1143" i="4"/>
  <c r="AD1143" i="4"/>
  <c r="A1144" i="4"/>
  <c r="J1143" i="4"/>
  <c r="G1120" i="5" l="1"/>
  <c r="O1120" i="5"/>
  <c r="H1120" i="5"/>
  <c r="P1120" i="5"/>
  <c r="E1120" i="5"/>
  <c r="Q1120" i="5"/>
  <c r="F1120" i="5"/>
  <c r="R1120" i="5"/>
  <c r="K1120" i="5"/>
  <c r="A1121" i="5"/>
  <c r="M1120" i="5"/>
  <c r="N1120" i="5"/>
  <c r="B1120" i="5"/>
  <c r="S1120" i="5"/>
  <c r="J1120" i="5"/>
  <c r="L1120" i="5"/>
  <c r="T1120" i="5"/>
  <c r="C1120" i="5"/>
  <c r="D1120" i="5"/>
  <c r="I1120" i="5"/>
  <c r="G1143" i="3"/>
  <c r="H1143" i="3"/>
  <c r="I1143" i="3"/>
  <c r="C1143" i="3"/>
  <c r="D1143" i="3"/>
  <c r="E1143" i="3"/>
  <c r="J1143" i="3"/>
  <c r="B1143" i="3"/>
  <c r="F1143" i="3"/>
  <c r="C1143" i="2"/>
  <c r="E1143" i="2"/>
  <c r="F1143" i="2"/>
  <c r="J1143" i="2"/>
  <c r="K1143" i="2"/>
  <c r="B1143" i="2"/>
  <c r="H1143" i="2"/>
  <c r="I1143" i="2"/>
  <c r="G1143" i="2"/>
  <c r="C1144" i="4"/>
  <c r="K1144" i="4"/>
  <c r="S1144" i="4"/>
  <c r="D1144" i="4"/>
  <c r="L1144" i="4"/>
  <c r="T1144" i="4"/>
  <c r="E1144" i="4"/>
  <c r="M1144" i="4"/>
  <c r="U1144" i="4"/>
  <c r="F1144" i="4"/>
  <c r="Q1144" i="4"/>
  <c r="G1144" i="4"/>
  <c r="R1144" i="4"/>
  <c r="H1144" i="4"/>
  <c r="V1144" i="4"/>
  <c r="I1144" i="4"/>
  <c r="AD1144" i="4"/>
  <c r="J1144" i="4"/>
  <c r="P1144" i="4"/>
  <c r="AC1144" i="4"/>
  <c r="B1144" i="4"/>
  <c r="N1144" i="4"/>
  <c r="O1144" i="4"/>
  <c r="W1144" i="4"/>
  <c r="X1144" i="4"/>
  <c r="C1121" i="5" l="1"/>
  <c r="K1121" i="5"/>
  <c r="S1121" i="5"/>
  <c r="D1121" i="5"/>
  <c r="L1121" i="5"/>
  <c r="T1121" i="5"/>
  <c r="G1121" i="5"/>
  <c r="Q1121" i="5"/>
  <c r="H1121" i="5"/>
  <c r="R1121" i="5"/>
  <c r="M1121" i="5"/>
  <c r="J1121" i="5"/>
  <c r="N1121" i="5"/>
  <c r="O1121" i="5"/>
  <c r="A1122" i="5"/>
  <c r="B1121" i="5"/>
  <c r="E1121" i="5"/>
  <c r="F1121" i="5"/>
  <c r="I1121" i="5"/>
  <c r="P1121" i="5"/>
  <c r="G1122" i="5" l="1"/>
  <c r="O1122" i="5"/>
  <c r="H1122" i="5"/>
  <c r="P1122" i="5"/>
  <c r="I1122" i="5"/>
  <c r="S1122" i="5"/>
  <c r="J1122" i="5"/>
  <c r="T1122" i="5"/>
  <c r="C1122" i="5"/>
  <c r="M1122" i="5"/>
  <c r="F1122" i="5"/>
  <c r="K1122" i="5"/>
  <c r="L1122" i="5"/>
  <c r="B1122" i="5"/>
  <c r="D1122" i="5"/>
  <c r="R1122" i="5"/>
  <c r="A1123" i="5"/>
  <c r="E1122" i="5"/>
  <c r="N1122" i="5"/>
  <c r="Q1122" i="5"/>
  <c r="C1123" i="5" l="1"/>
  <c r="K1123" i="5"/>
  <c r="S1123" i="5"/>
  <c r="D1123" i="5"/>
  <c r="L1123" i="5"/>
  <c r="T1123" i="5"/>
  <c r="I1123" i="5"/>
  <c r="A1124" i="5"/>
  <c r="J1123" i="5"/>
  <c r="E1123" i="5"/>
  <c r="O1123" i="5"/>
  <c r="F1123" i="5"/>
  <c r="G1123" i="5"/>
  <c r="H1123" i="5"/>
  <c r="B1123" i="5"/>
  <c r="M1123" i="5"/>
  <c r="N1123" i="5"/>
  <c r="Q1123" i="5"/>
  <c r="P1123" i="5"/>
  <c r="R1123" i="5"/>
  <c r="G1124" i="5" l="1"/>
  <c r="O1124" i="5"/>
  <c r="H1124" i="5"/>
  <c r="P1124" i="5"/>
  <c r="K1124" i="5"/>
  <c r="A1125" i="5"/>
  <c r="B1124" i="5"/>
  <c r="L1124" i="5"/>
  <c r="E1124" i="5"/>
  <c r="Q1124" i="5"/>
  <c r="C1124" i="5"/>
  <c r="S1124" i="5"/>
  <c r="D1124" i="5"/>
  <c r="T1124" i="5"/>
  <c r="F1124" i="5"/>
  <c r="M1124" i="5"/>
  <c r="N1124" i="5"/>
  <c r="R1124" i="5"/>
  <c r="I1124" i="5"/>
  <c r="J1124" i="5"/>
  <c r="C1125" i="5" l="1"/>
  <c r="K1125" i="5"/>
  <c r="S1125" i="5"/>
  <c r="D1125" i="5"/>
  <c r="L1125" i="5"/>
  <c r="T1125" i="5"/>
  <c r="M1125" i="5"/>
  <c r="B1125" i="5"/>
  <c r="N1125" i="5"/>
  <c r="G1125" i="5"/>
  <c r="Q1125" i="5"/>
  <c r="P1125" i="5"/>
  <c r="R1125" i="5"/>
  <c r="E1125" i="5"/>
  <c r="A1126" i="5"/>
  <c r="H1125" i="5"/>
  <c r="I1125" i="5"/>
  <c r="O1125" i="5"/>
  <c r="J1125" i="5"/>
  <c r="F1125" i="5"/>
  <c r="G1126" i="5" l="1"/>
  <c r="O1126" i="5"/>
  <c r="H1126" i="5"/>
  <c r="P1126" i="5"/>
  <c r="C1126" i="5"/>
  <c r="M1126" i="5"/>
  <c r="D1126" i="5"/>
  <c r="N1126" i="5"/>
  <c r="I1126" i="5"/>
  <c r="S1126" i="5"/>
  <c r="L1126" i="5"/>
  <c r="Q1126" i="5"/>
  <c r="R1126" i="5"/>
  <c r="B1126" i="5"/>
  <c r="E1126" i="5"/>
  <c r="F1126" i="5"/>
  <c r="K1126" i="5"/>
  <c r="A1127" i="5"/>
  <c r="T1126" i="5"/>
  <c r="J1126" i="5"/>
  <c r="C1127" i="5" l="1"/>
  <c r="K1127" i="5"/>
  <c r="S1127" i="5"/>
  <c r="D1127" i="5"/>
  <c r="L1127" i="5"/>
  <c r="T1127" i="5"/>
  <c r="E1127" i="5"/>
  <c r="O1127" i="5"/>
  <c r="F1127" i="5"/>
  <c r="P1127" i="5"/>
  <c r="I1127" i="5"/>
  <c r="A1128" i="5"/>
  <c r="J1127" i="5"/>
  <c r="M1127" i="5"/>
  <c r="N1127" i="5"/>
  <c r="G1127" i="5"/>
  <c r="H1127" i="5"/>
  <c r="Q1127" i="5"/>
  <c r="B1127" i="5"/>
  <c r="R1127" i="5"/>
  <c r="G1128" i="5" l="1"/>
  <c r="O1128" i="5"/>
  <c r="H1128" i="5"/>
  <c r="P1128" i="5"/>
  <c r="E1128" i="5"/>
  <c r="Q1128" i="5"/>
  <c r="F1128" i="5"/>
  <c r="R1128" i="5"/>
  <c r="K1128" i="5"/>
  <c r="A1129" i="5"/>
  <c r="I1128" i="5"/>
  <c r="J1128" i="5"/>
  <c r="L1128" i="5"/>
  <c r="N1128" i="5"/>
  <c r="S1128" i="5"/>
  <c r="T1128" i="5"/>
  <c r="B1128" i="5"/>
  <c r="C1128" i="5"/>
  <c r="M1128" i="5"/>
  <c r="D1128" i="5"/>
  <c r="C1129" i="5" l="1"/>
  <c r="K1129" i="5"/>
  <c r="S1129" i="5"/>
  <c r="D1129" i="5"/>
  <c r="L1129" i="5"/>
  <c r="T1129" i="5"/>
  <c r="G1129" i="5"/>
  <c r="Q1129" i="5"/>
  <c r="H1129" i="5"/>
  <c r="R1129" i="5"/>
  <c r="M1129" i="5"/>
  <c r="E1129" i="5"/>
  <c r="F1129" i="5"/>
  <c r="I1129" i="5"/>
  <c r="A1130" i="5"/>
  <c r="N1129" i="5"/>
  <c r="O1129" i="5"/>
  <c r="P1129" i="5"/>
  <c r="B1129" i="5"/>
  <c r="J1129" i="5"/>
  <c r="G1130" i="5" l="1"/>
  <c r="O1130" i="5"/>
  <c r="H1130" i="5"/>
  <c r="P1130" i="5"/>
  <c r="I1130" i="5"/>
  <c r="S1130" i="5"/>
  <c r="J1130" i="5"/>
  <c r="T1130" i="5"/>
  <c r="C1130" i="5"/>
  <c r="M1130" i="5"/>
  <c r="B1130" i="5"/>
  <c r="R1130" i="5"/>
  <c r="D1130" i="5"/>
  <c r="A1131" i="5"/>
  <c r="E1130" i="5"/>
  <c r="F1130" i="5"/>
  <c r="K1130" i="5"/>
  <c r="L1130" i="5"/>
  <c r="Q1130" i="5"/>
  <c r="N1130" i="5"/>
  <c r="C1131" i="5" l="1"/>
  <c r="K1131" i="5"/>
  <c r="S1131" i="5"/>
  <c r="D1131" i="5"/>
  <c r="L1131" i="5"/>
  <c r="T1131" i="5"/>
  <c r="I1131" i="5"/>
  <c r="A1132" i="5"/>
  <c r="J1131" i="5"/>
  <c r="E1131" i="5"/>
  <c r="O1131" i="5"/>
  <c r="P1131" i="5"/>
  <c r="Q1131" i="5"/>
  <c r="B1131" i="5"/>
  <c r="R1131" i="5"/>
  <c r="H1131" i="5"/>
  <c r="M1131" i="5"/>
  <c r="N1131" i="5"/>
  <c r="F1131" i="5"/>
  <c r="G1131" i="5"/>
  <c r="G1132" i="5" l="1"/>
  <c r="O1132" i="5"/>
  <c r="H1132" i="5"/>
  <c r="P1132" i="5"/>
  <c r="K1132" i="5"/>
  <c r="A1133" i="5"/>
  <c r="B1132" i="5"/>
  <c r="L1132" i="5"/>
  <c r="E1132" i="5"/>
  <c r="Q1132" i="5"/>
  <c r="M1132" i="5"/>
  <c r="N1132" i="5"/>
  <c r="R1132" i="5"/>
  <c r="S1132" i="5"/>
  <c r="T1132" i="5"/>
  <c r="C1132" i="5"/>
  <c r="D1132" i="5"/>
  <c r="I1132" i="5"/>
  <c r="F1132" i="5"/>
  <c r="J1132" i="5"/>
  <c r="C1133" i="5" l="1"/>
  <c r="K1133" i="5"/>
  <c r="S1133" i="5"/>
  <c r="D1133" i="5"/>
  <c r="L1133" i="5"/>
  <c r="T1133" i="5"/>
  <c r="M1133" i="5"/>
  <c r="B1133" i="5"/>
  <c r="N1133" i="5"/>
  <c r="G1133" i="5"/>
  <c r="Q1133" i="5"/>
  <c r="I1133" i="5"/>
  <c r="J1133" i="5"/>
  <c r="O1133" i="5"/>
  <c r="E1133" i="5"/>
  <c r="R1133" i="5"/>
  <c r="A1134" i="5"/>
  <c r="F1133" i="5"/>
  <c r="H1133" i="5"/>
  <c r="P1133" i="5"/>
  <c r="G1134" i="5" l="1"/>
  <c r="O1134" i="5"/>
  <c r="H1134" i="5"/>
  <c r="P1134" i="5"/>
  <c r="C1134" i="5"/>
  <c r="M1134" i="5"/>
  <c r="D1134" i="5"/>
  <c r="N1134" i="5"/>
  <c r="I1134" i="5"/>
  <c r="S1134" i="5"/>
  <c r="F1134" i="5"/>
  <c r="J1134" i="5"/>
  <c r="K1134" i="5"/>
  <c r="B1134" i="5"/>
  <c r="E1134" i="5"/>
  <c r="L1134" i="5"/>
  <c r="Q1134" i="5"/>
  <c r="R1134" i="5"/>
  <c r="A1135" i="5"/>
  <c r="T1134" i="5"/>
  <c r="C1135" i="5" l="1"/>
  <c r="K1135" i="5"/>
  <c r="S1135" i="5"/>
  <c r="D1135" i="5"/>
  <c r="L1135" i="5"/>
  <c r="T1135" i="5"/>
  <c r="E1135" i="5"/>
  <c r="O1135" i="5"/>
  <c r="F1135" i="5"/>
  <c r="P1135" i="5"/>
  <c r="I1135" i="5"/>
  <c r="A1136" i="5"/>
  <c r="B1135" i="5"/>
  <c r="G1135" i="5"/>
  <c r="H1135" i="5"/>
  <c r="M1135" i="5"/>
  <c r="N1135" i="5"/>
  <c r="Q1135" i="5"/>
  <c r="R1135" i="5"/>
  <c r="J1135" i="5"/>
  <c r="G1136" i="5" l="1"/>
  <c r="O1136" i="5"/>
  <c r="H1136" i="5"/>
  <c r="P1136" i="5"/>
  <c r="E1136" i="5"/>
  <c r="Q1136" i="5"/>
  <c r="F1136" i="5"/>
  <c r="R1136" i="5"/>
  <c r="K1136" i="5"/>
  <c r="A1137" i="5"/>
  <c r="B1136" i="5"/>
  <c r="S1136" i="5"/>
  <c r="C1136" i="5"/>
  <c r="T1136" i="5"/>
  <c r="D1136" i="5"/>
  <c r="N1136" i="5"/>
  <c r="I1136" i="5"/>
  <c r="M1136" i="5"/>
  <c r="J1136" i="5"/>
  <c r="L1136" i="5"/>
  <c r="C1137" i="5" l="1"/>
  <c r="K1137" i="5"/>
  <c r="S1137" i="5"/>
  <c r="D1137" i="5"/>
  <c r="L1137" i="5"/>
  <c r="T1137" i="5"/>
  <c r="G1137" i="5"/>
  <c r="Q1137" i="5"/>
  <c r="H1137" i="5"/>
  <c r="R1137" i="5"/>
  <c r="M1137" i="5"/>
  <c r="O1137" i="5"/>
  <c r="P1137" i="5"/>
  <c r="B1137" i="5"/>
  <c r="A1138" i="5"/>
  <c r="E1137" i="5"/>
  <c r="F1137" i="5"/>
  <c r="J1137" i="5"/>
  <c r="N1137" i="5"/>
  <c r="I1137" i="5"/>
  <c r="G1138" i="5" l="1"/>
  <c r="O1138" i="5"/>
  <c r="H1138" i="5"/>
  <c r="P1138" i="5"/>
  <c r="I1138" i="5"/>
  <c r="S1138" i="5"/>
  <c r="J1138" i="5"/>
  <c r="T1138" i="5"/>
  <c r="C1138" i="5"/>
  <c r="M1138" i="5"/>
  <c r="L1138" i="5"/>
  <c r="N1138" i="5"/>
  <c r="Q1138" i="5"/>
  <c r="E1138" i="5"/>
  <c r="F1138" i="5"/>
  <c r="K1138" i="5"/>
  <c r="D1138" i="5"/>
  <c r="R1138" i="5"/>
  <c r="A1139" i="5"/>
  <c r="B1138" i="5"/>
  <c r="C1139" i="5" l="1"/>
  <c r="K1139" i="5"/>
  <c r="S1139" i="5"/>
  <c r="D1139" i="5"/>
  <c r="L1139" i="5"/>
  <c r="T1139" i="5"/>
  <c r="I1139" i="5"/>
  <c r="A1140" i="5"/>
  <c r="J1139" i="5"/>
  <c r="E1139" i="5"/>
  <c r="O1139" i="5"/>
  <c r="H1139" i="5"/>
  <c r="M1139" i="5"/>
  <c r="N1139" i="5"/>
  <c r="P1139" i="5"/>
  <c r="Q1139" i="5"/>
  <c r="R1139" i="5"/>
  <c r="B1139" i="5"/>
  <c r="G1139" i="5"/>
  <c r="F1139" i="5"/>
  <c r="G1140" i="5" l="1"/>
  <c r="O1140" i="5"/>
  <c r="H1140" i="5"/>
  <c r="P1140" i="5"/>
  <c r="K1140" i="5"/>
  <c r="A1141" i="5"/>
  <c r="B1140" i="5"/>
  <c r="L1140" i="5"/>
  <c r="E1140" i="5"/>
  <c r="Q1140" i="5"/>
  <c r="F1140" i="5"/>
  <c r="I1140" i="5"/>
  <c r="J1140" i="5"/>
  <c r="S1140" i="5"/>
  <c r="T1140" i="5"/>
  <c r="M1140" i="5"/>
  <c r="N1140" i="5"/>
  <c r="R1140" i="5"/>
  <c r="C1140" i="5"/>
  <c r="D1140" i="5"/>
  <c r="C1141" i="5" l="1"/>
  <c r="K1141" i="5"/>
  <c r="S1141" i="5"/>
  <c r="D1141" i="5"/>
  <c r="L1141" i="5"/>
  <c r="T1141" i="5"/>
  <c r="M1141" i="5"/>
  <c r="B1141" i="5"/>
  <c r="N1141" i="5"/>
  <c r="G1141" i="5"/>
  <c r="Q1141" i="5"/>
  <c r="E1141" i="5"/>
  <c r="A1142" i="5"/>
  <c r="F1141" i="5"/>
  <c r="H1141" i="5"/>
  <c r="I1141" i="5"/>
  <c r="J1141" i="5"/>
  <c r="P1141" i="5"/>
  <c r="R1141" i="5"/>
  <c r="O1141" i="5"/>
  <c r="G1142" i="5" l="1"/>
  <c r="O1142" i="5"/>
  <c r="H1142" i="5"/>
  <c r="P1142" i="5"/>
  <c r="C1142" i="5"/>
  <c r="M1142" i="5"/>
  <c r="D1142" i="5"/>
  <c r="N1142" i="5"/>
  <c r="I1142" i="5"/>
  <c r="S1142" i="5"/>
  <c r="R1142" i="5"/>
  <c r="B1142" i="5"/>
  <c r="T1142" i="5"/>
  <c r="E1142" i="5"/>
  <c r="A1143" i="5"/>
  <c r="J1142" i="5"/>
  <c r="K1142" i="5"/>
  <c r="L1142" i="5"/>
  <c r="Q1142" i="5"/>
  <c r="F1142" i="5"/>
  <c r="C1143" i="5" l="1"/>
  <c r="K1143" i="5"/>
  <c r="S1143" i="5"/>
  <c r="D1143" i="5"/>
  <c r="L1143" i="5"/>
  <c r="T1143" i="5"/>
  <c r="E1143" i="5"/>
  <c r="O1143" i="5"/>
  <c r="F1143" i="5"/>
  <c r="P1143" i="5"/>
  <c r="I1143" i="5"/>
  <c r="N1143" i="5"/>
  <c r="Q1143" i="5"/>
  <c r="R1143" i="5"/>
  <c r="M1143" i="5"/>
  <c r="H1143" i="5"/>
  <c r="B1143" i="5"/>
  <c r="G1143" i="5"/>
  <c r="J1143" i="5"/>
</calcChain>
</file>

<file path=xl/sharedStrings.xml><?xml version="1.0" encoding="utf-8"?>
<sst xmlns="http://schemas.openxmlformats.org/spreadsheetml/2006/main" count="256" uniqueCount="104">
  <si>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</si>
  <si>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</si>
  <si>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</si>
  <si>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</si>
  <si>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</si>
  <si>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</si>
  <si>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</si>
  <si>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</si>
  <si>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</si>
  <si>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</si>
  <si>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</si>
  <si>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</si>
  <si>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</si>
  <si>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</si>
  <si>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</si>
  <si>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</si>
  <si>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</si>
  <si>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</si>
  <si>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</si>
  <si>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</si>
  <si>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</si>
  <si>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</si>
  <si>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</si>
  <si>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</si>
  <si>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</si>
  <si>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</si>
  <si>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</si>
  <si>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</si>
  <si>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March 03, 2014 - LYSTRA LOUTAN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</si>
  <si>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</si>
  <si>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</si>
  <si>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</si>
  <si>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</si>
  <si>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</si>
  <si>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</si>
  <si>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</si>
  <si>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</si>
  <si>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</si>
  <si>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</si>
  <si>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</si>
  <si>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</si>
  <si>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</si>
  <si>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</si>
  <si>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</si>
  <si>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</si>
  <si>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SABAL TRAIL &amp; FSC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</si>
  <si>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</si>
  <si>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</si>
  <si>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</si>
  <si>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</si>
  <si>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</si>
  <si>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</si>
  <si>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</si>
  <si>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</si>
  <si>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</si>
  <si>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</si>
  <si>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</si>
  <si>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</si>
  <si>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</si>
  <si>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r>
      <t xml:space="preserve">FSC FIRM     FROM                          </t>
    </r>
    <r>
      <rPr>
        <b/>
        <sz val="12"/>
        <color theme="5" tint="-0.249977111117893"/>
        <rFont val="Arial"/>
        <family val="2"/>
      </rPr>
      <t>SABAL TRAIL</t>
    </r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</si>
  <si>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</si>
  <si>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</si>
  <si>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</si>
  <si>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</si>
  <si>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</si>
  <si>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</si>
  <si>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</si>
  <si>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</si>
  <si>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</si>
  <si>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</si>
  <si>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</si>
  <si>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</si>
  <si>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</si>
  <si>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</si>
  <si>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</si>
  <si>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</si>
  <si>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</si>
  <si>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</si>
  <si>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</si>
  <si>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</si>
  <si>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SABAL TRAIL PIPELINE</t>
  </si>
  <si>
    <t>TOTAL FGT FIRM</t>
  </si>
  <si>
    <t>PHASE VIII FTS 3</t>
  </si>
  <si>
    <t>FGT FIRM BY ZONE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</si>
  <si>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</si>
  <si>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</si>
  <si>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</si>
  <si>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</si>
  <si>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</si>
  <si>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</si>
  <si>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</si>
  <si>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</si>
  <si>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</si>
  <si>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</si>
  <si>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</si>
  <si>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</si>
  <si>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</si>
  <si>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</si>
  <si>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Tab 2 of 6</t>
  </si>
  <si>
    <t>Tab 3 of 6</t>
  </si>
  <si>
    <t>Tab 4 of 6</t>
  </si>
  <si>
    <t>Tab 5 of 6</t>
  </si>
  <si>
    <t>Tab 6 of 6</t>
  </si>
  <si>
    <t>Attachment No.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</si>
</sst>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0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theme="5" tint="-0.249977111117893"/>
      <name val="Arial"/>
      <family val="2"/>
    </font>
    <font>
      <b/>
      <sz val="16"/>
      <color rgb="FFFF0000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14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0" fontId="5" fillId="0" borderId="0" xfId="24" applyAlignment="1">
      <alignment horizontal="center"/>
    </xf>
    <xf numFmtId="166" fontId="6" fillId="0" borderId="0" xfId="24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7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7" fillId="0" borderId="0" xfId="24" quotePrefix="1" applyFont="1" applyAlignment="1">
      <alignment horizontal="center" wrapText="1"/>
    </xf>
    <xf numFmtId="10" fontId="9" fillId="2" borderId="0" xfId="24" applyNumberFormat="1" applyFont="1" applyFill="1" applyAlignment="1">
      <alignment horizontal="center"/>
    </xf>
    <xf numFmtId="0" fontId="7" fillId="2" borderId="0" xfId="24" applyFont="1" applyFill="1" applyAlignment="1">
      <alignment horizontal="center"/>
    </xf>
    <xf numFmtId="166" fontId="7" fillId="0" borderId="0" xfId="24" applyNumberFormat="1" applyFont="1" applyFill="1" applyAlignment="1">
      <alignment horizontal="center"/>
    </xf>
    <xf numFmtId="15" fontId="7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4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8" fontId="6" fillId="6" borderId="0" xfId="24" applyNumberFormat="1" applyFont="1" applyFill="1" applyAlignment="1">
      <alignment horizontal="center"/>
    </xf>
    <xf numFmtId="15" fontId="7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7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8" fontId="6" fillId="0" borderId="0" xfId="24" applyNumberFormat="1" applyFont="1"/>
    <xf numFmtId="166" fontId="6" fillId="0" borderId="0" xfId="24" applyNumberFormat="1" applyFont="1"/>
    <xf numFmtId="169" fontId="6" fillId="0" borderId="0" xfId="24" applyNumberFormat="1" applyFont="1" applyAlignment="1">
      <alignment horizontal="center"/>
    </xf>
    <xf numFmtId="168" fontId="12" fillId="0" borderId="0" xfId="24" applyNumberFormat="1" applyFont="1" applyAlignment="1">
      <alignment horizontal="center"/>
    </xf>
    <xf numFmtId="168" fontId="12" fillId="8" borderId="0" xfId="24" applyNumberFormat="1" applyFont="1" applyFill="1" applyAlignment="1">
      <alignment horizontal="center"/>
    </xf>
    <xf numFmtId="169" fontId="6" fillId="9" borderId="0" xfId="24" applyNumberFormat="1" applyFont="1" applyFill="1" applyAlignment="1">
      <alignment horizontal="center"/>
    </xf>
    <xf numFmtId="168" fontId="12" fillId="10" borderId="0" xfId="24" applyNumberFormat="1" applyFont="1" applyFill="1" applyAlignment="1">
      <alignment horizontal="center"/>
    </xf>
    <xf numFmtId="168" fontId="12" fillId="11" borderId="0" xfId="24" applyNumberFormat="1" applyFont="1" applyFill="1" applyAlignment="1">
      <alignment horizontal="center"/>
    </xf>
    <xf numFmtId="168" fontId="12" fillId="12" borderId="0" xfId="24" applyNumberFormat="1" applyFont="1" applyFill="1" applyAlignment="1">
      <alignment horizontal="center"/>
    </xf>
    <xf numFmtId="168" fontId="12" fillId="13" borderId="0" xfId="24" applyNumberFormat="1" applyFont="1" applyFill="1" applyAlignment="1">
      <alignment horizontal="center"/>
    </xf>
    <xf numFmtId="0" fontId="7" fillId="4" borderId="0" xfId="24" applyFont="1" applyFill="1" applyAlignment="1">
      <alignment horizontal="center" wrapText="1"/>
    </xf>
    <xf numFmtId="0" fontId="7" fillId="7" borderId="0" xfId="24" applyFont="1" applyFill="1" applyAlignment="1">
      <alignment horizontal="center" wrapText="1"/>
    </xf>
    <xf numFmtId="0" fontId="7" fillId="4" borderId="0" xfId="24" quotePrefix="1" applyFont="1" applyFill="1" applyAlignment="1">
      <alignment horizontal="center" wrapText="1"/>
    </xf>
    <xf numFmtId="0" fontId="7" fillId="3" borderId="0" xfId="24" quotePrefix="1" applyFont="1" applyFill="1" applyAlignment="1">
      <alignment horizontal="center" wrapText="1"/>
    </xf>
    <xf numFmtId="0" fontId="7" fillId="7" borderId="0" xfId="24" quotePrefix="1" applyFont="1" applyFill="1" applyAlignment="1">
      <alignment horizontal="center" wrapText="1"/>
    </xf>
    <xf numFmtId="0" fontId="7" fillId="0" borderId="0" xfId="24" applyFont="1" applyAlignment="1">
      <alignment horizontal="center"/>
    </xf>
    <xf numFmtId="10" fontId="7" fillId="0" borderId="0" xfId="24" applyNumberFormat="1" applyFont="1" applyFill="1" applyAlignment="1">
      <alignment horizontal="center"/>
    </xf>
    <xf numFmtId="0" fontId="7" fillId="0" borderId="0" xfId="24" applyFont="1" applyFill="1" applyAlignment="1">
      <alignment horizontal="center"/>
    </xf>
    <xf numFmtId="10" fontId="7" fillId="2" borderId="0" xfId="24" applyNumberFormat="1" applyFont="1" applyFill="1" applyAlignment="1">
      <alignment horizontal="center"/>
    </xf>
    <xf numFmtId="0" fontId="7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4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4" borderId="0" xfId="24" applyNumberFormat="1" applyFont="1" applyFill="1" applyAlignment="1">
      <alignment horizontal="center"/>
    </xf>
    <xf numFmtId="170" fontId="7" fillId="9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7" fillId="9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9" borderId="0" xfId="24" applyNumberFormat="1" applyFont="1" applyFill="1" applyAlignment="1">
      <alignment horizontal="center"/>
    </xf>
    <xf numFmtId="0" fontId="8" fillId="9" borderId="0" xfId="24" applyFont="1" applyFill="1" applyAlignment="1">
      <alignment horizontal="center" wrapText="1"/>
    </xf>
    <xf numFmtId="0" fontId="7" fillId="3" borderId="0" xfId="24" applyFont="1" applyFill="1" applyAlignment="1">
      <alignment horizontal="center" wrapText="1"/>
    </xf>
    <xf numFmtId="0" fontId="7" fillId="9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7" fillId="0" borderId="0" xfId="24" quotePrefix="1" applyFont="1" applyFill="1" applyAlignment="1">
      <alignment horizontal="center"/>
    </xf>
    <xf numFmtId="0" fontId="7" fillId="0" borderId="0" xfId="24" applyFont="1" applyFill="1" applyAlignment="1"/>
    <xf numFmtId="0" fontId="7" fillId="15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7" fillId="0" borderId="0" xfId="24" applyFont="1"/>
    <xf numFmtId="166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44" fontId="17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7" fillId="0" borderId="0" xfId="0" quotePrefix="1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3" borderId="0" xfId="0" quotePrefix="1" applyNumberFormat="1" applyFont="1" applyFill="1" applyAlignment="1">
      <alignment horizontal="center"/>
    </xf>
    <xf numFmtId="165" fontId="7" fillId="7" borderId="0" xfId="0" quotePrefix="1" applyNumberFormat="1" applyFont="1" applyFill="1" applyAlignment="1">
      <alignment horizontal="center"/>
    </xf>
    <xf numFmtId="165" fontId="7" fillId="15" borderId="0" xfId="0" quotePrefix="1" applyNumberFormat="1" applyFont="1" applyFill="1" applyAlignment="1">
      <alignment horizontal="center"/>
    </xf>
    <xf numFmtId="0" fontId="5" fillId="0" borderId="0" xfId="24" applyFill="1"/>
    <xf numFmtId="165" fontId="7" fillId="3" borderId="0" xfId="0" quotePrefix="1" applyNumberFormat="1" applyFont="1" applyFill="1" applyAlignment="1">
      <alignment horizontal="center" vertical="center" wrapText="1"/>
    </xf>
    <xf numFmtId="165" fontId="7" fillId="7" borderId="0" xfId="0" quotePrefix="1" applyNumberFormat="1" applyFont="1" applyFill="1" applyAlignment="1">
      <alignment horizontal="center" vertical="center" wrapText="1"/>
    </xf>
    <xf numFmtId="165" fontId="7" fillId="15" borderId="0" xfId="0" quotePrefix="1" applyNumberFormat="1" applyFont="1" applyFill="1" applyAlignment="1">
      <alignment horizontal="center" vertical="center" wrapText="1"/>
    </xf>
    <xf numFmtId="0" fontId="18" fillId="0" borderId="0" xfId="24" applyFont="1"/>
    <xf numFmtId="10" fontId="7" fillId="2" borderId="0" xfId="24" quotePrefix="1" applyNumberFormat="1" applyFont="1" applyFill="1" applyAlignment="1">
      <alignment horizontal="center"/>
    </xf>
    <xf numFmtId="15" fontId="7" fillId="2" borderId="0" xfId="24" applyNumberFormat="1" applyFont="1" applyFill="1" applyAlignment="1">
      <alignment horizontal="left"/>
    </xf>
    <xf numFmtId="15" fontId="7" fillId="0" borderId="0" xfId="24" quotePrefix="1" applyNumberFormat="1" applyFont="1" applyAlignment="1">
      <alignment horizontal="left"/>
    </xf>
    <xf numFmtId="0" fontId="19" fillId="0" borderId="0" xfId="24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0" fontId="7" fillId="0" borderId="0" xfId="24" applyFont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16" fillId="4" borderId="7" xfId="24" quotePrefix="1" applyFont="1" applyFill="1" applyBorder="1" applyAlignment="1">
      <alignment horizontal="center"/>
    </xf>
    <xf numFmtId="0" fontId="16" fillId="4" borderId="6" xfId="24" quotePrefix="1" applyFont="1" applyFill="1" applyBorder="1" applyAlignment="1">
      <alignment horizontal="center"/>
    </xf>
    <xf numFmtId="0" fontId="16" fillId="4" borderId="5" xfId="24" quotePrefix="1" applyFont="1" applyFill="1" applyBorder="1" applyAlignment="1">
      <alignment horizontal="center"/>
    </xf>
    <xf numFmtId="0" fontId="7" fillId="0" borderId="0" xfId="24" quotePrefix="1" applyFont="1" applyFill="1" applyAlignment="1">
      <alignment horizontal="center"/>
    </xf>
    <xf numFmtId="0" fontId="7" fillId="15" borderId="0" xfId="24" quotePrefix="1" applyFont="1" applyFill="1" applyAlignment="1">
      <alignment horizontal="center"/>
    </xf>
    <xf numFmtId="0" fontId="7" fillId="15" borderId="0" xfId="24" applyFont="1" applyFill="1" applyAlignment="1">
      <alignment horizontal="center"/>
    </xf>
    <xf numFmtId="165" fontId="7" fillId="4" borderId="0" xfId="0" quotePrefix="1" applyNumberFormat="1" applyFont="1" applyFill="1" applyAlignment="1">
      <alignment horizontal="center"/>
    </xf>
    <xf numFmtId="0" fontId="7" fillId="9" borderId="0" xfId="24" quotePrefix="1" applyFont="1" applyFill="1" applyAlignment="1">
      <alignment horizontal="center"/>
    </xf>
    <xf numFmtId="0" fontId="7" fillId="9" borderId="0" xfId="24" applyFont="1" applyFill="1" applyAlignment="1">
      <alignment horizontal="center"/>
    </xf>
    <xf numFmtId="0" fontId="7" fillId="4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4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5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6.xml><?xml version="1.0" encoding="utf-8"?>
<formControlPr xmlns="http://schemas.microsoft.com/office/spreadsheetml/2009/9/main" objectType="Drop" dropLines="2" dropStyle="combo" dx="18" fmlaLink="CONTROL!$C$42" fmlaRange="CONTROL!$B$42:$B$43" val="0"/>
</file>

<file path=xl/ctrlProps/ctrlProp7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47625</xdr:rowOff>
        </xdr:from>
        <xdr:to>
          <xdr:col>8</xdr:col>
          <xdr:colOff>561975</xdr:colOff>
          <xdr:row>8</xdr:row>
          <xdr:rowOff>133350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142875</xdr:rowOff>
        </xdr:from>
        <xdr:to>
          <xdr:col>12</xdr:col>
          <xdr:colOff>266700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4.zip\2014\3.%20March\140303%202014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OIL &amp; GAS SEASONALITY"/>
      <sheetName val="_Setup_"/>
      <sheetName val="FGT PRIMARY FIRM ZONE 2"/>
      <sheetName val="FGT PRIMARY FIRM ZONE 3"/>
      <sheetName val="FGT FIRM ZONE 3 MOBILE BAY-DES"/>
      <sheetName val="FTS 3  FIRM ZONE 3 MOBILE BAY-D"/>
      <sheetName val="TRANSCO 4 LATERAL TO GULFSTREAM"/>
      <sheetName val="SESH TO FGT FIRM ZONE 3 MOB BAY"/>
      <sheetName val="SESH TO FTS 3"/>
      <sheetName val="GULFSTREAM FIRM "/>
      <sheetName val="GULFSTREAM NON-FIRM"/>
      <sheetName val="GULFSTREAM NON-FIRM  BACKHAUL "/>
      <sheetName val="UPS REPLACEMENT"/>
      <sheetName val="Upload"/>
      <sheetName val="GULF SOUTH TO FGT Z3 MOBILE BAY"/>
      <sheetName val="GULF SOUTH TO GULFSTREAM"/>
      <sheetName val="PIRA - LONG TERM OIL BACKUP"/>
      <sheetName val="DISTILLATE &amp; RESIDUAL FUEL OIL"/>
      <sheetName val="PIRA - LONG TERM GAS BACKUP"/>
      <sheetName val="TRANSCO 4A LATERAL TO FTS 3"/>
      <sheetName val="FGT PRIMARY FIRM ZONE 1"/>
      <sheetName val="FGT NON-FIRM"/>
      <sheetName val="SESH TO GULFSTREAM"/>
      <sheetName val="FSC DLVD"/>
      <sheetName val="MOST LIKELY COAL &amp; PET COK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activeCell="H10" sqref="H10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98" t="s">
        <v>93</v>
      </c>
    </row>
    <row r="2" spans="1:3" x14ac:dyDescent="0.25">
      <c r="A2" s="98" t="s">
        <v>94</v>
      </c>
    </row>
    <row r="3" spans="1:3" x14ac:dyDescent="0.25">
      <c r="A3" s="98" t="s">
        <v>95</v>
      </c>
    </row>
    <row r="4" spans="1:3" x14ac:dyDescent="0.25">
      <c r="A4" s="98" t="s">
        <v>96</v>
      </c>
    </row>
    <row r="5" spans="1:3" x14ac:dyDescent="0.25">
      <c r="A5" s="98" t="s">
        <v>103</v>
      </c>
    </row>
    <row r="6" spans="1:3" x14ac:dyDescent="0.25">
      <c r="A6" s="98" t="s">
        <v>97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99">
        <v>2</v>
      </c>
    </row>
    <row r="10" spans="1:3" x14ac:dyDescent="0.25">
      <c r="B10" s="6" t="s">
        <v>8</v>
      </c>
      <c r="C10" s="101"/>
    </row>
    <row r="11" spans="1:3" x14ac:dyDescent="0.25">
      <c r="B11" s="5" t="s">
        <v>7</v>
      </c>
      <c r="C11" s="100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99">
        <v>2</v>
      </c>
    </row>
    <row r="16" spans="1:3" x14ac:dyDescent="0.25">
      <c r="B16" s="6" t="s">
        <v>8</v>
      </c>
      <c r="C16" s="101"/>
    </row>
    <row r="17" spans="2:3" x14ac:dyDescent="0.25">
      <c r="B17" s="5" t="s">
        <v>7</v>
      </c>
      <c r="C17" s="100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99">
        <v>2</v>
      </c>
    </row>
    <row r="22" spans="2:3" x14ac:dyDescent="0.25">
      <c r="B22" s="6" t="s">
        <v>8</v>
      </c>
      <c r="C22" s="101"/>
    </row>
    <row r="23" spans="2:3" x14ac:dyDescent="0.25">
      <c r="B23" s="5" t="s">
        <v>7</v>
      </c>
      <c r="C23" s="100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99">
        <v>1</v>
      </c>
    </row>
    <row r="28" spans="2:3" x14ac:dyDescent="0.25">
      <c r="B28" s="2" t="s">
        <v>4</v>
      </c>
      <c r="C28" s="100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99">
        <v>2</v>
      </c>
    </row>
    <row r="33" spans="2:3" x14ac:dyDescent="0.25">
      <c r="B33" s="6" t="s">
        <v>8</v>
      </c>
      <c r="C33" s="101"/>
    </row>
    <row r="34" spans="2:3" x14ac:dyDescent="0.25">
      <c r="B34" s="5" t="s">
        <v>7</v>
      </c>
      <c r="C34" s="100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99">
        <v>1</v>
      </c>
    </row>
    <row r="39" spans="2:3" x14ac:dyDescent="0.25">
      <c r="B39" s="2" t="s">
        <v>4</v>
      </c>
      <c r="C39" s="100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99">
        <v>1</v>
      </c>
    </row>
    <row r="43" spans="2:3" x14ac:dyDescent="0.25">
      <c r="B43" s="2" t="s">
        <v>0</v>
      </c>
      <c r="C43" s="100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63"/>
  <sheetViews>
    <sheetView zoomScale="70" zoomScaleNormal="70" workbookViewId="0">
      <pane xSplit="1" ySplit="11" topLeftCell="B12" activePane="bottomRight" state="frozen"/>
      <selection activeCell="H10" sqref="H10"/>
      <selection pane="topRight" activeCell="H10" sqref="H10"/>
      <selection pane="bottomLeft" activeCell="H10" sqref="H10"/>
      <selection pane="bottomRight" activeCell="H10" sqref="H10"/>
    </sheetView>
  </sheetViews>
  <sheetFormatPr defaultColWidth="7.109375" defaultRowHeight="12.75" x14ac:dyDescent="0.2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98" t="s">
        <v>93</v>
      </c>
    </row>
    <row r="2" spans="1:17" ht="15.75" x14ac:dyDescent="0.25">
      <c r="A2" s="98" t="s">
        <v>94</v>
      </c>
    </row>
    <row r="3" spans="1:17" ht="15.75" x14ac:dyDescent="0.25">
      <c r="A3" s="98" t="s">
        <v>95</v>
      </c>
    </row>
    <row r="4" spans="1:17" ht="15.75" x14ac:dyDescent="0.25">
      <c r="A4" s="98" t="s">
        <v>96</v>
      </c>
    </row>
    <row r="5" spans="1:17" ht="15.75" x14ac:dyDescent="0.25">
      <c r="A5" s="98" t="s">
        <v>103</v>
      </c>
    </row>
    <row r="6" spans="1:17" ht="15.75" x14ac:dyDescent="0.25">
      <c r="A6" s="98" t="s">
        <v>98</v>
      </c>
    </row>
    <row r="8" spans="1:17" ht="15.75" x14ac:dyDescent="0.2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25"/>
      <c r="B9" s="24"/>
      <c r="C9" s="23" t="s">
        <v>27</v>
      </c>
      <c r="D9" s="22">
        <f>1-0.263</f>
        <v>0.73699999999999999</v>
      </c>
      <c r="E9" s="23" t="s">
        <v>26</v>
      </c>
      <c r="F9" s="22">
        <f>1+0.263</f>
        <v>1.2629999999999999</v>
      </c>
      <c r="G9" s="8"/>
      <c r="H9" s="8"/>
      <c r="I9" s="8"/>
    </row>
    <row r="10" spans="1:17" s="18" customFormat="1" ht="33.6" customHeight="1" x14ac:dyDescent="0.25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19.5" customHeight="1" x14ac:dyDescent="0.25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 x14ac:dyDescent="0.2">
      <c r="A12" s="16">
        <v>41640</v>
      </c>
      <c r="B12" s="10">
        <v>24.5270274442539</v>
      </c>
      <c r="C12" s="10">
        <v>24.0947804459691</v>
      </c>
      <c r="D12" s="10">
        <v>24.0947804459691</v>
      </c>
      <c r="E12" s="10">
        <v>23.958121955403101</v>
      </c>
      <c r="F12" s="10">
        <v>23.958121955403101</v>
      </c>
      <c r="G12" s="10">
        <v>24.229497427101201</v>
      </c>
      <c r="H12" s="10">
        <v>24.0947804459691</v>
      </c>
      <c r="I12" s="10">
        <v>24.0947804459691</v>
      </c>
      <c r="J12" s="10">
        <v>23.734574614065199</v>
      </c>
      <c r="K12" s="10">
        <v>24.0947804459691</v>
      </c>
      <c r="L12" s="10"/>
      <c r="M12" s="17"/>
      <c r="N12" s="17"/>
      <c r="O12" s="17"/>
      <c r="P12" s="17"/>
      <c r="Q12" s="17"/>
    </row>
    <row r="13" spans="1:17" ht="15" x14ac:dyDescent="0.2">
      <c r="A13" s="16">
        <v>41671</v>
      </c>
      <c r="B13" s="10">
        <v>24.6565862778731</v>
      </c>
      <c r="C13" s="10">
        <v>24.2243392795883</v>
      </c>
      <c r="D13" s="10">
        <v>24.2243392795883</v>
      </c>
      <c r="E13" s="10">
        <v>24.087680789022301</v>
      </c>
      <c r="F13" s="10">
        <v>24.087680789022301</v>
      </c>
      <c r="G13" s="10">
        <v>24.359056260720401</v>
      </c>
      <c r="H13" s="10">
        <v>24.2243392795883</v>
      </c>
      <c r="I13" s="10">
        <v>24.2243392795883</v>
      </c>
      <c r="J13" s="10">
        <v>23.864133447684399</v>
      </c>
      <c r="K13" s="10">
        <v>24.2243392795883</v>
      </c>
      <c r="L13" s="10"/>
      <c r="M13" s="17"/>
      <c r="N13" s="17"/>
      <c r="O13" s="17"/>
      <c r="P13" s="17"/>
      <c r="Q13" s="17"/>
    </row>
    <row r="14" spans="1:17" ht="15" x14ac:dyDescent="0.2">
      <c r="A14" s="16">
        <v>41699</v>
      </c>
      <c r="B14" s="10">
        <v>24.5061355060034</v>
      </c>
      <c r="C14" s="10">
        <v>24.073888507718699</v>
      </c>
      <c r="D14" s="10">
        <v>24.073888507718699</v>
      </c>
      <c r="E14" s="10">
        <v>23.9372300171527</v>
      </c>
      <c r="F14" s="10">
        <v>23.9372300171527</v>
      </c>
      <c r="G14" s="10">
        <v>24.2086054888508</v>
      </c>
      <c r="H14" s="10">
        <v>24.073888507718699</v>
      </c>
      <c r="I14" s="10">
        <v>24.073888507718699</v>
      </c>
      <c r="J14" s="10">
        <v>23.713682675814699</v>
      </c>
      <c r="K14" s="10">
        <v>24.073888507718699</v>
      </c>
      <c r="L14" s="10"/>
      <c r="M14" s="17"/>
      <c r="N14" s="17"/>
      <c r="O14" s="17"/>
      <c r="P14" s="17"/>
      <c r="Q14" s="17"/>
    </row>
    <row r="15" spans="1:17" ht="15" x14ac:dyDescent="0.2">
      <c r="A15" s="16">
        <v>41730</v>
      </c>
      <c r="B15" s="10">
        <f>24.4846 * CHOOSE(CONTROL!$C$9, $D$9, 100%, $F$9) + CHOOSE(CONTROL!$C$27, 0.0021, 0)</f>
        <v>24.486699999999999</v>
      </c>
      <c r="C15" s="10">
        <f>24.0524 * CHOOSE(CONTROL!$C$9, $D$9, 100%, $F$9) + CHOOSE(CONTROL!$C$27, 0.0021, 0)</f>
        <v>24.054499999999997</v>
      </c>
      <c r="D15" s="10">
        <f>24.0524 * CHOOSE(CONTROL!$C$9, $D$9, 100%, $F$9) + CHOOSE(CONTROL!$C$27, 0.0021, 0)</f>
        <v>24.054499999999997</v>
      </c>
      <c r="E15" s="10">
        <f>23.9157 * CHOOSE(CONTROL!$C$9, $D$9, 100%, $F$9) + CHOOSE(CONTROL!$C$27, 0.0021, 0)</f>
        <v>23.9178</v>
      </c>
      <c r="F15" s="10">
        <f>23.9157 * CHOOSE(CONTROL!$C$9, $D$9, 100%, $F$9) + CHOOSE(CONTROL!$C$27, 0.0021, 0)</f>
        <v>23.9178</v>
      </c>
      <c r="G15" s="10">
        <f>24.1871 * CHOOSE(CONTROL!$C$9, $D$9, 100%, $F$9) + CHOOSE(CONTROL!$C$27, 0.0021, 0)</f>
        <v>24.1892</v>
      </c>
      <c r="H15" s="10">
        <f>24.0524 * CHOOSE(CONTROL!$C$9, $D$9, 100%, $F$9) + CHOOSE(CONTROL!$C$27, 0.0021, 0)</f>
        <v>24.054499999999997</v>
      </c>
      <c r="I15" s="10">
        <f>24.0524 * CHOOSE(CONTROL!$C$9, $D$9, 100%, $F$9) + CHOOSE(CONTROL!$C$27, 0.0021, 0)</f>
        <v>24.054499999999997</v>
      </c>
      <c r="J15" s="10">
        <f>23.6922 * CHOOSE(CONTROL!$C$9, $D$9, 100%, $F$9) + CHOOSE(CONTROL!$C$27, 0.0021, 0)</f>
        <v>23.694299999999998</v>
      </c>
      <c r="K15" s="10">
        <f>24.0524 * CHOOSE(CONTROL!$C$9, $D$9, 100%, $F$9) + CHOOSE(CONTROL!$C$27, 0.0021, 0)</f>
        <v>24.054499999999997</v>
      </c>
      <c r="L15" s="10"/>
      <c r="M15" s="17"/>
      <c r="N15" s="17"/>
      <c r="O15" s="17"/>
      <c r="P15" s="17"/>
      <c r="Q15" s="17"/>
    </row>
    <row r="16" spans="1:17" ht="15" x14ac:dyDescent="0.2">
      <c r="A16" s="16">
        <v>41760</v>
      </c>
      <c r="B16" s="10">
        <f>24.2339 * CHOOSE(CONTROL!$C$9, $D$9, 100%, $F$9) + CHOOSE(CONTROL!$C$27, 0.0021, 0)</f>
        <v>24.235999999999997</v>
      </c>
      <c r="C16" s="10">
        <f>23.8017 * CHOOSE(CONTROL!$C$9, $D$9, 100%, $F$9) + CHOOSE(CONTROL!$C$27, 0.0021, 0)</f>
        <v>23.803799999999999</v>
      </c>
      <c r="D16" s="10">
        <f>23.8017 * CHOOSE(CONTROL!$C$9, $D$9, 100%, $F$9) + CHOOSE(CONTROL!$C$27, 0.0021, 0)</f>
        <v>23.803799999999999</v>
      </c>
      <c r="E16" s="10">
        <f>23.665 * CHOOSE(CONTROL!$C$9, $D$9, 100%, $F$9) + CHOOSE(CONTROL!$C$27, 0.0021, 0)</f>
        <v>23.667099999999998</v>
      </c>
      <c r="F16" s="10">
        <f>23.665 * CHOOSE(CONTROL!$C$9, $D$9, 100%, $F$9) + CHOOSE(CONTROL!$C$27, 0.0021, 0)</f>
        <v>23.667099999999998</v>
      </c>
      <c r="G16" s="10">
        <f>23.9364 * CHOOSE(CONTROL!$C$9, $D$9, 100%, $F$9) + CHOOSE(CONTROL!$C$27, 0.0021, 0)</f>
        <v>23.938499999999998</v>
      </c>
      <c r="H16" s="10">
        <f>23.8017 * CHOOSE(CONTROL!$C$9, $D$9, 100%, $F$9) + CHOOSE(CONTROL!$C$27, 0.0021, 0)</f>
        <v>23.803799999999999</v>
      </c>
      <c r="I16" s="10">
        <f>23.8017 * CHOOSE(CONTROL!$C$9, $D$9, 100%, $F$9) + CHOOSE(CONTROL!$C$27, 0.0021, 0)</f>
        <v>23.803799999999999</v>
      </c>
      <c r="J16" s="10">
        <f>23.4415 * CHOOSE(CONTROL!$C$9, $D$9, 100%, $F$9) + CHOOSE(CONTROL!$C$27, 0.0021, 0)</f>
        <v>23.4436</v>
      </c>
      <c r="K16" s="10">
        <f>23.8017 * CHOOSE(CONTROL!$C$9, $D$9, 100%, $F$9) + CHOOSE(CONTROL!$C$27, 0.0021, 0)</f>
        <v>23.803799999999999</v>
      </c>
      <c r="L16" s="10"/>
      <c r="M16" s="17"/>
      <c r="N16" s="17"/>
      <c r="O16" s="17"/>
      <c r="P16" s="17"/>
      <c r="Q16" s="17"/>
    </row>
    <row r="17" spans="1:17" ht="15" x14ac:dyDescent="0.2">
      <c r="A17" s="16">
        <v>41791</v>
      </c>
      <c r="B17" s="10">
        <f>24.1093 * CHOOSE(CONTROL!$C$9, $D$9, 100%, $F$9) + CHOOSE(CONTROL!$C$27, 0.0021, 0)</f>
        <v>24.1114</v>
      </c>
      <c r="C17" s="10">
        <f>23.677 * CHOOSE(CONTROL!$C$9, $D$9, 100%, $F$9) + CHOOSE(CONTROL!$C$27, 0.0021, 0)</f>
        <v>23.679099999999998</v>
      </c>
      <c r="D17" s="10">
        <f>23.677 * CHOOSE(CONTROL!$C$9, $D$9, 100%, $F$9) + CHOOSE(CONTROL!$C$27, 0.0021, 0)</f>
        <v>23.679099999999998</v>
      </c>
      <c r="E17" s="10">
        <f>23.5404 * CHOOSE(CONTROL!$C$9, $D$9, 100%, $F$9) + CHOOSE(CONTROL!$C$27, 0.0021, 0)</f>
        <v>23.5425</v>
      </c>
      <c r="F17" s="10">
        <f>23.5404 * CHOOSE(CONTROL!$C$9, $D$9, 100%, $F$9) + CHOOSE(CONTROL!$C$27, 0.0021, 0)</f>
        <v>23.5425</v>
      </c>
      <c r="G17" s="10">
        <f>23.8118 * CHOOSE(CONTROL!$C$9, $D$9, 100%, $F$9) + CHOOSE(CONTROL!$C$27, 0.0021, 0)</f>
        <v>23.8139</v>
      </c>
      <c r="H17" s="10">
        <f>23.677 * CHOOSE(CONTROL!$C$9, $D$9, 100%, $F$9) + CHOOSE(CONTROL!$C$27, 0.0021, 0)</f>
        <v>23.679099999999998</v>
      </c>
      <c r="I17" s="10">
        <f>23.677 * CHOOSE(CONTROL!$C$9, $D$9, 100%, $F$9) + CHOOSE(CONTROL!$C$27, 0.0021, 0)</f>
        <v>23.679099999999998</v>
      </c>
      <c r="J17" s="10">
        <f>23.3168 * CHOOSE(CONTROL!$C$9, $D$9, 100%, $F$9) + CHOOSE(CONTROL!$C$27, 0.0021, 0)</f>
        <v>23.318899999999999</v>
      </c>
      <c r="K17" s="10">
        <f>23.677 * CHOOSE(CONTROL!$C$9, $D$9, 100%, $F$9) + CHOOSE(CONTROL!$C$27, 0.0021, 0)</f>
        <v>23.679099999999998</v>
      </c>
      <c r="L17" s="10"/>
      <c r="M17" s="17"/>
      <c r="N17" s="17"/>
      <c r="O17" s="17"/>
      <c r="P17" s="17"/>
      <c r="Q17" s="17"/>
    </row>
    <row r="18" spans="1:17" ht="15" x14ac:dyDescent="0.2">
      <c r="A18" s="16">
        <v>41821</v>
      </c>
      <c r="B18" s="10">
        <f>24.0416 * CHOOSE(CONTROL!$C$9, $D$9, 100%, $F$9) + CHOOSE(CONTROL!$C$27, 0.0021, 0)</f>
        <v>24.043699999999998</v>
      </c>
      <c r="C18" s="10">
        <f>23.6093 * CHOOSE(CONTROL!$C$9, $D$9, 100%, $F$9) + CHOOSE(CONTROL!$C$27, 0.0021, 0)</f>
        <v>23.6114</v>
      </c>
      <c r="D18" s="10">
        <f>23.6093 * CHOOSE(CONTROL!$C$9, $D$9, 100%, $F$9) + CHOOSE(CONTROL!$C$27, 0.0021, 0)</f>
        <v>23.6114</v>
      </c>
      <c r="E18" s="10">
        <f>23.4727 * CHOOSE(CONTROL!$C$9, $D$9, 100%, $F$9) + CHOOSE(CONTROL!$C$27, 0.0021, 0)</f>
        <v>23.474799999999998</v>
      </c>
      <c r="F18" s="10">
        <f>23.4727 * CHOOSE(CONTROL!$C$9, $D$9, 100%, $F$9) + CHOOSE(CONTROL!$C$27, 0.0021, 0)</f>
        <v>23.474799999999998</v>
      </c>
      <c r="G18" s="10">
        <f>23.744 * CHOOSE(CONTROL!$C$9, $D$9, 100%, $F$9) + CHOOSE(CONTROL!$C$27, 0.0021, 0)</f>
        <v>23.746099999999998</v>
      </c>
      <c r="H18" s="10">
        <f>23.6093 * CHOOSE(CONTROL!$C$9, $D$9, 100%, $F$9) + CHOOSE(CONTROL!$C$27, 0.0021, 0)</f>
        <v>23.6114</v>
      </c>
      <c r="I18" s="10">
        <f>23.6093 * CHOOSE(CONTROL!$C$9, $D$9, 100%, $F$9) + CHOOSE(CONTROL!$C$27, 0.0021, 0)</f>
        <v>23.6114</v>
      </c>
      <c r="J18" s="10">
        <f>23.2491 * CHOOSE(CONTROL!$C$9, $D$9, 100%, $F$9) + CHOOSE(CONTROL!$C$27, 0.0021, 0)</f>
        <v>23.251199999999997</v>
      </c>
      <c r="K18" s="10">
        <f>23.6093 * CHOOSE(CONTROL!$C$9, $D$9, 100%, $F$9) + CHOOSE(CONTROL!$C$27, 0.0021, 0)</f>
        <v>23.6114</v>
      </c>
      <c r="L18" s="10"/>
      <c r="M18" s="17"/>
      <c r="N18" s="17"/>
      <c r="O18" s="17"/>
      <c r="P18" s="17"/>
      <c r="Q18" s="17"/>
    </row>
    <row r="19" spans="1:17" ht="15" x14ac:dyDescent="0.2">
      <c r="A19" s="16">
        <v>41852</v>
      </c>
      <c r="B19" s="10">
        <f>23.9847 * CHOOSE(CONTROL!$C$9, $D$9, 100%, $F$9) + CHOOSE(CONTROL!$C$27, 0.0021, 0)</f>
        <v>23.986799999999999</v>
      </c>
      <c r="C19" s="10">
        <f>23.5524 * CHOOSE(CONTROL!$C$9, $D$9, 100%, $F$9) + CHOOSE(CONTROL!$C$27, 0.0021, 0)</f>
        <v>23.554499999999997</v>
      </c>
      <c r="D19" s="10">
        <f>23.5524 * CHOOSE(CONTROL!$C$9, $D$9, 100%, $F$9) + CHOOSE(CONTROL!$C$27, 0.0021, 0)</f>
        <v>23.554499999999997</v>
      </c>
      <c r="E19" s="10">
        <f>23.4158 * CHOOSE(CONTROL!$C$9, $D$9, 100%, $F$9) + CHOOSE(CONTROL!$C$27, 0.0021, 0)</f>
        <v>23.417899999999999</v>
      </c>
      <c r="F19" s="10">
        <f>23.4158 * CHOOSE(CONTROL!$C$9, $D$9, 100%, $F$9) + CHOOSE(CONTROL!$C$27, 0.0021, 0)</f>
        <v>23.417899999999999</v>
      </c>
      <c r="G19" s="10">
        <f>23.6871 * CHOOSE(CONTROL!$C$9, $D$9, 100%, $F$9) + CHOOSE(CONTROL!$C$27, 0.0021, 0)</f>
        <v>23.6892</v>
      </c>
      <c r="H19" s="10">
        <f>23.5524 * CHOOSE(CONTROL!$C$9, $D$9, 100%, $F$9) + CHOOSE(CONTROL!$C$27, 0.0021, 0)</f>
        <v>23.554499999999997</v>
      </c>
      <c r="I19" s="10">
        <f>23.5524 * CHOOSE(CONTROL!$C$9, $D$9, 100%, $F$9) + CHOOSE(CONTROL!$C$27, 0.0021, 0)</f>
        <v>23.554499999999997</v>
      </c>
      <c r="J19" s="10">
        <f>23.1922 * CHOOSE(CONTROL!$C$9, $D$9, 100%, $F$9) + CHOOSE(CONTROL!$C$27, 0.0021, 0)</f>
        <v>23.194299999999998</v>
      </c>
      <c r="K19" s="10">
        <f>23.5524 * CHOOSE(CONTROL!$C$9, $D$9, 100%, $F$9) + CHOOSE(CONTROL!$C$27, 0.0021, 0)</f>
        <v>23.554499999999997</v>
      </c>
      <c r="L19" s="10"/>
      <c r="M19" s="17"/>
      <c r="N19" s="17"/>
      <c r="O19" s="17"/>
      <c r="P19" s="17"/>
      <c r="Q19" s="17"/>
    </row>
    <row r="20" spans="1:17" ht="15" x14ac:dyDescent="0.2">
      <c r="A20" s="16">
        <v>41883</v>
      </c>
      <c r="B20" s="10">
        <f>23.9378 * CHOOSE(CONTROL!$C$9, $D$9, 100%, $F$9) + CHOOSE(CONTROL!$C$27, 0.0021, 0)</f>
        <v>23.939899999999998</v>
      </c>
      <c r="C20" s="10">
        <f>23.5056 * CHOOSE(CONTROL!$C$9, $D$9, 100%, $F$9) + CHOOSE(CONTROL!$C$27, 0.0021, 0)</f>
        <v>23.5077</v>
      </c>
      <c r="D20" s="10">
        <f>23.5056 * CHOOSE(CONTROL!$C$9, $D$9, 100%, $F$9) + CHOOSE(CONTROL!$C$27, 0.0021, 0)</f>
        <v>23.5077</v>
      </c>
      <c r="E20" s="10">
        <f>23.3689 * CHOOSE(CONTROL!$C$9, $D$9, 100%, $F$9) + CHOOSE(CONTROL!$C$27, 0.0021, 0)</f>
        <v>23.370999999999999</v>
      </c>
      <c r="F20" s="10">
        <f>23.3689 * CHOOSE(CONTROL!$C$9, $D$9, 100%, $F$9) + CHOOSE(CONTROL!$C$27, 0.0021, 0)</f>
        <v>23.370999999999999</v>
      </c>
      <c r="G20" s="10">
        <f>23.6403 * CHOOSE(CONTROL!$C$9, $D$9, 100%, $F$9) + CHOOSE(CONTROL!$C$27, 0.0021, 0)</f>
        <v>23.642399999999999</v>
      </c>
      <c r="H20" s="10">
        <f>23.5056 * CHOOSE(CONTROL!$C$9, $D$9, 100%, $F$9) + CHOOSE(CONTROL!$C$27, 0.0021, 0)</f>
        <v>23.5077</v>
      </c>
      <c r="I20" s="10">
        <f>23.5056 * CHOOSE(CONTROL!$C$9, $D$9, 100%, $F$9) + CHOOSE(CONTROL!$C$27, 0.0021, 0)</f>
        <v>23.5077</v>
      </c>
      <c r="J20" s="10">
        <f>23.1454 * CHOOSE(CONTROL!$C$9, $D$9, 100%, $F$9) + CHOOSE(CONTROL!$C$27, 0.0021, 0)</f>
        <v>23.147499999999997</v>
      </c>
      <c r="K20" s="10">
        <f>23.5056 * CHOOSE(CONTROL!$C$9, $D$9, 100%, $F$9) + CHOOSE(CONTROL!$C$27, 0.0021, 0)</f>
        <v>23.5077</v>
      </c>
      <c r="L20" s="10"/>
      <c r="M20" s="17"/>
      <c r="N20" s="17"/>
      <c r="O20" s="17"/>
      <c r="P20" s="17"/>
      <c r="Q20" s="17"/>
    </row>
    <row r="21" spans="1:17" ht="15" x14ac:dyDescent="0.2">
      <c r="A21" s="16">
        <v>41913</v>
      </c>
      <c r="B21" s="10">
        <f>23.8925 * CHOOSE(CONTROL!$C$9, $D$9, 100%, $F$9) + CHOOSE(CONTROL!$C$27, 0.0021, 0)</f>
        <v>23.894599999999997</v>
      </c>
      <c r="C21" s="10">
        <f>23.4602 * CHOOSE(CONTROL!$C$9, $D$9, 100%, $F$9) + CHOOSE(CONTROL!$C$27, 0.0021, 0)</f>
        <v>23.462299999999999</v>
      </c>
      <c r="D21" s="10">
        <f>23.4602 * CHOOSE(CONTROL!$C$9, $D$9, 100%, $F$9) + CHOOSE(CONTROL!$C$27, 0.0021, 0)</f>
        <v>23.462299999999999</v>
      </c>
      <c r="E21" s="10">
        <f>23.3235 * CHOOSE(CONTROL!$C$9, $D$9, 100%, $F$9) + CHOOSE(CONTROL!$C$27, 0.0021, 0)</f>
        <v>23.325599999999998</v>
      </c>
      <c r="F21" s="10">
        <f>23.3235 * CHOOSE(CONTROL!$C$9, $D$9, 100%, $F$9) + CHOOSE(CONTROL!$C$27, 0.0021, 0)</f>
        <v>23.325599999999998</v>
      </c>
      <c r="G21" s="10">
        <f>23.5949 * CHOOSE(CONTROL!$C$9, $D$9, 100%, $F$9) + CHOOSE(CONTROL!$C$27, 0.0021, 0)</f>
        <v>23.596999999999998</v>
      </c>
      <c r="H21" s="10">
        <f>23.4602 * CHOOSE(CONTROL!$C$9, $D$9, 100%, $F$9) + CHOOSE(CONTROL!$C$27, 0.0021, 0)</f>
        <v>23.462299999999999</v>
      </c>
      <c r="I21" s="10">
        <f>23.4602 * CHOOSE(CONTROL!$C$9, $D$9, 100%, $F$9) + CHOOSE(CONTROL!$C$27, 0.0021, 0)</f>
        <v>23.462299999999999</v>
      </c>
      <c r="J21" s="10">
        <f>23.1 * CHOOSE(CONTROL!$C$9, $D$9, 100%, $F$9) + CHOOSE(CONTROL!$C$27, 0.0021, 0)</f>
        <v>23.1021</v>
      </c>
      <c r="K21" s="10">
        <f>23.4602 * CHOOSE(CONTROL!$C$9, $D$9, 100%, $F$9) + CHOOSE(CONTROL!$C$27, 0.0021, 0)</f>
        <v>23.462299999999999</v>
      </c>
      <c r="L21" s="10"/>
      <c r="M21" s="17"/>
      <c r="N21" s="17"/>
      <c r="O21" s="17"/>
      <c r="P21" s="17"/>
      <c r="Q21" s="17"/>
    </row>
    <row r="22" spans="1:17" ht="15" x14ac:dyDescent="0.2">
      <c r="A22" s="16">
        <v>41944</v>
      </c>
      <c r="B22" s="10">
        <f>23.8478 * CHOOSE(CONTROL!$C$9, $D$9, 100%, $F$9) + CHOOSE(CONTROL!$C$27, 0.0021, 0)</f>
        <v>23.849899999999998</v>
      </c>
      <c r="C22" s="10">
        <f>23.4155 * CHOOSE(CONTROL!$C$9, $D$9, 100%, $F$9) + CHOOSE(CONTROL!$C$27, 0.0021, 0)</f>
        <v>23.4176</v>
      </c>
      <c r="D22" s="10">
        <f>23.4155 * CHOOSE(CONTROL!$C$9, $D$9, 100%, $F$9) + CHOOSE(CONTROL!$C$27, 0.0021, 0)</f>
        <v>23.4176</v>
      </c>
      <c r="E22" s="10">
        <f>23.2789 * CHOOSE(CONTROL!$C$9, $D$9, 100%, $F$9) + CHOOSE(CONTROL!$C$27, 0.0021, 0)</f>
        <v>23.280999999999999</v>
      </c>
      <c r="F22" s="10">
        <f>23.2789 * CHOOSE(CONTROL!$C$9, $D$9, 100%, $F$9) + CHOOSE(CONTROL!$C$27, 0.0021, 0)</f>
        <v>23.280999999999999</v>
      </c>
      <c r="G22" s="10">
        <f>23.5503 * CHOOSE(CONTROL!$C$9, $D$9, 100%, $F$9) + CHOOSE(CONTROL!$C$27, 0.0021, 0)</f>
        <v>23.552399999999999</v>
      </c>
      <c r="H22" s="10">
        <f>23.4155 * CHOOSE(CONTROL!$C$9, $D$9, 100%, $F$9) + CHOOSE(CONTROL!$C$27, 0.0021, 0)</f>
        <v>23.4176</v>
      </c>
      <c r="I22" s="10">
        <f>23.4155 * CHOOSE(CONTROL!$C$9, $D$9, 100%, $F$9) + CHOOSE(CONTROL!$C$27, 0.0021, 0)</f>
        <v>23.4176</v>
      </c>
      <c r="J22" s="10">
        <f>23.0553 * CHOOSE(CONTROL!$C$9, $D$9, 100%, $F$9) + CHOOSE(CONTROL!$C$27, 0.0021, 0)</f>
        <v>23.057399999999998</v>
      </c>
      <c r="K22" s="10">
        <f>23.4155 * CHOOSE(CONTROL!$C$9, $D$9, 100%, $F$9) + CHOOSE(CONTROL!$C$27, 0.0021, 0)</f>
        <v>23.4176</v>
      </c>
      <c r="L22" s="10"/>
      <c r="M22" s="17"/>
      <c r="N22" s="17"/>
      <c r="O22" s="17"/>
      <c r="P22" s="17"/>
      <c r="Q22" s="17"/>
    </row>
    <row r="23" spans="1:17" ht="15" x14ac:dyDescent="0.2">
      <c r="A23" s="16">
        <v>41974</v>
      </c>
      <c r="B23" s="10">
        <f>23.8017 * CHOOSE(CONTROL!$C$9, $D$9, 100%, $F$9) + CHOOSE(CONTROL!$C$27, 0.0021, 0)</f>
        <v>23.803799999999999</v>
      </c>
      <c r="C23" s="10">
        <f>23.3694 * CHOOSE(CONTROL!$C$9, $D$9, 100%, $F$9) + CHOOSE(CONTROL!$C$27, 0.0021, 0)</f>
        <v>23.371499999999997</v>
      </c>
      <c r="D23" s="10">
        <f>23.3694 * CHOOSE(CONTROL!$C$9, $D$9, 100%, $F$9) + CHOOSE(CONTROL!$C$27, 0.0021, 0)</f>
        <v>23.371499999999997</v>
      </c>
      <c r="E23" s="10">
        <f>23.2328 * CHOOSE(CONTROL!$C$9, $D$9, 100%, $F$9) + CHOOSE(CONTROL!$C$27, 0.0021, 0)</f>
        <v>23.2349</v>
      </c>
      <c r="F23" s="10">
        <f>23.2328 * CHOOSE(CONTROL!$C$9, $D$9, 100%, $F$9) + CHOOSE(CONTROL!$C$27, 0.0021, 0)</f>
        <v>23.2349</v>
      </c>
      <c r="G23" s="10">
        <f>23.5042 * CHOOSE(CONTROL!$C$9, $D$9, 100%, $F$9) + CHOOSE(CONTROL!$C$27, 0.0021, 0)</f>
        <v>23.5063</v>
      </c>
      <c r="H23" s="10">
        <f>23.3694 * CHOOSE(CONTROL!$C$9, $D$9, 100%, $F$9) + CHOOSE(CONTROL!$C$27, 0.0021, 0)</f>
        <v>23.371499999999997</v>
      </c>
      <c r="I23" s="10">
        <f>23.3694 * CHOOSE(CONTROL!$C$9, $D$9, 100%, $F$9) + CHOOSE(CONTROL!$C$27, 0.0021, 0)</f>
        <v>23.371499999999997</v>
      </c>
      <c r="J23" s="10">
        <f>23.0092 * CHOOSE(CONTROL!$C$9, $D$9, 100%, $F$9) + CHOOSE(CONTROL!$C$27, 0.0021, 0)</f>
        <v>23.011299999999999</v>
      </c>
      <c r="K23" s="10">
        <f>23.3694 * CHOOSE(CONTROL!$C$9, $D$9, 100%, $F$9) + CHOOSE(CONTROL!$C$27, 0.0021, 0)</f>
        <v>23.371499999999997</v>
      </c>
      <c r="L23" s="10"/>
      <c r="M23" s="17"/>
      <c r="N23" s="17"/>
      <c r="O23" s="17"/>
      <c r="P23" s="17"/>
      <c r="Q23" s="17"/>
    </row>
    <row r="24" spans="1:17" ht="15" x14ac:dyDescent="0.2">
      <c r="A24" s="16">
        <v>42005</v>
      </c>
      <c r="B24" s="10">
        <f>23.7419 * CHOOSE(CONTROL!$C$9, $D$9, 100%, $F$9) + CHOOSE(CONTROL!$C$27, 0.0021, 0)</f>
        <v>23.744</v>
      </c>
      <c r="C24" s="10">
        <f>23.3096 * CHOOSE(CONTROL!$C$9, $D$9, 100%, $F$9) + CHOOSE(CONTROL!$C$27, 0.0021, 0)</f>
        <v>23.311699999999998</v>
      </c>
      <c r="D24" s="10">
        <f>23.3096 * CHOOSE(CONTROL!$C$9, $D$9, 100%, $F$9) + CHOOSE(CONTROL!$C$27, 0.0021, 0)</f>
        <v>23.311699999999998</v>
      </c>
      <c r="E24" s="10">
        <f>23.173 * CHOOSE(CONTROL!$C$9, $D$9, 100%, $F$9) + CHOOSE(CONTROL!$C$27, 0.0021, 0)</f>
        <v>23.175099999999997</v>
      </c>
      <c r="F24" s="10">
        <f>23.173 * CHOOSE(CONTROL!$C$9, $D$9, 100%, $F$9) + CHOOSE(CONTROL!$C$27, 0.0021, 0)</f>
        <v>23.175099999999997</v>
      </c>
      <c r="G24" s="10">
        <f>23.4444 * CHOOSE(CONTROL!$C$9, $D$9, 100%, $F$9) + CHOOSE(CONTROL!$C$27, 0.0021, 0)</f>
        <v>23.4465</v>
      </c>
      <c r="H24" s="10">
        <f>23.3096 * CHOOSE(CONTROL!$C$9, $D$9, 100%, $F$9) + CHOOSE(CONTROL!$C$27, 0.0021, 0)</f>
        <v>23.311699999999998</v>
      </c>
      <c r="I24" s="10">
        <f>23.3096 * CHOOSE(CONTROL!$C$9, $D$9, 100%, $F$9) + CHOOSE(CONTROL!$C$27, 0.0021, 0)</f>
        <v>23.311699999999998</v>
      </c>
      <c r="J24" s="10">
        <f>22.9494 * CHOOSE(CONTROL!$C$9, $D$9, 100%, $F$9) + CHOOSE(CONTROL!$C$27, 0.0021, 0)</f>
        <v>22.951499999999999</v>
      </c>
      <c r="K24" s="10">
        <f>23.3096 * CHOOSE(CONTROL!$C$9, $D$9, 100%, $F$9) + CHOOSE(CONTROL!$C$27, 0.0021, 0)</f>
        <v>23.311699999999998</v>
      </c>
      <c r="L24" s="10"/>
      <c r="M24" s="17"/>
      <c r="N24" s="17"/>
      <c r="O24" s="17"/>
      <c r="P24" s="17"/>
      <c r="Q24" s="17"/>
    </row>
    <row r="25" spans="1:17" ht="15" x14ac:dyDescent="0.2">
      <c r="A25" s="16">
        <v>42036</v>
      </c>
      <c r="B25" s="10">
        <f>23.6295 * CHOOSE(CONTROL!$C$9, $D$9, 100%, $F$9) + CHOOSE(CONTROL!$C$27, 0.0021, 0)</f>
        <v>23.631599999999999</v>
      </c>
      <c r="C25" s="10">
        <f>23.1973 * CHOOSE(CONTROL!$C$9, $D$9, 100%, $F$9) + CHOOSE(CONTROL!$C$27, 0.0021, 0)</f>
        <v>23.199399999999997</v>
      </c>
      <c r="D25" s="10">
        <f>23.1973 * CHOOSE(CONTROL!$C$9, $D$9, 100%, $F$9) + CHOOSE(CONTROL!$C$27, 0.0021, 0)</f>
        <v>23.199399999999997</v>
      </c>
      <c r="E25" s="10">
        <f>23.0606 * CHOOSE(CONTROL!$C$9, $D$9, 100%, $F$9) + CHOOSE(CONTROL!$C$27, 0.0021, 0)</f>
        <v>23.0627</v>
      </c>
      <c r="F25" s="10">
        <f>23.0606 * CHOOSE(CONTROL!$C$9, $D$9, 100%, $F$9) + CHOOSE(CONTROL!$C$27, 0.0021, 0)</f>
        <v>23.0627</v>
      </c>
      <c r="G25" s="10">
        <f>23.332 * CHOOSE(CONTROL!$C$9, $D$9, 100%, $F$9) + CHOOSE(CONTROL!$C$27, 0.0021, 0)</f>
        <v>23.334099999999999</v>
      </c>
      <c r="H25" s="10">
        <f>23.1973 * CHOOSE(CONTROL!$C$9, $D$9, 100%, $F$9) + CHOOSE(CONTROL!$C$27, 0.0021, 0)</f>
        <v>23.199399999999997</v>
      </c>
      <c r="I25" s="10">
        <f>23.1973 * CHOOSE(CONTROL!$C$9, $D$9, 100%, $F$9) + CHOOSE(CONTROL!$C$27, 0.0021, 0)</f>
        <v>23.199399999999997</v>
      </c>
      <c r="J25" s="10">
        <f>22.837 * CHOOSE(CONTROL!$C$9, $D$9, 100%, $F$9) + CHOOSE(CONTROL!$C$27, 0.0021, 0)</f>
        <v>22.839099999999998</v>
      </c>
      <c r="K25" s="10">
        <f>23.1973 * CHOOSE(CONTROL!$C$9, $D$9, 100%, $F$9) + CHOOSE(CONTROL!$C$27, 0.0021, 0)</f>
        <v>23.199399999999997</v>
      </c>
      <c r="L25" s="10"/>
      <c r="M25" s="17"/>
      <c r="N25" s="17"/>
      <c r="O25" s="17"/>
      <c r="P25" s="17"/>
      <c r="Q25" s="17"/>
    </row>
    <row r="26" spans="1:17" ht="15" x14ac:dyDescent="0.2">
      <c r="A26" s="16">
        <v>42064</v>
      </c>
      <c r="B26" s="10">
        <f>23.4847 * CHOOSE(CONTROL!$C$9, $D$9, 100%, $F$9) + CHOOSE(CONTROL!$C$27, 0.0021, 0)</f>
        <v>23.486799999999999</v>
      </c>
      <c r="C26" s="10">
        <f>23.0525 * CHOOSE(CONTROL!$C$9, $D$9, 100%, $F$9) + CHOOSE(CONTROL!$C$27, 0.0021, 0)</f>
        <v>23.054599999999997</v>
      </c>
      <c r="D26" s="10">
        <f>23.0525 * CHOOSE(CONTROL!$C$9, $D$9, 100%, $F$9) + CHOOSE(CONTROL!$C$27, 0.0021, 0)</f>
        <v>23.054599999999997</v>
      </c>
      <c r="E26" s="10">
        <f>22.9158 * CHOOSE(CONTROL!$C$9, $D$9, 100%, $F$9) + CHOOSE(CONTROL!$C$27, 0.0021, 0)</f>
        <v>22.917899999999999</v>
      </c>
      <c r="F26" s="10">
        <f>22.9158 * CHOOSE(CONTROL!$C$9, $D$9, 100%, $F$9) + CHOOSE(CONTROL!$C$27, 0.0021, 0)</f>
        <v>22.917899999999999</v>
      </c>
      <c r="G26" s="10">
        <f>23.1872 * CHOOSE(CONTROL!$C$9, $D$9, 100%, $F$9) + CHOOSE(CONTROL!$C$27, 0.0021, 0)</f>
        <v>23.189299999999999</v>
      </c>
      <c r="H26" s="10">
        <f>23.0525 * CHOOSE(CONTROL!$C$9, $D$9, 100%, $F$9) + CHOOSE(CONTROL!$C$27, 0.0021, 0)</f>
        <v>23.054599999999997</v>
      </c>
      <c r="I26" s="10">
        <f>23.0525 * CHOOSE(CONTROL!$C$9, $D$9, 100%, $F$9) + CHOOSE(CONTROL!$C$27, 0.0021, 0)</f>
        <v>23.054599999999997</v>
      </c>
      <c r="J26" s="10">
        <f>22.6922 * CHOOSE(CONTROL!$C$9, $D$9, 100%, $F$9) + CHOOSE(CONTROL!$C$27, 0.0021, 0)</f>
        <v>22.694299999999998</v>
      </c>
      <c r="K26" s="10">
        <f>23.0525 * CHOOSE(CONTROL!$C$9, $D$9, 100%, $F$9) + CHOOSE(CONTROL!$C$27, 0.0021, 0)</f>
        <v>23.054599999999997</v>
      </c>
      <c r="L26" s="10"/>
      <c r="M26" s="17"/>
      <c r="N26" s="17"/>
      <c r="O26" s="17"/>
      <c r="P26" s="17"/>
      <c r="Q26" s="17"/>
    </row>
    <row r="27" spans="1:17" ht="15" x14ac:dyDescent="0.2">
      <c r="A27" s="16">
        <v>42095</v>
      </c>
      <c r="B27" s="10">
        <f>23.337 * CHOOSE(CONTROL!$C$9, $D$9, 100%, $F$9) + CHOOSE(CONTROL!$C$27, 0.0021, 0)</f>
        <v>23.339099999999998</v>
      </c>
      <c r="C27" s="10">
        <f>22.9048 * CHOOSE(CONTROL!$C$9, $D$9, 100%, $F$9) + CHOOSE(CONTROL!$C$27, 0.0021, 0)</f>
        <v>22.9069</v>
      </c>
      <c r="D27" s="10">
        <f>22.9048 * CHOOSE(CONTROL!$C$9, $D$9, 100%, $F$9) + CHOOSE(CONTROL!$C$27, 0.0021, 0)</f>
        <v>22.9069</v>
      </c>
      <c r="E27" s="10">
        <f>22.7681 * CHOOSE(CONTROL!$C$9, $D$9, 100%, $F$9) + CHOOSE(CONTROL!$C$27, 0.0021, 0)</f>
        <v>22.770199999999999</v>
      </c>
      <c r="F27" s="10">
        <f>22.7681 * CHOOSE(CONTROL!$C$9, $D$9, 100%, $F$9) + CHOOSE(CONTROL!$C$27, 0.0021, 0)</f>
        <v>22.770199999999999</v>
      </c>
      <c r="G27" s="10">
        <f>23.0395 * CHOOSE(CONTROL!$C$9, $D$9, 100%, $F$9) + CHOOSE(CONTROL!$C$27, 0.0021, 0)</f>
        <v>23.041599999999999</v>
      </c>
      <c r="H27" s="10">
        <f>22.9048 * CHOOSE(CONTROL!$C$9, $D$9, 100%, $F$9) + CHOOSE(CONTROL!$C$27, 0.0021, 0)</f>
        <v>22.9069</v>
      </c>
      <c r="I27" s="10">
        <f>22.9048 * CHOOSE(CONTROL!$C$9, $D$9, 100%, $F$9) + CHOOSE(CONTROL!$C$27, 0.0021, 0)</f>
        <v>22.9069</v>
      </c>
      <c r="J27" s="10">
        <f>22.5446 * CHOOSE(CONTROL!$C$9, $D$9, 100%, $F$9) + CHOOSE(CONTROL!$C$27, 0.0021, 0)</f>
        <v>22.546699999999998</v>
      </c>
      <c r="K27" s="10">
        <f>22.9048 * CHOOSE(CONTROL!$C$9, $D$9, 100%, $F$9) + CHOOSE(CONTROL!$C$27, 0.0021, 0)</f>
        <v>22.9069</v>
      </c>
      <c r="L27" s="10"/>
      <c r="M27" s="17"/>
      <c r="N27" s="17"/>
      <c r="O27" s="17"/>
      <c r="P27" s="17"/>
      <c r="Q27" s="17"/>
    </row>
    <row r="28" spans="1:17" ht="15" x14ac:dyDescent="0.2">
      <c r="A28" s="16">
        <v>42125</v>
      </c>
      <c r="B28" s="10">
        <f>23.1922 * CHOOSE(CONTROL!$C$9, $D$9, 100%, $F$9) + CHOOSE(CONTROL!$C$27, 0.0021, 0)</f>
        <v>23.194299999999998</v>
      </c>
      <c r="C28" s="10">
        <f>22.76 * CHOOSE(CONTROL!$C$9, $D$9, 100%, $F$9) + CHOOSE(CONTROL!$C$27, 0.0021, 0)</f>
        <v>22.7621</v>
      </c>
      <c r="D28" s="10">
        <f>22.76 * CHOOSE(CONTROL!$C$9, $D$9, 100%, $F$9) + CHOOSE(CONTROL!$C$27, 0.0021, 0)</f>
        <v>22.7621</v>
      </c>
      <c r="E28" s="10">
        <f>22.6233 * CHOOSE(CONTROL!$C$9, $D$9, 100%, $F$9) + CHOOSE(CONTROL!$C$27, 0.0021, 0)</f>
        <v>22.625399999999999</v>
      </c>
      <c r="F28" s="10">
        <f>22.6233 * CHOOSE(CONTROL!$C$9, $D$9, 100%, $F$9) + CHOOSE(CONTROL!$C$27, 0.0021, 0)</f>
        <v>22.625399999999999</v>
      </c>
      <c r="G28" s="10">
        <f>22.8947 * CHOOSE(CONTROL!$C$9, $D$9, 100%, $F$9) + CHOOSE(CONTROL!$C$27, 0.0021, 0)</f>
        <v>22.896799999999999</v>
      </c>
      <c r="H28" s="10">
        <f>22.76 * CHOOSE(CONTROL!$C$9, $D$9, 100%, $F$9) + CHOOSE(CONTROL!$C$27, 0.0021, 0)</f>
        <v>22.7621</v>
      </c>
      <c r="I28" s="10">
        <f>22.76 * CHOOSE(CONTROL!$C$9, $D$9, 100%, $F$9) + CHOOSE(CONTROL!$C$27, 0.0021, 0)</f>
        <v>22.7621</v>
      </c>
      <c r="J28" s="10">
        <f>22.3998 * CHOOSE(CONTROL!$C$9, $D$9, 100%, $F$9) + CHOOSE(CONTROL!$C$27, 0.0021, 0)</f>
        <v>22.401899999999998</v>
      </c>
      <c r="K28" s="10">
        <f>22.76 * CHOOSE(CONTROL!$C$9, $D$9, 100%, $F$9) + CHOOSE(CONTROL!$C$27, 0.0021, 0)</f>
        <v>22.7621</v>
      </c>
      <c r="L28" s="10"/>
      <c r="M28" s="17"/>
      <c r="N28" s="17"/>
      <c r="O28" s="17"/>
      <c r="P28" s="17"/>
      <c r="Q28" s="17"/>
    </row>
    <row r="29" spans="1:17" ht="15" x14ac:dyDescent="0.2">
      <c r="A29" s="16">
        <v>42156</v>
      </c>
      <c r="B29" s="10">
        <f>23.0604 * CHOOSE(CONTROL!$C$9, $D$9, 100%, $F$9) + CHOOSE(CONTROL!$C$27, 0.0021, 0)</f>
        <v>23.0625</v>
      </c>
      <c r="C29" s="10">
        <f>22.6281 * CHOOSE(CONTROL!$C$9, $D$9, 100%, $F$9) + CHOOSE(CONTROL!$C$27, 0.0021, 0)</f>
        <v>22.630199999999999</v>
      </c>
      <c r="D29" s="10">
        <f>22.6281 * CHOOSE(CONTROL!$C$9, $D$9, 100%, $F$9) + CHOOSE(CONTROL!$C$27, 0.0021, 0)</f>
        <v>22.630199999999999</v>
      </c>
      <c r="E29" s="10">
        <f>22.4915 * CHOOSE(CONTROL!$C$9, $D$9, 100%, $F$9) + CHOOSE(CONTROL!$C$27, 0.0021, 0)</f>
        <v>22.493599999999997</v>
      </c>
      <c r="F29" s="10">
        <f>22.4915 * CHOOSE(CONTROL!$C$9, $D$9, 100%, $F$9) + CHOOSE(CONTROL!$C$27, 0.0021, 0)</f>
        <v>22.493599999999997</v>
      </c>
      <c r="G29" s="10">
        <f>22.7628 * CHOOSE(CONTROL!$C$9, $D$9, 100%, $F$9) + CHOOSE(CONTROL!$C$27, 0.0021, 0)</f>
        <v>22.764899999999997</v>
      </c>
      <c r="H29" s="10">
        <f>22.6281 * CHOOSE(CONTROL!$C$9, $D$9, 100%, $F$9) + CHOOSE(CONTROL!$C$27, 0.0021, 0)</f>
        <v>22.630199999999999</v>
      </c>
      <c r="I29" s="10">
        <f>22.6281 * CHOOSE(CONTROL!$C$9, $D$9, 100%, $F$9) + CHOOSE(CONTROL!$C$27, 0.0021, 0)</f>
        <v>22.630199999999999</v>
      </c>
      <c r="J29" s="10">
        <f>22.2679 * CHOOSE(CONTROL!$C$9, $D$9, 100%, $F$9) + CHOOSE(CONTROL!$C$27, 0.0021, 0)</f>
        <v>22.27</v>
      </c>
      <c r="K29" s="10">
        <f>22.6281 * CHOOSE(CONTROL!$C$9, $D$9, 100%, $F$9) + CHOOSE(CONTROL!$C$27, 0.0021, 0)</f>
        <v>22.630199999999999</v>
      </c>
      <c r="L29" s="10"/>
      <c r="M29" s="17"/>
      <c r="N29" s="17"/>
      <c r="O29" s="17"/>
      <c r="P29" s="17"/>
      <c r="Q29" s="17"/>
    </row>
    <row r="30" spans="1:17" ht="15" x14ac:dyDescent="0.2">
      <c r="A30" s="16">
        <v>42186</v>
      </c>
      <c r="B30" s="10">
        <f>22.9912 * CHOOSE(CONTROL!$C$9, $D$9, 100%, $F$9) + CHOOSE(CONTROL!$C$27, 0.0021, 0)</f>
        <v>22.993299999999998</v>
      </c>
      <c r="C30" s="10">
        <f>22.559 * CHOOSE(CONTROL!$C$9, $D$9, 100%, $F$9) + CHOOSE(CONTROL!$C$27, 0.0021, 0)</f>
        <v>22.5611</v>
      </c>
      <c r="D30" s="10">
        <f>22.559 * CHOOSE(CONTROL!$C$9, $D$9, 100%, $F$9) + CHOOSE(CONTROL!$C$27, 0.0021, 0)</f>
        <v>22.5611</v>
      </c>
      <c r="E30" s="10">
        <f>22.4223 * CHOOSE(CONTROL!$C$9, $D$9, 100%, $F$9) + CHOOSE(CONTROL!$C$27, 0.0021, 0)</f>
        <v>22.424399999999999</v>
      </c>
      <c r="F30" s="10">
        <f>22.4223 * CHOOSE(CONTROL!$C$9, $D$9, 100%, $F$9) + CHOOSE(CONTROL!$C$27, 0.0021, 0)</f>
        <v>22.424399999999999</v>
      </c>
      <c r="G30" s="10">
        <f>22.6937 * CHOOSE(CONTROL!$C$9, $D$9, 100%, $F$9) + CHOOSE(CONTROL!$C$27, 0.0021, 0)</f>
        <v>22.695799999999998</v>
      </c>
      <c r="H30" s="10">
        <f>22.559 * CHOOSE(CONTROL!$C$9, $D$9, 100%, $F$9) + CHOOSE(CONTROL!$C$27, 0.0021, 0)</f>
        <v>22.5611</v>
      </c>
      <c r="I30" s="10">
        <f>22.559 * CHOOSE(CONTROL!$C$9, $D$9, 100%, $F$9) + CHOOSE(CONTROL!$C$27, 0.0021, 0)</f>
        <v>22.5611</v>
      </c>
      <c r="J30" s="10">
        <f>22.1988 * CHOOSE(CONTROL!$C$9, $D$9, 100%, $F$9) + CHOOSE(CONTROL!$C$27, 0.0021, 0)</f>
        <v>22.200899999999997</v>
      </c>
      <c r="K30" s="10">
        <f>22.559 * CHOOSE(CONTROL!$C$9, $D$9, 100%, $F$9) + CHOOSE(CONTROL!$C$27, 0.0021, 0)</f>
        <v>22.5611</v>
      </c>
      <c r="L30" s="10"/>
      <c r="M30" s="17"/>
      <c r="N30" s="17"/>
      <c r="O30" s="17"/>
      <c r="P30" s="17"/>
      <c r="Q30" s="17"/>
    </row>
    <row r="31" spans="1:17" ht="15" x14ac:dyDescent="0.2">
      <c r="A31" s="16">
        <v>42217</v>
      </c>
      <c r="B31" s="10">
        <f>22.9372 * CHOOSE(CONTROL!$C$9, $D$9, 100%, $F$9) + CHOOSE(CONTROL!$C$27, 0.0021, 0)</f>
        <v>22.939299999999999</v>
      </c>
      <c r="C31" s="10">
        <f>22.5049 * CHOOSE(CONTROL!$C$9, $D$9, 100%, $F$9) + CHOOSE(CONTROL!$C$27, 0.0021, 0)</f>
        <v>22.506999999999998</v>
      </c>
      <c r="D31" s="10">
        <f>22.5049 * CHOOSE(CONTROL!$C$9, $D$9, 100%, $F$9) + CHOOSE(CONTROL!$C$27, 0.0021, 0)</f>
        <v>22.506999999999998</v>
      </c>
      <c r="E31" s="10">
        <f>22.3683 * CHOOSE(CONTROL!$C$9, $D$9, 100%, $F$9) + CHOOSE(CONTROL!$C$27, 0.0021, 0)</f>
        <v>22.3704</v>
      </c>
      <c r="F31" s="10">
        <f>22.3683 * CHOOSE(CONTROL!$C$9, $D$9, 100%, $F$9) + CHOOSE(CONTROL!$C$27, 0.0021, 0)</f>
        <v>22.3704</v>
      </c>
      <c r="G31" s="10">
        <f>22.6397 * CHOOSE(CONTROL!$C$9, $D$9, 100%, $F$9) + CHOOSE(CONTROL!$C$27, 0.0021, 0)</f>
        <v>22.6418</v>
      </c>
      <c r="H31" s="10">
        <f>22.5049 * CHOOSE(CONTROL!$C$9, $D$9, 100%, $F$9) + CHOOSE(CONTROL!$C$27, 0.0021, 0)</f>
        <v>22.506999999999998</v>
      </c>
      <c r="I31" s="10">
        <f>22.5049 * CHOOSE(CONTROL!$C$9, $D$9, 100%, $F$9) + CHOOSE(CONTROL!$C$27, 0.0021, 0)</f>
        <v>22.506999999999998</v>
      </c>
      <c r="J31" s="10">
        <f>22.1447 * CHOOSE(CONTROL!$C$9, $D$9, 100%, $F$9) + CHOOSE(CONTROL!$C$27, 0.0021, 0)</f>
        <v>22.146799999999999</v>
      </c>
      <c r="K31" s="10">
        <f>22.5049 * CHOOSE(CONTROL!$C$9, $D$9, 100%, $F$9) + CHOOSE(CONTROL!$C$27, 0.0021, 0)</f>
        <v>22.506999999999998</v>
      </c>
      <c r="L31" s="10"/>
      <c r="M31" s="17"/>
      <c r="N31" s="17"/>
      <c r="O31" s="17"/>
      <c r="P31" s="17"/>
      <c r="Q31" s="17"/>
    </row>
    <row r="32" spans="1:17" ht="15" x14ac:dyDescent="0.2">
      <c r="A32" s="16">
        <v>42248</v>
      </c>
      <c r="B32" s="10">
        <f>22.8832 * CHOOSE(CONTROL!$C$9, $D$9, 100%, $F$9) + CHOOSE(CONTROL!$C$27, 0.0021, 0)</f>
        <v>22.885299999999997</v>
      </c>
      <c r="C32" s="10">
        <f>22.4509 * CHOOSE(CONTROL!$C$9, $D$9, 100%, $F$9) + CHOOSE(CONTROL!$C$27, 0.0021, 0)</f>
        <v>22.452999999999999</v>
      </c>
      <c r="D32" s="10">
        <f>22.4509 * CHOOSE(CONTROL!$C$9, $D$9, 100%, $F$9) + CHOOSE(CONTROL!$C$27, 0.0021, 0)</f>
        <v>22.452999999999999</v>
      </c>
      <c r="E32" s="10">
        <f>22.3143 * CHOOSE(CONTROL!$C$9, $D$9, 100%, $F$9) + CHOOSE(CONTROL!$C$27, 0.0021, 0)</f>
        <v>22.316399999999998</v>
      </c>
      <c r="F32" s="10">
        <f>22.3143 * CHOOSE(CONTROL!$C$9, $D$9, 100%, $F$9) + CHOOSE(CONTROL!$C$27, 0.0021, 0)</f>
        <v>22.316399999999998</v>
      </c>
      <c r="G32" s="10">
        <f>22.5856 * CHOOSE(CONTROL!$C$9, $D$9, 100%, $F$9) + CHOOSE(CONTROL!$C$27, 0.0021, 0)</f>
        <v>22.587699999999998</v>
      </c>
      <c r="H32" s="10">
        <f>22.4509 * CHOOSE(CONTROL!$C$9, $D$9, 100%, $F$9) + CHOOSE(CONTROL!$C$27, 0.0021, 0)</f>
        <v>22.452999999999999</v>
      </c>
      <c r="I32" s="10">
        <f>22.4509 * CHOOSE(CONTROL!$C$9, $D$9, 100%, $F$9) + CHOOSE(CONTROL!$C$27, 0.0021, 0)</f>
        <v>22.452999999999999</v>
      </c>
      <c r="J32" s="10">
        <f>22.0907 * CHOOSE(CONTROL!$C$9, $D$9, 100%, $F$9) + CHOOSE(CONTROL!$C$27, 0.0021, 0)</f>
        <v>22.092799999999997</v>
      </c>
      <c r="K32" s="10">
        <f>22.4509 * CHOOSE(CONTROL!$C$9, $D$9, 100%, $F$9) + CHOOSE(CONTROL!$C$27, 0.0021, 0)</f>
        <v>22.452999999999999</v>
      </c>
      <c r="L32" s="10"/>
      <c r="M32" s="17"/>
      <c r="N32" s="17"/>
      <c r="O32" s="17"/>
      <c r="P32" s="17"/>
      <c r="Q32" s="17"/>
    </row>
    <row r="33" spans="1:17" ht="15" x14ac:dyDescent="0.2">
      <c r="A33" s="16">
        <v>42278</v>
      </c>
      <c r="B33" s="10">
        <f>22.8291 * CHOOSE(CONTROL!$C$9, $D$9, 100%, $F$9) + CHOOSE(CONTROL!$C$27, 0.0021, 0)</f>
        <v>22.831199999999999</v>
      </c>
      <c r="C33" s="10">
        <f>22.3969 * CHOOSE(CONTROL!$C$9, $D$9, 100%, $F$9) + CHOOSE(CONTROL!$C$27, 0.0021, 0)</f>
        <v>22.398999999999997</v>
      </c>
      <c r="D33" s="10">
        <f>22.3969 * CHOOSE(CONTROL!$C$9, $D$9, 100%, $F$9) + CHOOSE(CONTROL!$C$27, 0.0021, 0)</f>
        <v>22.398999999999997</v>
      </c>
      <c r="E33" s="10">
        <f>22.2602 * CHOOSE(CONTROL!$C$9, $D$9, 100%, $F$9) + CHOOSE(CONTROL!$C$27, 0.0021, 0)</f>
        <v>22.2623</v>
      </c>
      <c r="F33" s="10">
        <f>22.2602 * CHOOSE(CONTROL!$C$9, $D$9, 100%, $F$9) + CHOOSE(CONTROL!$C$27, 0.0021, 0)</f>
        <v>22.2623</v>
      </c>
      <c r="G33" s="10">
        <f>22.5316 * CHOOSE(CONTROL!$C$9, $D$9, 100%, $F$9) + CHOOSE(CONTROL!$C$27, 0.0021, 0)</f>
        <v>22.5337</v>
      </c>
      <c r="H33" s="10">
        <f>22.3969 * CHOOSE(CONTROL!$C$9, $D$9, 100%, $F$9) + CHOOSE(CONTROL!$C$27, 0.0021, 0)</f>
        <v>22.398999999999997</v>
      </c>
      <c r="I33" s="10">
        <f>22.3969 * CHOOSE(CONTROL!$C$9, $D$9, 100%, $F$9) + CHOOSE(CONTROL!$C$27, 0.0021, 0)</f>
        <v>22.398999999999997</v>
      </c>
      <c r="J33" s="10">
        <f>22.0367 * CHOOSE(CONTROL!$C$9, $D$9, 100%, $F$9) + CHOOSE(CONTROL!$C$27, 0.0021, 0)</f>
        <v>22.038799999999998</v>
      </c>
      <c r="K33" s="10">
        <f>22.3969 * CHOOSE(CONTROL!$C$9, $D$9, 100%, $F$9) + CHOOSE(CONTROL!$C$27, 0.0021, 0)</f>
        <v>22.398999999999997</v>
      </c>
      <c r="L33" s="10"/>
      <c r="M33" s="17"/>
      <c r="N33" s="17"/>
      <c r="O33" s="17"/>
      <c r="P33" s="17"/>
      <c r="Q33" s="17"/>
    </row>
    <row r="34" spans="1:17" ht="15" x14ac:dyDescent="0.2">
      <c r="A34" s="16">
        <v>42309</v>
      </c>
      <c r="B34" s="10">
        <f>22.7715 * CHOOSE(CONTROL!$C$9, $D$9, 100%, $F$9) + CHOOSE(CONTROL!$C$27, 0.0021, 0)</f>
        <v>22.773599999999998</v>
      </c>
      <c r="C34" s="10">
        <f>22.3392 * CHOOSE(CONTROL!$C$9, $D$9, 100%, $F$9) + CHOOSE(CONTROL!$C$27, 0.0021, 0)</f>
        <v>22.3413</v>
      </c>
      <c r="D34" s="10">
        <f>22.3392 * CHOOSE(CONTROL!$C$9, $D$9, 100%, $F$9) + CHOOSE(CONTROL!$C$27, 0.0021, 0)</f>
        <v>22.3413</v>
      </c>
      <c r="E34" s="10">
        <f>22.2026 * CHOOSE(CONTROL!$C$9, $D$9, 100%, $F$9) + CHOOSE(CONTROL!$C$27, 0.0021, 0)</f>
        <v>22.204699999999999</v>
      </c>
      <c r="F34" s="10">
        <f>22.2026 * CHOOSE(CONTROL!$C$9, $D$9, 100%, $F$9) + CHOOSE(CONTROL!$C$27, 0.0021, 0)</f>
        <v>22.204699999999999</v>
      </c>
      <c r="G34" s="10">
        <f>22.474 * CHOOSE(CONTROL!$C$9, $D$9, 100%, $F$9) + CHOOSE(CONTROL!$C$27, 0.0021, 0)</f>
        <v>22.476099999999999</v>
      </c>
      <c r="H34" s="10">
        <f>22.3392 * CHOOSE(CONTROL!$C$9, $D$9, 100%, $F$9) + CHOOSE(CONTROL!$C$27, 0.0021, 0)</f>
        <v>22.3413</v>
      </c>
      <c r="I34" s="10">
        <f>22.3392 * CHOOSE(CONTROL!$C$9, $D$9, 100%, $F$9) + CHOOSE(CONTROL!$C$27, 0.0021, 0)</f>
        <v>22.3413</v>
      </c>
      <c r="J34" s="10">
        <f>21.979 * CHOOSE(CONTROL!$C$9, $D$9, 100%, $F$9) + CHOOSE(CONTROL!$C$27, 0.0021, 0)</f>
        <v>21.981099999999998</v>
      </c>
      <c r="K34" s="10">
        <f>22.3392 * CHOOSE(CONTROL!$C$9, $D$9, 100%, $F$9) + CHOOSE(CONTROL!$C$27, 0.0021, 0)</f>
        <v>22.3413</v>
      </c>
      <c r="L34" s="10"/>
      <c r="M34" s="17"/>
      <c r="N34" s="17"/>
      <c r="O34" s="17"/>
      <c r="P34" s="17"/>
      <c r="Q34" s="17"/>
    </row>
    <row r="35" spans="1:17" ht="15" x14ac:dyDescent="0.2">
      <c r="A35" s="16">
        <v>42339</v>
      </c>
      <c r="B35" s="10">
        <f>22.7103 * CHOOSE(CONTROL!$C$9, $D$9, 100%, $F$9) + CHOOSE(CONTROL!$C$27, 0.0021, 0)</f>
        <v>22.712399999999999</v>
      </c>
      <c r="C35" s="10">
        <f>22.278 * CHOOSE(CONTROL!$C$9, $D$9, 100%, $F$9) + CHOOSE(CONTROL!$C$27, 0.0021, 0)</f>
        <v>22.280099999999997</v>
      </c>
      <c r="D35" s="10">
        <f>22.278 * CHOOSE(CONTROL!$C$9, $D$9, 100%, $F$9) + CHOOSE(CONTROL!$C$27, 0.0021, 0)</f>
        <v>22.280099999999997</v>
      </c>
      <c r="E35" s="10">
        <f>22.1414 * CHOOSE(CONTROL!$C$9, $D$9, 100%, $F$9) + CHOOSE(CONTROL!$C$27, 0.0021, 0)</f>
        <v>22.1435</v>
      </c>
      <c r="F35" s="10">
        <f>22.1414 * CHOOSE(CONTROL!$C$9, $D$9, 100%, $F$9) + CHOOSE(CONTROL!$C$27, 0.0021, 0)</f>
        <v>22.1435</v>
      </c>
      <c r="G35" s="10">
        <f>22.4127 * CHOOSE(CONTROL!$C$9, $D$9, 100%, $F$9) + CHOOSE(CONTROL!$C$27, 0.0021, 0)</f>
        <v>22.4148</v>
      </c>
      <c r="H35" s="10">
        <f>22.278 * CHOOSE(CONTROL!$C$9, $D$9, 100%, $F$9) + CHOOSE(CONTROL!$C$27, 0.0021, 0)</f>
        <v>22.280099999999997</v>
      </c>
      <c r="I35" s="10">
        <f>22.278 * CHOOSE(CONTROL!$C$9, $D$9, 100%, $F$9) + CHOOSE(CONTROL!$C$27, 0.0021, 0)</f>
        <v>22.280099999999997</v>
      </c>
      <c r="J35" s="10">
        <f>21.9178 * CHOOSE(CONTROL!$C$9, $D$9, 100%, $F$9) + CHOOSE(CONTROL!$C$27, 0.0021, 0)</f>
        <v>21.919899999999998</v>
      </c>
      <c r="K35" s="10">
        <f>22.278 * CHOOSE(CONTROL!$C$9, $D$9, 100%, $F$9) + CHOOSE(CONTROL!$C$27, 0.0021, 0)</f>
        <v>22.280099999999997</v>
      </c>
      <c r="L35" s="10"/>
      <c r="M35" s="17"/>
      <c r="N35" s="17"/>
      <c r="O35" s="17"/>
      <c r="P35" s="17"/>
      <c r="Q35" s="17"/>
    </row>
    <row r="36" spans="1:17" ht="15" x14ac:dyDescent="0.2">
      <c r="A36" s="16">
        <v>42370</v>
      </c>
      <c r="B36" s="10">
        <f>22.6706 * CHOOSE(CONTROL!$C$9, $D$9, 100%, $F$9) + CHOOSE(CONTROL!$C$27, 0.0021, 0)</f>
        <v>22.672699999999999</v>
      </c>
      <c r="C36" s="10">
        <f>22.2384 * CHOOSE(CONTROL!$C$9, $D$9, 100%, $F$9) + CHOOSE(CONTROL!$C$27, 0.0021, 0)</f>
        <v>22.240499999999997</v>
      </c>
      <c r="D36" s="10">
        <f>22.2384 * CHOOSE(CONTROL!$C$9, $D$9, 100%, $F$9) + CHOOSE(CONTROL!$C$27, 0.0021, 0)</f>
        <v>22.240499999999997</v>
      </c>
      <c r="E36" s="10">
        <f>22.1017 * CHOOSE(CONTROL!$C$9, $D$9, 100%, $F$9) + CHOOSE(CONTROL!$C$27, 0.0021, 0)</f>
        <v>22.1038</v>
      </c>
      <c r="F36" s="10">
        <f>22.1017 * CHOOSE(CONTROL!$C$9, $D$9, 100%, $F$9) + CHOOSE(CONTROL!$C$27, 0.0021, 0)</f>
        <v>22.1038</v>
      </c>
      <c r="G36" s="10">
        <f>22.3731 * CHOOSE(CONTROL!$C$9, $D$9, 100%, $F$9) + CHOOSE(CONTROL!$C$27, 0.0021, 0)</f>
        <v>22.3752</v>
      </c>
      <c r="H36" s="10">
        <f>22.2384 * CHOOSE(CONTROL!$C$9, $D$9, 100%, $F$9) + CHOOSE(CONTROL!$C$27, 0.0021, 0)</f>
        <v>22.240499999999997</v>
      </c>
      <c r="I36" s="10">
        <f>22.2384 * CHOOSE(CONTROL!$C$9, $D$9, 100%, $F$9) + CHOOSE(CONTROL!$C$27, 0.0021, 0)</f>
        <v>22.240499999999997</v>
      </c>
      <c r="J36" s="10">
        <f>22.2384 * CHOOSE(CONTROL!$C$9, $D$9, 100%, $F$9) + CHOOSE(CONTROL!$C$27, 0.0021, 0)</f>
        <v>22.240499999999997</v>
      </c>
      <c r="K36" s="10">
        <f>22.2384 * CHOOSE(CONTROL!$C$9, $D$9, 100%, $F$9) + CHOOSE(CONTROL!$C$27, 0.0021, 0)</f>
        <v>22.240499999999997</v>
      </c>
      <c r="L36" s="10"/>
    </row>
    <row r="37" spans="1:17" ht="15" x14ac:dyDescent="0.2">
      <c r="A37" s="16">
        <v>42401</v>
      </c>
      <c r="B37" s="10">
        <f>22.6022 * CHOOSE(CONTROL!$C$9, $D$9, 100%, $F$9) + CHOOSE(CONTROL!$C$27, 0.0021, 0)</f>
        <v>22.604299999999999</v>
      </c>
      <c r="C37" s="10">
        <f>22.1699 * CHOOSE(CONTROL!$C$9, $D$9, 100%, $F$9) + CHOOSE(CONTROL!$C$27, 0.0021, 0)</f>
        <v>22.171999999999997</v>
      </c>
      <c r="D37" s="10">
        <f>22.1699 * CHOOSE(CONTROL!$C$9, $D$9, 100%, $F$9) + CHOOSE(CONTROL!$C$27, 0.0021, 0)</f>
        <v>22.171999999999997</v>
      </c>
      <c r="E37" s="10">
        <f>22.0333 * CHOOSE(CONTROL!$C$9, $D$9, 100%, $F$9) + CHOOSE(CONTROL!$C$27, 0.0021, 0)</f>
        <v>22.035399999999999</v>
      </c>
      <c r="F37" s="10">
        <f>22.0333 * CHOOSE(CONTROL!$C$9, $D$9, 100%, $F$9) + CHOOSE(CONTROL!$C$27, 0.0021, 0)</f>
        <v>22.035399999999999</v>
      </c>
      <c r="G37" s="10">
        <f>22.3047 * CHOOSE(CONTROL!$C$9, $D$9, 100%, $F$9) + CHOOSE(CONTROL!$C$27, 0.0021, 0)</f>
        <v>22.306799999999999</v>
      </c>
      <c r="H37" s="10">
        <f>22.1699 * CHOOSE(CONTROL!$C$9, $D$9, 100%, $F$9) + CHOOSE(CONTROL!$C$27, 0.0021, 0)</f>
        <v>22.171999999999997</v>
      </c>
      <c r="I37" s="10">
        <f>22.1699 * CHOOSE(CONTROL!$C$9, $D$9, 100%, $F$9) + CHOOSE(CONTROL!$C$27, 0.0021, 0)</f>
        <v>22.171999999999997</v>
      </c>
      <c r="J37" s="10">
        <f>22.1699 * CHOOSE(CONTROL!$C$9, $D$9, 100%, $F$9) + CHOOSE(CONTROL!$C$27, 0.0021, 0)</f>
        <v>22.171999999999997</v>
      </c>
      <c r="K37" s="10">
        <f>22.1699 * CHOOSE(CONTROL!$C$9, $D$9, 100%, $F$9) + CHOOSE(CONTROL!$C$27, 0.0021, 0)</f>
        <v>22.171999999999997</v>
      </c>
      <c r="L37" s="10"/>
    </row>
    <row r="38" spans="1:17" ht="15" x14ac:dyDescent="0.2">
      <c r="A38" s="16">
        <v>42430</v>
      </c>
      <c r="B38" s="10">
        <f>22.4941 * CHOOSE(CONTROL!$C$9, $D$9, 100%, $F$9) + CHOOSE(CONTROL!$C$27, 0.0021, 0)</f>
        <v>22.496199999999998</v>
      </c>
      <c r="C38" s="10">
        <f>22.0619 * CHOOSE(CONTROL!$C$9, $D$9, 100%, $F$9) + CHOOSE(CONTROL!$C$27, 0.0021, 0)</f>
        <v>22.064</v>
      </c>
      <c r="D38" s="10">
        <f>22.0619 * CHOOSE(CONTROL!$C$9, $D$9, 100%, $F$9) + CHOOSE(CONTROL!$C$27, 0.0021, 0)</f>
        <v>22.064</v>
      </c>
      <c r="E38" s="10">
        <f>21.9252 * CHOOSE(CONTROL!$C$9, $D$9, 100%, $F$9) + CHOOSE(CONTROL!$C$27, 0.0021, 0)</f>
        <v>21.927299999999999</v>
      </c>
      <c r="F38" s="10">
        <f>21.9252 * CHOOSE(CONTROL!$C$9, $D$9, 100%, $F$9) + CHOOSE(CONTROL!$C$27, 0.0021, 0)</f>
        <v>21.927299999999999</v>
      </c>
      <c r="G38" s="10">
        <f>22.1966 * CHOOSE(CONTROL!$C$9, $D$9, 100%, $F$9) + CHOOSE(CONTROL!$C$27, 0.0021, 0)</f>
        <v>22.198699999999999</v>
      </c>
      <c r="H38" s="10">
        <f>22.0619 * CHOOSE(CONTROL!$C$9, $D$9, 100%, $F$9) + CHOOSE(CONTROL!$C$27, 0.0021, 0)</f>
        <v>22.064</v>
      </c>
      <c r="I38" s="10">
        <f>22.0619 * CHOOSE(CONTROL!$C$9, $D$9, 100%, $F$9) + CHOOSE(CONTROL!$C$27, 0.0021, 0)</f>
        <v>22.064</v>
      </c>
      <c r="J38" s="10">
        <f>22.0619 * CHOOSE(CONTROL!$C$9, $D$9, 100%, $F$9) + CHOOSE(CONTROL!$C$27, 0.0021, 0)</f>
        <v>22.064</v>
      </c>
      <c r="K38" s="10">
        <f>22.0619 * CHOOSE(CONTROL!$C$9, $D$9, 100%, $F$9) + CHOOSE(CONTROL!$C$27, 0.0021, 0)</f>
        <v>22.064</v>
      </c>
      <c r="L38" s="10"/>
    </row>
    <row r="39" spans="1:17" ht="15" x14ac:dyDescent="0.2">
      <c r="A39" s="16">
        <v>42461</v>
      </c>
      <c r="B39" s="10">
        <f>22.3789 * CHOOSE(CONTROL!$C$9, $D$9, 100%, $F$9) + CHOOSE(CONTROL!$C$27, 0.0021, 0)</f>
        <v>22.381</v>
      </c>
      <c r="C39" s="10">
        <f>21.9466 * CHOOSE(CONTROL!$C$9, $D$9, 100%, $F$9) + CHOOSE(CONTROL!$C$27, 0.0021, 0)</f>
        <v>21.948699999999999</v>
      </c>
      <c r="D39" s="10">
        <f>21.9466 * CHOOSE(CONTROL!$C$9, $D$9, 100%, $F$9) + CHOOSE(CONTROL!$C$27, 0.0021, 0)</f>
        <v>21.948699999999999</v>
      </c>
      <c r="E39" s="10">
        <f>21.81 * CHOOSE(CONTROL!$C$9, $D$9, 100%, $F$9) + CHOOSE(CONTROL!$C$27, 0.0021, 0)</f>
        <v>21.812099999999997</v>
      </c>
      <c r="F39" s="10">
        <f>21.81 * CHOOSE(CONTROL!$C$9, $D$9, 100%, $F$9) + CHOOSE(CONTROL!$C$27, 0.0021, 0)</f>
        <v>21.812099999999997</v>
      </c>
      <c r="G39" s="10">
        <f>22.0813 * CHOOSE(CONTROL!$C$9, $D$9, 100%, $F$9) + CHOOSE(CONTROL!$C$27, 0.0021, 0)</f>
        <v>22.083399999999997</v>
      </c>
      <c r="H39" s="10">
        <f>21.9466 * CHOOSE(CONTROL!$C$9, $D$9, 100%, $F$9) + CHOOSE(CONTROL!$C$27, 0.0021, 0)</f>
        <v>21.948699999999999</v>
      </c>
      <c r="I39" s="10">
        <f>21.9466 * CHOOSE(CONTROL!$C$9, $D$9, 100%, $F$9) + CHOOSE(CONTROL!$C$27, 0.0021, 0)</f>
        <v>21.948699999999999</v>
      </c>
      <c r="J39" s="10">
        <f>21.9466 * CHOOSE(CONTROL!$C$9, $D$9, 100%, $F$9) + CHOOSE(CONTROL!$C$27, 0.0021, 0)</f>
        <v>21.948699999999999</v>
      </c>
      <c r="K39" s="10">
        <f>21.9466 * CHOOSE(CONTROL!$C$9, $D$9, 100%, $F$9) + CHOOSE(CONTROL!$C$27, 0.0021, 0)</f>
        <v>21.948699999999999</v>
      </c>
      <c r="L39" s="10"/>
    </row>
    <row r="40" spans="1:17" ht="15" x14ac:dyDescent="0.2">
      <c r="A40" s="16">
        <v>42491</v>
      </c>
      <c r="B40" s="10">
        <f>22.2636 * CHOOSE(CONTROL!$C$9, $D$9, 100%, $F$9) + CHOOSE(CONTROL!$C$27, 0.0021, 0)</f>
        <v>22.265699999999999</v>
      </c>
      <c r="C40" s="10">
        <f>21.8314 * CHOOSE(CONTROL!$C$9, $D$9, 100%, $F$9) + CHOOSE(CONTROL!$C$27, 0.0021, 0)</f>
        <v>21.833499999999997</v>
      </c>
      <c r="D40" s="10">
        <f>21.8314 * CHOOSE(CONTROL!$C$9, $D$9, 100%, $F$9) + CHOOSE(CONTROL!$C$27, 0.0021, 0)</f>
        <v>21.833499999999997</v>
      </c>
      <c r="E40" s="10">
        <f>21.6947 * CHOOSE(CONTROL!$C$9, $D$9, 100%, $F$9) + CHOOSE(CONTROL!$C$27, 0.0021, 0)</f>
        <v>21.6968</v>
      </c>
      <c r="F40" s="10">
        <f>21.6947 * CHOOSE(CONTROL!$C$9, $D$9, 100%, $F$9) + CHOOSE(CONTROL!$C$27, 0.0021, 0)</f>
        <v>21.6968</v>
      </c>
      <c r="G40" s="10">
        <f>21.9661 * CHOOSE(CONTROL!$C$9, $D$9, 100%, $F$9) + CHOOSE(CONTROL!$C$27, 0.0021, 0)</f>
        <v>21.9682</v>
      </c>
      <c r="H40" s="10">
        <f>21.8314 * CHOOSE(CONTROL!$C$9, $D$9, 100%, $F$9) + CHOOSE(CONTROL!$C$27, 0.0021, 0)</f>
        <v>21.833499999999997</v>
      </c>
      <c r="I40" s="10">
        <f>21.8314 * CHOOSE(CONTROL!$C$9, $D$9, 100%, $F$9) + CHOOSE(CONTROL!$C$27, 0.0021, 0)</f>
        <v>21.833499999999997</v>
      </c>
      <c r="J40" s="10">
        <f>21.8314 * CHOOSE(CONTROL!$C$9, $D$9, 100%, $F$9) + CHOOSE(CONTROL!$C$27, 0.0021, 0)</f>
        <v>21.833499999999997</v>
      </c>
      <c r="K40" s="10">
        <f>21.8314 * CHOOSE(CONTROL!$C$9, $D$9, 100%, $F$9) + CHOOSE(CONTROL!$C$27, 0.0021, 0)</f>
        <v>21.833499999999997</v>
      </c>
      <c r="L40" s="10"/>
    </row>
    <row r="41" spans="1:17" ht="15" x14ac:dyDescent="0.2">
      <c r="A41" s="16">
        <v>42522</v>
      </c>
      <c r="B41" s="10">
        <f>22.1483 * CHOOSE(CONTROL!$C$9, $D$9, 100%, $F$9) + CHOOSE(CONTROL!$C$27, 0.0021, 0)</f>
        <v>22.150399999999998</v>
      </c>
      <c r="C41" s="10">
        <f>21.7161 * CHOOSE(CONTROL!$C$9, $D$9, 100%, $F$9) + CHOOSE(CONTROL!$C$27, 0.0021, 0)</f>
        <v>21.7182</v>
      </c>
      <c r="D41" s="10">
        <f>21.7161 * CHOOSE(CONTROL!$C$9, $D$9, 100%, $F$9) + CHOOSE(CONTROL!$C$27, 0.0021, 0)</f>
        <v>21.7182</v>
      </c>
      <c r="E41" s="10">
        <f>21.5794 * CHOOSE(CONTROL!$C$9, $D$9, 100%, $F$9) + CHOOSE(CONTROL!$C$27, 0.0021, 0)</f>
        <v>21.581499999999998</v>
      </c>
      <c r="F41" s="10">
        <f>21.5794 * CHOOSE(CONTROL!$C$9, $D$9, 100%, $F$9) + CHOOSE(CONTROL!$C$27, 0.0021, 0)</f>
        <v>21.581499999999998</v>
      </c>
      <c r="G41" s="10">
        <f>21.8508 * CHOOSE(CONTROL!$C$9, $D$9, 100%, $F$9) + CHOOSE(CONTROL!$C$27, 0.0021, 0)</f>
        <v>21.852899999999998</v>
      </c>
      <c r="H41" s="10">
        <f>21.7161 * CHOOSE(CONTROL!$C$9, $D$9, 100%, $F$9) + CHOOSE(CONTROL!$C$27, 0.0021, 0)</f>
        <v>21.7182</v>
      </c>
      <c r="I41" s="10">
        <f>21.7161 * CHOOSE(CONTROL!$C$9, $D$9, 100%, $F$9) + CHOOSE(CONTROL!$C$27, 0.0021, 0)</f>
        <v>21.7182</v>
      </c>
      <c r="J41" s="10">
        <f>21.7161 * CHOOSE(CONTROL!$C$9, $D$9, 100%, $F$9) + CHOOSE(CONTROL!$C$27, 0.0021, 0)</f>
        <v>21.7182</v>
      </c>
      <c r="K41" s="10">
        <f>21.7161 * CHOOSE(CONTROL!$C$9, $D$9, 100%, $F$9) + CHOOSE(CONTROL!$C$27, 0.0021, 0)</f>
        <v>21.7182</v>
      </c>
      <c r="L41" s="10"/>
    </row>
    <row r="42" spans="1:17" ht="15" x14ac:dyDescent="0.2">
      <c r="A42" s="16">
        <v>42552</v>
      </c>
      <c r="B42" s="10">
        <f>22.0871 * CHOOSE(CONTROL!$C$9, $D$9, 100%, $F$9) + CHOOSE(CONTROL!$C$27, 0.0021, 0)</f>
        <v>22.089199999999998</v>
      </c>
      <c r="C42" s="10">
        <f>21.6549 * CHOOSE(CONTROL!$C$9, $D$9, 100%, $F$9) + CHOOSE(CONTROL!$C$27, 0.0021, 0)</f>
        <v>21.657</v>
      </c>
      <c r="D42" s="10">
        <f>21.6549 * CHOOSE(CONTROL!$C$9, $D$9, 100%, $F$9) + CHOOSE(CONTROL!$C$27, 0.0021, 0)</f>
        <v>21.657</v>
      </c>
      <c r="E42" s="10">
        <f>21.5182 * CHOOSE(CONTROL!$C$9, $D$9, 100%, $F$9) + CHOOSE(CONTROL!$C$27, 0.0021, 0)</f>
        <v>21.520299999999999</v>
      </c>
      <c r="F42" s="10">
        <f>21.5182 * CHOOSE(CONTROL!$C$9, $D$9, 100%, $F$9) + CHOOSE(CONTROL!$C$27, 0.0021, 0)</f>
        <v>21.520299999999999</v>
      </c>
      <c r="G42" s="10">
        <f>21.7896 * CHOOSE(CONTROL!$C$9, $D$9, 100%, $F$9) + CHOOSE(CONTROL!$C$27, 0.0021, 0)</f>
        <v>21.791699999999999</v>
      </c>
      <c r="H42" s="10">
        <f>21.6549 * CHOOSE(CONTROL!$C$9, $D$9, 100%, $F$9) + CHOOSE(CONTROL!$C$27, 0.0021, 0)</f>
        <v>21.657</v>
      </c>
      <c r="I42" s="10">
        <f>21.6549 * CHOOSE(CONTROL!$C$9, $D$9, 100%, $F$9) + CHOOSE(CONTROL!$C$27, 0.0021, 0)</f>
        <v>21.657</v>
      </c>
      <c r="J42" s="10">
        <f>21.6549 * CHOOSE(CONTROL!$C$9, $D$9, 100%, $F$9) + CHOOSE(CONTROL!$C$27, 0.0021, 0)</f>
        <v>21.657</v>
      </c>
      <c r="K42" s="10">
        <f>21.6549 * CHOOSE(CONTROL!$C$9, $D$9, 100%, $F$9) + CHOOSE(CONTROL!$C$27, 0.0021, 0)</f>
        <v>21.657</v>
      </c>
      <c r="L42" s="10"/>
    </row>
    <row r="43" spans="1:17" ht="15" x14ac:dyDescent="0.2">
      <c r="A43" s="16">
        <v>42583</v>
      </c>
      <c r="B43" s="10">
        <f>22.0295 * CHOOSE(CONTROL!$C$9, $D$9, 100%, $F$9) + CHOOSE(CONTROL!$C$27, 0.0021, 0)</f>
        <v>22.031599999999997</v>
      </c>
      <c r="C43" s="10">
        <f>21.5972 * CHOOSE(CONTROL!$C$9, $D$9, 100%, $F$9) + CHOOSE(CONTROL!$C$27, 0.0021, 0)</f>
        <v>21.599299999999999</v>
      </c>
      <c r="D43" s="10">
        <f>21.5972 * CHOOSE(CONTROL!$C$9, $D$9, 100%, $F$9) + CHOOSE(CONTROL!$C$27, 0.0021, 0)</f>
        <v>21.599299999999999</v>
      </c>
      <c r="E43" s="10">
        <f>21.4606 * CHOOSE(CONTROL!$C$9, $D$9, 100%, $F$9) + CHOOSE(CONTROL!$C$27, 0.0021, 0)</f>
        <v>21.462699999999998</v>
      </c>
      <c r="F43" s="10">
        <f>21.4606 * CHOOSE(CONTROL!$C$9, $D$9, 100%, $F$9) + CHOOSE(CONTROL!$C$27, 0.0021, 0)</f>
        <v>21.462699999999998</v>
      </c>
      <c r="G43" s="10">
        <f>21.7319 * CHOOSE(CONTROL!$C$9, $D$9, 100%, $F$9) + CHOOSE(CONTROL!$C$27, 0.0021, 0)</f>
        <v>21.733999999999998</v>
      </c>
      <c r="H43" s="10">
        <f>21.5972 * CHOOSE(CONTROL!$C$9, $D$9, 100%, $F$9) + CHOOSE(CONTROL!$C$27, 0.0021, 0)</f>
        <v>21.599299999999999</v>
      </c>
      <c r="I43" s="10">
        <f>21.5972 * CHOOSE(CONTROL!$C$9, $D$9, 100%, $F$9) + CHOOSE(CONTROL!$C$27, 0.0021, 0)</f>
        <v>21.599299999999999</v>
      </c>
      <c r="J43" s="10">
        <f>21.5972 * CHOOSE(CONTROL!$C$9, $D$9, 100%, $F$9) + CHOOSE(CONTROL!$C$27, 0.0021, 0)</f>
        <v>21.599299999999999</v>
      </c>
      <c r="K43" s="10">
        <f>21.5972 * CHOOSE(CONTROL!$C$9, $D$9, 100%, $F$9) + CHOOSE(CONTROL!$C$27, 0.0021, 0)</f>
        <v>21.599299999999999</v>
      </c>
      <c r="L43" s="10"/>
    </row>
    <row r="44" spans="1:17" ht="15" x14ac:dyDescent="0.2">
      <c r="A44" s="16">
        <v>42614</v>
      </c>
      <c r="B44" s="10">
        <f>21.979 * CHOOSE(CONTROL!$C$9, $D$9, 100%, $F$9) + CHOOSE(CONTROL!$C$27, 0.0021, 0)</f>
        <v>21.981099999999998</v>
      </c>
      <c r="C44" s="10">
        <f>21.5468 * CHOOSE(CONTROL!$C$9, $D$9, 100%, $F$9) + CHOOSE(CONTROL!$C$27, 0.0021, 0)</f>
        <v>21.5489</v>
      </c>
      <c r="D44" s="10">
        <f>21.5468 * CHOOSE(CONTROL!$C$9, $D$9, 100%, $F$9) + CHOOSE(CONTROL!$C$27, 0.0021, 0)</f>
        <v>21.5489</v>
      </c>
      <c r="E44" s="10">
        <f>21.4101 * CHOOSE(CONTROL!$C$9, $D$9, 100%, $F$9) + CHOOSE(CONTROL!$C$27, 0.0021, 0)</f>
        <v>21.412199999999999</v>
      </c>
      <c r="F44" s="10">
        <f>21.4101 * CHOOSE(CONTROL!$C$9, $D$9, 100%, $F$9) + CHOOSE(CONTROL!$C$27, 0.0021, 0)</f>
        <v>21.412199999999999</v>
      </c>
      <c r="G44" s="10">
        <f>21.6815 * CHOOSE(CONTROL!$C$9, $D$9, 100%, $F$9) + CHOOSE(CONTROL!$C$27, 0.0021, 0)</f>
        <v>21.683599999999998</v>
      </c>
      <c r="H44" s="10">
        <f>21.5468 * CHOOSE(CONTROL!$C$9, $D$9, 100%, $F$9) + CHOOSE(CONTROL!$C$27, 0.0021, 0)</f>
        <v>21.5489</v>
      </c>
      <c r="I44" s="10">
        <f>21.5468 * CHOOSE(CONTROL!$C$9, $D$9, 100%, $F$9) + CHOOSE(CONTROL!$C$27, 0.0021, 0)</f>
        <v>21.5489</v>
      </c>
      <c r="J44" s="10">
        <f>21.5468 * CHOOSE(CONTROL!$C$9, $D$9, 100%, $F$9) + CHOOSE(CONTROL!$C$27, 0.0021, 0)</f>
        <v>21.5489</v>
      </c>
      <c r="K44" s="10">
        <f>21.5468 * CHOOSE(CONTROL!$C$9, $D$9, 100%, $F$9) + CHOOSE(CONTROL!$C$27, 0.0021, 0)</f>
        <v>21.5489</v>
      </c>
      <c r="L44" s="10"/>
    </row>
    <row r="45" spans="1:17" ht="15" x14ac:dyDescent="0.2">
      <c r="A45" s="16">
        <v>42644</v>
      </c>
      <c r="B45" s="10">
        <f>21.925 * CHOOSE(CONTROL!$C$9, $D$9, 100%, $F$9) + CHOOSE(CONTROL!$C$27, 0.0021, 0)</f>
        <v>21.927099999999999</v>
      </c>
      <c r="C45" s="10">
        <f>21.4928 * CHOOSE(CONTROL!$C$9, $D$9, 100%, $F$9) + CHOOSE(CONTROL!$C$27, 0.0021, 0)</f>
        <v>21.494899999999998</v>
      </c>
      <c r="D45" s="10">
        <f>21.4928 * CHOOSE(CONTROL!$C$9, $D$9, 100%, $F$9) + CHOOSE(CONTROL!$C$27, 0.0021, 0)</f>
        <v>21.494899999999998</v>
      </c>
      <c r="E45" s="10">
        <f>21.3561 * CHOOSE(CONTROL!$C$9, $D$9, 100%, $F$9) + CHOOSE(CONTROL!$C$27, 0.0021, 0)</f>
        <v>21.3582</v>
      </c>
      <c r="F45" s="10">
        <f>21.3561 * CHOOSE(CONTROL!$C$9, $D$9, 100%, $F$9) + CHOOSE(CONTROL!$C$27, 0.0021, 0)</f>
        <v>21.3582</v>
      </c>
      <c r="G45" s="10">
        <f>21.6275 * CHOOSE(CONTROL!$C$9, $D$9, 100%, $F$9) + CHOOSE(CONTROL!$C$27, 0.0021, 0)</f>
        <v>21.6296</v>
      </c>
      <c r="H45" s="10">
        <f>21.4928 * CHOOSE(CONTROL!$C$9, $D$9, 100%, $F$9) + CHOOSE(CONTROL!$C$27, 0.0021, 0)</f>
        <v>21.494899999999998</v>
      </c>
      <c r="I45" s="10">
        <f>21.4928 * CHOOSE(CONTROL!$C$9, $D$9, 100%, $F$9) + CHOOSE(CONTROL!$C$27, 0.0021, 0)</f>
        <v>21.494899999999998</v>
      </c>
      <c r="J45" s="10">
        <f>21.4928 * CHOOSE(CONTROL!$C$9, $D$9, 100%, $F$9) + CHOOSE(CONTROL!$C$27, 0.0021, 0)</f>
        <v>21.494899999999998</v>
      </c>
      <c r="K45" s="10">
        <f>21.4928 * CHOOSE(CONTROL!$C$9, $D$9, 100%, $F$9) + CHOOSE(CONTROL!$C$27, 0.0021, 0)</f>
        <v>21.494899999999998</v>
      </c>
      <c r="L45" s="10"/>
    </row>
    <row r="46" spans="1:17" ht="15" x14ac:dyDescent="0.2">
      <c r="A46" s="16">
        <v>42675</v>
      </c>
      <c r="B46" s="10">
        <f>21.8674 * CHOOSE(CONTROL!$C$9, $D$9, 100%, $F$9) + CHOOSE(CONTROL!$C$27, 0.0021, 0)</f>
        <v>21.869499999999999</v>
      </c>
      <c r="C46" s="10">
        <f>21.4351 * CHOOSE(CONTROL!$C$9, $D$9, 100%, $F$9) + CHOOSE(CONTROL!$C$27, 0.0021, 0)</f>
        <v>21.437199999999997</v>
      </c>
      <c r="D46" s="10">
        <f>21.4351 * CHOOSE(CONTROL!$C$9, $D$9, 100%, $F$9) + CHOOSE(CONTROL!$C$27, 0.0021, 0)</f>
        <v>21.437199999999997</v>
      </c>
      <c r="E46" s="10">
        <f>21.2985 * CHOOSE(CONTROL!$C$9, $D$9, 100%, $F$9) + CHOOSE(CONTROL!$C$27, 0.0021, 0)</f>
        <v>21.300599999999999</v>
      </c>
      <c r="F46" s="10">
        <f>21.2985 * CHOOSE(CONTROL!$C$9, $D$9, 100%, $F$9) + CHOOSE(CONTROL!$C$27, 0.0021, 0)</f>
        <v>21.300599999999999</v>
      </c>
      <c r="G46" s="10">
        <f>21.5698 * CHOOSE(CONTROL!$C$9, $D$9, 100%, $F$9) + CHOOSE(CONTROL!$C$27, 0.0021, 0)</f>
        <v>21.571899999999999</v>
      </c>
      <c r="H46" s="10">
        <f>21.4351 * CHOOSE(CONTROL!$C$9, $D$9, 100%, $F$9) + CHOOSE(CONTROL!$C$27, 0.0021, 0)</f>
        <v>21.437199999999997</v>
      </c>
      <c r="I46" s="10">
        <f>21.4351 * CHOOSE(CONTROL!$C$9, $D$9, 100%, $F$9) + CHOOSE(CONTROL!$C$27, 0.0021, 0)</f>
        <v>21.437199999999997</v>
      </c>
      <c r="J46" s="10">
        <f>21.4351 * CHOOSE(CONTROL!$C$9, $D$9, 100%, $F$9) + CHOOSE(CONTROL!$C$27, 0.0021, 0)</f>
        <v>21.437199999999997</v>
      </c>
      <c r="K46" s="10">
        <f>21.4351 * CHOOSE(CONTROL!$C$9, $D$9, 100%, $F$9) + CHOOSE(CONTROL!$C$27, 0.0021, 0)</f>
        <v>21.437199999999997</v>
      </c>
      <c r="L46" s="10"/>
    </row>
    <row r="47" spans="1:17" ht="15" x14ac:dyDescent="0.2">
      <c r="A47" s="16">
        <v>42705</v>
      </c>
      <c r="B47" s="10">
        <f>21.8097 * CHOOSE(CONTROL!$C$9, $D$9, 100%, $F$9) + CHOOSE(CONTROL!$C$27, 0.0021, 0)</f>
        <v>21.811799999999998</v>
      </c>
      <c r="C47" s="10">
        <f>21.3775 * CHOOSE(CONTROL!$C$9, $D$9, 100%, $F$9) + CHOOSE(CONTROL!$C$27, 0.0021, 0)</f>
        <v>21.3796</v>
      </c>
      <c r="D47" s="10">
        <f>21.3775 * CHOOSE(CONTROL!$C$9, $D$9, 100%, $F$9) + CHOOSE(CONTROL!$C$27, 0.0021, 0)</f>
        <v>21.3796</v>
      </c>
      <c r="E47" s="10">
        <f>21.2408 * CHOOSE(CONTROL!$C$9, $D$9, 100%, $F$9) + CHOOSE(CONTROL!$C$27, 0.0021, 0)</f>
        <v>21.242899999999999</v>
      </c>
      <c r="F47" s="10">
        <f>21.2408 * CHOOSE(CONTROL!$C$9, $D$9, 100%, $F$9) + CHOOSE(CONTROL!$C$27, 0.0021, 0)</f>
        <v>21.242899999999999</v>
      </c>
      <c r="G47" s="10">
        <f>21.5122 * CHOOSE(CONTROL!$C$9, $D$9, 100%, $F$9) + CHOOSE(CONTROL!$C$27, 0.0021, 0)</f>
        <v>21.514299999999999</v>
      </c>
      <c r="H47" s="10">
        <f>21.3775 * CHOOSE(CONTROL!$C$9, $D$9, 100%, $F$9) + CHOOSE(CONTROL!$C$27, 0.0021, 0)</f>
        <v>21.3796</v>
      </c>
      <c r="I47" s="10">
        <f>21.3775 * CHOOSE(CONTROL!$C$9, $D$9, 100%, $F$9) + CHOOSE(CONTROL!$C$27, 0.0021, 0)</f>
        <v>21.3796</v>
      </c>
      <c r="J47" s="10">
        <f>21.3775 * CHOOSE(CONTROL!$C$9, $D$9, 100%, $F$9) + CHOOSE(CONTROL!$C$27, 0.0021, 0)</f>
        <v>21.3796</v>
      </c>
      <c r="K47" s="10">
        <f>21.3775 * CHOOSE(CONTROL!$C$9, $D$9, 100%, $F$9) + CHOOSE(CONTROL!$C$27, 0.0021, 0)</f>
        <v>21.3796</v>
      </c>
      <c r="L47" s="10"/>
    </row>
    <row r="48" spans="1:17" ht="15" x14ac:dyDescent="0.2">
      <c r="A48" s="16">
        <v>42736</v>
      </c>
      <c r="B48" s="10">
        <f>21.8948 * CHOOSE(CONTROL!$C$9, $D$9, 100%, $F$9) + CHOOSE(CONTROL!$C$27, 0.0021, 0)</f>
        <v>21.896899999999999</v>
      </c>
      <c r="C48" s="10">
        <f>21.4626 * CHOOSE(CONTROL!$C$9, $D$9, 100%, $F$9) + CHOOSE(CONTROL!$C$27, 0.0021, 0)</f>
        <v>21.464699999999997</v>
      </c>
      <c r="D48" s="10">
        <f>21.4626 * CHOOSE(CONTROL!$C$9, $D$9, 100%, $F$9) + CHOOSE(CONTROL!$C$27, 0.0021, 0)</f>
        <v>21.464699999999997</v>
      </c>
      <c r="E48" s="10">
        <f>21.3259 * CHOOSE(CONTROL!$C$9, $D$9, 100%, $F$9) + CHOOSE(CONTROL!$C$27, 0.0021, 0)</f>
        <v>21.327999999999999</v>
      </c>
      <c r="F48" s="10">
        <f>21.3259 * CHOOSE(CONTROL!$C$9, $D$9, 100%, $F$9) + CHOOSE(CONTROL!$C$27, 0.0021, 0)</f>
        <v>21.327999999999999</v>
      </c>
      <c r="G48" s="10">
        <f>21.5973 * CHOOSE(CONTROL!$C$9, $D$9, 100%, $F$9) + CHOOSE(CONTROL!$C$27, 0.0021, 0)</f>
        <v>21.599399999999999</v>
      </c>
      <c r="H48" s="10">
        <f>21.4626 * CHOOSE(CONTROL!$C$9, $D$9, 100%, $F$9) + CHOOSE(CONTROL!$C$27, 0.0021, 0)</f>
        <v>21.464699999999997</v>
      </c>
      <c r="I48" s="10">
        <f>21.4626 * CHOOSE(CONTROL!$C$9, $D$9, 100%, $F$9) + CHOOSE(CONTROL!$C$27, 0.0021, 0)</f>
        <v>21.464699999999997</v>
      </c>
      <c r="J48" s="10">
        <f>21.4626 * CHOOSE(CONTROL!$C$9, $D$9, 100%, $F$9) + CHOOSE(CONTROL!$C$27, 0.0021, 0)</f>
        <v>21.464699999999997</v>
      </c>
      <c r="K48" s="10">
        <f>21.4626 * CHOOSE(CONTROL!$C$9, $D$9, 100%, $F$9) + CHOOSE(CONTROL!$C$27, 0.0021, 0)</f>
        <v>21.464699999999997</v>
      </c>
      <c r="L48" s="10"/>
    </row>
    <row r="49" spans="1:12" ht="15" x14ac:dyDescent="0.2">
      <c r="A49" s="16">
        <v>42767</v>
      </c>
      <c r="B49" s="10">
        <f>21.3404 * CHOOSE(CONTROL!$C$9, $D$9, 100%, $F$9) + CHOOSE(CONTROL!$C$27, 0.0021, 0)</f>
        <v>21.342499999999998</v>
      </c>
      <c r="C49" s="10">
        <f>20.9081 * CHOOSE(CONTROL!$C$9, $D$9, 100%, $F$9) + CHOOSE(CONTROL!$C$27, 0.0021, 0)</f>
        <v>20.9102</v>
      </c>
      <c r="D49" s="10">
        <f>20.9081 * CHOOSE(CONTROL!$C$9, $D$9, 100%, $F$9) + CHOOSE(CONTROL!$C$27, 0.0021, 0)</f>
        <v>20.9102</v>
      </c>
      <c r="E49" s="10">
        <f>20.7714 * CHOOSE(CONTROL!$C$9, $D$9, 100%, $F$9) + CHOOSE(CONTROL!$C$27, 0.0021, 0)</f>
        <v>20.773499999999999</v>
      </c>
      <c r="F49" s="10">
        <f>20.7714 * CHOOSE(CONTROL!$C$9, $D$9, 100%, $F$9) + CHOOSE(CONTROL!$C$27, 0.0021, 0)</f>
        <v>20.773499999999999</v>
      </c>
      <c r="G49" s="10">
        <f>21.0428 * CHOOSE(CONTROL!$C$9, $D$9, 100%, $F$9) + CHOOSE(CONTROL!$C$27, 0.0021, 0)</f>
        <v>21.044899999999998</v>
      </c>
      <c r="H49" s="10">
        <f>20.9081 * CHOOSE(CONTROL!$C$9, $D$9, 100%, $F$9) + CHOOSE(CONTROL!$C$27, 0.0021, 0)</f>
        <v>20.9102</v>
      </c>
      <c r="I49" s="10">
        <f>20.9081 * CHOOSE(CONTROL!$C$9, $D$9, 100%, $F$9) + CHOOSE(CONTROL!$C$27, 0.0021, 0)</f>
        <v>20.9102</v>
      </c>
      <c r="J49" s="10">
        <f>20.9081 * CHOOSE(CONTROL!$C$9, $D$9, 100%, $F$9) + CHOOSE(CONTROL!$C$27, 0.0021, 0)</f>
        <v>20.9102</v>
      </c>
      <c r="K49" s="10">
        <f>20.9081 * CHOOSE(CONTROL!$C$9, $D$9, 100%, $F$9) + CHOOSE(CONTROL!$C$27, 0.0021, 0)</f>
        <v>20.9102</v>
      </c>
      <c r="L49" s="10"/>
    </row>
    <row r="50" spans="1:12" ht="15" x14ac:dyDescent="0.2">
      <c r="A50" s="16">
        <v>42795</v>
      </c>
      <c r="B50" s="10">
        <f>21.1115 * CHOOSE(CONTROL!$C$9, $D$9, 100%, $F$9) + CHOOSE(CONTROL!$C$27, 0.0021, 0)</f>
        <v>21.113599999999998</v>
      </c>
      <c r="C50" s="10">
        <f>20.6792 * CHOOSE(CONTROL!$C$9, $D$9, 100%, $F$9) + CHOOSE(CONTROL!$C$27, 0.0021, 0)</f>
        <v>20.6813</v>
      </c>
      <c r="D50" s="10">
        <f>20.6792 * CHOOSE(CONTROL!$C$9, $D$9, 100%, $F$9) + CHOOSE(CONTROL!$C$27, 0.0021, 0)</f>
        <v>20.6813</v>
      </c>
      <c r="E50" s="10">
        <f>20.5426 * CHOOSE(CONTROL!$C$9, $D$9, 100%, $F$9) + CHOOSE(CONTROL!$C$27, 0.0021, 0)</f>
        <v>20.544699999999999</v>
      </c>
      <c r="F50" s="10">
        <f>20.5426 * CHOOSE(CONTROL!$C$9, $D$9, 100%, $F$9) + CHOOSE(CONTROL!$C$27, 0.0021, 0)</f>
        <v>20.544699999999999</v>
      </c>
      <c r="G50" s="10">
        <f>20.8139 * CHOOSE(CONTROL!$C$9, $D$9, 100%, $F$9) + CHOOSE(CONTROL!$C$27, 0.0021, 0)</f>
        <v>20.815999999999999</v>
      </c>
      <c r="H50" s="10">
        <f>20.6792 * CHOOSE(CONTROL!$C$9, $D$9, 100%, $F$9) + CHOOSE(CONTROL!$C$27, 0.0021, 0)</f>
        <v>20.6813</v>
      </c>
      <c r="I50" s="10">
        <f>20.6792 * CHOOSE(CONTROL!$C$9, $D$9, 100%, $F$9) + CHOOSE(CONTROL!$C$27, 0.0021, 0)</f>
        <v>20.6813</v>
      </c>
      <c r="J50" s="10">
        <f>20.6792 * CHOOSE(CONTROL!$C$9, $D$9, 100%, $F$9) + CHOOSE(CONTROL!$C$27, 0.0021, 0)</f>
        <v>20.6813</v>
      </c>
      <c r="K50" s="10">
        <f>20.6792 * CHOOSE(CONTROL!$C$9, $D$9, 100%, $F$9) + CHOOSE(CONTROL!$C$27, 0.0021, 0)</f>
        <v>20.6813</v>
      </c>
      <c r="L50" s="10"/>
    </row>
    <row r="51" spans="1:12" ht="15" x14ac:dyDescent="0.2">
      <c r="A51" s="16">
        <v>42826</v>
      </c>
      <c r="B51" s="10">
        <f>20.8382 * CHOOSE(CONTROL!$C$9, $D$9, 100%, $F$9) + CHOOSE(CONTROL!$C$27, 0.0021, 0)</f>
        <v>20.840299999999999</v>
      </c>
      <c r="C51" s="10">
        <f>20.4059 * CHOOSE(CONTROL!$C$9, $D$9, 100%, $F$9) + CHOOSE(CONTROL!$C$27, 0.0021, 0)</f>
        <v>20.407999999999998</v>
      </c>
      <c r="D51" s="10">
        <f>20.4059 * CHOOSE(CONTROL!$C$9, $D$9, 100%, $F$9) + CHOOSE(CONTROL!$C$27, 0.0021, 0)</f>
        <v>20.407999999999998</v>
      </c>
      <c r="E51" s="10">
        <f>20.2693 * CHOOSE(CONTROL!$C$9, $D$9, 100%, $F$9) + CHOOSE(CONTROL!$C$27, 0.0021, 0)</f>
        <v>20.2714</v>
      </c>
      <c r="F51" s="10">
        <f>20.2693 * CHOOSE(CONTROL!$C$9, $D$9, 100%, $F$9) + CHOOSE(CONTROL!$C$27, 0.0021, 0)</f>
        <v>20.2714</v>
      </c>
      <c r="G51" s="10">
        <f>20.5407 * CHOOSE(CONTROL!$C$9, $D$9, 100%, $F$9) + CHOOSE(CONTROL!$C$27, 0.0021, 0)</f>
        <v>20.5428</v>
      </c>
      <c r="H51" s="10">
        <f>20.4059 * CHOOSE(CONTROL!$C$9, $D$9, 100%, $F$9) + CHOOSE(CONTROL!$C$27, 0.0021, 0)</f>
        <v>20.407999999999998</v>
      </c>
      <c r="I51" s="10">
        <f>20.4059 * CHOOSE(CONTROL!$C$9, $D$9, 100%, $F$9) + CHOOSE(CONTROL!$C$27, 0.0021, 0)</f>
        <v>20.407999999999998</v>
      </c>
      <c r="J51" s="10">
        <f>20.4059 * CHOOSE(CONTROL!$C$9, $D$9, 100%, $F$9) + CHOOSE(CONTROL!$C$27, 0.0021, 0)</f>
        <v>20.407999999999998</v>
      </c>
      <c r="K51" s="10">
        <f>20.4059 * CHOOSE(CONTROL!$C$9, $D$9, 100%, $F$9) + CHOOSE(CONTROL!$C$27, 0.0021, 0)</f>
        <v>20.407999999999998</v>
      </c>
      <c r="L51" s="10"/>
    </row>
    <row r="52" spans="1:12" ht="15" x14ac:dyDescent="0.2">
      <c r="A52" s="16">
        <v>42856</v>
      </c>
      <c r="B52" s="10">
        <f>21.2277 * CHOOSE(CONTROL!$C$9, $D$9, 100%, $F$9) + CHOOSE(CONTROL!$C$27, 0.0021, 0)</f>
        <v>21.229799999999997</v>
      </c>
      <c r="C52" s="10">
        <f>20.7954 * CHOOSE(CONTROL!$C$9, $D$9, 100%, $F$9) + CHOOSE(CONTROL!$C$27, 0.0021, 0)</f>
        <v>20.797499999999999</v>
      </c>
      <c r="D52" s="10">
        <f>20.7954 * CHOOSE(CONTROL!$C$9, $D$9, 100%, $F$9) + CHOOSE(CONTROL!$C$27, 0.0021, 0)</f>
        <v>20.797499999999999</v>
      </c>
      <c r="E52" s="10">
        <f>20.6587 * CHOOSE(CONTROL!$C$9, $D$9, 100%, $F$9) + CHOOSE(CONTROL!$C$27, 0.0021, 0)</f>
        <v>20.660799999999998</v>
      </c>
      <c r="F52" s="10">
        <f>20.6587 * CHOOSE(CONTROL!$C$9, $D$9, 100%, $F$9) + CHOOSE(CONTROL!$C$27, 0.0021, 0)</f>
        <v>20.660799999999998</v>
      </c>
      <c r="G52" s="10">
        <f>20.9301 * CHOOSE(CONTROL!$C$9, $D$9, 100%, $F$9) + CHOOSE(CONTROL!$C$27, 0.0021, 0)</f>
        <v>20.932199999999998</v>
      </c>
      <c r="H52" s="10">
        <f>20.7954 * CHOOSE(CONTROL!$C$9, $D$9, 100%, $F$9) + CHOOSE(CONTROL!$C$27, 0.0021, 0)</f>
        <v>20.797499999999999</v>
      </c>
      <c r="I52" s="10">
        <f>20.7954 * CHOOSE(CONTROL!$C$9, $D$9, 100%, $F$9) + CHOOSE(CONTROL!$C$27, 0.0021, 0)</f>
        <v>20.797499999999999</v>
      </c>
      <c r="J52" s="10">
        <f>20.7954 * CHOOSE(CONTROL!$C$9, $D$9, 100%, $F$9) + CHOOSE(CONTROL!$C$27, 0.0021, 0)</f>
        <v>20.797499999999999</v>
      </c>
      <c r="K52" s="10">
        <f>20.7954 * CHOOSE(CONTROL!$C$9, $D$9, 100%, $F$9) + CHOOSE(CONTROL!$C$27, 0.0021, 0)</f>
        <v>20.797499999999999</v>
      </c>
      <c r="L52" s="10"/>
    </row>
    <row r="53" spans="1:12" ht="15" x14ac:dyDescent="0.2">
      <c r="A53" s="16">
        <v>42887</v>
      </c>
      <c r="B53" s="10">
        <f>21.4609 * CHOOSE(CONTROL!$C$9, $D$9, 100%, $F$9) + CHOOSE(CONTROL!$C$27, 0.0021, 0)</f>
        <v>21.462999999999997</v>
      </c>
      <c r="C53" s="10">
        <f>21.0287 * CHOOSE(CONTROL!$C$9, $D$9, 100%, $F$9) + CHOOSE(CONTROL!$C$27, 0.0021, 0)</f>
        <v>21.030799999999999</v>
      </c>
      <c r="D53" s="10">
        <f>21.0287 * CHOOSE(CONTROL!$C$9, $D$9, 100%, $F$9) + CHOOSE(CONTROL!$C$27, 0.0021, 0)</f>
        <v>21.030799999999999</v>
      </c>
      <c r="E53" s="10">
        <f>20.892 * CHOOSE(CONTROL!$C$9, $D$9, 100%, $F$9) + CHOOSE(CONTROL!$C$27, 0.0021, 0)</f>
        <v>20.894099999999998</v>
      </c>
      <c r="F53" s="10">
        <f>20.892 * CHOOSE(CONTROL!$C$9, $D$9, 100%, $F$9) + CHOOSE(CONTROL!$C$27, 0.0021, 0)</f>
        <v>20.894099999999998</v>
      </c>
      <c r="G53" s="10">
        <f>21.1634 * CHOOSE(CONTROL!$C$9, $D$9, 100%, $F$9) + CHOOSE(CONTROL!$C$27, 0.0021, 0)</f>
        <v>21.165499999999998</v>
      </c>
      <c r="H53" s="10">
        <f>21.0287 * CHOOSE(CONTROL!$C$9, $D$9, 100%, $F$9) + CHOOSE(CONTROL!$C$27, 0.0021, 0)</f>
        <v>21.030799999999999</v>
      </c>
      <c r="I53" s="10">
        <f>21.0287 * CHOOSE(CONTROL!$C$9, $D$9, 100%, $F$9) + CHOOSE(CONTROL!$C$27, 0.0021, 0)</f>
        <v>21.030799999999999</v>
      </c>
      <c r="J53" s="10">
        <f>21.0287 * CHOOSE(CONTROL!$C$9, $D$9, 100%, $F$9) + CHOOSE(CONTROL!$C$27, 0.0021, 0)</f>
        <v>21.030799999999999</v>
      </c>
      <c r="K53" s="10">
        <f>21.0287 * CHOOSE(CONTROL!$C$9, $D$9, 100%, $F$9) + CHOOSE(CONTROL!$C$27, 0.0021, 0)</f>
        <v>21.030799999999999</v>
      </c>
      <c r="L53" s="10"/>
    </row>
    <row r="54" spans="1:12" ht="15" x14ac:dyDescent="0.2">
      <c r="A54" s="16">
        <v>42917</v>
      </c>
      <c r="B54" s="10">
        <f>21.8458 * CHOOSE(CONTROL!$C$9, $D$9, 100%, $F$9) + CHOOSE(CONTROL!$C$27, 0.0021, 0)</f>
        <v>21.847899999999999</v>
      </c>
      <c r="C54" s="10">
        <f>21.4135 * CHOOSE(CONTROL!$C$9, $D$9, 100%, $F$9) + CHOOSE(CONTROL!$C$27, 0.0021, 0)</f>
        <v>21.415599999999998</v>
      </c>
      <c r="D54" s="10">
        <f>21.4135 * CHOOSE(CONTROL!$C$9, $D$9, 100%, $F$9) + CHOOSE(CONTROL!$C$27, 0.0021, 0)</f>
        <v>21.415599999999998</v>
      </c>
      <c r="E54" s="10">
        <f>21.2768 * CHOOSE(CONTROL!$C$9, $D$9, 100%, $F$9) + CHOOSE(CONTROL!$C$27, 0.0021, 0)</f>
        <v>21.2789</v>
      </c>
      <c r="F54" s="10">
        <f>21.2768 * CHOOSE(CONTROL!$C$9, $D$9, 100%, $F$9) + CHOOSE(CONTROL!$C$27, 0.0021, 0)</f>
        <v>21.2789</v>
      </c>
      <c r="G54" s="10">
        <f>21.5482 * CHOOSE(CONTROL!$C$9, $D$9, 100%, $F$9) + CHOOSE(CONTROL!$C$27, 0.0021, 0)</f>
        <v>21.5503</v>
      </c>
      <c r="H54" s="10">
        <f>21.4135 * CHOOSE(CONTROL!$C$9, $D$9, 100%, $F$9) + CHOOSE(CONTROL!$C$27, 0.0021, 0)</f>
        <v>21.415599999999998</v>
      </c>
      <c r="I54" s="10">
        <f>21.4135 * CHOOSE(CONTROL!$C$9, $D$9, 100%, $F$9) + CHOOSE(CONTROL!$C$27, 0.0021, 0)</f>
        <v>21.415599999999998</v>
      </c>
      <c r="J54" s="10">
        <f>21.4135 * CHOOSE(CONTROL!$C$9, $D$9, 100%, $F$9) + CHOOSE(CONTROL!$C$27, 0.0021, 0)</f>
        <v>21.415599999999998</v>
      </c>
      <c r="K54" s="10">
        <f>21.4135 * CHOOSE(CONTROL!$C$9, $D$9, 100%, $F$9) + CHOOSE(CONTROL!$C$27, 0.0021, 0)</f>
        <v>21.415599999999998</v>
      </c>
      <c r="L54" s="10"/>
    </row>
    <row r="55" spans="1:12" ht="15" x14ac:dyDescent="0.2">
      <c r="A55" s="16">
        <v>42948</v>
      </c>
      <c r="B55" s="10">
        <f>21.9632 * CHOOSE(CONTROL!$C$9, $D$9, 100%, $F$9) + CHOOSE(CONTROL!$C$27, 0.0021, 0)</f>
        <v>21.965299999999999</v>
      </c>
      <c r="C55" s="10">
        <f>21.531 * CHOOSE(CONTROL!$C$9, $D$9, 100%, $F$9) + CHOOSE(CONTROL!$C$27, 0.0021, 0)</f>
        <v>21.533099999999997</v>
      </c>
      <c r="D55" s="10">
        <f>21.531 * CHOOSE(CONTROL!$C$9, $D$9, 100%, $F$9) + CHOOSE(CONTROL!$C$27, 0.0021, 0)</f>
        <v>21.533099999999997</v>
      </c>
      <c r="E55" s="10">
        <f>21.3943 * CHOOSE(CONTROL!$C$9, $D$9, 100%, $F$9) + CHOOSE(CONTROL!$C$27, 0.0021, 0)</f>
        <v>21.3964</v>
      </c>
      <c r="F55" s="10">
        <f>21.3943 * CHOOSE(CONTROL!$C$9, $D$9, 100%, $F$9) + CHOOSE(CONTROL!$C$27, 0.0021, 0)</f>
        <v>21.3964</v>
      </c>
      <c r="G55" s="10">
        <f>21.6657 * CHOOSE(CONTROL!$C$9, $D$9, 100%, $F$9) + CHOOSE(CONTROL!$C$27, 0.0021, 0)</f>
        <v>21.6678</v>
      </c>
      <c r="H55" s="10">
        <f>21.531 * CHOOSE(CONTROL!$C$9, $D$9, 100%, $F$9) + CHOOSE(CONTROL!$C$27, 0.0021, 0)</f>
        <v>21.533099999999997</v>
      </c>
      <c r="I55" s="10">
        <f>21.531 * CHOOSE(CONTROL!$C$9, $D$9, 100%, $F$9) + CHOOSE(CONTROL!$C$27, 0.0021, 0)</f>
        <v>21.533099999999997</v>
      </c>
      <c r="J55" s="10">
        <f>21.531 * CHOOSE(CONTROL!$C$9, $D$9, 100%, $F$9) + CHOOSE(CONTROL!$C$27, 0.0021, 0)</f>
        <v>21.533099999999997</v>
      </c>
      <c r="K55" s="10">
        <f>21.531 * CHOOSE(CONTROL!$C$9, $D$9, 100%, $F$9) + CHOOSE(CONTROL!$C$27, 0.0021, 0)</f>
        <v>21.533099999999997</v>
      </c>
      <c r="L55" s="10"/>
    </row>
    <row r="56" spans="1:12" ht="15" x14ac:dyDescent="0.2">
      <c r="A56" s="16">
        <v>42979</v>
      </c>
      <c r="B56" s="10">
        <f>22.3632 * CHOOSE(CONTROL!$C$9, $D$9, 100%, $F$9) + CHOOSE(CONTROL!$C$27, 0.0021, 0)</f>
        <v>22.365299999999998</v>
      </c>
      <c r="C56" s="10">
        <f>21.931 * CHOOSE(CONTROL!$C$9, $D$9, 100%, $F$9) + CHOOSE(CONTROL!$C$27, 0.0021, 0)</f>
        <v>21.9331</v>
      </c>
      <c r="D56" s="10">
        <f>21.931 * CHOOSE(CONTROL!$C$9, $D$9, 100%, $F$9) + CHOOSE(CONTROL!$C$27, 0.0021, 0)</f>
        <v>21.9331</v>
      </c>
      <c r="E56" s="10">
        <f>21.7943 * CHOOSE(CONTROL!$C$9, $D$9, 100%, $F$9) + CHOOSE(CONTROL!$C$27, 0.0021, 0)</f>
        <v>21.796399999999998</v>
      </c>
      <c r="F56" s="10">
        <f>21.7943 * CHOOSE(CONTROL!$C$9, $D$9, 100%, $F$9) + CHOOSE(CONTROL!$C$27, 0.0021, 0)</f>
        <v>21.796399999999998</v>
      </c>
      <c r="G56" s="10">
        <f>22.0657 * CHOOSE(CONTROL!$C$9, $D$9, 100%, $F$9) + CHOOSE(CONTROL!$C$27, 0.0021, 0)</f>
        <v>22.067799999999998</v>
      </c>
      <c r="H56" s="10">
        <f>21.931 * CHOOSE(CONTROL!$C$9, $D$9, 100%, $F$9) + CHOOSE(CONTROL!$C$27, 0.0021, 0)</f>
        <v>21.9331</v>
      </c>
      <c r="I56" s="10">
        <f>21.931 * CHOOSE(CONTROL!$C$9, $D$9, 100%, $F$9) + CHOOSE(CONTROL!$C$27, 0.0021, 0)</f>
        <v>21.9331</v>
      </c>
      <c r="J56" s="10">
        <f>21.931 * CHOOSE(CONTROL!$C$9, $D$9, 100%, $F$9) + CHOOSE(CONTROL!$C$27, 0.0021, 0)</f>
        <v>21.9331</v>
      </c>
      <c r="K56" s="10">
        <f>21.931 * CHOOSE(CONTROL!$C$9, $D$9, 100%, $F$9) + CHOOSE(CONTROL!$C$27, 0.0021, 0)</f>
        <v>21.9331</v>
      </c>
      <c r="L56" s="10"/>
    </row>
    <row r="57" spans="1:12" ht="15" x14ac:dyDescent="0.2">
      <c r="A57" s="16">
        <v>43009</v>
      </c>
      <c r="B57" s="10">
        <f>22.8696 * CHOOSE(CONTROL!$C$9, $D$9, 100%, $F$9) + CHOOSE(CONTROL!$C$27, 0.0021, 0)</f>
        <v>22.871699999999997</v>
      </c>
      <c r="C57" s="10">
        <f>22.4373 * CHOOSE(CONTROL!$C$9, $D$9, 100%, $F$9) + CHOOSE(CONTROL!$C$27, 0.0021, 0)</f>
        <v>22.439399999999999</v>
      </c>
      <c r="D57" s="10">
        <f>22.4373 * CHOOSE(CONTROL!$C$9, $D$9, 100%, $F$9) + CHOOSE(CONTROL!$C$27, 0.0021, 0)</f>
        <v>22.439399999999999</v>
      </c>
      <c r="E57" s="10">
        <f>22.3007 * CHOOSE(CONTROL!$C$9, $D$9, 100%, $F$9) + CHOOSE(CONTROL!$C$27, 0.0021, 0)</f>
        <v>22.302799999999998</v>
      </c>
      <c r="F57" s="10">
        <f>22.3007 * CHOOSE(CONTROL!$C$9, $D$9, 100%, $F$9) + CHOOSE(CONTROL!$C$27, 0.0021, 0)</f>
        <v>22.302799999999998</v>
      </c>
      <c r="G57" s="10">
        <f>22.572 * CHOOSE(CONTROL!$C$9, $D$9, 100%, $F$9) + CHOOSE(CONTROL!$C$27, 0.0021, 0)</f>
        <v>22.574099999999998</v>
      </c>
      <c r="H57" s="10">
        <f>22.4373 * CHOOSE(CONTROL!$C$9, $D$9, 100%, $F$9) + CHOOSE(CONTROL!$C$27, 0.0021, 0)</f>
        <v>22.439399999999999</v>
      </c>
      <c r="I57" s="10">
        <f>22.4373 * CHOOSE(CONTROL!$C$9, $D$9, 100%, $F$9) + CHOOSE(CONTROL!$C$27, 0.0021, 0)</f>
        <v>22.439399999999999</v>
      </c>
      <c r="J57" s="10">
        <f>22.4373 * CHOOSE(CONTROL!$C$9, $D$9, 100%, $F$9) + CHOOSE(CONTROL!$C$27, 0.0021, 0)</f>
        <v>22.439399999999999</v>
      </c>
      <c r="K57" s="10">
        <f>22.4373 * CHOOSE(CONTROL!$C$9, $D$9, 100%, $F$9) + CHOOSE(CONTROL!$C$27, 0.0021, 0)</f>
        <v>22.439399999999999</v>
      </c>
      <c r="L57" s="10"/>
    </row>
    <row r="58" spans="1:12" ht="15" x14ac:dyDescent="0.2">
      <c r="A58" s="16">
        <v>43040</v>
      </c>
      <c r="B58" s="10">
        <f>22.9171 * CHOOSE(CONTROL!$C$9, $D$9, 100%, $F$9) + CHOOSE(CONTROL!$C$27, 0.0021, 0)</f>
        <v>22.9192</v>
      </c>
      <c r="C58" s="10">
        <f>22.4848 * CHOOSE(CONTROL!$C$9, $D$9, 100%, $F$9) + CHOOSE(CONTROL!$C$27, 0.0021, 0)</f>
        <v>22.486899999999999</v>
      </c>
      <c r="D58" s="10">
        <f>22.4848 * CHOOSE(CONTROL!$C$9, $D$9, 100%, $F$9) + CHOOSE(CONTROL!$C$27, 0.0021, 0)</f>
        <v>22.486899999999999</v>
      </c>
      <c r="E58" s="10">
        <f>22.3482 * CHOOSE(CONTROL!$C$9, $D$9, 100%, $F$9) + CHOOSE(CONTROL!$C$27, 0.0021, 0)</f>
        <v>22.350299999999997</v>
      </c>
      <c r="F58" s="10">
        <f>22.3482 * CHOOSE(CONTROL!$C$9, $D$9, 100%, $F$9) + CHOOSE(CONTROL!$C$27, 0.0021, 0)</f>
        <v>22.350299999999997</v>
      </c>
      <c r="G58" s="10">
        <f>22.6196 * CHOOSE(CONTROL!$C$9, $D$9, 100%, $F$9) + CHOOSE(CONTROL!$C$27, 0.0021, 0)</f>
        <v>22.621699999999997</v>
      </c>
      <c r="H58" s="10">
        <f>22.4848 * CHOOSE(CONTROL!$C$9, $D$9, 100%, $F$9) + CHOOSE(CONTROL!$C$27, 0.0021, 0)</f>
        <v>22.486899999999999</v>
      </c>
      <c r="I58" s="10">
        <f>22.4848 * CHOOSE(CONTROL!$C$9, $D$9, 100%, $F$9) + CHOOSE(CONTROL!$C$27, 0.0021, 0)</f>
        <v>22.486899999999999</v>
      </c>
      <c r="J58" s="10">
        <f>22.4848 * CHOOSE(CONTROL!$C$9, $D$9, 100%, $F$9) + CHOOSE(CONTROL!$C$27, 0.0021, 0)</f>
        <v>22.486899999999999</v>
      </c>
      <c r="K58" s="10">
        <f>22.4848 * CHOOSE(CONTROL!$C$9, $D$9, 100%, $F$9) + CHOOSE(CONTROL!$C$27, 0.0021, 0)</f>
        <v>22.486899999999999</v>
      </c>
      <c r="L58" s="10"/>
    </row>
    <row r="59" spans="1:12" ht="15" x14ac:dyDescent="0.2">
      <c r="A59" s="16">
        <v>43070</v>
      </c>
      <c r="B59" s="10">
        <f>22.5127 * CHOOSE(CONTROL!$C$9, $D$9, 100%, $F$9) + CHOOSE(CONTROL!$C$27, 0.0021, 0)</f>
        <v>22.514799999999997</v>
      </c>
      <c r="C59" s="10">
        <f>22.0804 * CHOOSE(CONTROL!$C$9, $D$9, 100%, $F$9) + CHOOSE(CONTROL!$C$27, 0.0021, 0)</f>
        <v>22.0825</v>
      </c>
      <c r="D59" s="10">
        <f>22.0804 * CHOOSE(CONTROL!$C$9, $D$9, 100%, $F$9) + CHOOSE(CONTROL!$C$27, 0.0021, 0)</f>
        <v>22.0825</v>
      </c>
      <c r="E59" s="10">
        <f>21.9438 * CHOOSE(CONTROL!$C$9, $D$9, 100%, $F$9) + CHOOSE(CONTROL!$C$27, 0.0021, 0)</f>
        <v>21.945899999999998</v>
      </c>
      <c r="F59" s="10">
        <f>21.9438 * CHOOSE(CONTROL!$C$9, $D$9, 100%, $F$9) + CHOOSE(CONTROL!$C$27, 0.0021, 0)</f>
        <v>21.945899999999998</v>
      </c>
      <c r="G59" s="10">
        <f>22.2152 * CHOOSE(CONTROL!$C$9, $D$9, 100%, $F$9) + CHOOSE(CONTROL!$C$27, 0.0021, 0)</f>
        <v>22.217299999999998</v>
      </c>
      <c r="H59" s="10">
        <f>22.0804 * CHOOSE(CONTROL!$C$9, $D$9, 100%, $F$9) + CHOOSE(CONTROL!$C$27, 0.0021, 0)</f>
        <v>22.0825</v>
      </c>
      <c r="I59" s="10">
        <f>22.0804 * CHOOSE(CONTROL!$C$9, $D$9, 100%, $F$9) + CHOOSE(CONTROL!$C$27, 0.0021, 0)</f>
        <v>22.0825</v>
      </c>
      <c r="J59" s="10">
        <f>22.0804 * CHOOSE(CONTROL!$C$9, $D$9, 100%, $F$9) + CHOOSE(CONTROL!$C$27, 0.0021, 0)</f>
        <v>22.0825</v>
      </c>
      <c r="K59" s="10">
        <f>22.0804 * CHOOSE(CONTROL!$C$9, $D$9, 100%, $F$9) + CHOOSE(CONTROL!$C$27, 0.0021, 0)</f>
        <v>22.0825</v>
      </c>
      <c r="L59" s="10"/>
    </row>
    <row r="60" spans="1:12" ht="15" x14ac:dyDescent="0.2">
      <c r="A60" s="16">
        <v>43101</v>
      </c>
      <c r="B60" s="10">
        <f>22.5513 * CHOOSE(CONTROL!$C$9, $D$9, 100%, $F$9) + CHOOSE(CONTROL!$C$27, 0.0021, 0)</f>
        <v>22.5534</v>
      </c>
      <c r="C60" s="10">
        <f>22.1191 * CHOOSE(CONTROL!$C$9, $D$9, 100%, $F$9) + CHOOSE(CONTROL!$C$27, 0.0021, 0)</f>
        <v>22.121199999999998</v>
      </c>
      <c r="D60" s="10">
        <f>22.1191 * CHOOSE(CONTROL!$C$9, $D$9, 100%, $F$9) + CHOOSE(CONTROL!$C$27, 0.0021, 0)</f>
        <v>22.121199999999998</v>
      </c>
      <c r="E60" s="10">
        <f>21.9824 * CHOOSE(CONTROL!$C$9, $D$9, 100%, $F$9) + CHOOSE(CONTROL!$C$27, 0.0021, 0)</f>
        <v>21.984499999999997</v>
      </c>
      <c r="F60" s="10">
        <f>21.9824 * CHOOSE(CONTROL!$C$9, $D$9, 100%, $F$9) + CHOOSE(CONTROL!$C$27, 0.0021, 0)</f>
        <v>21.984499999999997</v>
      </c>
      <c r="G60" s="10">
        <f>22.2538 * CHOOSE(CONTROL!$C$9, $D$9, 100%, $F$9) + CHOOSE(CONTROL!$C$27, 0.0021, 0)</f>
        <v>22.255899999999997</v>
      </c>
      <c r="H60" s="10">
        <f>22.1191 * CHOOSE(CONTROL!$C$9, $D$9, 100%, $F$9) + CHOOSE(CONTROL!$C$27, 0.0021, 0)</f>
        <v>22.121199999999998</v>
      </c>
      <c r="I60" s="10">
        <f>22.1191 * CHOOSE(CONTROL!$C$9, $D$9, 100%, $F$9) + CHOOSE(CONTROL!$C$27, 0.0021, 0)</f>
        <v>22.121199999999998</v>
      </c>
      <c r="J60" s="10">
        <f>22.1191 * CHOOSE(CONTROL!$C$9, $D$9, 100%, $F$9) + CHOOSE(CONTROL!$C$27, 0.0021, 0)</f>
        <v>22.121199999999998</v>
      </c>
      <c r="K60" s="10">
        <f>22.1191 * CHOOSE(CONTROL!$C$9, $D$9, 100%, $F$9) + CHOOSE(CONTROL!$C$27, 0.0021, 0)</f>
        <v>22.121199999999998</v>
      </c>
      <c r="L60" s="10"/>
    </row>
    <row r="61" spans="1:12" ht="15" x14ac:dyDescent="0.2">
      <c r="A61" s="16">
        <v>43132</v>
      </c>
      <c r="B61" s="10">
        <f>21.9783 * CHOOSE(CONTROL!$C$9, $D$9, 100%, $F$9) + CHOOSE(CONTROL!$C$27, 0.0021, 0)</f>
        <v>21.980399999999999</v>
      </c>
      <c r="C61" s="10">
        <f>21.546 * CHOOSE(CONTROL!$C$9, $D$9, 100%, $F$9) + CHOOSE(CONTROL!$C$27, 0.0021, 0)</f>
        <v>21.548099999999998</v>
      </c>
      <c r="D61" s="10">
        <f>21.546 * CHOOSE(CONTROL!$C$9, $D$9, 100%, $F$9) + CHOOSE(CONTROL!$C$27, 0.0021, 0)</f>
        <v>21.548099999999998</v>
      </c>
      <c r="E61" s="10">
        <f>21.4094 * CHOOSE(CONTROL!$C$9, $D$9, 100%, $F$9) + CHOOSE(CONTROL!$C$27, 0.0021, 0)</f>
        <v>21.4115</v>
      </c>
      <c r="F61" s="10">
        <f>21.4094 * CHOOSE(CONTROL!$C$9, $D$9, 100%, $F$9) + CHOOSE(CONTROL!$C$27, 0.0021, 0)</f>
        <v>21.4115</v>
      </c>
      <c r="G61" s="10">
        <f>21.6808 * CHOOSE(CONTROL!$C$9, $D$9, 100%, $F$9) + CHOOSE(CONTROL!$C$27, 0.0021, 0)</f>
        <v>21.6829</v>
      </c>
      <c r="H61" s="10">
        <f>21.546 * CHOOSE(CONTROL!$C$9, $D$9, 100%, $F$9) + CHOOSE(CONTROL!$C$27, 0.0021, 0)</f>
        <v>21.548099999999998</v>
      </c>
      <c r="I61" s="10">
        <f>21.546 * CHOOSE(CONTROL!$C$9, $D$9, 100%, $F$9) + CHOOSE(CONTROL!$C$27, 0.0021, 0)</f>
        <v>21.548099999999998</v>
      </c>
      <c r="J61" s="10">
        <f>21.546 * CHOOSE(CONTROL!$C$9, $D$9, 100%, $F$9) + CHOOSE(CONTROL!$C$27, 0.0021, 0)</f>
        <v>21.548099999999998</v>
      </c>
      <c r="K61" s="10">
        <f>21.546 * CHOOSE(CONTROL!$C$9, $D$9, 100%, $F$9) + CHOOSE(CONTROL!$C$27, 0.0021, 0)</f>
        <v>21.548099999999998</v>
      </c>
      <c r="L61" s="10"/>
    </row>
    <row r="62" spans="1:12" ht="15" x14ac:dyDescent="0.2">
      <c r="A62" s="16">
        <v>43160</v>
      </c>
      <c r="B62" s="10">
        <f>21.7417 * CHOOSE(CONTROL!$C$9, $D$9, 100%, $F$9) + CHOOSE(CONTROL!$C$27, 0.0021, 0)</f>
        <v>21.7438</v>
      </c>
      <c r="C62" s="10">
        <f>21.3095 * CHOOSE(CONTROL!$C$9, $D$9, 100%, $F$9) + CHOOSE(CONTROL!$C$27, 0.0021, 0)</f>
        <v>21.311599999999999</v>
      </c>
      <c r="D62" s="10">
        <f>21.3095 * CHOOSE(CONTROL!$C$9, $D$9, 100%, $F$9) + CHOOSE(CONTROL!$C$27, 0.0021, 0)</f>
        <v>21.311599999999999</v>
      </c>
      <c r="E62" s="10">
        <f>21.1728 * CHOOSE(CONTROL!$C$9, $D$9, 100%, $F$9) + CHOOSE(CONTROL!$C$27, 0.0021, 0)</f>
        <v>21.174899999999997</v>
      </c>
      <c r="F62" s="10">
        <f>21.1728 * CHOOSE(CONTROL!$C$9, $D$9, 100%, $F$9) + CHOOSE(CONTROL!$C$27, 0.0021, 0)</f>
        <v>21.174899999999997</v>
      </c>
      <c r="G62" s="10">
        <f>21.4442 * CHOOSE(CONTROL!$C$9, $D$9, 100%, $F$9) + CHOOSE(CONTROL!$C$27, 0.0021, 0)</f>
        <v>21.446299999999997</v>
      </c>
      <c r="H62" s="10">
        <f>21.3095 * CHOOSE(CONTROL!$C$9, $D$9, 100%, $F$9) + CHOOSE(CONTROL!$C$27, 0.0021, 0)</f>
        <v>21.311599999999999</v>
      </c>
      <c r="I62" s="10">
        <f>21.3095 * CHOOSE(CONTROL!$C$9, $D$9, 100%, $F$9) + CHOOSE(CONTROL!$C$27, 0.0021, 0)</f>
        <v>21.311599999999999</v>
      </c>
      <c r="J62" s="10">
        <f>21.3095 * CHOOSE(CONTROL!$C$9, $D$9, 100%, $F$9) + CHOOSE(CONTROL!$C$27, 0.0021, 0)</f>
        <v>21.311599999999999</v>
      </c>
      <c r="K62" s="10">
        <f>21.3095 * CHOOSE(CONTROL!$C$9, $D$9, 100%, $F$9) + CHOOSE(CONTROL!$C$27, 0.0021, 0)</f>
        <v>21.311599999999999</v>
      </c>
      <c r="L62" s="10"/>
    </row>
    <row r="63" spans="1:12" ht="15" x14ac:dyDescent="0.2">
      <c r="A63" s="16">
        <v>43191</v>
      </c>
      <c r="B63" s="10">
        <f>21.4593 * CHOOSE(CONTROL!$C$9, $D$9, 100%, $F$9) + CHOOSE(CONTROL!$C$27, 0.0021, 0)</f>
        <v>21.461399999999998</v>
      </c>
      <c r="C63" s="10">
        <f>21.027 * CHOOSE(CONTROL!$C$9, $D$9, 100%, $F$9) + CHOOSE(CONTROL!$C$27, 0.0021, 0)</f>
        <v>21.0291</v>
      </c>
      <c r="D63" s="10">
        <f>21.027 * CHOOSE(CONTROL!$C$9, $D$9, 100%, $F$9) + CHOOSE(CONTROL!$C$27, 0.0021, 0)</f>
        <v>21.0291</v>
      </c>
      <c r="E63" s="10">
        <f>20.8904 * CHOOSE(CONTROL!$C$9, $D$9, 100%, $F$9) + CHOOSE(CONTROL!$C$27, 0.0021, 0)</f>
        <v>20.892499999999998</v>
      </c>
      <c r="F63" s="10">
        <f>20.8904 * CHOOSE(CONTROL!$C$9, $D$9, 100%, $F$9) + CHOOSE(CONTROL!$C$27, 0.0021, 0)</f>
        <v>20.892499999999998</v>
      </c>
      <c r="G63" s="10">
        <f>21.1618 * CHOOSE(CONTROL!$C$9, $D$9, 100%, $F$9) + CHOOSE(CONTROL!$C$27, 0.0021, 0)</f>
        <v>21.163899999999998</v>
      </c>
      <c r="H63" s="10">
        <f>21.027 * CHOOSE(CONTROL!$C$9, $D$9, 100%, $F$9) + CHOOSE(CONTROL!$C$27, 0.0021, 0)</f>
        <v>21.0291</v>
      </c>
      <c r="I63" s="10">
        <f>21.027 * CHOOSE(CONTROL!$C$9, $D$9, 100%, $F$9) + CHOOSE(CONTROL!$C$27, 0.0021, 0)</f>
        <v>21.0291</v>
      </c>
      <c r="J63" s="10">
        <f>21.027 * CHOOSE(CONTROL!$C$9, $D$9, 100%, $F$9) + CHOOSE(CONTROL!$C$27, 0.0021, 0)</f>
        <v>21.0291</v>
      </c>
      <c r="K63" s="10">
        <f>21.027 * CHOOSE(CONTROL!$C$9, $D$9, 100%, $F$9) + CHOOSE(CONTROL!$C$27, 0.0021, 0)</f>
        <v>21.0291</v>
      </c>
      <c r="L63" s="10"/>
    </row>
    <row r="64" spans="1:12" ht="15" x14ac:dyDescent="0.2">
      <c r="A64" s="16">
        <v>43221</v>
      </c>
      <c r="B64" s="10">
        <f>21.8618 * CHOOSE(CONTROL!$C$9, $D$9, 100%, $F$9) + CHOOSE(CONTROL!$C$27, 0.0021, 0)</f>
        <v>21.863899999999997</v>
      </c>
      <c r="C64" s="10">
        <f>21.4296 * CHOOSE(CONTROL!$C$9, $D$9, 100%, $F$9) + CHOOSE(CONTROL!$C$27, 0.0021, 0)</f>
        <v>21.431699999999999</v>
      </c>
      <c r="D64" s="10">
        <f>21.4296 * CHOOSE(CONTROL!$C$9, $D$9, 100%, $F$9) + CHOOSE(CONTROL!$C$27, 0.0021, 0)</f>
        <v>21.431699999999999</v>
      </c>
      <c r="E64" s="10">
        <f>21.2929 * CHOOSE(CONTROL!$C$9, $D$9, 100%, $F$9) + CHOOSE(CONTROL!$C$27, 0.0021, 0)</f>
        <v>21.294999999999998</v>
      </c>
      <c r="F64" s="10">
        <f>21.2929 * CHOOSE(CONTROL!$C$9, $D$9, 100%, $F$9) + CHOOSE(CONTROL!$C$27, 0.0021, 0)</f>
        <v>21.294999999999998</v>
      </c>
      <c r="G64" s="10">
        <f>21.5643 * CHOOSE(CONTROL!$C$9, $D$9, 100%, $F$9) + CHOOSE(CONTROL!$C$27, 0.0021, 0)</f>
        <v>21.566399999999998</v>
      </c>
      <c r="H64" s="10">
        <f>21.4296 * CHOOSE(CONTROL!$C$9, $D$9, 100%, $F$9) + CHOOSE(CONTROL!$C$27, 0.0021, 0)</f>
        <v>21.431699999999999</v>
      </c>
      <c r="I64" s="10">
        <f>21.4296 * CHOOSE(CONTROL!$C$9, $D$9, 100%, $F$9) + CHOOSE(CONTROL!$C$27, 0.0021, 0)</f>
        <v>21.431699999999999</v>
      </c>
      <c r="J64" s="10">
        <f>21.4296 * CHOOSE(CONTROL!$C$9, $D$9, 100%, $F$9) + CHOOSE(CONTROL!$C$27, 0.0021, 0)</f>
        <v>21.431699999999999</v>
      </c>
      <c r="K64" s="10">
        <f>21.4296 * CHOOSE(CONTROL!$C$9, $D$9, 100%, $F$9) + CHOOSE(CONTROL!$C$27, 0.0021, 0)</f>
        <v>21.431699999999999</v>
      </c>
      <c r="L64" s="10"/>
    </row>
    <row r="65" spans="1:12" ht="15" x14ac:dyDescent="0.2">
      <c r="A65" s="16">
        <v>43252</v>
      </c>
      <c r="B65" s="10">
        <f>22.1029 * CHOOSE(CONTROL!$C$9, $D$9, 100%, $F$9) + CHOOSE(CONTROL!$C$27, 0.0021, 0)</f>
        <v>22.105</v>
      </c>
      <c r="C65" s="10">
        <f>21.6706 * CHOOSE(CONTROL!$C$9, $D$9, 100%, $F$9) + CHOOSE(CONTROL!$C$27, 0.0021, 0)</f>
        <v>21.672699999999999</v>
      </c>
      <c r="D65" s="10">
        <f>21.6706 * CHOOSE(CONTROL!$C$9, $D$9, 100%, $F$9) + CHOOSE(CONTROL!$C$27, 0.0021, 0)</f>
        <v>21.672699999999999</v>
      </c>
      <c r="E65" s="10">
        <f>21.534 * CHOOSE(CONTROL!$C$9, $D$9, 100%, $F$9) + CHOOSE(CONTROL!$C$27, 0.0021, 0)</f>
        <v>21.536099999999998</v>
      </c>
      <c r="F65" s="10">
        <f>21.534 * CHOOSE(CONTROL!$C$9, $D$9, 100%, $F$9) + CHOOSE(CONTROL!$C$27, 0.0021, 0)</f>
        <v>21.536099999999998</v>
      </c>
      <c r="G65" s="10">
        <f>21.8054 * CHOOSE(CONTROL!$C$9, $D$9, 100%, $F$9) + CHOOSE(CONTROL!$C$27, 0.0021, 0)</f>
        <v>21.807499999999997</v>
      </c>
      <c r="H65" s="10">
        <f>21.6706 * CHOOSE(CONTROL!$C$9, $D$9, 100%, $F$9) + CHOOSE(CONTROL!$C$27, 0.0021, 0)</f>
        <v>21.672699999999999</v>
      </c>
      <c r="I65" s="10">
        <f>21.6706 * CHOOSE(CONTROL!$C$9, $D$9, 100%, $F$9) + CHOOSE(CONTROL!$C$27, 0.0021, 0)</f>
        <v>21.672699999999999</v>
      </c>
      <c r="J65" s="10">
        <f>21.6706 * CHOOSE(CONTROL!$C$9, $D$9, 100%, $F$9) + CHOOSE(CONTROL!$C$27, 0.0021, 0)</f>
        <v>21.672699999999999</v>
      </c>
      <c r="K65" s="10">
        <f>21.6706 * CHOOSE(CONTROL!$C$9, $D$9, 100%, $F$9) + CHOOSE(CONTROL!$C$27, 0.0021, 0)</f>
        <v>21.672699999999999</v>
      </c>
      <c r="L65" s="10"/>
    </row>
    <row r="66" spans="1:12" ht="15" x14ac:dyDescent="0.2">
      <c r="A66" s="16">
        <v>43282</v>
      </c>
      <c r="B66" s="10">
        <f>22.5006 * CHOOSE(CONTROL!$C$9, $D$9, 100%, $F$9) + CHOOSE(CONTROL!$C$27, 0.0021, 0)</f>
        <v>22.502699999999997</v>
      </c>
      <c r="C66" s="10">
        <f>22.0684 * CHOOSE(CONTROL!$C$9, $D$9, 100%, $F$9) + CHOOSE(CONTROL!$C$27, 0.0021, 0)</f>
        <v>22.070499999999999</v>
      </c>
      <c r="D66" s="10">
        <f>22.0684 * CHOOSE(CONTROL!$C$9, $D$9, 100%, $F$9) + CHOOSE(CONTROL!$C$27, 0.0021, 0)</f>
        <v>22.070499999999999</v>
      </c>
      <c r="E66" s="10">
        <f>21.9317 * CHOOSE(CONTROL!$C$9, $D$9, 100%, $F$9) + CHOOSE(CONTROL!$C$27, 0.0021, 0)</f>
        <v>21.933799999999998</v>
      </c>
      <c r="F66" s="10">
        <f>21.9317 * CHOOSE(CONTROL!$C$9, $D$9, 100%, $F$9) + CHOOSE(CONTROL!$C$27, 0.0021, 0)</f>
        <v>21.933799999999998</v>
      </c>
      <c r="G66" s="10">
        <f>22.2031 * CHOOSE(CONTROL!$C$9, $D$9, 100%, $F$9) + CHOOSE(CONTROL!$C$27, 0.0021, 0)</f>
        <v>22.205199999999998</v>
      </c>
      <c r="H66" s="10">
        <f>22.0684 * CHOOSE(CONTROL!$C$9, $D$9, 100%, $F$9) + CHOOSE(CONTROL!$C$27, 0.0021, 0)</f>
        <v>22.070499999999999</v>
      </c>
      <c r="I66" s="10">
        <f>22.0684 * CHOOSE(CONTROL!$C$9, $D$9, 100%, $F$9) + CHOOSE(CONTROL!$C$27, 0.0021, 0)</f>
        <v>22.070499999999999</v>
      </c>
      <c r="J66" s="10">
        <f>22.0684 * CHOOSE(CONTROL!$C$9, $D$9, 100%, $F$9) + CHOOSE(CONTROL!$C$27, 0.0021, 0)</f>
        <v>22.070499999999999</v>
      </c>
      <c r="K66" s="10">
        <f>22.0684 * CHOOSE(CONTROL!$C$9, $D$9, 100%, $F$9) + CHOOSE(CONTROL!$C$27, 0.0021, 0)</f>
        <v>22.070499999999999</v>
      </c>
      <c r="L66" s="10"/>
    </row>
    <row r="67" spans="1:12" ht="15" x14ac:dyDescent="0.2">
      <c r="A67" s="16">
        <v>43313</v>
      </c>
      <c r="B67" s="10">
        <f>22.622 * CHOOSE(CONTROL!$C$9, $D$9, 100%, $F$9) + CHOOSE(CONTROL!$C$27, 0.0021, 0)</f>
        <v>22.624099999999999</v>
      </c>
      <c r="C67" s="10">
        <f>22.1898 * CHOOSE(CONTROL!$C$9, $D$9, 100%, $F$9) + CHOOSE(CONTROL!$C$27, 0.0021, 0)</f>
        <v>22.1919</v>
      </c>
      <c r="D67" s="10">
        <f>22.1898 * CHOOSE(CONTROL!$C$9, $D$9, 100%, $F$9) + CHOOSE(CONTROL!$C$27, 0.0021, 0)</f>
        <v>22.1919</v>
      </c>
      <c r="E67" s="10">
        <f>22.0531 * CHOOSE(CONTROL!$C$9, $D$9, 100%, $F$9) + CHOOSE(CONTROL!$C$27, 0.0021, 0)</f>
        <v>22.055199999999999</v>
      </c>
      <c r="F67" s="10">
        <f>22.0531 * CHOOSE(CONTROL!$C$9, $D$9, 100%, $F$9) + CHOOSE(CONTROL!$C$27, 0.0021, 0)</f>
        <v>22.055199999999999</v>
      </c>
      <c r="G67" s="10">
        <f>22.3245 * CHOOSE(CONTROL!$C$9, $D$9, 100%, $F$9) + CHOOSE(CONTROL!$C$27, 0.0021, 0)</f>
        <v>22.326599999999999</v>
      </c>
      <c r="H67" s="10">
        <f>22.1898 * CHOOSE(CONTROL!$C$9, $D$9, 100%, $F$9) + CHOOSE(CONTROL!$C$27, 0.0021, 0)</f>
        <v>22.1919</v>
      </c>
      <c r="I67" s="10">
        <f>22.1898 * CHOOSE(CONTROL!$C$9, $D$9, 100%, $F$9) + CHOOSE(CONTROL!$C$27, 0.0021, 0)</f>
        <v>22.1919</v>
      </c>
      <c r="J67" s="10">
        <f>22.1898 * CHOOSE(CONTROL!$C$9, $D$9, 100%, $F$9) + CHOOSE(CONTROL!$C$27, 0.0021, 0)</f>
        <v>22.1919</v>
      </c>
      <c r="K67" s="10">
        <f>22.1898 * CHOOSE(CONTROL!$C$9, $D$9, 100%, $F$9) + CHOOSE(CONTROL!$C$27, 0.0021, 0)</f>
        <v>22.1919</v>
      </c>
      <c r="L67" s="10"/>
    </row>
    <row r="68" spans="1:12" ht="15" x14ac:dyDescent="0.2">
      <c r="A68" s="16">
        <v>43344</v>
      </c>
      <c r="B68" s="10">
        <f>23.0354 * CHOOSE(CONTROL!$C$9, $D$9, 100%, $F$9) + CHOOSE(CONTROL!$C$27, 0.0021, 0)</f>
        <v>23.037499999999998</v>
      </c>
      <c r="C68" s="10">
        <f>22.6032 * CHOOSE(CONTROL!$C$9, $D$9, 100%, $F$9) + CHOOSE(CONTROL!$C$27, 0.0021, 0)</f>
        <v>22.6053</v>
      </c>
      <c r="D68" s="10">
        <f>22.6032 * CHOOSE(CONTROL!$C$9, $D$9, 100%, $F$9) + CHOOSE(CONTROL!$C$27, 0.0021, 0)</f>
        <v>22.6053</v>
      </c>
      <c r="E68" s="10">
        <f>22.4665 * CHOOSE(CONTROL!$C$9, $D$9, 100%, $F$9) + CHOOSE(CONTROL!$C$27, 0.0021, 0)</f>
        <v>22.468599999999999</v>
      </c>
      <c r="F68" s="10">
        <f>22.4665 * CHOOSE(CONTROL!$C$9, $D$9, 100%, $F$9) + CHOOSE(CONTROL!$C$27, 0.0021, 0)</f>
        <v>22.468599999999999</v>
      </c>
      <c r="G68" s="10">
        <f>22.7379 * CHOOSE(CONTROL!$C$9, $D$9, 100%, $F$9) + CHOOSE(CONTROL!$C$27, 0.0021, 0)</f>
        <v>22.74</v>
      </c>
      <c r="H68" s="10">
        <f>22.6032 * CHOOSE(CONTROL!$C$9, $D$9, 100%, $F$9) + CHOOSE(CONTROL!$C$27, 0.0021, 0)</f>
        <v>22.6053</v>
      </c>
      <c r="I68" s="10">
        <f>22.6032 * CHOOSE(CONTROL!$C$9, $D$9, 100%, $F$9) + CHOOSE(CONTROL!$C$27, 0.0021, 0)</f>
        <v>22.6053</v>
      </c>
      <c r="J68" s="10">
        <f>22.6032 * CHOOSE(CONTROL!$C$9, $D$9, 100%, $F$9) + CHOOSE(CONTROL!$C$27, 0.0021, 0)</f>
        <v>22.6053</v>
      </c>
      <c r="K68" s="10">
        <f>22.6032 * CHOOSE(CONTROL!$C$9, $D$9, 100%, $F$9) + CHOOSE(CONTROL!$C$27, 0.0021, 0)</f>
        <v>22.6053</v>
      </c>
      <c r="L68" s="10"/>
    </row>
    <row r="69" spans="1:12" ht="15" x14ac:dyDescent="0.2">
      <c r="A69" s="16">
        <v>43374</v>
      </c>
      <c r="B69" s="10">
        <f>23.5587 * CHOOSE(CONTROL!$C$9, $D$9, 100%, $F$9) + CHOOSE(CONTROL!$C$27, 0.0021, 0)</f>
        <v>23.5608</v>
      </c>
      <c r="C69" s="10">
        <f>23.1265 * CHOOSE(CONTROL!$C$9, $D$9, 100%, $F$9) + CHOOSE(CONTROL!$C$27, 0.0021, 0)</f>
        <v>23.128599999999999</v>
      </c>
      <c r="D69" s="10">
        <f>23.1265 * CHOOSE(CONTROL!$C$9, $D$9, 100%, $F$9) + CHOOSE(CONTROL!$C$27, 0.0021, 0)</f>
        <v>23.128599999999999</v>
      </c>
      <c r="E69" s="10">
        <f>22.9898 * CHOOSE(CONTROL!$C$9, $D$9, 100%, $F$9) + CHOOSE(CONTROL!$C$27, 0.0021, 0)</f>
        <v>22.991899999999998</v>
      </c>
      <c r="F69" s="10">
        <f>22.9898 * CHOOSE(CONTROL!$C$9, $D$9, 100%, $F$9) + CHOOSE(CONTROL!$C$27, 0.0021, 0)</f>
        <v>22.991899999999998</v>
      </c>
      <c r="G69" s="10">
        <f>23.2612 * CHOOSE(CONTROL!$C$9, $D$9, 100%, $F$9) + CHOOSE(CONTROL!$C$27, 0.0021, 0)</f>
        <v>23.263299999999997</v>
      </c>
      <c r="H69" s="10">
        <f>23.1265 * CHOOSE(CONTROL!$C$9, $D$9, 100%, $F$9) + CHOOSE(CONTROL!$C$27, 0.0021, 0)</f>
        <v>23.128599999999999</v>
      </c>
      <c r="I69" s="10">
        <f>23.1265 * CHOOSE(CONTROL!$C$9, $D$9, 100%, $F$9) + CHOOSE(CONTROL!$C$27, 0.0021, 0)</f>
        <v>23.128599999999999</v>
      </c>
      <c r="J69" s="10">
        <f>23.1265 * CHOOSE(CONTROL!$C$9, $D$9, 100%, $F$9) + CHOOSE(CONTROL!$C$27, 0.0021, 0)</f>
        <v>23.128599999999999</v>
      </c>
      <c r="K69" s="10">
        <f>23.1265 * CHOOSE(CONTROL!$C$9, $D$9, 100%, $F$9) + CHOOSE(CONTROL!$C$27, 0.0021, 0)</f>
        <v>23.128599999999999</v>
      </c>
      <c r="L69" s="10"/>
    </row>
    <row r="70" spans="1:12" ht="15" x14ac:dyDescent="0.2">
      <c r="A70" s="16">
        <v>43405</v>
      </c>
      <c r="B70" s="10">
        <f>23.6078 * CHOOSE(CONTROL!$C$9, $D$9, 100%, $F$9) + CHOOSE(CONTROL!$C$27, 0.0021, 0)</f>
        <v>23.6099</v>
      </c>
      <c r="C70" s="10">
        <f>23.1756 * CHOOSE(CONTROL!$C$9, $D$9, 100%, $F$9) + CHOOSE(CONTROL!$C$27, 0.0021, 0)</f>
        <v>23.177699999999998</v>
      </c>
      <c r="D70" s="10">
        <f>23.1756 * CHOOSE(CONTROL!$C$9, $D$9, 100%, $F$9) + CHOOSE(CONTROL!$C$27, 0.0021, 0)</f>
        <v>23.177699999999998</v>
      </c>
      <c r="E70" s="10">
        <f>23.0389 * CHOOSE(CONTROL!$C$9, $D$9, 100%, $F$9) + CHOOSE(CONTROL!$C$27, 0.0021, 0)</f>
        <v>23.041</v>
      </c>
      <c r="F70" s="10">
        <f>23.0389 * CHOOSE(CONTROL!$C$9, $D$9, 100%, $F$9) + CHOOSE(CONTROL!$C$27, 0.0021, 0)</f>
        <v>23.041</v>
      </c>
      <c r="G70" s="10">
        <f>23.3103 * CHOOSE(CONTROL!$C$9, $D$9, 100%, $F$9) + CHOOSE(CONTROL!$C$27, 0.0021, 0)</f>
        <v>23.3124</v>
      </c>
      <c r="H70" s="10">
        <f>23.1756 * CHOOSE(CONTROL!$C$9, $D$9, 100%, $F$9) + CHOOSE(CONTROL!$C$27, 0.0021, 0)</f>
        <v>23.177699999999998</v>
      </c>
      <c r="I70" s="10">
        <f>23.1756 * CHOOSE(CONTROL!$C$9, $D$9, 100%, $F$9) + CHOOSE(CONTROL!$C$27, 0.0021, 0)</f>
        <v>23.177699999999998</v>
      </c>
      <c r="J70" s="10">
        <f>23.1756 * CHOOSE(CONTROL!$C$9, $D$9, 100%, $F$9) + CHOOSE(CONTROL!$C$27, 0.0021, 0)</f>
        <v>23.177699999999998</v>
      </c>
      <c r="K70" s="10">
        <f>23.1756 * CHOOSE(CONTROL!$C$9, $D$9, 100%, $F$9) + CHOOSE(CONTROL!$C$27, 0.0021, 0)</f>
        <v>23.177699999999998</v>
      </c>
      <c r="L70" s="10"/>
    </row>
    <row r="71" spans="1:12" ht="15" x14ac:dyDescent="0.2">
      <c r="A71" s="16">
        <v>43435</v>
      </c>
      <c r="B71" s="10">
        <f>23.1899 * CHOOSE(CONTROL!$C$9, $D$9, 100%, $F$9) + CHOOSE(CONTROL!$C$27, 0.0021, 0)</f>
        <v>23.192</v>
      </c>
      <c r="C71" s="10">
        <f>22.7576 * CHOOSE(CONTROL!$C$9, $D$9, 100%, $F$9) + CHOOSE(CONTROL!$C$27, 0.0021, 0)</f>
        <v>22.759699999999999</v>
      </c>
      <c r="D71" s="10">
        <f>22.7576 * CHOOSE(CONTROL!$C$9, $D$9, 100%, $F$9) + CHOOSE(CONTROL!$C$27, 0.0021, 0)</f>
        <v>22.759699999999999</v>
      </c>
      <c r="E71" s="10">
        <f>22.621 * CHOOSE(CONTROL!$C$9, $D$9, 100%, $F$9) + CHOOSE(CONTROL!$C$27, 0.0021, 0)</f>
        <v>22.623099999999997</v>
      </c>
      <c r="F71" s="10">
        <f>22.621 * CHOOSE(CONTROL!$C$9, $D$9, 100%, $F$9) + CHOOSE(CONTROL!$C$27, 0.0021, 0)</f>
        <v>22.623099999999997</v>
      </c>
      <c r="G71" s="10">
        <f>22.8923 * CHOOSE(CONTROL!$C$9, $D$9, 100%, $F$9) + CHOOSE(CONTROL!$C$27, 0.0021, 0)</f>
        <v>22.894399999999997</v>
      </c>
      <c r="H71" s="10">
        <f>22.7576 * CHOOSE(CONTROL!$C$9, $D$9, 100%, $F$9) + CHOOSE(CONTROL!$C$27, 0.0021, 0)</f>
        <v>22.759699999999999</v>
      </c>
      <c r="I71" s="10">
        <f>22.7576 * CHOOSE(CONTROL!$C$9, $D$9, 100%, $F$9) + CHOOSE(CONTROL!$C$27, 0.0021, 0)</f>
        <v>22.759699999999999</v>
      </c>
      <c r="J71" s="10">
        <f>22.7576 * CHOOSE(CONTROL!$C$9, $D$9, 100%, $F$9) + CHOOSE(CONTROL!$C$27, 0.0021, 0)</f>
        <v>22.759699999999999</v>
      </c>
      <c r="K71" s="10">
        <f>22.7576 * CHOOSE(CONTROL!$C$9, $D$9, 100%, $F$9) + CHOOSE(CONTROL!$C$27, 0.0021, 0)</f>
        <v>22.759699999999999</v>
      </c>
      <c r="L71" s="10"/>
    </row>
    <row r="72" spans="1:12" ht="15" x14ac:dyDescent="0.2">
      <c r="A72" s="16">
        <v>43466</v>
      </c>
      <c r="B72" s="10">
        <f>23.9219 * CHOOSE(CONTROL!$C$9, $D$9, 100%, $F$9) + CHOOSE(CONTROL!$C$27, 0.0021, 0)</f>
        <v>23.923999999999999</v>
      </c>
      <c r="C72" s="10">
        <f>23.4897 * CHOOSE(CONTROL!$C$9, $D$9, 100%, $F$9) + CHOOSE(CONTROL!$C$27, 0.0021, 0)</f>
        <v>23.491799999999998</v>
      </c>
      <c r="D72" s="10">
        <f>23.4897 * CHOOSE(CONTROL!$C$9, $D$9, 100%, $F$9) + CHOOSE(CONTROL!$C$27, 0.0021, 0)</f>
        <v>23.491799999999998</v>
      </c>
      <c r="E72" s="10">
        <f>23.353 * CHOOSE(CONTROL!$C$9, $D$9, 100%, $F$9) + CHOOSE(CONTROL!$C$27, 0.0021, 0)</f>
        <v>23.3551</v>
      </c>
      <c r="F72" s="10">
        <f>23.353 * CHOOSE(CONTROL!$C$9, $D$9, 100%, $F$9) + CHOOSE(CONTROL!$C$27, 0.0021, 0)</f>
        <v>23.3551</v>
      </c>
      <c r="G72" s="10">
        <f>23.6244 * CHOOSE(CONTROL!$C$9, $D$9, 100%, $F$9) + CHOOSE(CONTROL!$C$27, 0.0021, 0)</f>
        <v>23.6265</v>
      </c>
      <c r="H72" s="10">
        <f>23.4897 * CHOOSE(CONTROL!$C$9, $D$9, 100%, $F$9) + CHOOSE(CONTROL!$C$27, 0.0021, 0)</f>
        <v>23.491799999999998</v>
      </c>
      <c r="I72" s="10">
        <f>23.4897 * CHOOSE(CONTROL!$C$9, $D$9, 100%, $F$9) + CHOOSE(CONTROL!$C$27, 0.0021, 0)</f>
        <v>23.491799999999998</v>
      </c>
      <c r="J72" s="10">
        <f>23.4897 * CHOOSE(CONTROL!$C$9, $D$9, 100%, $F$9) + CHOOSE(CONTROL!$C$27, 0.0021, 0)</f>
        <v>23.491799999999998</v>
      </c>
      <c r="K72" s="10">
        <f>23.4897 * CHOOSE(CONTROL!$C$9, $D$9, 100%, $F$9) + CHOOSE(CONTROL!$C$27, 0.0021, 0)</f>
        <v>23.491799999999998</v>
      </c>
      <c r="L72" s="10"/>
    </row>
    <row r="73" spans="1:12" ht="15" x14ac:dyDescent="0.2">
      <c r="A73" s="16">
        <v>43497</v>
      </c>
      <c r="B73" s="10">
        <f>23.3101 * CHOOSE(CONTROL!$C$9, $D$9, 100%, $F$9) + CHOOSE(CONTROL!$C$27, 0.0021, 0)</f>
        <v>23.312199999999997</v>
      </c>
      <c r="C73" s="10">
        <f>22.8779 * CHOOSE(CONTROL!$C$9, $D$9, 100%, $F$9) + CHOOSE(CONTROL!$C$27, 0.0021, 0)</f>
        <v>22.88</v>
      </c>
      <c r="D73" s="10">
        <f>22.8779 * CHOOSE(CONTROL!$C$9, $D$9, 100%, $F$9) + CHOOSE(CONTROL!$C$27, 0.0021, 0)</f>
        <v>22.88</v>
      </c>
      <c r="E73" s="10">
        <f>22.7412 * CHOOSE(CONTROL!$C$9, $D$9, 100%, $F$9) + CHOOSE(CONTROL!$C$27, 0.0021, 0)</f>
        <v>22.743299999999998</v>
      </c>
      <c r="F73" s="10">
        <f>22.7412 * CHOOSE(CONTROL!$C$9, $D$9, 100%, $F$9) + CHOOSE(CONTROL!$C$27, 0.0021, 0)</f>
        <v>22.743299999999998</v>
      </c>
      <c r="G73" s="10">
        <f>23.0126 * CHOOSE(CONTROL!$C$9, $D$9, 100%, $F$9) + CHOOSE(CONTROL!$C$27, 0.0021, 0)</f>
        <v>23.014699999999998</v>
      </c>
      <c r="H73" s="10">
        <f>22.8779 * CHOOSE(CONTROL!$C$9, $D$9, 100%, $F$9) + CHOOSE(CONTROL!$C$27, 0.0021, 0)</f>
        <v>22.88</v>
      </c>
      <c r="I73" s="10">
        <f>22.8779 * CHOOSE(CONTROL!$C$9, $D$9, 100%, $F$9) + CHOOSE(CONTROL!$C$27, 0.0021, 0)</f>
        <v>22.88</v>
      </c>
      <c r="J73" s="10">
        <f>22.8779 * CHOOSE(CONTROL!$C$9, $D$9, 100%, $F$9) + CHOOSE(CONTROL!$C$27, 0.0021, 0)</f>
        <v>22.88</v>
      </c>
      <c r="K73" s="10">
        <f>22.8779 * CHOOSE(CONTROL!$C$9, $D$9, 100%, $F$9) + CHOOSE(CONTROL!$C$27, 0.0021, 0)</f>
        <v>22.88</v>
      </c>
      <c r="L73" s="10"/>
    </row>
    <row r="74" spans="1:12" ht="15" x14ac:dyDescent="0.2">
      <c r="A74" s="16">
        <v>43525</v>
      </c>
      <c r="B74" s="10">
        <f>23.0576 * CHOOSE(CONTROL!$C$9, $D$9, 100%, $F$9) + CHOOSE(CONTROL!$C$27, 0.0021, 0)</f>
        <v>23.059699999999999</v>
      </c>
      <c r="C74" s="10">
        <f>22.6253 * CHOOSE(CONTROL!$C$9, $D$9, 100%, $F$9) + CHOOSE(CONTROL!$C$27, 0.0021, 0)</f>
        <v>22.627399999999998</v>
      </c>
      <c r="D74" s="10">
        <f>22.6253 * CHOOSE(CONTROL!$C$9, $D$9, 100%, $F$9) + CHOOSE(CONTROL!$C$27, 0.0021, 0)</f>
        <v>22.627399999999998</v>
      </c>
      <c r="E74" s="10">
        <f>22.4887 * CHOOSE(CONTROL!$C$9, $D$9, 100%, $F$9) + CHOOSE(CONTROL!$C$27, 0.0021, 0)</f>
        <v>22.4908</v>
      </c>
      <c r="F74" s="10">
        <f>22.4887 * CHOOSE(CONTROL!$C$9, $D$9, 100%, $F$9) + CHOOSE(CONTROL!$C$27, 0.0021, 0)</f>
        <v>22.4908</v>
      </c>
      <c r="G74" s="10">
        <f>22.7601 * CHOOSE(CONTROL!$C$9, $D$9, 100%, $F$9) + CHOOSE(CONTROL!$C$27, 0.0021, 0)</f>
        <v>22.7622</v>
      </c>
      <c r="H74" s="10">
        <f>22.6253 * CHOOSE(CONTROL!$C$9, $D$9, 100%, $F$9) + CHOOSE(CONTROL!$C$27, 0.0021, 0)</f>
        <v>22.627399999999998</v>
      </c>
      <c r="I74" s="10">
        <f>22.6253 * CHOOSE(CONTROL!$C$9, $D$9, 100%, $F$9) + CHOOSE(CONTROL!$C$27, 0.0021, 0)</f>
        <v>22.627399999999998</v>
      </c>
      <c r="J74" s="10">
        <f>22.6253 * CHOOSE(CONTROL!$C$9, $D$9, 100%, $F$9) + CHOOSE(CONTROL!$C$27, 0.0021, 0)</f>
        <v>22.627399999999998</v>
      </c>
      <c r="K74" s="10">
        <f>22.6253 * CHOOSE(CONTROL!$C$9, $D$9, 100%, $F$9) + CHOOSE(CONTROL!$C$27, 0.0021, 0)</f>
        <v>22.627399999999998</v>
      </c>
      <c r="L74" s="10"/>
    </row>
    <row r="75" spans="1:12" ht="15" x14ac:dyDescent="0.2">
      <c r="A75" s="16">
        <v>43556</v>
      </c>
      <c r="B75" s="10">
        <f>22.756 * CHOOSE(CONTROL!$C$9, $D$9, 100%, $F$9) + CHOOSE(CONTROL!$C$27, 0.0021, 0)</f>
        <v>22.758099999999999</v>
      </c>
      <c r="C75" s="10">
        <f>22.3238 * CHOOSE(CONTROL!$C$9, $D$9, 100%, $F$9) + CHOOSE(CONTROL!$C$27, 0.0021, 0)</f>
        <v>22.325899999999997</v>
      </c>
      <c r="D75" s="10">
        <f>22.3238 * CHOOSE(CONTROL!$C$9, $D$9, 100%, $F$9) + CHOOSE(CONTROL!$C$27, 0.0021, 0)</f>
        <v>22.325899999999997</v>
      </c>
      <c r="E75" s="10">
        <f>22.1871 * CHOOSE(CONTROL!$C$9, $D$9, 100%, $F$9) + CHOOSE(CONTROL!$C$27, 0.0021, 0)</f>
        <v>22.1892</v>
      </c>
      <c r="F75" s="10">
        <f>22.1871 * CHOOSE(CONTROL!$C$9, $D$9, 100%, $F$9) + CHOOSE(CONTROL!$C$27, 0.0021, 0)</f>
        <v>22.1892</v>
      </c>
      <c r="G75" s="10">
        <f>22.4585 * CHOOSE(CONTROL!$C$9, $D$9, 100%, $F$9) + CHOOSE(CONTROL!$C$27, 0.0021, 0)</f>
        <v>22.460599999999999</v>
      </c>
      <c r="H75" s="10">
        <f>22.3238 * CHOOSE(CONTROL!$C$9, $D$9, 100%, $F$9) + CHOOSE(CONTROL!$C$27, 0.0021, 0)</f>
        <v>22.325899999999997</v>
      </c>
      <c r="I75" s="10">
        <f>22.3238 * CHOOSE(CONTROL!$C$9, $D$9, 100%, $F$9) + CHOOSE(CONTROL!$C$27, 0.0021, 0)</f>
        <v>22.325899999999997</v>
      </c>
      <c r="J75" s="10">
        <f>22.3238 * CHOOSE(CONTROL!$C$9, $D$9, 100%, $F$9) + CHOOSE(CONTROL!$C$27, 0.0021, 0)</f>
        <v>22.325899999999997</v>
      </c>
      <c r="K75" s="10">
        <f>22.3238 * CHOOSE(CONTROL!$C$9, $D$9, 100%, $F$9) + CHOOSE(CONTROL!$C$27, 0.0021, 0)</f>
        <v>22.325899999999997</v>
      </c>
      <c r="L75" s="10"/>
    </row>
    <row r="76" spans="1:12" ht="15" x14ac:dyDescent="0.2">
      <c r="A76" s="16">
        <v>43586</v>
      </c>
      <c r="B76" s="10">
        <f>23.1858 * CHOOSE(CONTROL!$C$9, $D$9, 100%, $F$9) + CHOOSE(CONTROL!$C$27, 0.0021, 0)</f>
        <v>23.187899999999999</v>
      </c>
      <c r="C76" s="10">
        <f>22.7535 * CHOOSE(CONTROL!$C$9, $D$9, 100%, $F$9) + CHOOSE(CONTROL!$C$27, 0.0021, 0)</f>
        <v>22.755599999999998</v>
      </c>
      <c r="D76" s="10">
        <f>22.7535 * CHOOSE(CONTROL!$C$9, $D$9, 100%, $F$9) + CHOOSE(CONTROL!$C$27, 0.0021, 0)</f>
        <v>22.755599999999998</v>
      </c>
      <c r="E76" s="10">
        <f>22.6169 * CHOOSE(CONTROL!$C$9, $D$9, 100%, $F$9) + CHOOSE(CONTROL!$C$27, 0.0021, 0)</f>
        <v>22.619</v>
      </c>
      <c r="F76" s="10">
        <f>22.6169 * CHOOSE(CONTROL!$C$9, $D$9, 100%, $F$9) + CHOOSE(CONTROL!$C$27, 0.0021, 0)</f>
        <v>22.619</v>
      </c>
      <c r="G76" s="10">
        <f>22.8882 * CHOOSE(CONTROL!$C$9, $D$9, 100%, $F$9) + CHOOSE(CONTROL!$C$27, 0.0021, 0)</f>
        <v>22.8903</v>
      </c>
      <c r="H76" s="10">
        <f>22.7535 * CHOOSE(CONTROL!$C$9, $D$9, 100%, $F$9) + CHOOSE(CONTROL!$C$27, 0.0021, 0)</f>
        <v>22.755599999999998</v>
      </c>
      <c r="I76" s="10">
        <f>22.7535 * CHOOSE(CONTROL!$C$9, $D$9, 100%, $F$9) + CHOOSE(CONTROL!$C$27, 0.0021, 0)</f>
        <v>22.755599999999998</v>
      </c>
      <c r="J76" s="10">
        <f>22.7535 * CHOOSE(CONTROL!$C$9, $D$9, 100%, $F$9) + CHOOSE(CONTROL!$C$27, 0.0021, 0)</f>
        <v>22.755599999999998</v>
      </c>
      <c r="K76" s="10">
        <f>22.7535 * CHOOSE(CONTROL!$C$9, $D$9, 100%, $F$9) + CHOOSE(CONTROL!$C$27, 0.0021, 0)</f>
        <v>22.755599999999998</v>
      </c>
      <c r="L76" s="10"/>
    </row>
    <row r="77" spans="1:12" ht="15" x14ac:dyDescent="0.2">
      <c r="A77" s="16">
        <v>43617</v>
      </c>
      <c r="B77" s="10">
        <f>23.4432 * CHOOSE(CONTROL!$C$9, $D$9, 100%, $F$9) + CHOOSE(CONTROL!$C$27, 0.0021, 0)</f>
        <v>23.4453</v>
      </c>
      <c r="C77" s="10">
        <f>23.0109 * CHOOSE(CONTROL!$C$9, $D$9, 100%, $F$9) + CHOOSE(CONTROL!$C$27, 0.0021, 0)</f>
        <v>23.012999999999998</v>
      </c>
      <c r="D77" s="10">
        <f>23.0109 * CHOOSE(CONTROL!$C$9, $D$9, 100%, $F$9) + CHOOSE(CONTROL!$C$27, 0.0021, 0)</f>
        <v>23.012999999999998</v>
      </c>
      <c r="E77" s="10">
        <f>22.8743 * CHOOSE(CONTROL!$C$9, $D$9, 100%, $F$9) + CHOOSE(CONTROL!$C$27, 0.0021, 0)</f>
        <v>22.8764</v>
      </c>
      <c r="F77" s="10">
        <f>22.8743 * CHOOSE(CONTROL!$C$9, $D$9, 100%, $F$9) + CHOOSE(CONTROL!$C$27, 0.0021, 0)</f>
        <v>22.8764</v>
      </c>
      <c r="G77" s="10">
        <f>23.1457 * CHOOSE(CONTROL!$C$9, $D$9, 100%, $F$9) + CHOOSE(CONTROL!$C$27, 0.0021, 0)</f>
        <v>23.1478</v>
      </c>
      <c r="H77" s="10">
        <f>23.0109 * CHOOSE(CONTROL!$C$9, $D$9, 100%, $F$9) + CHOOSE(CONTROL!$C$27, 0.0021, 0)</f>
        <v>23.012999999999998</v>
      </c>
      <c r="I77" s="10">
        <f>23.0109 * CHOOSE(CONTROL!$C$9, $D$9, 100%, $F$9) + CHOOSE(CONTROL!$C$27, 0.0021, 0)</f>
        <v>23.012999999999998</v>
      </c>
      <c r="J77" s="10">
        <f>23.0109 * CHOOSE(CONTROL!$C$9, $D$9, 100%, $F$9) + CHOOSE(CONTROL!$C$27, 0.0021, 0)</f>
        <v>23.012999999999998</v>
      </c>
      <c r="K77" s="10">
        <f>23.0109 * CHOOSE(CONTROL!$C$9, $D$9, 100%, $F$9) + CHOOSE(CONTROL!$C$27, 0.0021, 0)</f>
        <v>23.012999999999998</v>
      </c>
      <c r="L77" s="10"/>
    </row>
    <row r="78" spans="1:12" ht="15" x14ac:dyDescent="0.2">
      <c r="A78" s="16">
        <v>43647</v>
      </c>
      <c r="B78" s="10">
        <f>23.8678 * CHOOSE(CONTROL!$C$9, $D$9, 100%, $F$9) + CHOOSE(CONTROL!$C$27, 0.0021, 0)</f>
        <v>23.869899999999998</v>
      </c>
      <c r="C78" s="10">
        <f>23.4355 * CHOOSE(CONTROL!$C$9, $D$9, 100%, $F$9) + CHOOSE(CONTROL!$C$27, 0.0021, 0)</f>
        <v>23.4376</v>
      </c>
      <c r="D78" s="10">
        <f>23.4355 * CHOOSE(CONTROL!$C$9, $D$9, 100%, $F$9) + CHOOSE(CONTROL!$C$27, 0.0021, 0)</f>
        <v>23.4376</v>
      </c>
      <c r="E78" s="10">
        <f>23.2989 * CHOOSE(CONTROL!$C$9, $D$9, 100%, $F$9) + CHOOSE(CONTROL!$C$27, 0.0021, 0)</f>
        <v>23.300999999999998</v>
      </c>
      <c r="F78" s="10">
        <f>23.2989 * CHOOSE(CONTROL!$C$9, $D$9, 100%, $F$9) + CHOOSE(CONTROL!$C$27, 0.0021, 0)</f>
        <v>23.300999999999998</v>
      </c>
      <c r="G78" s="10">
        <f>23.5703 * CHOOSE(CONTROL!$C$9, $D$9, 100%, $F$9) + CHOOSE(CONTROL!$C$27, 0.0021, 0)</f>
        <v>23.572399999999998</v>
      </c>
      <c r="H78" s="10">
        <f>23.4355 * CHOOSE(CONTROL!$C$9, $D$9, 100%, $F$9) + CHOOSE(CONTROL!$C$27, 0.0021, 0)</f>
        <v>23.4376</v>
      </c>
      <c r="I78" s="10">
        <f>23.4355 * CHOOSE(CONTROL!$C$9, $D$9, 100%, $F$9) + CHOOSE(CONTROL!$C$27, 0.0021, 0)</f>
        <v>23.4376</v>
      </c>
      <c r="J78" s="10">
        <f>23.4355 * CHOOSE(CONTROL!$C$9, $D$9, 100%, $F$9) + CHOOSE(CONTROL!$C$27, 0.0021, 0)</f>
        <v>23.4376</v>
      </c>
      <c r="K78" s="10">
        <f>23.4355 * CHOOSE(CONTROL!$C$9, $D$9, 100%, $F$9) + CHOOSE(CONTROL!$C$27, 0.0021, 0)</f>
        <v>23.4376</v>
      </c>
      <c r="L78" s="10"/>
    </row>
    <row r="79" spans="1:12" ht="15" x14ac:dyDescent="0.2">
      <c r="A79" s="16">
        <v>43678</v>
      </c>
      <c r="B79" s="10">
        <f>23.9974 * CHOOSE(CONTROL!$C$9, $D$9, 100%, $F$9) + CHOOSE(CONTROL!$C$27, 0.0021, 0)</f>
        <v>23.999499999999998</v>
      </c>
      <c r="C79" s="10">
        <f>23.5652 * CHOOSE(CONTROL!$C$9, $D$9, 100%, $F$9) + CHOOSE(CONTROL!$C$27, 0.0021, 0)</f>
        <v>23.567299999999999</v>
      </c>
      <c r="D79" s="10">
        <f>23.5652 * CHOOSE(CONTROL!$C$9, $D$9, 100%, $F$9) + CHOOSE(CONTROL!$C$27, 0.0021, 0)</f>
        <v>23.567299999999999</v>
      </c>
      <c r="E79" s="10">
        <f>23.4285 * CHOOSE(CONTROL!$C$9, $D$9, 100%, $F$9) + CHOOSE(CONTROL!$C$27, 0.0021, 0)</f>
        <v>23.430599999999998</v>
      </c>
      <c r="F79" s="10">
        <f>23.4285 * CHOOSE(CONTROL!$C$9, $D$9, 100%, $F$9) + CHOOSE(CONTROL!$C$27, 0.0021, 0)</f>
        <v>23.430599999999998</v>
      </c>
      <c r="G79" s="10">
        <f>23.6999 * CHOOSE(CONTROL!$C$9, $D$9, 100%, $F$9) + CHOOSE(CONTROL!$C$27, 0.0021, 0)</f>
        <v>23.701999999999998</v>
      </c>
      <c r="H79" s="10">
        <f>23.5652 * CHOOSE(CONTROL!$C$9, $D$9, 100%, $F$9) + CHOOSE(CONTROL!$C$27, 0.0021, 0)</f>
        <v>23.567299999999999</v>
      </c>
      <c r="I79" s="10">
        <f>23.5652 * CHOOSE(CONTROL!$C$9, $D$9, 100%, $F$9) + CHOOSE(CONTROL!$C$27, 0.0021, 0)</f>
        <v>23.567299999999999</v>
      </c>
      <c r="J79" s="10">
        <f>23.5652 * CHOOSE(CONTROL!$C$9, $D$9, 100%, $F$9) + CHOOSE(CONTROL!$C$27, 0.0021, 0)</f>
        <v>23.567299999999999</v>
      </c>
      <c r="K79" s="10">
        <f>23.5652 * CHOOSE(CONTROL!$C$9, $D$9, 100%, $F$9) + CHOOSE(CONTROL!$C$27, 0.0021, 0)</f>
        <v>23.567299999999999</v>
      </c>
      <c r="L79" s="10"/>
    </row>
    <row r="80" spans="1:12" ht="15" x14ac:dyDescent="0.2">
      <c r="A80" s="16">
        <v>43709</v>
      </c>
      <c r="B80" s="10">
        <f>24.4388 * CHOOSE(CONTROL!$C$9, $D$9, 100%, $F$9) + CHOOSE(CONTROL!$C$27, 0.0021, 0)</f>
        <v>24.440899999999999</v>
      </c>
      <c r="C80" s="10">
        <f>24.0065 * CHOOSE(CONTROL!$C$9, $D$9, 100%, $F$9) + CHOOSE(CONTROL!$C$27, 0.0021, 0)</f>
        <v>24.008599999999998</v>
      </c>
      <c r="D80" s="10">
        <f>24.0065 * CHOOSE(CONTROL!$C$9, $D$9, 100%, $F$9) + CHOOSE(CONTROL!$C$27, 0.0021, 0)</f>
        <v>24.008599999999998</v>
      </c>
      <c r="E80" s="10">
        <f>23.8699 * CHOOSE(CONTROL!$C$9, $D$9, 100%, $F$9) + CHOOSE(CONTROL!$C$27, 0.0021, 0)</f>
        <v>23.872</v>
      </c>
      <c r="F80" s="10">
        <f>23.8699 * CHOOSE(CONTROL!$C$9, $D$9, 100%, $F$9) + CHOOSE(CONTROL!$C$27, 0.0021, 0)</f>
        <v>23.872</v>
      </c>
      <c r="G80" s="10">
        <f>24.1412 * CHOOSE(CONTROL!$C$9, $D$9, 100%, $F$9) + CHOOSE(CONTROL!$C$27, 0.0021, 0)</f>
        <v>24.1433</v>
      </c>
      <c r="H80" s="10">
        <f>24.0065 * CHOOSE(CONTROL!$C$9, $D$9, 100%, $F$9) + CHOOSE(CONTROL!$C$27, 0.0021, 0)</f>
        <v>24.008599999999998</v>
      </c>
      <c r="I80" s="10">
        <f>24.0065 * CHOOSE(CONTROL!$C$9, $D$9, 100%, $F$9) + CHOOSE(CONTROL!$C$27, 0.0021, 0)</f>
        <v>24.008599999999998</v>
      </c>
      <c r="J80" s="10">
        <f>24.0065 * CHOOSE(CONTROL!$C$9, $D$9, 100%, $F$9) + CHOOSE(CONTROL!$C$27, 0.0021, 0)</f>
        <v>24.008599999999998</v>
      </c>
      <c r="K80" s="10">
        <f>24.0065 * CHOOSE(CONTROL!$C$9, $D$9, 100%, $F$9) + CHOOSE(CONTROL!$C$27, 0.0021, 0)</f>
        <v>24.008599999999998</v>
      </c>
      <c r="L80" s="10"/>
    </row>
    <row r="81" spans="1:12" ht="15" x14ac:dyDescent="0.2">
      <c r="A81" s="16">
        <v>43739</v>
      </c>
      <c r="B81" s="10">
        <f>24.9975 * CHOOSE(CONTROL!$C$9, $D$9, 100%, $F$9) + CHOOSE(CONTROL!$C$27, 0.0021, 0)</f>
        <v>24.999599999999997</v>
      </c>
      <c r="C81" s="10">
        <f>24.5652 * CHOOSE(CONTROL!$C$9, $D$9, 100%, $F$9) + CHOOSE(CONTROL!$C$27, 0.0021, 0)</f>
        <v>24.567299999999999</v>
      </c>
      <c r="D81" s="10">
        <f>24.5652 * CHOOSE(CONTROL!$C$9, $D$9, 100%, $F$9) + CHOOSE(CONTROL!$C$27, 0.0021, 0)</f>
        <v>24.567299999999999</v>
      </c>
      <c r="E81" s="10">
        <f>24.4286 * CHOOSE(CONTROL!$C$9, $D$9, 100%, $F$9) + CHOOSE(CONTROL!$C$27, 0.0021, 0)</f>
        <v>24.430699999999998</v>
      </c>
      <c r="F81" s="10">
        <f>24.4286 * CHOOSE(CONTROL!$C$9, $D$9, 100%, $F$9) + CHOOSE(CONTROL!$C$27, 0.0021, 0)</f>
        <v>24.430699999999998</v>
      </c>
      <c r="G81" s="10">
        <f>24.6999 * CHOOSE(CONTROL!$C$9, $D$9, 100%, $F$9) + CHOOSE(CONTROL!$C$27, 0.0021, 0)</f>
        <v>24.701999999999998</v>
      </c>
      <c r="H81" s="10">
        <f>24.5652 * CHOOSE(CONTROL!$C$9, $D$9, 100%, $F$9) + CHOOSE(CONTROL!$C$27, 0.0021, 0)</f>
        <v>24.567299999999999</v>
      </c>
      <c r="I81" s="10">
        <f>24.5652 * CHOOSE(CONTROL!$C$9, $D$9, 100%, $F$9) + CHOOSE(CONTROL!$C$27, 0.0021, 0)</f>
        <v>24.567299999999999</v>
      </c>
      <c r="J81" s="10">
        <f>24.5652 * CHOOSE(CONTROL!$C$9, $D$9, 100%, $F$9) + CHOOSE(CONTROL!$C$27, 0.0021, 0)</f>
        <v>24.567299999999999</v>
      </c>
      <c r="K81" s="10">
        <f>24.5652 * CHOOSE(CONTROL!$C$9, $D$9, 100%, $F$9) + CHOOSE(CONTROL!$C$27, 0.0021, 0)</f>
        <v>24.567299999999999</v>
      </c>
      <c r="L81" s="10"/>
    </row>
    <row r="82" spans="1:12" ht="15" x14ac:dyDescent="0.2">
      <c r="A82" s="16">
        <v>43770</v>
      </c>
      <c r="B82" s="10">
        <f>25.0499 * CHOOSE(CONTROL!$C$9, $D$9, 100%, $F$9) + CHOOSE(CONTROL!$C$27, 0.0021, 0)</f>
        <v>25.052</v>
      </c>
      <c r="C82" s="10">
        <f>24.6177 * CHOOSE(CONTROL!$C$9, $D$9, 100%, $F$9) + CHOOSE(CONTROL!$C$27, 0.0021, 0)</f>
        <v>24.619799999999998</v>
      </c>
      <c r="D82" s="10">
        <f>24.6177 * CHOOSE(CONTROL!$C$9, $D$9, 100%, $F$9) + CHOOSE(CONTROL!$C$27, 0.0021, 0)</f>
        <v>24.619799999999998</v>
      </c>
      <c r="E82" s="10">
        <f>24.481 * CHOOSE(CONTROL!$C$9, $D$9, 100%, $F$9) + CHOOSE(CONTROL!$C$27, 0.0021, 0)</f>
        <v>24.4831</v>
      </c>
      <c r="F82" s="10">
        <f>24.481 * CHOOSE(CONTROL!$C$9, $D$9, 100%, $F$9) + CHOOSE(CONTROL!$C$27, 0.0021, 0)</f>
        <v>24.4831</v>
      </c>
      <c r="G82" s="10">
        <f>24.7524 * CHOOSE(CONTROL!$C$9, $D$9, 100%, $F$9) + CHOOSE(CONTROL!$C$27, 0.0021, 0)</f>
        <v>24.7545</v>
      </c>
      <c r="H82" s="10">
        <f>24.6177 * CHOOSE(CONTROL!$C$9, $D$9, 100%, $F$9) + CHOOSE(CONTROL!$C$27, 0.0021, 0)</f>
        <v>24.619799999999998</v>
      </c>
      <c r="I82" s="10">
        <f>24.6177 * CHOOSE(CONTROL!$C$9, $D$9, 100%, $F$9) + CHOOSE(CONTROL!$C$27, 0.0021, 0)</f>
        <v>24.619799999999998</v>
      </c>
      <c r="J82" s="10">
        <f>24.6177 * CHOOSE(CONTROL!$C$9, $D$9, 100%, $F$9) + CHOOSE(CONTROL!$C$27, 0.0021, 0)</f>
        <v>24.619799999999998</v>
      </c>
      <c r="K82" s="10">
        <f>24.6177 * CHOOSE(CONTROL!$C$9, $D$9, 100%, $F$9) + CHOOSE(CONTROL!$C$27, 0.0021, 0)</f>
        <v>24.619799999999998</v>
      </c>
      <c r="L82" s="10"/>
    </row>
    <row r="83" spans="1:12" ht="15" x14ac:dyDescent="0.2">
      <c r="A83" s="16">
        <v>43800</v>
      </c>
      <c r="B83" s="10">
        <f>24.6037 * CHOOSE(CONTROL!$C$9, $D$9, 100%, $F$9) + CHOOSE(CONTROL!$C$27, 0.0021, 0)</f>
        <v>24.605799999999999</v>
      </c>
      <c r="C83" s="10">
        <f>24.1715 * CHOOSE(CONTROL!$C$9, $D$9, 100%, $F$9) + CHOOSE(CONTROL!$C$27, 0.0021, 0)</f>
        <v>24.1736</v>
      </c>
      <c r="D83" s="10">
        <f>24.1715 * CHOOSE(CONTROL!$C$9, $D$9, 100%, $F$9) + CHOOSE(CONTROL!$C$27, 0.0021, 0)</f>
        <v>24.1736</v>
      </c>
      <c r="E83" s="10">
        <f>24.0348 * CHOOSE(CONTROL!$C$9, $D$9, 100%, $F$9) + CHOOSE(CONTROL!$C$27, 0.0021, 0)</f>
        <v>24.036899999999999</v>
      </c>
      <c r="F83" s="10">
        <f>24.0348 * CHOOSE(CONTROL!$C$9, $D$9, 100%, $F$9) + CHOOSE(CONTROL!$C$27, 0.0021, 0)</f>
        <v>24.036899999999999</v>
      </c>
      <c r="G83" s="10">
        <f>24.3062 * CHOOSE(CONTROL!$C$9, $D$9, 100%, $F$9) + CHOOSE(CONTROL!$C$27, 0.0021, 0)</f>
        <v>24.308299999999999</v>
      </c>
      <c r="H83" s="10">
        <f>24.1715 * CHOOSE(CONTROL!$C$9, $D$9, 100%, $F$9) + CHOOSE(CONTROL!$C$27, 0.0021, 0)</f>
        <v>24.1736</v>
      </c>
      <c r="I83" s="10">
        <f>24.1715 * CHOOSE(CONTROL!$C$9, $D$9, 100%, $F$9) + CHOOSE(CONTROL!$C$27, 0.0021, 0)</f>
        <v>24.1736</v>
      </c>
      <c r="J83" s="10">
        <f>24.1715 * CHOOSE(CONTROL!$C$9, $D$9, 100%, $F$9) + CHOOSE(CONTROL!$C$27, 0.0021, 0)</f>
        <v>24.1736</v>
      </c>
      <c r="K83" s="10">
        <f>24.1715 * CHOOSE(CONTROL!$C$9, $D$9, 100%, $F$9) + CHOOSE(CONTROL!$C$27, 0.0021, 0)</f>
        <v>24.1736</v>
      </c>
      <c r="L83" s="10"/>
    </row>
    <row r="84" spans="1:12" ht="15" x14ac:dyDescent="0.2">
      <c r="A84" s="16">
        <v>43831</v>
      </c>
      <c r="B84" s="10">
        <f>24.9339 * CHOOSE(CONTROL!$C$9, $D$9, 100%, $F$9) + CHOOSE(CONTROL!$C$27, 0.0021, 0)</f>
        <v>24.936</v>
      </c>
      <c r="C84" s="10">
        <f>24.5017 * CHOOSE(CONTROL!$C$9, $D$9, 100%, $F$9) + CHOOSE(CONTROL!$C$27, 0.0021, 0)</f>
        <v>24.503799999999998</v>
      </c>
      <c r="D84" s="10">
        <f>24.5017 * CHOOSE(CONTROL!$C$9, $D$9, 100%, $F$9) + CHOOSE(CONTROL!$C$27, 0.0021, 0)</f>
        <v>24.503799999999998</v>
      </c>
      <c r="E84" s="10">
        <f>24.365 * CHOOSE(CONTROL!$C$9, $D$9, 100%, $F$9) + CHOOSE(CONTROL!$C$27, 0.0021, 0)</f>
        <v>24.367099999999997</v>
      </c>
      <c r="F84" s="10">
        <f>24.365 * CHOOSE(CONTROL!$C$9, $D$9, 100%, $F$9) + CHOOSE(CONTROL!$C$27, 0.0021, 0)</f>
        <v>24.367099999999997</v>
      </c>
      <c r="G84" s="10">
        <f>24.6364 * CHOOSE(CONTROL!$C$9, $D$9, 100%, $F$9) + CHOOSE(CONTROL!$C$27, 0.0021, 0)</f>
        <v>24.638499999999997</v>
      </c>
      <c r="H84" s="10">
        <f>24.5017 * CHOOSE(CONTROL!$C$9, $D$9, 100%, $F$9) + CHOOSE(CONTROL!$C$27, 0.0021, 0)</f>
        <v>24.503799999999998</v>
      </c>
      <c r="I84" s="10">
        <f>24.5017 * CHOOSE(CONTROL!$C$9, $D$9, 100%, $F$9) + CHOOSE(CONTROL!$C$27, 0.0021, 0)</f>
        <v>24.503799999999998</v>
      </c>
      <c r="J84" s="10">
        <f>24.5017 * CHOOSE(CONTROL!$C$9, $D$9, 100%, $F$9) + CHOOSE(CONTROL!$C$27, 0.0021, 0)</f>
        <v>24.503799999999998</v>
      </c>
      <c r="K84" s="10">
        <f>24.5017 * CHOOSE(CONTROL!$C$9, $D$9, 100%, $F$9) + CHOOSE(CONTROL!$C$27, 0.0021, 0)</f>
        <v>24.503799999999998</v>
      </c>
      <c r="L84" s="10"/>
    </row>
    <row r="85" spans="1:12" ht="15" x14ac:dyDescent="0.2">
      <c r="A85" s="16">
        <v>43862</v>
      </c>
      <c r="B85" s="10">
        <f>24.2935 * CHOOSE(CONTROL!$C$9, $D$9, 100%, $F$9) + CHOOSE(CONTROL!$C$27, 0.0021, 0)</f>
        <v>24.2956</v>
      </c>
      <c r="C85" s="10">
        <f>23.8612 * CHOOSE(CONTROL!$C$9, $D$9, 100%, $F$9) + CHOOSE(CONTROL!$C$27, 0.0021, 0)</f>
        <v>23.863299999999999</v>
      </c>
      <c r="D85" s="10">
        <f>23.8612 * CHOOSE(CONTROL!$C$9, $D$9, 100%, $F$9) + CHOOSE(CONTROL!$C$27, 0.0021, 0)</f>
        <v>23.863299999999999</v>
      </c>
      <c r="E85" s="10">
        <f>23.7246 * CHOOSE(CONTROL!$C$9, $D$9, 100%, $F$9) + CHOOSE(CONTROL!$C$27, 0.0021, 0)</f>
        <v>23.726699999999997</v>
      </c>
      <c r="F85" s="10">
        <f>23.7246 * CHOOSE(CONTROL!$C$9, $D$9, 100%, $F$9) + CHOOSE(CONTROL!$C$27, 0.0021, 0)</f>
        <v>23.726699999999997</v>
      </c>
      <c r="G85" s="10">
        <f>23.996 * CHOOSE(CONTROL!$C$9, $D$9, 100%, $F$9) + CHOOSE(CONTROL!$C$27, 0.0021, 0)</f>
        <v>23.998099999999997</v>
      </c>
      <c r="H85" s="10">
        <f>23.8612 * CHOOSE(CONTROL!$C$9, $D$9, 100%, $F$9) + CHOOSE(CONTROL!$C$27, 0.0021, 0)</f>
        <v>23.863299999999999</v>
      </c>
      <c r="I85" s="10">
        <f>23.8612 * CHOOSE(CONTROL!$C$9, $D$9, 100%, $F$9) + CHOOSE(CONTROL!$C$27, 0.0021, 0)</f>
        <v>23.863299999999999</v>
      </c>
      <c r="J85" s="10">
        <f>23.8612 * CHOOSE(CONTROL!$C$9, $D$9, 100%, $F$9) + CHOOSE(CONTROL!$C$27, 0.0021, 0)</f>
        <v>23.863299999999999</v>
      </c>
      <c r="K85" s="10">
        <f>23.8612 * CHOOSE(CONTROL!$C$9, $D$9, 100%, $F$9) + CHOOSE(CONTROL!$C$27, 0.0021, 0)</f>
        <v>23.863299999999999</v>
      </c>
      <c r="L85" s="10"/>
    </row>
    <row r="86" spans="1:12" ht="15" x14ac:dyDescent="0.2">
      <c r="A86" s="16">
        <v>43891</v>
      </c>
      <c r="B86" s="10">
        <f>24.0291 * CHOOSE(CONTROL!$C$9, $D$9, 100%, $F$9) + CHOOSE(CONTROL!$C$27, 0.0021, 0)</f>
        <v>24.031199999999998</v>
      </c>
      <c r="C86" s="10">
        <f>23.5969 * CHOOSE(CONTROL!$C$9, $D$9, 100%, $F$9) + CHOOSE(CONTROL!$C$27, 0.0021, 0)</f>
        <v>23.599</v>
      </c>
      <c r="D86" s="10">
        <f>23.5969 * CHOOSE(CONTROL!$C$9, $D$9, 100%, $F$9) + CHOOSE(CONTROL!$C$27, 0.0021, 0)</f>
        <v>23.599</v>
      </c>
      <c r="E86" s="10">
        <f>23.4602 * CHOOSE(CONTROL!$C$9, $D$9, 100%, $F$9) + CHOOSE(CONTROL!$C$27, 0.0021, 0)</f>
        <v>23.462299999999999</v>
      </c>
      <c r="F86" s="10">
        <f>23.4602 * CHOOSE(CONTROL!$C$9, $D$9, 100%, $F$9) + CHOOSE(CONTROL!$C$27, 0.0021, 0)</f>
        <v>23.462299999999999</v>
      </c>
      <c r="G86" s="10">
        <f>23.7316 * CHOOSE(CONTROL!$C$9, $D$9, 100%, $F$9) + CHOOSE(CONTROL!$C$27, 0.0021, 0)</f>
        <v>23.733699999999999</v>
      </c>
      <c r="H86" s="10">
        <f>23.5969 * CHOOSE(CONTROL!$C$9, $D$9, 100%, $F$9) + CHOOSE(CONTROL!$C$27, 0.0021, 0)</f>
        <v>23.599</v>
      </c>
      <c r="I86" s="10">
        <f>23.5969 * CHOOSE(CONTROL!$C$9, $D$9, 100%, $F$9) + CHOOSE(CONTROL!$C$27, 0.0021, 0)</f>
        <v>23.599</v>
      </c>
      <c r="J86" s="10">
        <f>23.5969 * CHOOSE(CONTROL!$C$9, $D$9, 100%, $F$9) + CHOOSE(CONTROL!$C$27, 0.0021, 0)</f>
        <v>23.599</v>
      </c>
      <c r="K86" s="10">
        <f>23.5969 * CHOOSE(CONTROL!$C$9, $D$9, 100%, $F$9) + CHOOSE(CONTROL!$C$27, 0.0021, 0)</f>
        <v>23.599</v>
      </c>
      <c r="L86" s="10"/>
    </row>
    <row r="87" spans="1:12" ht="15" x14ac:dyDescent="0.2">
      <c r="A87" s="16">
        <v>43922</v>
      </c>
      <c r="B87" s="10">
        <f>23.7135 * CHOOSE(CONTROL!$C$9, $D$9, 100%, $F$9) + CHOOSE(CONTROL!$C$27, 0.0021, 0)</f>
        <v>23.715599999999998</v>
      </c>
      <c r="C87" s="10">
        <f>23.2812 * CHOOSE(CONTROL!$C$9, $D$9, 100%, $F$9) + CHOOSE(CONTROL!$C$27, 0.0021, 0)</f>
        <v>23.283299999999997</v>
      </c>
      <c r="D87" s="10">
        <f>23.2812 * CHOOSE(CONTROL!$C$9, $D$9, 100%, $F$9) + CHOOSE(CONTROL!$C$27, 0.0021, 0)</f>
        <v>23.283299999999997</v>
      </c>
      <c r="E87" s="10">
        <f>23.1446 * CHOOSE(CONTROL!$C$9, $D$9, 100%, $F$9) + CHOOSE(CONTROL!$C$27, 0.0021, 0)</f>
        <v>23.146699999999999</v>
      </c>
      <c r="F87" s="10">
        <f>23.1446 * CHOOSE(CONTROL!$C$9, $D$9, 100%, $F$9) + CHOOSE(CONTROL!$C$27, 0.0021, 0)</f>
        <v>23.146699999999999</v>
      </c>
      <c r="G87" s="10">
        <f>23.4159 * CHOOSE(CONTROL!$C$9, $D$9, 100%, $F$9) + CHOOSE(CONTROL!$C$27, 0.0021, 0)</f>
        <v>23.417999999999999</v>
      </c>
      <c r="H87" s="10">
        <f>23.2812 * CHOOSE(CONTROL!$C$9, $D$9, 100%, $F$9) + CHOOSE(CONTROL!$C$27, 0.0021, 0)</f>
        <v>23.283299999999997</v>
      </c>
      <c r="I87" s="10">
        <f>23.2812 * CHOOSE(CONTROL!$C$9, $D$9, 100%, $F$9) + CHOOSE(CONTROL!$C$27, 0.0021, 0)</f>
        <v>23.283299999999997</v>
      </c>
      <c r="J87" s="10">
        <f>23.2812 * CHOOSE(CONTROL!$C$9, $D$9, 100%, $F$9) + CHOOSE(CONTROL!$C$27, 0.0021, 0)</f>
        <v>23.283299999999997</v>
      </c>
      <c r="K87" s="10">
        <f>23.2812 * CHOOSE(CONTROL!$C$9, $D$9, 100%, $F$9) + CHOOSE(CONTROL!$C$27, 0.0021, 0)</f>
        <v>23.283299999999997</v>
      </c>
      <c r="L87" s="10"/>
    </row>
    <row r="88" spans="1:12" ht="15" x14ac:dyDescent="0.2">
      <c r="A88" s="16">
        <v>43952</v>
      </c>
      <c r="B88" s="10">
        <f>24.1633 * CHOOSE(CONTROL!$C$9, $D$9, 100%, $F$9) + CHOOSE(CONTROL!$C$27, 0.0021, 0)</f>
        <v>24.165399999999998</v>
      </c>
      <c r="C88" s="10">
        <f>23.7311 * CHOOSE(CONTROL!$C$9, $D$9, 100%, $F$9) + CHOOSE(CONTROL!$C$27, 0.0021, 0)</f>
        <v>23.7332</v>
      </c>
      <c r="D88" s="10">
        <f>23.7311 * CHOOSE(CONTROL!$C$9, $D$9, 100%, $F$9) + CHOOSE(CONTROL!$C$27, 0.0021, 0)</f>
        <v>23.7332</v>
      </c>
      <c r="E88" s="10">
        <f>23.5944 * CHOOSE(CONTROL!$C$9, $D$9, 100%, $F$9) + CHOOSE(CONTROL!$C$27, 0.0021, 0)</f>
        <v>23.596499999999999</v>
      </c>
      <c r="F88" s="10">
        <f>23.5944 * CHOOSE(CONTROL!$C$9, $D$9, 100%, $F$9) + CHOOSE(CONTROL!$C$27, 0.0021, 0)</f>
        <v>23.596499999999999</v>
      </c>
      <c r="G88" s="10">
        <f>23.8658 * CHOOSE(CONTROL!$C$9, $D$9, 100%, $F$9) + CHOOSE(CONTROL!$C$27, 0.0021, 0)</f>
        <v>23.867899999999999</v>
      </c>
      <c r="H88" s="10">
        <f>23.7311 * CHOOSE(CONTROL!$C$9, $D$9, 100%, $F$9) + CHOOSE(CONTROL!$C$27, 0.0021, 0)</f>
        <v>23.7332</v>
      </c>
      <c r="I88" s="10">
        <f>23.7311 * CHOOSE(CONTROL!$C$9, $D$9, 100%, $F$9) + CHOOSE(CONTROL!$C$27, 0.0021, 0)</f>
        <v>23.7332</v>
      </c>
      <c r="J88" s="10">
        <f>23.7311 * CHOOSE(CONTROL!$C$9, $D$9, 100%, $F$9) + CHOOSE(CONTROL!$C$27, 0.0021, 0)</f>
        <v>23.7332</v>
      </c>
      <c r="K88" s="10">
        <f>23.7311 * CHOOSE(CONTROL!$C$9, $D$9, 100%, $F$9) + CHOOSE(CONTROL!$C$27, 0.0021, 0)</f>
        <v>23.7332</v>
      </c>
      <c r="L88" s="10"/>
    </row>
    <row r="89" spans="1:12" ht="15" x14ac:dyDescent="0.2">
      <c r="A89" s="16">
        <v>43983</v>
      </c>
      <c r="B89" s="10">
        <f>24.4328 * CHOOSE(CONTROL!$C$9, $D$9, 100%, $F$9) + CHOOSE(CONTROL!$C$27, 0.0021, 0)</f>
        <v>24.434899999999999</v>
      </c>
      <c r="C89" s="10">
        <f>24.0005 * CHOOSE(CONTROL!$C$9, $D$9, 100%, $F$9) + CHOOSE(CONTROL!$C$27, 0.0021, 0)</f>
        <v>24.002599999999997</v>
      </c>
      <c r="D89" s="10">
        <f>24.0005 * CHOOSE(CONTROL!$C$9, $D$9, 100%, $F$9) + CHOOSE(CONTROL!$C$27, 0.0021, 0)</f>
        <v>24.002599999999997</v>
      </c>
      <c r="E89" s="10">
        <f>23.8639 * CHOOSE(CONTROL!$C$9, $D$9, 100%, $F$9) + CHOOSE(CONTROL!$C$27, 0.0021, 0)</f>
        <v>23.866</v>
      </c>
      <c r="F89" s="10">
        <f>23.8639 * CHOOSE(CONTROL!$C$9, $D$9, 100%, $F$9) + CHOOSE(CONTROL!$C$27, 0.0021, 0)</f>
        <v>23.866</v>
      </c>
      <c r="G89" s="10">
        <f>24.1352 * CHOOSE(CONTROL!$C$9, $D$9, 100%, $F$9) + CHOOSE(CONTROL!$C$27, 0.0021, 0)</f>
        <v>24.1373</v>
      </c>
      <c r="H89" s="10">
        <f>24.0005 * CHOOSE(CONTROL!$C$9, $D$9, 100%, $F$9) + CHOOSE(CONTROL!$C$27, 0.0021, 0)</f>
        <v>24.002599999999997</v>
      </c>
      <c r="I89" s="10">
        <f>24.0005 * CHOOSE(CONTROL!$C$9, $D$9, 100%, $F$9) + CHOOSE(CONTROL!$C$27, 0.0021, 0)</f>
        <v>24.002599999999997</v>
      </c>
      <c r="J89" s="10">
        <f>24.0005 * CHOOSE(CONTROL!$C$9, $D$9, 100%, $F$9) + CHOOSE(CONTROL!$C$27, 0.0021, 0)</f>
        <v>24.002599999999997</v>
      </c>
      <c r="K89" s="10">
        <f>24.0005 * CHOOSE(CONTROL!$C$9, $D$9, 100%, $F$9) + CHOOSE(CONTROL!$C$27, 0.0021, 0)</f>
        <v>24.002599999999997</v>
      </c>
      <c r="L89" s="10"/>
    </row>
    <row r="90" spans="1:12" ht="15" x14ac:dyDescent="0.2">
      <c r="A90" s="16">
        <v>44013</v>
      </c>
      <c r="B90" s="10">
        <f>24.8772 * CHOOSE(CONTROL!$C$9, $D$9, 100%, $F$9) + CHOOSE(CONTROL!$C$27, 0.0021, 0)</f>
        <v>24.879299999999997</v>
      </c>
      <c r="C90" s="10">
        <f>24.445 * CHOOSE(CONTROL!$C$9, $D$9, 100%, $F$9) + CHOOSE(CONTROL!$C$27, 0.0021, 0)</f>
        <v>24.447099999999999</v>
      </c>
      <c r="D90" s="10">
        <f>24.445 * CHOOSE(CONTROL!$C$9, $D$9, 100%, $F$9) + CHOOSE(CONTROL!$C$27, 0.0021, 0)</f>
        <v>24.447099999999999</v>
      </c>
      <c r="E90" s="10">
        <f>24.3083 * CHOOSE(CONTROL!$C$9, $D$9, 100%, $F$9) + CHOOSE(CONTROL!$C$27, 0.0021, 0)</f>
        <v>24.310399999999998</v>
      </c>
      <c r="F90" s="10">
        <f>24.3083 * CHOOSE(CONTROL!$C$9, $D$9, 100%, $F$9) + CHOOSE(CONTROL!$C$27, 0.0021, 0)</f>
        <v>24.310399999999998</v>
      </c>
      <c r="G90" s="10">
        <f>24.5797 * CHOOSE(CONTROL!$C$9, $D$9, 100%, $F$9) + CHOOSE(CONTROL!$C$27, 0.0021, 0)</f>
        <v>24.581799999999998</v>
      </c>
      <c r="H90" s="10">
        <f>24.445 * CHOOSE(CONTROL!$C$9, $D$9, 100%, $F$9) + CHOOSE(CONTROL!$C$27, 0.0021, 0)</f>
        <v>24.447099999999999</v>
      </c>
      <c r="I90" s="10">
        <f>24.445 * CHOOSE(CONTROL!$C$9, $D$9, 100%, $F$9) + CHOOSE(CONTROL!$C$27, 0.0021, 0)</f>
        <v>24.447099999999999</v>
      </c>
      <c r="J90" s="10">
        <f>24.445 * CHOOSE(CONTROL!$C$9, $D$9, 100%, $F$9) + CHOOSE(CONTROL!$C$27, 0.0021, 0)</f>
        <v>24.447099999999999</v>
      </c>
      <c r="K90" s="10">
        <f>24.445 * CHOOSE(CONTROL!$C$9, $D$9, 100%, $F$9) + CHOOSE(CONTROL!$C$27, 0.0021, 0)</f>
        <v>24.447099999999999</v>
      </c>
      <c r="L90" s="10"/>
    </row>
    <row r="91" spans="1:12" ht="15" x14ac:dyDescent="0.2">
      <c r="A91" s="16">
        <v>44044</v>
      </c>
      <c r="B91" s="10">
        <f>25.0129 * CHOOSE(CONTROL!$C$9, $D$9, 100%, $F$9) + CHOOSE(CONTROL!$C$27, 0.0021, 0)</f>
        <v>25.014999999999997</v>
      </c>
      <c r="C91" s="10">
        <f>24.5807 * CHOOSE(CONTROL!$C$9, $D$9, 100%, $F$9) + CHOOSE(CONTROL!$C$27, 0.0021, 0)</f>
        <v>24.582799999999999</v>
      </c>
      <c r="D91" s="10">
        <f>24.5807 * CHOOSE(CONTROL!$C$9, $D$9, 100%, $F$9) + CHOOSE(CONTROL!$C$27, 0.0021, 0)</f>
        <v>24.582799999999999</v>
      </c>
      <c r="E91" s="10">
        <f>24.444 * CHOOSE(CONTROL!$C$9, $D$9, 100%, $F$9) + CHOOSE(CONTROL!$C$27, 0.0021, 0)</f>
        <v>24.446099999999998</v>
      </c>
      <c r="F91" s="10">
        <f>24.444 * CHOOSE(CONTROL!$C$9, $D$9, 100%, $F$9) + CHOOSE(CONTROL!$C$27, 0.0021, 0)</f>
        <v>24.446099999999998</v>
      </c>
      <c r="G91" s="10">
        <f>24.7154 * CHOOSE(CONTROL!$C$9, $D$9, 100%, $F$9) + CHOOSE(CONTROL!$C$27, 0.0021, 0)</f>
        <v>24.717499999999998</v>
      </c>
      <c r="H91" s="10">
        <f>24.5807 * CHOOSE(CONTROL!$C$9, $D$9, 100%, $F$9) + CHOOSE(CONTROL!$C$27, 0.0021, 0)</f>
        <v>24.582799999999999</v>
      </c>
      <c r="I91" s="10">
        <f>24.5807 * CHOOSE(CONTROL!$C$9, $D$9, 100%, $F$9) + CHOOSE(CONTROL!$C$27, 0.0021, 0)</f>
        <v>24.582799999999999</v>
      </c>
      <c r="J91" s="10">
        <f>24.5807 * CHOOSE(CONTROL!$C$9, $D$9, 100%, $F$9) + CHOOSE(CONTROL!$C$27, 0.0021, 0)</f>
        <v>24.582799999999999</v>
      </c>
      <c r="K91" s="10">
        <f>24.5807 * CHOOSE(CONTROL!$C$9, $D$9, 100%, $F$9) + CHOOSE(CONTROL!$C$27, 0.0021, 0)</f>
        <v>24.582799999999999</v>
      </c>
      <c r="L91" s="10"/>
    </row>
    <row r="92" spans="1:12" ht="15" x14ac:dyDescent="0.2">
      <c r="A92" s="16">
        <v>44075</v>
      </c>
      <c r="B92" s="10">
        <f>25.4749 * CHOOSE(CONTROL!$C$9, $D$9, 100%, $F$9) + CHOOSE(CONTROL!$C$27, 0.0021, 0)</f>
        <v>25.477</v>
      </c>
      <c r="C92" s="10">
        <f>25.0427 * CHOOSE(CONTROL!$C$9, $D$9, 100%, $F$9) + CHOOSE(CONTROL!$C$27, 0.0021, 0)</f>
        <v>25.044799999999999</v>
      </c>
      <c r="D92" s="10">
        <f>25.0427 * CHOOSE(CONTROL!$C$9, $D$9, 100%, $F$9) + CHOOSE(CONTROL!$C$27, 0.0021, 0)</f>
        <v>25.044799999999999</v>
      </c>
      <c r="E92" s="10">
        <f>24.906 * CHOOSE(CONTROL!$C$9, $D$9, 100%, $F$9) + CHOOSE(CONTROL!$C$27, 0.0021, 0)</f>
        <v>24.908099999999997</v>
      </c>
      <c r="F92" s="10">
        <f>24.906 * CHOOSE(CONTROL!$C$9, $D$9, 100%, $F$9) + CHOOSE(CONTROL!$C$27, 0.0021, 0)</f>
        <v>24.908099999999997</v>
      </c>
      <c r="G92" s="10">
        <f>25.1774 * CHOOSE(CONTROL!$C$9, $D$9, 100%, $F$9) + CHOOSE(CONTROL!$C$27, 0.0021, 0)</f>
        <v>25.179499999999997</v>
      </c>
      <c r="H92" s="10">
        <f>25.0427 * CHOOSE(CONTROL!$C$9, $D$9, 100%, $F$9) + CHOOSE(CONTROL!$C$27, 0.0021, 0)</f>
        <v>25.044799999999999</v>
      </c>
      <c r="I92" s="10">
        <f>25.0427 * CHOOSE(CONTROL!$C$9, $D$9, 100%, $F$9) + CHOOSE(CONTROL!$C$27, 0.0021, 0)</f>
        <v>25.044799999999999</v>
      </c>
      <c r="J92" s="10">
        <f>25.0427 * CHOOSE(CONTROL!$C$9, $D$9, 100%, $F$9) + CHOOSE(CONTROL!$C$27, 0.0021, 0)</f>
        <v>25.044799999999999</v>
      </c>
      <c r="K92" s="10">
        <f>25.0427 * CHOOSE(CONTROL!$C$9, $D$9, 100%, $F$9) + CHOOSE(CONTROL!$C$27, 0.0021, 0)</f>
        <v>25.044799999999999</v>
      </c>
      <c r="L92" s="10"/>
    </row>
    <row r="93" spans="1:12" ht="15" x14ac:dyDescent="0.2">
      <c r="A93" s="16">
        <v>44105</v>
      </c>
      <c r="B93" s="10">
        <f>26.0598 * CHOOSE(CONTROL!$C$9, $D$9, 100%, $F$9) + CHOOSE(CONTROL!$C$27, 0.0021, 0)</f>
        <v>26.061899999999998</v>
      </c>
      <c r="C93" s="10">
        <f>25.6275 * CHOOSE(CONTROL!$C$9, $D$9, 100%, $F$9) + CHOOSE(CONTROL!$C$27, 0.0021, 0)</f>
        <v>25.6296</v>
      </c>
      <c r="D93" s="10">
        <f>25.6275 * CHOOSE(CONTROL!$C$9, $D$9, 100%, $F$9) + CHOOSE(CONTROL!$C$27, 0.0021, 0)</f>
        <v>25.6296</v>
      </c>
      <c r="E93" s="10">
        <f>25.4909 * CHOOSE(CONTROL!$C$9, $D$9, 100%, $F$9) + CHOOSE(CONTROL!$C$27, 0.0021, 0)</f>
        <v>25.492999999999999</v>
      </c>
      <c r="F93" s="10">
        <f>25.4909 * CHOOSE(CONTROL!$C$9, $D$9, 100%, $F$9) + CHOOSE(CONTROL!$C$27, 0.0021, 0)</f>
        <v>25.492999999999999</v>
      </c>
      <c r="G93" s="10">
        <f>25.7622 * CHOOSE(CONTROL!$C$9, $D$9, 100%, $F$9) + CHOOSE(CONTROL!$C$27, 0.0021, 0)</f>
        <v>25.764299999999999</v>
      </c>
      <c r="H93" s="10">
        <f>25.6275 * CHOOSE(CONTROL!$C$9, $D$9, 100%, $F$9) + CHOOSE(CONTROL!$C$27, 0.0021, 0)</f>
        <v>25.6296</v>
      </c>
      <c r="I93" s="10">
        <f>25.6275 * CHOOSE(CONTROL!$C$9, $D$9, 100%, $F$9) + CHOOSE(CONTROL!$C$27, 0.0021, 0)</f>
        <v>25.6296</v>
      </c>
      <c r="J93" s="10">
        <f>25.6275 * CHOOSE(CONTROL!$C$9, $D$9, 100%, $F$9) + CHOOSE(CONTROL!$C$27, 0.0021, 0)</f>
        <v>25.6296</v>
      </c>
      <c r="K93" s="10">
        <f>25.6275 * CHOOSE(CONTROL!$C$9, $D$9, 100%, $F$9) + CHOOSE(CONTROL!$C$27, 0.0021, 0)</f>
        <v>25.6296</v>
      </c>
      <c r="L93" s="10"/>
    </row>
    <row r="94" spans="1:12" ht="15" x14ac:dyDescent="0.2">
      <c r="A94" s="16">
        <v>44136</v>
      </c>
      <c r="B94" s="10">
        <f>26.1147 * CHOOSE(CONTROL!$C$9, $D$9, 100%, $F$9) + CHOOSE(CONTROL!$C$27, 0.0021, 0)</f>
        <v>26.116799999999998</v>
      </c>
      <c r="C94" s="10">
        <f>25.6824 * CHOOSE(CONTROL!$C$9, $D$9, 100%, $F$9) + CHOOSE(CONTROL!$C$27, 0.0021, 0)</f>
        <v>25.6845</v>
      </c>
      <c r="D94" s="10">
        <f>25.6824 * CHOOSE(CONTROL!$C$9, $D$9, 100%, $F$9) + CHOOSE(CONTROL!$C$27, 0.0021, 0)</f>
        <v>25.6845</v>
      </c>
      <c r="E94" s="10">
        <f>25.5458 * CHOOSE(CONTROL!$C$9, $D$9, 100%, $F$9) + CHOOSE(CONTROL!$C$27, 0.0021, 0)</f>
        <v>25.547899999999998</v>
      </c>
      <c r="F94" s="10">
        <f>25.5458 * CHOOSE(CONTROL!$C$9, $D$9, 100%, $F$9) + CHOOSE(CONTROL!$C$27, 0.0021, 0)</f>
        <v>25.547899999999998</v>
      </c>
      <c r="G94" s="10">
        <f>25.8172 * CHOOSE(CONTROL!$C$9, $D$9, 100%, $F$9) + CHOOSE(CONTROL!$C$27, 0.0021, 0)</f>
        <v>25.819299999999998</v>
      </c>
      <c r="H94" s="10">
        <f>25.6824 * CHOOSE(CONTROL!$C$9, $D$9, 100%, $F$9) + CHOOSE(CONTROL!$C$27, 0.0021, 0)</f>
        <v>25.6845</v>
      </c>
      <c r="I94" s="10">
        <f>25.6824 * CHOOSE(CONTROL!$C$9, $D$9, 100%, $F$9) + CHOOSE(CONTROL!$C$27, 0.0021, 0)</f>
        <v>25.6845</v>
      </c>
      <c r="J94" s="10">
        <f>25.6824 * CHOOSE(CONTROL!$C$9, $D$9, 100%, $F$9) + CHOOSE(CONTROL!$C$27, 0.0021, 0)</f>
        <v>25.6845</v>
      </c>
      <c r="K94" s="10">
        <f>25.6824 * CHOOSE(CONTROL!$C$9, $D$9, 100%, $F$9) + CHOOSE(CONTROL!$C$27, 0.0021, 0)</f>
        <v>25.6845</v>
      </c>
      <c r="L94" s="10"/>
    </row>
    <row r="95" spans="1:12" ht="15" x14ac:dyDescent="0.2">
      <c r="A95" s="16">
        <v>44166</v>
      </c>
      <c r="B95" s="10">
        <f>25.6476 * CHOOSE(CONTROL!$C$9, $D$9, 100%, $F$9) + CHOOSE(CONTROL!$C$27, 0.0021, 0)</f>
        <v>25.649699999999999</v>
      </c>
      <c r="C95" s="10">
        <f>25.2153 * CHOOSE(CONTROL!$C$9, $D$9, 100%, $F$9) + CHOOSE(CONTROL!$C$27, 0.0021, 0)</f>
        <v>25.217399999999998</v>
      </c>
      <c r="D95" s="10">
        <f>25.2153 * CHOOSE(CONTROL!$C$9, $D$9, 100%, $F$9) + CHOOSE(CONTROL!$C$27, 0.0021, 0)</f>
        <v>25.217399999999998</v>
      </c>
      <c r="E95" s="10">
        <f>25.0787 * CHOOSE(CONTROL!$C$9, $D$9, 100%, $F$9) + CHOOSE(CONTROL!$C$27, 0.0021, 0)</f>
        <v>25.0808</v>
      </c>
      <c r="F95" s="10">
        <f>25.0787 * CHOOSE(CONTROL!$C$9, $D$9, 100%, $F$9) + CHOOSE(CONTROL!$C$27, 0.0021, 0)</f>
        <v>25.0808</v>
      </c>
      <c r="G95" s="10">
        <f>25.3501 * CHOOSE(CONTROL!$C$9, $D$9, 100%, $F$9) + CHOOSE(CONTROL!$C$27, 0.0021, 0)</f>
        <v>25.3522</v>
      </c>
      <c r="H95" s="10">
        <f>25.2153 * CHOOSE(CONTROL!$C$9, $D$9, 100%, $F$9) + CHOOSE(CONTROL!$C$27, 0.0021, 0)</f>
        <v>25.217399999999998</v>
      </c>
      <c r="I95" s="10">
        <f>25.2153 * CHOOSE(CONTROL!$C$9, $D$9, 100%, $F$9) + CHOOSE(CONTROL!$C$27, 0.0021, 0)</f>
        <v>25.217399999999998</v>
      </c>
      <c r="J95" s="10">
        <f>25.2153 * CHOOSE(CONTROL!$C$9, $D$9, 100%, $F$9) + CHOOSE(CONTROL!$C$27, 0.0021, 0)</f>
        <v>25.217399999999998</v>
      </c>
      <c r="K95" s="10">
        <f>25.2153 * CHOOSE(CONTROL!$C$9, $D$9, 100%, $F$9) + CHOOSE(CONTROL!$C$27, 0.0021, 0)</f>
        <v>25.217399999999998</v>
      </c>
      <c r="L95" s="10"/>
    </row>
    <row r="96" spans="1:12" ht="15" x14ac:dyDescent="0.2">
      <c r="A96" s="16">
        <v>44197</v>
      </c>
      <c r="B96" s="10">
        <f>25.9425 * CHOOSE(CONTROL!$C$9, $D$9, 100%, $F$9) + CHOOSE(CONTROL!$C$27, 0.0021, 0)</f>
        <v>25.944599999999998</v>
      </c>
      <c r="C96" s="10">
        <f>25.5102 * CHOOSE(CONTROL!$C$9, $D$9, 100%, $F$9) + CHOOSE(CONTROL!$C$27, 0.0021, 0)</f>
        <v>25.5123</v>
      </c>
      <c r="D96" s="10">
        <f>25.5102 * CHOOSE(CONTROL!$C$9, $D$9, 100%, $F$9) + CHOOSE(CONTROL!$C$27, 0.0021, 0)</f>
        <v>25.5123</v>
      </c>
      <c r="E96" s="10">
        <f>25.3736 * CHOOSE(CONTROL!$C$9, $D$9, 100%, $F$9) + CHOOSE(CONTROL!$C$27, 0.0021, 0)</f>
        <v>25.375699999999998</v>
      </c>
      <c r="F96" s="10">
        <f>25.3736 * CHOOSE(CONTROL!$C$9, $D$9, 100%, $F$9) + CHOOSE(CONTROL!$C$27, 0.0021, 0)</f>
        <v>25.375699999999998</v>
      </c>
      <c r="G96" s="10">
        <f>25.6449 * CHOOSE(CONTROL!$C$9, $D$9, 100%, $F$9) + CHOOSE(CONTROL!$C$27, 0.0021, 0)</f>
        <v>25.646999999999998</v>
      </c>
      <c r="H96" s="10">
        <f>25.5102 * CHOOSE(CONTROL!$C$9, $D$9, 100%, $F$9) + CHOOSE(CONTROL!$C$27, 0.0021, 0)</f>
        <v>25.5123</v>
      </c>
      <c r="I96" s="10">
        <f>25.5102 * CHOOSE(CONTROL!$C$9, $D$9, 100%, $F$9) + CHOOSE(CONTROL!$C$27, 0.0021, 0)</f>
        <v>25.5123</v>
      </c>
      <c r="J96" s="10">
        <f>25.5102 * CHOOSE(CONTROL!$C$9, $D$9, 100%, $F$9) + CHOOSE(CONTROL!$C$27, 0.0021, 0)</f>
        <v>25.5123</v>
      </c>
      <c r="K96" s="10">
        <f>25.5102 * CHOOSE(CONTROL!$C$9, $D$9, 100%, $F$9) + CHOOSE(CONTROL!$C$27, 0.0021, 0)</f>
        <v>25.5123</v>
      </c>
      <c r="L96" s="10"/>
    </row>
    <row r="97" spans="1:12" ht="15" x14ac:dyDescent="0.2">
      <c r="A97" s="16">
        <v>44228</v>
      </c>
      <c r="B97" s="10">
        <f>25.2735 * CHOOSE(CONTROL!$C$9, $D$9, 100%, $F$9) + CHOOSE(CONTROL!$C$27, 0.0021, 0)</f>
        <v>25.275599999999997</v>
      </c>
      <c r="C97" s="10">
        <f>24.8413 * CHOOSE(CONTROL!$C$9, $D$9, 100%, $F$9) + CHOOSE(CONTROL!$C$27, 0.0021, 0)</f>
        <v>24.843399999999999</v>
      </c>
      <c r="D97" s="10">
        <f>24.8413 * CHOOSE(CONTROL!$C$9, $D$9, 100%, $F$9) + CHOOSE(CONTROL!$C$27, 0.0021, 0)</f>
        <v>24.843399999999999</v>
      </c>
      <c r="E97" s="10">
        <f>24.7046 * CHOOSE(CONTROL!$C$9, $D$9, 100%, $F$9) + CHOOSE(CONTROL!$C$27, 0.0021, 0)</f>
        <v>24.706699999999998</v>
      </c>
      <c r="F97" s="10">
        <f>24.7046 * CHOOSE(CONTROL!$C$9, $D$9, 100%, $F$9) + CHOOSE(CONTROL!$C$27, 0.0021, 0)</f>
        <v>24.706699999999998</v>
      </c>
      <c r="G97" s="10">
        <f>24.976 * CHOOSE(CONTROL!$C$9, $D$9, 100%, $F$9) + CHOOSE(CONTROL!$C$27, 0.0021, 0)</f>
        <v>24.978099999999998</v>
      </c>
      <c r="H97" s="10">
        <f>24.8413 * CHOOSE(CONTROL!$C$9, $D$9, 100%, $F$9) + CHOOSE(CONTROL!$C$27, 0.0021, 0)</f>
        <v>24.843399999999999</v>
      </c>
      <c r="I97" s="10">
        <f>24.8413 * CHOOSE(CONTROL!$C$9, $D$9, 100%, $F$9) + CHOOSE(CONTROL!$C$27, 0.0021, 0)</f>
        <v>24.843399999999999</v>
      </c>
      <c r="J97" s="10">
        <f>24.8413 * CHOOSE(CONTROL!$C$9, $D$9, 100%, $F$9) + CHOOSE(CONTROL!$C$27, 0.0021, 0)</f>
        <v>24.843399999999999</v>
      </c>
      <c r="K97" s="10">
        <f>24.8413 * CHOOSE(CONTROL!$C$9, $D$9, 100%, $F$9) + CHOOSE(CONTROL!$C$27, 0.0021, 0)</f>
        <v>24.843399999999999</v>
      </c>
      <c r="L97" s="10"/>
    </row>
    <row r="98" spans="1:12" ht="15" x14ac:dyDescent="0.2">
      <c r="A98" s="16">
        <v>44256</v>
      </c>
      <c r="B98" s="10">
        <f>24.9974 * CHOOSE(CONTROL!$C$9, $D$9, 100%, $F$9) + CHOOSE(CONTROL!$C$27, 0.0021, 0)</f>
        <v>24.999499999999998</v>
      </c>
      <c r="C98" s="10">
        <f>24.5651 * CHOOSE(CONTROL!$C$9, $D$9, 100%, $F$9) + CHOOSE(CONTROL!$C$27, 0.0021, 0)</f>
        <v>24.5672</v>
      </c>
      <c r="D98" s="10">
        <f>24.5651 * CHOOSE(CONTROL!$C$9, $D$9, 100%, $F$9) + CHOOSE(CONTROL!$C$27, 0.0021, 0)</f>
        <v>24.5672</v>
      </c>
      <c r="E98" s="10">
        <f>24.4285 * CHOOSE(CONTROL!$C$9, $D$9, 100%, $F$9) + CHOOSE(CONTROL!$C$27, 0.0021, 0)</f>
        <v>24.430599999999998</v>
      </c>
      <c r="F98" s="10">
        <f>24.4285 * CHOOSE(CONTROL!$C$9, $D$9, 100%, $F$9) + CHOOSE(CONTROL!$C$27, 0.0021, 0)</f>
        <v>24.430599999999998</v>
      </c>
      <c r="G98" s="10">
        <f>24.6998 * CHOOSE(CONTROL!$C$9, $D$9, 100%, $F$9) + CHOOSE(CONTROL!$C$27, 0.0021, 0)</f>
        <v>24.701899999999998</v>
      </c>
      <c r="H98" s="10">
        <f>24.5651 * CHOOSE(CONTROL!$C$9, $D$9, 100%, $F$9) + CHOOSE(CONTROL!$C$27, 0.0021, 0)</f>
        <v>24.5672</v>
      </c>
      <c r="I98" s="10">
        <f>24.5651 * CHOOSE(CONTROL!$C$9, $D$9, 100%, $F$9) + CHOOSE(CONTROL!$C$27, 0.0021, 0)</f>
        <v>24.5672</v>
      </c>
      <c r="J98" s="10">
        <f>24.5651 * CHOOSE(CONTROL!$C$9, $D$9, 100%, $F$9) + CHOOSE(CONTROL!$C$27, 0.0021, 0)</f>
        <v>24.5672</v>
      </c>
      <c r="K98" s="10">
        <f>24.5651 * CHOOSE(CONTROL!$C$9, $D$9, 100%, $F$9) + CHOOSE(CONTROL!$C$27, 0.0021, 0)</f>
        <v>24.5672</v>
      </c>
      <c r="L98" s="10"/>
    </row>
    <row r="99" spans="1:12" ht="15" x14ac:dyDescent="0.2">
      <c r="A99" s="16">
        <v>44287</v>
      </c>
      <c r="B99" s="10">
        <f>24.6676 * CHOOSE(CONTROL!$C$9, $D$9, 100%, $F$9) + CHOOSE(CONTROL!$C$27, 0.0021, 0)</f>
        <v>24.669699999999999</v>
      </c>
      <c r="C99" s="10">
        <f>24.2354 * CHOOSE(CONTROL!$C$9, $D$9, 100%, $F$9) + CHOOSE(CONTROL!$C$27, 0.0021, 0)</f>
        <v>24.237499999999997</v>
      </c>
      <c r="D99" s="10">
        <f>24.2354 * CHOOSE(CONTROL!$C$9, $D$9, 100%, $F$9) + CHOOSE(CONTROL!$C$27, 0.0021, 0)</f>
        <v>24.237499999999997</v>
      </c>
      <c r="E99" s="10">
        <f>24.0987 * CHOOSE(CONTROL!$C$9, $D$9, 100%, $F$9) + CHOOSE(CONTROL!$C$27, 0.0021, 0)</f>
        <v>24.1008</v>
      </c>
      <c r="F99" s="10">
        <f>24.0987 * CHOOSE(CONTROL!$C$9, $D$9, 100%, $F$9) + CHOOSE(CONTROL!$C$27, 0.0021, 0)</f>
        <v>24.1008</v>
      </c>
      <c r="G99" s="10">
        <f>24.3701 * CHOOSE(CONTROL!$C$9, $D$9, 100%, $F$9) + CHOOSE(CONTROL!$C$27, 0.0021, 0)</f>
        <v>24.372199999999999</v>
      </c>
      <c r="H99" s="10">
        <f>24.2354 * CHOOSE(CONTROL!$C$9, $D$9, 100%, $F$9) + CHOOSE(CONTROL!$C$27, 0.0021, 0)</f>
        <v>24.237499999999997</v>
      </c>
      <c r="I99" s="10">
        <f>24.2354 * CHOOSE(CONTROL!$C$9, $D$9, 100%, $F$9) + CHOOSE(CONTROL!$C$27, 0.0021, 0)</f>
        <v>24.237499999999997</v>
      </c>
      <c r="J99" s="10">
        <f>24.2354 * CHOOSE(CONTROL!$C$9, $D$9, 100%, $F$9) + CHOOSE(CONTROL!$C$27, 0.0021, 0)</f>
        <v>24.237499999999997</v>
      </c>
      <c r="K99" s="10">
        <f>24.2354 * CHOOSE(CONTROL!$C$9, $D$9, 100%, $F$9) + CHOOSE(CONTROL!$C$27, 0.0021, 0)</f>
        <v>24.237499999999997</v>
      </c>
      <c r="L99" s="10"/>
    </row>
    <row r="100" spans="1:12" ht="15" x14ac:dyDescent="0.2">
      <c r="A100" s="16">
        <v>44317</v>
      </c>
      <c r="B100" s="10">
        <f>25.1375 * CHOOSE(CONTROL!$C$9, $D$9, 100%, $F$9) + CHOOSE(CONTROL!$C$27, 0.0021, 0)</f>
        <v>25.139599999999998</v>
      </c>
      <c r="C100" s="10">
        <f>24.7053 * CHOOSE(CONTROL!$C$9, $D$9, 100%, $F$9) + CHOOSE(CONTROL!$C$27, 0.0021, 0)</f>
        <v>24.7074</v>
      </c>
      <c r="D100" s="10">
        <f>24.7053 * CHOOSE(CONTROL!$C$9, $D$9, 100%, $F$9) + CHOOSE(CONTROL!$C$27, 0.0021, 0)</f>
        <v>24.7074</v>
      </c>
      <c r="E100" s="10">
        <f>24.5686 * CHOOSE(CONTROL!$C$9, $D$9, 100%, $F$9) + CHOOSE(CONTROL!$C$27, 0.0021, 0)</f>
        <v>24.570699999999999</v>
      </c>
      <c r="F100" s="10">
        <f>24.5686 * CHOOSE(CONTROL!$C$9, $D$9, 100%, $F$9) + CHOOSE(CONTROL!$C$27, 0.0021, 0)</f>
        <v>24.570699999999999</v>
      </c>
      <c r="G100" s="10">
        <f>24.84 * CHOOSE(CONTROL!$C$9, $D$9, 100%, $F$9) + CHOOSE(CONTROL!$C$27, 0.0021, 0)</f>
        <v>24.842099999999999</v>
      </c>
      <c r="H100" s="10">
        <f>24.7053 * CHOOSE(CONTROL!$C$9, $D$9, 100%, $F$9) + CHOOSE(CONTROL!$C$27, 0.0021, 0)</f>
        <v>24.7074</v>
      </c>
      <c r="I100" s="10">
        <f>24.7053 * CHOOSE(CONTROL!$C$9, $D$9, 100%, $F$9) + CHOOSE(CONTROL!$C$27, 0.0021, 0)</f>
        <v>24.7074</v>
      </c>
      <c r="J100" s="10">
        <f>24.7053 * CHOOSE(CONTROL!$C$9, $D$9, 100%, $F$9) + CHOOSE(CONTROL!$C$27, 0.0021, 0)</f>
        <v>24.7074</v>
      </c>
      <c r="K100" s="10">
        <f>24.7053 * CHOOSE(CONTROL!$C$9, $D$9, 100%, $F$9) + CHOOSE(CONTROL!$C$27, 0.0021, 0)</f>
        <v>24.7074</v>
      </c>
      <c r="L100" s="10"/>
    </row>
    <row r="101" spans="1:12" ht="15" x14ac:dyDescent="0.2">
      <c r="A101" s="16">
        <v>44348</v>
      </c>
      <c r="B101" s="10">
        <f>25.419 * CHOOSE(CONTROL!$C$9, $D$9, 100%, $F$9) + CHOOSE(CONTROL!$C$27, 0.0021, 0)</f>
        <v>25.421099999999999</v>
      </c>
      <c r="C101" s="10">
        <f>24.9867 * CHOOSE(CONTROL!$C$9, $D$9, 100%, $F$9) + CHOOSE(CONTROL!$C$27, 0.0021, 0)</f>
        <v>24.988799999999998</v>
      </c>
      <c r="D101" s="10">
        <f>24.9867 * CHOOSE(CONTROL!$C$9, $D$9, 100%, $F$9) + CHOOSE(CONTROL!$C$27, 0.0021, 0)</f>
        <v>24.988799999999998</v>
      </c>
      <c r="E101" s="10">
        <f>24.8501 * CHOOSE(CONTROL!$C$9, $D$9, 100%, $F$9) + CHOOSE(CONTROL!$C$27, 0.0021, 0)</f>
        <v>24.8522</v>
      </c>
      <c r="F101" s="10">
        <f>24.8501 * CHOOSE(CONTROL!$C$9, $D$9, 100%, $F$9) + CHOOSE(CONTROL!$C$27, 0.0021, 0)</f>
        <v>24.8522</v>
      </c>
      <c r="G101" s="10">
        <f>25.1215 * CHOOSE(CONTROL!$C$9, $D$9, 100%, $F$9) + CHOOSE(CONTROL!$C$27, 0.0021, 0)</f>
        <v>25.1236</v>
      </c>
      <c r="H101" s="10">
        <f>24.9867 * CHOOSE(CONTROL!$C$9, $D$9, 100%, $F$9) + CHOOSE(CONTROL!$C$27, 0.0021, 0)</f>
        <v>24.988799999999998</v>
      </c>
      <c r="I101" s="10">
        <f>24.9867 * CHOOSE(CONTROL!$C$9, $D$9, 100%, $F$9) + CHOOSE(CONTROL!$C$27, 0.0021, 0)</f>
        <v>24.988799999999998</v>
      </c>
      <c r="J101" s="10">
        <f>24.9867 * CHOOSE(CONTROL!$C$9, $D$9, 100%, $F$9) + CHOOSE(CONTROL!$C$27, 0.0021, 0)</f>
        <v>24.988799999999998</v>
      </c>
      <c r="K101" s="10">
        <f>24.9867 * CHOOSE(CONTROL!$C$9, $D$9, 100%, $F$9) + CHOOSE(CONTROL!$C$27, 0.0021, 0)</f>
        <v>24.988799999999998</v>
      </c>
      <c r="L101" s="10"/>
    </row>
    <row r="102" spans="1:12" ht="15" x14ac:dyDescent="0.2">
      <c r="A102" s="16">
        <v>44378</v>
      </c>
      <c r="B102" s="10">
        <f>25.8833 * CHOOSE(CONTROL!$C$9, $D$9, 100%, $F$9) + CHOOSE(CONTROL!$C$27, 0.0021, 0)</f>
        <v>25.885399999999997</v>
      </c>
      <c r="C102" s="10">
        <f>25.451 * CHOOSE(CONTROL!$C$9, $D$9, 100%, $F$9) + CHOOSE(CONTROL!$C$27, 0.0021, 0)</f>
        <v>25.453099999999999</v>
      </c>
      <c r="D102" s="10">
        <f>25.451 * CHOOSE(CONTROL!$C$9, $D$9, 100%, $F$9) + CHOOSE(CONTROL!$C$27, 0.0021, 0)</f>
        <v>25.453099999999999</v>
      </c>
      <c r="E102" s="10">
        <f>25.3144 * CHOOSE(CONTROL!$C$9, $D$9, 100%, $F$9) + CHOOSE(CONTROL!$C$27, 0.0021, 0)</f>
        <v>25.316499999999998</v>
      </c>
      <c r="F102" s="10">
        <f>25.3144 * CHOOSE(CONTROL!$C$9, $D$9, 100%, $F$9) + CHOOSE(CONTROL!$C$27, 0.0021, 0)</f>
        <v>25.316499999999998</v>
      </c>
      <c r="G102" s="10">
        <f>25.5857 * CHOOSE(CONTROL!$C$9, $D$9, 100%, $F$9) + CHOOSE(CONTROL!$C$27, 0.0021, 0)</f>
        <v>25.587799999999998</v>
      </c>
      <c r="H102" s="10">
        <f>25.451 * CHOOSE(CONTROL!$C$9, $D$9, 100%, $F$9) + CHOOSE(CONTROL!$C$27, 0.0021, 0)</f>
        <v>25.453099999999999</v>
      </c>
      <c r="I102" s="10">
        <f>25.451 * CHOOSE(CONTROL!$C$9, $D$9, 100%, $F$9) + CHOOSE(CONTROL!$C$27, 0.0021, 0)</f>
        <v>25.453099999999999</v>
      </c>
      <c r="J102" s="10">
        <f>25.451 * CHOOSE(CONTROL!$C$9, $D$9, 100%, $F$9) + CHOOSE(CONTROL!$C$27, 0.0021, 0)</f>
        <v>25.453099999999999</v>
      </c>
      <c r="K102" s="10">
        <f>25.451 * CHOOSE(CONTROL!$C$9, $D$9, 100%, $F$9) + CHOOSE(CONTROL!$C$27, 0.0021, 0)</f>
        <v>25.453099999999999</v>
      </c>
      <c r="L102" s="10"/>
    </row>
    <row r="103" spans="1:12" ht="15" x14ac:dyDescent="0.2">
      <c r="A103" s="16">
        <v>44409</v>
      </c>
      <c r="B103" s="10">
        <f>26.025 * CHOOSE(CONTROL!$C$9, $D$9, 100%, $F$9) + CHOOSE(CONTROL!$C$27, 0.0021, 0)</f>
        <v>26.027099999999997</v>
      </c>
      <c r="C103" s="10">
        <f>25.5927 * CHOOSE(CONTROL!$C$9, $D$9, 100%, $F$9) + CHOOSE(CONTROL!$C$27, 0.0021, 0)</f>
        <v>25.594799999999999</v>
      </c>
      <c r="D103" s="10">
        <f>25.5927 * CHOOSE(CONTROL!$C$9, $D$9, 100%, $F$9) + CHOOSE(CONTROL!$C$27, 0.0021, 0)</f>
        <v>25.594799999999999</v>
      </c>
      <c r="E103" s="10">
        <f>25.4561 * CHOOSE(CONTROL!$C$9, $D$9, 100%, $F$9) + CHOOSE(CONTROL!$C$27, 0.0021, 0)</f>
        <v>25.458199999999998</v>
      </c>
      <c r="F103" s="10">
        <f>25.4561 * CHOOSE(CONTROL!$C$9, $D$9, 100%, $F$9) + CHOOSE(CONTROL!$C$27, 0.0021, 0)</f>
        <v>25.458199999999998</v>
      </c>
      <c r="G103" s="10">
        <f>25.7274 * CHOOSE(CONTROL!$C$9, $D$9, 100%, $F$9) + CHOOSE(CONTROL!$C$27, 0.0021, 0)</f>
        <v>25.729499999999998</v>
      </c>
      <c r="H103" s="10">
        <f>25.5927 * CHOOSE(CONTROL!$C$9, $D$9, 100%, $F$9) + CHOOSE(CONTROL!$C$27, 0.0021, 0)</f>
        <v>25.594799999999999</v>
      </c>
      <c r="I103" s="10">
        <f>25.5927 * CHOOSE(CONTROL!$C$9, $D$9, 100%, $F$9) + CHOOSE(CONTROL!$C$27, 0.0021, 0)</f>
        <v>25.594799999999999</v>
      </c>
      <c r="J103" s="10">
        <f>25.5927 * CHOOSE(CONTROL!$C$9, $D$9, 100%, $F$9) + CHOOSE(CONTROL!$C$27, 0.0021, 0)</f>
        <v>25.594799999999999</v>
      </c>
      <c r="K103" s="10">
        <f>25.5927 * CHOOSE(CONTROL!$C$9, $D$9, 100%, $F$9) + CHOOSE(CONTROL!$C$27, 0.0021, 0)</f>
        <v>25.594799999999999</v>
      </c>
      <c r="L103" s="10"/>
    </row>
    <row r="104" spans="1:12" ht="15" x14ac:dyDescent="0.2">
      <c r="A104" s="16">
        <v>44440</v>
      </c>
      <c r="B104" s="10">
        <f>26.5076 * CHOOSE(CONTROL!$C$9, $D$9, 100%, $F$9) + CHOOSE(CONTROL!$C$27, 0.0021, 0)</f>
        <v>26.509699999999999</v>
      </c>
      <c r="C104" s="10">
        <f>26.0753 * CHOOSE(CONTROL!$C$9, $D$9, 100%, $F$9) + CHOOSE(CONTROL!$C$27, 0.0021, 0)</f>
        <v>26.077399999999997</v>
      </c>
      <c r="D104" s="10">
        <f>26.0753 * CHOOSE(CONTROL!$C$9, $D$9, 100%, $F$9) + CHOOSE(CONTROL!$C$27, 0.0021, 0)</f>
        <v>26.077399999999997</v>
      </c>
      <c r="E104" s="10">
        <f>25.9387 * CHOOSE(CONTROL!$C$9, $D$9, 100%, $F$9) + CHOOSE(CONTROL!$C$27, 0.0021, 0)</f>
        <v>25.940799999999999</v>
      </c>
      <c r="F104" s="10">
        <f>25.9387 * CHOOSE(CONTROL!$C$9, $D$9, 100%, $F$9) + CHOOSE(CONTROL!$C$27, 0.0021, 0)</f>
        <v>25.940799999999999</v>
      </c>
      <c r="G104" s="10">
        <f>26.21 * CHOOSE(CONTROL!$C$9, $D$9, 100%, $F$9) + CHOOSE(CONTROL!$C$27, 0.0021, 0)</f>
        <v>26.2121</v>
      </c>
      <c r="H104" s="10">
        <f>26.0753 * CHOOSE(CONTROL!$C$9, $D$9, 100%, $F$9) + CHOOSE(CONTROL!$C$27, 0.0021, 0)</f>
        <v>26.077399999999997</v>
      </c>
      <c r="I104" s="10">
        <f>26.0753 * CHOOSE(CONTROL!$C$9, $D$9, 100%, $F$9) + CHOOSE(CONTROL!$C$27, 0.0021, 0)</f>
        <v>26.077399999999997</v>
      </c>
      <c r="J104" s="10">
        <f>26.0753 * CHOOSE(CONTROL!$C$9, $D$9, 100%, $F$9) + CHOOSE(CONTROL!$C$27, 0.0021, 0)</f>
        <v>26.077399999999997</v>
      </c>
      <c r="K104" s="10">
        <f>26.0753 * CHOOSE(CONTROL!$C$9, $D$9, 100%, $F$9) + CHOOSE(CONTROL!$C$27, 0.0021, 0)</f>
        <v>26.077399999999997</v>
      </c>
      <c r="L104" s="10"/>
    </row>
    <row r="105" spans="1:12" ht="15" x14ac:dyDescent="0.2">
      <c r="A105" s="16">
        <v>44470</v>
      </c>
      <c r="B105" s="10">
        <f>27.1185 * CHOOSE(CONTROL!$C$9, $D$9, 100%, $F$9) + CHOOSE(CONTROL!$C$27, 0.0021, 0)</f>
        <v>27.1206</v>
      </c>
      <c r="C105" s="10">
        <f>26.6862 * CHOOSE(CONTROL!$C$9, $D$9, 100%, $F$9) + CHOOSE(CONTROL!$C$27, 0.0021, 0)</f>
        <v>26.688299999999998</v>
      </c>
      <c r="D105" s="10">
        <f>26.6862 * CHOOSE(CONTROL!$C$9, $D$9, 100%, $F$9) + CHOOSE(CONTROL!$C$27, 0.0021, 0)</f>
        <v>26.688299999999998</v>
      </c>
      <c r="E105" s="10">
        <f>26.5496 * CHOOSE(CONTROL!$C$9, $D$9, 100%, $F$9) + CHOOSE(CONTROL!$C$27, 0.0021, 0)</f>
        <v>26.5517</v>
      </c>
      <c r="F105" s="10">
        <f>26.5496 * CHOOSE(CONTROL!$C$9, $D$9, 100%, $F$9) + CHOOSE(CONTROL!$C$27, 0.0021, 0)</f>
        <v>26.5517</v>
      </c>
      <c r="G105" s="10">
        <f>26.8209 * CHOOSE(CONTROL!$C$9, $D$9, 100%, $F$9) + CHOOSE(CONTROL!$C$27, 0.0021, 0)</f>
        <v>26.823</v>
      </c>
      <c r="H105" s="10">
        <f>26.6862 * CHOOSE(CONTROL!$C$9, $D$9, 100%, $F$9) + CHOOSE(CONTROL!$C$27, 0.0021, 0)</f>
        <v>26.688299999999998</v>
      </c>
      <c r="I105" s="10">
        <f>26.6862 * CHOOSE(CONTROL!$C$9, $D$9, 100%, $F$9) + CHOOSE(CONTROL!$C$27, 0.0021, 0)</f>
        <v>26.688299999999998</v>
      </c>
      <c r="J105" s="10">
        <f>26.6862 * CHOOSE(CONTROL!$C$9, $D$9, 100%, $F$9) + CHOOSE(CONTROL!$C$27, 0.0021, 0)</f>
        <v>26.688299999999998</v>
      </c>
      <c r="K105" s="10">
        <f>26.6862 * CHOOSE(CONTROL!$C$9, $D$9, 100%, $F$9) + CHOOSE(CONTROL!$C$27, 0.0021, 0)</f>
        <v>26.688299999999998</v>
      </c>
      <c r="L105" s="10"/>
    </row>
    <row r="106" spans="1:12" ht="15" x14ac:dyDescent="0.2">
      <c r="A106" s="16">
        <v>44501</v>
      </c>
      <c r="B106" s="10">
        <f>27.1758 * CHOOSE(CONTROL!$C$9, $D$9, 100%, $F$9) + CHOOSE(CONTROL!$C$27, 0.0021, 0)</f>
        <v>27.177899999999998</v>
      </c>
      <c r="C106" s="10">
        <f>26.7436 * CHOOSE(CONTROL!$C$9, $D$9, 100%, $F$9) + CHOOSE(CONTROL!$C$27, 0.0021, 0)</f>
        <v>26.745699999999999</v>
      </c>
      <c r="D106" s="10">
        <f>26.7436 * CHOOSE(CONTROL!$C$9, $D$9, 100%, $F$9) + CHOOSE(CONTROL!$C$27, 0.0021, 0)</f>
        <v>26.745699999999999</v>
      </c>
      <c r="E106" s="10">
        <f>26.6069 * CHOOSE(CONTROL!$C$9, $D$9, 100%, $F$9) + CHOOSE(CONTROL!$C$27, 0.0021, 0)</f>
        <v>26.608999999999998</v>
      </c>
      <c r="F106" s="10">
        <f>26.6069 * CHOOSE(CONTROL!$C$9, $D$9, 100%, $F$9) + CHOOSE(CONTROL!$C$27, 0.0021, 0)</f>
        <v>26.608999999999998</v>
      </c>
      <c r="G106" s="10">
        <f>26.8783 * CHOOSE(CONTROL!$C$9, $D$9, 100%, $F$9) + CHOOSE(CONTROL!$C$27, 0.0021, 0)</f>
        <v>26.880399999999998</v>
      </c>
      <c r="H106" s="10">
        <f>26.7436 * CHOOSE(CONTROL!$C$9, $D$9, 100%, $F$9) + CHOOSE(CONTROL!$C$27, 0.0021, 0)</f>
        <v>26.745699999999999</v>
      </c>
      <c r="I106" s="10">
        <f>26.7436 * CHOOSE(CONTROL!$C$9, $D$9, 100%, $F$9) + CHOOSE(CONTROL!$C$27, 0.0021, 0)</f>
        <v>26.745699999999999</v>
      </c>
      <c r="J106" s="10">
        <f>26.7436 * CHOOSE(CONTROL!$C$9, $D$9, 100%, $F$9) + CHOOSE(CONTROL!$C$27, 0.0021, 0)</f>
        <v>26.745699999999999</v>
      </c>
      <c r="K106" s="10">
        <f>26.7436 * CHOOSE(CONTROL!$C$9, $D$9, 100%, $F$9) + CHOOSE(CONTROL!$C$27, 0.0021, 0)</f>
        <v>26.745699999999999</v>
      </c>
      <c r="L106" s="10"/>
    </row>
    <row r="107" spans="1:12" ht="15" x14ac:dyDescent="0.2">
      <c r="A107" s="16">
        <v>44531</v>
      </c>
      <c r="B107" s="10">
        <f>26.6879 * CHOOSE(CONTROL!$C$9, $D$9, 100%, $F$9) + CHOOSE(CONTROL!$C$27, 0.0021, 0)</f>
        <v>26.689999999999998</v>
      </c>
      <c r="C107" s="10">
        <f>26.2557 * CHOOSE(CONTROL!$C$9, $D$9, 100%, $F$9) + CHOOSE(CONTROL!$C$27, 0.0021, 0)</f>
        <v>26.2578</v>
      </c>
      <c r="D107" s="10">
        <f>26.2557 * CHOOSE(CONTROL!$C$9, $D$9, 100%, $F$9) + CHOOSE(CONTROL!$C$27, 0.0021, 0)</f>
        <v>26.2578</v>
      </c>
      <c r="E107" s="10">
        <f>26.119 * CHOOSE(CONTROL!$C$9, $D$9, 100%, $F$9) + CHOOSE(CONTROL!$C$27, 0.0021, 0)</f>
        <v>26.121099999999998</v>
      </c>
      <c r="F107" s="10">
        <f>26.119 * CHOOSE(CONTROL!$C$9, $D$9, 100%, $F$9) + CHOOSE(CONTROL!$C$27, 0.0021, 0)</f>
        <v>26.121099999999998</v>
      </c>
      <c r="G107" s="10">
        <f>26.3904 * CHOOSE(CONTROL!$C$9, $D$9, 100%, $F$9) + CHOOSE(CONTROL!$C$27, 0.0021, 0)</f>
        <v>26.392499999999998</v>
      </c>
      <c r="H107" s="10">
        <f>26.2557 * CHOOSE(CONTROL!$C$9, $D$9, 100%, $F$9) + CHOOSE(CONTROL!$C$27, 0.0021, 0)</f>
        <v>26.2578</v>
      </c>
      <c r="I107" s="10">
        <f>26.2557 * CHOOSE(CONTROL!$C$9, $D$9, 100%, $F$9) + CHOOSE(CONTROL!$C$27, 0.0021, 0)</f>
        <v>26.2578</v>
      </c>
      <c r="J107" s="10">
        <f>26.2557 * CHOOSE(CONTROL!$C$9, $D$9, 100%, $F$9) + CHOOSE(CONTROL!$C$27, 0.0021, 0)</f>
        <v>26.2578</v>
      </c>
      <c r="K107" s="10">
        <f>26.2557 * CHOOSE(CONTROL!$C$9, $D$9, 100%, $F$9) + CHOOSE(CONTROL!$C$27, 0.0021, 0)</f>
        <v>26.2578</v>
      </c>
      <c r="L107" s="10"/>
    </row>
    <row r="108" spans="1:12" ht="15" x14ac:dyDescent="0.2">
      <c r="A108" s="16">
        <v>44562</v>
      </c>
      <c r="B108" s="10">
        <f>27.1005 * CHOOSE(CONTROL!$C$9, $D$9, 100%, $F$9) + CHOOSE(CONTROL!$C$27, 0.0021, 0)</f>
        <v>27.102599999999999</v>
      </c>
      <c r="C108" s="10">
        <f>26.6682 * CHOOSE(CONTROL!$C$9, $D$9, 100%, $F$9) + CHOOSE(CONTROL!$C$27, 0.0021, 0)</f>
        <v>26.670299999999997</v>
      </c>
      <c r="D108" s="10">
        <f>26.6682 * CHOOSE(CONTROL!$C$9, $D$9, 100%, $F$9) + CHOOSE(CONTROL!$C$27, 0.0021, 0)</f>
        <v>26.670299999999997</v>
      </c>
      <c r="E108" s="10">
        <f>26.5316 * CHOOSE(CONTROL!$C$9, $D$9, 100%, $F$9) + CHOOSE(CONTROL!$C$27, 0.0021, 0)</f>
        <v>26.5337</v>
      </c>
      <c r="F108" s="10">
        <f>26.5316 * CHOOSE(CONTROL!$C$9, $D$9, 100%, $F$9) + CHOOSE(CONTROL!$C$27, 0.0021, 0)</f>
        <v>26.5337</v>
      </c>
      <c r="G108" s="10">
        <f>26.803 * CHOOSE(CONTROL!$C$9, $D$9, 100%, $F$9) + CHOOSE(CONTROL!$C$27, 0.0021, 0)</f>
        <v>26.805099999999999</v>
      </c>
      <c r="H108" s="10">
        <f>26.6682 * CHOOSE(CONTROL!$C$9, $D$9, 100%, $F$9) + CHOOSE(CONTROL!$C$27, 0.0021, 0)</f>
        <v>26.670299999999997</v>
      </c>
      <c r="I108" s="10">
        <f>26.6682 * CHOOSE(CONTROL!$C$9, $D$9, 100%, $F$9) + CHOOSE(CONTROL!$C$27, 0.0021, 0)</f>
        <v>26.670299999999997</v>
      </c>
      <c r="J108" s="10">
        <f>26.6682 * CHOOSE(CONTROL!$C$9, $D$9, 100%, $F$9) + CHOOSE(CONTROL!$C$27, 0.0021, 0)</f>
        <v>26.670299999999997</v>
      </c>
      <c r="K108" s="10">
        <f>26.6682 * CHOOSE(CONTROL!$C$9, $D$9, 100%, $F$9) + CHOOSE(CONTROL!$C$27, 0.0021, 0)</f>
        <v>26.670299999999997</v>
      </c>
      <c r="L108" s="10"/>
    </row>
    <row r="109" spans="1:12" ht="15" x14ac:dyDescent="0.2">
      <c r="A109" s="16">
        <v>44593</v>
      </c>
      <c r="B109" s="10">
        <f>26.3988 * CHOOSE(CONTROL!$C$9, $D$9, 100%, $F$9) + CHOOSE(CONTROL!$C$27, 0.0021, 0)</f>
        <v>26.4009</v>
      </c>
      <c r="C109" s="10">
        <f>25.9665 * CHOOSE(CONTROL!$C$9, $D$9, 100%, $F$9) + CHOOSE(CONTROL!$C$27, 0.0021, 0)</f>
        <v>25.968599999999999</v>
      </c>
      <c r="D109" s="10">
        <f>25.9665 * CHOOSE(CONTROL!$C$9, $D$9, 100%, $F$9) + CHOOSE(CONTROL!$C$27, 0.0021, 0)</f>
        <v>25.968599999999999</v>
      </c>
      <c r="E109" s="10">
        <f>25.8299 * CHOOSE(CONTROL!$C$9, $D$9, 100%, $F$9) + CHOOSE(CONTROL!$C$27, 0.0021, 0)</f>
        <v>25.831999999999997</v>
      </c>
      <c r="F109" s="10">
        <f>25.8299 * CHOOSE(CONTROL!$C$9, $D$9, 100%, $F$9) + CHOOSE(CONTROL!$C$27, 0.0021, 0)</f>
        <v>25.831999999999997</v>
      </c>
      <c r="G109" s="10">
        <f>26.1012 * CHOOSE(CONTROL!$C$9, $D$9, 100%, $F$9) + CHOOSE(CONTROL!$C$27, 0.0021, 0)</f>
        <v>26.103299999999997</v>
      </c>
      <c r="H109" s="10">
        <f>25.9665 * CHOOSE(CONTROL!$C$9, $D$9, 100%, $F$9) + CHOOSE(CONTROL!$C$27, 0.0021, 0)</f>
        <v>25.968599999999999</v>
      </c>
      <c r="I109" s="10">
        <f>25.9665 * CHOOSE(CONTROL!$C$9, $D$9, 100%, $F$9) + CHOOSE(CONTROL!$C$27, 0.0021, 0)</f>
        <v>25.968599999999999</v>
      </c>
      <c r="J109" s="10">
        <f>25.9665 * CHOOSE(CONTROL!$C$9, $D$9, 100%, $F$9) + CHOOSE(CONTROL!$C$27, 0.0021, 0)</f>
        <v>25.968599999999999</v>
      </c>
      <c r="K109" s="10">
        <f>25.9665 * CHOOSE(CONTROL!$C$9, $D$9, 100%, $F$9) + CHOOSE(CONTROL!$C$27, 0.0021, 0)</f>
        <v>25.968599999999999</v>
      </c>
      <c r="L109" s="10"/>
    </row>
    <row r="110" spans="1:12" ht="15" x14ac:dyDescent="0.2">
      <c r="A110" s="16">
        <v>44621</v>
      </c>
      <c r="B110" s="10">
        <f>26.1091 * CHOOSE(CONTROL!$C$9, $D$9, 100%, $F$9) + CHOOSE(CONTROL!$C$27, 0.0021, 0)</f>
        <v>26.1112</v>
      </c>
      <c r="C110" s="10">
        <f>25.6769 * CHOOSE(CONTROL!$C$9, $D$9, 100%, $F$9) + CHOOSE(CONTROL!$C$27, 0.0021, 0)</f>
        <v>25.678999999999998</v>
      </c>
      <c r="D110" s="10">
        <f>25.6769 * CHOOSE(CONTROL!$C$9, $D$9, 100%, $F$9) + CHOOSE(CONTROL!$C$27, 0.0021, 0)</f>
        <v>25.678999999999998</v>
      </c>
      <c r="E110" s="10">
        <f>25.5402 * CHOOSE(CONTROL!$C$9, $D$9, 100%, $F$9) + CHOOSE(CONTROL!$C$27, 0.0021, 0)</f>
        <v>25.542299999999997</v>
      </c>
      <c r="F110" s="10">
        <f>25.5402 * CHOOSE(CONTROL!$C$9, $D$9, 100%, $F$9) + CHOOSE(CONTROL!$C$27, 0.0021, 0)</f>
        <v>25.542299999999997</v>
      </c>
      <c r="G110" s="10">
        <f>25.8116 * CHOOSE(CONTROL!$C$9, $D$9, 100%, $F$9) + CHOOSE(CONTROL!$C$27, 0.0021, 0)</f>
        <v>25.813699999999997</v>
      </c>
      <c r="H110" s="10">
        <f>25.6769 * CHOOSE(CONTROL!$C$9, $D$9, 100%, $F$9) + CHOOSE(CONTROL!$C$27, 0.0021, 0)</f>
        <v>25.678999999999998</v>
      </c>
      <c r="I110" s="10">
        <f>25.6769 * CHOOSE(CONTROL!$C$9, $D$9, 100%, $F$9) + CHOOSE(CONTROL!$C$27, 0.0021, 0)</f>
        <v>25.678999999999998</v>
      </c>
      <c r="J110" s="10">
        <f>25.6769 * CHOOSE(CONTROL!$C$9, $D$9, 100%, $F$9) + CHOOSE(CONTROL!$C$27, 0.0021, 0)</f>
        <v>25.678999999999998</v>
      </c>
      <c r="K110" s="10">
        <f>25.6769 * CHOOSE(CONTROL!$C$9, $D$9, 100%, $F$9) + CHOOSE(CONTROL!$C$27, 0.0021, 0)</f>
        <v>25.678999999999998</v>
      </c>
      <c r="L110" s="10"/>
    </row>
    <row r="111" spans="1:12" ht="15" x14ac:dyDescent="0.2">
      <c r="A111" s="16">
        <v>44652</v>
      </c>
      <c r="B111" s="10">
        <f>25.7632 * CHOOSE(CONTROL!$C$9, $D$9, 100%, $F$9) + CHOOSE(CONTROL!$C$27, 0.0021, 0)</f>
        <v>25.7653</v>
      </c>
      <c r="C111" s="10">
        <f>25.331 * CHOOSE(CONTROL!$C$9, $D$9, 100%, $F$9) + CHOOSE(CONTROL!$C$27, 0.0021, 0)</f>
        <v>25.333099999999998</v>
      </c>
      <c r="D111" s="10">
        <f>25.331 * CHOOSE(CONTROL!$C$9, $D$9, 100%, $F$9) + CHOOSE(CONTROL!$C$27, 0.0021, 0)</f>
        <v>25.333099999999998</v>
      </c>
      <c r="E111" s="10">
        <f>25.1943 * CHOOSE(CONTROL!$C$9, $D$9, 100%, $F$9) + CHOOSE(CONTROL!$C$27, 0.0021, 0)</f>
        <v>25.196399999999997</v>
      </c>
      <c r="F111" s="10">
        <f>25.1943 * CHOOSE(CONTROL!$C$9, $D$9, 100%, $F$9) + CHOOSE(CONTROL!$C$27, 0.0021, 0)</f>
        <v>25.196399999999997</v>
      </c>
      <c r="G111" s="10">
        <f>25.4657 * CHOOSE(CONTROL!$C$9, $D$9, 100%, $F$9) + CHOOSE(CONTROL!$C$27, 0.0021, 0)</f>
        <v>25.467799999999997</v>
      </c>
      <c r="H111" s="10">
        <f>25.331 * CHOOSE(CONTROL!$C$9, $D$9, 100%, $F$9) + CHOOSE(CONTROL!$C$27, 0.0021, 0)</f>
        <v>25.333099999999998</v>
      </c>
      <c r="I111" s="10">
        <f>25.331 * CHOOSE(CONTROL!$C$9, $D$9, 100%, $F$9) + CHOOSE(CONTROL!$C$27, 0.0021, 0)</f>
        <v>25.333099999999998</v>
      </c>
      <c r="J111" s="10">
        <f>25.331 * CHOOSE(CONTROL!$C$9, $D$9, 100%, $F$9) + CHOOSE(CONTROL!$C$27, 0.0021, 0)</f>
        <v>25.333099999999998</v>
      </c>
      <c r="K111" s="10">
        <f>25.331 * CHOOSE(CONTROL!$C$9, $D$9, 100%, $F$9) + CHOOSE(CONTROL!$C$27, 0.0021, 0)</f>
        <v>25.333099999999998</v>
      </c>
      <c r="L111" s="10"/>
    </row>
    <row r="112" spans="1:12" ht="15" x14ac:dyDescent="0.2">
      <c r="A112" s="16">
        <v>44682</v>
      </c>
      <c r="B112" s="10">
        <f>26.2561 * CHOOSE(CONTROL!$C$9, $D$9, 100%, $F$9) + CHOOSE(CONTROL!$C$27, 0.0021, 0)</f>
        <v>26.258199999999999</v>
      </c>
      <c r="C112" s="10">
        <f>25.8239 * CHOOSE(CONTROL!$C$9, $D$9, 100%, $F$9) + CHOOSE(CONTROL!$C$27, 0.0021, 0)</f>
        <v>25.825999999999997</v>
      </c>
      <c r="D112" s="10">
        <f>25.8239 * CHOOSE(CONTROL!$C$9, $D$9, 100%, $F$9) + CHOOSE(CONTROL!$C$27, 0.0021, 0)</f>
        <v>25.825999999999997</v>
      </c>
      <c r="E112" s="10">
        <f>25.6872 * CHOOSE(CONTROL!$C$9, $D$9, 100%, $F$9) + CHOOSE(CONTROL!$C$27, 0.0021, 0)</f>
        <v>25.689299999999999</v>
      </c>
      <c r="F112" s="10">
        <f>25.6872 * CHOOSE(CONTROL!$C$9, $D$9, 100%, $F$9) + CHOOSE(CONTROL!$C$27, 0.0021, 0)</f>
        <v>25.689299999999999</v>
      </c>
      <c r="G112" s="10">
        <f>25.9586 * CHOOSE(CONTROL!$C$9, $D$9, 100%, $F$9) + CHOOSE(CONTROL!$C$27, 0.0021, 0)</f>
        <v>25.960699999999999</v>
      </c>
      <c r="H112" s="10">
        <f>25.8239 * CHOOSE(CONTROL!$C$9, $D$9, 100%, $F$9) + CHOOSE(CONTROL!$C$27, 0.0021, 0)</f>
        <v>25.825999999999997</v>
      </c>
      <c r="I112" s="10">
        <f>25.8239 * CHOOSE(CONTROL!$C$9, $D$9, 100%, $F$9) + CHOOSE(CONTROL!$C$27, 0.0021, 0)</f>
        <v>25.825999999999997</v>
      </c>
      <c r="J112" s="10">
        <f>25.8239 * CHOOSE(CONTROL!$C$9, $D$9, 100%, $F$9) + CHOOSE(CONTROL!$C$27, 0.0021, 0)</f>
        <v>25.825999999999997</v>
      </c>
      <c r="K112" s="10">
        <f>25.8239 * CHOOSE(CONTROL!$C$9, $D$9, 100%, $F$9) + CHOOSE(CONTROL!$C$27, 0.0021, 0)</f>
        <v>25.825999999999997</v>
      </c>
      <c r="L112" s="10"/>
    </row>
    <row r="113" spans="1:12" ht="15" x14ac:dyDescent="0.2">
      <c r="A113" s="16">
        <v>44713</v>
      </c>
      <c r="B113" s="10">
        <f>26.5514 * CHOOSE(CONTROL!$C$9, $D$9, 100%, $F$9) + CHOOSE(CONTROL!$C$27, 0.0021, 0)</f>
        <v>26.5535</v>
      </c>
      <c r="C113" s="10">
        <f>26.1191 * CHOOSE(CONTROL!$C$9, $D$9, 100%, $F$9) + CHOOSE(CONTROL!$C$27, 0.0021, 0)</f>
        <v>26.121199999999998</v>
      </c>
      <c r="D113" s="10">
        <f>26.1191 * CHOOSE(CONTROL!$C$9, $D$9, 100%, $F$9) + CHOOSE(CONTROL!$C$27, 0.0021, 0)</f>
        <v>26.121199999999998</v>
      </c>
      <c r="E113" s="10">
        <f>25.9825 * CHOOSE(CONTROL!$C$9, $D$9, 100%, $F$9) + CHOOSE(CONTROL!$C$27, 0.0021, 0)</f>
        <v>25.9846</v>
      </c>
      <c r="F113" s="10">
        <f>25.9825 * CHOOSE(CONTROL!$C$9, $D$9, 100%, $F$9) + CHOOSE(CONTROL!$C$27, 0.0021, 0)</f>
        <v>25.9846</v>
      </c>
      <c r="G113" s="10">
        <f>26.2538 * CHOOSE(CONTROL!$C$9, $D$9, 100%, $F$9) + CHOOSE(CONTROL!$C$27, 0.0021, 0)</f>
        <v>26.255899999999997</v>
      </c>
      <c r="H113" s="10">
        <f>26.1191 * CHOOSE(CONTROL!$C$9, $D$9, 100%, $F$9) + CHOOSE(CONTROL!$C$27, 0.0021, 0)</f>
        <v>26.121199999999998</v>
      </c>
      <c r="I113" s="10">
        <f>26.1191 * CHOOSE(CONTROL!$C$9, $D$9, 100%, $F$9) + CHOOSE(CONTROL!$C$27, 0.0021, 0)</f>
        <v>26.121199999999998</v>
      </c>
      <c r="J113" s="10">
        <f>26.1191 * CHOOSE(CONTROL!$C$9, $D$9, 100%, $F$9) + CHOOSE(CONTROL!$C$27, 0.0021, 0)</f>
        <v>26.121199999999998</v>
      </c>
      <c r="K113" s="10">
        <f>26.1191 * CHOOSE(CONTROL!$C$9, $D$9, 100%, $F$9) + CHOOSE(CONTROL!$C$27, 0.0021, 0)</f>
        <v>26.121199999999998</v>
      </c>
      <c r="L113" s="10"/>
    </row>
    <row r="114" spans="1:12" ht="15" x14ac:dyDescent="0.2">
      <c r="A114" s="16">
        <v>44743</v>
      </c>
      <c r="B114" s="10">
        <f>27.0384 * CHOOSE(CONTROL!$C$9, $D$9, 100%, $F$9) + CHOOSE(CONTROL!$C$27, 0.0021, 0)</f>
        <v>27.040499999999998</v>
      </c>
      <c r="C114" s="10">
        <f>26.6061 * CHOOSE(CONTROL!$C$9, $D$9, 100%, $F$9) + CHOOSE(CONTROL!$C$27, 0.0021, 0)</f>
        <v>26.6082</v>
      </c>
      <c r="D114" s="10">
        <f>26.6061 * CHOOSE(CONTROL!$C$9, $D$9, 100%, $F$9) + CHOOSE(CONTROL!$C$27, 0.0021, 0)</f>
        <v>26.6082</v>
      </c>
      <c r="E114" s="10">
        <f>26.4695 * CHOOSE(CONTROL!$C$9, $D$9, 100%, $F$9) + CHOOSE(CONTROL!$C$27, 0.0021, 0)</f>
        <v>26.471599999999999</v>
      </c>
      <c r="F114" s="10">
        <f>26.4695 * CHOOSE(CONTROL!$C$9, $D$9, 100%, $F$9) + CHOOSE(CONTROL!$C$27, 0.0021, 0)</f>
        <v>26.471599999999999</v>
      </c>
      <c r="G114" s="10">
        <f>26.7409 * CHOOSE(CONTROL!$C$9, $D$9, 100%, $F$9) + CHOOSE(CONTROL!$C$27, 0.0021, 0)</f>
        <v>26.742999999999999</v>
      </c>
      <c r="H114" s="10">
        <f>26.6061 * CHOOSE(CONTROL!$C$9, $D$9, 100%, $F$9) + CHOOSE(CONTROL!$C$27, 0.0021, 0)</f>
        <v>26.6082</v>
      </c>
      <c r="I114" s="10">
        <f>26.6061 * CHOOSE(CONTROL!$C$9, $D$9, 100%, $F$9) + CHOOSE(CONTROL!$C$27, 0.0021, 0)</f>
        <v>26.6082</v>
      </c>
      <c r="J114" s="10">
        <f>26.6061 * CHOOSE(CONTROL!$C$9, $D$9, 100%, $F$9) + CHOOSE(CONTROL!$C$27, 0.0021, 0)</f>
        <v>26.6082</v>
      </c>
      <c r="K114" s="10">
        <f>26.6061 * CHOOSE(CONTROL!$C$9, $D$9, 100%, $F$9) + CHOOSE(CONTROL!$C$27, 0.0021, 0)</f>
        <v>26.6082</v>
      </c>
      <c r="L114" s="10"/>
    </row>
    <row r="115" spans="1:12" ht="15" x14ac:dyDescent="0.2">
      <c r="A115" s="16">
        <v>44774</v>
      </c>
      <c r="B115" s="10">
        <f>27.187 * CHOOSE(CONTROL!$C$9, $D$9, 100%, $F$9) + CHOOSE(CONTROL!$C$27, 0.0021, 0)</f>
        <v>27.1891</v>
      </c>
      <c r="C115" s="10">
        <f>26.7548 * CHOOSE(CONTROL!$C$9, $D$9, 100%, $F$9) + CHOOSE(CONTROL!$C$27, 0.0021, 0)</f>
        <v>26.756899999999998</v>
      </c>
      <c r="D115" s="10">
        <f>26.7548 * CHOOSE(CONTROL!$C$9, $D$9, 100%, $F$9) + CHOOSE(CONTROL!$C$27, 0.0021, 0)</f>
        <v>26.756899999999998</v>
      </c>
      <c r="E115" s="10">
        <f>26.6181 * CHOOSE(CONTROL!$C$9, $D$9, 100%, $F$9) + CHOOSE(CONTROL!$C$27, 0.0021, 0)</f>
        <v>26.620199999999997</v>
      </c>
      <c r="F115" s="10">
        <f>26.6181 * CHOOSE(CONTROL!$C$9, $D$9, 100%, $F$9) + CHOOSE(CONTROL!$C$27, 0.0021, 0)</f>
        <v>26.620199999999997</v>
      </c>
      <c r="G115" s="10">
        <f>26.8895 * CHOOSE(CONTROL!$C$9, $D$9, 100%, $F$9) + CHOOSE(CONTROL!$C$27, 0.0021, 0)</f>
        <v>26.8916</v>
      </c>
      <c r="H115" s="10">
        <f>26.7548 * CHOOSE(CONTROL!$C$9, $D$9, 100%, $F$9) + CHOOSE(CONTROL!$C$27, 0.0021, 0)</f>
        <v>26.756899999999998</v>
      </c>
      <c r="I115" s="10">
        <f>26.7548 * CHOOSE(CONTROL!$C$9, $D$9, 100%, $F$9) + CHOOSE(CONTROL!$C$27, 0.0021, 0)</f>
        <v>26.756899999999998</v>
      </c>
      <c r="J115" s="10">
        <f>26.7548 * CHOOSE(CONTROL!$C$9, $D$9, 100%, $F$9) + CHOOSE(CONTROL!$C$27, 0.0021, 0)</f>
        <v>26.756899999999998</v>
      </c>
      <c r="K115" s="10">
        <f>26.7548 * CHOOSE(CONTROL!$C$9, $D$9, 100%, $F$9) + CHOOSE(CONTROL!$C$27, 0.0021, 0)</f>
        <v>26.756899999999998</v>
      </c>
      <c r="L115" s="10"/>
    </row>
    <row r="116" spans="1:12" ht="15" x14ac:dyDescent="0.2">
      <c r="A116" s="16">
        <v>44805</v>
      </c>
      <c r="B116" s="10">
        <f>27.6933 * CHOOSE(CONTROL!$C$9, $D$9, 100%, $F$9) + CHOOSE(CONTROL!$C$27, 0.0021, 0)</f>
        <v>27.695399999999999</v>
      </c>
      <c r="C116" s="10">
        <f>27.261 * CHOOSE(CONTROL!$C$9, $D$9, 100%, $F$9) + CHOOSE(CONTROL!$C$27, 0.0021, 0)</f>
        <v>27.263099999999998</v>
      </c>
      <c r="D116" s="10">
        <f>27.261 * CHOOSE(CONTROL!$C$9, $D$9, 100%, $F$9) + CHOOSE(CONTROL!$C$27, 0.0021, 0)</f>
        <v>27.263099999999998</v>
      </c>
      <c r="E116" s="10">
        <f>27.1244 * CHOOSE(CONTROL!$C$9, $D$9, 100%, $F$9) + CHOOSE(CONTROL!$C$27, 0.0021, 0)</f>
        <v>27.1265</v>
      </c>
      <c r="F116" s="10">
        <f>27.1244 * CHOOSE(CONTROL!$C$9, $D$9, 100%, $F$9) + CHOOSE(CONTROL!$C$27, 0.0021, 0)</f>
        <v>27.1265</v>
      </c>
      <c r="G116" s="10">
        <f>27.3957 * CHOOSE(CONTROL!$C$9, $D$9, 100%, $F$9) + CHOOSE(CONTROL!$C$27, 0.0021, 0)</f>
        <v>27.3978</v>
      </c>
      <c r="H116" s="10">
        <f>27.261 * CHOOSE(CONTROL!$C$9, $D$9, 100%, $F$9) + CHOOSE(CONTROL!$C$27, 0.0021, 0)</f>
        <v>27.263099999999998</v>
      </c>
      <c r="I116" s="10">
        <f>27.261 * CHOOSE(CONTROL!$C$9, $D$9, 100%, $F$9) + CHOOSE(CONTROL!$C$27, 0.0021, 0)</f>
        <v>27.263099999999998</v>
      </c>
      <c r="J116" s="10">
        <f>27.261 * CHOOSE(CONTROL!$C$9, $D$9, 100%, $F$9) + CHOOSE(CONTROL!$C$27, 0.0021, 0)</f>
        <v>27.263099999999998</v>
      </c>
      <c r="K116" s="10">
        <f>27.261 * CHOOSE(CONTROL!$C$9, $D$9, 100%, $F$9) + CHOOSE(CONTROL!$C$27, 0.0021, 0)</f>
        <v>27.263099999999998</v>
      </c>
      <c r="L116" s="10"/>
    </row>
    <row r="117" spans="1:12" ht="15" x14ac:dyDescent="0.2">
      <c r="A117" s="16">
        <v>44835</v>
      </c>
      <c r="B117" s="10">
        <f>28.3341 * CHOOSE(CONTROL!$C$9, $D$9, 100%, $F$9) + CHOOSE(CONTROL!$C$27, 0.0021, 0)</f>
        <v>28.336199999999998</v>
      </c>
      <c r="C117" s="10">
        <f>27.9018 * CHOOSE(CONTROL!$C$9, $D$9, 100%, $F$9) + CHOOSE(CONTROL!$C$27, 0.0021, 0)</f>
        <v>27.9039</v>
      </c>
      <c r="D117" s="10">
        <f>27.9018 * CHOOSE(CONTROL!$C$9, $D$9, 100%, $F$9) + CHOOSE(CONTROL!$C$27, 0.0021, 0)</f>
        <v>27.9039</v>
      </c>
      <c r="E117" s="10">
        <f>27.7652 * CHOOSE(CONTROL!$C$9, $D$9, 100%, $F$9) + CHOOSE(CONTROL!$C$27, 0.0021, 0)</f>
        <v>27.767299999999999</v>
      </c>
      <c r="F117" s="10">
        <f>27.7652 * CHOOSE(CONTROL!$C$9, $D$9, 100%, $F$9) + CHOOSE(CONTROL!$C$27, 0.0021, 0)</f>
        <v>27.767299999999999</v>
      </c>
      <c r="G117" s="10">
        <f>28.0365 * CHOOSE(CONTROL!$C$9, $D$9, 100%, $F$9) + CHOOSE(CONTROL!$C$27, 0.0021, 0)</f>
        <v>28.038599999999999</v>
      </c>
      <c r="H117" s="10">
        <f>27.9018 * CHOOSE(CONTROL!$C$9, $D$9, 100%, $F$9) + CHOOSE(CONTROL!$C$27, 0.0021, 0)</f>
        <v>27.9039</v>
      </c>
      <c r="I117" s="10">
        <f>27.9018 * CHOOSE(CONTROL!$C$9, $D$9, 100%, $F$9) + CHOOSE(CONTROL!$C$27, 0.0021, 0)</f>
        <v>27.9039</v>
      </c>
      <c r="J117" s="10">
        <f>27.9018 * CHOOSE(CONTROL!$C$9, $D$9, 100%, $F$9) + CHOOSE(CONTROL!$C$27, 0.0021, 0)</f>
        <v>27.9039</v>
      </c>
      <c r="K117" s="10">
        <f>27.9018 * CHOOSE(CONTROL!$C$9, $D$9, 100%, $F$9) + CHOOSE(CONTROL!$C$27, 0.0021, 0)</f>
        <v>27.9039</v>
      </c>
      <c r="L117" s="10"/>
    </row>
    <row r="118" spans="1:12" ht="15" x14ac:dyDescent="0.2">
      <c r="A118" s="16">
        <v>44866</v>
      </c>
      <c r="B118" s="10">
        <f>28.3942 * CHOOSE(CONTROL!$C$9, $D$9, 100%, $F$9) + CHOOSE(CONTROL!$C$27, 0.0021, 0)</f>
        <v>28.3963</v>
      </c>
      <c r="C118" s="10">
        <f>27.962 * CHOOSE(CONTROL!$C$9, $D$9, 100%, $F$9) + CHOOSE(CONTROL!$C$27, 0.0021, 0)</f>
        <v>27.964099999999998</v>
      </c>
      <c r="D118" s="10">
        <f>27.962 * CHOOSE(CONTROL!$C$9, $D$9, 100%, $F$9) + CHOOSE(CONTROL!$C$27, 0.0021, 0)</f>
        <v>27.964099999999998</v>
      </c>
      <c r="E118" s="10">
        <f>27.8253 * CHOOSE(CONTROL!$C$9, $D$9, 100%, $F$9) + CHOOSE(CONTROL!$C$27, 0.0021, 0)</f>
        <v>27.827399999999997</v>
      </c>
      <c r="F118" s="10">
        <f>27.8253 * CHOOSE(CONTROL!$C$9, $D$9, 100%, $F$9) + CHOOSE(CONTROL!$C$27, 0.0021, 0)</f>
        <v>27.827399999999997</v>
      </c>
      <c r="G118" s="10">
        <f>28.0967 * CHOOSE(CONTROL!$C$9, $D$9, 100%, $F$9) + CHOOSE(CONTROL!$C$27, 0.0021, 0)</f>
        <v>28.098799999999997</v>
      </c>
      <c r="H118" s="10">
        <f>27.962 * CHOOSE(CONTROL!$C$9, $D$9, 100%, $F$9) + CHOOSE(CONTROL!$C$27, 0.0021, 0)</f>
        <v>27.964099999999998</v>
      </c>
      <c r="I118" s="10">
        <f>27.962 * CHOOSE(CONTROL!$C$9, $D$9, 100%, $F$9) + CHOOSE(CONTROL!$C$27, 0.0021, 0)</f>
        <v>27.964099999999998</v>
      </c>
      <c r="J118" s="10">
        <f>27.962 * CHOOSE(CONTROL!$C$9, $D$9, 100%, $F$9) + CHOOSE(CONTROL!$C$27, 0.0021, 0)</f>
        <v>27.964099999999998</v>
      </c>
      <c r="K118" s="10">
        <f>27.962 * CHOOSE(CONTROL!$C$9, $D$9, 100%, $F$9) + CHOOSE(CONTROL!$C$27, 0.0021, 0)</f>
        <v>27.964099999999998</v>
      </c>
      <c r="L118" s="10"/>
    </row>
    <row r="119" spans="1:12" ht="15" x14ac:dyDescent="0.2">
      <c r="A119" s="16">
        <v>44896</v>
      </c>
      <c r="B119" s="10">
        <f>27.8824 * CHOOSE(CONTROL!$C$9, $D$9, 100%, $F$9) + CHOOSE(CONTROL!$C$27, 0.0021, 0)</f>
        <v>27.884499999999999</v>
      </c>
      <c r="C119" s="10">
        <f>27.4502 * CHOOSE(CONTROL!$C$9, $D$9, 100%, $F$9) + CHOOSE(CONTROL!$C$27, 0.0021, 0)</f>
        <v>27.452299999999997</v>
      </c>
      <c r="D119" s="10">
        <f>27.4502 * CHOOSE(CONTROL!$C$9, $D$9, 100%, $F$9) + CHOOSE(CONTROL!$C$27, 0.0021, 0)</f>
        <v>27.452299999999997</v>
      </c>
      <c r="E119" s="10">
        <f>27.3135 * CHOOSE(CONTROL!$C$9, $D$9, 100%, $F$9) + CHOOSE(CONTROL!$C$27, 0.0021, 0)</f>
        <v>27.3156</v>
      </c>
      <c r="F119" s="10">
        <f>27.3135 * CHOOSE(CONTROL!$C$9, $D$9, 100%, $F$9) + CHOOSE(CONTROL!$C$27, 0.0021, 0)</f>
        <v>27.3156</v>
      </c>
      <c r="G119" s="10">
        <f>27.5849 * CHOOSE(CONTROL!$C$9, $D$9, 100%, $F$9) + CHOOSE(CONTROL!$C$27, 0.0021, 0)</f>
        <v>27.587</v>
      </c>
      <c r="H119" s="10">
        <f>27.4502 * CHOOSE(CONTROL!$C$9, $D$9, 100%, $F$9) + CHOOSE(CONTROL!$C$27, 0.0021, 0)</f>
        <v>27.452299999999997</v>
      </c>
      <c r="I119" s="10">
        <f>27.4502 * CHOOSE(CONTROL!$C$9, $D$9, 100%, $F$9) + CHOOSE(CONTROL!$C$27, 0.0021, 0)</f>
        <v>27.452299999999997</v>
      </c>
      <c r="J119" s="10">
        <f>27.4502 * CHOOSE(CONTROL!$C$9, $D$9, 100%, $F$9) + CHOOSE(CONTROL!$C$27, 0.0021, 0)</f>
        <v>27.452299999999997</v>
      </c>
      <c r="K119" s="10">
        <f>27.4502 * CHOOSE(CONTROL!$C$9, $D$9, 100%, $F$9) + CHOOSE(CONTROL!$C$27, 0.0021, 0)</f>
        <v>27.452299999999997</v>
      </c>
      <c r="L119" s="10"/>
    </row>
    <row r="120" spans="1:12" ht="15" x14ac:dyDescent="0.2">
      <c r="A120" s="16">
        <v>44927</v>
      </c>
      <c r="B120" s="10">
        <f>28.1898 * CHOOSE(CONTROL!$C$9, $D$9, 100%, $F$9) + CHOOSE(CONTROL!$C$27, 0.0021, 0)</f>
        <v>28.1919</v>
      </c>
      <c r="C120" s="10">
        <f>27.7575 * CHOOSE(CONTROL!$C$9, $D$9, 100%, $F$9) + CHOOSE(CONTROL!$C$27, 0.0021, 0)</f>
        <v>27.759599999999999</v>
      </c>
      <c r="D120" s="10">
        <f>27.7575 * CHOOSE(CONTROL!$C$9, $D$9, 100%, $F$9) + CHOOSE(CONTROL!$C$27, 0.0021, 0)</f>
        <v>27.759599999999999</v>
      </c>
      <c r="E120" s="10">
        <f>27.6209 * CHOOSE(CONTROL!$C$9, $D$9, 100%, $F$9) + CHOOSE(CONTROL!$C$27, 0.0021, 0)</f>
        <v>27.622999999999998</v>
      </c>
      <c r="F120" s="10">
        <f>27.6209 * CHOOSE(CONTROL!$C$9, $D$9, 100%, $F$9) + CHOOSE(CONTROL!$C$27, 0.0021, 0)</f>
        <v>27.622999999999998</v>
      </c>
      <c r="G120" s="10">
        <f>27.8922 * CHOOSE(CONTROL!$C$9, $D$9, 100%, $F$9) + CHOOSE(CONTROL!$C$27, 0.0021, 0)</f>
        <v>27.894299999999998</v>
      </c>
      <c r="H120" s="10">
        <f>27.7575 * CHOOSE(CONTROL!$C$9, $D$9, 100%, $F$9) + CHOOSE(CONTROL!$C$27, 0.0021, 0)</f>
        <v>27.759599999999999</v>
      </c>
      <c r="I120" s="10">
        <f>27.7575 * CHOOSE(CONTROL!$C$9, $D$9, 100%, $F$9) + CHOOSE(CONTROL!$C$27, 0.0021, 0)</f>
        <v>27.759599999999999</v>
      </c>
      <c r="J120" s="10">
        <f>27.7575 * CHOOSE(CONTROL!$C$9, $D$9, 100%, $F$9) + CHOOSE(CONTROL!$C$27, 0.0021, 0)</f>
        <v>27.759599999999999</v>
      </c>
      <c r="K120" s="10">
        <f>27.7575 * CHOOSE(CONTROL!$C$9, $D$9, 100%, $F$9) + CHOOSE(CONTROL!$C$27, 0.0021, 0)</f>
        <v>27.759599999999999</v>
      </c>
      <c r="L120" s="10"/>
    </row>
    <row r="121" spans="1:12" ht="15" x14ac:dyDescent="0.2">
      <c r="A121" s="16">
        <v>44958</v>
      </c>
      <c r="B121" s="10">
        <f>27.4573 * CHOOSE(CONTROL!$C$9, $D$9, 100%, $F$9) + CHOOSE(CONTROL!$C$27, 0.0021, 0)</f>
        <v>27.459399999999999</v>
      </c>
      <c r="C121" s="10">
        <f>27.025 * CHOOSE(CONTROL!$C$9, $D$9, 100%, $F$9) + CHOOSE(CONTROL!$C$27, 0.0021, 0)</f>
        <v>27.027099999999997</v>
      </c>
      <c r="D121" s="10">
        <f>27.025 * CHOOSE(CONTROL!$C$9, $D$9, 100%, $F$9) + CHOOSE(CONTROL!$C$27, 0.0021, 0)</f>
        <v>27.027099999999997</v>
      </c>
      <c r="E121" s="10">
        <f>26.8884 * CHOOSE(CONTROL!$C$9, $D$9, 100%, $F$9) + CHOOSE(CONTROL!$C$27, 0.0021, 0)</f>
        <v>26.890499999999999</v>
      </c>
      <c r="F121" s="10">
        <f>26.8884 * CHOOSE(CONTROL!$C$9, $D$9, 100%, $F$9) + CHOOSE(CONTROL!$C$27, 0.0021, 0)</f>
        <v>26.890499999999999</v>
      </c>
      <c r="G121" s="10">
        <f>27.1597 * CHOOSE(CONTROL!$C$9, $D$9, 100%, $F$9) + CHOOSE(CONTROL!$C$27, 0.0021, 0)</f>
        <v>27.161799999999999</v>
      </c>
      <c r="H121" s="10">
        <f>27.025 * CHOOSE(CONTROL!$C$9, $D$9, 100%, $F$9) + CHOOSE(CONTROL!$C$27, 0.0021, 0)</f>
        <v>27.027099999999997</v>
      </c>
      <c r="I121" s="10">
        <f>27.025 * CHOOSE(CONTROL!$C$9, $D$9, 100%, $F$9) + CHOOSE(CONTROL!$C$27, 0.0021, 0)</f>
        <v>27.027099999999997</v>
      </c>
      <c r="J121" s="10">
        <f>27.025 * CHOOSE(CONTROL!$C$9, $D$9, 100%, $F$9) + CHOOSE(CONTROL!$C$27, 0.0021, 0)</f>
        <v>27.027099999999997</v>
      </c>
      <c r="K121" s="10">
        <f>27.025 * CHOOSE(CONTROL!$C$9, $D$9, 100%, $F$9) + CHOOSE(CONTROL!$C$27, 0.0021, 0)</f>
        <v>27.027099999999997</v>
      </c>
      <c r="L121" s="10"/>
    </row>
    <row r="122" spans="1:12" ht="15" x14ac:dyDescent="0.2">
      <c r="A122" s="16">
        <v>44986</v>
      </c>
      <c r="B122" s="10">
        <f>27.1549 * CHOOSE(CONTROL!$C$9, $D$9, 100%, $F$9) + CHOOSE(CONTROL!$C$27, 0.0021, 0)</f>
        <v>27.157</v>
      </c>
      <c r="C122" s="10">
        <f>26.7226 * CHOOSE(CONTROL!$C$9, $D$9, 100%, $F$9) + CHOOSE(CONTROL!$C$27, 0.0021, 0)</f>
        <v>26.724699999999999</v>
      </c>
      <c r="D122" s="10">
        <f>26.7226 * CHOOSE(CONTROL!$C$9, $D$9, 100%, $F$9) + CHOOSE(CONTROL!$C$27, 0.0021, 0)</f>
        <v>26.724699999999999</v>
      </c>
      <c r="E122" s="10">
        <f>26.586 * CHOOSE(CONTROL!$C$9, $D$9, 100%, $F$9) + CHOOSE(CONTROL!$C$27, 0.0021, 0)</f>
        <v>26.588099999999997</v>
      </c>
      <c r="F122" s="10">
        <f>26.586 * CHOOSE(CONTROL!$C$9, $D$9, 100%, $F$9) + CHOOSE(CONTROL!$C$27, 0.0021, 0)</f>
        <v>26.588099999999997</v>
      </c>
      <c r="G122" s="10">
        <f>26.8573 * CHOOSE(CONTROL!$C$9, $D$9, 100%, $F$9) + CHOOSE(CONTROL!$C$27, 0.0021, 0)</f>
        <v>26.859399999999997</v>
      </c>
      <c r="H122" s="10">
        <f>26.7226 * CHOOSE(CONTROL!$C$9, $D$9, 100%, $F$9) + CHOOSE(CONTROL!$C$27, 0.0021, 0)</f>
        <v>26.724699999999999</v>
      </c>
      <c r="I122" s="10">
        <f>26.7226 * CHOOSE(CONTROL!$C$9, $D$9, 100%, $F$9) + CHOOSE(CONTROL!$C$27, 0.0021, 0)</f>
        <v>26.724699999999999</v>
      </c>
      <c r="J122" s="10">
        <f>26.7226 * CHOOSE(CONTROL!$C$9, $D$9, 100%, $F$9) + CHOOSE(CONTROL!$C$27, 0.0021, 0)</f>
        <v>26.724699999999999</v>
      </c>
      <c r="K122" s="10">
        <f>26.7226 * CHOOSE(CONTROL!$C$9, $D$9, 100%, $F$9) + CHOOSE(CONTROL!$C$27, 0.0021, 0)</f>
        <v>26.724699999999999</v>
      </c>
      <c r="L122" s="10"/>
    </row>
    <row r="123" spans="1:12" ht="15" x14ac:dyDescent="0.2">
      <c r="A123" s="16">
        <v>45017</v>
      </c>
      <c r="B123" s="10">
        <f>26.7938 * CHOOSE(CONTROL!$C$9, $D$9, 100%, $F$9) + CHOOSE(CONTROL!$C$27, 0.0021, 0)</f>
        <v>26.7959</v>
      </c>
      <c r="C123" s="10">
        <f>26.3616 * CHOOSE(CONTROL!$C$9, $D$9, 100%, $F$9) + CHOOSE(CONTROL!$C$27, 0.0021, 0)</f>
        <v>26.363699999999998</v>
      </c>
      <c r="D123" s="10">
        <f>26.3616 * CHOOSE(CONTROL!$C$9, $D$9, 100%, $F$9) + CHOOSE(CONTROL!$C$27, 0.0021, 0)</f>
        <v>26.363699999999998</v>
      </c>
      <c r="E123" s="10">
        <f>26.2249 * CHOOSE(CONTROL!$C$9, $D$9, 100%, $F$9) + CHOOSE(CONTROL!$C$27, 0.0021, 0)</f>
        <v>26.227</v>
      </c>
      <c r="F123" s="10">
        <f>26.2249 * CHOOSE(CONTROL!$C$9, $D$9, 100%, $F$9) + CHOOSE(CONTROL!$C$27, 0.0021, 0)</f>
        <v>26.227</v>
      </c>
      <c r="G123" s="10">
        <f>26.4963 * CHOOSE(CONTROL!$C$9, $D$9, 100%, $F$9) + CHOOSE(CONTROL!$C$27, 0.0021, 0)</f>
        <v>26.4984</v>
      </c>
      <c r="H123" s="10">
        <f>26.3616 * CHOOSE(CONTROL!$C$9, $D$9, 100%, $F$9) + CHOOSE(CONTROL!$C$27, 0.0021, 0)</f>
        <v>26.363699999999998</v>
      </c>
      <c r="I123" s="10">
        <f>26.3616 * CHOOSE(CONTROL!$C$9, $D$9, 100%, $F$9) + CHOOSE(CONTROL!$C$27, 0.0021, 0)</f>
        <v>26.363699999999998</v>
      </c>
      <c r="J123" s="10">
        <f>26.3616 * CHOOSE(CONTROL!$C$9, $D$9, 100%, $F$9) + CHOOSE(CONTROL!$C$27, 0.0021, 0)</f>
        <v>26.363699999999998</v>
      </c>
      <c r="K123" s="10">
        <f>26.3616 * CHOOSE(CONTROL!$C$9, $D$9, 100%, $F$9) + CHOOSE(CONTROL!$C$27, 0.0021, 0)</f>
        <v>26.363699999999998</v>
      </c>
      <c r="L123" s="10"/>
    </row>
    <row r="124" spans="1:12" ht="15" x14ac:dyDescent="0.2">
      <c r="A124" s="16">
        <v>45047</v>
      </c>
      <c r="B124" s="10">
        <f>27.3084 * CHOOSE(CONTROL!$C$9, $D$9, 100%, $F$9) + CHOOSE(CONTROL!$C$27, 0.0021, 0)</f>
        <v>27.310499999999998</v>
      </c>
      <c r="C124" s="10">
        <f>26.8761 * CHOOSE(CONTROL!$C$9, $D$9, 100%, $F$9) + CHOOSE(CONTROL!$C$27, 0.0021, 0)</f>
        <v>26.8782</v>
      </c>
      <c r="D124" s="10">
        <f>26.8761 * CHOOSE(CONTROL!$C$9, $D$9, 100%, $F$9) + CHOOSE(CONTROL!$C$27, 0.0021, 0)</f>
        <v>26.8782</v>
      </c>
      <c r="E124" s="10">
        <f>26.7395 * CHOOSE(CONTROL!$C$9, $D$9, 100%, $F$9) + CHOOSE(CONTROL!$C$27, 0.0021, 0)</f>
        <v>26.741599999999998</v>
      </c>
      <c r="F124" s="10">
        <f>26.7395 * CHOOSE(CONTROL!$C$9, $D$9, 100%, $F$9) + CHOOSE(CONTROL!$C$27, 0.0021, 0)</f>
        <v>26.741599999999998</v>
      </c>
      <c r="G124" s="10">
        <f>27.0108 * CHOOSE(CONTROL!$C$9, $D$9, 100%, $F$9) + CHOOSE(CONTROL!$C$27, 0.0021, 0)</f>
        <v>27.012899999999998</v>
      </c>
      <c r="H124" s="10">
        <f>26.8761 * CHOOSE(CONTROL!$C$9, $D$9, 100%, $F$9) + CHOOSE(CONTROL!$C$27, 0.0021, 0)</f>
        <v>26.8782</v>
      </c>
      <c r="I124" s="10">
        <f>26.8761 * CHOOSE(CONTROL!$C$9, $D$9, 100%, $F$9) + CHOOSE(CONTROL!$C$27, 0.0021, 0)</f>
        <v>26.8782</v>
      </c>
      <c r="J124" s="10">
        <f>26.8761 * CHOOSE(CONTROL!$C$9, $D$9, 100%, $F$9) + CHOOSE(CONTROL!$C$27, 0.0021, 0)</f>
        <v>26.8782</v>
      </c>
      <c r="K124" s="10">
        <f>26.8761 * CHOOSE(CONTROL!$C$9, $D$9, 100%, $F$9) + CHOOSE(CONTROL!$C$27, 0.0021, 0)</f>
        <v>26.8782</v>
      </c>
      <c r="L124" s="10"/>
    </row>
    <row r="125" spans="1:12" ht="15" x14ac:dyDescent="0.2">
      <c r="A125" s="16">
        <v>45078</v>
      </c>
      <c r="B125" s="10">
        <f>27.6166 * CHOOSE(CONTROL!$C$9, $D$9, 100%, $F$9) + CHOOSE(CONTROL!$C$27, 0.0021, 0)</f>
        <v>27.618699999999997</v>
      </c>
      <c r="C125" s="10">
        <f>27.1843 * CHOOSE(CONTROL!$C$9, $D$9, 100%, $F$9) + CHOOSE(CONTROL!$C$27, 0.0021, 0)</f>
        <v>27.186399999999999</v>
      </c>
      <c r="D125" s="10">
        <f>27.1843 * CHOOSE(CONTROL!$C$9, $D$9, 100%, $F$9) + CHOOSE(CONTROL!$C$27, 0.0021, 0)</f>
        <v>27.186399999999999</v>
      </c>
      <c r="E125" s="10">
        <f>27.0477 * CHOOSE(CONTROL!$C$9, $D$9, 100%, $F$9) + CHOOSE(CONTROL!$C$27, 0.0021, 0)</f>
        <v>27.049799999999998</v>
      </c>
      <c r="F125" s="10">
        <f>27.0477 * CHOOSE(CONTROL!$C$9, $D$9, 100%, $F$9) + CHOOSE(CONTROL!$C$27, 0.0021, 0)</f>
        <v>27.049799999999998</v>
      </c>
      <c r="G125" s="10">
        <f>27.319 * CHOOSE(CONTROL!$C$9, $D$9, 100%, $F$9) + CHOOSE(CONTROL!$C$27, 0.0021, 0)</f>
        <v>27.321099999999998</v>
      </c>
      <c r="H125" s="10">
        <f>27.1843 * CHOOSE(CONTROL!$C$9, $D$9, 100%, $F$9) + CHOOSE(CONTROL!$C$27, 0.0021, 0)</f>
        <v>27.186399999999999</v>
      </c>
      <c r="I125" s="10">
        <f>27.1843 * CHOOSE(CONTROL!$C$9, $D$9, 100%, $F$9) + CHOOSE(CONTROL!$C$27, 0.0021, 0)</f>
        <v>27.186399999999999</v>
      </c>
      <c r="J125" s="10">
        <f>27.1843 * CHOOSE(CONTROL!$C$9, $D$9, 100%, $F$9) + CHOOSE(CONTROL!$C$27, 0.0021, 0)</f>
        <v>27.186399999999999</v>
      </c>
      <c r="K125" s="10">
        <f>27.1843 * CHOOSE(CONTROL!$C$9, $D$9, 100%, $F$9) + CHOOSE(CONTROL!$C$27, 0.0021, 0)</f>
        <v>27.186399999999999</v>
      </c>
      <c r="L125" s="10"/>
    </row>
    <row r="126" spans="1:12" ht="15" x14ac:dyDescent="0.2">
      <c r="A126" s="16">
        <v>45108</v>
      </c>
      <c r="B126" s="10">
        <f>28.125 * CHOOSE(CONTROL!$C$9, $D$9, 100%, $F$9) + CHOOSE(CONTROL!$C$27, 0.0021, 0)</f>
        <v>28.127099999999999</v>
      </c>
      <c r="C126" s="10">
        <f>27.6927 * CHOOSE(CONTROL!$C$9, $D$9, 100%, $F$9) + CHOOSE(CONTROL!$C$27, 0.0021, 0)</f>
        <v>27.694799999999997</v>
      </c>
      <c r="D126" s="10">
        <f>27.6927 * CHOOSE(CONTROL!$C$9, $D$9, 100%, $F$9) + CHOOSE(CONTROL!$C$27, 0.0021, 0)</f>
        <v>27.694799999999997</v>
      </c>
      <c r="E126" s="10">
        <f>27.5561 * CHOOSE(CONTROL!$C$9, $D$9, 100%, $F$9) + CHOOSE(CONTROL!$C$27, 0.0021, 0)</f>
        <v>27.558199999999999</v>
      </c>
      <c r="F126" s="10">
        <f>27.5561 * CHOOSE(CONTROL!$C$9, $D$9, 100%, $F$9) + CHOOSE(CONTROL!$C$27, 0.0021, 0)</f>
        <v>27.558199999999999</v>
      </c>
      <c r="G126" s="10">
        <f>27.8274 * CHOOSE(CONTROL!$C$9, $D$9, 100%, $F$9) + CHOOSE(CONTROL!$C$27, 0.0021, 0)</f>
        <v>27.829499999999999</v>
      </c>
      <c r="H126" s="10">
        <f>27.6927 * CHOOSE(CONTROL!$C$9, $D$9, 100%, $F$9) + CHOOSE(CONTROL!$C$27, 0.0021, 0)</f>
        <v>27.694799999999997</v>
      </c>
      <c r="I126" s="10">
        <f>27.6927 * CHOOSE(CONTROL!$C$9, $D$9, 100%, $F$9) + CHOOSE(CONTROL!$C$27, 0.0021, 0)</f>
        <v>27.694799999999997</v>
      </c>
      <c r="J126" s="10">
        <f>27.6927 * CHOOSE(CONTROL!$C$9, $D$9, 100%, $F$9) + CHOOSE(CONTROL!$C$27, 0.0021, 0)</f>
        <v>27.694799999999997</v>
      </c>
      <c r="K126" s="10">
        <f>27.6927 * CHOOSE(CONTROL!$C$9, $D$9, 100%, $F$9) + CHOOSE(CONTROL!$C$27, 0.0021, 0)</f>
        <v>27.694799999999997</v>
      </c>
      <c r="L126" s="10"/>
    </row>
    <row r="127" spans="1:12" ht="15" x14ac:dyDescent="0.2">
      <c r="A127" s="16">
        <v>45139</v>
      </c>
      <c r="B127" s="10">
        <f>28.2801 * CHOOSE(CONTROL!$C$9, $D$9, 100%, $F$9) + CHOOSE(CONTROL!$C$27, 0.0021, 0)</f>
        <v>28.2822</v>
      </c>
      <c r="C127" s="10">
        <f>27.8479 * CHOOSE(CONTROL!$C$9, $D$9, 100%, $F$9) + CHOOSE(CONTROL!$C$27, 0.0021, 0)</f>
        <v>27.849999999999998</v>
      </c>
      <c r="D127" s="10">
        <f>27.8479 * CHOOSE(CONTROL!$C$9, $D$9, 100%, $F$9) + CHOOSE(CONTROL!$C$27, 0.0021, 0)</f>
        <v>27.849999999999998</v>
      </c>
      <c r="E127" s="10">
        <f>27.7112 * CHOOSE(CONTROL!$C$9, $D$9, 100%, $F$9) + CHOOSE(CONTROL!$C$27, 0.0021, 0)</f>
        <v>27.7133</v>
      </c>
      <c r="F127" s="10">
        <f>27.7112 * CHOOSE(CONTROL!$C$9, $D$9, 100%, $F$9) + CHOOSE(CONTROL!$C$27, 0.0021, 0)</f>
        <v>27.7133</v>
      </c>
      <c r="G127" s="10">
        <f>27.9826 * CHOOSE(CONTROL!$C$9, $D$9, 100%, $F$9) + CHOOSE(CONTROL!$C$27, 0.0021, 0)</f>
        <v>27.9847</v>
      </c>
      <c r="H127" s="10">
        <f>27.8479 * CHOOSE(CONTROL!$C$9, $D$9, 100%, $F$9) + CHOOSE(CONTROL!$C$27, 0.0021, 0)</f>
        <v>27.849999999999998</v>
      </c>
      <c r="I127" s="10">
        <f>27.8479 * CHOOSE(CONTROL!$C$9, $D$9, 100%, $F$9) + CHOOSE(CONTROL!$C$27, 0.0021, 0)</f>
        <v>27.849999999999998</v>
      </c>
      <c r="J127" s="10">
        <f>27.8479 * CHOOSE(CONTROL!$C$9, $D$9, 100%, $F$9) + CHOOSE(CONTROL!$C$27, 0.0021, 0)</f>
        <v>27.849999999999998</v>
      </c>
      <c r="K127" s="10">
        <f>27.8479 * CHOOSE(CONTROL!$C$9, $D$9, 100%, $F$9) + CHOOSE(CONTROL!$C$27, 0.0021, 0)</f>
        <v>27.849999999999998</v>
      </c>
      <c r="L127" s="10"/>
    </row>
    <row r="128" spans="1:12" ht="15" x14ac:dyDescent="0.2">
      <c r="A128" s="16">
        <v>45170</v>
      </c>
      <c r="B128" s="10">
        <f>28.8086 * CHOOSE(CONTROL!$C$9, $D$9, 100%, $F$9) + CHOOSE(CONTROL!$C$27, 0.0021, 0)</f>
        <v>28.810699999999997</v>
      </c>
      <c r="C128" s="10">
        <f>28.3764 * CHOOSE(CONTROL!$C$9, $D$9, 100%, $F$9) + CHOOSE(CONTROL!$C$27, 0.0021, 0)</f>
        <v>28.378499999999999</v>
      </c>
      <c r="D128" s="10">
        <f>28.3764 * CHOOSE(CONTROL!$C$9, $D$9, 100%, $F$9) + CHOOSE(CONTROL!$C$27, 0.0021, 0)</f>
        <v>28.378499999999999</v>
      </c>
      <c r="E128" s="10">
        <f>28.2397 * CHOOSE(CONTROL!$C$9, $D$9, 100%, $F$9) + CHOOSE(CONTROL!$C$27, 0.0021, 0)</f>
        <v>28.241799999999998</v>
      </c>
      <c r="F128" s="10">
        <f>28.2397 * CHOOSE(CONTROL!$C$9, $D$9, 100%, $F$9) + CHOOSE(CONTROL!$C$27, 0.0021, 0)</f>
        <v>28.241799999999998</v>
      </c>
      <c r="G128" s="10">
        <f>28.5111 * CHOOSE(CONTROL!$C$9, $D$9, 100%, $F$9) + CHOOSE(CONTROL!$C$27, 0.0021, 0)</f>
        <v>28.513199999999998</v>
      </c>
      <c r="H128" s="10">
        <f>28.3764 * CHOOSE(CONTROL!$C$9, $D$9, 100%, $F$9) + CHOOSE(CONTROL!$C$27, 0.0021, 0)</f>
        <v>28.378499999999999</v>
      </c>
      <c r="I128" s="10">
        <f>28.3764 * CHOOSE(CONTROL!$C$9, $D$9, 100%, $F$9) + CHOOSE(CONTROL!$C$27, 0.0021, 0)</f>
        <v>28.378499999999999</v>
      </c>
      <c r="J128" s="10">
        <f>28.3764 * CHOOSE(CONTROL!$C$9, $D$9, 100%, $F$9) + CHOOSE(CONTROL!$C$27, 0.0021, 0)</f>
        <v>28.378499999999999</v>
      </c>
      <c r="K128" s="10">
        <f>28.3764 * CHOOSE(CONTROL!$C$9, $D$9, 100%, $F$9) + CHOOSE(CONTROL!$C$27, 0.0021, 0)</f>
        <v>28.378499999999999</v>
      </c>
      <c r="L128" s="10"/>
    </row>
    <row r="129" spans="1:12" ht="15" x14ac:dyDescent="0.2">
      <c r="A129" s="16">
        <v>45200</v>
      </c>
      <c r="B129" s="10">
        <f>29.4775 * CHOOSE(CONTROL!$C$9, $D$9, 100%, $F$9) + CHOOSE(CONTROL!$C$27, 0.0021, 0)</f>
        <v>29.479599999999998</v>
      </c>
      <c r="C129" s="10">
        <f>29.0453 * CHOOSE(CONTROL!$C$9, $D$9, 100%, $F$9) + CHOOSE(CONTROL!$C$27, 0.0021, 0)</f>
        <v>29.0474</v>
      </c>
      <c r="D129" s="10">
        <f>29.0453 * CHOOSE(CONTROL!$C$9, $D$9, 100%, $F$9) + CHOOSE(CONTROL!$C$27, 0.0021, 0)</f>
        <v>29.0474</v>
      </c>
      <c r="E129" s="10">
        <f>28.9086 * CHOOSE(CONTROL!$C$9, $D$9, 100%, $F$9) + CHOOSE(CONTROL!$C$27, 0.0021, 0)</f>
        <v>28.910699999999999</v>
      </c>
      <c r="F129" s="10">
        <f>28.9086 * CHOOSE(CONTROL!$C$9, $D$9, 100%, $F$9) + CHOOSE(CONTROL!$C$27, 0.0021, 0)</f>
        <v>28.910699999999999</v>
      </c>
      <c r="G129" s="10">
        <f>29.18 * CHOOSE(CONTROL!$C$9, $D$9, 100%, $F$9) + CHOOSE(CONTROL!$C$27, 0.0021, 0)</f>
        <v>29.182099999999998</v>
      </c>
      <c r="H129" s="10">
        <f>29.0453 * CHOOSE(CONTROL!$C$9, $D$9, 100%, $F$9) + CHOOSE(CONTROL!$C$27, 0.0021, 0)</f>
        <v>29.0474</v>
      </c>
      <c r="I129" s="10">
        <f>29.0453 * CHOOSE(CONTROL!$C$9, $D$9, 100%, $F$9) + CHOOSE(CONTROL!$C$27, 0.0021, 0)</f>
        <v>29.0474</v>
      </c>
      <c r="J129" s="10">
        <f>29.0453 * CHOOSE(CONTROL!$C$9, $D$9, 100%, $F$9) + CHOOSE(CONTROL!$C$27, 0.0021, 0)</f>
        <v>29.0474</v>
      </c>
      <c r="K129" s="10">
        <f>29.0453 * CHOOSE(CONTROL!$C$9, $D$9, 100%, $F$9) + CHOOSE(CONTROL!$C$27, 0.0021, 0)</f>
        <v>29.0474</v>
      </c>
      <c r="L129" s="10"/>
    </row>
    <row r="130" spans="1:12" ht="15" x14ac:dyDescent="0.2">
      <c r="A130" s="16">
        <v>45231</v>
      </c>
      <c r="B130" s="10">
        <f>29.5403 * CHOOSE(CONTROL!$C$9, $D$9, 100%, $F$9) + CHOOSE(CONTROL!$C$27, 0.0021, 0)</f>
        <v>29.542399999999997</v>
      </c>
      <c r="C130" s="10">
        <f>29.1081 * CHOOSE(CONTROL!$C$9, $D$9, 100%, $F$9) + CHOOSE(CONTROL!$C$27, 0.0021, 0)</f>
        <v>29.110199999999999</v>
      </c>
      <c r="D130" s="10">
        <f>29.1081 * CHOOSE(CONTROL!$C$9, $D$9, 100%, $F$9) + CHOOSE(CONTROL!$C$27, 0.0021, 0)</f>
        <v>29.110199999999999</v>
      </c>
      <c r="E130" s="10">
        <f>28.9714 * CHOOSE(CONTROL!$C$9, $D$9, 100%, $F$9) + CHOOSE(CONTROL!$C$27, 0.0021, 0)</f>
        <v>28.973499999999998</v>
      </c>
      <c r="F130" s="10">
        <f>28.9714 * CHOOSE(CONTROL!$C$9, $D$9, 100%, $F$9) + CHOOSE(CONTROL!$C$27, 0.0021, 0)</f>
        <v>28.973499999999998</v>
      </c>
      <c r="G130" s="10">
        <f>29.2428 * CHOOSE(CONTROL!$C$9, $D$9, 100%, $F$9) + CHOOSE(CONTROL!$C$27, 0.0021, 0)</f>
        <v>29.244899999999998</v>
      </c>
      <c r="H130" s="10">
        <f>29.1081 * CHOOSE(CONTROL!$C$9, $D$9, 100%, $F$9) + CHOOSE(CONTROL!$C$27, 0.0021, 0)</f>
        <v>29.110199999999999</v>
      </c>
      <c r="I130" s="10">
        <f>29.1081 * CHOOSE(CONTROL!$C$9, $D$9, 100%, $F$9) + CHOOSE(CONTROL!$C$27, 0.0021, 0)</f>
        <v>29.110199999999999</v>
      </c>
      <c r="J130" s="10">
        <f>29.1081 * CHOOSE(CONTROL!$C$9, $D$9, 100%, $F$9) + CHOOSE(CONTROL!$C$27, 0.0021, 0)</f>
        <v>29.110199999999999</v>
      </c>
      <c r="K130" s="10">
        <f>29.1081 * CHOOSE(CONTROL!$C$9, $D$9, 100%, $F$9) + CHOOSE(CONTROL!$C$27, 0.0021, 0)</f>
        <v>29.110199999999999</v>
      </c>
      <c r="L130" s="10"/>
    </row>
    <row r="131" spans="1:12" ht="15" x14ac:dyDescent="0.2">
      <c r="A131" s="16">
        <v>45261</v>
      </c>
      <c r="B131" s="10">
        <f>29.0061 * CHOOSE(CONTROL!$C$9, $D$9, 100%, $F$9) + CHOOSE(CONTROL!$C$27, 0.0021, 0)</f>
        <v>29.008199999999999</v>
      </c>
      <c r="C131" s="10">
        <f>28.5738 * CHOOSE(CONTROL!$C$9, $D$9, 100%, $F$9) + CHOOSE(CONTROL!$C$27, 0.0021, 0)</f>
        <v>28.575899999999997</v>
      </c>
      <c r="D131" s="10">
        <f>28.5738 * CHOOSE(CONTROL!$C$9, $D$9, 100%, $F$9) + CHOOSE(CONTROL!$C$27, 0.0021, 0)</f>
        <v>28.575899999999997</v>
      </c>
      <c r="E131" s="10">
        <f>28.4372 * CHOOSE(CONTROL!$C$9, $D$9, 100%, $F$9) + CHOOSE(CONTROL!$C$27, 0.0021, 0)</f>
        <v>28.439299999999999</v>
      </c>
      <c r="F131" s="10">
        <f>28.4372 * CHOOSE(CONTROL!$C$9, $D$9, 100%, $F$9) + CHOOSE(CONTROL!$C$27, 0.0021, 0)</f>
        <v>28.439299999999999</v>
      </c>
      <c r="G131" s="10">
        <f>28.7085 * CHOOSE(CONTROL!$C$9, $D$9, 100%, $F$9) + CHOOSE(CONTROL!$C$27, 0.0021, 0)</f>
        <v>28.710599999999999</v>
      </c>
      <c r="H131" s="10">
        <f>28.5738 * CHOOSE(CONTROL!$C$9, $D$9, 100%, $F$9) + CHOOSE(CONTROL!$C$27, 0.0021, 0)</f>
        <v>28.575899999999997</v>
      </c>
      <c r="I131" s="10">
        <f>28.5738 * CHOOSE(CONTROL!$C$9, $D$9, 100%, $F$9) + CHOOSE(CONTROL!$C$27, 0.0021, 0)</f>
        <v>28.575899999999997</v>
      </c>
      <c r="J131" s="10">
        <f>28.5738 * CHOOSE(CONTROL!$C$9, $D$9, 100%, $F$9) + CHOOSE(CONTROL!$C$27, 0.0021, 0)</f>
        <v>28.575899999999997</v>
      </c>
      <c r="K131" s="10">
        <f>28.5738 * CHOOSE(CONTROL!$C$9, $D$9, 100%, $F$9) + CHOOSE(CONTROL!$C$27, 0.0021, 0)</f>
        <v>28.575899999999997</v>
      </c>
      <c r="L131" s="10"/>
    </row>
    <row r="132" spans="1:12" ht="15" x14ac:dyDescent="0.2">
      <c r="A132" s="16">
        <v>45292</v>
      </c>
      <c r="B132" s="10">
        <f>29.2241 * CHOOSE(CONTROL!$C$9, $D$9, 100%, $F$9) + CHOOSE(CONTROL!$C$27, 0.0021, 0)</f>
        <v>29.226199999999999</v>
      </c>
      <c r="C132" s="10">
        <f>28.7919 * CHOOSE(CONTROL!$C$9, $D$9, 100%, $F$9) + CHOOSE(CONTROL!$C$27, 0.0021, 0)</f>
        <v>28.793999999999997</v>
      </c>
      <c r="D132" s="10">
        <f>28.7919 * CHOOSE(CONTROL!$C$9, $D$9, 100%, $F$9) + CHOOSE(CONTROL!$C$27, 0.0021, 0)</f>
        <v>28.793999999999997</v>
      </c>
      <c r="E132" s="10">
        <f>28.6552 * CHOOSE(CONTROL!$C$9, $D$9, 100%, $F$9) + CHOOSE(CONTROL!$C$27, 0.0021, 0)</f>
        <v>28.657299999999999</v>
      </c>
      <c r="F132" s="10">
        <f>28.6552 * CHOOSE(CONTROL!$C$9, $D$9, 100%, $F$9) + CHOOSE(CONTROL!$C$27, 0.0021, 0)</f>
        <v>28.657299999999999</v>
      </c>
      <c r="G132" s="10">
        <f>28.9266 * CHOOSE(CONTROL!$C$9, $D$9, 100%, $F$9) + CHOOSE(CONTROL!$C$27, 0.0021, 0)</f>
        <v>28.928699999999999</v>
      </c>
      <c r="H132" s="10">
        <f>28.7919 * CHOOSE(CONTROL!$C$9, $D$9, 100%, $F$9) + CHOOSE(CONTROL!$C$27, 0.0021, 0)</f>
        <v>28.793999999999997</v>
      </c>
      <c r="I132" s="10">
        <f>28.7919 * CHOOSE(CONTROL!$C$9, $D$9, 100%, $F$9) + CHOOSE(CONTROL!$C$27, 0.0021, 0)</f>
        <v>28.793999999999997</v>
      </c>
      <c r="J132" s="10">
        <f>28.7919 * CHOOSE(CONTROL!$C$9, $D$9, 100%, $F$9) + CHOOSE(CONTROL!$C$27, 0.0021, 0)</f>
        <v>28.793999999999997</v>
      </c>
      <c r="K132" s="10">
        <f>28.7919 * CHOOSE(CONTROL!$C$9, $D$9, 100%, $F$9) + CHOOSE(CONTROL!$C$27, 0.0021, 0)</f>
        <v>28.793999999999997</v>
      </c>
      <c r="L132" s="10"/>
    </row>
    <row r="133" spans="1:12" ht="15" x14ac:dyDescent="0.2">
      <c r="A133" s="16">
        <v>45323</v>
      </c>
      <c r="B133" s="10">
        <f>28.4623 * CHOOSE(CONTROL!$C$9, $D$9, 100%, $F$9) + CHOOSE(CONTROL!$C$27, 0.0021, 0)</f>
        <v>28.464399999999998</v>
      </c>
      <c r="C133" s="10">
        <f>28.0301 * CHOOSE(CONTROL!$C$9, $D$9, 100%, $F$9) + CHOOSE(CONTROL!$C$27, 0.0021, 0)</f>
        <v>28.0322</v>
      </c>
      <c r="D133" s="10">
        <f>28.0301 * CHOOSE(CONTROL!$C$9, $D$9, 100%, $F$9) + CHOOSE(CONTROL!$C$27, 0.0021, 0)</f>
        <v>28.0322</v>
      </c>
      <c r="E133" s="10">
        <f>27.8934 * CHOOSE(CONTROL!$C$9, $D$9, 100%, $F$9) + CHOOSE(CONTROL!$C$27, 0.0021, 0)</f>
        <v>27.895499999999998</v>
      </c>
      <c r="F133" s="10">
        <f>27.8934 * CHOOSE(CONTROL!$C$9, $D$9, 100%, $F$9) + CHOOSE(CONTROL!$C$27, 0.0021, 0)</f>
        <v>27.895499999999998</v>
      </c>
      <c r="G133" s="10">
        <f>28.1648 * CHOOSE(CONTROL!$C$9, $D$9, 100%, $F$9) + CHOOSE(CONTROL!$C$27, 0.0021, 0)</f>
        <v>28.166899999999998</v>
      </c>
      <c r="H133" s="10">
        <f>28.0301 * CHOOSE(CONTROL!$C$9, $D$9, 100%, $F$9) + CHOOSE(CONTROL!$C$27, 0.0021, 0)</f>
        <v>28.0322</v>
      </c>
      <c r="I133" s="10">
        <f>28.0301 * CHOOSE(CONTROL!$C$9, $D$9, 100%, $F$9) + CHOOSE(CONTROL!$C$27, 0.0021, 0)</f>
        <v>28.0322</v>
      </c>
      <c r="J133" s="10">
        <f>28.0301 * CHOOSE(CONTROL!$C$9, $D$9, 100%, $F$9) + CHOOSE(CONTROL!$C$27, 0.0021, 0)</f>
        <v>28.0322</v>
      </c>
      <c r="K133" s="10">
        <f>28.0301 * CHOOSE(CONTROL!$C$9, $D$9, 100%, $F$9) + CHOOSE(CONTROL!$C$27, 0.0021, 0)</f>
        <v>28.0322</v>
      </c>
      <c r="L133" s="10"/>
    </row>
    <row r="134" spans="1:12" ht="15" x14ac:dyDescent="0.2">
      <c r="A134" s="16">
        <v>45352</v>
      </c>
      <c r="B134" s="10">
        <f>28.1479 * CHOOSE(CONTROL!$C$9, $D$9, 100%, $F$9) + CHOOSE(CONTROL!$C$27, 0.0021, 0)</f>
        <v>28.15</v>
      </c>
      <c r="C134" s="10">
        <f>27.7156 * CHOOSE(CONTROL!$C$9, $D$9, 100%, $F$9) + CHOOSE(CONTROL!$C$27, 0.0021, 0)</f>
        <v>27.717699999999997</v>
      </c>
      <c r="D134" s="10">
        <f>27.7156 * CHOOSE(CONTROL!$C$9, $D$9, 100%, $F$9) + CHOOSE(CONTROL!$C$27, 0.0021, 0)</f>
        <v>27.717699999999997</v>
      </c>
      <c r="E134" s="10">
        <f>27.579 * CHOOSE(CONTROL!$C$9, $D$9, 100%, $F$9) + CHOOSE(CONTROL!$C$27, 0.0021, 0)</f>
        <v>27.581099999999999</v>
      </c>
      <c r="F134" s="10">
        <f>27.579 * CHOOSE(CONTROL!$C$9, $D$9, 100%, $F$9) + CHOOSE(CONTROL!$C$27, 0.0021, 0)</f>
        <v>27.581099999999999</v>
      </c>
      <c r="G134" s="10">
        <f>27.8503 * CHOOSE(CONTROL!$C$9, $D$9, 100%, $F$9) + CHOOSE(CONTROL!$C$27, 0.0021, 0)</f>
        <v>27.852399999999999</v>
      </c>
      <c r="H134" s="10">
        <f>27.7156 * CHOOSE(CONTROL!$C$9, $D$9, 100%, $F$9) + CHOOSE(CONTROL!$C$27, 0.0021, 0)</f>
        <v>27.717699999999997</v>
      </c>
      <c r="I134" s="10">
        <f>27.7156 * CHOOSE(CONTROL!$C$9, $D$9, 100%, $F$9) + CHOOSE(CONTROL!$C$27, 0.0021, 0)</f>
        <v>27.717699999999997</v>
      </c>
      <c r="J134" s="10">
        <f>27.7156 * CHOOSE(CONTROL!$C$9, $D$9, 100%, $F$9) + CHOOSE(CONTROL!$C$27, 0.0021, 0)</f>
        <v>27.717699999999997</v>
      </c>
      <c r="K134" s="10">
        <f>27.7156 * CHOOSE(CONTROL!$C$9, $D$9, 100%, $F$9) + CHOOSE(CONTROL!$C$27, 0.0021, 0)</f>
        <v>27.717699999999997</v>
      </c>
      <c r="L134" s="10"/>
    </row>
    <row r="135" spans="1:12" ht="15" x14ac:dyDescent="0.2">
      <c r="A135" s="16">
        <v>45383</v>
      </c>
      <c r="B135" s="10">
        <f>27.7724 * CHOOSE(CONTROL!$C$9, $D$9, 100%, $F$9) + CHOOSE(CONTROL!$C$27, 0.0021, 0)</f>
        <v>27.7745</v>
      </c>
      <c r="C135" s="10">
        <f>27.3401 * CHOOSE(CONTROL!$C$9, $D$9, 100%, $F$9) + CHOOSE(CONTROL!$C$27, 0.0021, 0)</f>
        <v>27.342199999999998</v>
      </c>
      <c r="D135" s="10">
        <f>27.3401 * CHOOSE(CONTROL!$C$9, $D$9, 100%, $F$9) + CHOOSE(CONTROL!$C$27, 0.0021, 0)</f>
        <v>27.342199999999998</v>
      </c>
      <c r="E135" s="10">
        <f>27.2035 * CHOOSE(CONTROL!$C$9, $D$9, 100%, $F$9) + CHOOSE(CONTROL!$C$27, 0.0021, 0)</f>
        <v>27.205599999999997</v>
      </c>
      <c r="F135" s="10">
        <f>27.2035 * CHOOSE(CONTROL!$C$9, $D$9, 100%, $F$9) + CHOOSE(CONTROL!$C$27, 0.0021, 0)</f>
        <v>27.205599999999997</v>
      </c>
      <c r="G135" s="10">
        <f>27.4749 * CHOOSE(CONTROL!$C$9, $D$9, 100%, $F$9) + CHOOSE(CONTROL!$C$27, 0.0021, 0)</f>
        <v>27.477</v>
      </c>
      <c r="H135" s="10">
        <f>27.3401 * CHOOSE(CONTROL!$C$9, $D$9, 100%, $F$9) + CHOOSE(CONTROL!$C$27, 0.0021, 0)</f>
        <v>27.342199999999998</v>
      </c>
      <c r="I135" s="10">
        <f>27.3401 * CHOOSE(CONTROL!$C$9, $D$9, 100%, $F$9) + CHOOSE(CONTROL!$C$27, 0.0021, 0)</f>
        <v>27.342199999999998</v>
      </c>
      <c r="J135" s="10">
        <f>27.3401 * CHOOSE(CONTROL!$C$9, $D$9, 100%, $F$9) + CHOOSE(CONTROL!$C$27, 0.0021, 0)</f>
        <v>27.342199999999998</v>
      </c>
      <c r="K135" s="10">
        <f>27.3401 * CHOOSE(CONTROL!$C$9, $D$9, 100%, $F$9) + CHOOSE(CONTROL!$C$27, 0.0021, 0)</f>
        <v>27.342199999999998</v>
      </c>
      <c r="L135" s="10"/>
    </row>
    <row r="136" spans="1:12" ht="15" x14ac:dyDescent="0.2">
      <c r="A136" s="16">
        <v>45413</v>
      </c>
      <c r="B136" s="10">
        <f>28.3075 * CHOOSE(CONTROL!$C$9, $D$9, 100%, $F$9) + CHOOSE(CONTROL!$C$27, 0.0021, 0)</f>
        <v>28.3096</v>
      </c>
      <c r="C136" s="10">
        <f>27.8752 * CHOOSE(CONTROL!$C$9, $D$9, 100%, $F$9) + CHOOSE(CONTROL!$C$27, 0.0021, 0)</f>
        <v>27.877299999999998</v>
      </c>
      <c r="D136" s="10">
        <f>27.8752 * CHOOSE(CONTROL!$C$9, $D$9, 100%, $F$9) + CHOOSE(CONTROL!$C$27, 0.0021, 0)</f>
        <v>27.877299999999998</v>
      </c>
      <c r="E136" s="10">
        <f>27.7386 * CHOOSE(CONTROL!$C$9, $D$9, 100%, $F$9) + CHOOSE(CONTROL!$C$27, 0.0021, 0)</f>
        <v>27.7407</v>
      </c>
      <c r="F136" s="10">
        <f>27.7386 * CHOOSE(CONTROL!$C$9, $D$9, 100%, $F$9) + CHOOSE(CONTROL!$C$27, 0.0021, 0)</f>
        <v>27.7407</v>
      </c>
      <c r="G136" s="10">
        <f>28.01 * CHOOSE(CONTROL!$C$9, $D$9, 100%, $F$9) + CHOOSE(CONTROL!$C$27, 0.0021, 0)</f>
        <v>28.0121</v>
      </c>
      <c r="H136" s="10">
        <f>27.8752 * CHOOSE(CONTROL!$C$9, $D$9, 100%, $F$9) + CHOOSE(CONTROL!$C$27, 0.0021, 0)</f>
        <v>27.877299999999998</v>
      </c>
      <c r="I136" s="10">
        <f>27.8752 * CHOOSE(CONTROL!$C$9, $D$9, 100%, $F$9) + CHOOSE(CONTROL!$C$27, 0.0021, 0)</f>
        <v>27.877299999999998</v>
      </c>
      <c r="J136" s="10">
        <f>27.8752 * CHOOSE(CONTROL!$C$9, $D$9, 100%, $F$9) + CHOOSE(CONTROL!$C$27, 0.0021, 0)</f>
        <v>27.877299999999998</v>
      </c>
      <c r="K136" s="10">
        <f>27.8752 * CHOOSE(CONTROL!$C$9, $D$9, 100%, $F$9) + CHOOSE(CONTROL!$C$27, 0.0021, 0)</f>
        <v>27.877299999999998</v>
      </c>
      <c r="L136" s="10"/>
    </row>
    <row r="137" spans="1:12" ht="15" x14ac:dyDescent="0.2">
      <c r="A137" s="16">
        <v>45444</v>
      </c>
      <c r="B137" s="10">
        <f>28.628 * CHOOSE(CONTROL!$C$9, $D$9, 100%, $F$9) + CHOOSE(CONTROL!$C$27, 0.0021, 0)</f>
        <v>28.630099999999999</v>
      </c>
      <c r="C137" s="10">
        <f>28.1957 * CHOOSE(CONTROL!$C$9, $D$9, 100%, $F$9) + CHOOSE(CONTROL!$C$27, 0.0021, 0)</f>
        <v>28.197799999999997</v>
      </c>
      <c r="D137" s="10">
        <f>28.1957 * CHOOSE(CONTROL!$C$9, $D$9, 100%, $F$9) + CHOOSE(CONTROL!$C$27, 0.0021, 0)</f>
        <v>28.197799999999997</v>
      </c>
      <c r="E137" s="10">
        <f>28.0591 * CHOOSE(CONTROL!$C$9, $D$9, 100%, $F$9) + CHOOSE(CONTROL!$C$27, 0.0021, 0)</f>
        <v>28.061199999999999</v>
      </c>
      <c r="F137" s="10">
        <f>28.0591 * CHOOSE(CONTROL!$C$9, $D$9, 100%, $F$9) + CHOOSE(CONTROL!$C$27, 0.0021, 0)</f>
        <v>28.061199999999999</v>
      </c>
      <c r="G137" s="10">
        <f>28.3305 * CHOOSE(CONTROL!$C$9, $D$9, 100%, $F$9) + CHOOSE(CONTROL!$C$27, 0.0021, 0)</f>
        <v>28.332599999999999</v>
      </c>
      <c r="H137" s="10">
        <f>28.1957 * CHOOSE(CONTROL!$C$9, $D$9, 100%, $F$9) + CHOOSE(CONTROL!$C$27, 0.0021, 0)</f>
        <v>28.197799999999997</v>
      </c>
      <c r="I137" s="10">
        <f>28.1957 * CHOOSE(CONTROL!$C$9, $D$9, 100%, $F$9) + CHOOSE(CONTROL!$C$27, 0.0021, 0)</f>
        <v>28.197799999999997</v>
      </c>
      <c r="J137" s="10">
        <f>28.1957 * CHOOSE(CONTROL!$C$9, $D$9, 100%, $F$9) + CHOOSE(CONTROL!$C$27, 0.0021, 0)</f>
        <v>28.197799999999997</v>
      </c>
      <c r="K137" s="10">
        <f>28.1957 * CHOOSE(CONTROL!$C$9, $D$9, 100%, $F$9) + CHOOSE(CONTROL!$C$27, 0.0021, 0)</f>
        <v>28.197799999999997</v>
      </c>
      <c r="L137" s="10"/>
    </row>
    <row r="138" spans="1:12" ht="15" x14ac:dyDescent="0.2">
      <c r="A138" s="16">
        <v>45474</v>
      </c>
      <c r="B138" s="10">
        <f>29.1567 * CHOOSE(CONTROL!$C$9, $D$9, 100%, $F$9) + CHOOSE(CONTROL!$C$27, 0.0021, 0)</f>
        <v>29.158799999999999</v>
      </c>
      <c r="C138" s="10">
        <f>28.7244 * CHOOSE(CONTROL!$C$9, $D$9, 100%, $F$9) + CHOOSE(CONTROL!$C$27, 0.0021, 0)</f>
        <v>28.726499999999998</v>
      </c>
      <c r="D138" s="10">
        <f>28.7244 * CHOOSE(CONTROL!$C$9, $D$9, 100%, $F$9) + CHOOSE(CONTROL!$C$27, 0.0021, 0)</f>
        <v>28.726499999999998</v>
      </c>
      <c r="E138" s="10">
        <f>28.5878 * CHOOSE(CONTROL!$C$9, $D$9, 100%, $F$9) + CHOOSE(CONTROL!$C$27, 0.0021, 0)</f>
        <v>28.5899</v>
      </c>
      <c r="F138" s="10">
        <f>28.5878 * CHOOSE(CONTROL!$C$9, $D$9, 100%, $F$9) + CHOOSE(CONTROL!$C$27, 0.0021, 0)</f>
        <v>28.5899</v>
      </c>
      <c r="G138" s="10">
        <f>28.8592 * CHOOSE(CONTROL!$C$9, $D$9, 100%, $F$9) + CHOOSE(CONTROL!$C$27, 0.0021, 0)</f>
        <v>28.8613</v>
      </c>
      <c r="H138" s="10">
        <f>28.7244 * CHOOSE(CONTROL!$C$9, $D$9, 100%, $F$9) + CHOOSE(CONTROL!$C$27, 0.0021, 0)</f>
        <v>28.726499999999998</v>
      </c>
      <c r="I138" s="10">
        <f>28.7244 * CHOOSE(CONTROL!$C$9, $D$9, 100%, $F$9) + CHOOSE(CONTROL!$C$27, 0.0021, 0)</f>
        <v>28.726499999999998</v>
      </c>
      <c r="J138" s="10">
        <f>28.7244 * CHOOSE(CONTROL!$C$9, $D$9, 100%, $F$9) + CHOOSE(CONTROL!$C$27, 0.0021, 0)</f>
        <v>28.726499999999998</v>
      </c>
      <c r="K138" s="10">
        <f>28.7244 * CHOOSE(CONTROL!$C$9, $D$9, 100%, $F$9) + CHOOSE(CONTROL!$C$27, 0.0021, 0)</f>
        <v>28.726499999999998</v>
      </c>
      <c r="L138" s="10"/>
    </row>
    <row r="139" spans="1:12" ht="15" x14ac:dyDescent="0.2">
      <c r="A139" s="16">
        <v>45505</v>
      </c>
      <c r="B139" s="10">
        <f>29.3181 * CHOOSE(CONTROL!$C$9, $D$9, 100%, $F$9) + CHOOSE(CONTROL!$C$27, 0.0021, 0)</f>
        <v>29.3202</v>
      </c>
      <c r="C139" s="10">
        <f>28.8858 * CHOOSE(CONTROL!$C$9, $D$9, 100%, $F$9) + CHOOSE(CONTROL!$C$27, 0.0021, 0)</f>
        <v>28.887899999999998</v>
      </c>
      <c r="D139" s="10">
        <f>28.8858 * CHOOSE(CONTROL!$C$9, $D$9, 100%, $F$9) + CHOOSE(CONTROL!$C$27, 0.0021, 0)</f>
        <v>28.887899999999998</v>
      </c>
      <c r="E139" s="10">
        <f>28.7492 * CHOOSE(CONTROL!$C$9, $D$9, 100%, $F$9) + CHOOSE(CONTROL!$C$27, 0.0021, 0)</f>
        <v>28.751299999999997</v>
      </c>
      <c r="F139" s="10">
        <f>28.7492 * CHOOSE(CONTROL!$C$9, $D$9, 100%, $F$9) + CHOOSE(CONTROL!$C$27, 0.0021, 0)</f>
        <v>28.751299999999997</v>
      </c>
      <c r="G139" s="10">
        <f>29.0205 * CHOOSE(CONTROL!$C$9, $D$9, 100%, $F$9) + CHOOSE(CONTROL!$C$27, 0.0021, 0)</f>
        <v>29.022599999999997</v>
      </c>
      <c r="H139" s="10">
        <f>28.8858 * CHOOSE(CONTROL!$C$9, $D$9, 100%, $F$9) + CHOOSE(CONTROL!$C$27, 0.0021, 0)</f>
        <v>28.887899999999998</v>
      </c>
      <c r="I139" s="10">
        <f>28.8858 * CHOOSE(CONTROL!$C$9, $D$9, 100%, $F$9) + CHOOSE(CONTROL!$C$27, 0.0021, 0)</f>
        <v>28.887899999999998</v>
      </c>
      <c r="J139" s="10">
        <f>28.8858 * CHOOSE(CONTROL!$C$9, $D$9, 100%, $F$9) + CHOOSE(CONTROL!$C$27, 0.0021, 0)</f>
        <v>28.887899999999998</v>
      </c>
      <c r="K139" s="10">
        <f>28.8858 * CHOOSE(CONTROL!$C$9, $D$9, 100%, $F$9) + CHOOSE(CONTROL!$C$27, 0.0021, 0)</f>
        <v>28.887899999999998</v>
      </c>
      <c r="L139" s="10"/>
    </row>
    <row r="140" spans="1:12" ht="15" x14ac:dyDescent="0.2">
      <c r="A140" s="16">
        <v>45536</v>
      </c>
      <c r="B140" s="10">
        <f>29.8676 * CHOOSE(CONTROL!$C$9, $D$9, 100%, $F$9) + CHOOSE(CONTROL!$C$27, 0.0021, 0)</f>
        <v>29.869699999999998</v>
      </c>
      <c r="C140" s="10">
        <f>29.4354 * CHOOSE(CONTROL!$C$9, $D$9, 100%, $F$9) + CHOOSE(CONTROL!$C$27, 0.0021, 0)</f>
        <v>29.4375</v>
      </c>
      <c r="D140" s="10">
        <f>29.4354 * CHOOSE(CONTROL!$C$9, $D$9, 100%, $F$9) + CHOOSE(CONTROL!$C$27, 0.0021, 0)</f>
        <v>29.4375</v>
      </c>
      <c r="E140" s="10">
        <f>29.2987 * CHOOSE(CONTROL!$C$9, $D$9, 100%, $F$9) + CHOOSE(CONTROL!$C$27, 0.0021, 0)</f>
        <v>29.300799999999999</v>
      </c>
      <c r="F140" s="10">
        <f>29.2987 * CHOOSE(CONTROL!$C$9, $D$9, 100%, $F$9) + CHOOSE(CONTROL!$C$27, 0.0021, 0)</f>
        <v>29.300799999999999</v>
      </c>
      <c r="G140" s="10">
        <f>29.5701 * CHOOSE(CONTROL!$C$9, $D$9, 100%, $F$9) + CHOOSE(CONTROL!$C$27, 0.0021, 0)</f>
        <v>29.572199999999999</v>
      </c>
      <c r="H140" s="10">
        <f>29.4354 * CHOOSE(CONTROL!$C$9, $D$9, 100%, $F$9) + CHOOSE(CONTROL!$C$27, 0.0021, 0)</f>
        <v>29.4375</v>
      </c>
      <c r="I140" s="10">
        <f>29.4354 * CHOOSE(CONTROL!$C$9, $D$9, 100%, $F$9) + CHOOSE(CONTROL!$C$27, 0.0021, 0)</f>
        <v>29.4375</v>
      </c>
      <c r="J140" s="10">
        <f>29.4354 * CHOOSE(CONTROL!$C$9, $D$9, 100%, $F$9) + CHOOSE(CONTROL!$C$27, 0.0021, 0)</f>
        <v>29.4375</v>
      </c>
      <c r="K140" s="10">
        <f>29.4354 * CHOOSE(CONTROL!$C$9, $D$9, 100%, $F$9) + CHOOSE(CONTROL!$C$27, 0.0021, 0)</f>
        <v>29.4375</v>
      </c>
      <c r="L140" s="10"/>
    </row>
    <row r="141" spans="1:12" ht="15" x14ac:dyDescent="0.2">
      <c r="A141" s="16">
        <v>45566</v>
      </c>
      <c r="B141" s="10">
        <f>30.5633 * CHOOSE(CONTROL!$C$9, $D$9, 100%, $F$9) + CHOOSE(CONTROL!$C$27, 0.0021, 0)</f>
        <v>30.5654</v>
      </c>
      <c r="C141" s="10">
        <f>30.131 * CHOOSE(CONTROL!$C$9, $D$9, 100%, $F$9) + CHOOSE(CONTROL!$C$27, 0.0021, 0)</f>
        <v>30.133099999999999</v>
      </c>
      <c r="D141" s="10">
        <f>30.131 * CHOOSE(CONTROL!$C$9, $D$9, 100%, $F$9) + CHOOSE(CONTROL!$C$27, 0.0021, 0)</f>
        <v>30.133099999999999</v>
      </c>
      <c r="E141" s="10">
        <f>29.9944 * CHOOSE(CONTROL!$C$9, $D$9, 100%, $F$9) + CHOOSE(CONTROL!$C$27, 0.0021, 0)</f>
        <v>29.996499999999997</v>
      </c>
      <c r="F141" s="10">
        <f>29.9944 * CHOOSE(CONTROL!$C$9, $D$9, 100%, $F$9) + CHOOSE(CONTROL!$C$27, 0.0021, 0)</f>
        <v>29.996499999999997</v>
      </c>
      <c r="G141" s="10">
        <f>30.2658 * CHOOSE(CONTROL!$C$9, $D$9, 100%, $F$9) + CHOOSE(CONTROL!$C$27, 0.0021, 0)</f>
        <v>30.267899999999997</v>
      </c>
      <c r="H141" s="10">
        <f>30.131 * CHOOSE(CONTROL!$C$9, $D$9, 100%, $F$9) + CHOOSE(CONTROL!$C$27, 0.0021, 0)</f>
        <v>30.133099999999999</v>
      </c>
      <c r="I141" s="10">
        <f>30.131 * CHOOSE(CONTROL!$C$9, $D$9, 100%, $F$9) + CHOOSE(CONTROL!$C$27, 0.0021, 0)</f>
        <v>30.133099999999999</v>
      </c>
      <c r="J141" s="10">
        <f>30.131 * CHOOSE(CONTROL!$C$9, $D$9, 100%, $F$9) + CHOOSE(CONTROL!$C$27, 0.0021, 0)</f>
        <v>30.133099999999999</v>
      </c>
      <c r="K141" s="10">
        <f>30.131 * CHOOSE(CONTROL!$C$9, $D$9, 100%, $F$9) + CHOOSE(CONTROL!$C$27, 0.0021, 0)</f>
        <v>30.133099999999999</v>
      </c>
      <c r="L141" s="10"/>
    </row>
    <row r="142" spans="1:12" ht="15" x14ac:dyDescent="0.2">
      <c r="A142" s="16">
        <v>45597</v>
      </c>
      <c r="B142" s="10">
        <f>30.6286 * CHOOSE(CONTROL!$C$9, $D$9, 100%, $F$9) + CHOOSE(CONTROL!$C$27, 0.0021, 0)</f>
        <v>30.630699999999997</v>
      </c>
      <c r="C142" s="10">
        <f>30.1963 * CHOOSE(CONTROL!$C$9, $D$9, 100%, $F$9) + CHOOSE(CONTROL!$C$27, 0.0021, 0)</f>
        <v>30.198399999999999</v>
      </c>
      <c r="D142" s="10">
        <f>30.1963 * CHOOSE(CONTROL!$C$9, $D$9, 100%, $F$9) + CHOOSE(CONTROL!$C$27, 0.0021, 0)</f>
        <v>30.198399999999999</v>
      </c>
      <c r="E142" s="10">
        <f>30.0597 * CHOOSE(CONTROL!$C$9, $D$9, 100%, $F$9) + CHOOSE(CONTROL!$C$27, 0.0021, 0)</f>
        <v>30.061799999999998</v>
      </c>
      <c r="F142" s="10">
        <f>30.0597 * CHOOSE(CONTROL!$C$9, $D$9, 100%, $F$9) + CHOOSE(CONTROL!$C$27, 0.0021, 0)</f>
        <v>30.061799999999998</v>
      </c>
      <c r="G142" s="10">
        <f>30.3311 * CHOOSE(CONTROL!$C$9, $D$9, 100%, $F$9) + CHOOSE(CONTROL!$C$27, 0.0021, 0)</f>
        <v>30.333199999999998</v>
      </c>
      <c r="H142" s="10">
        <f>30.1963 * CHOOSE(CONTROL!$C$9, $D$9, 100%, $F$9) + CHOOSE(CONTROL!$C$27, 0.0021, 0)</f>
        <v>30.198399999999999</v>
      </c>
      <c r="I142" s="10">
        <f>30.1963 * CHOOSE(CONTROL!$C$9, $D$9, 100%, $F$9) + CHOOSE(CONTROL!$C$27, 0.0021, 0)</f>
        <v>30.198399999999999</v>
      </c>
      <c r="J142" s="10">
        <f>30.1963 * CHOOSE(CONTROL!$C$9, $D$9, 100%, $F$9) + CHOOSE(CONTROL!$C$27, 0.0021, 0)</f>
        <v>30.198399999999999</v>
      </c>
      <c r="K142" s="10">
        <f>30.1963 * CHOOSE(CONTROL!$C$9, $D$9, 100%, $F$9) + CHOOSE(CONTROL!$C$27, 0.0021, 0)</f>
        <v>30.198399999999999</v>
      </c>
      <c r="L142" s="10"/>
    </row>
    <row r="143" spans="1:12" ht="15" x14ac:dyDescent="0.2">
      <c r="A143" s="16">
        <v>45627</v>
      </c>
      <c r="B143" s="10">
        <f>30.073 * CHOOSE(CONTROL!$C$9, $D$9, 100%, $F$9) + CHOOSE(CONTROL!$C$27, 0.0021, 0)</f>
        <v>30.075099999999999</v>
      </c>
      <c r="C143" s="10">
        <f>29.6407 * CHOOSE(CONTROL!$C$9, $D$9, 100%, $F$9) + CHOOSE(CONTROL!$C$27, 0.0021, 0)</f>
        <v>29.642799999999998</v>
      </c>
      <c r="D143" s="10">
        <f>29.6407 * CHOOSE(CONTROL!$C$9, $D$9, 100%, $F$9) + CHOOSE(CONTROL!$C$27, 0.0021, 0)</f>
        <v>29.642799999999998</v>
      </c>
      <c r="E143" s="10">
        <f>29.5041 * CHOOSE(CONTROL!$C$9, $D$9, 100%, $F$9) + CHOOSE(CONTROL!$C$27, 0.0021, 0)</f>
        <v>29.5062</v>
      </c>
      <c r="F143" s="10">
        <f>29.5041 * CHOOSE(CONTROL!$C$9, $D$9, 100%, $F$9) + CHOOSE(CONTROL!$C$27, 0.0021, 0)</f>
        <v>29.5062</v>
      </c>
      <c r="G143" s="10">
        <f>29.7755 * CHOOSE(CONTROL!$C$9, $D$9, 100%, $F$9) + CHOOSE(CONTROL!$C$27, 0.0021, 0)</f>
        <v>29.7776</v>
      </c>
      <c r="H143" s="10">
        <f>29.6407 * CHOOSE(CONTROL!$C$9, $D$9, 100%, $F$9) + CHOOSE(CONTROL!$C$27, 0.0021, 0)</f>
        <v>29.642799999999998</v>
      </c>
      <c r="I143" s="10">
        <f>29.6407 * CHOOSE(CONTROL!$C$9, $D$9, 100%, $F$9) + CHOOSE(CONTROL!$C$27, 0.0021, 0)</f>
        <v>29.642799999999998</v>
      </c>
      <c r="J143" s="10">
        <f>29.6407 * CHOOSE(CONTROL!$C$9, $D$9, 100%, $F$9) + CHOOSE(CONTROL!$C$27, 0.0021, 0)</f>
        <v>29.642799999999998</v>
      </c>
      <c r="K143" s="10">
        <f>29.6407 * CHOOSE(CONTROL!$C$9, $D$9, 100%, $F$9) + CHOOSE(CONTROL!$C$27, 0.0021, 0)</f>
        <v>29.642799999999998</v>
      </c>
      <c r="L143" s="10"/>
    </row>
    <row r="144" spans="1:12" ht="15" x14ac:dyDescent="0.2">
      <c r="A144" s="16">
        <v>45658</v>
      </c>
      <c r="B144" s="10">
        <f>30.2103 * CHOOSE(CONTROL!$C$9, $D$9, 100%, $F$9) + CHOOSE(CONTROL!$C$27, 0.0021, 0)</f>
        <v>30.212399999999999</v>
      </c>
      <c r="C144" s="10">
        <f>29.7781 * CHOOSE(CONTROL!$C$9, $D$9, 100%, $F$9) + CHOOSE(CONTROL!$C$27, 0.0021, 0)</f>
        <v>29.780199999999997</v>
      </c>
      <c r="D144" s="10">
        <f>29.7781 * CHOOSE(CONTROL!$C$9, $D$9, 100%, $F$9) + CHOOSE(CONTROL!$C$27, 0.0021, 0)</f>
        <v>29.780199999999997</v>
      </c>
      <c r="E144" s="10">
        <f>29.6414 * CHOOSE(CONTROL!$C$9, $D$9, 100%, $F$9) + CHOOSE(CONTROL!$C$27, 0.0021, 0)</f>
        <v>29.6435</v>
      </c>
      <c r="F144" s="10">
        <f>29.6414 * CHOOSE(CONTROL!$C$9, $D$9, 100%, $F$9) + CHOOSE(CONTROL!$C$27, 0.0021, 0)</f>
        <v>29.6435</v>
      </c>
      <c r="G144" s="10">
        <f>29.9128 * CHOOSE(CONTROL!$C$9, $D$9, 100%, $F$9) + CHOOSE(CONTROL!$C$27, 0.0021, 0)</f>
        <v>29.914899999999999</v>
      </c>
      <c r="H144" s="10">
        <f>29.7781 * CHOOSE(CONTROL!$C$9, $D$9, 100%, $F$9) + CHOOSE(CONTROL!$C$27, 0.0021, 0)</f>
        <v>29.780199999999997</v>
      </c>
      <c r="I144" s="10">
        <f>29.7781 * CHOOSE(CONTROL!$C$9, $D$9, 100%, $F$9) + CHOOSE(CONTROL!$C$27, 0.0021, 0)</f>
        <v>29.780199999999997</v>
      </c>
      <c r="J144" s="10">
        <f>29.7781 * CHOOSE(CONTROL!$C$9, $D$9, 100%, $F$9) + CHOOSE(CONTROL!$C$27, 0.0021, 0)</f>
        <v>29.780199999999997</v>
      </c>
      <c r="K144" s="10">
        <f>29.7781 * CHOOSE(CONTROL!$C$9, $D$9, 100%, $F$9) + CHOOSE(CONTROL!$C$27, 0.0021, 0)</f>
        <v>29.780199999999997</v>
      </c>
      <c r="L144" s="10"/>
    </row>
    <row r="145" spans="1:12" ht="15" x14ac:dyDescent="0.2">
      <c r="A145" s="16">
        <v>45689</v>
      </c>
      <c r="B145" s="10">
        <f>29.4206 * CHOOSE(CONTROL!$C$9, $D$9, 100%, $F$9) + CHOOSE(CONTROL!$C$27, 0.0021, 0)</f>
        <v>29.422699999999999</v>
      </c>
      <c r="C145" s="10">
        <f>28.9884 * CHOOSE(CONTROL!$C$9, $D$9, 100%, $F$9) + CHOOSE(CONTROL!$C$27, 0.0021, 0)</f>
        <v>28.990499999999997</v>
      </c>
      <c r="D145" s="10">
        <f>28.9884 * CHOOSE(CONTROL!$C$9, $D$9, 100%, $F$9) + CHOOSE(CONTROL!$C$27, 0.0021, 0)</f>
        <v>28.990499999999997</v>
      </c>
      <c r="E145" s="10">
        <f>28.8517 * CHOOSE(CONTROL!$C$9, $D$9, 100%, $F$9) + CHOOSE(CONTROL!$C$27, 0.0021, 0)</f>
        <v>28.8538</v>
      </c>
      <c r="F145" s="10">
        <f>28.8517 * CHOOSE(CONTROL!$C$9, $D$9, 100%, $F$9) + CHOOSE(CONTROL!$C$27, 0.0021, 0)</f>
        <v>28.8538</v>
      </c>
      <c r="G145" s="10">
        <f>29.1231 * CHOOSE(CONTROL!$C$9, $D$9, 100%, $F$9) + CHOOSE(CONTROL!$C$27, 0.0021, 0)</f>
        <v>29.1252</v>
      </c>
      <c r="H145" s="10">
        <f>28.9884 * CHOOSE(CONTROL!$C$9, $D$9, 100%, $F$9) + CHOOSE(CONTROL!$C$27, 0.0021, 0)</f>
        <v>28.990499999999997</v>
      </c>
      <c r="I145" s="10">
        <f>28.9884 * CHOOSE(CONTROL!$C$9, $D$9, 100%, $F$9) + CHOOSE(CONTROL!$C$27, 0.0021, 0)</f>
        <v>28.990499999999997</v>
      </c>
      <c r="J145" s="10">
        <f>28.9884 * CHOOSE(CONTROL!$C$9, $D$9, 100%, $F$9) + CHOOSE(CONTROL!$C$27, 0.0021, 0)</f>
        <v>28.990499999999997</v>
      </c>
      <c r="K145" s="10">
        <f>28.9884 * CHOOSE(CONTROL!$C$9, $D$9, 100%, $F$9) + CHOOSE(CONTROL!$C$27, 0.0021, 0)</f>
        <v>28.990499999999997</v>
      </c>
      <c r="L145" s="10"/>
    </row>
    <row r="146" spans="1:12" ht="15" x14ac:dyDescent="0.2">
      <c r="A146" s="16">
        <v>45717</v>
      </c>
      <c r="B146" s="10">
        <f>29.0947 * CHOOSE(CONTROL!$C$9, $D$9, 100%, $F$9) + CHOOSE(CONTROL!$C$27, 0.0021, 0)</f>
        <v>29.096799999999998</v>
      </c>
      <c r="C146" s="10">
        <f>28.6624 * CHOOSE(CONTROL!$C$9, $D$9, 100%, $F$9) + CHOOSE(CONTROL!$C$27, 0.0021, 0)</f>
        <v>28.6645</v>
      </c>
      <c r="D146" s="10">
        <f>28.6624 * CHOOSE(CONTROL!$C$9, $D$9, 100%, $F$9) + CHOOSE(CONTROL!$C$27, 0.0021, 0)</f>
        <v>28.6645</v>
      </c>
      <c r="E146" s="10">
        <f>28.5258 * CHOOSE(CONTROL!$C$9, $D$9, 100%, $F$9) + CHOOSE(CONTROL!$C$27, 0.0021, 0)</f>
        <v>28.527899999999999</v>
      </c>
      <c r="F146" s="10">
        <f>28.5258 * CHOOSE(CONTROL!$C$9, $D$9, 100%, $F$9) + CHOOSE(CONTROL!$C$27, 0.0021, 0)</f>
        <v>28.527899999999999</v>
      </c>
      <c r="G146" s="10">
        <f>28.7971 * CHOOSE(CONTROL!$C$9, $D$9, 100%, $F$9) + CHOOSE(CONTROL!$C$27, 0.0021, 0)</f>
        <v>28.799199999999999</v>
      </c>
      <c r="H146" s="10">
        <f>28.6624 * CHOOSE(CONTROL!$C$9, $D$9, 100%, $F$9) + CHOOSE(CONTROL!$C$27, 0.0021, 0)</f>
        <v>28.6645</v>
      </c>
      <c r="I146" s="10">
        <f>28.6624 * CHOOSE(CONTROL!$C$9, $D$9, 100%, $F$9) + CHOOSE(CONTROL!$C$27, 0.0021, 0)</f>
        <v>28.6645</v>
      </c>
      <c r="J146" s="10">
        <f>28.6624 * CHOOSE(CONTROL!$C$9, $D$9, 100%, $F$9) + CHOOSE(CONTROL!$C$27, 0.0021, 0)</f>
        <v>28.6645</v>
      </c>
      <c r="K146" s="10">
        <f>28.6624 * CHOOSE(CONTROL!$C$9, $D$9, 100%, $F$9) + CHOOSE(CONTROL!$C$27, 0.0021, 0)</f>
        <v>28.6645</v>
      </c>
      <c r="L146" s="10"/>
    </row>
    <row r="147" spans="1:12" ht="15" x14ac:dyDescent="0.2">
      <c r="A147" s="16">
        <v>45748</v>
      </c>
      <c r="B147" s="10">
        <f>28.7054 * CHOOSE(CONTROL!$C$9, $D$9, 100%, $F$9) + CHOOSE(CONTROL!$C$27, 0.0021, 0)</f>
        <v>28.7075</v>
      </c>
      <c r="C147" s="10">
        <f>28.2732 * CHOOSE(CONTROL!$C$9, $D$9, 100%, $F$9) + CHOOSE(CONTROL!$C$27, 0.0021, 0)</f>
        <v>28.275299999999998</v>
      </c>
      <c r="D147" s="10">
        <f>28.2732 * CHOOSE(CONTROL!$C$9, $D$9, 100%, $F$9) + CHOOSE(CONTROL!$C$27, 0.0021, 0)</f>
        <v>28.275299999999998</v>
      </c>
      <c r="E147" s="10">
        <f>28.1365 * CHOOSE(CONTROL!$C$9, $D$9, 100%, $F$9) + CHOOSE(CONTROL!$C$27, 0.0021, 0)</f>
        <v>28.1386</v>
      </c>
      <c r="F147" s="10">
        <f>28.1365 * CHOOSE(CONTROL!$C$9, $D$9, 100%, $F$9) + CHOOSE(CONTROL!$C$27, 0.0021, 0)</f>
        <v>28.1386</v>
      </c>
      <c r="G147" s="10">
        <f>28.4079 * CHOOSE(CONTROL!$C$9, $D$9, 100%, $F$9) + CHOOSE(CONTROL!$C$27, 0.0021, 0)</f>
        <v>28.41</v>
      </c>
      <c r="H147" s="10">
        <f>28.2732 * CHOOSE(CONTROL!$C$9, $D$9, 100%, $F$9) + CHOOSE(CONTROL!$C$27, 0.0021, 0)</f>
        <v>28.275299999999998</v>
      </c>
      <c r="I147" s="10">
        <f>28.2732 * CHOOSE(CONTROL!$C$9, $D$9, 100%, $F$9) + CHOOSE(CONTROL!$C$27, 0.0021, 0)</f>
        <v>28.275299999999998</v>
      </c>
      <c r="J147" s="10">
        <f>28.2732 * CHOOSE(CONTROL!$C$9, $D$9, 100%, $F$9) + CHOOSE(CONTROL!$C$27, 0.0021, 0)</f>
        <v>28.275299999999998</v>
      </c>
      <c r="K147" s="10">
        <f>28.2732 * CHOOSE(CONTROL!$C$9, $D$9, 100%, $F$9) + CHOOSE(CONTROL!$C$27, 0.0021, 0)</f>
        <v>28.275299999999998</v>
      </c>
      <c r="L147" s="10"/>
    </row>
    <row r="148" spans="1:12" ht="15" x14ac:dyDescent="0.2">
      <c r="A148" s="16">
        <v>45778</v>
      </c>
      <c r="B148" s="10">
        <f>29.2601 * CHOOSE(CONTROL!$C$9, $D$9, 100%, $F$9) + CHOOSE(CONTROL!$C$27, 0.0021, 0)</f>
        <v>29.2622</v>
      </c>
      <c r="C148" s="10">
        <f>28.8279 * CHOOSE(CONTROL!$C$9, $D$9, 100%, $F$9) + CHOOSE(CONTROL!$C$27, 0.0021, 0)</f>
        <v>28.83</v>
      </c>
      <c r="D148" s="10">
        <f>28.8279 * CHOOSE(CONTROL!$C$9, $D$9, 100%, $F$9) + CHOOSE(CONTROL!$C$27, 0.0021, 0)</f>
        <v>28.83</v>
      </c>
      <c r="E148" s="10">
        <f>28.6912 * CHOOSE(CONTROL!$C$9, $D$9, 100%, $F$9) + CHOOSE(CONTROL!$C$27, 0.0021, 0)</f>
        <v>28.693299999999997</v>
      </c>
      <c r="F148" s="10">
        <f>28.6912 * CHOOSE(CONTROL!$C$9, $D$9, 100%, $F$9) + CHOOSE(CONTROL!$C$27, 0.0021, 0)</f>
        <v>28.693299999999997</v>
      </c>
      <c r="G148" s="10">
        <f>28.9626 * CHOOSE(CONTROL!$C$9, $D$9, 100%, $F$9) + CHOOSE(CONTROL!$C$27, 0.0021, 0)</f>
        <v>28.964699999999997</v>
      </c>
      <c r="H148" s="10">
        <f>28.8279 * CHOOSE(CONTROL!$C$9, $D$9, 100%, $F$9) + CHOOSE(CONTROL!$C$27, 0.0021, 0)</f>
        <v>28.83</v>
      </c>
      <c r="I148" s="10">
        <f>28.8279 * CHOOSE(CONTROL!$C$9, $D$9, 100%, $F$9) + CHOOSE(CONTROL!$C$27, 0.0021, 0)</f>
        <v>28.83</v>
      </c>
      <c r="J148" s="10">
        <f>28.8279 * CHOOSE(CONTROL!$C$9, $D$9, 100%, $F$9) + CHOOSE(CONTROL!$C$27, 0.0021, 0)</f>
        <v>28.83</v>
      </c>
      <c r="K148" s="10">
        <f>28.8279 * CHOOSE(CONTROL!$C$9, $D$9, 100%, $F$9) + CHOOSE(CONTROL!$C$27, 0.0021, 0)</f>
        <v>28.83</v>
      </c>
      <c r="L148" s="10"/>
    </row>
    <row r="149" spans="1:12" ht="15" x14ac:dyDescent="0.2">
      <c r="A149" s="16">
        <v>45809</v>
      </c>
      <c r="B149" s="10">
        <f>29.5924 * CHOOSE(CONTROL!$C$9, $D$9, 100%, $F$9) + CHOOSE(CONTROL!$C$27, 0.0021, 0)</f>
        <v>29.5945</v>
      </c>
      <c r="C149" s="10">
        <f>29.1601 * CHOOSE(CONTROL!$C$9, $D$9, 100%, $F$9) + CHOOSE(CONTROL!$C$27, 0.0021, 0)</f>
        <v>29.162199999999999</v>
      </c>
      <c r="D149" s="10">
        <f>29.1601 * CHOOSE(CONTROL!$C$9, $D$9, 100%, $F$9) + CHOOSE(CONTROL!$C$27, 0.0021, 0)</f>
        <v>29.162199999999999</v>
      </c>
      <c r="E149" s="10">
        <f>29.0235 * CHOOSE(CONTROL!$C$9, $D$9, 100%, $F$9) + CHOOSE(CONTROL!$C$27, 0.0021, 0)</f>
        <v>29.025599999999997</v>
      </c>
      <c r="F149" s="10">
        <f>29.0235 * CHOOSE(CONTROL!$C$9, $D$9, 100%, $F$9) + CHOOSE(CONTROL!$C$27, 0.0021, 0)</f>
        <v>29.025599999999997</v>
      </c>
      <c r="G149" s="10">
        <f>29.2948 * CHOOSE(CONTROL!$C$9, $D$9, 100%, $F$9) + CHOOSE(CONTROL!$C$27, 0.0021, 0)</f>
        <v>29.296899999999997</v>
      </c>
      <c r="H149" s="10">
        <f>29.1601 * CHOOSE(CONTROL!$C$9, $D$9, 100%, $F$9) + CHOOSE(CONTROL!$C$27, 0.0021, 0)</f>
        <v>29.162199999999999</v>
      </c>
      <c r="I149" s="10">
        <f>29.1601 * CHOOSE(CONTROL!$C$9, $D$9, 100%, $F$9) + CHOOSE(CONTROL!$C$27, 0.0021, 0)</f>
        <v>29.162199999999999</v>
      </c>
      <c r="J149" s="10">
        <f>29.1601 * CHOOSE(CONTROL!$C$9, $D$9, 100%, $F$9) + CHOOSE(CONTROL!$C$27, 0.0021, 0)</f>
        <v>29.162199999999999</v>
      </c>
      <c r="K149" s="10">
        <f>29.1601 * CHOOSE(CONTROL!$C$9, $D$9, 100%, $F$9) + CHOOSE(CONTROL!$C$27, 0.0021, 0)</f>
        <v>29.162199999999999</v>
      </c>
      <c r="L149" s="10"/>
    </row>
    <row r="150" spans="1:12" ht="15" x14ac:dyDescent="0.2">
      <c r="A150" s="16">
        <v>45839</v>
      </c>
      <c r="B150" s="10">
        <f>30.1404 * CHOOSE(CONTROL!$C$9, $D$9, 100%, $F$9) + CHOOSE(CONTROL!$C$27, 0.0021, 0)</f>
        <v>30.142499999999998</v>
      </c>
      <c r="C150" s="10">
        <f>29.7082 * CHOOSE(CONTROL!$C$9, $D$9, 100%, $F$9) + CHOOSE(CONTROL!$C$27, 0.0021, 0)</f>
        <v>29.7103</v>
      </c>
      <c r="D150" s="10">
        <f>29.7082 * CHOOSE(CONTROL!$C$9, $D$9, 100%, $F$9) + CHOOSE(CONTROL!$C$27, 0.0021, 0)</f>
        <v>29.7103</v>
      </c>
      <c r="E150" s="10">
        <f>29.5715 * CHOOSE(CONTROL!$C$9, $D$9, 100%, $F$9) + CHOOSE(CONTROL!$C$27, 0.0021, 0)</f>
        <v>29.573599999999999</v>
      </c>
      <c r="F150" s="10">
        <f>29.5715 * CHOOSE(CONTROL!$C$9, $D$9, 100%, $F$9) + CHOOSE(CONTROL!$C$27, 0.0021, 0)</f>
        <v>29.573599999999999</v>
      </c>
      <c r="G150" s="10">
        <f>29.8429 * CHOOSE(CONTROL!$C$9, $D$9, 100%, $F$9) + CHOOSE(CONTROL!$C$27, 0.0021, 0)</f>
        <v>29.844999999999999</v>
      </c>
      <c r="H150" s="10">
        <f>29.7082 * CHOOSE(CONTROL!$C$9, $D$9, 100%, $F$9) + CHOOSE(CONTROL!$C$27, 0.0021, 0)</f>
        <v>29.7103</v>
      </c>
      <c r="I150" s="10">
        <f>29.7082 * CHOOSE(CONTROL!$C$9, $D$9, 100%, $F$9) + CHOOSE(CONTROL!$C$27, 0.0021, 0)</f>
        <v>29.7103</v>
      </c>
      <c r="J150" s="10">
        <f>29.7082 * CHOOSE(CONTROL!$C$9, $D$9, 100%, $F$9) + CHOOSE(CONTROL!$C$27, 0.0021, 0)</f>
        <v>29.7103</v>
      </c>
      <c r="K150" s="10">
        <f>29.7082 * CHOOSE(CONTROL!$C$9, $D$9, 100%, $F$9) + CHOOSE(CONTROL!$C$27, 0.0021, 0)</f>
        <v>29.7103</v>
      </c>
      <c r="L150" s="10"/>
    </row>
    <row r="151" spans="1:12" ht="15" x14ac:dyDescent="0.2">
      <c r="A151" s="16">
        <v>45870</v>
      </c>
      <c r="B151" s="10">
        <f>30.3077 * CHOOSE(CONTROL!$C$9, $D$9, 100%, $F$9) + CHOOSE(CONTROL!$C$27, 0.0021, 0)</f>
        <v>30.309799999999999</v>
      </c>
      <c r="C151" s="10">
        <f>29.8755 * CHOOSE(CONTROL!$C$9, $D$9, 100%, $F$9) + CHOOSE(CONTROL!$C$27, 0.0021, 0)</f>
        <v>29.877599999999997</v>
      </c>
      <c r="D151" s="10">
        <f>29.8755 * CHOOSE(CONTROL!$C$9, $D$9, 100%, $F$9) + CHOOSE(CONTROL!$C$27, 0.0021, 0)</f>
        <v>29.877599999999997</v>
      </c>
      <c r="E151" s="10">
        <f>29.7388 * CHOOSE(CONTROL!$C$9, $D$9, 100%, $F$9) + CHOOSE(CONTROL!$C$27, 0.0021, 0)</f>
        <v>29.7409</v>
      </c>
      <c r="F151" s="10">
        <f>29.7388 * CHOOSE(CONTROL!$C$9, $D$9, 100%, $F$9) + CHOOSE(CONTROL!$C$27, 0.0021, 0)</f>
        <v>29.7409</v>
      </c>
      <c r="G151" s="10">
        <f>30.0102 * CHOOSE(CONTROL!$C$9, $D$9, 100%, $F$9) + CHOOSE(CONTROL!$C$27, 0.0021, 0)</f>
        <v>30.0123</v>
      </c>
      <c r="H151" s="10">
        <f>29.8755 * CHOOSE(CONTROL!$C$9, $D$9, 100%, $F$9) + CHOOSE(CONTROL!$C$27, 0.0021, 0)</f>
        <v>29.877599999999997</v>
      </c>
      <c r="I151" s="10">
        <f>29.8755 * CHOOSE(CONTROL!$C$9, $D$9, 100%, $F$9) + CHOOSE(CONTROL!$C$27, 0.0021, 0)</f>
        <v>29.877599999999997</v>
      </c>
      <c r="J151" s="10">
        <f>29.8755 * CHOOSE(CONTROL!$C$9, $D$9, 100%, $F$9) + CHOOSE(CONTROL!$C$27, 0.0021, 0)</f>
        <v>29.877599999999997</v>
      </c>
      <c r="K151" s="10">
        <f>29.8755 * CHOOSE(CONTROL!$C$9, $D$9, 100%, $F$9) + CHOOSE(CONTROL!$C$27, 0.0021, 0)</f>
        <v>29.877599999999997</v>
      </c>
      <c r="L151" s="10"/>
    </row>
    <row r="152" spans="1:12" ht="15" x14ac:dyDescent="0.2">
      <c r="A152" s="16">
        <v>45901</v>
      </c>
      <c r="B152" s="10">
        <f>30.8774 * CHOOSE(CONTROL!$C$9, $D$9, 100%, $F$9) + CHOOSE(CONTROL!$C$27, 0.0021, 0)</f>
        <v>30.8795</v>
      </c>
      <c r="C152" s="10">
        <f>30.4452 * CHOOSE(CONTROL!$C$9, $D$9, 100%, $F$9) + CHOOSE(CONTROL!$C$27, 0.0021, 0)</f>
        <v>30.447299999999998</v>
      </c>
      <c r="D152" s="10">
        <f>30.4452 * CHOOSE(CONTROL!$C$9, $D$9, 100%, $F$9) + CHOOSE(CONTROL!$C$27, 0.0021, 0)</f>
        <v>30.447299999999998</v>
      </c>
      <c r="E152" s="10">
        <f>30.3085 * CHOOSE(CONTROL!$C$9, $D$9, 100%, $F$9) + CHOOSE(CONTROL!$C$27, 0.0021, 0)</f>
        <v>30.310599999999997</v>
      </c>
      <c r="F152" s="10">
        <f>30.3085 * CHOOSE(CONTROL!$C$9, $D$9, 100%, $F$9) + CHOOSE(CONTROL!$C$27, 0.0021, 0)</f>
        <v>30.310599999999997</v>
      </c>
      <c r="G152" s="10">
        <f>30.5799 * CHOOSE(CONTROL!$C$9, $D$9, 100%, $F$9) + CHOOSE(CONTROL!$C$27, 0.0021, 0)</f>
        <v>30.581999999999997</v>
      </c>
      <c r="H152" s="10">
        <f>30.4452 * CHOOSE(CONTROL!$C$9, $D$9, 100%, $F$9) + CHOOSE(CONTROL!$C$27, 0.0021, 0)</f>
        <v>30.447299999999998</v>
      </c>
      <c r="I152" s="10">
        <f>30.4452 * CHOOSE(CONTROL!$C$9, $D$9, 100%, $F$9) + CHOOSE(CONTROL!$C$27, 0.0021, 0)</f>
        <v>30.447299999999998</v>
      </c>
      <c r="J152" s="10">
        <f>30.4452 * CHOOSE(CONTROL!$C$9, $D$9, 100%, $F$9) + CHOOSE(CONTROL!$C$27, 0.0021, 0)</f>
        <v>30.447299999999998</v>
      </c>
      <c r="K152" s="10">
        <f>30.4452 * CHOOSE(CONTROL!$C$9, $D$9, 100%, $F$9) + CHOOSE(CONTROL!$C$27, 0.0021, 0)</f>
        <v>30.447299999999998</v>
      </c>
      <c r="L152" s="10"/>
    </row>
    <row r="153" spans="1:12" ht="15" x14ac:dyDescent="0.2">
      <c r="A153" s="16">
        <v>45931</v>
      </c>
      <c r="B153" s="10">
        <f>31.5985 * CHOOSE(CONTROL!$C$9, $D$9, 100%, $F$9) + CHOOSE(CONTROL!$C$27, 0.0021, 0)</f>
        <v>31.6006</v>
      </c>
      <c r="C153" s="10">
        <f>31.1663 * CHOOSE(CONTROL!$C$9, $D$9, 100%, $F$9) + CHOOSE(CONTROL!$C$27, 0.0021, 0)</f>
        <v>31.168399999999998</v>
      </c>
      <c r="D153" s="10">
        <f>31.1663 * CHOOSE(CONTROL!$C$9, $D$9, 100%, $F$9) + CHOOSE(CONTROL!$C$27, 0.0021, 0)</f>
        <v>31.168399999999998</v>
      </c>
      <c r="E153" s="10">
        <f>31.0296 * CHOOSE(CONTROL!$C$9, $D$9, 100%, $F$9) + CHOOSE(CONTROL!$C$27, 0.0021, 0)</f>
        <v>31.031699999999997</v>
      </c>
      <c r="F153" s="10">
        <f>31.0296 * CHOOSE(CONTROL!$C$9, $D$9, 100%, $F$9) + CHOOSE(CONTROL!$C$27, 0.0021, 0)</f>
        <v>31.031699999999997</v>
      </c>
      <c r="G153" s="10">
        <f>31.301 * CHOOSE(CONTROL!$C$9, $D$9, 100%, $F$9) + CHOOSE(CONTROL!$C$27, 0.0021, 0)</f>
        <v>31.303099999999997</v>
      </c>
      <c r="H153" s="10">
        <f>31.1663 * CHOOSE(CONTROL!$C$9, $D$9, 100%, $F$9) + CHOOSE(CONTROL!$C$27, 0.0021, 0)</f>
        <v>31.168399999999998</v>
      </c>
      <c r="I153" s="10">
        <f>31.1663 * CHOOSE(CONTROL!$C$9, $D$9, 100%, $F$9) + CHOOSE(CONTROL!$C$27, 0.0021, 0)</f>
        <v>31.168399999999998</v>
      </c>
      <c r="J153" s="10">
        <f>31.1663 * CHOOSE(CONTROL!$C$9, $D$9, 100%, $F$9) + CHOOSE(CONTROL!$C$27, 0.0021, 0)</f>
        <v>31.168399999999998</v>
      </c>
      <c r="K153" s="10">
        <f>31.1663 * CHOOSE(CONTROL!$C$9, $D$9, 100%, $F$9) + CHOOSE(CONTROL!$C$27, 0.0021, 0)</f>
        <v>31.168399999999998</v>
      </c>
      <c r="L153" s="10"/>
    </row>
    <row r="154" spans="1:12" ht="15" x14ac:dyDescent="0.2">
      <c r="A154" s="16">
        <v>45962</v>
      </c>
      <c r="B154" s="10">
        <f>31.6662 * CHOOSE(CONTROL!$C$9, $D$9, 100%, $F$9) + CHOOSE(CONTROL!$C$27, 0.0021, 0)</f>
        <v>31.668299999999999</v>
      </c>
      <c r="C154" s="10">
        <f>31.234 * CHOOSE(CONTROL!$C$9, $D$9, 100%, $F$9) + CHOOSE(CONTROL!$C$27, 0.0021, 0)</f>
        <v>31.2361</v>
      </c>
      <c r="D154" s="10">
        <f>31.234 * CHOOSE(CONTROL!$C$9, $D$9, 100%, $F$9) + CHOOSE(CONTROL!$C$27, 0.0021, 0)</f>
        <v>31.2361</v>
      </c>
      <c r="E154" s="10">
        <f>31.0973 * CHOOSE(CONTROL!$C$9, $D$9, 100%, $F$9) + CHOOSE(CONTROL!$C$27, 0.0021, 0)</f>
        <v>31.099399999999999</v>
      </c>
      <c r="F154" s="10">
        <f>31.0973 * CHOOSE(CONTROL!$C$9, $D$9, 100%, $F$9) + CHOOSE(CONTROL!$C$27, 0.0021, 0)</f>
        <v>31.099399999999999</v>
      </c>
      <c r="G154" s="10">
        <f>31.3687 * CHOOSE(CONTROL!$C$9, $D$9, 100%, $F$9) + CHOOSE(CONTROL!$C$27, 0.0021, 0)</f>
        <v>31.370799999999999</v>
      </c>
      <c r="H154" s="10">
        <f>31.234 * CHOOSE(CONTROL!$C$9, $D$9, 100%, $F$9) + CHOOSE(CONTROL!$C$27, 0.0021, 0)</f>
        <v>31.2361</v>
      </c>
      <c r="I154" s="10">
        <f>31.234 * CHOOSE(CONTROL!$C$9, $D$9, 100%, $F$9) + CHOOSE(CONTROL!$C$27, 0.0021, 0)</f>
        <v>31.2361</v>
      </c>
      <c r="J154" s="10">
        <f>31.234 * CHOOSE(CONTROL!$C$9, $D$9, 100%, $F$9) + CHOOSE(CONTROL!$C$27, 0.0021, 0)</f>
        <v>31.2361</v>
      </c>
      <c r="K154" s="10">
        <f>31.234 * CHOOSE(CONTROL!$C$9, $D$9, 100%, $F$9) + CHOOSE(CONTROL!$C$27, 0.0021, 0)</f>
        <v>31.2361</v>
      </c>
      <c r="L154" s="10"/>
    </row>
    <row r="155" spans="1:12" ht="15" x14ac:dyDescent="0.2">
      <c r="A155" s="16">
        <v>45992</v>
      </c>
      <c r="B155" s="10">
        <f>31.0903 * CHOOSE(CONTROL!$C$9, $D$9, 100%, $F$9) + CHOOSE(CONTROL!$C$27, 0.0021, 0)</f>
        <v>31.092399999999998</v>
      </c>
      <c r="C155" s="10">
        <f>30.658 * CHOOSE(CONTROL!$C$9, $D$9, 100%, $F$9) + CHOOSE(CONTROL!$C$27, 0.0021, 0)</f>
        <v>30.6601</v>
      </c>
      <c r="D155" s="10">
        <f>30.658 * CHOOSE(CONTROL!$C$9, $D$9, 100%, $F$9) + CHOOSE(CONTROL!$C$27, 0.0021, 0)</f>
        <v>30.6601</v>
      </c>
      <c r="E155" s="10">
        <f>30.5214 * CHOOSE(CONTROL!$C$9, $D$9, 100%, $F$9) + CHOOSE(CONTROL!$C$27, 0.0021, 0)</f>
        <v>30.523499999999999</v>
      </c>
      <c r="F155" s="10">
        <f>30.5214 * CHOOSE(CONTROL!$C$9, $D$9, 100%, $F$9) + CHOOSE(CONTROL!$C$27, 0.0021, 0)</f>
        <v>30.523499999999999</v>
      </c>
      <c r="G155" s="10">
        <f>30.7928 * CHOOSE(CONTROL!$C$9, $D$9, 100%, $F$9) + CHOOSE(CONTROL!$C$27, 0.0021, 0)</f>
        <v>30.794899999999998</v>
      </c>
      <c r="H155" s="10">
        <f>30.658 * CHOOSE(CONTROL!$C$9, $D$9, 100%, $F$9) + CHOOSE(CONTROL!$C$27, 0.0021, 0)</f>
        <v>30.6601</v>
      </c>
      <c r="I155" s="10">
        <f>30.658 * CHOOSE(CONTROL!$C$9, $D$9, 100%, $F$9) + CHOOSE(CONTROL!$C$27, 0.0021, 0)</f>
        <v>30.6601</v>
      </c>
      <c r="J155" s="10">
        <f>30.658 * CHOOSE(CONTROL!$C$9, $D$9, 100%, $F$9) + CHOOSE(CONTROL!$C$27, 0.0021, 0)</f>
        <v>30.6601</v>
      </c>
      <c r="K155" s="10">
        <f>30.658 * CHOOSE(CONTROL!$C$9, $D$9, 100%, $F$9) + CHOOSE(CONTROL!$C$27, 0.0021, 0)</f>
        <v>30.6601</v>
      </c>
      <c r="L155" s="10"/>
    </row>
    <row r="156" spans="1:12" ht="15" x14ac:dyDescent="0.2">
      <c r="A156" s="16">
        <v>46023</v>
      </c>
      <c r="B156" s="10">
        <f>31.3151 * CHOOSE(CONTROL!$C$9, $D$9, 100%, $F$9) + CHOOSE(CONTROL!$C$27, 0.0021, 0)</f>
        <v>31.3172</v>
      </c>
      <c r="C156" s="10">
        <f>30.8828 * CHOOSE(CONTROL!$C$9, $D$9, 100%, $F$9) + CHOOSE(CONTROL!$C$27, 0.0021, 0)</f>
        <v>30.884899999999998</v>
      </c>
      <c r="D156" s="10">
        <f>30.8828 * CHOOSE(CONTROL!$C$9, $D$9, 100%, $F$9) + CHOOSE(CONTROL!$C$27, 0.0021, 0)</f>
        <v>30.884899999999998</v>
      </c>
      <c r="E156" s="10">
        <f>30.7462 * CHOOSE(CONTROL!$C$9, $D$9, 100%, $F$9) + CHOOSE(CONTROL!$C$27, 0.0021, 0)</f>
        <v>30.7483</v>
      </c>
      <c r="F156" s="10">
        <f>30.7462 * CHOOSE(CONTROL!$C$9, $D$9, 100%, $F$9) + CHOOSE(CONTROL!$C$27, 0.0021, 0)</f>
        <v>30.7483</v>
      </c>
      <c r="G156" s="10">
        <f>31.0175 * CHOOSE(CONTROL!$C$9, $D$9, 100%, $F$9) + CHOOSE(CONTROL!$C$27, 0.0021, 0)</f>
        <v>31.019599999999997</v>
      </c>
      <c r="H156" s="10">
        <f>30.8828 * CHOOSE(CONTROL!$C$9, $D$9, 100%, $F$9) + CHOOSE(CONTROL!$C$27, 0.0021, 0)</f>
        <v>30.884899999999998</v>
      </c>
      <c r="I156" s="10">
        <f>30.8828 * CHOOSE(CONTROL!$C$9, $D$9, 100%, $F$9) + CHOOSE(CONTROL!$C$27, 0.0021, 0)</f>
        <v>30.884899999999998</v>
      </c>
      <c r="J156" s="10">
        <f>30.8828 * CHOOSE(CONTROL!$C$9, $D$9, 100%, $F$9) + CHOOSE(CONTROL!$C$27, 0.0021, 0)</f>
        <v>30.884899999999998</v>
      </c>
      <c r="K156" s="10">
        <f>30.8828 * CHOOSE(CONTROL!$C$9, $D$9, 100%, $F$9) + CHOOSE(CONTROL!$C$27, 0.0021, 0)</f>
        <v>30.884899999999998</v>
      </c>
      <c r="L156" s="10"/>
    </row>
    <row r="157" spans="1:12" ht="15" x14ac:dyDescent="0.2">
      <c r="A157" s="16">
        <v>46054</v>
      </c>
      <c r="B157" s="10">
        <f>30.4941 * CHOOSE(CONTROL!$C$9, $D$9, 100%, $F$9) + CHOOSE(CONTROL!$C$27, 0.0021, 0)</f>
        <v>30.496199999999998</v>
      </c>
      <c r="C157" s="10">
        <f>30.0619 * CHOOSE(CONTROL!$C$9, $D$9, 100%, $F$9) + CHOOSE(CONTROL!$C$27, 0.0021, 0)</f>
        <v>30.064</v>
      </c>
      <c r="D157" s="10">
        <f>30.0619 * CHOOSE(CONTROL!$C$9, $D$9, 100%, $F$9) + CHOOSE(CONTROL!$C$27, 0.0021, 0)</f>
        <v>30.064</v>
      </c>
      <c r="E157" s="10">
        <f>29.9252 * CHOOSE(CONTROL!$C$9, $D$9, 100%, $F$9) + CHOOSE(CONTROL!$C$27, 0.0021, 0)</f>
        <v>29.927299999999999</v>
      </c>
      <c r="F157" s="10">
        <f>29.9252 * CHOOSE(CONTROL!$C$9, $D$9, 100%, $F$9) + CHOOSE(CONTROL!$C$27, 0.0021, 0)</f>
        <v>29.927299999999999</v>
      </c>
      <c r="G157" s="10">
        <f>30.1966 * CHOOSE(CONTROL!$C$9, $D$9, 100%, $F$9) + CHOOSE(CONTROL!$C$27, 0.0021, 0)</f>
        <v>30.198699999999999</v>
      </c>
      <c r="H157" s="10">
        <f>30.0619 * CHOOSE(CONTROL!$C$9, $D$9, 100%, $F$9) + CHOOSE(CONTROL!$C$27, 0.0021, 0)</f>
        <v>30.064</v>
      </c>
      <c r="I157" s="10">
        <f>30.0619 * CHOOSE(CONTROL!$C$9, $D$9, 100%, $F$9) + CHOOSE(CONTROL!$C$27, 0.0021, 0)</f>
        <v>30.064</v>
      </c>
      <c r="J157" s="10">
        <f>30.0619 * CHOOSE(CONTROL!$C$9, $D$9, 100%, $F$9) + CHOOSE(CONTROL!$C$27, 0.0021, 0)</f>
        <v>30.064</v>
      </c>
      <c r="K157" s="10">
        <f>30.0619 * CHOOSE(CONTROL!$C$9, $D$9, 100%, $F$9) + CHOOSE(CONTROL!$C$27, 0.0021, 0)</f>
        <v>30.064</v>
      </c>
      <c r="L157" s="10"/>
    </row>
    <row r="158" spans="1:12" ht="15" x14ac:dyDescent="0.2">
      <c r="A158" s="16">
        <v>46082</v>
      </c>
      <c r="B158" s="10">
        <f>30.1553 * CHOOSE(CONTROL!$C$9, $D$9, 100%, $F$9) + CHOOSE(CONTROL!$C$27, 0.0021, 0)</f>
        <v>30.157399999999999</v>
      </c>
      <c r="C158" s="10">
        <f>29.723 * CHOOSE(CONTROL!$C$9, $D$9, 100%, $F$9) + CHOOSE(CONTROL!$C$27, 0.0021, 0)</f>
        <v>29.725099999999998</v>
      </c>
      <c r="D158" s="10">
        <f>29.723 * CHOOSE(CONTROL!$C$9, $D$9, 100%, $F$9) + CHOOSE(CONTROL!$C$27, 0.0021, 0)</f>
        <v>29.725099999999998</v>
      </c>
      <c r="E158" s="10">
        <f>29.5864 * CHOOSE(CONTROL!$C$9, $D$9, 100%, $F$9) + CHOOSE(CONTROL!$C$27, 0.0021, 0)</f>
        <v>29.5885</v>
      </c>
      <c r="F158" s="10">
        <f>29.5864 * CHOOSE(CONTROL!$C$9, $D$9, 100%, $F$9) + CHOOSE(CONTROL!$C$27, 0.0021, 0)</f>
        <v>29.5885</v>
      </c>
      <c r="G158" s="10">
        <f>29.8577 * CHOOSE(CONTROL!$C$9, $D$9, 100%, $F$9) + CHOOSE(CONTROL!$C$27, 0.0021, 0)</f>
        <v>29.8598</v>
      </c>
      <c r="H158" s="10">
        <f>29.723 * CHOOSE(CONTROL!$C$9, $D$9, 100%, $F$9) + CHOOSE(CONTROL!$C$27, 0.0021, 0)</f>
        <v>29.725099999999998</v>
      </c>
      <c r="I158" s="10">
        <f>29.723 * CHOOSE(CONTROL!$C$9, $D$9, 100%, $F$9) + CHOOSE(CONTROL!$C$27, 0.0021, 0)</f>
        <v>29.725099999999998</v>
      </c>
      <c r="J158" s="10">
        <f>29.723 * CHOOSE(CONTROL!$C$9, $D$9, 100%, $F$9) + CHOOSE(CONTROL!$C$27, 0.0021, 0)</f>
        <v>29.725099999999998</v>
      </c>
      <c r="K158" s="10">
        <f>29.723 * CHOOSE(CONTROL!$C$9, $D$9, 100%, $F$9) + CHOOSE(CONTROL!$C$27, 0.0021, 0)</f>
        <v>29.725099999999998</v>
      </c>
      <c r="L158" s="10"/>
    </row>
    <row r="159" spans="1:12" ht="15" x14ac:dyDescent="0.2">
      <c r="A159" s="16">
        <v>46113</v>
      </c>
      <c r="B159" s="10">
        <f>29.7506 * CHOOSE(CONTROL!$C$9, $D$9, 100%, $F$9) + CHOOSE(CONTROL!$C$27, 0.0021, 0)</f>
        <v>29.752699999999997</v>
      </c>
      <c r="C159" s="10">
        <f>29.3184 * CHOOSE(CONTROL!$C$9, $D$9, 100%, $F$9) + CHOOSE(CONTROL!$C$27, 0.0021, 0)</f>
        <v>29.320499999999999</v>
      </c>
      <c r="D159" s="10">
        <f>29.3184 * CHOOSE(CONTROL!$C$9, $D$9, 100%, $F$9) + CHOOSE(CONTROL!$C$27, 0.0021, 0)</f>
        <v>29.320499999999999</v>
      </c>
      <c r="E159" s="10">
        <f>29.1817 * CHOOSE(CONTROL!$C$9, $D$9, 100%, $F$9) + CHOOSE(CONTROL!$C$27, 0.0021, 0)</f>
        <v>29.183799999999998</v>
      </c>
      <c r="F159" s="10">
        <f>29.1817 * CHOOSE(CONTROL!$C$9, $D$9, 100%, $F$9) + CHOOSE(CONTROL!$C$27, 0.0021, 0)</f>
        <v>29.183799999999998</v>
      </c>
      <c r="G159" s="10">
        <f>29.4531 * CHOOSE(CONTROL!$C$9, $D$9, 100%, $F$9) + CHOOSE(CONTROL!$C$27, 0.0021, 0)</f>
        <v>29.455199999999998</v>
      </c>
      <c r="H159" s="10">
        <f>29.3184 * CHOOSE(CONTROL!$C$9, $D$9, 100%, $F$9) + CHOOSE(CONTROL!$C$27, 0.0021, 0)</f>
        <v>29.320499999999999</v>
      </c>
      <c r="I159" s="10">
        <f>29.3184 * CHOOSE(CONTROL!$C$9, $D$9, 100%, $F$9) + CHOOSE(CONTROL!$C$27, 0.0021, 0)</f>
        <v>29.320499999999999</v>
      </c>
      <c r="J159" s="10">
        <f>29.3184 * CHOOSE(CONTROL!$C$9, $D$9, 100%, $F$9) + CHOOSE(CONTROL!$C$27, 0.0021, 0)</f>
        <v>29.320499999999999</v>
      </c>
      <c r="K159" s="10">
        <f>29.3184 * CHOOSE(CONTROL!$C$9, $D$9, 100%, $F$9) + CHOOSE(CONTROL!$C$27, 0.0021, 0)</f>
        <v>29.320499999999999</v>
      </c>
      <c r="L159" s="10"/>
    </row>
    <row r="160" spans="1:12" ht="15" x14ac:dyDescent="0.2">
      <c r="A160" s="16">
        <v>46143</v>
      </c>
      <c r="B160" s="10">
        <f>30.3273 * CHOOSE(CONTROL!$C$9, $D$9, 100%, $F$9) + CHOOSE(CONTROL!$C$27, 0.0021, 0)</f>
        <v>30.3294</v>
      </c>
      <c r="C160" s="10">
        <f>29.895 * CHOOSE(CONTROL!$C$9, $D$9, 100%, $F$9) + CHOOSE(CONTROL!$C$27, 0.0021, 0)</f>
        <v>29.897099999999998</v>
      </c>
      <c r="D160" s="10">
        <f>29.895 * CHOOSE(CONTROL!$C$9, $D$9, 100%, $F$9) + CHOOSE(CONTROL!$C$27, 0.0021, 0)</f>
        <v>29.897099999999998</v>
      </c>
      <c r="E160" s="10">
        <f>29.7584 * CHOOSE(CONTROL!$C$9, $D$9, 100%, $F$9) + CHOOSE(CONTROL!$C$27, 0.0021, 0)</f>
        <v>29.7605</v>
      </c>
      <c r="F160" s="10">
        <f>29.7584 * CHOOSE(CONTROL!$C$9, $D$9, 100%, $F$9) + CHOOSE(CONTROL!$C$27, 0.0021, 0)</f>
        <v>29.7605</v>
      </c>
      <c r="G160" s="10">
        <f>30.0298 * CHOOSE(CONTROL!$C$9, $D$9, 100%, $F$9) + CHOOSE(CONTROL!$C$27, 0.0021, 0)</f>
        <v>30.0319</v>
      </c>
      <c r="H160" s="10">
        <f>29.895 * CHOOSE(CONTROL!$C$9, $D$9, 100%, $F$9) + CHOOSE(CONTROL!$C$27, 0.0021, 0)</f>
        <v>29.897099999999998</v>
      </c>
      <c r="I160" s="10">
        <f>29.895 * CHOOSE(CONTROL!$C$9, $D$9, 100%, $F$9) + CHOOSE(CONTROL!$C$27, 0.0021, 0)</f>
        <v>29.897099999999998</v>
      </c>
      <c r="J160" s="10">
        <f>29.895 * CHOOSE(CONTROL!$C$9, $D$9, 100%, $F$9) + CHOOSE(CONTROL!$C$27, 0.0021, 0)</f>
        <v>29.897099999999998</v>
      </c>
      <c r="K160" s="10">
        <f>29.895 * CHOOSE(CONTROL!$C$9, $D$9, 100%, $F$9) + CHOOSE(CONTROL!$C$27, 0.0021, 0)</f>
        <v>29.897099999999998</v>
      </c>
      <c r="L160" s="10"/>
    </row>
    <row r="161" spans="1:12" ht="15" x14ac:dyDescent="0.2">
      <c r="A161" s="16">
        <v>46174</v>
      </c>
      <c r="B161" s="10">
        <f>30.6727 * CHOOSE(CONTROL!$C$9, $D$9, 100%, $F$9) + CHOOSE(CONTROL!$C$27, 0.0021, 0)</f>
        <v>30.674799999999998</v>
      </c>
      <c r="C161" s="10">
        <f>30.2404 * CHOOSE(CONTROL!$C$9, $D$9, 100%, $F$9) + CHOOSE(CONTROL!$C$27, 0.0021, 0)</f>
        <v>30.2425</v>
      </c>
      <c r="D161" s="10">
        <f>30.2404 * CHOOSE(CONTROL!$C$9, $D$9, 100%, $F$9) + CHOOSE(CONTROL!$C$27, 0.0021, 0)</f>
        <v>30.2425</v>
      </c>
      <c r="E161" s="10">
        <f>30.1038 * CHOOSE(CONTROL!$C$9, $D$9, 100%, $F$9) + CHOOSE(CONTROL!$C$27, 0.0021, 0)</f>
        <v>30.105899999999998</v>
      </c>
      <c r="F161" s="10">
        <f>30.1038 * CHOOSE(CONTROL!$C$9, $D$9, 100%, $F$9) + CHOOSE(CONTROL!$C$27, 0.0021, 0)</f>
        <v>30.105899999999998</v>
      </c>
      <c r="G161" s="10">
        <f>30.3751 * CHOOSE(CONTROL!$C$9, $D$9, 100%, $F$9) + CHOOSE(CONTROL!$C$27, 0.0021, 0)</f>
        <v>30.377199999999998</v>
      </c>
      <c r="H161" s="10">
        <f>30.2404 * CHOOSE(CONTROL!$C$9, $D$9, 100%, $F$9) + CHOOSE(CONTROL!$C$27, 0.0021, 0)</f>
        <v>30.2425</v>
      </c>
      <c r="I161" s="10">
        <f>30.2404 * CHOOSE(CONTROL!$C$9, $D$9, 100%, $F$9) + CHOOSE(CONTROL!$C$27, 0.0021, 0)</f>
        <v>30.2425</v>
      </c>
      <c r="J161" s="10">
        <f>30.2404 * CHOOSE(CONTROL!$C$9, $D$9, 100%, $F$9) + CHOOSE(CONTROL!$C$27, 0.0021, 0)</f>
        <v>30.2425</v>
      </c>
      <c r="K161" s="10">
        <f>30.2404 * CHOOSE(CONTROL!$C$9, $D$9, 100%, $F$9) + CHOOSE(CONTROL!$C$27, 0.0021, 0)</f>
        <v>30.2425</v>
      </c>
      <c r="L161" s="10"/>
    </row>
    <row r="162" spans="1:12" ht="15" x14ac:dyDescent="0.2">
      <c r="A162" s="16">
        <v>46204</v>
      </c>
      <c r="B162" s="10">
        <f>31.2424 * CHOOSE(CONTROL!$C$9, $D$9, 100%, $F$9) + CHOOSE(CONTROL!$C$27, 0.0021, 0)</f>
        <v>31.244499999999999</v>
      </c>
      <c r="C162" s="10">
        <f>30.8102 * CHOOSE(CONTROL!$C$9, $D$9, 100%, $F$9) + CHOOSE(CONTROL!$C$27, 0.0021, 0)</f>
        <v>30.812299999999997</v>
      </c>
      <c r="D162" s="10">
        <f>30.8102 * CHOOSE(CONTROL!$C$9, $D$9, 100%, $F$9) + CHOOSE(CONTROL!$C$27, 0.0021, 0)</f>
        <v>30.812299999999997</v>
      </c>
      <c r="E162" s="10">
        <f>30.6735 * CHOOSE(CONTROL!$C$9, $D$9, 100%, $F$9) + CHOOSE(CONTROL!$C$27, 0.0021, 0)</f>
        <v>30.675599999999999</v>
      </c>
      <c r="F162" s="10">
        <f>30.6735 * CHOOSE(CONTROL!$C$9, $D$9, 100%, $F$9) + CHOOSE(CONTROL!$C$27, 0.0021, 0)</f>
        <v>30.675599999999999</v>
      </c>
      <c r="G162" s="10">
        <f>30.9449 * CHOOSE(CONTROL!$C$9, $D$9, 100%, $F$9) + CHOOSE(CONTROL!$C$27, 0.0021, 0)</f>
        <v>30.946999999999999</v>
      </c>
      <c r="H162" s="10">
        <f>30.8102 * CHOOSE(CONTROL!$C$9, $D$9, 100%, $F$9) + CHOOSE(CONTROL!$C$27, 0.0021, 0)</f>
        <v>30.812299999999997</v>
      </c>
      <c r="I162" s="10">
        <f>30.8102 * CHOOSE(CONTROL!$C$9, $D$9, 100%, $F$9) + CHOOSE(CONTROL!$C$27, 0.0021, 0)</f>
        <v>30.812299999999997</v>
      </c>
      <c r="J162" s="10">
        <f>30.8102 * CHOOSE(CONTROL!$C$9, $D$9, 100%, $F$9) + CHOOSE(CONTROL!$C$27, 0.0021, 0)</f>
        <v>30.812299999999997</v>
      </c>
      <c r="K162" s="10">
        <f>30.8102 * CHOOSE(CONTROL!$C$9, $D$9, 100%, $F$9) + CHOOSE(CONTROL!$C$27, 0.0021, 0)</f>
        <v>30.812299999999997</v>
      </c>
      <c r="L162" s="10"/>
    </row>
    <row r="163" spans="1:12" ht="15" x14ac:dyDescent="0.2">
      <c r="A163" s="16">
        <v>46235</v>
      </c>
      <c r="B163" s="10">
        <f>31.4163 * CHOOSE(CONTROL!$C$9, $D$9, 100%, $F$9) + CHOOSE(CONTROL!$C$27, 0.0021, 0)</f>
        <v>31.418399999999998</v>
      </c>
      <c r="C163" s="10">
        <f>30.9841 * CHOOSE(CONTROL!$C$9, $D$9, 100%, $F$9) + CHOOSE(CONTROL!$C$27, 0.0021, 0)</f>
        <v>30.9862</v>
      </c>
      <c r="D163" s="10">
        <f>30.9841 * CHOOSE(CONTROL!$C$9, $D$9, 100%, $F$9) + CHOOSE(CONTROL!$C$27, 0.0021, 0)</f>
        <v>30.9862</v>
      </c>
      <c r="E163" s="10">
        <f>30.8474 * CHOOSE(CONTROL!$C$9, $D$9, 100%, $F$9) + CHOOSE(CONTROL!$C$27, 0.0021, 0)</f>
        <v>30.849499999999999</v>
      </c>
      <c r="F163" s="10">
        <f>30.8474 * CHOOSE(CONTROL!$C$9, $D$9, 100%, $F$9) + CHOOSE(CONTROL!$C$27, 0.0021, 0)</f>
        <v>30.849499999999999</v>
      </c>
      <c r="G163" s="10">
        <f>31.1188 * CHOOSE(CONTROL!$C$9, $D$9, 100%, $F$9) + CHOOSE(CONTROL!$C$27, 0.0021, 0)</f>
        <v>31.120899999999999</v>
      </c>
      <c r="H163" s="10">
        <f>30.9841 * CHOOSE(CONTROL!$C$9, $D$9, 100%, $F$9) + CHOOSE(CONTROL!$C$27, 0.0021, 0)</f>
        <v>30.9862</v>
      </c>
      <c r="I163" s="10">
        <f>30.9841 * CHOOSE(CONTROL!$C$9, $D$9, 100%, $F$9) + CHOOSE(CONTROL!$C$27, 0.0021, 0)</f>
        <v>30.9862</v>
      </c>
      <c r="J163" s="10">
        <f>30.9841 * CHOOSE(CONTROL!$C$9, $D$9, 100%, $F$9) + CHOOSE(CONTROL!$C$27, 0.0021, 0)</f>
        <v>30.9862</v>
      </c>
      <c r="K163" s="10">
        <f>30.9841 * CHOOSE(CONTROL!$C$9, $D$9, 100%, $F$9) + CHOOSE(CONTROL!$C$27, 0.0021, 0)</f>
        <v>30.9862</v>
      </c>
      <c r="L163" s="10"/>
    </row>
    <row r="164" spans="1:12" ht="15" x14ac:dyDescent="0.2">
      <c r="A164" s="16">
        <v>46266</v>
      </c>
      <c r="B164" s="10">
        <f>32.0086 * CHOOSE(CONTROL!$C$9, $D$9, 100%, $F$9) + CHOOSE(CONTROL!$C$27, 0.0021, 0)</f>
        <v>32.0107</v>
      </c>
      <c r="C164" s="10">
        <f>31.5763 * CHOOSE(CONTROL!$C$9, $D$9, 100%, $F$9) + CHOOSE(CONTROL!$C$27, 0.0021, 0)</f>
        <v>31.578399999999998</v>
      </c>
      <c r="D164" s="10">
        <f>31.5763 * CHOOSE(CONTROL!$C$9, $D$9, 100%, $F$9) + CHOOSE(CONTROL!$C$27, 0.0021, 0)</f>
        <v>31.578399999999998</v>
      </c>
      <c r="E164" s="10">
        <f>31.4397 * CHOOSE(CONTROL!$C$9, $D$9, 100%, $F$9) + CHOOSE(CONTROL!$C$27, 0.0021, 0)</f>
        <v>31.441799999999997</v>
      </c>
      <c r="F164" s="10">
        <f>31.4397 * CHOOSE(CONTROL!$C$9, $D$9, 100%, $F$9) + CHOOSE(CONTROL!$C$27, 0.0021, 0)</f>
        <v>31.441799999999997</v>
      </c>
      <c r="G164" s="10">
        <f>31.711 * CHOOSE(CONTROL!$C$9, $D$9, 100%, $F$9) + CHOOSE(CONTROL!$C$27, 0.0021, 0)</f>
        <v>31.713099999999997</v>
      </c>
      <c r="H164" s="10">
        <f>31.5763 * CHOOSE(CONTROL!$C$9, $D$9, 100%, $F$9) + CHOOSE(CONTROL!$C$27, 0.0021, 0)</f>
        <v>31.578399999999998</v>
      </c>
      <c r="I164" s="10">
        <f>31.5763 * CHOOSE(CONTROL!$C$9, $D$9, 100%, $F$9) + CHOOSE(CONTROL!$C$27, 0.0021, 0)</f>
        <v>31.578399999999998</v>
      </c>
      <c r="J164" s="10">
        <f>31.5763 * CHOOSE(CONTROL!$C$9, $D$9, 100%, $F$9) + CHOOSE(CONTROL!$C$27, 0.0021, 0)</f>
        <v>31.578399999999998</v>
      </c>
      <c r="K164" s="10">
        <f>31.5763 * CHOOSE(CONTROL!$C$9, $D$9, 100%, $F$9) + CHOOSE(CONTROL!$C$27, 0.0021, 0)</f>
        <v>31.578399999999998</v>
      </c>
      <c r="L164" s="10"/>
    </row>
    <row r="165" spans="1:12" ht="15" x14ac:dyDescent="0.2">
      <c r="A165" s="16">
        <v>46296</v>
      </c>
      <c r="B165" s="10">
        <f>32.7582 * CHOOSE(CONTROL!$C$9, $D$9, 100%, $F$9) + CHOOSE(CONTROL!$C$27, 0.0021, 0)</f>
        <v>32.760300000000001</v>
      </c>
      <c r="C165" s="10">
        <f>32.326 * CHOOSE(CONTROL!$C$9, $D$9, 100%, $F$9) + CHOOSE(CONTROL!$C$27, 0.0021, 0)</f>
        <v>32.328099999999999</v>
      </c>
      <c r="D165" s="10">
        <f>32.326 * CHOOSE(CONTROL!$C$9, $D$9, 100%, $F$9) + CHOOSE(CONTROL!$C$27, 0.0021, 0)</f>
        <v>32.328099999999999</v>
      </c>
      <c r="E165" s="10">
        <f>32.1893 * CHOOSE(CONTROL!$C$9, $D$9, 100%, $F$9) + CHOOSE(CONTROL!$C$27, 0.0021, 0)</f>
        <v>32.191400000000002</v>
      </c>
      <c r="F165" s="10">
        <f>32.1893 * CHOOSE(CONTROL!$C$9, $D$9, 100%, $F$9) + CHOOSE(CONTROL!$C$27, 0.0021, 0)</f>
        <v>32.191400000000002</v>
      </c>
      <c r="G165" s="10">
        <f>32.4607 * CHOOSE(CONTROL!$C$9, $D$9, 100%, $F$9) + CHOOSE(CONTROL!$C$27, 0.0021, 0)</f>
        <v>32.462800000000001</v>
      </c>
      <c r="H165" s="10">
        <f>32.326 * CHOOSE(CONTROL!$C$9, $D$9, 100%, $F$9) + CHOOSE(CONTROL!$C$27, 0.0021, 0)</f>
        <v>32.328099999999999</v>
      </c>
      <c r="I165" s="10">
        <f>32.326 * CHOOSE(CONTROL!$C$9, $D$9, 100%, $F$9) + CHOOSE(CONTROL!$C$27, 0.0021, 0)</f>
        <v>32.328099999999999</v>
      </c>
      <c r="J165" s="10">
        <f>32.326 * CHOOSE(CONTROL!$C$9, $D$9, 100%, $F$9) + CHOOSE(CONTROL!$C$27, 0.0021, 0)</f>
        <v>32.328099999999999</v>
      </c>
      <c r="K165" s="10">
        <f>32.326 * CHOOSE(CONTROL!$C$9, $D$9, 100%, $F$9) + CHOOSE(CONTROL!$C$27, 0.0021, 0)</f>
        <v>32.328099999999999</v>
      </c>
      <c r="L165" s="10"/>
    </row>
    <row r="166" spans="1:12" ht="15" x14ac:dyDescent="0.2">
      <c r="A166" s="16">
        <v>46327</v>
      </c>
      <c r="B166" s="10">
        <f>32.8286 * CHOOSE(CONTROL!$C$9, $D$9, 100%, $F$9) + CHOOSE(CONTROL!$C$27, 0.0021, 0)</f>
        <v>32.8307</v>
      </c>
      <c r="C166" s="10">
        <f>32.3964 * CHOOSE(CONTROL!$C$9, $D$9, 100%, $F$9) + CHOOSE(CONTROL!$C$27, 0.0021, 0)</f>
        <v>32.398499999999999</v>
      </c>
      <c r="D166" s="10">
        <f>32.3964 * CHOOSE(CONTROL!$C$9, $D$9, 100%, $F$9) + CHOOSE(CONTROL!$C$27, 0.0021, 0)</f>
        <v>32.398499999999999</v>
      </c>
      <c r="E166" s="10">
        <f>32.2597 * CHOOSE(CONTROL!$C$9, $D$9, 100%, $F$9) + CHOOSE(CONTROL!$C$27, 0.0021, 0)</f>
        <v>32.261800000000001</v>
      </c>
      <c r="F166" s="10">
        <f>32.2597 * CHOOSE(CONTROL!$C$9, $D$9, 100%, $F$9) + CHOOSE(CONTROL!$C$27, 0.0021, 0)</f>
        <v>32.261800000000001</v>
      </c>
      <c r="G166" s="10">
        <f>32.5311 * CHOOSE(CONTROL!$C$9, $D$9, 100%, $F$9) + CHOOSE(CONTROL!$C$27, 0.0021, 0)</f>
        <v>32.533200000000001</v>
      </c>
      <c r="H166" s="10">
        <f>32.3964 * CHOOSE(CONTROL!$C$9, $D$9, 100%, $F$9) + CHOOSE(CONTROL!$C$27, 0.0021, 0)</f>
        <v>32.398499999999999</v>
      </c>
      <c r="I166" s="10">
        <f>32.3964 * CHOOSE(CONTROL!$C$9, $D$9, 100%, $F$9) + CHOOSE(CONTROL!$C$27, 0.0021, 0)</f>
        <v>32.398499999999999</v>
      </c>
      <c r="J166" s="10">
        <f>32.3964 * CHOOSE(CONTROL!$C$9, $D$9, 100%, $F$9) + CHOOSE(CONTROL!$C$27, 0.0021, 0)</f>
        <v>32.398499999999999</v>
      </c>
      <c r="K166" s="10">
        <f>32.3964 * CHOOSE(CONTROL!$C$9, $D$9, 100%, $F$9) + CHOOSE(CONTROL!$C$27, 0.0021, 0)</f>
        <v>32.398499999999999</v>
      </c>
      <c r="L166" s="10"/>
    </row>
    <row r="167" spans="1:12" ht="15" x14ac:dyDescent="0.2">
      <c r="A167" s="16">
        <v>46357</v>
      </c>
      <c r="B167" s="10">
        <f>32.2299 * CHOOSE(CONTROL!$C$9, $D$9, 100%, $F$9) + CHOOSE(CONTROL!$C$27, 0.0021, 0)</f>
        <v>32.231999999999999</v>
      </c>
      <c r="C167" s="10">
        <f>31.7976 * CHOOSE(CONTROL!$C$9, $D$9, 100%, $F$9) + CHOOSE(CONTROL!$C$27, 0.0021, 0)</f>
        <v>31.799699999999998</v>
      </c>
      <c r="D167" s="10">
        <f>31.7976 * CHOOSE(CONTROL!$C$9, $D$9, 100%, $F$9) + CHOOSE(CONTROL!$C$27, 0.0021, 0)</f>
        <v>31.799699999999998</v>
      </c>
      <c r="E167" s="10">
        <f>31.661 * CHOOSE(CONTROL!$C$9, $D$9, 100%, $F$9) + CHOOSE(CONTROL!$C$27, 0.0021, 0)</f>
        <v>31.6631</v>
      </c>
      <c r="F167" s="10">
        <f>31.661 * CHOOSE(CONTROL!$C$9, $D$9, 100%, $F$9) + CHOOSE(CONTROL!$C$27, 0.0021, 0)</f>
        <v>31.6631</v>
      </c>
      <c r="G167" s="10">
        <f>31.9323 * CHOOSE(CONTROL!$C$9, $D$9, 100%, $F$9) + CHOOSE(CONTROL!$C$27, 0.0021, 0)</f>
        <v>31.9344</v>
      </c>
      <c r="H167" s="10">
        <f>31.7976 * CHOOSE(CONTROL!$C$9, $D$9, 100%, $F$9) + CHOOSE(CONTROL!$C$27, 0.0021, 0)</f>
        <v>31.799699999999998</v>
      </c>
      <c r="I167" s="10">
        <f>31.7976 * CHOOSE(CONTROL!$C$9, $D$9, 100%, $F$9) + CHOOSE(CONTROL!$C$27, 0.0021, 0)</f>
        <v>31.799699999999998</v>
      </c>
      <c r="J167" s="10">
        <f>31.7976 * CHOOSE(CONTROL!$C$9, $D$9, 100%, $F$9) + CHOOSE(CONTROL!$C$27, 0.0021, 0)</f>
        <v>31.799699999999998</v>
      </c>
      <c r="K167" s="10">
        <f>31.7976 * CHOOSE(CONTROL!$C$9, $D$9, 100%, $F$9) + CHOOSE(CONTROL!$C$27, 0.0021, 0)</f>
        <v>31.799699999999998</v>
      </c>
      <c r="L167" s="10"/>
    </row>
    <row r="168" spans="1:12" ht="15" x14ac:dyDescent="0.2">
      <c r="A168" s="16">
        <v>46388</v>
      </c>
      <c r="B168" s="10">
        <f>32.3734 * CHOOSE(CONTROL!$C$9, $D$9, 100%, $F$9) + CHOOSE(CONTROL!$C$27, 0.0021, 0)</f>
        <v>32.375499999999995</v>
      </c>
      <c r="C168" s="10">
        <f>31.9412 * CHOOSE(CONTROL!$C$9, $D$9, 100%, $F$9) + CHOOSE(CONTROL!$C$27, 0.0021, 0)</f>
        <v>31.943299999999997</v>
      </c>
      <c r="D168" s="10">
        <f>31.9412 * CHOOSE(CONTROL!$C$9, $D$9, 100%, $F$9) + CHOOSE(CONTROL!$C$27, 0.0021, 0)</f>
        <v>31.943299999999997</v>
      </c>
      <c r="E168" s="10">
        <f>31.8045 * CHOOSE(CONTROL!$C$9, $D$9, 100%, $F$9) + CHOOSE(CONTROL!$C$27, 0.0021, 0)</f>
        <v>31.8066</v>
      </c>
      <c r="F168" s="10">
        <f>31.8045 * CHOOSE(CONTROL!$C$9, $D$9, 100%, $F$9) + CHOOSE(CONTROL!$C$27, 0.0021, 0)</f>
        <v>31.8066</v>
      </c>
      <c r="G168" s="10">
        <f>32.0759 * CHOOSE(CONTROL!$C$9, $D$9, 100%, $F$9) + CHOOSE(CONTROL!$C$27, 0.0021, 0)</f>
        <v>32.077999999999996</v>
      </c>
      <c r="H168" s="10">
        <f>31.9412 * CHOOSE(CONTROL!$C$9, $D$9, 100%, $F$9) + CHOOSE(CONTROL!$C$27, 0.0021, 0)</f>
        <v>31.943299999999997</v>
      </c>
      <c r="I168" s="10">
        <f>31.9412 * CHOOSE(CONTROL!$C$9, $D$9, 100%, $F$9) + CHOOSE(CONTROL!$C$27, 0.0021, 0)</f>
        <v>31.943299999999997</v>
      </c>
      <c r="J168" s="10">
        <f>31.9412 * CHOOSE(CONTROL!$C$9, $D$9, 100%, $F$9) + CHOOSE(CONTROL!$C$27, 0.0021, 0)</f>
        <v>31.943299999999997</v>
      </c>
      <c r="K168" s="10">
        <f>31.9412 * CHOOSE(CONTROL!$C$9, $D$9, 100%, $F$9) + CHOOSE(CONTROL!$C$27, 0.0021, 0)</f>
        <v>31.943299999999997</v>
      </c>
      <c r="L168" s="10"/>
    </row>
    <row r="169" spans="1:12" ht="15" x14ac:dyDescent="0.2">
      <c r="A169" s="16">
        <v>46419</v>
      </c>
      <c r="B169" s="10">
        <f>31.5226 * CHOOSE(CONTROL!$C$9, $D$9, 100%, $F$9) + CHOOSE(CONTROL!$C$27, 0.0021, 0)</f>
        <v>31.524699999999999</v>
      </c>
      <c r="C169" s="10">
        <f>31.0903 * CHOOSE(CONTROL!$C$9, $D$9, 100%, $F$9) + CHOOSE(CONTROL!$C$27, 0.0021, 0)</f>
        <v>31.092399999999998</v>
      </c>
      <c r="D169" s="10">
        <f>31.0903 * CHOOSE(CONTROL!$C$9, $D$9, 100%, $F$9) + CHOOSE(CONTROL!$C$27, 0.0021, 0)</f>
        <v>31.092399999999998</v>
      </c>
      <c r="E169" s="10">
        <f>30.9537 * CHOOSE(CONTROL!$C$9, $D$9, 100%, $F$9) + CHOOSE(CONTROL!$C$27, 0.0021, 0)</f>
        <v>30.9558</v>
      </c>
      <c r="F169" s="10">
        <f>30.9537 * CHOOSE(CONTROL!$C$9, $D$9, 100%, $F$9) + CHOOSE(CONTROL!$C$27, 0.0021, 0)</f>
        <v>30.9558</v>
      </c>
      <c r="G169" s="10">
        <f>31.225 * CHOOSE(CONTROL!$C$9, $D$9, 100%, $F$9) + CHOOSE(CONTROL!$C$27, 0.0021, 0)</f>
        <v>31.2271</v>
      </c>
      <c r="H169" s="10">
        <f>31.0903 * CHOOSE(CONTROL!$C$9, $D$9, 100%, $F$9) + CHOOSE(CONTROL!$C$27, 0.0021, 0)</f>
        <v>31.092399999999998</v>
      </c>
      <c r="I169" s="10">
        <f>31.0903 * CHOOSE(CONTROL!$C$9, $D$9, 100%, $F$9) + CHOOSE(CONTROL!$C$27, 0.0021, 0)</f>
        <v>31.092399999999998</v>
      </c>
      <c r="J169" s="10">
        <f>31.0903 * CHOOSE(CONTROL!$C$9, $D$9, 100%, $F$9) + CHOOSE(CONTROL!$C$27, 0.0021, 0)</f>
        <v>31.092399999999998</v>
      </c>
      <c r="K169" s="10">
        <f>31.0903 * CHOOSE(CONTROL!$C$9, $D$9, 100%, $F$9) + CHOOSE(CONTROL!$C$27, 0.0021, 0)</f>
        <v>31.092399999999998</v>
      </c>
      <c r="L169" s="10"/>
    </row>
    <row r="170" spans="1:12" ht="15" x14ac:dyDescent="0.2">
      <c r="A170" s="16">
        <v>46447</v>
      </c>
      <c r="B170" s="10">
        <f>31.1713 * CHOOSE(CONTROL!$C$9, $D$9, 100%, $F$9) + CHOOSE(CONTROL!$C$27, 0.0021, 0)</f>
        <v>31.173399999999997</v>
      </c>
      <c r="C170" s="10">
        <f>30.7391 * CHOOSE(CONTROL!$C$9, $D$9, 100%, $F$9) + CHOOSE(CONTROL!$C$27, 0.0021, 0)</f>
        <v>30.741199999999999</v>
      </c>
      <c r="D170" s="10">
        <f>30.7391 * CHOOSE(CONTROL!$C$9, $D$9, 100%, $F$9) + CHOOSE(CONTROL!$C$27, 0.0021, 0)</f>
        <v>30.741199999999999</v>
      </c>
      <c r="E170" s="10">
        <f>30.6024 * CHOOSE(CONTROL!$C$9, $D$9, 100%, $F$9) + CHOOSE(CONTROL!$C$27, 0.0021, 0)</f>
        <v>30.604499999999998</v>
      </c>
      <c r="F170" s="10">
        <f>30.6024 * CHOOSE(CONTROL!$C$9, $D$9, 100%, $F$9) + CHOOSE(CONTROL!$C$27, 0.0021, 0)</f>
        <v>30.604499999999998</v>
      </c>
      <c r="G170" s="10">
        <f>30.8738 * CHOOSE(CONTROL!$C$9, $D$9, 100%, $F$9) + CHOOSE(CONTROL!$C$27, 0.0021, 0)</f>
        <v>30.875899999999998</v>
      </c>
      <c r="H170" s="10">
        <f>30.7391 * CHOOSE(CONTROL!$C$9, $D$9, 100%, $F$9) + CHOOSE(CONTROL!$C$27, 0.0021, 0)</f>
        <v>30.741199999999999</v>
      </c>
      <c r="I170" s="10">
        <f>30.7391 * CHOOSE(CONTROL!$C$9, $D$9, 100%, $F$9) + CHOOSE(CONTROL!$C$27, 0.0021, 0)</f>
        <v>30.741199999999999</v>
      </c>
      <c r="J170" s="10">
        <f>30.7391 * CHOOSE(CONTROL!$C$9, $D$9, 100%, $F$9) + CHOOSE(CONTROL!$C$27, 0.0021, 0)</f>
        <v>30.741199999999999</v>
      </c>
      <c r="K170" s="10">
        <f>30.7391 * CHOOSE(CONTROL!$C$9, $D$9, 100%, $F$9) + CHOOSE(CONTROL!$C$27, 0.0021, 0)</f>
        <v>30.741199999999999</v>
      </c>
      <c r="L170" s="10"/>
    </row>
    <row r="171" spans="1:12" ht="15" x14ac:dyDescent="0.2">
      <c r="A171" s="16">
        <v>46478</v>
      </c>
      <c r="B171" s="10">
        <f>30.752 * CHOOSE(CONTROL!$C$9, $D$9, 100%, $F$9) + CHOOSE(CONTROL!$C$27, 0.0021, 0)</f>
        <v>30.754099999999998</v>
      </c>
      <c r="C171" s="10">
        <f>30.3197 * CHOOSE(CONTROL!$C$9, $D$9, 100%, $F$9) + CHOOSE(CONTROL!$C$27, 0.0021, 0)</f>
        <v>30.3218</v>
      </c>
      <c r="D171" s="10">
        <f>30.3197 * CHOOSE(CONTROL!$C$9, $D$9, 100%, $F$9) + CHOOSE(CONTROL!$C$27, 0.0021, 0)</f>
        <v>30.3218</v>
      </c>
      <c r="E171" s="10">
        <f>30.1831 * CHOOSE(CONTROL!$C$9, $D$9, 100%, $F$9) + CHOOSE(CONTROL!$C$27, 0.0021, 0)</f>
        <v>30.185199999999998</v>
      </c>
      <c r="F171" s="10">
        <f>30.1831 * CHOOSE(CONTROL!$C$9, $D$9, 100%, $F$9) + CHOOSE(CONTROL!$C$27, 0.0021, 0)</f>
        <v>30.185199999999998</v>
      </c>
      <c r="G171" s="10">
        <f>30.4544 * CHOOSE(CONTROL!$C$9, $D$9, 100%, $F$9) + CHOOSE(CONTROL!$C$27, 0.0021, 0)</f>
        <v>30.456499999999998</v>
      </c>
      <c r="H171" s="10">
        <f>30.3197 * CHOOSE(CONTROL!$C$9, $D$9, 100%, $F$9) + CHOOSE(CONTROL!$C$27, 0.0021, 0)</f>
        <v>30.3218</v>
      </c>
      <c r="I171" s="10">
        <f>30.3197 * CHOOSE(CONTROL!$C$9, $D$9, 100%, $F$9) + CHOOSE(CONTROL!$C$27, 0.0021, 0)</f>
        <v>30.3218</v>
      </c>
      <c r="J171" s="10">
        <f>30.3197 * CHOOSE(CONTROL!$C$9, $D$9, 100%, $F$9) + CHOOSE(CONTROL!$C$27, 0.0021, 0)</f>
        <v>30.3218</v>
      </c>
      <c r="K171" s="10">
        <f>30.3197 * CHOOSE(CONTROL!$C$9, $D$9, 100%, $F$9) + CHOOSE(CONTROL!$C$27, 0.0021, 0)</f>
        <v>30.3218</v>
      </c>
      <c r="L171" s="10"/>
    </row>
    <row r="172" spans="1:12" ht="15" x14ac:dyDescent="0.2">
      <c r="A172" s="16">
        <v>46508</v>
      </c>
      <c r="B172" s="10">
        <f>31.3496 * CHOOSE(CONTROL!$C$9, $D$9, 100%, $F$9) + CHOOSE(CONTROL!$C$27, 0.0021, 0)</f>
        <v>31.351699999999997</v>
      </c>
      <c r="C172" s="10">
        <f>30.9174 * CHOOSE(CONTROL!$C$9, $D$9, 100%, $F$9) + CHOOSE(CONTROL!$C$27, 0.0021, 0)</f>
        <v>30.919499999999999</v>
      </c>
      <c r="D172" s="10">
        <f>30.9174 * CHOOSE(CONTROL!$C$9, $D$9, 100%, $F$9) + CHOOSE(CONTROL!$C$27, 0.0021, 0)</f>
        <v>30.919499999999999</v>
      </c>
      <c r="E172" s="10">
        <f>30.7807 * CHOOSE(CONTROL!$C$9, $D$9, 100%, $F$9) + CHOOSE(CONTROL!$C$27, 0.0021, 0)</f>
        <v>30.782799999999998</v>
      </c>
      <c r="F172" s="10">
        <f>30.7807 * CHOOSE(CONTROL!$C$9, $D$9, 100%, $F$9) + CHOOSE(CONTROL!$C$27, 0.0021, 0)</f>
        <v>30.782799999999998</v>
      </c>
      <c r="G172" s="10">
        <f>31.0521 * CHOOSE(CONTROL!$C$9, $D$9, 100%, $F$9) + CHOOSE(CONTROL!$C$27, 0.0021, 0)</f>
        <v>31.054199999999998</v>
      </c>
      <c r="H172" s="10">
        <f>30.9174 * CHOOSE(CONTROL!$C$9, $D$9, 100%, $F$9) + CHOOSE(CONTROL!$C$27, 0.0021, 0)</f>
        <v>30.919499999999999</v>
      </c>
      <c r="I172" s="10">
        <f>30.9174 * CHOOSE(CONTROL!$C$9, $D$9, 100%, $F$9) + CHOOSE(CONTROL!$C$27, 0.0021, 0)</f>
        <v>30.919499999999999</v>
      </c>
      <c r="J172" s="10">
        <f>30.9174 * CHOOSE(CONTROL!$C$9, $D$9, 100%, $F$9) + CHOOSE(CONTROL!$C$27, 0.0021, 0)</f>
        <v>30.919499999999999</v>
      </c>
      <c r="K172" s="10">
        <f>30.9174 * CHOOSE(CONTROL!$C$9, $D$9, 100%, $F$9) + CHOOSE(CONTROL!$C$27, 0.0021, 0)</f>
        <v>30.919499999999999</v>
      </c>
      <c r="L172" s="10"/>
    </row>
    <row r="173" spans="1:12" ht="15" x14ac:dyDescent="0.2">
      <c r="A173" s="16">
        <v>46539</v>
      </c>
      <c r="B173" s="10">
        <f>31.7076 * CHOOSE(CONTROL!$C$9, $D$9, 100%, $F$9) + CHOOSE(CONTROL!$C$27, 0.0021, 0)</f>
        <v>31.709699999999998</v>
      </c>
      <c r="C173" s="10">
        <f>31.2754 * CHOOSE(CONTROL!$C$9, $D$9, 100%, $F$9) + CHOOSE(CONTROL!$C$27, 0.0021, 0)</f>
        <v>31.2775</v>
      </c>
      <c r="D173" s="10">
        <f>31.2754 * CHOOSE(CONTROL!$C$9, $D$9, 100%, $F$9) + CHOOSE(CONTROL!$C$27, 0.0021, 0)</f>
        <v>31.2775</v>
      </c>
      <c r="E173" s="10">
        <f>31.1387 * CHOOSE(CONTROL!$C$9, $D$9, 100%, $F$9) + CHOOSE(CONTROL!$C$27, 0.0021, 0)</f>
        <v>31.140799999999999</v>
      </c>
      <c r="F173" s="10">
        <f>31.1387 * CHOOSE(CONTROL!$C$9, $D$9, 100%, $F$9) + CHOOSE(CONTROL!$C$27, 0.0021, 0)</f>
        <v>31.140799999999999</v>
      </c>
      <c r="G173" s="10">
        <f>31.4101 * CHOOSE(CONTROL!$C$9, $D$9, 100%, $F$9) + CHOOSE(CONTROL!$C$27, 0.0021, 0)</f>
        <v>31.412199999999999</v>
      </c>
      <c r="H173" s="10">
        <f>31.2754 * CHOOSE(CONTROL!$C$9, $D$9, 100%, $F$9) + CHOOSE(CONTROL!$C$27, 0.0021, 0)</f>
        <v>31.2775</v>
      </c>
      <c r="I173" s="10">
        <f>31.2754 * CHOOSE(CONTROL!$C$9, $D$9, 100%, $F$9) + CHOOSE(CONTROL!$C$27, 0.0021, 0)</f>
        <v>31.2775</v>
      </c>
      <c r="J173" s="10">
        <f>31.2754 * CHOOSE(CONTROL!$C$9, $D$9, 100%, $F$9) + CHOOSE(CONTROL!$C$27, 0.0021, 0)</f>
        <v>31.2775</v>
      </c>
      <c r="K173" s="10">
        <f>31.2754 * CHOOSE(CONTROL!$C$9, $D$9, 100%, $F$9) + CHOOSE(CONTROL!$C$27, 0.0021, 0)</f>
        <v>31.2775</v>
      </c>
      <c r="L173" s="10"/>
    </row>
    <row r="174" spans="1:12" ht="15" x14ac:dyDescent="0.2">
      <c r="A174" s="16">
        <v>46569</v>
      </c>
      <c r="B174" s="10">
        <f>32.2981 * CHOOSE(CONTROL!$C$9, $D$9, 100%, $F$9) + CHOOSE(CONTROL!$C$27, 0.0021, 0)</f>
        <v>32.300199999999997</v>
      </c>
      <c r="C174" s="10">
        <f>31.8659 * CHOOSE(CONTROL!$C$9, $D$9, 100%, $F$9) + CHOOSE(CONTROL!$C$27, 0.0021, 0)</f>
        <v>31.867999999999999</v>
      </c>
      <c r="D174" s="10">
        <f>31.8659 * CHOOSE(CONTROL!$C$9, $D$9, 100%, $F$9) + CHOOSE(CONTROL!$C$27, 0.0021, 0)</f>
        <v>31.867999999999999</v>
      </c>
      <c r="E174" s="10">
        <f>31.7292 * CHOOSE(CONTROL!$C$9, $D$9, 100%, $F$9) + CHOOSE(CONTROL!$C$27, 0.0021, 0)</f>
        <v>31.731299999999997</v>
      </c>
      <c r="F174" s="10">
        <f>31.7292 * CHOOSE(CONTROL!$C$9, $D$9, 100%, $F$9) + CHOOSE(CONTROL!$C$27, 0.0021, 0)</f>
        <v>31.731299999999997</v>
      </c>
      <c r="G174" s="10">
        <f>32.0006 * CHOOSE(CONTROL!$C$9, $D$9, 100%, $F$9) + CHOOSE(CONTROL!$C$27, 0.0021, 0)</f>
        <v>32.002699999999997</v>
      </c>
      <c r="H174" s="10">
        <f>31.8659 * CHOOSE(CONTROL!$C$9, $D$9, 100%, $F$9) + CHOOSE(CONTROL!$C$27, 0.0021, 0)</f>
        <v>31.867999999999999</v>
      </c>
      <c r="I174" s="10">
        <f>31.8659 * CHOOSE(CONTROL!$C$9, $D$9, 100%, $F$9) + CHOOSE(CONTROL!$C$27, 0.0021, 0)</f>
        <v>31.867999999999999</v>
      </c>
      <c r="J174" s="10">
        <f>31.8659 * CHOOSE(CONTROL!$C$9, $D$9, 100%, $F$9) + CHOOSE(CONTROL!$C$27, 0.0021, 0)</f>
        <v>31.867999999999999</v>
      </c>
      <c r="K174" s="10">
        <f>31.8659 * CHOOSE(CONTROL!$C$9, $D$9, 100%, $F$9) + CHOOSE(CONTROL!$C$27, 0.0021, 0)</f>
        <v>31.867999999999999</v>
      </c>
      <c r="L174" s="10"/>
    </row>
    <row r="175" spans="1:12" ht="15" x14ac:dyDescent="0.2">
      <c r="A175" s="16">
        <v>46600</v>
      </c>
      <c r="B175" s="10">
        <f>32.4784 * CHOOSE(CONTROL!$C$9, $D$9, 100%, $F$9) + CHOOSE(CONTROL!$C$27, 0.0021, 0)</f>
        <v>32.480499999999999</v>
      </c>
      <c r="C175" s="10">
        <f>32.0461 * CHOOSE(CONTROL!$C$9, $D$9, 100%, $F$9) + CHOOSE(CONTROL!$C$27, 0.0021, 0)</f>
        <v>32.048200000000001</v>
      </c>
      <c r="D175" s="10">
        <f>32.0461 * CHOOSE(CONTROL!$C$9, $D$9, 100%, $F$9) + CHOOSE(CONTROL!$C$27, 0.0021, 0)</f>
        <v>32.048200000000001</v>
      </c>
      <c r="E175" s="10">
        <f>31.9095 * CHOOSE(CONTROL!$C$9, $D$9, 100%, $F$9) + CHOOSE(CONTROL!$C$27, 0.0021, 0)</f>
        <v>31.9116</v>
      </c>
      <c r="F175" s="10">
        <f>31.9095 * CHOOSE(CONTROL!$C$9, $D$9, 100%, $F$9) + CHOOSE(CONTROL!$C$27, 0.0021, 0)</f>
        <v>31.9116</v>
      </c>
      <c r="G175" s="10">
        <f>32.1809 * CHOOSE(CONTROL!$C$9, $D$9, 100%, $F$9) + CHOOSE(CONTROL!$C$27, 0.0021, 0)</f>
        <v>32.183</v>
      </c>
      <c r="H175" s="10">
        <f>32.0461 * CHOOSE(CONTROL!$C$9, $D$9, 100%, $F$9) + CHOOSE(CONTROL!$C$27, 0.0021, 0)</f>
        <v>32.048200000000001</v>
      </c>
      <c r="I175" s="10">
        <f>32.0461 * CHOOSE(CONTROL!$C$9, $D$9, 100%, $F$9) + CHOOSE(CONTROL!$C$27, 0.0021, 0)</f>
        <v>32.048200000000001</v>
      </c>
      <c r="J175" s="10">
        <f>32.0461 * CHOOSE(CONTROL!$C$9, $D$9, 100%, $F$9) + CHOOSE(CONTROL!$C$27, 0.0021, 0)</f>
        <v>32.048200000000001</v>
      </c>
      <c r="K175" s="10">
        <f>32.0461 * CHOOSE(CONTROL!$C$9, $D$9, 100%, $F$9) + CHOOSE(CONTROL!$C$27, 0.0021, 0)</f>
        <v>32.048200000000001</v>
      </c>
      <c r="L175" s="10"/>
    </row>
    <row r="176" spans="1:12" ht="15" x14ac:dyDescent="0.2">
      <c r="A176" s="16">
        <v>46631</v>
      </c>
      <c r="B176" s="10">
        <f>33.0922 * CHOOSE(CONTROL!$C$9, $D$9, 100%, $F$9) + CHOOSE(CONTROL!$C$27, 0.0021, 0)</f>
        <v>33.094299999999997</v>
      </c>
      <c r="C176" s="10">
        <f>32.66 * CHOOSE(CONTROL!$C$9, $D$9, 100%, $F$9) + CHOOSE(CONTROL!$C$27, 0.0021, 0)</f>
        <v>32.662099999999995</v>
      </c>
      <c r="D176" s="10">
        <f>32.66 * CHOOSE(CONTROL!$C$9, $D$9, 100%, $F$9) + CHOOSE(CONTROL!$C$27, 0.0021, 0)</f>
        <v>32.662099999999995</v>
      </c>
      <c r="E176" s="10">
        <f>32.5233 * CHOOSE(CONTROL!$C$9, $D$9, 100%, $F$9) + CHOOSE(CONTROL!$C$27, 0.0021, 0)</f>
        <v>32.525399999999998</v>
      </c>
      <c r="F176" s="10">
        <f>32.5233 * CHOOSE(CONTROL!$C$9, $D$9, 100%, $F$9) + CHOOSE(CONTROL!$C$27, 0.0021, 0)</f>
        <v>32.525399999999998</v>
      </c>
      <c r="G176" s="10">
        <f>32.7947 * CHOOSE(CONTROL!$C$9, $D$9, 100%, $F$9) + CHOOSE(CONTROL!$C$27, 0.0021, 0)</f>
        <v>32.796799999999998</v>
      </c>
      <c r="H176" s="10">
        <f>32.66 * CHOOSE(CONTROL!$C$9, $D$9, 100%, $F$9) + CHOOSE(CONTROL!$C$27, 0.0021, 0)</f>
        <v>32.662099999999995</v>
      </c>
      <c r="I176" s="10">
        <f>32.66 * CHOOSE(CONTROL!$C$9, $D$9, 100%, $F$9) + CHOOSE(CONTROL!$C$27, 0.0021, 0)</f>
        <v>32.662099999999995</v>
      </c>
      <c r="J176" s="10">
        <f>32.66 * CHOOSE(CONTROL!$C$9, $D$9, 100%, $F$9) + CHOOSE(CONTROL!$C$27, 0.0021, 0)</f>
        <v>32.662099999999995</v>
      </c>
      <c r="K176" s="10">
        <f>32.66 * CHOOSE(CONTROL!$C$9, $D$9, 100%, $F$9) + CHOOSE(CONTROL!$C$27, 0.0021, 0)</f>
        <v>32.662099999999995</v>
      </c>
      <c r="L176" s="10"/>
    </row>
    <row r="177" spans="1:12" ht="15" x14ac:dyDescent="0.2">
      <c r="A177" s="16">
        <v>46661</v>
      </c>
      <c r="B177" s="10">
        <f>33.8692 * CHOOSE(CONTROL!$C$9, $D$9, 100%, $F$9) + CHOOSE(CONTROL!$C$27, 0.0021, 0)</f>
        <v>33.871299999999998</v>
      </c>
      <c r="C177" s="10">
        <f>33.437 * CHOOSE(CONTROL!$C$9, $D$9, 100%, $F$9) + CHOOSE(CONTROL!$C$27, 0.0021, 0)</f>
        <v>33.439099999999996</v>
      </c>
      <c r="D177" s="10">
        <f>33.437 * CHOOSE(CONTROL!$C$9, $D$9, 100%, $F$9) + CHOOSE(CONTROL!$C$27, 0.0021, 0)</f>
        <v>33.439099999999996</v>
      </c>
      <c r="E177" s="10">
        <f>33.3003 * CHOOSE(CONTROL!$C$9, $D$9, 100%, $F$9) + CHOOSE(CONTROL!$C$27, 0.0021, 0)</f>
        <v>33.302399999999999</v>
      </c>
      <c r="F177" s="10">
        <f>33.3003 * CHOOSE(CONTROL!$C$9, $D$9, 100%, $F$9) + CHOOSE(CONTROL!$C$27, 0.0021, 0)</f>
        <v>33.302399999999999</v>
      </c>
      <c r="G177" s="10">
        <f>33.5717 * CHOOSE(CONTROL!$C$9, $D$9, 100%, $F$9) + CHOOSE(CONTROL!$C$27, 0.0021, 0)</f>
        <v>33.573799999999999</v>
      </c>
      <c r="H177" s="10">
        <f>33.437 * CHOOSE(CONTROL!$C$9, $D$9, 100%, $F$9) + CHOOSE(CONTROL!$C$27, 0.0021, 0)</f>
        <v>33.439099999999996</v>
      </c>
      <c r="I177" s="10">
        <f>33.437 * CHOOSE(CONTROL!$C$9, $D$9, 100%, $F$9) + CHOOSE(CONTROL!$C$27, 0.0021, 0)</f>
        <v>33.439099999999996</v>
      </c>
      <c r="J177" s="10">
        <f>33.437 * CHOOSE(CONTROL!$C$9, $D$9, 100%, $F$9) + CHOOSE(CONTROL!$C$27, 0.0021, 0)</f>
        <v>33.439099999999996</v>
      </c>
      <c r="K177" s="10">
        <f>33.437 * CHOOSE(CONTROL!$C$9, $D$9, 100%, $F$9) + CHOOSE(CONTROL!$C$27, 0.0021, 0)</f>
        <v>33.439099999999996</v>
      </c>
      <c r="L177" s="10"/>
    </row>
    <row r="178" spans="1:12" ht="15" x14ac:dyDescent="0.2">
      <c r="A178" s="16">
        <v>46692</v>
      </c>
      <c r="B178" s="10">
        <f>33.9422 * CHOOSE(CONTROL!$C$9, $D$9, 100%, $F$9) + CHOOSE(CONTROL!$C$27, 0.0021, 0)</f>
        <v>33.944299999999998</v>
      </c>
      <c r="C178" s="10">
        <f>33.5099 * CHOOSE(CONTROL!$C$9, $D$9, 100%, $F$9) + CHOOSE(CONTROL!$C$27, 0.0021, 0)</f>
        <v>33.512</v>
      </c>
      <c r="D178" s="10">
        <f>33.5099 * CHOOSE(CONTROL!$C$9, $D$9, 100%, $F$9) + CHOOSE(CONTROL!$C$27, 0.0021, 0)</f>
        <v>33.512</v>
      </c>
      <c r="E178" s="10">
        <f>33.3733 * CHOOSE(CONTROL!$C$9, $D$9, 100%, $F$9) + CHOOSE(CONTROL!$C$27, 0.0021, 0)</f>
        <v>33.375399999999999</v>
      </c>
      <c r="F178" s="10">
        <f>33.3733 * CHOOSE(CONTROL!$C$9, $D$9, 100%, $F$9) + CHOOSE(CONTROL!$C$27, 0.0021, 0)</f>
        <v>33.375399999999999</v>
      </c>
      <c r="G178" s="10">
        <f>33.6446 * CHOOSE(CONTROL!$C$9, $D$9, 100%, $F$9) + CHOOSE(CONTROL!$C$27, 0.0021, 0)</f>
        <v>33.646699999999996</v>
      </c>
      <c r="H178" s="10">
        <f>33.5099 * CHOOSE(CONTROL!$C$9, $D$9, 100%, $F$9) + CHOOSE(CONTROL!$C$27, 0.0021, 0)</f>
        <v>33.512</v>
      </c>
      <c r="I178" s="10">
        <f>33.5099 * CHOOSE(CONTROL!$C$9, $D$9, 100%, $F$9) + CHOOSE(CONTROL!$C$27, 0.0021, 0)</f>
        <v>33.512</v>
      </c>
      <c r="J178" s="10">
        <f>33.5099 * CHOOSE(CONTROL!$C$9, $D$9, 100%, $F$9) + CHOOSE(CONTROL!$C$27, 0.0021, 0)</f>
        <v>33.512</v>
      </c>
      <c r="K178" s="10">
        <f>33.5099 * CHOOSE(CONTROL!$C$9, $D$9, 100%, $F$9) + CHOOSE(CONTROL!$C$27, 0.0021, 0)</f>
        <v>33.512</v>
      </c>
      <c r="L178" s="10"/>
    </row>
    <row r="179" spans="1:12" ht="15" x14ac:dyDescent="0.2">
      <c r="A179" s="16">
        <v>46722</v>
      </c>
      <c r="B179" s="10">
        <f>33.3216 * CHOOSE(CONTROL!$C$9, $D$9, 100%, $F$9) + CHOOSE(CONTROL!$C$27, 0.0021, 0)</f>
        <v>33.323699999999995</v>
      </c>
      <c r="C179" s="10">
        <f>32.8893 * CHOOSE(CONTROL!$C$9, $D$9, 100%, $F$9) + CHOOSE(CONTROL!$C$27, 0.0021, 0)</f>
        <v>32.891399999999997</v>
      </c>
      <c r="D179" s="10">
        <f>32.8893 * CHOOSE(CONTROL!$C$9, $D$9, 100%, $F$9) + CHOOSE(CONTROL!$C$27, 0.0021, 0)</f>
        <v>32.891399999999997</v>
      </c>
      <c r="E179" s="10">
        <f>32.7527 * CHOOSE(CONTROL!$C$9, $D$9, 100%, $F$9) + CHOOSE(CONTROL!$C$27, 0.0021, 0)</f>
        <v>32.754799999999996</v>
      </c>
      <c r="F179" s="10">
        <f>32.7527 * CHOOSE(CONTROL!$C$9, $D$9, 100%, $F$9) + CHOOSE(CONTROL!$C$27, 0.0021, 0)</f>
        <v>32.754799999999996</v>
      </c>
      <c r="G179" s="10">
        <f>33.0241 * CHOOSE(CONTROL!$C$9, $D$9, 100%, $F$9) + CHOOSE(CONTROL!$C$27, 0.0021, 0)</f>
        <v>33.026199999999996</v>
      </c>
      <c r="H179" s="10">
        <f>32.8893 * CHOOSE(CONTROL!$C$9, $D$9, 100%, $F$9) + CHOOSE(CONTROL!$C$27, 0.0021, 0)</f>
        <v>32.891399999999997</v>
      </c>
      <c r="I179" s="10">
        <f>32.8893 * CHOOSE(CONTROL!$C$9, $D$9, 100%, $F$9) + CHOOSE(CONTROL!$C$27, 0.0021, 0)</f>
        <v>32.891399999999997</v>
      </c>
      <c r="J179" s="10">
        <f>32.8893 * CHOOSE(CONTROL!$C$9, $D$9, 100%, $F$9) + CHOOSE(CONTROL!$C$27, 0.0021, 0)</f>
        <v>32.891399999999997</v>
      </c>
      <c r="K179" s="10">
        <f>32.8893 * CHOOSE(CONTROL!$C$9, $D$9, 100%, $F$9) + CHOOSE(CONTROL!$C$27, 0.0021, 0)</f>
        <v>32.891399999999997</v>
      </c>
      <c r="L179" s="10"/>
    </row>
    <row r="180" spans="1:12" ht="15" x14ac:dyDescent="0.2">
      <c r="A180" s="16">
        <v>46753</v>
      </c>
      <c r="B180" s="10">
        <f>33.4267 * CHOOSE(CONTROL!$C$9, $D$9, 100%, $F$9) + CHOOSE(CONTROL!$C$27, 0.0021, 0)</f>
        <v>33.428799999999995</v>
      </c>
      <c r="C180" s="10">
        <f>32.9944 * CHOOSE(CONTROL!$C$9, $D$9, 100%, $F$9) + CHOOSE(CONTROL!$C$27, 0.0021, 0)</f>
        <v>32.996499999999997</v>
      </c>
      <c r="D180" s="10">
        <f>32.9944 * CHOOSE(CONTROL!$C$9, $D$9, 100%, $F$9) + CHOOSE(CONTROL!$C$27, 0.0021, 0)</f>
        <v>32.996499999999997</v>
      </c>
      <c r="E180" s="10">
        <f>32.8577 * CHOOSE(CONTROL!$C$9, $D$9, 100%, $F$9) + CHOOSE(CONTROL!$C$27, 0.0021, 0)</f>
        <v>32.8598</v>
      </c>
      <c r="F180" s="10">
        <f>32.8577 * CHOOSE(CONTROL!$C$9, $D$9, 100%, $F$9) + CHOOSE(CONTROL!$C$27, 0.0021, 0)</f>
        <v>32.8598</v>
      </c>
      <c r="G180" s="10">
        <f>33.1291 * CHOOSE(CONTROL!$C$9, $D$9, 100%, $F$9) + CHOOSE(CONTROL!$C$27, 0.0021, 0)</f>
        <v>33.1312</v>
      </c>
      <c r="H180" s="10">
        <f>32.9944 * CHOOSE(CONTROL!$C$9, $D$9, 100%, $F$9) + CHOOSE(CONTROL!$C$27, 0.0021, 0)</f>
        <v>32.996499999999997</v>
      </c>
      <c r="I180" s="10">
        <f>32.9944 * CHOOSE(CONTROL!$C$9, $D$9, 100%, $F$9) + CHOOSE(CONTROL!$C$27, 0.0021, 0)</f>
        <v>32.996499999999997</v>
      </c>
      <c r="J180" s="10">
        <f>32.9944 * CHOOSE(CONTROL!$C$9, $D$9, 100%, $F$9) + CHOOSE(CONTROL!$C$27, 0.0021, 0)</f>
        <v>32.996499999999997</v>
      </c>
      <c r="K180" s="10">
        <f>32.9944 * CHOOSE(CONTROL!$C$9, $D$9, 100%, $F$9) + CHOOSE(CONTROL!$C$27, 0.0021, 0)</f>
        <v>32.996499999999997</v>
      </c>
      <c r="L180" s="10"/>
    </row>
    <row r="181" spans="1:12" ht="15" x14ac:dyDescent="0.2">
      <c r="A181" s="16">
        <v>46784</v>
      </c>
      <c r="B181" s="10">
        <f>32.546 * CHOOSE(CONTROL!$C$9, $D$9, 100%, $F$9) + CHOOSE(CONTROL!$C$27, 0.0021, 0)</f>
        <v>32.548099999999998</v>
      </c>
      <c r="C181" s="10">
        <f>32.1138 * CHOOSE(CONTROL!$C$9, $D$9, 100%, $F$9) + CHOOSE(CONTROL!$C$27, 0.0021, 0)</f>
        <v>32.115899999999996</v>
      </c>
      <c r="D181" s="10">
        <f>32.1138 * CHOOSE(CONTROL!$C$9, $D$9, 100%, $F$9) + CHOOSE(CONTROL!$C$27, 0.0021, 0)</f>
        <v>32.115899999999996</v>
      </c>
      <c r="E181" s="10">
        <f>31.9771 * CHOOSE(CONTROL!$C$9, $D$9, 100%, $F$9) + CHOOSE(CONTROL!$C$27, 0.0021, 0)</f>
        <v>31.979199999999999</v>
      </c>
      <c r="F181" s="10">
        <f>31.9771 * CHOOSE(CONTROL!$C$9, $D$9, 100%, $F$9) + CHOOSE(CONTROL!$C$27, 0.0021, 0)</f>
        <v>31.979199999999999</v>
      </c>
      <c r="G181" s="10">
        <f>32.2485 * CHOOSE(CONTROL!$C$9, $D$9, 100%, $F$9) + CHOOSE(CONTROL!$C$27, 0.0021, 0)</f>
        <v>32.250599999999999</v>
      </c>
      <c r="H181" s="10">
        <f>32.1138 * CHOOSE(CONTROL!$C$9, $D$9, 100%, $F$9) + CHOOSE(CONTROL!$C$27, 0.0021, 0)</f>
        <v>32.115899999999996</v>
      </c>
      <c r="I181" s="10">
        <f>32.1138 * CHOOSE(CONTROL!$C$9, $D$9, 100%, $F$9) + CHOOSE(CONTROL!$C$27, 0.0021, 0)</f>
        <v>32.115899999999996</v>
      </c>
      <c r="J181" s="10">
        <f>32.1138 * CHOOSE(CONTROL!$C$9, $D$9, 100%, $F$9) + CHOOSE(CONTROL!$C$27, 0.0021, 0)</f>
        <v>32.115899999999996</v>
      </c>
      <c r="K181" s="10">
        <f>32.1138 * CHOOSE(CONTROL!$C$9, $D$9, 100%, $F$9) + CHOOSE(CONTROL!$C$27, 0.0021, 0)</f>
        <v>32.115899999999996</v>
      </c>
      <c r="L181" s="10"/>
    </row>
    <row r="182" spans="1:12" ht="15" x14ac:dyDescent="0.2">
      <c r="A182" s="16">
        <v>46813</v>
      </c>
      <c r="B182" s="10">
        <f>32.1825 * CHOOSE(CONTROL!$C$9, $D$9, 100%, $F$9) + CHOOSE(CONTROL!$C$27, 0.0021, 0)</f>
        <v>32.184599999999996</v>
      </c>
      <c r="C182" s="10">
        <f>31.7502 * CHOOSE(CONTROL!$C$9, $D$9, 100%, $F$9) + CHOOSE(CONTROL!$C$27, 0.0021, 0)</f>
        <v>31.752299999999998</v>
      </c>
      <c r="D182" s="10">
        <f>31.7502 * CHOOSE(CONTROL!$C$9, $D$9, 100%, $F$9) + CHOOSE(CONTROL!$C$27, 0.0021, 0)</f>
        <v>31.752299999999998</v>
      </c>
      <c r="E182" s="10">
        <f>31.6136 * CHOOSE(CONTROL!$C$9, $D$9, 100%, $F$9) + CHOOSE(CONTROL!$C$27, 0.0021, 0)</f>
        <v>31.6157</v>
      </c>
      <c r="F182" s="10">
        <f>31.6136 * CHOOSE(CONTROL!$C$9, $D$9, 100%, $F$9) + CHOOSE(CONTROL!$C$27, 0.0021, 0)</f>
        <v>31.6157</v>
      </c>
      <c r="G182" s="10">
        <f>31.8849 * CHOOSE(CONTROL!$C$9, $D$9, 100%, $F$9) + CHOOSE(CONTROL!$C$27, 0.0021, 0)</f>
        <v>31.886999999999997</v>
      </c>
      <c r="H182" s="10">
        <f>31.7502 * CHOOSE(CONTROL!$C$9, $D$9, 100%, $F$9) + CHOOSE(CONTROL!$C$27, 0.0021, 0)</f>
        <v>31.752299999999998</v>
      </c>
      <c r="I182" s="10">
        <f>31.7502 * CHOOSE(CONTROL!$C$9, $D$9, 100%, $F$9) + CHOOSE(CONTROL!$C$27, 0.0021, 0)</f>
        <v>31.752299999999998</v>
      </c>
      <c r="J182" s="10">
        <f>31.7502 * CHOOSE(CONTROL!$C$9, $D$9, 100%, $F$9) + CHOOSE(CONTROL!$C$27, 0.0021, 0)</f>
        <v>31.752299999999998</v>
      </c>
      <c r="K182" s="10">
        <f>31.7502 * CHOOSE(CONTROL!$C$9, $D$9, 100%, $F$9) + CHOOSE(CONTROL!$C$27, 0.0021, 0)</f>
        <v>31.752299999999998</v>
      </c>
      <c r="L182" s="10"/>
    </row>
    <row r="183" spans="1:12" ht="15" x14ac:dyDescent="0.2">
      <c r="A183" s="16">
        <v>46844</v>
      </c>
      <c r="B183" s="10">
        <f>31.7484 * CHOOSE(CONTROL!$C$9, $D$9, 100%, $F$9) + CHOOSE(CONTROL!$C$27, 0.0021, 0)</f>
        <v>31.750499999999999</v>
      </c>
      <c r="C183" s="10">
        <f>31.3162 * CHOOSE(CONTROL!$C$9, $D$9, 100%, $F$9) + CHOOSE(CONTROL!$C$27, 0.0021, 0)</f>
        <v>31.318299999999997</v>
      </c>
      <c r="D183" s="10">
        <f>31.3162 * CHOOSE(CONTROL!$C$9, $D$9, 100%, $F$9) + CHOOSE(CONTROL!$C$27, 0.0021, 0)</f>
        <v>31.318299999999997</v>
      </c>
      <c r="E183" s="10">
        <f>31.1795 * CHOOSE(CONTROL!$C$9, $D$9, 100%, $F$9) + CHOOSE(CONTROL!$C$27, 0.0021, 0)</f>
        <v>31.1816</v>
      </c>
      <c r="F183" s="10">
        <f>31.1795 * CHOOSE(CONTROL!$C$9, $D$9, 100%, $F$9) + CHOOSE(CONTROL!$C$27, 0.0021, 0)</f>
        <v>31.1816</v>
      </c>
      <c r="G183" s="10">
        <f>31.4509 * CHOOSE(CONTROL!$C$9, $D$9, 100%, $F$9) + CHOOSE(CONTROL!$C$27, 0.0021, 0)</f>
        <v>31.452999999999999</v>
      </c>
      <c r="H183" s="10">
        <f>31.3162 * CHOOSE(CONTROL!$C$9, $D$9, 100%, $F$9) + CHOOSE(CONTROL!$C$27, 0.0021, 0)</f>
        <v>31.318299999999997</v>
      </c>
      <c r="I183" s="10">
        <f>31.3162 * CHOOSE(CONTROL!$C$9, $D$9, 100%, $F$9) + CHOOSE(CONTROL!$C$27, 0.0021, 0)</f>
        <v>31.318299999999997</v>
      </c>
      <c r="J183" s="10">
        <f>31.3162 * CHOOSE(CONTROL!$C$9, $D$9, 100%, $F$9) + CHOOSE(CONTROL!$C$27, 0.0021, 0)</f>
        <v>31.318299999999997</v>
      </c>
      <c r="K183" s="10">
        <f>31.3162 * CHOOSE(CONTROL!$C$9, $D$9, 100%, $F$9) + CHOOSE(CONTROL!$C$27, 0.0021, 0)</f>
        <v>31.318299999999997</v>
      </c>
      <c r="L183" s="10"/>
    </row>
    <row r="184" spans="1:12" ht="15" x14ac:dyDescent="0.2">
      <c r="A184" s="16">
        <v>46874</v>
      </c>
      <c r="B184" s="10">
        <f>32.367 * CHOOSE(CONTROL!$C$9, $D$9, 100%, $F$9) + CHOOSE(CONTROL!$C$27, 0.0021, 0)</f>
        <v>32.369099999999996</v>
      </c>
      <c r="C184" s="10">
        <f>31.9348 * CHOOSE(CONTROL!$C$9, $D$9, 100%, $F$9) + CHOOSE(CONTROL!$C$27, 0.0021, 0)</f>
        <v>31.936899999999998</v>
      </c>
      <c r="D184" s="10">
        <f>31.9348 * CHOOSE(CONTROL!$C$9, $D$9, 100%, $F$9) + CHOOSE(CONTROL!$C$27, 0.0021, 0)</f>
        <v>31.936899999999998</v>
      </c>
      <c r="E184" s="10">
        <f>31.7981 * CHOOSE(CONTROL!$C$9, $D$9, 100%, $F$9) + CHOOSE(CONTROL!$C$27, 0.0021, 0)</f>
        <v>31.8002</v>
      </c>
      <c r="F184" s="10">
        <f>31.7981 * CHOOSE(CONTROL!$C$9, $D$9, 100%, $F$9) + CHOOSE(CONTROL!$C$27, 0.0021, 0)</f>
        <v>31.8002</v>
      </c>
      <c r="G184" s="10">
        <f>32.0695 * CHOOSE(CONTROL!$C$9, $D$9, 100%, $F$9) + CHOOSE(CONTROL!$C$27, 0.0021, 0)</f>
        <v>32.071599999999997</v>
      </c>
      <c r="H184" s="10">
        <f>31.9348 * CHOOSE(CONTROL!$C$9, $D$9, 100%, $F$9) + CHOOSE(CONTROL!$C$27, 0.0021, 0)</f>
        <v>31.936899999999998</v>
      </c>
      <c r="I184" s="10">
        <f>31.9348 * CHOOSE(CONTROL!$C$9, $D$9, 100%, $F$9) + CHOOSE(CONTROL!$C$27, 0.0021, 0)</f>
        <v>31.936899999999998</v>
      </c>
      <c r="J184" s="10">
        <f>31.9348 * CHOOSE(CONTROL!$C$9, $D$9, 100%, $F$9) + CHOOSE(CONTROL!$C$27, 0.0021, 0)</f>
        <v>31.936899999999998</v>
      </c>
      <c r="K184" s="10">
        <f>31.9348 * CHOOSE(CONTROL!$C$9, $D$9, 100%, $F$9) + CHOOSE(CONTROL!$C$27, 0.0021, 0)</f>
        <v>31.936899999999998</v>
      </c>
      <c r="L184" s="10"/>
    </row>
    <row r="185" spans="1:12" ht="15" x14ac:dyDescent="0.2">
      <c r="A185" s="16">
        <v>46905</v>
      </c>
      <c r="B185" s="10">
        <f>32.7375 * CHOOSE(CONTROL!$C$9, $D$9, 100%, $F$9) + CHOOSE(CONTROL!$C$27, 0.0021, 0)</f>
        <v>32.739599999999996</v>
      </c>
      <c r="C185" s="10">
        <f>32.3053 * CHOOSE(CONTROL!$C$9, $D$9, 100%, $F$9) + CHOOSE(CONTROL!$C$27, 0.0021, 0)</f>
        <v>32.307400000000001</v>
      </c>
      <c r="D185" s="10">
        <f>32.3053 * CHOOSE(CONTROL!$C$9, $D$9, 100%, $F$9) + CHOOSE(CONTROL!$C$27, 0.0021, 0)</f>
        <v>32.307400000000001</v>
      </c>
      <c r="E185" s="10">
        <f>32.1686 * CHOOSE(CONTROL!$C$9, $D$9, 100%, $F$9) + CHOOSE(CONTROL!$C$27, 0.0021, 0)</f>
        <v>32.170699999999997</v>
      </c>
      <c r="F185" s="10">
        <f>32.1686 * CHOOSE(CONTROL!$C$9, $D$9, 100%, $F$9) + CHOOSE(CONTROL!$C$27, 0.0021, 0)</f>
        <v>32.170699999999997</v>
      </c>
      <c r="G185" s="10">
        <f>32.44 * CHOOSE(CONTROL!$C$9, $D$9, 100%, $F$9) + CHOOSE(CONTROL!$C$27, 0.0021, 0)</f>
        <v>32.442099999999996</v>
      </c>
      <c r="H185" s="10">
        <f>32.3053 * CHOOSE(CONTROL!$C$9, $D$9, 100%, $F$9) + CHOOSE(CONTROL!$C$27, 0.0021, 0)</f>
        <v>32.307400000000001</v>
      </c>
      <c r="I185" s="10">
        <f>32.3053 * CHOOSE(CONTROL!$C$9, $D$9, 100%, $F$9) + CHOOSE(CONTROL!$C$27, 0.0021, 0)</f>
        <v>32.307400000000001</v>
      </c>
      <c r="J185" s="10">
        <f>32.3053 * CHOOSE(CONTROL!$C$9, $D$9, 100%, $F$9) + CHOOSE(CONTROL!$C$27, 0.0021, 0)</f>
        <v>32.307400000000001</v>
      </c>
      <c r="K185" s="10">
        <f>32.3053 * CHOOSE(CONTROL!$C$9, $D$9, 100%, $F$9) + CHOOSE(CONTROL!$C$27, 0.0021, 0)</f>
        <v>32.307400000000001</v>
      </c>
      <c r="L185" s="10"/>
    </row>
    <row r="186" spans="1:12" ht="15" x14ac:dyDescent="0.2">
      <c r="A186" s="16">
        <v>46935</v>
      </c>
      <c r="B186" s="10">
        <f>33.3487 * CHOOSE(CONTROL!$C$9, $D$9, 100%, $F$9) + CHOOSE(CONTROL!$C$27, 0.0021, 0)</f>
        <v>33.3508</v>
      </c>
      <c r="C186" s="10">
        <f>32.9165 * CHOOSE(CONTROL!$C$9, $D$9, 100%, $F$9) + CHOOSE(CONTROL!$C$27, 0.0021, 0)</f>
        <v>32.918599999999998</v>
      </c>
      <c r="D186" s="10">
        <f>32.9165 * CHOOSE(CONTROL!$C$9, $D$9, 100%, $F$9) + CHOOSE(CONTROL!$C$27, 0.0021, 0)</f>
        <v>32.918599999999998</v>
      </c>
      <c r="E186" s="10">
        <f>32.7798 * CHOOSE(CONTROL!$C$9, $D$9, 100%, $F$9) + CHOOSE(CONTROL!$C$27, 0.0021, 0)</f>
        <v>32.7819</v>
      </c>
      <c r="F186" s="10">
        <f>32.7798 * CHOOSE(CONTROL!$C$9, $D$9, 100%, $F$9) + CHOOSE(CONTROL!$C$27, 0.0021, 0)</f>
        <v>32.7819</v>
      </c>
      <c r="G186" s="10">
        <f>33.0512 * CHOOSE(CONTROL!$C$9, $D$9, 100%, $F$9) + CHOOSE(CONTROL!$C$27, 0.0021, 0)</f>
        <v>33.0533</v>
      </c>
      <c r="H186" s="10">
        <f>32.9165 * CHOOSE(CONTROL!$C$9, $D$9, 100%, $F$9) + CHOOSE(CONTROL!$C$27, 0.0021, 0)</f>
        <v>32.918599999999998</v>
      </c>
      <c r="I186" s="10">
        <f>32.9165 * CHOOSE(CONTROL!$C$9, $D$9, 100%, $F$9) + CHOOSE(CONTROL!$C$27, 0.0021, 0)</f>
        <v>32.918599999999998</v>
      </c>
      <c r="J186" s="10">
        <f>32.9165 * CHOOSE(CONTROL!$C$9, $D$9, 100%, $F$9) + CHOOSE(CONTROL!$C$27, 0.0021, 0)</f>
        <v>32.918599999999998</v>
      </c>
      <c r="K186" s="10">
        <f>32.9165 * CHOOSE(CONTROL!$C$9, $D$9, 100%, $F$9) + CHOOSE(CONTROL!$C$27, 0.0021, 0)</f>
        <v>32.918599999999998</v>
      </c>
      <c r="L186" s="10"/>
    </row>
    <row r="187" spans="1:12" ht="15" x14ac:dyDescent="0.2">
      <c r="A187" s="16">
        <v>46966</v>
      </c>
      <c r="B187" s="10">
        <f>33.5353 * CHOOSE(CONTROL!$C$9, $D$9, 100%, $F$9) + CHOOSE(CONTROL!$C$27, 0.0021, 0)</f>
        <v>33.537399999999998</v>
      </c>
      <c r="C187" s="10">
        <f>33.103 * CHOOSE(CONTROL!$C$9, $D$9, 100%, $F$9) + CHOOSE(CONTROL!$C$27, 0.0021, 0)</f>
        <v>33.1051</v>
      </c>
      <c r="D187" s="10">
        <f>33.103 * CHOOSE(CONTROL!$C$9, $D$9, 100%, $F$9) + CHOOSE(CONTROL!$C$27, 0.0021, 0)</f>
        <v>33.1051</v>
      </c>
      <c r="E187" s="10">
        <f>32.9664 * CHOOSE(CONTROL!$C$9, $D$9, 100%, $F$9) + CHOOSE(CONTROL!$C$27, 0.0021, 0)</f>
        <v>32.968499999999999</v>
      </c>
      <c r="F187" s="10">
        <f>32.9664 * CHOOSE(CONTROL!$C$9, $D$9, 100%, $F$9) + CHOOSE(CONTROL!$C$27, 0.0021, 0)</f>
        <v>32.968499999999999</v>
      </c>
      <c r="G187" s="10">
        <f>33.2378 * CHOOSE(CONTROL!$C$9, $D$9, 100%, $F$9) + CHOOSE(CONTROL!$C$27, 0.0021, 0)</f>
        <v>33.239899999999999</v>
      </c>
      <c r="H187" s="10">
        <f>33.103 * CHOOSE(CONTROL!$C$9, $D$9, 100%, $F$9) + CHOOSE(CONTROL!$C$27, 0.0021, 0)</f>
        <v>33.1051</v>
      </c>
      <c r="I187" s="10">
        <f>33.103 * CHOOSE(CONTROL!$C$9, $D$9, 100%, $F$9) + CHOOSE(CONTROL!$C$27, 0.0021, 0)</f>
        <v>33.1051</v>
      </c>
      <c r="J187" s="10">
        <f>33.103 * CHOOSE(CONTROL!$C$9, $D$9, 100%, $F$9) + CHOOSE(CONTROL!$C$27, 0.0021, 0)</f>
        <v>33.1051</v>
      </c>
      <c r="K187" s="10">
        <f>33.103 * CHOOSE(CONTROL!$C$9, $D$9, 100%, $F$9) + CHOOSE(CONTROL!$C$27, 0.0021, 0)</f>
        <v>33.1051</v>
      </c>
      <c r="L187" s="10"/>
    </row>
    <row r="188" spans="1:12" ht="15" x14ac:dyDescent="0.2">
      <c r="A188" s="16">
        <v>46997</v>
      </c>
      <c r="B188" s="10">
        <f>34.1706 * CHOOSE(CONTROL!$C$9, $D$9, 100%, $F$9) + CHOOSE(CONTROL!$C$27, 0.0021, 0)</f>
        <v>34.172699999999999</v>
      </c>
      <c r="C188" s="10">
        <f>33.7384 * CHOOSE(CONTROL!$C$9, $D$9, 100%, $F$9) + CHOOSE(CONTROL!$C$27, 0.0021, 0)</f>
        <v>33.740499999999997</v>
      </c>
      <c r="D188" s="10">
        <f>33.7384 * CHOOSE(CONTROL!$C$9, $D$9, 100%, $F$9) + CHOOSE(CONTROL!$C$27, 0.0021, 0)</f>
        <v>33.740499999999997</v>
      </c>
      <c r="E188" s="10">
        <f>33.6017 * CHOOSE(CONTROL!$C$9, $D$9, 100%, $F$9) + CHOOSE(CONTROL!$C$27, 0.0021, 0)</f>
        <v>33.6038</v>
      </c>
      <c r="F188" s="10">
        <f>33.6017 * CHOOSE(CONTROL!$C$9, $D$9, 100%, $F$9) + CHOOSE(CONTROL!$C$27, 0.0021, 0)</f>
        <v>33.6038</v>
      </c>
      <c r="G188" s="10">
        <f>33.8731 * CHOOSE(CONTROL!$C$9, $D$9, 100%, $F$9) + CHOOSE(CONTROL!$C$27, 0.0021, 0)</f>
        <v>33.8752</v>
      </c>
      <c r="H188" s="10">
        <f>33.7384 * CHOOSE(CONTROL!$C$9, $D$9, 100%, $F$9) + CHOOSE(CONTROL!$C$27, 0.0021, 0)</f>
        <v>33.740499999999997</v>
      </c>
      <c r="I188" s="10">
        <f>33.7384 * CHOOSE(CONTROL!$C$9, $D$9, 100%, $F$9) + CHOOSE(CONTROL!$C$27, 0.0021, 0)</f>
        <v>33.740499999999997</v>
      </c>
      <c r="J188" s="10">
        <f>33.7384 * CHOOSE(CONTROL!$C$9, $D$9, 100%, $F$9) + CHOOSE(CONTROL!$C$27, 0.0021, 0)</f>
        <v>33.740499999999997</v>
      </c>
      <c r="K188" s="10">
        <f>33.7384 * CHOOSE(CONTROL!$C$9, $D$9, 100%, $F$9) + CHOOSE(CONTROL!$C$27, 0.0021, 0)</f>
        <v>33.740499999999997</v>
      </c>
      <c r="L188" s="10"/>
    </row>
    <row r="189" spans="1:12" ht="15" x14ac:dyDescent="0.2">
      <c r="A189" s="16">
        <v>47027</v>
      </c>
      <c r="B189" s="10">
        <f>34.9748 * CHOOSE(CONTROL!$C$9, $D$9, 100%, $F$9) + CHOOSE(CONTROL!$C$27, 0.0021, 0)</f>
        <v>34.976900000000001</v>
      </c>
      <c r="C189" s="10">
        <f>34.5426 * CHOOSE(CONTROL!$C$9, $D$9, 100%, $F$9) + CHOOSE(CONTROL!$C$27, 0.0021, 0)</f>
        <v>34.544699999999999</v>
      </c>
      <c r="D189" s="10">
        <f>34.5426 * CHOOSE(CONTROL!$C$9, $D$9, 100%, $F$9) + CHOOSE(CONTROL!$C$27, 0.0021, 0)</f>
        <v>34.544699999999999</v>
      </c>
      <c r="E189" s="10">
        <f>34.4059 * CHOOSE(CONTROL!$C$9, $D$9, 100%, $F$9) + CHOOSE(CONTROL!$C$27, 0.0021, 0)</f>
        <v>34.408000000000001</v>
      </c>
      <c r="F189" s="10">
        <f>34.4059 * CHOOSE(CONTROL!$C$9, $D$9, 100%, $F$9) + CHOOSE(CONTROL!$C$27, 0.0021, 0)</f>
        <v>34.408000000000001</v>
      </c>
      <c r="G189" s="10">
        <f>34.6773 * CHOOSE(CONTROL!$C$9, $D$9, 100%, $F$9) + CHOOSE(CONTROL!$C$27, 0.0021, 0)</f>
        <v>34.679400000000001</v>
      </c>
      <c r="H189" s="10">
        <f>34.5426 * CHOOSE(CONTROL!$C$9, $D$9, 100%, $F$9) + CHOOSE(CONTROL!$C$27, 0.0021, 0)</f>
        <v>34.544699999999999</v>
      </c>
      <c r="I189" s="10">
        <f>34.5426 * CHOOSE(CONTROL!$C$9, $D$9, 100%, $F$9) + CHOOSE(CONTROL!$C$27, 0.0021, 0)</f>
        <v>34.544699999999999</v>
      </c>
      <c r="J189" s="10">
        <f>34.5426 * CHOOSE(CONTROL!$C$9, $D$9, 100%, $F$9) + CHOOSE(CONTROL!$C$27, 0.0021, 0)</f>
        <v>34.544699999999999</v>
      </c>
      <c r="K189" s="10">
        <f>34.5426 * CHOOSE(CONTROL!$C$9, $D$9, 100%, $F$9) + CHOOSE(CONTROL!$C$27, 0.0021, 0)</f>
        <v>34.544699999999999</v>
      </c>
      <c r="L189" s="10"/>
    </row>
    <row r="190" spans="1:12" ht="15" x14ac:dyDescent="0.2">
      <c r="A190" s="16">
        <v>47058</v>
      </c>
      <c r="B190" s="10">
        <f>35.0503 * CHOOSE(CONTROL!$C$9, $D$9, 100%, $F$9) + CHOOSE(CONTROL!$C$27, 0.0021, 0)</f>
        <v>35.052399999999999</v>
      </c>
      <c r="C190" s="10">
        <f>34.6181 * CHOOSE(CONTROL!$C$9, $D$9, 100%, $F$9) + CHOOSE(CONTROL!$C$27, 0.0021, 0)</f>
        <v>34.620199999999997</v>
      </c>
      <c r="D190" s="10">
        <f>34.6181 * CHOOSE(CONTROL!$C$9, $D$9, 100%, $F$9) + CHOOSE(CONTROL!$C$27, 0.0021, 0)</f>
        <v>34.620199999999997</v>
      </c>
      <c r="E190" s="10">
        <f>34.4814 * CHOOSE(CONTROL!$C$9, $D$9, 100%, $F$9) + CHOOSE(CONTROL!$C$27, 0.0021, 0)</f>
        <v>34.483499999999999</v>
      </c>
      <c r="F190" s="10">
        <f>34.4814 * CHOOSE(CONTROL!$C$9, $D$9, 100%, $F$9) + CHOOSE(CONTROL!$C$27, 0.0021, 0)</f>
        <v>34.483499999999999</v>
      </c>
      <c r="G190" s="10">
        <f>34.7528 * CHOOSE(CONTROL!$C$9, $D$9, 100%, $F$9) + CHOOSE(CONTROL!$C$27, 0.0021, 0)</f>
        <v>34.754899999999999</v>
      </c>
      <c r="H190" s="10">
        <f>34.6181 * CHOOSE(CONTROL!$C$9, $D$9, 100%, $F$9) + CHOOSE(CONTROL!$C$27, 0.0021, 0)</f>
        <v>34.620199999999997</v>
      </c>
      <c r="I190" s="10">
        <f>34.6181 * CHOOSE(CONTROL!$C$9, $D$9, 100%, $F$9) + CHOOSE(CONTROL!$C$27, 0.0021, 0)</f>
        <v>34.620199999999997</v>
      </c>
      <c r="J190" s="10">
        <f>34.6181 * CHOOSE(CONTROL!$C$9, $D$9, 100%, $F$9) + CHOOSE(CONTROL!$C$27, 0.0021, 0)</f>
        <v>34.620199999999997</v>
      </c>
      <c r="K190" s="10">
        <f>34.6181 * CHOOSE(CONTROL!$C$9, $D$9, 100%, $F$9) + CHOOSE(CONTROL!$C$27, 0.0021, 0)</f>
        <v>34.620199999999997</v>
      </c>
      <c r="L190" s="10"/>
    </row>
    <row r="191" spans="1:12" ht="15" x14ac:dyDescent="0.2">
      <c r="A191" s="16">
        <v>47088</v>
      </c>
      <c r="B191" s="10">
        <f>34.408 * CHOOSE(CONTROL!$C$9, $D$9, 100%, $F$9) + CHOOSE(CONTROL!$C$27, 0.0021, 0)</f>
        <v>34.4101</v>
      </c>
      <c r="C191" s="10">
        <f>33.9758 * CHOOSE(CONTROL!$C$9, $D$9, 100%, $F$9) + CHOOSE(CONTROL!$C$27, 0.0021, 0)</f>
        <v>33.977899999999998</v>
      </c>
      <c r="D191" s="10">
        <f>33.9758 * CHOOSE(CONTROL!$C$9, $D$9, 100%, $F$9) + CHOOSE(CONTROL!$C$27, 0.0021, 0)</f>
        <v>33.977899999999998</v>
      </c>
      <c r="E191" s="10">
        <f>33.8391 * CHOOSE(CONTROL!$C$9, $D$9, 100%, $F$9) + CHOOSE(CONTROL!$C$27, 0.0021, 0)</f>
        <v>33.841200000000001</v>
      </c>
      <c r="F191" s="10">
        <f>33.8391 * CHOOSE(CONTROL!$C$9, $D$9, 100%, $F$9) + CHOOSE(CONTROL!$C$27, 0.0021, 0)</f>
        <v>33.841200000000001</v>
      </c>
      <c r="G191" s="10">
        <f>34.1105 * CHOOSE(CONTROL!$C$9, $D$9, 100%, $F$9) + CHOOSE(CONTROL!$C$27, 0.0021, 0)</f>
        <v>34.1126</v>
      </c>
      <c r="H191" s="10">
        <f>33.9758 * CHOOSE(CONTROL!$C$9, $D$9, 100%, $F$9) + CHOOSE(CONTROL!$C$27, 0.0021, 0)</f>
        <v>33.977899999999998</v>
      </c>
      <c r="I191" s="10">
        <f>33.9758 * CHOOSE(CONTROL!$C$9, $D$9, 100%, $F$9) + CHOOSE(CONTROL!$C$27, 0.0021, 0)</f>
        <v>33.977899999999998</v>
      </c>
      <c r="J191" s="10">
        <f>33.9758 * CHOOSE(CONTROL!$C$9, $D$9, 100%, $F$9) + CHOOSE(CONTROL!$C$27, 0.0021, 0)</f>
        <v>33.977899999999998</v>
      </c>
      <c r="K191" s="10">
        <f>33.9758 * CHOOSE(CONTROL!$C$9, $D$9, 100%, $F$9) + CHOOSE(CONTROL!$C$27, 0.0021, 0)</f>
        <v>33.977899999999998</v>
      </c>
      <c r="L191" s="10"/>
    </row>
    <row r="192" spans="1:12" ht="15" x14ac:dyDescent="0.2">
      <c r="A192" s="16">
        <v>47119</v>
      </c>
      <c r="B192" s="10">
        <f>34.5211 * CHOOSE(CONTROL!$C$9, $D$9, 100%, $F$9) + CHOOSE(CONTROL!$C$27, 0.0021, 0)</f>
        <v>34.523199999999996</v>
      </c>
      <c r="C192" s="10">
        <f>34.0889 * CHOOSE(CONTROL!$C$9, $D$9, 100%, $F$9) + CHOOSE(CONTROL!$C$27, 0.0021, 0)</f>
        <v>34.091000000000001</v>
      </c>
      <c r="D192" s="10">
        <f>34.0889 * CHOOSE(CONTROL!$C$9, $D$9, 100%, $F$9) + CHOOSE(CONTROL!$C$27, 0.0021, 0)</f>
        <v>34.091000000000001</v>
      </c>
      <c r="E192" s="10">
        <f>33.9522 * CHOOSE(CONTROL!$C$9, $D$9, 100%, $F$9) + CHOOSE(CONTROL!$C$27, 0.0021, 0)</f>
        <v>33.954299999999996</v>
      </c>
      <c r="F192" s="10">
        <f>33.9522 * CHOOSE(CONTROL!$C$9, $D$9, 100%, $F$9) + CHOOSE(CONTROL!$C$27, 0.0021, 0)</f>
        <v>33.954299999999996</v>
      </c>
      <c r="G192" s="10">
        <f>34.2236 * CHOOSE(CONTROL!$C$9, $D$9, 100%, $F$9) + CHOOSE(CONTROL!$C$27, 0.0021, 0)</f>
        <v>34.225699999999996</v>
      </c>
      <c r="H192" s="10">
        <f>34.0889 * CHOOSE(CONTROL!$C$9, $D$9, 100%, $F$9) + CHOOSE(CONTROL!$C$27, 0.0021, 0)</f>
        <v>34.091000000000001</v>
      </c>
      <c r="I192" s="10">
        <f>34.0889 * CHOOSE(CONTROL!$C$9, $D$9, 100%, $F$9) + CHOOSE(CONTROL!$C$27, 0.0021, 0)</f>
        <v>34.091000000000001</v>
      </c>
      <c r="J192" s="10">
        <f>34.0889 * CHOOSE(CONTROL!$C$9, $D$9, 100%, $F$9) + CHOOSE(CONTROL!$C$27, 0.0021, 0)</f>
        <v>34.091000000000001</v>
      </c>
      <c r="K192" s="10">
        <f>34.0889 * CHOOSE(CONTROL!$C$9, $D$9, 100%, $F$9) + CHOOSE(CONTROL!$C$27, 0.0021, 0)</f>
        <v>34.091000000000001</v>
      </c>
      <c r="L192" s="10"/>
    </row>
    <row r="193" spans="1:12" ht="15" x14ac:dyDescent="0.2">
      <c r="A193" s="16">
        <v>47150</v>
      </c>
      <c r="B193" s="10">
        <f>33.6095 * CHOOSE(CONTROL!$C$9, $D$9, 100%, $F$9) + CHOOSE(CONTROL!$C$27, 0.0021, 0)</f>
        <v>33.611599999999996</v>
      </c>
      <c r="C193" s="10">
        <f>33.1773 * CHOOSE(CONTROL!$C$9, $D$9, 100%, $F$9) + CHOOSE(CONTROL!$C$27, 0.0021, 0)</f>
        <v>33.179400000000001</v>
      </c>
      <c r="D193" s="10">
        <f>33.1773 * CHOOSE(CONTROL!$C$9, $D$9, 100%, $F$9) + CHOOSE(CONTROL!$C$27, 0.0021, 0)</f>
        <v>33.179400000000001</v>
      </c>
      <c r="E193" s="10">
        <f>33.0406 * CHOOSE(CONTROL!$C$9, $D$9, 100%, $F$9) + CHOOSE(CONTROL!$C$27, 0.0021, 0)</f>
        <v>33.042699999999996</v>
      </c>
      <c r="F193" s="10">
        <f>33.0406 * CHOOSE(CONTROL!$C$9, $D$9, 100%, $F$9) + CHOOSE(CONTROL!$C$27, 0.0021, 0)</f>
        <v>33.042699999999996</v>
      </c>
      <c r="G193" s="10">
        <f>33.312 * CHOOSE(CONTROL!$C$9, $D$9, 100%, $F$9) + CHOOSE(CONTROL!$C$27, 0.0021, 0)</f>
        <v>33.314099999999996</v>
      </c>
      <c r="H193" s="10">
        <f>33.1773 * CHOOSE(CONTROL!$C$9, $D$9, 100%, $F$9) + CHOOSE(CONTROL!$C$27, 0.0021, 0)</f>
        <v>33.179400000000001</v>
      </c>
      <c r="I193" s="10">
        <f>33.1773 * CHOOSE(CONTROL!$C$9, $D$9, 100%, $F$9) + CHOOSE(CONTROL!$C$27, 0.0021, 0)</f>
        <v>33.179400000000001</v>
      </c>
      <c r="J193" s="10">
        <f>33.1773 * CHOOSE(CONTROL!$C$9, $D$9, 100%, $F$9) + CHOOSE(CONTROL!$C$27, 0.0021, 0)</f>
        <v>33.179400000000001</v>
      </c>
      <c r="K193" s="10">
        <f>33.1773 * CHOOSE(CONTROL!$C$9, $D$9, 100%, $F$9) + CHOOSE(CONTROL!$C$27, 0.0021, 0)</f>
        <v>33.179400000000001</v>
      </c>
      <c r="L193" s="10"/>
    </row>
    <row r="194" spans="1:12" ht="15" x14ac:dyDescent="0.2">
      <c r="A194" s="16">
        <v>47178</v>
      </c>
      <c r="B194" s="10">
        <f>33.2332 * CHOOSE(CONTROL!$C$9, $D$9, 100%, $F$9) + CHOOSE(CONTROL!$C$27, 0.0021, 0)</f>
        <v>33.235299999999995</v>
      </c>
      <c r="C194" s="10">
        <f>32.8009 * CHOOSE(CONTROL!$C$9, $D$9, 100%, $F$9) + CHOOSE(CONTROL!$C$27, 0.0021, 0)</f>
        <v>32.802999999999997</v>
      </c>
      <c r="D194" s="10">
        <f>32.8009 * CHOOSE(CONTROL!$C$9, $D$9, 100%, $F$9) + CHOOSE(CONTROL!$C$27, 0.0021, 0)</f>
        <v>32.802999999999997</v>
      </c>
      <c r="E194" s="10">
        <f>32.6643 * CHOOSE(CONTROL!$C$9, $D$9, 100%, $F$9) + CHOOSE(CONTROL!$C$27, 0.0021, 0)</f>
        <v>32.666399999999996</v>
      </c>
      <c r="F194" s="10">
        <f>32.6643 * CHOOSE(CONTROL!$C$9, $D$9, 100%, $F$9) + CHOOSE(CONTROL!$C$27, 0.0021, 0)</f>
        <v>32.666399999999996</v>
      </c>
      <c r="G194" s="10">
        <f>32.9357 * CHOOSE(CONTROL!$C$9, $D$9, 100%, $F$9) + CHOOSE(CONTROL!$C$27, 0.0021, 0)</f>
        <v>32.937799999999996</v>
      </c>
      <c r="H194" s="10">
        <f>32.8009 * CHOOSE(CONTROL!$C$9, $D$9, 100%, $F$9) + CHOOSE(CONTROL!$C$27, 0.0021, 0)</f>
        <v>32.802999999999997</v>
      </c>
      <c r="I194" s="10">
        <f>32.8009 * CHOOSE(CONTROL!$C$9, $D$9, 100%, $F$9) + CHOOSE(CONTROL!$C$27, 0.0021, 0)</f>
        <v>32.802999999999997</v>
      </c>
      <c r="J194" s="10">
        <f>32.8009 * CHOOSE(CONTROL!$C$9, $D$9, 100%, $F$9) + CHOOSE(CONTROL!$C$27, 0.0021, 0)</f>
        <v>32.802999999999997</v>
      </c>
      <c r="K194" s="10">
        <f>32.8009 * CHOOSE(CONTROL!$C$9, $D$9, 100%, $F$9) + CHOOSE(CONTROL!$C$27, 0.0021, 0)</f>
        <v>32.802999999999997</v>
      </c>
      <c r="L194" s="10"/>
    </row>
    <row r="195" spans="1:12" ht="15" x14ac:dyDescent="0.2">
      <c r="A195" s="16">
        <v>47209</v>
      </c>
      <c r="B195" s="10">
        <f>32.7839 * CHOOSE(CONTROL!$C$9, $D$9, 100%, $F$9) + CHOOSE(CONTROL!$C$27, 0.0021, 0)</f>
        <v>32.786000000000001</v>
      </c>
      <c r="C195" s="10">
        <f>32.3516 * CHOOSE(CONTROL!$C$9, $D$9, 100%, $F$9) + CHOOSE(CONTROL!$C$27, 0.0021, 0)</f>
        <v>32.353699999999996</v>
      </c>
      <c r="D195" s="10">
        <f>32.3516 * CHOOSE(CONTROL!$C$9, $D$9, 100%, $F$9) + CHOOSE(CONTROL!$C$27, 0.0021, 0)</f>
        <v>32.353699999999996</v>
      </c>
      <c r="E195" s="10">
        <f>32.215 * CHOOSE(CONTROL!$C$9, $D$9, 100%, $F$9) + CHOOSE(CONTROL!$C$27, 0.0021, 0)</f>
        <v>32.217100000000002</v>
      </c>
      <c r="F195" s="10">
        <f>32.215 * CHOOSE(CONTROL!$C$9, $D$9, 100%, $F$9) + CHOOSE(CONTROL!$C$27, 0.0021, 0)</f>
        <v>32.217100000000002</v>
      </c>
      <c r="G195" s="10">
        <f>32.4863 * CHOOSE(CONTROL!$C$9, $D$9, 100%, $F$9) + CHOOSE(CONTROL!$C$27, 0.0021, 0)</f>
        <v>32.488399999999999</v>
      </c>
      <c r="H195" s="10">
        <f>32.3516 * CHOOSE(CONTROL!$C$9, $D$9, 100%, $F$9) + CHOOSE(CONTROL!$C$27, 0.0021, 0)</f>
        <v>32.353699999999996</v>
      </c>
      <c r="I195" s="10">
        <f>32.3516 * CHOOSE(CONTROL!$C$9, $D$9, 100%, $F$9) + CHOOSE(CONTROL!$C$27, 0.0021, 0)</f>
        <v>32.353699999999996</v>
      </c>
      <c r="J195" s="10">
        <f>32.3516 * CHOOSE(CONTROL!$C$9, $D$9, 100%, $F$9) + CHOOSE(CONTROL!$C$27, 0.0021, 0)</f>
        <v>32.353699999999996</v>
      </c>
      <c r="K195" s="10">
        <f>32.3516 * CHOOSE(CONTROL!$C$9, $D$9, 100%, $F$9) + CHOOSE(CONTROL!$C$27, 0.0021, 0)</f>
        <v>32.353699999999996</v>
      </c>
      <c r="L195" s="10"/>
    </row>
    <row r="196" spans="1:12" ht="15" x14ac:dyDescent="0.2">
      <c r="A196" s="16">
        <v>47239</v>
      </c>
      <c r="B196" s="10">
        <f>33.4242 * CHOOSE(CONTROL!$C$9, $D$9, 100%, $F$9) + CHOOSE(CONTROL!$C$27, 0.0021, 0)</f>
        <v>33.426299999999998</v>
      </c>
      <c r="C196" s="10">
        <f>32.992 * CHOOSE(CONTROL!$C$9, $D$9, 100%, $F$9) + CHOOSE(CONTROL!$C$27, 0.0021, 0)</f>
        <v>32.994099999999996</v>
      </c>
      <c r="D196" s="10">
        <f>32.992 * CHOOSE(CONTROL!$C$9, $D$9, 100%, $F$9) + CHOOSE(CONTROL!$C$27, 0.0021, 0)</f>
        <v>32.994099999999996</v>
      </c>
      <c r="E196" s="10">
        <f>32.8553 * CHOOSE(CONTROL!$C$9, $D$9, 100%, $F$9) + CHOOSE(CONTROL!$C$27, 0.0021, 0)</f>
        <v>32.857399999999998</v>
      </c>
      <c r="F196" s="10">
        <f>32.8553 * CHOOSE(CONTROL!$C$9, $D$9, 100%, $F$9) + CHOOSE(CONTROL!$C$27, 0.0021, 0)</f>
        <v>32.857399999999998</v>
      </c>
      <c r="G196" s="10">
        <f>33.1267 * CHOOSE(CONTROL!$C$9, $D$9, 100%, $F$9) + CHOOSE(CONTROL!$C$27, 0.0021, 0)</f>
        <v>33.128799999999998</v>
      </c>
      <c r="H196" s="10">
        <f>32.992 * CHOOSE(CONTROL!$C$9, $D$9, 100%, $F$9) + CHOOSE(CONTROL!$C$27, 0.0021, 0)</f>
        <v>32.994099999999996</v>
      </c>
      <c r="I196" s="10">
        <f>32.992 * CHOOSE(CONTROL!$C$9, $D$9, 100%, $F$9) + CHOOSE(CONTROL!$C$27, 0.0021, 0)</f>
        <v>32.994099999999996</v>
      </c>
      <c r="J196" s="10">
        <f>32.992 * CHOOSE(CONTROL!$C$9, $D$9, 100%, $F$9) + CHOOSE(CONTROL!$C$27, 0.0021, 0)</f>
        <v>32.994099999999996</v>
      </c>
      <c r="K196" s="10">
        <f>32.992 * CHOOSE(CONTROL!$C$9, $D$9, 100%, $F$9) + CHOOSE(CONTROL!$C$27, 0.0021, 0)</f>
        <v>32.994099999999996</v>
      </c>
      <c r="L196" s="10"/>
    </row>
    <row r="197" spans="1:12" ht="15" x14ac:dyDescent="0.2">
      <c r="A197" s="16">
        <v>47270</v>
      </c>
      <c r="B197" s="10">
        <f>33.8077 * CHOOSE(CONTROL!$C$9, $D$9, 100%, $F$9) + CHOOSE(CONTROL!$C$27, 0.0021, 0)</f>
        <v>33.809799999999996</v>
      </c>
      <c r="C197" s="10">
        <f>33.3755 * CHOOSE(CONTROL!$C$9, $D$9, 100%, $F$9) + CHOOSE(CONTROL!$C$27, 0.0021, 0)</f>
        <v>33.377600000000001</v>
      </c>
      <c r="D197" s="10">
        <f>33.3755 * CHOOSE(CONTROL!$C$9, $D$9, 100%, $F$9) + CHOOSE(CONTROL!$C$27, 0.0021, 0)</f>
        <v>33.377600000000001</v>
      </c>
      <c r="E197" s="10">
        <f>33.2388 * CHOOSE(CONTROL!$C$9, $D$9, 100%, $F$9) + CHOOSE(CONTROL!$C$27, 0.0021, 0)</f>
        <v>33.240899999999996</v>
      </c>
      <c r="F197" s="10">
        <f>33.2388 * CHOOSE(CONTROL!$C$9, $D$9, 100%, $F$9) + CHOOSE(CONTROL!$C$27, 0.0021, 0)</f>
        <v>33.240899999999996</v>
      </c>
      <c r="G197" s="10">
        <f>33.5102 * CHOOSE(CONTROL!$C$9, $D$9, 100%, $F$9) + CHOOSE(CONTROL!$C$27, 0.0021, 0)</f>
        <v>33.512299999999996</v>
      </c>
      <c r="H197" s="10">
        <f>33.3755 * CHOOSE(CONTROL!$C$9, $D$9, 100%, $F$9) + CHOOSE(CONTROL!$C$27, 0.0021, 0)</f>
        <v>33.377600000000001</v>
      </c>
      <c r="I197" s="10">
        <f>33.3755 * CHOOSE(CONTROL!$C$9, $D$9, 100%, $F$9) + CHOOSE(CONTROL!$C$27, 0.0021, 0)</f>
        <v>33.377600000000001</v>
      </c>
      <c r="J197" s="10">
        <f>33.3755 * CHOOSE(CONTROL!$C$9, $D$9, 100%, $F$9) + CHOOSE(CONTROL!$C$27, 0.0021, 0)</f>
        <v>33.377600000000001</v>
      </c>
      <c r="K197" s="10">
        <f>33.3755 * CHOOSE(CONTROL!$C$9, $D$9, 100%, $F$9) + CHOOSE(CONTROL!$C$27, 0.0021, 0)</f>
        <v>33.377600000000001</v>
      </c>
      <c r="L197" s="10"/>
    </row>
    <row r="198" spans="1:12" ht="15" x14ac:dyDescent="0.2">
      <c r="A198" s="16">
        <v>47300</v>
      </c>
      <c r="B198" s="10">
        <f>34.4404 * CHOOSE(CONTROL!$C$9, $D$9, 100%, $F$9) + CHOOSE(CONTROL!$C$27, 0.0021, 0)</f>
        <v>34.442499999999995</v>
      </c>
      <c r="C198" s="10">
        <f>34.0082 * CHOOSE(CONTROL!$C$9, $D$9, 100%, $F$9) + CHOOSE(CONTROL!$C$27, 0.0021, 0)</f>
        <v>34.010300000000001</v>
      </c>
      <c r="D198" s="10">
        <f>34.0082 * CHOOSE(CONTROL!$C$9, $D$9, 100%, $F$9) + CHOOSE(CONTROL!$C$27, 0.0021, 0)</f>
        <v>34.010300000000001</v>
      </c>
      <c r="E198" s="10">
        <f>33.8715 * CHOOSE(CONTROL!$C$9, $D$9, 100%, $F$9) + CHOOSE(CONTROL!$C$27, 0.0021, 0)</f>
        <v>33.873599999999996</v>
      </c>
      <c r="F198" s="10">
        <f>33.8715 * CHOOSE(CONTROL!$C$9, $D$9, 100%, $F$9) + CHOOSE(CONTROL!$C$27, 0.0021, 0)</f>
        <v>33.873599999999996</v>
      </c>
      <c r="G198" s="10">
        <f>34.1429 * CHOOSE(CONTROL!$C$9, $D$9, 100%, $F$9) + CHOOSE(CONTROL!$C$27, 0.0021, 0)</f>
        <v>34.144999999999996</v>
      </c>
      <c r="H198" s="10">
        <f>34.0082 * CHOOSE(CONTROL!$C$9, $D$9, 100%, $F$9) + CHOOSE(CONTROL!$C$27, 0.0021, 0)</f>
        <v>34.010300000000001</v>
      </c>
      <c r="I198" s="10">
        <f>34.0082 * CHOOSE(CONTROL!$C$9, $D$9, 100%, $F$9) + CHOOSE(CONTROL!$C$27, 0.0021, 0)</f>
        <v>34.010300000000001</v>
      </c>
      <c r="J198" s="10">
        <f>34.0082 * CHOOSE(CONTROL!$C$9, $D$9, 100%, $F$9) + CHOOSE(CONTROL!$C$27, 0.0021, 0)</f>
        <v>34.010300000000001</v>
      </c>
      <c r="K198" s="10">
        <f>34.0082 * CHOOSE(CONTROL!$C$9, $D$9, 100%, $F$9) + CHOOSE(CONTROL!$C$27, 0.0021, 0)</f>
        <v>34.010300000000001</v>
      </c>
      <c r="L198" s="10"/>
    </row>
    <row r="199" spans="1:12" ht="15" x14ac:dyDescent="0.2">
      <c r="A199" s="16">
        <v>47331</v>
      </c>
      <c r="B199" s="10">
        <f>34.6336 * CHOOSE(CONTROL!$C$9, $D$9, 100%, $F$9) + CHOOSE(CONTROL!$C$27, 0.0021, 0)</f>
        <v>34.6357</v>
      </c>
      <c r="C199" s="10">
        <f>34.2013 * CHOOSE(CONTROL!$C$9, $D$9, 100%, $F$9) + CHOOSE(CONTROL!$C$27, 0.0021, 0)</f>
        <v>34.203400000000002</v>
      </c>
      <c r="D199" s="10">
        <f>34.2013 * CHOOSE(CONTROL!$C$9, $D$9, 100%, $F$9) + CHOOSE(CONTROL!$C$27, 0.0021, 0)</f>
        <v>34.203400000000002</v>
      </c>
      <c r="E199" s="10">
        <f>34.0646 * CHOOSE(CONTROL!$C$9, $D$9, 100%, $F$9) + CHOOSE(CONTROL!$C$27, 0.0021, 0)</f>
        <v>34.066699999999997</v>
      </c>
      <c r="F199" s="10">
        <f>34.0646 * CHOOSE(CONTROL!$C$9, $D$9, 100%, $F$9) + CHOOSE(CONTROL!$C$27, 0.0021, 0)</f>
        <v>34.066699999999997</v>
      </c>
      <c r="G199" s="10">
        <f>34.336 * CHOOSE(CONTROL!$C$9, $D$9, 100%, $F$9) + CHOOSE(CONTROL!$C$27, 0.0021, 0)</f>
        <v>34.338099999999997</v>
      </c>
      <c r="H199" s="10">
        <f>34.2013 * CHOOSE(CONTROL!$C$9, $D$9, 100%, $F$9) + CHOOSE(CONTROL!$C$27, 0.0021, 0)</f>
        <v>34.203400000000002</v>
      </c>
      <c r="I199" s="10">
        <f>34.2013 * CHOOSE(CONTROL!$C$9, $D$9, 100%, $F$9) + CHOOSE(CONTROL!$C$27, 0.0021, 0)</f>
        <v>34.203400000000002</v>
      </c>
      <c r="J199" s="10">
        <f>34.2013 * CHOOSE(CONTROL!$C$9, $D$9, 100%, $F$9) + CHOOSE(CONTROL!$C$27, 0.0021, 0)</f>
        <v>34.203400000000002</v>
      </c>
      <c r="K199" s="10">
        <f>34.2013 * CHOOSE(CONTROL!$C$9, $D$9, 100%, $F$9) + CHOOSE(CONTROL!$C$27, 0.0021, 0)</f>
        <v>34.203400000000002</v>
      </c>
      <c r="L199" s="10"/>
    </row>
    <row r="200" spans="1:12" ht="15" x14ac:dyDescent="0.2">
      <c r="A200" s="16">
        <v>47362</v>
      </c>
      <c r="B200" s="10">
        <f>35.2912 * CHOOSE(CONTROL!$C$9, $D$9, 100%, $F$9) + CHOOSE(CONTROL!$C$27, 0.0021, 0)</f>
        <v>35.293300000000002</v>
      </c>
      <c r="C200" s="10">
        <f>34.859 * CHOOSE(CONTROL!$C$9, $D$9, 100%, $F$9) + CHOOSE(CONTROL!$C$27, 0.0021, 0)</f>
        <v>34.8611</v>
      </c>
      <c r="D200" s="10">
        <f>34.859 * CHOOSE(CONTROL!$C$9, $D$9, 100%, $F$9) + CHOOSE(CONTROL!$C$27, 0.0021, 0)</f>
        <v>34.8611</v>
      </c>
      <c r="E200" s="10">
        <f>34.7223 * CHOOSE(CONTROL!$C$9, $D$9, 100%, $F$9) + CHOOSE(CONTROL!$C$27, 0.0021, 0)</f>
        <v>34.724399999999996</v>
      </c>
      <c r="F200" s="10">
        <f>34.7223 * CHOOSE(CONTROL!$C$9, $D$9, 100%, $F$9) + CHOOSE(CONTROL!$C$27, 0.0021, 0)</f>
        <v>34.724399999999996</v>
      </c>
      <c r="G200" s="10">
        <f>34.9937 * CHOOSE(CONTROL!$C$9, $D$9, 100%, $F$9) + CHOOSE(CONTROL!$C$27, 0.0021, 0)</f>
        <v>34.995799999999996</v>
      </c>
      <c r="H200" s="10">
        <f>34.859 * CHOOSE(CONTROL!$C$9, $D$9, 100%, $F$9) + CHOOSE(CONTROL!$C$27, 0.0021, 0)</f>
        <v>34.8611</v>
      </c>
      <c r="I200" s="10">
        <f>34.859 * CHOOSE(CONTROL!$C$9, $D$9, 100%, $F$9) + CHOOSE(CONTROL!$C$27, 0.0021, 0)</f>
        <v>34.8611</v>
      </c>
      <c r="J200" s="10">
        <f>34.859 * CHOOSE(CONTROL!$C$9, $D$9, 100%, $F$9) + CHOOSE(CONTROL!$C$27, 0.0021, 0)</f>
        <v>34.8611</v>
      </c>
      <c r="K200" s="10">
        <f>34.859 * CHOOSE(CONTROL!$C$9, $D$9, 100%, $F$9) + CHOOSE(CONTROL!$C$27, 0.0021, 0)</f>
        <v>34.8611</v>
      </c>
      <c r="L200" s="10"/>
    </row>
    <row r="201" spans="1:12" ht="15" x14ac:dyDescent="0.2">
      <c r="A201" s="16">
        <v>47392</v>
      </c>
      <c r="B201" s="10">
        <f>36.1237 * CHOOSE(CONTROL!$C$9, $D$9, 100%, $F$9) + CHOOSE(CONTROL!$C$27, 0.0021, 0)</f>
        <v>36.125799999999998</v>
      </c>
      <c r="C201" s="10">
        <f>35.6914 * CHOOSE(CONTROL!$C$9, $D$9, 100%, $F$9) + CHOOSE(CONTROL!$C$27, 0.0021, 0)</f>
        <v>35.6935</v>
      </c>
      <c r="D201" s="10">
        <f>35.6914 * CHOOSE(CONTROL!$C$9, $D$9, 100%, $F$9) + CHOOSE(CONTROL!$C$27, 0.0021, 0)</f>
        <v>35.6935</v>
      </c>
      <c r="E201" s="10">
        <f>35.5548 * CHOOSE(CONTROL!$C$9, $D$9, 100%, $F$9) + CHOOSE(CONTROL!$C$27, 0.0021, 0)</f>
        <v>35.556899999999999</v>
      </c>
      <c r="F201" s="10">
        <f>35.5548 * CHOOSE(CONTROL!$C$9, $D$9, 100%, $F$9) + CHOOSE(CONTROL!$C$27, 0.0021, 0)</f>
        <v>35.556899999999999</v>
      </c>
      <c r="G201" s="10">
        <f>35.8262 * CHOOSE(CONTROL!$C$9, $D$9, 100%, $F$9) + CHOOSE(CONTROL!$C$27, 0.0021, 0)</f>
        <v>35.828299999999999</v>
      </c>
      <c r="H201" s="10">
        <f>35.6914 * CHOOSE(CONTROL!$C$9, $D$9, 100%, $F$9) + CHOOSE(CONTROL!$C$27, 0.0021, 0)</f>
        <v>35.6935</v>
      </c>
      <c r="I201" s="10">
        <f>35.6914 * CHOOSE(CONTROL!$C$9, $D$9, 100%, $F$9) + CHOOSE(CONTROL!$C$27, 0.0021, 0)</f>
        <v>35.6935</v>
      </c>
      <c r="J201" s="10">
        <f>35.6914 * CHOOSE(CONTROL!$C$9, $D$9, 100%, $F$9) + CHOOSE(CONTROL!$C$27, 0.0021, 0)</f>
        <v>35.6935</v>
      </c>
      <c r="K201" s="10">
        <f>35.6914 * CHOOSE(CONTROL!$C$9, $D$9, 100%, $F$9) + CHOOSE(CONTROL!$C$27, 0.0021, 0)</f>
        <v>35.6935</v>
      </c>
      <c r="L201" s="10"/>
    </row>
    <row r="202" spans="1:12" ht="15" x14ac:dyDescent="0.2">
      <c r="A202" s="16">
        <v>47423</v>
      </c>
      <c r="B202" s="10">
        <f>36.2018 * CHOOSE(CONTROL!$C$9, $D$9, 100%, $F$9) + CHOOSE(CONTROL!$C$27, 0.0021, 0)</f>
        <v>36.203899999999997</v>
      </c>
      <c r="C202" s="10">
        <f>35.7696 * CHOOSE(CONTROL!$C$9, $D$9, 100%, $F$9) + CHOOSE(CONTROL!$C$27, 0.0021, 0)</f>
        <v>35.771699999999996</v>
      </c>
      <c r="D202" s="10">
        <f>35.7696 * CHOOSE(CONTROL!$C$9, $D$9, 100%, $F$9) + CHOOSE(CONTROL!$C$27, 0.0021, 0)</f>
        <v>35.771699999999996</v>
      </c>
      <c r="E202" s="10">
        <f>35.6329 * CHOOSE(CONTROL!$C$9, $D$9, 100%, $F$9) + CHOOSE(CONTROL!$C$27, 0.0021, 0)</f>
        <v>35.634999999999998</v>
      </c>
      <c r="F202" s="10">
        <f>35.6329 * CHOOSE(CONTROL!$C$9, $D$9, 100%, $F$9) + CHOOSE(CONTROL!$C$27, 0.0021, 0)</f>
        <v>35.634999999999998</v>
      </c>
      <c r="G202" s="10">
        <f>35.9043 * CHOOSE(CONTROL!$C$9, $D$9, 100%, $F$9) + CHOOSE(CONTROL!$C$27, 0.0021, 0)</f>
        <v>35.906399999999998</v>
      </c>
      <c r="H202" s="10">
        <f>35.7696 * CHOOSE(CONTROL!$C$9, $D$9, 100%, $F$9) + CHOOSE(CONTROL!$C$27, 0.0021, 0)</f>
        <v>35.771699999999996</v>
      </c>
      <c r="I202" s="10">
        <f>35.7696 * CHOOSE(CONTROL!$C$9, $D$9, 100%, $F$9) + CHOOSE(CONTROL!$C$27, 0.0021, 0)</f>
        <v>35.771699999999996</v>
      </c>
      <c r="J202" s="10">
        <f>35.7696 * CHOOSE(CONTROL!$C$9, $D$9, 100%, $F$9) + CHOOSE(CONTROL!$C$27, 0.0021, 0)</f>
        <v>35.771699999999996</v>
      </c>
      <c r="K202" s="10">
        <f>35.7696 * CHOOSE(CONTROL!$C$9, $D$9, 100%, $F$9) + CHOOSE(CONTROL!$C$27, 0.0021, 0)</f>
        <v>35.771699999999996</v>
      </c>
      <c r="L202" s="10"/>
    </row>
    <row r="203" spans="1:12" ht="15" x14ac:dyDescent="0.2">
      <c r="A203" s="16">
        <v>47453</v>
      </c>
      <c r="B203" s="10">
        <f>35.537 * CHOOSE(CONTROL!$C$9, $D$9, 100%, $F$9) + CHOOSE(CONTROL!$C$27, 0.0021, 0)</f>
        <v>35.539099999999998</v>
      </c>
      <c r="C203" s="10">
        <f>35.1047 * CHOOSE(CONTROL!$C$9, $D$9, 100%, $F$9) + CHOOSE(CONTROL!$C$27, 0.0021, 0)</f>
        <v>35.1068</v>
      </c>
      <c r="D203" s="10">
        <f>35.1047 * CHOOSE(CONTROL!$C$9, $D$9, 100%, $F$9) + CHOOSE(CONTROL!$C$27, 0.0021, 0)</f>
        <v>35.1068</v>
      </c>
      <c r="E203" s="10">
        <f>34.968 * CHOOSE(CONTROL!$C$9, $D$9, 100%, $F$9) + CHOOSE(CONTROL!$C$27, 0.0021, 0)</f>
        <v>34.970100000000002</v>
      </c>
      <c r="F203" s="10">
        <f>34.968 * CHOOSE(CONTROL!$C$9, $D$9, 100%, $F$9) + CHOOSE(CONTROL!$C$27, 0.0021, 0)</f>
        <v>34.970100000000002</v>
      </c>
      <c r="G203" s="10">
        <f>35.2394 * CHOOSE(CONTROL!$C$9, $D$9, 100%, $F$9) + CHOOSE(CONTROL!$C$27, 0.0021, 0)</f>
        <v>35.241500000000002</v>
      </c>
      <c r="H203" s="10">
        <f>35.1047 * CHOOSE(CONTROL!$C$9, $D$9, 100%, $F$9) + CHOOSE(CONTROL!$C$27, 0.0021, 0)</f>
        <v>35.1068</v>
      </c>
      <c r="I203" s="10">
        <f>35.1047 * CHOOSE(CONTROL!$C$9, $D$9, 100%, $F$9) + CHOOSE(CONTROL!$C$27, 0.0021, 0)</f>
        <v>35.1068</v>
      </c>
      <c r="J203" s="10">
        <f>35.1047 * CHOOSE(CONTROL!$C$9, $D$9, 100%, $F$9) + CHOOSE(CONTROL!$C$27, 0.0021, 0)</f>
        <v>35.1068</v>
      </c>
      <c r="K203" s="10">
        <f>35.1047 * CHOOSE(CONTROL!$C$9, $D$9, 100%, $F$9) + CHOOSE(CONTROL!$C$27, 0.0021, 0)</f>
        <v>35.1068</v>
      </c>
      <c r="L203" s="10"/>
    </row>
    <row r="204" spans="1:12" ht="15" x14ac:dyDescent="0.2">
      <c r="A204" s="16">
        <v>47484</v>
      </c>
      <c r="B204" s="10">
        <f>35.6568 * CHOOSE(CONTROL!$C$9, $D$9, 100%, $F$9) + CHOOSE(CONTROL!$C$27, 0.0021, 0)</f>
        <v>35.658899999999996</v>
      </c>
      <c r="C204" s="10">
        <f>35.2245 * CHOOSE(CONTROL!$C$9, $D$9, 100%, $F$9) + CHOOSE(CONTROL!$C$27, 0.0021, 0)</f>
        <v>35.226599999999998</v>
      </c>
      <c r="D204" s="10">
        <f>35.2245 * CHOOSE(CONTROL!$C$9, $D$9, 100%, $F$9) + CHOOSE(CONTROL!$C$27, 0.0021, 0)</f>
        <v>35.226599999999998</v>
      </c>
      <c r="E204" s="10">
        <f>35.0879 * CHOOSE(CONTROL!$C$9, $D$9, 100%, $F$9) + CHOOSE(CONTROL!$C$27, 0.0021, 0)</f>
        <v>35.089999999999996</v>
      </c>
      <c r="F204" s="10">
        <f>35.0879 * CHOOSE(CONTROL!$C$9, $D$9, 100%, $F$9) + CHOOSE(CONTROL!$C$27, 0.0021, 0)</f>
        <v>35.089999999999996</v>
      </c>
      <c r="G204" s="10">
        <f>35.3593 * CHOOSE(CONTROL!$C$9, $D$9, 100%, $F$9) + CHOOSE(CONTROL!$C$27, 0.0021, 0)</f>
        <v>35.361399999999996</v>
      </c>
      <c r="H204" s="10">
        <f>35.2245 * CHOOSE(CONTROL!$C$9, $D$9, 100%, $F$9) + CHOOSE(CONTROL!$C$27, 0.0021, 0)</f>
        <v>35.226599999999998</v>
      </c>
      <c r="I204" s="10">
        <f>35.2245 * CHOOSE(CONTROL!$C$9, $D$9, 100%, $F$9) + CHOOSE(CONTROL!$C$27, 0.0021, 0)</f>
        <v>35.226599999999998</v>
      </c>
      <c r="J204" s="10">
        <f>35.2245 * CHOOSE(CONTROL!$C$9, $D$9, 100%, $F$9) + CHOOSE(CONTROL!$C$27, 0.0021, 0)</f>
        <v>35.226599999999998</v>
      </c>
      <c r="K204" s="10">
        <f>35.2245 * CHOOSE(CONTROL!$C$9, $D$9, 100%, $F$9) + CHOOSE(CONTROL!$C$27, 0.0021, 0)</f>
        <v>35.226599999999998</v>
      </c>
      <c r="L204" s="10"/>
    </row>
    <row r="205" spans="1:12" ht="15" x14ac:dyDescent="0.2">
      <c r="A205" s="16">
        <v>47515</v>
      </c>
      <c r="B205" s="10">
        <f>34.7131 * CHOOSE(CONTROL!$C$9, $D$9, 100%, $F$9) + CHOOSE(CONTROL!$C$27, 0.0021, 0)</f>
        <v>34.715199999999996</v>
      </c>
      <c r="C205" s="10">
        <f>34.2808 * CHOOSE(CONTROL!$C$9, $D$9, 100%, $F$9) + CHOOSE(CONTROL!$C$27, 0.0021, 0)</f>
        <v>34.282899999999998</v>
      </c>
      <c r="D205" s="10">
        <f>34.2808 * CHOOSE(CONTROL!$C$9, $D$9, 100%, $F$9) + CHOOSE(CONTROL!$C$27, 0.0021, 0)</f>
        <v>34.282899999999998</v>
      </c>
      <c r="E205" s="10">
        <f>34.1442 * CHOOSE(CONTROL!$C$9, $D$9, 100%, $F$9) + CHOOSE(CONTROL!$C$27, 0.0021, 0)</f>
        <v>34.146299999999997</v>
      </c>
      <c r="F205" s="10">
        <f>34.1442 * CHOOSE(CONTROL!$C$9, $D$9, 100%, $F$9) + CHOOSE(CONTROL!$C$27, 0.0021, 0)</f>
        <v>34.146299999999997</v>
      </c>
      <c r="G205" s="10">
        <f>34.4155 * CHOOSE(CONTROL!$C$9, $D$9, 100%, $F$9) + CHOOSE(CONTROL!$C$27, 0.0021, 0)</f>
        <v>34.4176</v>
      </c>
      <c r="H205" s="10">
        <f>34.2808 * CHOOSE(CONTROL!$C$9, $D$9, 100%, $F$9) + CHOOSE(CONTROL!$C$27, 0.0021, 0)</f>
        <v>34.282899999999998</v>
      </c>
      <c r="I205" s="10">
        <f>34.2808 * CHOOSE(CONTROL!$C$9, $D$9, 100%, $F$9) + CHOOSE(CONTROL!$C$27, 0.0021, 0)</f>
        <v>34.282899999999998</v>
      </c>
      <c r="J205" s="10">
        <f>34.2808 * CHOOSE(CONTROL!$C$9, $D$9, 100%, $F$9) + CHOOSE(CONTROL!$C$27, 0.0021, 0)</f>
        <v>34.282899999999998</v>
      </c>
      <c r="K205" s="10">
        <f>34.2808 * CHOOSE(CONTROL!$C$9, $D$9, 100%, $F$9) + CHOOSE(CONTROL!$C$27, 0.0021, 0)</f>
        <v>34.282899999999998</v>
      </c>
      <c r="L205" s="10"/>
    </row>
    <row r="206" spans="1:12" ht="15" x14ac:dyDescent="0.2">
      <c r="A206" s="16">
        <v>47543</v>
      </c>
      <c r="B206" s="10">
        <f>34.3235 * CHOOSE(CONTROL!$C$9, $D$9, 100%, $F$9) + CHOOSE(CONTROL!$C$27, 0.0021, 0)</f>
        <v>34.325600000000001</v>
      </c>
      <c r="C206" s="10">
        <f>33.8912 * CHOOSE(CONTROL!$C$9, $D$9, 100%, $F$9) + CHOOSE(CONTROL!$C$27, 0.0021, 0)</f>
        <v>33.893299999999996</v>
      </c>
      <c r="D206" s="10">
        <f>33.8912 * CHOOSE(CONTROL!$C$9, $D$9, 100%, $F$9) + CHOOSE(CONTROL!$C$27, 0.0021, 0)</f>
        <v>33.893299999999996</v>
      </c>
      <c r="E206" s="10">
        <f>33.7546 * CHOOSE(CONTROL!$C$9, $D$9, 100%, $F$9) + CHOOSE(CONTROL!$C$27, 0.0021, 0)</f>
        <v>33.756700000000002</v>
      </c>
      <c r="F206" s="10">
        <f>33.7546 * CHOOSE(CONTROL!$C$9, $D$9, 100%, $F$9) + CHOOSE(CONTROL!$C$27, 0.0021, 0)</f>
        <v>33.756700000000002</v>
      </c>
      <c r="G206" s="10">
        <f>34.026 * CHOOSE(CONTROL!$C$9, $D$9, 100%, $F$9) + CHOOSE(CONTROL!$C$27, 0.0021, 0)</f>
        <v>34.028100000000002</v>
      </c>
      <c r="H206" s="10">
        <f>33.8912 * CHOOSE(CONTROL!$C$9, $D$9, 100%, $F$9) + CHOOSE(CONTROL!$C$27, 0.0021, 0)</f>
        <v>33.893299999999996</v>
      </c>
      <c r="I206" s="10">
        <f>33.8912 * CHOOSE(CONTROL!$C$9, $D$9, 100%, $F$9) + CHOOSE(CONTROL!$C$27, 0.0021, 0)</f>
        <v>33.893299999999996</v>
      </c>
      <c r="J206" s="10">
        <f>33.8912 * CHOOSE(CONTROL!$C$9, $D$9, 100%, $F$9) + CHOOSE(CONTROL!$C$27, 0.0021, 0)</f>
        <v>33.893299999999996</v>
      </c>
      <c r="K206" s="10">
        <f>33.8912 * CHOOSE(CONTROL!$C$9, $D$9, 100%, $F$9) + CHOOSE(CONTROL!$C$27, 0.0021, 0)</f>
        <v>33.893299999999996</v>
      </c>
      <c r="L206" s="10"/>
    </row>
    <row r="207" spans="1:12" ht="15" x14ac:dyDescent="0.2">
      <c r="A207" s="16">
        <v>47574</v>
      </c>
      <c r="B207" s="10">
        <f>33.8583 * CHOOSE(CONTROL!$C$9, $D$9, 100%, $F$9) + CHOOSE(CONTROL!$C$27, 0.0021, 0)</f>
        <v>33.860399999999998</v>
      </c>
      <c r="C207" s="10">
        <f>33.4261 * CHOOSE(CONTROL!$C$9, $D$9, 100%, $F$9) + CHOOSE(CONTROL!$C$27, 0.0021, 0)</f>
        <v>33.428199999999997</v>
      </c>
      <c r="D207" s="10">
        <f>33.4261 * CHOOSE(CONTROL!$C$9, $D$9, 100%, $F$9) + CHOOSE(CONTROL!$C$27, 0.0021, 0)</f>
        <v>33.428199999999997</v>
      </c>
      <c r="E207" s="10">
        <f>33.2894 * CHOOSE(CONTROL!$C$9, $D$9, 100%, $F$9) + CHOOSE(CONTROL!$C$27, 0.0021, 0)</f>
        <v>33.291499999999999</v>
      </c>
      <c r="F207" s="10">
        <f>33.2894 * CHOOSE(CONTROL!$C$9, $D$9, 100%, $F$9) + CHOOSE(CONTROL!$C$27, 0.0021, 0)</f>
        <v>33.291499999999999</v>
      </c>
      <c r="G207" s="10">
        <f>33.5608 * CHOOSE(CONTROL!$C$9, $D$9, 100%, $F$9) + CHOOSE(CONTROL!$C$27, 0.0021, 0)</f>
        <v>33.562899999999999</v>
      </c>
      <c r="H207" s="10">
        <f>33.4261 * CHOOSE(CONTROL!$C$9, $D$9, 100%, $F$9) + CHOOSE(CONTROL!$C$27, 0.0021, 0)</f>
        <v>33.428199999999997</v>
      </c>
      <c r="I207" s="10">
        <f>33.4261 * CHOOSE(CONTROL!$C$9, $D$9, 100%, $F$9) + CHOOSE(CONTROL!$C$27, 0.0021, 0)</f>
        <v>33.428199999999997</v>
      </c>
      <c r="J207" s="10">
        <f>33.4261 * CHOOSE(CONTROL!$C$9, $D$9, 100%, $F$9) + CHOOSE(CONTROL!$C$27, 0.0021, 0)</f>
        <v>33.428199999999997</v>
      </c>
      <c r="K207" s="10">
        <f>33.4261 * CHOOSE(CONTROL!$C$9, $D$9, 100%, $F$9) + CHOOSE(CONTROL!$C$27, 0.0021, 0)</f>
        <v>33.428199999999997</v>
      </c>
      <c r="L207" s="10"/>
    </row>
    <row r="208" spans="1:12" ht="15" x14ac:dyDescent="0.2">
      <c r="A208" s="16">
        <v>47604</v>
      </c>
      <c r="B208" s="10">
        <f>34.5212 * CHOOSE(CONTROL!$C$9, $D$9, 100%, $F$9) + CHOOSE(CONTROL!$C$27, 0.0021, 0)</f>
        <v>34.523299999999999</v>
      </c>
      <c r="C208" s="10">
        <f>34.089 * CHOOSE(CONTROL!$C$9, $D$9, 100%, $F$9) + CHOOSE(CONTROL!$C$27, 0.0021, 0)</f>
        <v>34.091099999999997</v>
      </c>
      <c r="D208" s="10">
        <f>34.089 * CHOOSE(CONTROL!$C$9, $D$9, 100%, $F$9) + CHOOSE(CONTROL!$C$27, 0.0021, 0)</f>
        <v>34.091099999999997</v>
      </c>
      <c r="E208" s="10">
        <f>33.9523 * CHOOSE(CONTROL!$C$9, $D$9, 100%, $F$9) + CHOOSE(CONTROL!$C$27, 0.0021, 0)</f>
        <v>33.9544</v>
      </c>
      <c r="F208" s="10">
        <f>33.9523 * CHOOSE(CONTROL!$C$9, $D$9, 100%, $F$9) + CHOOSE(CONTROL!$C$27, 0.0021, 0)</f>
        <v>33.9544</v>
      </c>
      <c r="G208" s="10">
        <f>34.2237 * CHOOSE(CONTROL!$C$9, $D$9, 100%, $F$9) + CHOOSE(CONTROL!$C$27, 0.0021, 0)</f>
        <v>34.2258</v>
      </c>
      <c r="H208" s="10">
        <f>34.089 * CHOOSE(CONTROL!$C$9, $D$9, 100%, $F$9) + CHOOSE(CONTROL!$C$27, 0.0021, 0)</f>
        <v>34.091099999999997</v>
      </c>
      <c r="I208" s="10">
        <f>34.089 * CHOOSE(CONTROL!$C$9, $D$9, 100%, $F$9) + CHOOSE(CONTROL!$C$27, 0.0021, 0)</f>
        <v>34.091099999999997</v>
      </c>
      <c r="J208" s="10">
        <f>34.089 * CHOOSE(CONTROL!$C$9, $D$9, 100%, $F$9) + CHOOSE(CONTROL!$C$27, 0.0021, 0)</f>
        <v>34.091099999999997</v>
      </c>
      <c r="K208" s="10">
        <f>34.089 * CHOOSE(CONTROL!$C$9, $D$9, 100%, $F$9) + CHOOSE(CONTROL!$C$27, 0.0021, 0)</f>
        <v>34.091099999999997</v>
      </c>
      <c r="L208" s="10"/>
    </row>
    <row r="209" spans="1:12" ht="15" x14ac:dyDescent="0.2">
      <c r="A209" s="16">
        <v>47635</v>
      </c>
      <c r="B209" s="10">
        <f>34.9183 * CHOOSE(CONTROL!$C$9, $D$9, 100%, $F$9) + CHOOSE(CONTROL!$C$27, 0.0021, 0)</f>
        <v>34.920400000000001</v>
      </c>
      <c r="C209" s="10">
        <f>34.486 * CHOOSE(CONTROL!$C$9, $D$9, 100%, $F$9) + CHOOSE(CONTROL!$C$27, 0.0021, 0)</f>
        <v>34.488099999999996</v>
      </c>
      <c r="D209" s="10">
        <f>34.486 * CHOOSE(CONTROL!$C$9, $D$9, 100%, $F$9) + CHOOSE(CONTROL!$C$27, 0.0021, 0)</f>
        <v>34.488099999999996</v>
      </c>
      <c r="E209" s="10">
        <f>34.3494 * CHOOSE(CONTROL!$C$9, $D$9, 100%, $F$9) + CHOOSE(CONTROL!$C$27, 0.0021, 0)</f>
        <v>34.351500000000001</v>
      </c>
      <c r="F209" s="10">
        <f>34.3494 * CHOOSE(CONTROL!$C$9, $D$9, 100%, $F$9) + CHOOSE(CONTROL!$C$27, 0.0021, 0)</f>
        <v>34.351500000000001</v>
      </c>
      <c r="G209" s="10">
        <f>34.6208 * CHOOSE(CONTROL!$C$9, $D$9, 100%, $F$9) + CHOOSE(CONTROL!$C$27, 0.0021, 0)</f>
        <v>34.622900000000001</v>
      </c>
      <c r="H209" s="10">
        <f>34.486 * CHOOSE(CONTROL!$C$9, $D$9, 100%, $F$9) + CHOOSE(CONTROL!$C$27, 0.0021, 0)</f>
        <v>34.488099999999996</v>
      </c>
      <c r="I209" s="10">
        <f>34.486 * CHOOSE(CONTROL!$C$9, $D$9, 100%, $F$9) + CHOOSE(CONTROL!$C$27, 0.0021, 0)</f>
        <v>34.488099999999996</v>
      </c>
      <c r="J209" s="10">
        <f>34.486 * CHOOSE(CONTROL!$C$9, $D$9, 100%, $F$9) + CHOOSE(CONTROL!$C$27, 0.0021, 0)</f>
        <v>34.488099999999996</v>
      </c>
      <c r="K209" s="10">
        <f>34.486 * CHOOSE(CONTROL!$C$9, $D$9, 100%, $F$9) + CHOOSE(CONTROL!$C$27, 0.0021, 0)</f>
        <v>34.488099999999996</v>
      </c>
      <c r="L209" s="10"/>
    </row>
    <row r="210" spans="1:12" ht="15" x14ac:dyDescent="0.2">
      <c r="A210" s="16">
        <v>47665</v>
      </c>
      <c r="B210" s="10">
        <f>35.5733 * CHOOSE(CONTROL!$C$9, $D$9, 100%, $F$9) + CHOOSE(CONTROL!$C$27, 0.0021, 0)</f>
        <v>35.575400000000002</v>
      </c>
      <c r="C210" s="10">
        <f>35.141 * CHOOSE(CONTROL!$C$9, $D$9, 100%, $F$9) + CHOOSE(CONTROL!$C$27, 0.0021, 0)</f>
        <v>35.143099999999997</v>
      </c>
      <c r="D210" s="10">
        <f>35.141 * CHOOSE(CONTROL!$C$9, $D$9, 100%, $F$9) + CHOOSE(CONTROL!$C$27, 0.0021, 0)</f>
        <v>35.143099999999997</v>
      </c>
      <c r="E210" s="10">
        <f>35.0044 * CHOOSE(CONTROL!$C$9, $D$9, 100%, $F$9) + CHOOSE(CONTROL!$C$27, 0.0021, 0)</f>
        <v>35.006499999999996</v>
      </c>
      <c r="F210" s="10">
        <f>35.0044 * CHOOSE(CONTROL!$C$9, $D$9, 100%, $F$9) + CHOOSE(CONTROL!$C$27, 0.0021, 0)</f>
        <v>35.006499999999996</v>
      </c>
      <c r="G210" s="10">
        <f>35.2757 * CHOOSE(CONTROL!$C$9, $D$9, 100%, $F$9) + CHOOSE(CONTROL!$C$27, 0.0021, 0)</f>
        <v>35.277799999999999</v>
      </c>
      <c r="H210" s="10">
        <f>35.141 * CHOOSE(CONTROL!$C$9, $D$9, 100%, $F$9) + CHOOSE(CONTROL!$C$27, 0.0021, 0)</f>
        <v>35.143099999999997</v>
      </c>
      <c r="I210" s="10">
        <f>35.141 * CHOOSE(CONTROL!$C$9, $D$9, 100%, $F$9) + CHOOSE(CONTROL!$C$27, 0.0021, 0)</f>
        <v>35.143099999999997</v>
      </c>
      <c r="J210" s="10">
        <f>35.141 * CHOOSE(CONTROL!$C$9, $D$9, 100%, $F$9) + CHOOSE(CONTROL!$C$27, 0.0021, 0)</f>
        <v>35.143099999999997</v>
      </c>
      <c r="K210" s="10">
        <f>35.141 * CHOOSE(CONTROL!$C$9, $D$9, 100%, $F$9) + CHOOSE(CONTROL!$C$27, 0.0021, 0)</f>
        <v>35.143099999999997</v>
      </c>
      <c r="L210" s="10"/>
    </row>
    <row r="211" spans="1:12" ht="15" x14ac:dyDescent="0.2">
      <c r="A211" s="16">
        <v>47696</v>
      </c>
      <c r="B211" s="10">
        <f>35.7732 * CHOOSE(CONTROL!$C$9, $D$9, 100%, $F$9) + CHOOSE(CONTROL!$C$27, 0.0021, 0)</f>
        <v>35.775300000000001</v>
      </c>
      <c r="C211" s="10">
        <f>35.341 * CHOOSE(CONTROL!$C$9, $D$9, 100%, $F$9) + CHOOSE(CONTROL!$C$27, 0.0021, 0)</f>
        <v>35.3431</v>
      </c>
      <c r="D211" s="10">
        <f>35.341 * CHOOSE(CONTROL!$C$9, $D$9, 100%, $F$9) + CHOOSE(CONTROL!$C$27, 0.0021, 0)</f>
        <v>35.3431</v>
      </c>
      <c r="E211" s="10">
        <f>35.2043 * CHOOSE(CONTROL!$C$9, $D$9, 100%, $F$9) + CHOOSE(CONTROL!$C$27, 0.0021, 0)</f>
        <v>35.206400000000002</v>
      </c>
      <c r="F211" s="10">
        <f>35.2043 * CHOOSE(CONTROL!$C$9, $D$9, 100%, $F$9) + CHOOSE(CONTROL!$C$27, 0.0021, 0)</f>
        <v>35.206400000000002</v>
      </c>
      <c r="G211" s="10">
        <f>35.4757 * CHOOSE(CONTROL!$C$9, $D$9, 100%, $F$9) + CHOOSE(CONTROL!$C$27, 0.0021, 0)</f>
        <v>35.477800000000002</v>
      </c>
      <c r="H211" s="10">
        <f>35.341 * CHOOSE(CONTROL!$C$9, $D$9, 100%, $F$9) + CHOOSE(CONTROL!$C$27, 0.0021, 0)</f>
        <v>35.3431</v>
      </c>
      <c r="I211" s="10">
        <f>35.341 * CHOOSE(CONTROL!$C$9, $D$9, 100%, $F$9) + CHOOSE(CONTROL!$C$27, 0.0021, 0)</f>
        <v>35.3431</v>
      </c>
      <c r="J211" s="10">
        <f>35.341 * CHOOSE(CONTROL!$C$9, $D$9, 100%, $F$9) + CHOOSE(CONTROL!$C$27, 0.0021, 0)</f>
        <v>35.3431</v>
      </c>
      <c r="K211" s="10">
        <f>35.341 * CHOOSE(CONTROL!$C$9, $D$9, 100%, $F$9) + CHOOSE(CONTROL!$C$27, 0.0021, 0)</f>
        <v>35.3431</v>
      </c>
      <c r="L211" s="10"/>
    </row>
    <row r="212" spans="1:12" ht="15" x14ac:dyDescent="0.2">
      <c r="A212" s="16">
        <v>47727</v>
      </c>
      <c r="B212" s="10">
        <f>36.454 * CHOOSE(CONTROL!$C$9, $D$9, 100%, $F$9) + CHOOSE(CONTROL!$C$27, 0.0021, 0)</f>
        <v>36.456099999999999</v>
      </c>
      <c r="C212" s="10">
        <f>36.0218 * CHOOSE(CONTROL!$C$9, $D$9, 100%, $F$9) + CHOOSE(CONTROL!$C$27, 0.0021, 0)</f>
        <v>36.023899999999998</v>
      </c>
      <c r="D212" s="10">
        <f>36.0218 * CHOOSE(CONTROL!$C$9, $D$9, 100%, $F$9) + CHOOSE(CONTROL!$C$27, 0.0021, 0)</f>
        <v>36.023899999999998</v>
      </c>
      <c r="E212" s="10">
        <f>35.8851 * CHOOSE(CONTROL!$C$9, $D$9, 100%, $F$9) + CHOOSE(CONTROL!$C$27, 0.0021, 0)</f>
        <v>35.8872</v>
      </c>
      <c r="F212" s="10">
        <f>35.8851 * CHOOSE(CONTROL!$C$9, $D$9, 100%, $F$9) + CHOOSE(CONTROL!$C$27, 0.0021, 0)</f>
        <v>35.8872</v>
      </c>
      <c r="G212" s="10">
        <f>36.1565 * CHOOSE(CONTROL!$C$9, $D$9, 100%, $F$9) + CHOOSE(CONTROL!$C$27, 0.0021, 0)</f>
        <v>36.1586</v>
      </c>
      <c r="H212" s="10">
        <f>36.0218 * CHOOSE(CONTROL!$C$9, $D$9, 100%, $F$9) + CHOOSE(CONTROL!$C$27, 0.0021, 0)</f>
        <v>36.023899999999998</v>
      </c>
      <c r="I212" s="10">
        <f>36.0218 * CHOOSE(CONTROL!$C$9, $D$9, 100%, $F$9) + CHOOSE(CONTROL!$C$27, 0.0021, 0)</f>
        <v>36.023899999999998</v>
      </c>
      <c r="J212" s="10">
        <f>36.0218 * CHOOSE(CONTROL!$C$9, $D$9, 100%, $F$9) + CHOOSE(CONTROL!$C$27, 0.0021, 0)</f>
        <v>36.023899999999998</v>
      </c>
      <c r="K212" s="10">
        <f>36.0218 * CHOOSE(CONTROL!$C$9, $D$9, 100%, $F$9) + CHOOSE(CONTROL!$C$27, 0.0021, 0)</f>
        <v>36.023899999999998</v>
      </c>
      <c r="L212" s="10"/>
    </row>
    <row r="213" spans="1:12" ht="15" x14ac:dyDescent="0.2">
      <c r="A213" s="16">
        <v>47757</v>
      </c>
      <c r="B213" s="10">
        <f>37.3158 * CHOOSE(CONTROL!$C$9, $D$9, 100%, $F$9) + CHOOSE(CONTROL!$C$27, 0.0021, 0)</f>
        <v>37.317900000000002</v>
      </c>
      <c r="C213" s="10">
        <f>36.8836 * CHOOSE(CONTROL!$C$9, $D$9, 100%, $F$9) + CHOOSE(CONTROL!$C$27, 0.0021, 0)</f>
        <v>36.8857</v>
      </c>
      <c r="D213" s="10">
        <f>36.8836 * CHOOSE(CONTROL!$C$9, $D$9, 100%, $F$9) + CHOOSE(CONTROL!$C$27, 0.0021, 0)</f>
        <v>36.8857</v>
      </c>
      <c r="E213" s="10">
        <f>36.7469 * CHOOSE(CONTROL!$C$9, $D$9, 100%, $F$9) + CHOOSE(CONTROL!$C$27, 0.0021, 0)</f>
        <v>36.748999999999995</v>
      </c>
      <c r="F213" s="10">
        <f>36.7469 * CHOOSE(CONTROL!$C$9, $D$9, 100%, $F$9) + CHOOSE(CONTROL!$C$27, 0.0021, 0)</f>
        <v>36.748999999999995</v>
      </c>
      <c r="G213" s="10">
        <f>37.0183 * CHOOSE(CONTROL!$C$9, $D$9, 100%, $F$9) + CHOOSE(CONTROL!$C$27, 0.0021, 0)</f>
        <v>37.020400000000002</v>
      </c>
      <c r="H213" s="10">
        <f>36.8836 * CHOOSE(CONTROL!$C$9, $D$9, 100%, $F$9) + CHOOSE(CONTROL!$C$27, 0.0021, 0)</f>
        <v>36.8857</v>
      </c>
      <c r="I213" s="10">
        <f>36.8836 * CHOOSE(CONTROL!$C$9, $D$9, 100%, $F$9) + CHOOSE(CONTROL!$C$27, 0.0021, 0)</f>
        <v>36.8857</v>
      </c>
      <c r="J213" s="10">
        <f>36.8836 * CHOOSE(CONTROL!$C$9, $D$9, 100%, $F$9) + CHOOSE(CONTROL!$C$27, 0.0021, 0)</f>
        <v>36.8857</v>
      </c>
      <c r="K213" s="10">
        <f>36.8836 * CHOOSE(CONTROL!$C$9, $D$9, 100%, $F$9) + CHOOSE(CONTROL!$C$27, 0.0021, 0)</f>
        <v>36.8857</v>
      </c>
      <c r="L213" s="10"/>
    </row>
    <row r="214" spans="1:12" ht="15" x14ac:dyDescent="0.2">
      <c r="A214" s="16">
        <v>47788</v>
      </c>
      <c r="B214" s="10">
        <f>37.3968 * CHOOSE(CONTROL!$C$9, $D$9, 100%, $F$9) + CHOOSE(CONTROL!$C$27, 0.0021, 0)</f>
        <v>37.398899999999998</v>
      </c>
      <c r="C214" s="10">
        <f>36.9645 * CHOOSE(CONTROL!$C$9, $D$9, 100%, $F$9) + CHOOSE(CONTROL!$C$27, 0.0021, 0)</f>
        <v>36.9666</v>
      </c>
      <c r="D214" s="10">
        <f>36.9645 * CHOOSE(CONTROL!$C$9, $D$9, 100%, $F$9) + CHOOSE(CONTROL!$C$27, 0.0021, 0)</f>
        <v>36.9666</v>
      </c>
      <c r="E214" s="10">
        <f>36.8278 * CHOOSE(CONTROL!$C$9, $D$9, 100%, $F$9) + CHOOSE(CONTROL!$C$27, 0.0021, 0)</f>
        <v>36.829900000000002</v>
      </c>
      <c r="F214" s="10">
        <f>36.8278 * CHOOSE(CONTROL!$C$9, $D$9, 100%, $F$9) + CHOOSE(CONTROL!$C$27, 0.0021, 0)</f>
        <v>36.829900000000002</v>
      </c>
      <c r="G214" s="10">
        <f>37.0992 * CHOOSE(CONTROL!$C$9, $D$9, 100%, $F$9) + CHOOSE(CONTROL!$C$27, 0.0021, 0)</f>
        <v>37.101300000000002</v>
      </c>
      <c r="H214" s="10">
        <f>36.9645 * CHOOSE(CONTROL!$C$9, $D$9, 100%, $F$9) + CHOOSE(CONTROL!$C$27, 0.0021, 0)</f>
        <v>36.9666</v>
      </c>
      <c r="I214" s="10">
        <f>36.9645 * CHOOSE(CONTROL!$C$9, $D$9, 100%, $F$9) + CHOOSE(CONTROL!$C$27, 0.0021, 0)</f>
        <v>36.9666</v>
      </c>
      <c r="J214" s="10">
        <f>36.9645 * CHOOSE(CONTROL!$C$9, $D$9, 100%, $F$9) + CHOOSE(CONTROL!$C$27, 0.0021, 0)</f>
        <v>36.9666</v>
      </c>
      <c r="K214" s="10">
        <f>36.9645 * CHOOSE(CONTROL!$C$9, $D$9, 100%, $F$9) + CHOOSE(CONTROL!$C$27, 0.0021, 0)</f>
        <v>36.9666</v>
      </c>
      <c r="L214" s="10"/>
    </row>
    <row r="215" spans="1:12" ht="15" x14ac:dyDescent="0.2">
      <c r="A215" s="16">
        <v>47818</v>
      </c>
      <c r="B215" s="10">
        <f>36.7084 * CHOOSE(CONTROL!$C$9, $D$9, 100%, $F$9) + CHOOSE(CONTROL!$C$27, 0.0021, 0)</f>
        <v>36.710499999999996</v>
      </c>
      <c r="C215" s="10">
        <f>36.2762 * CHOOSE(CONTROL!$C$9, $D$9, 100%, $F$9) + CHOOSE(CONTROL!$C$27, 0.0021, 0)</f>
        <v>36.278300000000002</v>
      </c>
      <c r="D215" s="10">
        <f>36.2762 * CHOOSE(CONTROL!$C$9, $D$9, 100%, $F$9) + CHOOSE(CONTROL!$C$27, 0.0021, 0)</f>
        <v>36.278300000000002</v>
      </c>
      <c r="E215" s="10">
        <f>36.1395 * CHOOSE(CONTROL!$C$9, $D$9, 100%, $F$9) + CHOOSE(CONTROL!$C$27, 0.0021, 0)</f>
        <v>36.141599999999997</v>
      </c>
      <c r="F215" s="10">
        <f>36.1395 * CHOOSE(CONTROL!$C$9, $D$9, 100%, $F$9) + CHOOSE(CONTROL!$C$27, 0.0021, 0)</f>
        <v>36.141599999999997</v>
      </c>
      <c r="G215" s="10">
        <f>36.4109 * CHOOSE(CONTROL!$C$9, $D$9, 100%, $F$9) + CHOOSE(CONTROL!$C$27, 0.0021, 0)</f>
        <v>36.412999999999997</v>
      </c>
      <c r="H215" s="10">
        <f>36.2762 * CHOOSE(CONTROL!$C$9, $D$9, 100%, $F$9) + CHOOSE(CONTROL!$C$27, 0.0021, 0)</f>
        <v>36.278300000000002</v>
      </c>
      <c r="I215" s="10">
        <f>36.2762 * CHOOSE(CONTROL!$C$9, $D$9, 100%, $F$9) + CHOOSE(CONTROL!$C$27, 0.0021, 0)</f>
        <v>36.278300000000002</v>
      </c>
      <c r="J215" s="10">
        <f>36.2762 * CHOOSE(CONTROL!$C$9, $D$9, 100%, $F$9) + CHOOSE(CONTROL!$C$27, 0.0021, 0)</f>
        <v>36.278300000000002</v>
      </c>
      <c r="K215" s="10">
        <f>36.2762 * CHOOSE(CONTROL!$C$9, $D$9, 100%, $F$9) + CHOOSE(CONTROL!$C$27, 0.0021, 0)</f>
        <v>36.278300000000002</v>
      </c>
      <c r="L215" s="10"/>
    </row>
    <row r="216" spans="1:12" ht="15" x14ac:dyDescent="0.2">
      <c r="A216" s="16">
        <v>47849</v>
      </c>
      <c r="B216" s="10">
        <f>36.1814 * CHOOSE(CONTROL!$C$9, $D$9, 100%, $F$9) + CHOOSE(CONTROL!$C$27, 0.0021, 0)</f>
        <v>36.183499999999995</v>
      </c>
      <c r="C216" s="10">
        <f>35.7492 * CHOOSE(CONTROL!$C$9, $D$9, 100%, $F$9) + CHOOSE(CONTROL!$C$27, 0.0021, 0)</f>
        <v>35.751300000000001</v>
      </c>
      <c r="D216" s="10">
        <f>35.7492 * CHOOSE(CONTROL!$C$9, $D$9, 100%, $F$9) + CHOOSE(CONTROL!$C$27, 0.0021, 0)</f>
        <v>35.751300000000001</v>
      </c>
      <c r="E216" s="10">
        <f>35.6125 * CHOOSE(CONTROL!$C$9, $D$9, 100%, $F$9) + CHOOSE(CONTROL!$C$27, 0.0021, 0)</f>
        <v>35.614599999999996</v>
      </c>
      <c r="F216" s="10">
        <f>35.6125 * CHOOSE(CONTROL!$C$9, $D$9, 100%, $F$9) + CHOOSE(CONTROL!$C$27, 0.0021, 0)</f>
        <v>35.614599999999996</v>
      </c>
      <c r="G216" s="10">
        <f>35.8839 * CHOOSE(CONTROL!$C$9, $D$9, 100%, $F$9) + CHOOSE(CONTROL!$C$27, 0.0021, 0)</f>
        <v>35.885999999999996</v>
      </c>
      <c r="H216" s="10">
        <f>35.7492 * CHOOSE(CONTROL!$C$9, $D$9, 100%, $F$9) + CHOOSE(CONTROL!$C$27, 0.0021, 0)</f>
        <v>35.751300000000001</v>
      </c>
      <c r="I216" s="10">
        <f>35.7492 * CHOOSE(CONTROL!$C$9, $D$9, 100%, $F$9) + CHOOSE(CONTROL!$C$27, 0.0021, 0)</f>
        <v>35.751300000000001</v>
      </c>
      <c r="J216" s="10">
        <f>35.7492 * CHOOSE(CONTROL!$C$9, $D$9, 100%, $F$9) + CHOOSE(CONTROL!$C$27, 0.0021, 0)</f>
        <v>35.751300000000001</v>
      </c>
      <c r="K216" s="10">
        <f>35.7492 * CHOOSE(CONTROL!$C$9, $D$9, 100%, $F$9) + CHOOSE(CONTROL!$C$27, 0.0021, 0)</f>
        <v>35.751300000000001</v>
      </c>
      <c r="L216" s="10"/>
    </row>
    <row r="217" spans="1:12" ht="15" x14ac:dyDescent="0.2">
      <c r="A217" s="16">
        <v>47880</v>
      </c>
      <c r="B217" s="10">
        <f>35.2229 * CHOOSE(CONTROL!$C$9, $D$9, 100%, $F$9) + CHOOSE(CONTROL!$C$27, 0.0021, 0)</f>
        <v>35.225000000000001</v>
      </c>
      <c r="C217" s="10">
        <f>34.7906 * CHOOSE(CONTROL!$C$9, $D$9, 100%, $F$9) + CHOOSE(CONTROL!$C$27, 0.0021, 0)</f>
        <v>34.792699999999996</v>
      </c>
      <c r="D217" s="10">
        <f>34.7906 * CHOOSE(CONTROL!$C$9, $D$9, 100%, $F$9) + CHOOSE(CONTROL!$C$27, 0.0021, 0)</f>
        <v>34.792699999999996</v>
      </c>
      <c r="E217" s="10">
        <f>34.654 * CHOOSE(CONTROL!$C$9, $D$9, 100%, $F$9) + CHOOSE(CONTROL!$C$27, 0.0021, 0)</f>
        <v>34.656100000000002</v>
      </c>
      <c r="F217" s="10">
        <f>34.654 * CHOOSE(CONTROL!$C$9, $D$9, 100%, $F$9) + CHOOSE(CONTROL!$C$27, 0.0021, 0)</f>
        <v>34.656100000000002</v>
      </c>
      <c r="G217" s="10">
        <f>34.9253 * CHOOSE(CONTROL!$C$9, $D$9, 100%, $F$9) + CHOOSE(CONTROL!$C$27, 0.0021, 0)</f>
        <v>34.927399999999999</v>
      </c>
      <c r="H217" s="10">
        <f>34.7906 * CHOOSE(CONTROL!$C$9, $D$9, 100%, $F$9) + CHOOSE(CONTROL!$C$27, 0.0021, 0)</f>
        <v>34.792699999999996</v>
      </c>
      <c r="I217" s="10">
        <f>34.7906 * CHOOSE(CONTROL!$C$9, $D$9, 100%, $F$9) + CHOOSE(CONTROL!$C$27, 0.0021, 0)</f>
        <v>34.792699999999996</v>
      </c>
      <c r="J217" s="10">
        <f>34.7906 * CHOOSE(CONTROL!$C$9, $D$9, 100%, $F$9) + CHOOSE(CONTROL!$C$27, 0.0021, 0)</f>
        <v>34.792699999999996</v>
      </c>
      <c r="K217" s="10">
        <f>34.7906 * CHOOSE(CONTROL!$C$9, $D$9, 100%, $F$9) + CHOOSE(CONTROL!$C$27, 0.0021, 0)</f>
        <v>34.792699999999996</v>
      </c>
      <c r="L217" s="10"/>
    </row>
    <row r="218" spans="1:12" ht="15" x14ac:dyDescent="0.2">
      <c r="A218" s="16">
        <v>47908</v>
      </c>
      <c r="B218" s="10">
        <f>34.8272 * CHOOSE(CONTROL!$C$9, $D$9, 100%, $F$9) + CHOOSE(CONTROL!$C$27, 0.0021, 0)</f>
        <v>34.829299999999996</v>
      </c>
      <c r="C218" s="10">
        <f>34.3949 * CHOOSE(CONTROL!$C$9, $D$9, 100%, $F$9) + CHOOSE(CONTROL!$C$27, 0.0021, 0)</f>
        <v>34.396999999999998</v>
      </c>
      <c r="D218" s="10">
        <f>34.3949 * CHOOSE(CONTROL!$C$9, $D$9, 100%, $F$9) + CHOOSE(CONTROL!$C$27, 0.0021, 0)</f>
        <v>34.396999999999998</v>
      </c>
      <c r="E218" s="10">
        <f>34.2583 * CHOOSE(CONTROL!$C$9, $D$9, 100%, $F$9) + CHOOSE(CONTROL!$C$27, 0.0021, 0)</f>
        <v>34.260399999999997</v>
      </c>
      <c r="F218" s="10">
        <f>34.2583 * CHOOSE(CONTROL!$C$9, $D$9, 100%, $F$9) + CHOOSE(CONTROL!$C$27, 0.0021, 0)</f>
        <v>34.260399999999997</v>
      </c>
      <c r="G218" s="10">
        <f>34.5297 * CHOOSE(CONTROL!$C$9, $D$9, 100%, $F$9) + CHOOSE(CONTROL!$C$27, 0.0021, 0)</f>
        <v>34.531799999999997</v>
      </c>
      <c r="H218" s="10">
        <f>34.3949 * CHOOSE(CONTROL!$C$9, $D$9, 100%, $F$9) + CHOOSE(CONTROL!$C$27, 0.0021, 0)</f>
        <v>34.396999999999998</v>
      </c>
      <c r="I218" s="10">
        <f>34.3949 * CHOOSE(CONTROL!$C$9, $D$9, 100%, $F$9) + CHOOSE(CONTROL!$C$27, 0.0021, 0)</f>
        <v>34.396999999999998</v>
      </c>
      <c r="J218" s="10">
        <f>34.3949 * CHOOSE(CONTROL!$C$9, $D$9, 100%, $F$9) + CHOOSE(CONTROL!$C$27, 0.0021, 0)</f>
        <v>34.396999999999998</v>
      </c>
      <c r="K218" s="10">
        <f>34.3949 * CHOOSE(CONTROL!$C$9, $D$9, 100%, $F$9) + CHOOSE(CONTROL!$C$27, 0.0021, 0)</f>
        <v>34.396999999999998</v>
      </c>
      <c r="L218" s="10"/>
    </row>
    <row r="219" spans="1:12" ht="15" x14ac:dyDescent="0.2">
      <c r="A219" s="16">
        <v>47939</v>
      </c>
      <c r="B219" s="10">
        <f>34.3547 * CHOOSE(CONTROL!$C$9, $D$9, 100%, $F$9) + CHOOSE(CONTROL!$C$27, 0.0021, 0)</f>
        <v>34.3568</v>
      </c>
      <c r="C219" s="10">
        <f>33.9225 * CHOOSE(CONTROL!$C$9, $D$9, 100%, $F$9) + CHOOSE(CONTROL!$C$27, 0.0021, 0)</f>
        <v>33.924599999999998</v>
      </c>
      <c r="D219" s="10">
        <f>33.9225 * CHOOSE(CONTROL!$C$9, $D$9, 100%, $F$9) + CHOOSE(CONTROL!$C$27, 0.0021, 0)</f>
        <v>33.924599999999998</v>
      </c>
      <c r="E219" s="10">
        <f>33.7858 * CHOOSE(CONTROL!$C$9, $D$9, 100%, $F$9) + CHOOSE(CONTROL!$C$27, 0.0021, 0)</f>
        <v>33.7879</v>
      </c>
      <c r="F219" s="10">
        <f>33.7858 * CHOOSE(CONTROL!$C$9, $D$9, 100%, $F$9) + CHOOSE(CONTROL!$C$27, 0.0021, 0)</f>
        <v>33.7879</v>
      </c>
      <c r="G219" s="10">
        <f>34.0572 * CHOOSE(CONTROL!$C$9, $D$9, 100%, $F$9) + CHOOSE(CONTROL!$C$27, 0.0021, 0)</f>
        <v>34.0593</v>
      </c>
      <c r="H219" s="10">
        <f>33.9225 * CHOOSE(CONTROL!$C$9, $D$9, 100%, $F$9) + CHOOSE(CONTROL!$C$27, 0.0021, 0)</f>
        <v>33.924599999999998</v>
      </c>
      <c r="I219" s="10">
        <f>33.9225 * CHOOSE(CONTROL!$C$9, $D$9, 100%, $F$9) + CHOOSE(CONTROL!$C$27, 0.0021, 0)</f>
        <v>33.924599999999998</v>
      </c>
      <c r="J219" s="10">
        <f>33.9225 * CHOOSE(CONTROL!$C$9, $D$9, 100%, $F$9) + CHOOSE(CONTROL!$C$27, 0.0021, 0)</f>
        <v>33.924599999999998</v>
      </c>
      <c r="K219" s="10">
        <f>33.9225 * CHOOSE(CONTROL!$C$9, $D$9, 100%, $F$9) + CHOOSE(CONTROL!$C$27, 0.0021, 0)</f>
        <v>33.924599999999998</v>
      </c>
      <c r="L219" s="10"/>
    </row>
    <row r="220" spans="1:12" ht="15" x14ac:dyDescent="0.2">
      <c r="A220" s="16">
        <v>47969</v>
      </c>
      <c r="B220" s="10">
        <f>35.028 * CHOOSE(CONTROL!$C$9, $D$9, 100%, $F$9) + CHOOSE(CONTROL!$C$27, 0.0021, 0)</f>
        <v>35.030099999999997</v>
      </c>
      <c r="C220" s="10">
        <f>34.5958 * CHOOSE(CONTROL!$C$9, $D$9, 100%, $F$9) + CHOOSE(CONTROL!$C$27, 0.0021, 0)</f>
        <v>34.597899999999996</v>
      </c>
      <c r="D220" s="10">
        <f>34.5958 * CHOOSE(CONTROL!$C$9, $D$9, 100%, $F$9) + CHOOSE(CONTROL!$C$27, 0.0021, 0)</f>
        <v>34.597899999999996</v>
      </c>
      <c r="E220" s="10">
        <f>34.4591 * CHOOSE(CONTROL!$C$9, $D$9, 100%, $F$9) + CHOOSE(CONTROL!$C$27, 0.0021, 0)</f>
        <v>34.461199999999998</v>
      </c>
      <c r="F220" s="10">
        <f>34.4591 * CHOOSE(CONTROL!$C$9, $D$9, 100%, $F$9) + CHOOSE(CONTROL!$C$27, 0.0021, 0)</f>
        <v>34.461199999999998</v>
      </c>
      <c r="G220" s="10">
        <f>34.7305 * CHOOSE(CONTROL!$C$9, $D$9, 100%, $F$9) + CHOOSE(CONTROL!$C$27, 0.0021, 0)</f>
        <v>34.732599999999998</v>
      </c>
      <c r="H220" s="10">
        <f>34.5958 * CHOOSE(CONTROL!$C$9, $D$9, 100%, $F$9) + CHOOSE(CONTROL!$C$27, 0.0021, 0)</f>
        <v>34.597899999999996</v>
      </c>
      <c r="I220" s="10">
        <f>34.5958 * CHOOSE(CONTROL!$C$9, $D$9, 100%, $F$9) + CHOOSE(CONTROL!$C$27, 0.0021, 0)</f>
        <v>34.597899999999996</v>
      </c>
      <c r="J220" s="10">
        <f>34.5958 * CHOOSE(CONTROL!$C$9, $D$9, 100%, $F$9) + CHOOSE(CONTROL!$C$27, 0.0021, 0)</f>
        <v>34.597899999999996</v>
      </c>
      <c r="K220" s="10">
        <f>34.5958 * CHOOSE(CONTROL!$C$9, $D$9, 100%, $F$9) + CHOOSE(CONTROL!$C$27, 0.0021, 0)</f>
        <v>34.597899999999996</v>
      </c>
      <c r="L220" s="10"/>
    </row>
    <row r="221" spans="1:12" ht="15" x14ac:dyDescent="0.2">
      <c r="A221" s="16">
        <v>48000</v>
      </c>
      <c r="B221" s="10">
        <f>35.4313 * CHOOSE(CONTROL!$C$9, $D$9, 100%, $F$9) + CHOOSE(CONTROL!$C$27, 0.0021, 0)</f>
        <v>35.433399999999999</v>
      </c>
      <c r="C221" s="10">
        <f>34.9991 * CHOOSE(CONTROL!$C$9, $D$9, 100%, $F$9) + CHOOSE(CONTROL!$C$27, 0.0021, 0)</f>
        <v>35.001199999999997</v>
      </c>
      <c r="D221" s="10">
        <f>34.9991 * CHOOSE(CONTROL!$C$9, $D$9, 100%, $F$9) + CHOOSE(CONTROL!$C$27, 0.0021, 0)</f>
        <v>35.001199999999997</v>
      </c>
      <c r="E221" s="10">
        <f>34.8624 * CHOOSE(CONTROL!$C$9, $D$9, 100%, $F$9) + CHOOSE(CONTROL!$C$27, 0.0021, 0)</f>
        <v>34.8645</v>
      </c>
      <c r="F221" s="10">
        <f>34.8624 * CHOOSE(CONTROL!$C$9, $D$9, 100%, $F$9) + CHOOSE(CONTROL!$C$27, 0.0021, 0)</f>
        <v>34.8645</v>
      </c>
      <c r="G221" s="10">
        <f>35.1338 * CHOOSE(CONTROL!$C$9, $D$9, 100%, $F$9) + CHOOSE(CONTROL!$C$27, 0.0021, 0)</f>
        <v>35.135899999999999</v>
      </c>
      <c r="H221" s="10">
        <f>34.9991 * CHOOSE(CONTROL!$C$9, $D$9, 100%, $F$9) + CHOOSE(CONTROL!$C$27, 0.0021, 0)</f>
        <v>35.001199999999997</v>
      </c>
      <c r="I221" s="10">
        <f>34.9991 * CHOOSE(CONTROL!$C$9, $D$9, 100%, $F$9) + CHOOSE(CONTROL!$C$27, 0.0021, 0)</f>
        <v>35.001199999999997</v>
      </c>
      <c r="J221" s="10">
        <f>34.9991 * CHOOSE(CONTROL!$C$9, $D$9, 100%, $F$9) + CHOOSE(CONTROL!$C$27, 0.0021, 0)</f>
        <v>35.001199999999997</v>
      </c>
      <c r="K221" s="10">
        <f>34.9991 * CHOOSE(CONTROL!$C$9, $D$9, 100%, $F$9) + CHOOSE(CONTROL!$C$27, 0.0021, 0)</f>
        <v>35.001199999999997</v>
      </c>
      <c r="L221" s="10"/>
    </row>
    <row r="222" spans="1:12" ht="15" x14ac:dyDescent="0.2">
      <c r="A222" s="16">
        <v>48030</v>
      </c>
      <c r="B222" s="10">
        <f>36.0966 * CHOOSE(CONTROL!$C$9, $D$9, 100%, $F$9) + CHOOSE(CONTROL!$C$27, 0.0021, 0)</f>
        <v>36.098700000000001</v>
      </c>
      <c r="C222" s="10">
        <f>35.6644 * CHOOSE(CONTROL!$C$9, $D$9, 100%, $F$9) + CHOOSE(CONTROL!$C$27, 0.0021, 0)</f>
        <v>35.666499999999999</v>
      </c>
      <c r="D222" s="10">
        <f>35.6644 * CHOOSE(CONTROL!$C$9, $D$9, 100%, $F$9) + CHOOSE(CONTROL!$C$27, 0.0021, 0)</f>
        <v>35.666499999999999</v>
      </c>
      <c r="E222" s="10">
        <f>35.5277 * CHOOSE(CONTROL!$C$9, $D$9, 100%, $F$9) + CHOOSE(CONTROL!$C$27, 0.0021, 0)</f>
        <v>35.529800000000002</v>
      </c>
      <c r="F222" s="10">
        <f>35.5277 * CHOOSE(CONTROL!$C$9, $D$9, 100%, $F$9) + CHOOSE(CONTROL!$C$27, 0.0021, 0)</f>
        <v>35.529800000000002</v>
      </c>
      <c r="G222" s="10">
        <f>35.7991 * CHOOSE(CONTROL!$C$9, $D$9, 100%, $F$9) + CHOOSE(CONTROL!$C$27, 0.0021, 0)</f>
        <v>35.801200000000001</v>
      </c>
      <c r="H222" s="10">
        <f>35.6644 * CHOOSE(CONTROL!$C$9, $D$9, 100%, $F$9) + CHOOSE(CONTROL!$C$27, 0.0021, 0)</f>
        <v>35.666499999999999</v>
      </c>
      <c r="I222" s="10">
        <f>35.6644 * CHOOSE(CONTROL!$C$9, $D$9, 100%, $F$9) + CHOOSE(CONTROL!$C$27, 0.0021, 0)</f>
        <v>35.666499999999999</v>
      </c>
      <c r="J222" s="10">
        <f>35.6644 * CHOOSE(CONTROL!$C$9, $D$9, 100%, $F$9) + CHOOSE(CONTROL!$C$27, 0.0021, 0)</f>
        <v>35.666499999999999</v>
      </c>
      <c r="K222" s="10">
        <f>35.6644 * CHOOSE(CONTROL!$C$9, $D$9, 100%, $F$9) + CHOOSE(CONTROL!$C$27, 0.0021, 0)</f>
        <v>35.666499999999999</v>
      </c>
      <c r="L222" s="10"/>
    </row>
    <row r="223" spans="1:12" ht="15" x14ac:dyDescent="0.2">
      <c r="A223" s="16">
        <v>48061</v>
      </c>
      <c r="B223" s="10">
        <f>36.2997 * CHOOSE(CONTROL!$C$9, $D$9, 100%, $F$9) + CHOOSE(CONTROL!$C$27, 0.0021, 0)</f>
        <v>36.3018</v>
      </c>
      <c r="C223" s="10">
        <f>35.8674 * CHOOSE(CONTROL!$C$9, $D$9, 100%, $F$9) + CHOOSE(CONTROL!$C$27, 0.0021, 0)</f>
        <v>35.869500000000002</v>
      </c>
      <c r="D223" s="10">
        <f>35.8674 * CHOOSE(CONTROL!$C$9, $D$9, 100%, $F$9) + CHOOSE(CONTROL!$C$27, 0.0021, 0)</f>
        <v>35.869500000000002</v>
      </c>
      <c r="E223" s="10">
        <f>35.7308 * CHOOSE(CONTROL!$C$9, $D$9, 100%, $F$9) + CHOOSE(CONTROL!$C$27, 0.0021, 0)</f>
        <v>35.732900000000001</v>
      </c>
      <c r="F223" s="10">
        <f>35.7308 * CHOOSE(CONTROL!$C$9, $D$9, 100%, $F$9) + CHOOSE(CONTROL!$C$27, 0.0021, 0)</f>
        <v>35.732900000000001</v>
      </c>
      <c r="G223" s="10">
        <f>36.0022 * CHOOSE(CONTROL!$C$9, $D$9, 100%, $F$9) + CHOOSE(CONTROL!$C$27, 0.0021, 0)</f>
        <v>36.004300000000001</v>
      </c>
      <c r="H223" s="10">
        <f>35.8674 * CHOOSE(CONTROL!$C$9, $D$9, 100%, $F$9) + CHOOSE(CONTROL!$C$27, 0.0021, 0)</f>
        <v>35.869500000000002</v>
      </c>
      <c r="I223" s="10">
        <f>35.8674 * CHOOSE(CONTROL!$C$9, $D$9, 100%, $F$9) + CHOOSE(CONTROL!$C$27, 0.0021, 0)</f>
        <v>35.869500000000002</v>
      </c>
      <c r="J223" s="10">
        <f>35.8674 * CHOOSE(CONTROL!$C$9, $D$9, 100%, $F$9) + CHOOSE(CONTROL!$C$27, 0.0021, 0)</f>
        <v>35.869500000000002</v>
      </c>
      <c r="K223" s="10">
        <f>35.8674 * CHOOSE(CONTROL!$C$9, $D$9, 100%, $F$9) + CHOOSE(CONTROL!$C$27, 0.0021, 0)</f>
        <v>35.869500000000002</v>
      </c>
      <c r="L223" s="10"/>
    </row>
    <row r="224" spans="1:12" ht="15" x14ac:dyDescent="0.2">
      <c r="A224" s="16">
        <v>48092</v>
      </c>
      <c r="B224" s="10">
        <f>36.9912 * CHOOSE(CONTROL!$C$9, $D$9, 100%, $F$9) + CHOOSE(CONTROL!$C$27, 0.0021, 0)</f>
        <v>36.993299999999998</v>
      </c>
      <c r="C224" s="10">
        <f>36.559 * CHOOSE(CONTROL!$C$9, $D$9, 100%, $F$9) + CHOOSE(CONTROL!$C$27, 0.0021, 0)</f>
        <v>36.561099999999996</v>
      </c>
      <c r="D224" s="10">
        <f>36.559 * CHOOSE(CONTROL!$C$9, $D$9, 100%, $F$9) + CHOOSE(CONTROL!$C$27, 0.0021, 0)</f>
        <v>36.561099999999996</v>
      </c>
      <c r="E224" s="10">
        <f>36.4223 * CHOOSE(CONTROL!$C$9, $D$9, 100%, $F$9) + CHOOSE(CONTROL!$C$27, 0.0021, 0)</f>
        <v>36.424399999999999</v>
      </c>
      <c r="F224" s="10">
        <f>36.4223 * CHOOSE(CONTROL!$C$9, $D$9, 100%, $F$9) + CHOOSE(CONTROL!$C$27, 0.0021, 0)</f>
        <v>36.424399999999999</v>
      </c>
      <c r="G224" s="10">
        <f>36.6937 * CHOOSE(CONTROL!$C$9, $D$9, 100%, $F$9) + CHOOSE(CONTROL!$C$27, 0.0021, 0)</f>
        <v>36.695799999999998</v>
      </c>
      <c r="H224" s="10">
        <f>36.559 * CHOOSE(CONTROL!$C$9, $D$9, 100%, $F$9) + CHOOSE(CONTROL!$C$27, 0.0021, 0)</f>
        <v>36.561099999999996</v>
      </c>
      <c r="I224" s="10">
        <f>36.559 * CHOOSE(CONTROL!$C$9, $D$9, 100%, $F$9) + CHOOSE(CONTROL!$C$27, 0.0021, 0)</f>
        <v>36.561099999999996</v>
      </c>
      <c r="J224" s="10">
        <f>36.559 * CHOOSE(CONTROL!$C$9, $D$9, 100%, $F$9) + CHOOSE(CONTROL!$C$27, 0.0021, 0)</f>
        <v>36.561099999999996</v>
      </c>
      <c r="K224" s="10">
        <f>36.559 * CHOOSE(CONTROL!$C$9, $D$9, 100%, $F$9) + CHOOSE(CONTROL!$C$27, 0.0021, 0)</f>
        <v>36.561099999999996</v>
      </c>
      <c r="L224" s="10"/>
    </row>
    <row r="225" spans="1:12" ht="15" x14ac:dyDescent="0.2">
      <c r="A225" s="16">
        <v>48122</v>
      </c>
      <c r="B225" s="10">
        <f>37.8666 * CHOOSE(CONTROL!$C$9, $D$9, 100%, $F$9) + CHOOSE(CONTROL!$C$27, 0.0021, 0)</f>
        <v>37.868699999999997</v>
      </c>
      <c r="C225" s="10">
        <f>37.4343 * CHOOSE(CONTROL!$C$9, $D$9, 100%, $F$9) + CHOOSE(CONTROL!$C$27, 0.0021, 0)</f>
        <v>37.436399999999999</v>
      </c>
      <c r="D225" s="10">
        <f>37.4343 * CHOOSE(CONTROL!$C$9, $D$9, 100%, $F$9) + CHOOSE(CONTROL!$C$27, 0.0021, 0)</f>
        <v>37.436399999999999</v>
      </c>
      <c r="E225" s="10">
        <f>37.2977 * CHOOSE(CONTROL!$C$9, $D$9, 100%, $F$9) + CHOOSE(CONTROL!$C$27, 0.0021, 0)</f>
        <v>37.299799999999998</v>
      </c>
      <c r="F225" s="10">
        <f>37.2977 * CHOOSE(CONTROL!$C$9, $D$9, 100%, $F$9) + CHOOSE(CONTROL!$C$27, 0.0021, 0)</f>
        <v>37.299799999999998</v>
      </c>
      <c r="G225" s="10">
        <f>37.5691 * CHOOSE(CONTROL!$C$9, $D$9, 100%, $F$9) + CHOOSE(CONTROL!$C$27, 0.0021, 0)</f>
        <v>37.571199999999997</v>
      </c>
      <c r="H225" s="10">
        <f>37.4343 * CHOOSE(CONTROL!$C$9, $D$9, 100%, $F$9) + CHOOSE(CONTROL!$C$27, 0.0021, 0)</f>
        <v>37.436399999999999</v>
      </c>
      <c r="I225" s="10">
        <f>37.4343 * CHOOSE(CONTROL!$C$9, $D$9, 100%, $F$9) + CHOOSE(CONTROL!$C$27, 0.0021, 0)</f>
        <v>37.436399999999999</v>
      </c>
      <c r="J225" s="10">
        <f>37.4343 * CHOOSE(CONTROL!$C$9, $D$9, 100%, $F$9) + CHOOSE(CONTROL!$C$27, 0.0021, 0)</f>
        <v>37.436399999999999</v>
      </c>
      <c r="K225" s="10">
        <f>37.4343 * CHOOSE(CONTROL!$C$9, $D$9, 100%, $F$9) + CHOOSE(CONTROL!$C$27, 0.0021, 0)</f>
        <v>37.436399999999999</v>
      </c>
      <c r="L225" s="10"/>
    </row>
    <row r="226" spans="1:12" ht="15" x14ac:dyDescent="0.2">
      <c r="A226" s="16">
        <v>48153</v>
      </c>
      <c r="B226" s="10">
        <f>37.9488 * CHOOSE(CONTROL!$C$9, $D$9, 100%, $F$9) + CHOOSE(CONTROL!$C$27, 0.0021, 0)</f>
        <v>37.950899999999997</v>
      </c>
      <c r="C226" s="10">
        <f>37.5165 * CHOOSE(CONTROL!$C$9, $D$9, 100%, $F$9) + CHOOSE(CONTROL!$C$27, 0.0021, 0)</f>
        <v>37.518599999999999</v>
      </c>
      <c r="D226" s="10">
        <f>37.5165 * CHOOSE(CONTROL!$C$9, $D$9, 100%, $F$9) + CHOOSE(CONTROL!$C$27, 0.0021, 0)</f>
        <v>37.518599999999999</v>
      </c>
      <c r="E226" s="10">
        <f>37.3799 * CHOOSE(CONTROL!$C$9, $D$9, 100%, $F$9) + CHOOSE(CONTROL!$C$27, 0.0021, 0)</f>
        <v>37.381999999999998</v>
      </c>
      <c r="F226" s="10">
        <f>37.3799 * CHOOSE(CONTROL!$C$9, $D$9, 100%, $F$9) + CHOOSE(CONTROL!$C$27, 0.0021, 0)</f>
        <v>37.381999999999998</v>
      </c>
      <c r="G226" s="10">
        <f>37.6512 * CHOOSE(CONTROL!$C$9, $D$9, 100%, $F$9) + CHOOSE(CONTROL!$C$27, 0.0021, 0)</f>
        <v>37.653300000000002</v>
      </c>
      <c r="H226" s="10">
        <f>37.5165 * CHOOSE(CONTROL!$C$9, $D$9, 100%, $F$9) + CHOOSE(CONTROL!$C$27, 0.0021, 0)</f>
        <v>37.518599999999999</v>
      </c>
      <c r="I226" s="10">
        <f>37.5165 * CHOOSE(CONTROL!$C$9, $D$9, 100%, $F$9) + CHOOSE(CONTROL!$C$27, 0.0021, 0)</f>
        <v>37.518599999999999</v>
      </c>
      <c r="J226" s="10">
        <f>37.5165 * CHOOSE(CONTROL!$C$9, $D$9, 100%, $F$9) + CHOOSE(CONTROL!$C$27, 0.0021, 0)</f>
        <v>37.518599999999999</v>
      </c>
      <c r="K226" s="10">
        <f>37.5165 * CHOOSE(CONTROL!$C$9, $D$9, 100%, $F$9) + CHOOSE(CONTROL!$C$27, 0.0021, 0)</f>
        <v>37.518599999999999</v>
      </c>
      <c r="L226" s="10"/>
    </row>
    <row r="227" spans="1:12" ht="15" x14ac:dyDescent="0.2">
      <c r="A227" s="16">
        <v>48183</v>
      </c>
      <c r="B227" s="10">
        <f>37.2496 * CHOOSE(CONTROL!$C$9, $D$9, 100%, $F$9) + CHOOSE(CONTROL!$C$27, 0.0021, 0)</f>
        <v>37.2517</v>
      </c>
      <c r="C227" s="10">
        <f>36.8174 * CHOOSE(CONTROL!$C$9, $D$9, 100%, $F$9) + CHOOSE(CONTROL!$C$27, 0.0021, 0)</f>
        <v>36.819499999999998</v>
      </c>
      <c r="D227" s="10">
        <f>36.8174 * CHOOSE(CONTROL!$C$9, $D$9, 100%, $F$9) + CHOOSE(CONTROL!$C$27, 0.0021, 0)</f>
        <v>36.819499999999998</v>
      </c>
      <c r="E227" s="10">
        <f>36.6807 * CHOOSE(CONTROL!$C$9, $D$9, 100%, $F$9) + CHOOSE(CONTROL!$C$27, 0.0021, 0)</f>
        <v>36.6828</v>
      </c>
      <c r="F227" s="10">
        <f>36.6807 * CHOOSE(CONTROL!$C$9, $D$9, 100%, $F$9) + CHOOSE(CONTROL!$C$27, 0.0021, 0)</f>
        <v>36.6828</v>
      </c>
      <c r="G227" s="10">
        <f>36.9521 * CHOOSE(CONTROL!$C$9, $D$9, 100%, $F$9) + CHOOSE(CONTROL!$C$27, 0.0021, 0)</f>
        <v>36.9542</v>
      </c>
      <c r="H227" s="10">
        <f>36.8174 * CHOOSE(CONTROL!$C$9, $D$9, 100%, $F$9) + CHOOSE(CONTROL!$C$27, 0.0021, 0)</f>
        <v>36.819499999999998</v>
      </c>
      <c r="I227" s="10">
        <f>36.8174 * CHOOSE(CONTROL!$C$9, $D$9, 100%, $F$9) + CHOOSE(CONTROL!$C$27, 0.0021, 0)</f>
        <v>36.819499999999998</v>
      </c>
      <c r="J227" s="10">
        <f>36.8174 * CHOOSE(CONTROL!$C$9, $D$9, 100%, $F$9) + CHOOSE(CONTROL!$C$27, 0.0021, 0)</f>
        <v>36.819499999999998</v>
      </c>
      <c r="K227" s="10">
        <f>36.8174 * CHOOSE(CONTROL!$C$9, $D$9, 100%, $F$9) + CHOOSE(CONTROL!$C$27, 0.0021, 0)</f>
        <v>36.819499999999998</v>
      </c>
      <c r="L227" s="10"/>
    </row>
    <row r="228" spans="1:12" ht="15" x14ac:dyDescent="0.2">
      <c r="A228" s="16">
        <v>48214</v>
      </c>
      <c r="B228" s="10">
        <f>36.7143 * CHOOSE(CONTROL!$C$9, $D$9, 100%, $F$9) + CHOOSE(CONTROL!$C$27, 0.0021, 0)</f>
        <v>36.7164</v>
      </c>
      <c r="C228" s="10">
        <f>36.2821 * CHOOSE(CONTROL!$C$9, $D$9, 100%, $F$9) + CHOOSE(CONTROL!$C$27, 0.0021, 0)</f>
        <v>36.284199999999998</v>
      </c>
      <c r="D228" s="10">
        <f>36.2821 * CHOOSE(CONTROL!$C$9, $D$9, 100%, $F$9) + CHOOSE(CONTROL!$C$27, 0.0021, 0)</f>
        <v>36.284199999999998</v>
      </c>
      <c r="E228" s="10">
        <f>36.1454 * CHOOSE(CONTROL!$C$9, $D$9, 100%, $F$9) + CHOOSE(CONTROL!$C$27, 0.0021, 0)</f>
        <v>36.147500000000001</v>
      </c>
      <c r="F228" s="10">
        <f>36.1454 * CHOOSE(CONTROL!$C$9, $D$9, 100%, $F$9) + CHOOSE(CONTROL!$C$27, 0.0021, 0)</f>
        <v>36.147500000000001</v>
      </c>
      <c r="G228" s="10">
        <f>36.4168 * CHOOSE(CONTROL!$C$9, $D$9, 100%, $F$9) + CHOOSE(CONTROL!$C$27, 0.0021, 0)</f>
        <v>36.418900000000001</v>
      </c>
      <c r="H228" s="10">
        <f>36.2821 * CHOOSE(CONTROL!$C$9, $D$9, 100%, $F$9) + CHOOSE(CONTROL!$C$27, 0.0021, 0)</f>
        <v>36.284199999999998</v>
      </c>
      <c r="I228" s="10">
        <f>36.2821 * CHOOSE(CONTROL!$C$9, $D$9, 100%, $F$9) + CHOOSE(CONTROL!$C$27, 0.0021, 0)</f>
        <v>36.284199999999998</v>
      </c>
      <c r="J228" s="10">
        <f>36.2821 * CHOOSE(CONTROL!$C$9, $D$9, 100%, $F$9) + CHOOSE(CONTROL!$C$27, 0.0021, 0)</f>
        <v>36.284199999999998</v>
      </c>
      <c r="K228" s="10">
        <f>36.2821 * CHOOSE(CONTROL!$C$9, $D$9, 100%, $F$9) + CHOOSE(CONTROL!$C$27, 0.0021, 0)</f>
        <v>36.284199999999998</v>
      </c>
      <c r="L228" s="10"/>
    </row>
    <row r="229" spans="1:12" ht="15" x14ac:dyDescent="0.2">
      <c r="A229" s="16">
        <v>48245</v>
      </c>
      <c r="B229" s="10">
        <f>35.7407 * CHOOSE(CONTROL!$C$9, $D$9, 100%, $F$9) + CHOOSE(CONTROL!$C$27, 0.0021, 0)</f>
        <v>35.742799999999995</v>
      </c>
      <c r="C229" s="10">
        <f>35.3085 * CHOOSE(CONTROL!$C$9, $D$9, 100%, $F$9) + CHOOSE(CONTROL!$C$27, 0.0021, 0)</f>
        <v>35.310600000000001</v>
      </c>
      <c r="D229" s="10">
        <f>35.3085 * CHOOSE(CONTROL!$C$9, $D$9, 100%, $F$9) + CHOOSE(CONTROL!$C$27, 0.0021, 0)</f>
        <v>35.310600000000001</v>
      </c>
      <c r="E229" s="10">
        <f>35.1718 * CHOOSE(CONTROL!$C$9, $D$9, 100%, $F$9) + CHOOSE(CONTROL!$C$27, 0.0021, 0)</f>
        <v>35.173899999999996</v>
      </c>
      <c r="F229" s="10">
        <f>35.1718 * CHOOSE(CONTROL!$C$9, $D$9, 100%, $F$9) + CHOOSE(CONTROL!$C$27, 0.0021, 0)</f>
        <v>35.173899999999996</v>
      </c>
      <c r="G229" s="10">
        <f>35.4432 * CHOOSE(CONTROL!$C$9, $D$9, 100%, $F$9) + CHOOSE(CONTROL!$C$27, 0.0021, 0)</f>
        <v>35.445299999999996</v>
      </c>
      <c r="H229" s="10">
        <f>35.3085 * CHOOSE(CONTROL!$C$9, $D$9, 100%, $F$9) + CHOOSE(CONTROL!$C$27, 0.0021, 0)</f>
        <v>35.310600000000001</v>
      </c>
      <c r="I229" s="10">
        <f>35.3085 * CHOOSE(CONTROL!$C$9, $D$9, 100%, $F$9) + CHOOSE(CONTROL!$C$27, 0.0021, 0)</f>
        <v>35.310600000000001</v>
      </c>
      <c r="J229" s="10">
        <f>35.3085 * CHOOSE(CONTROL!$C$9, $D$9, 100%, $F$9) + CHOOSE(CONTROL!$C$27, 0.0021, 0)</f>
        <v>35.310600000000001</v>
      </c>
      <c r="K229" s="10">
        <f>35.3085 * CHOOSE(CONTROL!$C$9, $D$9, 100%, $F$9) + CHOOSE(CONTROL!$C$27, 0.0021, 0)</f>
        <v>35.310600000000001</v>
      </c>
      <c r="L229" s="10"/>
    </row>
    <row r="230" spans="1:12" ht="15" x14ac:dyDescent="0.2">
      <c r="A230" s="16">
        <v>48274</v>
      </c>
      <c r="B230" s="10">
        <f>35.3388 * CHOOSE(CONTROL!$C$9, $D$9, 100%, $F$9) + CHOOSE(CONTROL!$C$27, 0.0021, 0)</f>
        <v>35.340899999999998</v>
      </c>
      <c r="C230" s="10">
        <f>34.9065 * CHOOSE(CONTROL!$C$9, $D$9, 100%, $F$9) + CHOOSE(CONTROL!$C$27, 0.0021, 0)</f>
        <v>34.9086</v>
      </c>
      <c r="D230" s="10">
        <f>34.9065 * CHOOSE(CONTROL!$C$9, $D$9, 100%, $F$9) + CHOOSE(CONTROL!$C$27, 0.0021, 0)</f>
        <v>34.9086</v>
      </c>
      <c r="E230" s="10">
        <f>34.7699 * CHOOSE(CONTROL!$C$9, $D$9, 100%, $F$9) + CHOOSE(CONTROL!$C$27, 0.0021, 0)</f>
        <v>34.771999999999998</v>
      </c>
      <c r="F230" s="10">
        <f>34.7699 * CHOOSE(CONTROL!$C$9, $D$9, 100%, $F$9) + CHOOSE(CONTROL!$C$27, 0.0021, 0)</f>
        <v>34.771999999999998</v>
      </c>
      <c r="G230" s="10">
        <f>35.0413 * CHOOSE(CONTROL!$C$9, $D$9, 100%, $F$9) + CHOOSE(CONTROL!$C$27, 0.0021, 0)</f>
        <v>35.043399999999998</v>
      </c>
      <c r="H230" s="10">
        <f>34.9065 * CHOOSE(CONTROL!$C$9, $D$9, 100%, $F$9) + CHOOSE(CONTROL!$C$27, 0.0021, 0)</f>
        <v>34.9086</v>
      </c>
      <c r="I230" s="10">
        <f>34.9065 * CHOOSE(CONTROL!$C$9, $D$9, 100%, $F$9) + CHOOSE(CONTROL!$C$27, 0.0021, 0)</f>
        <v>34.9086</v>
      </c>
      <c r="J230" s="10">
        <f>34.9065 * CHOOSE(CONTROL!$C$9, $D$9, 100%, $F$9) + CHOOSE(CONTROL!$C$27, 0.0021, 0)</f>
        <v>34.9086</v>
      </c>
      <c r="K230" s="10">
        <f>34.9065 * CHOOSE(CONTROL!$C$9, $D$9, 100%, $F$9) + CHOOSE(CONTROL!$C$27, 0.0021, 0)</f>
        <v>34.9086</v>
      </c>
      <c r="L230" s="10"/>
    </row>
    <row r="231" spans="1:12" ht="15" x14ac:dyDescent="0.2">
      <c r="A231" s="16">
        <v>48305</v>
      </c>
      <c r="B231" s="10">
        <f>34.8589 * CHOOSE(CONTROL!$C$9, $D$9, 100%, $F$9) + CHOOSE(CONTROL!$C$27, 0.0021, 0)</f>
        <v>34.860999999999997</v>
      </c>
      <c r="C231" s="10">
        <f>34.4266 * CHOOSE(CONTROL!$C$9, $D$9, 100%, $F$9) + CHOOSE(CONTROL!$C$27, 0.0021, 0)</f>
        <v>34.428699999999999</v>
      </c>
      <c r="D231" s="10">
        <f>34.4266 * CHOOSE(CONTROL!$C$9, $D$9, 100%, $F$9) + CHOOSE(CONTROL!$C$27, 0.0021, 0)</f>
        <v>34.428699999999999</v>
      </c>
      <c r="E231" s="10">
        <f>34.29 * CHOOSE(CONTROL!$C$9, $D$9, 100%, $F$9) + CHOOSE(CONTROL!$C$27, 0.0021, 0)</f>
        <v>34.292099999999998</v>
      </c>
      <c r="F231" s="10">
        <f>34.29 * CHOOSE(CONTROL!$C$9, $D$9, 100%, $F$9) + CHOOSE(CONTROL!$C$27, 0.0021, 0)</f>
        <v>34.292099999999998</v>
      </c>
      <c r="G231" s="10">
        <f>34.5614 * CHOOSE(CONTROL!$C$9, $D$9, 100%, $F$9) + CHOOSE(CONTROL!$C$27, 0.0021, 0)</f>
        <v>34.563499999999998</v>
      </c>
      <c r="H231" s="10">
        <f>34.4266 * CHOOSE(CONTROL!$C$9, $D$9, 100%, $F$9) + CHOOSE(CONTROL!$C$27, 0.0021, 0)</f>
        <v>34.428699999999999</v>
      </c>
      <c r="I231" s="10">
        <f>34.4266 * CHOOSE(CONTROL!$C$9, $D$9, 100%, $F$9) + CHOOSE(CONTROL!$C$27, 0.0021, 0)</f>
        <v>34.428699999999999</v>
      </c>
      <c r="J231" s="10">
        <f>34.4266 * CHOOSE(CONTROL!$C$9, $D$9, 100%, $F$9) + CHOOSE(CONTROL!$C$27, 0.0021, 0)</f>
        <v>34.428699999999999</v>
      </c>
      <c r="K231" s="10">
        <f>34.4266 * CHOOSE(CONTROL!$C$9, $D$9, 100%, $F$9) + CHOOSE(CONTROL!$C$27, 0.0021, 0)</f>
        <v>34.428699999999999</v>
      </c>
      <c r="L231" s="10"/>
    </row>
    <row r="232" spans="1:12" ht="15" x14ac:dyDescent="0.2">
      <c r="A232" s="16">
        <v>48335</v>
      </c>
      <c r="B232" s="10">
        <f>35.5428 * CHOOSE(CONTROL!$C$9, $D$9, 100%, $F$9) + CHOOSE(CONTROL!$C$27, 0.0021, 0)</f>
        <v>35.544899999999998</v>
      </c>
      <c r="C232" s="10">
        <f>35.1106 * CHOOSE(CONTROL!$C$9, $D$9, 100%, $F$9) + CHOOSE(CONTROL!$C$27, 0.0021, 0)</f>
        <v>35.112699999999997</v>
      </c>
      <c r="D232" s="10">
        <f>35.1106 * CHOOSE(CONTROL!$C$9, $D$9, 100%, $F$9) + CHOOSE(CONTROL!$C$27, 0.0021, 0)</f>
        <v>35.112699999999997</v>
      </c>
      <c r="E232" s="10">
        <f>34.9739 * CHOOSE(CONTROL!$C$9, $D$9, 100%, $F$9) + CHOOSE(CONTROL!$C$27, 0.0021, 0)</f>
        <v>34.975999999999999</v>
      </c>
      <c r="F232" s="10">
        <f>34.9739 * CHOOSE(CONTROL!$C$9, $D$9, 100%, $F$9) + CHOOSE(CONTROL!$C$27, 0.0021, 0)</f>
        <v>34.975999999999999</v>
      </c>
      <c r="G232" s="10">
        <f>35.2453 * CHOOSE(CONTROL!$C$9, $D$9, 100%, $F$9) + CHOOSE(CONTROL!$C$27, 0.0021, 0)</f>
        <v>35.247399999999999</v>
      </c>
      <c r="H232" s="10">
        <f>35.1106 * CHOOSE(CONTROL!$C$9, $D$9, 100%, $F$9) + CHOOSE(CONTROL!$C$27, 0.0021, 0)</f>
        <v>35.112699999999997</v>
      </c>
      <c r="I232" s="10">
        <f>35.1106 * CHOOSE(CONTROL!$C$9, $D$9, 100%, $F$9) + CHOOSE(CONTROL!$C$27, 0.0021, 0)</f>
        <v>35.112699999999997</v>
      </c>
      <c r="J232" s="10">
        <f>35.1106 * CHOOSE(CONTROL!$C$9, $D$9, 100%, $F$9) + CHOOSE(CONTROL!$C$27, 0.0021, 0)</f>
        <v>35.112699999999997</v>
      </c>
      <c r="K232" s="10">
        <f>35.1106 * CHOOSE(CONTROL!$C$9, $D$9, 100%, $F$9) + CHOOSE(CONTROL!$C$27, 0.0021, 0)</f>
        <v>35.112699999999997</v>
      </c>
      <c r="L232" s="10"/>
    </row>
    <row r="233" spans="1:12" ht="15" x14ac:dyDescent="0.2">
      <c r="A233" s="16">
        <v>48366</v>
      </c>
      <c r="B233" s="10">
        <f>35.9524 * CHOOSE(CONTROL!$C$9, $D$9, 100%, $F$9) + CHOOSE(CONTROL!$C$27, 0.0021, 0)</f>
        <v>35.954499999999996</v>
      </c>
      <c r="C233" s="10">
        <f>35.5202 * CHOOSE(CONTROL!$C$9, $D$9, 100%, $F$9) + CHOOSE(CONTROL!$C$27, 0.0021, 0)</f>
        <v>35.522300000000001</v>
      </c>
      <c r="D233" s="10">
        <f>35.5202 * CHOOSE(CONTROL!$C$9, $D$9, 100%, $F$9) + CHOOSE(CONTROL!$C$27, 0.0021, 0)</f>
        <v>35.522300000000001</v>
      </c>
      <c r="E233" s="10">
        <f>35.3835 * CHOOSE(CONTROL!$C$9, $D$9, 100%, $F$9) + CHOOSE(CONTROL!$C$27, 0.0021, 0)</f>
        <v>35.385599999999997</v>
      </c>
      <c r="F233" s="10">
        <f>35.3835 * CHOOSE(CONTROL!$C$9, $D$9, 100%, $F$9) + CHOOSE(CONTROL!$C$27, 0.0021, 0)</f>
        <v>35.385599999999997</v>
      </c>
      <c r="G233" s="10">
        <f>35.6549 * CHOOSE(CONTROL!$C$9, $D$9, 100%, $F$9) + CHOOSE(CONTROL!$C$27, 0.0021, 0)</f>
        <v>35.656999999999996</v>
      </c>
      <c r="H233" s="10">
        <f>35.5202 * CHOOSE(CONTROL!$C$9, $D$9, 100%, $F$9) + CHOOSE(CONTROL!$C$27, 0.0021, 0)</f>
        <v>35.522300000000001</v>
      </c>
      <c r="I233" s="10">
        <f>35.5202 * CHOOSE(CONTROL!$C$9, $D$9, 100%, $F$9) + CHOOSE(CONTROL!$C$27, 0.0021, 0)</f>
        <v>35.522300000000001</v>
      </c>
      <c r="J233" s="10">
        <f>35.5202 * CHOOSE(CONTROL!$C$9, $D$9, 100%, $F$9) + CHOOSE(CONTROL!$C$27, 0.0021, 0)</f>
        <v>35.522300000000001</v>
      </c>
      <c r="K233" s="10">
        <f>35.5202 * CHOOSE(CONTROL!$C$9, $D$9, 100%, $F$9) + CHOOSE(CONTROL!$C$27, 0.0021, 0)</f>
        <v>35.522300000000001</v>
      </c>
      <c r="L233" s="10"/>
    </row>
    <row r="234" spans="1:12" ht="15" x14ac:dyDescent="0.2">
      <c r="A234" s="16">
        <v>48396</v>
      </c>
      <c r="B234" s="10">
        <f>36.6282 * CHOOSE(CONTROL!$C$9, $D$9, 100%, $F$9) + CHOOSE(CONTROL!$C$27, 0.0021, 0)</f>
        <v>36.630299999999998</v>
      </c>
      <c r="C234" s="10">
        <f>36.1959 * CHOOSE(CONTROL!$C$9, $D$9, 100%, $F$9) + CHOOSE(CONTROL!$C$27, 0.0021, 0)</f>
        <v>36.198</v>
      </c>
      <c r="D234" s="10">
        <f>36.1959 * CHOOSE(CONTROL!$C$9, $D$9, 100%, $F$9) + CHOOSE(CONTROL!$C$27, 0.0021, 0)</f>
        <v>36.198</v>
      </c>
      <c r="E234" s="10">
        <f>36.0593 * CHOOSE(CONTROL!$C$9, $D$9, 100%, $F$9) + CHOOSE(CONTROL!$C$27, 0.0021, 0)</f>
        <v>36.061399999999999</v>
      </c>
      <c r="F234" s="10">
        <f>36.0593 * CHOOSE(CONTROL!$C$9, $D$9, 100%, $F$9) + CHOOSE(CONTROL!$C$27, 0.0021, 0)</f>
        <v>36.061399999999999</v>
      </c>
      <c r="G234" s="10">
        <f>36.3307 * CHOOSE(CONTROL!$C$9, $D$9, 100%, $F$9) + CHOOSE(CONTROL!$C$27, 0.0021, 0)</f>
        <v>36.332799999999999</v>
      </c>
      <c r="H234" s="10">
        <f>36.1959 * CHOOSE(CONTROL!$C$9, $D$9, 100%, $F$9) + CHOOSE(CONTROL!$C$27, 0.0021, 0)</f>
        <v>36.198</v>
      </c>
      <c r="I234" s="10">
        <f>36.1959 * CHOOSE(CONTROL!$C$9, $D$9, 100%, $F$9) + CHOOSE(CONTROL!$C$27, 0.0021, 0)</f>
        <v>36.198</v>
      </c>
      <c r="J234" s="10">
        <f>36.1959 * CHOOSE(CONTROL!$C$9, $D$9, 100%, $F$9) + CHOOSE(CONTROL!$C$27, 0.0021, 0)</f>
        <v>36.198</v>
      </c>
      <c r="K234" s="10">
        <f>36.1959 * CHOOSE(CONTROL!$C$9, $D$9, 100%, $F$9) + CHOOSE(CONTROL!$C$27, 0.0021, 0)</f>
        <v>36.198</v>
      </c>
      <c r="L234" s="10"/>
    </row>
    <row r="235" spans="1:12" ht="15" x14ac:dyDescent="0.2">
      <c r="A235" s="16">
        <v>48427</v>
      </c>
      <c r="B235" s="10">
        <f>36.8344 * CHOOSE(CONTROL!$C$9, $D$9, 100%, $F$9) + CHOOSE(CONTROL!$C$27, 0.0021, 0)</f>
        <v>36.836500000000001</v>
      </c>
      <c r="C235" s="10">
        <f>36.4022 * CHOOSE(CONTROL!$C$9, $D$9, 100%, $F$9) + CHOOSE(CONTROL!$C$27, 0.0021, 0)</f>
        <v>36.404299999999999</v>
      </c>
      <c r="D235" s="10">
        <f>36.4022 * CHOOSE(CONTROL!$C$9, $D$9, 100%, $F$9) + CHOOSE(CONTROL!$C$27, 0.0021, 0)</f>
        <v>36.404299999999999</v>
      </c>
      <c r="E235" s="10">
        <f>36.2655 * CHOOSE(CONTROL!$C$9, $D$9, 100%, $F$9) + CHOOSE(CONTROL!$C$27, 0.0021, 0)</f>
        <v>36.267600000000002</v>
      </c>
      <c r="F235" s="10">
        <f>36.2655 * CHOOSE(CONTROL!$C$9, $D$9, 100%, $F$9) + CHOOSE(CONTROL!$C$27, 0.0021, 0)</f>
        <v>36.267600000000002</v>
      </c>
      <c r="G235" s="10">
        <f>36.5369 * CHOOSE(CONTROL!$C$9, $D$9, 100%, $F$9) + CHOOSE(CONTROL!$C$27, 0.0021, 0)</f>
        <v>36.539000000000001</v>
      </c>
      <c r="H235" s="10">
        <f>36.4022 * CHOOSE(CONTROL!$C$9, $D$9, 100%, $F$9) + CHOOSE(CONTROL!$C$27, 0.0021, 0)</f>
        <v>36.404299999999999</v>
      </c>
      <c r="I235" s="10">
        <f>36.4022 * CHOOSE(CONTROL!$C$9, $D$9, 100%, $F$9) + CHOOSE(CONTROL!$C$27, 0.0021, 0)</f>
        <v>36.404299999999999</v>
      </c>
      <c r="J235" s="10">
        <f>36.4022 * CHOOSE(CONTROL!$C$9, $D$9, 100%, $F$9) + CHOOSE(CONTROL!$C$27, 0.0021, 0)</f>
        <v>36.404299999999999</v>
      </c>
      <c r="K235" s="10">
        <f>36.4022 * CHOOSE(CONTROL!$C$9, $D$9, 100%, $F$9) + CHOOSE(CONTROL!$C$27, 0.0021, 0)</f>
        <v>36.404299999999999</v>
      </c>
      <c r="L235" s="10"/>
    </row>
    <row r="236" spans="1:12" ht="15" x14ac:dyDescent="0.2">
      <c r="A236" s="16">
        <v>48458</v>
      </c>
      <c r="B236" s="10">
        <f>37.5369 * CHOOSE(CONTROL!$C$9, $D$9, 100%, $F$9) + CHOOSE(CONTROL!$C$27, 0.0021, 0)</f>
        <v>37.539000000000001</v>
      </c>
      <c r="C236" s="10">
        <f>37.1046 * CHOOSE(CONTROL!$C$9, $D$9, 100%, $F$9) + CHOOSE(CONTROL!$C$27, 0.0021, 0)</f>
        <v>37.106699999999996</v>
      </c>
      <c r="D236" s="10">
        <f>37.1046 * CHOOSE(CONTROL!$C$9, $D$9, 100%, $F$9) + CHOOSE(CONTROL!$C$27, 0.0021, 0)</f>
        <v>37.106699999999996</v>
      </c>
      <c r="E236" s="10">
        <f>36.968 * CHOOSE(CONTROL!$C$9, $D$9, 100%, $F$9) + CHOOSE(CONTROL!$C$27, 0.0021, 0)</f>
        <v>36.970100000000002</v>
      </c>
      <c r="F236" s="10">
        <f>36.968 * CHOOSE(CONTROL!$C$9, $D$9, 100%, $F$9) + CHOOSE(CONTROL!$C$27, 0.0021, 0)</f>
        <v>36.970100000000002</v>
      </c>
      <c r="G236" s="10">
        <f>37.2393 * CHOOSE(CONTROL!$C$9, $D$9, 100%, $F$9) + CHOOSE(CONTROL!$C$27, 0.0021, 0)</f>
        <v>37.241399999999999</v>
      </c>
      <c r="H236" s="10">
        <f>37.1046 * CHOOSE(CONTROL!$C$9, $D$9, 100%, $F$9) + CHOOSE(CONTROL!$C$27, 0.0021, 0)</f>
        <v>37.106699999999996</v>
      </c>
      <c r="I236" s="10">
        <f>37.1046 * CHOOSE(CONTROL!$C$9, $D$9, 100%, $F$9) + CHOOSE(CONTROL!$C$27, 0.0021, 0)</f>
        <v>37.106699999999996</v>
      </c>
      <c r="J236" s="10">
        <f>37.1046 * CHOOSE(CONTROL!$C$9, $D$9, 100%, $F$9) + CHOOSE(CONTROL!$C$27, 0.0021, 0)</f>
        <v>37.106699999999996</v>
      </c>
      <c r="K236" s="10">
        <f>37.1046 * CHOOSE(CONTROL!$C$9, $D$9, 100%, $F$9) + CHOOSE(CONTROL!$C$27, 0.0021, 0)</f>
        <v>37.106699999999996</v>
      </c>
      <c r="L236" s="10"/>
    </row>
    <row r="237" spans="1:12" ht="15" x14ac:dyDescent="0.2">
      <c r="A237" s="16">
        <v>48488</v>
      </c>
      <c r="B237" s="10">
        <f>38.426 * CHOOSE(CONTROL!$C$9, $D$9, 100%, $F$9) + CHOOSE(CONTROL!$C$27, 0.0021, 0)</f>
        <v>38.428100000000001</v>
      </c>
      <c r="C237" s="10">
        <f>37.9937 * CHOOSE(CONTROL!$C$9, $D$9, 100%, $F$9) + CHOOSE(CONTROL!$C$27, 0.0021, 0)</f>
        <v>37.995799999999996</v>
      </c>
      <c r="D237" s="10">
        <f>37.9937 * CHOOSE(CONTROL!$C$9, $D$9, 100%, $F$9) + CHOOSE(CONTROL!$C$27, 0.0021, 0)</f>
        <v>37.995799999999996</v>
      </c>
      <c r="E237" s="10">
        <f>37.8571 * CHOOSE(CONTROL!$C$9, $D$9, 100%, $F$9) + CHOOSE(CONTROL!$C$27, 0.0021, 0)</f>
        <v>37.859200000000001</v>
      </c>
      <c r="F237" s="10">
        <f>37.8571 * CHOOSE(CONTROL!$C$9, $D$9, 100%, $F$9) + CHOOSE(CONTROL!$C$27, 0.0021, 0)</f>
        <v>37.859200000000001</v>
      </c>
      <c r="G237" s="10">
        <f>38.1285 * CHOOSE(CONTROL!$C$9, $D$9, 100%, $F$9) + CHOOSE(CONTROL!$C$27, 0.0021, 0)</f>
        <v>38.130600000000001</v>
      </c>
      <c r="H237" s="10">
        <f>37.9937 * CHOOSE(CONTROL!$C$9, $D$9, 100%, $F$9) + CHOOSE(CONTROL!$C$27, 0.0021, 0)</f>
        <v>37.995799999999996</v>
      </c>
      <c r="I237" s="10">
        <f>37.9937 * CHOOSE(CONTROL!$C$9, $D$9, 100%, $F$9) + CHOOSE(CONTROL!$C$27, 0.0021, 0)</f>
        <v>37.995799999999996</v>
      </c>
      <c r="J237" s="10">
        <f>37.9937 * CHOOSE(CONTROL!$C$9, $D$9, 100%, $F$9) + CHOOSE(CONTROL!$C$27, 0.0021, 0)</f>
        <v>37.995799999999996</v>
      </c>
      <c r="K237" s="10">
        <f>37.9937 * CHOOSE(CONTROL!$C$9, $D$9, 100%, $F$9) + CHOOSE(CONTROL!$C$27, 0.0021, 0)</f>
        <v>37.995799999999996</v>
      </c>
      <c r="L237" s="10"/>
    </row>
    <row r="238" spans="1:12" ht="15" x14ac:dyDescent="0.2">
      <c r="A238" s="16">
        <v>48519</v>
      </c>
      <c r="B238" s="10">
        <f>38.5095 * CHOOSE(CONTROL!$C$9, $D$9, 100%, $F$9) + CHOOSE(CONTROL!$C$27, 0.0021, 0)</f>
        <v>38.511600000000001</v>
      </c>
      <c r="C238" s="10">
        <f>38.0772 * CHOOSE(CONTROL!$C$9, $D$9, 100%, $F$9) + CHOOSE(CONTROL!$C$27, 0.0021, 0)</f>
        <v>38.079299999999996</v>
      </c>
      <c r="D238" s="10">
        <f>38.0772 * CHOOSE(CONTROL!$C$9, $D$9, 100%, $F$9) + CHOOSE(CONTROL!$C$27, 0.0021, 0)</f>
        <v>38.079299999999996</v>
      </c>
      <c r="E238" s="10">
        <f>37.9406 * CHOOSE(CONTROL!$C$9, $D$9, 100%, $F$9) + CHOOSE(CONTROL!$C$27, 0.0021, 0)</f>
        <v>37.942700000000002</v>
      </c>
      <c r="F238" s="10">
        <f>37.9406 * CHOOSE(CONTROL!$C$9, $D$9, 100%, $F$9) + CHOOSE(CONTROL!$C$27, 0.0021, 0)</f>
        <v>37.942700000000002</v>
      </c>
      <c r="G238" s="10">
        <f>38.2119 * CHOOSE(CONTROL!$C$9, $D$9, 100%, $F$9) + CHOOSE(CONTROL!$C$27, 0.0021, 0)</f>
        <v>38.213999999999999</v>
      </c>
      <c r="H238" s="10">
        <f>38.0772 * CHOOSE(CONTROL!$C$9, $D$9, 100%, $F$9) + CHOOSE(CONTROL!$C$27, 0.0021, 0)</f>
        <v>38.079299999999996</v>
      </c>
      <c r="I238" s="10">
        <f>38.0772 * CHOOSE(CONTROL!$C$9, $D$9, 100%, $F$9) + CHOOSE(CONTROL!$C$27, 0.0021, 0)</f>
        <v>38.079299999999996</v>
      </c>
      <c r="J238" s="10">
        <f>38.0772 * CHOOSE(CONTROL!$C$9, $D$9, 100%, $F$9) + CHOOSE(CONTROL!$C$27, 0.0021, 0)</f>
        <v>38.079299999999996</v>
      </c>
      <c r="K238" s="10">
        <f>38.0772 * CHOOSE(CONTROL!$C$9, $D$9, 100%, $F$9) + CHOOSE(CONTROL!$C$27, 0.0021, 0)</f>
        <v>38.079299999999996</v>
      </c>
      <c r="L238" s="10"/>
    </row>
    <row r="239" spans="1:12" ht="15" x14ac:dyDescent="0.2">
      <c r="A239" s="16">
        <v>48549</v>
      </c>
      <c r="B239" s="10">
        <f>37.7993 * CHOOSE(CONTROL!$C$9, $D$9, 100%, $F$9) + CHOOSE(CONTROL!$C$27, 0.0021, 0)</f>
        <v>37.801400000000001</v>
      </c>
      <c r="C239" s="10">
        <f>37.3671 * CHOOSE(CONTROL!$C$9, $D$9, 100%, $F$9) + CHOOSE(CONTROL!$C$27, 0.0021, 0)</f>
        <v>37.369199999999999</v>
      </c>
      <c r="D239" s="10">
        <f>37.3671 * CHOOSE(CONTROL!$C$9, $D$9, 100%, $F$9) + CHOOSE(CONTROL!$C$27, 0.0021, 0)</f>
        <v>37.369199999999999</v>
      </c>
      <c r="E239" s="10">
        <f>37.2304 * CHOOSE(CONTROL!$C$9, $D$9, 100%, $F$9) + CHOOSE(CONTROL!$C$27, 0.0021, 0)</f>
        <v>37.232500000000002</v>
      </c>
      <c r="F239" s="10">
        <f>37.2304 * CHOOSE(CONTROL!$C$9, $D$9, 100%, $F$9) + CHOOSE(CONTROL!$C$27, 0.0021, 0)</f>
        <v>37.232500000000002</v>
      </c>
      <c r="G239" s="10">
        <f>37.5018 * CHOOSE(CONTROL!$C$9, $D$9, 100%, $F$9) + CHOOSE(CONTROL!$C$27, 0.0021, 0)</f>
        <v>37.503900000000002</v>
      </c>
      <c r="H239" s="10">
        <f>37.3671 * CHOOSE(CONTROL!$C$9, $D$9, 100%, $F$9) + CHOOSE(CONTROL!$C$27, 0.0021, 0)</f>
        <v>37.369199999999999</v>
      </c>
      <c r="I239" s="10">
        <f>37.3671 * CHOOSE(CONTROL!$C$9, $D$9, 100%, $F$9) + CHOOSE(CONTROL!$C$27, 0.0021, 0)</f>
        <v>37.369199999999999</v>
      </c>
      <c r="J239" s="10">
        <f>37.3671 * CHOOSE(CONTROL!$C$9, $D$9, 100%, $F$9) + CHOOSE(CONTROL!$C$27, 0.0021, 0)</f>
        <v>37.369199999999999</v>
      </c>
      <c r="K239" s="10">
        <f>37.3671 * CHOOSE(CONTROL!$C$9, $D$9, 100%, $F$9) + CHOOSE(CONTROL!$C$27, 0.0021, 0)</f>
        <v>37.369199999999999</v>
      </c>
      <c r="L239" s="10"/>
    </row>
    <row r="240" spans="1:12" ht="15" x14ac:dyDescent="0.2">
      <c r="A240" s="16">
        <v>48580</v>
      </c>
      <c r="B240" s="10">
        <f>37.2556 * CHOOSE(CONTROL!$C$9, $D$9, 100%, $F$9) + CHOOSE(CONTROL!$C$27, 0.0021, 0)</f>
        <v>37.2577</v>
      </c>
      <c r="C240" s="10">
        <f>36.8234 * CHOOSE(CONTROL!$C$9, $D$9, 100%, $F$9) + CHOOSE(CONTROL!$C$27, 0.0021, 0)</f>
        <v>36.825499999999998</v>
      </c>
      <c r="D240" s="10">
        <f>36.8234 * CHOOSE(CONTROL!$C$9, $D$9, 100%, $F$9) + CHOOSE(CONTROL!$C$27, 0.0021, 0)</f>
        <v>36.825499999999998</v>
      </c>
      <c r="E240" s="10">
        <f>36.6867 * CHOOSE(CONTROL!$C$9, $D$9, 100%, $F$9) + CHOOSE(CONTROL!$C$27, 0.0021, 0)</f>
        <v>36.688800000000001</v>
      </c>
      <c r="F240" s="10">
        <f>36.6867 * CHOOSE(CONTROL!$C$9, $D$9, 100%, $F$9) + CHOOSE(CONTROL!$C$27, 0.0021, 0)</f>
        <v>36.688800000000001</v>
      </c>
      <c r="G240" s="10">
        <f>36.9581 * CHOOSE(CONTROL!$C$9, $D$9, 100%, $F$9) + CHOOSE(CONTROL!$C$27, 0.0021, 0)</f>
        <v>36.9602</v>
      </c>
      <c r="H240" s="10">
        <f>36.8234 * CHOOSE(CONTROL!$C$9, $D$9, 100%, $F$9) + CHOOSE(CONTROL!$C$27, 0.0021, 0)</f>
        <v>36.825499999999998</v>
      </c>
      <c r="I240" s="10">
        <f>36.8234 * CHOOSE(CONTROL!$C$9, $D$9, 100%, $F$9) + CHOOSE(CONTROL!$C$27, 0.0021, 0)</f>
        <v>36.825499999999998</v>
      </c>
      <c r="J240" s="10">
        <f>36.8234 * CHOOSE(CONTROL!$C$9, $D$9, 100%, $F$9) + CHOOSE(CONTROL!$C$27, 0.0021, 0)</f>
        <v>36.825499999999998</v>
      </c>
      <c r="K240" s="10">
        <f>36.8234 * CHOOSE(CONTROL!$C$9, $D$9, 100%, $F$9) + CHOOSE(CONTROL!$C$27, 0.0021, 0)</f>
        <v>36.825499999999998</v>
      </c>
      <c r="L240" s="10"/>
    </row>
    <row r="241" spans="1:12" ht="15" x14ac:dyDescent="0.2">
      <c r="A241" s="16">
        <v>48611</v>
      </c>
      <c r="B241" s="10">
        <f>36.2667 * CHOOSE(CONTROL!$C$9, $D$9, 100%, $F$9) + CHOOSE(CONTROL!$C$27, 0.0021, 0)</f>
        <v>36.268799999999999</v>
      </c>
      <c r="C241" s="10">
        <f>35.8344 * CHOOSE(CONTROL!$C$9, $D$9, 100%, $F$9) + CHOOSE(CONTROL!$C$27, 0.0021, 0)</f>
        <v>35.836500000000001</v>
      </c>
      <c r="D241" s="10">
        <f>35.8344 * CHOOSE(CONTROL!$C$9, $D$9, 100%, $F$9) + CHOOSE(CONTROL!$C$27, 0.0021, 0)</f>
        <v>35.836500000000001</v>
      </c>
      <c r="E241" s="10">
        <f>35.6978 * CHOOSE(CONTROL!$C$9, $D$9, 100%, $F$9) + CHOOSE(CONTROL!$C$27, 0.0021, 0)</f>
        <v>35.6999</v>
      </c>
      <c r="F241" s="10">
        <f>35.6978 * CHOOSE(CONTROL!$C$9, $D$9, 100%, $F$9) + CHOOSE(CONTROL!$C$27, 0.0021, 0)</f>
        <v>35.6999</v>
      </c>
      <c r="G241" s="10">
        <f>35.9691 * CHOOSE(CONTROL!$C$9, $D$9, 100%, $F$9) + CHOOSE(CONTROL!$C$27, 0.0021, 0)</f>
        <v>35.971199999999996</v>
      </c>
      <c r="H241" s="10">
        <f>35.8344 * CHOOSE(CONTROL!$C$9, $D$9, 100%, $F$9) + CHOOSE(CONTROL!$C$27, 0.0021, 0)</f>
        <v>35.836500000000001</v>
      </c>
      <c r="I241" s="10">
        <f>35.8344 * CHOOSE(CONTROL!$C$9, $D$9, 100%, $F$9) + CHOOSE(CONTROL!$C$27, 0.0021, 0)</f>
        <v>35.836500000000001</v>
      </c>
      <c r="J241" s="10">
        <f>35.8344 * CHOOSE(CONTROL!$C$9, $D$9, 100%, $F$9) + CHOOSE(CONTROL!$C$27, 0.0021, 0)</f>
        <v>35.836500000000001</v>
      </c>
      <c r="K241" s="10">
        <f>35.8344 * CHOOSE(CONTROL!$C$9, $D$9, 100%, $F$9) + CHOOSE(CONTROL!$C$27, 0.0021, 0)</f>
        <v>35.836500000000001</v>
      </c>
      <c r="L241" s="10"/>
    </row>
    <row r="242" spans="1:12" ht="15" x14ac:dyDescent="0.2">
      <c r="A242" s="16">
        <v>48639</v>
      </c>
      <c r="B242" s="10">
        <f>35.8584 * CHOOSE(CONTROL!$C$9, $D$9, 100%, $F$9) + CHOOSE(CONTROL!$C$27, 0.0021, 0)</f>
        <v>35.860500000000002</v>
      </c>
      <c r="C242" s="10">
        <f>35.4262 * CHOOSE(CONTROL!$C$9, $D$9, 100%, $F$9) + CHOOSE(CONTROL!$C$27, 0.0021, 0)</f>
        <v>35.4283</v>
      </c>
      <c r="D242" s="10">
        <f>35.4262 * CHOOSE(CONTROL!$C$9, $D$9, 100%, $F$9) + CHOOSE(CONTROL!$C$27, 0.0021, 0)</f>
        <v>35.4283</v>
      </c>
      <c r="E242" s="10">
        <f>35.2895 * CHOOSE(CONTROL!$C$9, $D$9, 100%, $F$9) + CHOOSE(CONTROL!$C$27, 0.0021, 0)</f>
        <v>35.291599999999995</v>
      </c>
      <c r="F242" s="10">
        <f>35.2895 * CHOOSE(CONTROL!$C$9, $D$9, 100%, $F$9) + CHOOSE(CONTROL!$C$27, 0.0021, 0)</f>
        <v>35.291599999999995</v>
      </c>
      <c r="G242" s="10">
        <f>35.5609 * CHOOSE(CONTROL!$C$9, $D$9, 100%, $F$9) + CHOOSE(CONTROL!$C$27, 0.0021, 0)</f>
        <v>35.562999999999995</v>
      </c>
      <c r="H242" s="10">
        <f>35.4262 * CHOOSE(CONTROL!$C$9, $D$9, 100%, $F$9) + CHOOSE(CONTROL!$C$27, 0.0021, 0)</f>
        <v>35.4283</v>
      </c>
      <c r="I242" s="10">
        <f>35.4262 * CHOOSE(CONTROL!$C$9, $D$9, 100%, $F$9) + CHOOSE(CONTROL!$C$27, 0.0021, 0)</f>
        <v>35.4283</v>
      </c>
      <c r="J242" s="10">
        <f>35.4262 * CHOOSE(CONTROL!$C$9, $D$9, 100%, $F$9) + CHOOSE(CONTROL!$C$27, 0.0021, 0)</f>
        <v>35.4283</v>
      </c>
      <c r="K242" s="10">
        <f>35.4262 * CHOOSE(CONTROL!$C$9, $D$9, 100%, $F$9) + CHOOSE(CONTROL!$C$27, 0.0021, 0)</f>
        <v>35.4283</v>
      </c>
      <c r="L242" s="10"/>
    </row>
    <row r="243" spans="1:12" ht="15" x14ac:dyDescent="0.2">
      <c r="A243" s="16">
        <v>48670</v>
      </c>
      <c r="B243" s="10">
        <f>35.371 * CHOOSE(CONTROL!$C$9, $D$9, 100%, $F$9) + CHOOSE(CONTROL!$C$27, 0.0021, 0)</f>
        <v>35.373100000000001</v>
      </c>
      <c r="C243" s="10">
        <f>34.9388 * CHOOSE(CONTROL!$C$9, $D$9, 100%, $F$9) + CHOOSE(CONTROL!$C$27, 0.0021, 0)</f>
        <v>34.940899999999999</v>
      </c>
      <c r="D243" s="10">
        <f>34.9388 * CHOOSE(CONTROL!$C$9, $D$9, 100%, $F$9) + CHOOSE(CONTROL!$C$27, 0.0021, 0)</f>
        <v>34.940899999999999</v>
      </c>
      <c r="E243" s="10">
        <f>34.8021 * CHOOSE(CONTROL!$C$9, $D$9, 100%, $F$9) + CHOOSE(CONTROL!$C$27, 0.0021, 0)</f>
        <v>34.804200000000002</v>
      </c>
      <c r="F243" s="10">
        <f>34.8021 * CHOOSE(CONTROL!$C$9, $D$9, 100%, $F$9) + CHOOSE(CONTROL!$C$27, 0.0021, 0)</f>
        <v>34.804200000000002</v>
      </c>
      <c r="G243" s="10">
        <f>35.0735 * CHOOSE(CONTROL!$C$9, $D$9, 100%, $F$9) + CHOOSE(CONTROL!$C$27, 0.0021, 0)</f>
        <v>35.075600000000001</v>
      </c>
      <c r="H243" s="10">
        <f>34.9388 * CHOOSE(CONTROL!$C$9, $D$9, 100%, $F$9) + CHOOSE(CONTROL!$C$27, 0.0021, 0)</f>
        <v>34.940899999999999</v>
      </c>
      <c r="I243" s="10">
        <f>34.9388 * CHOOSE(CONTROL!$C$9, $D$9, 100%, $F$9) + CHOOSE(CONTROL!$C$27, 0.0021, 0)</f>
        <v>34.940899999999999</v>
      </c>
      <c r="J243" s="10">
        <f>34.9388 * CHOOSE(CONTROL!$C$9, $D$9, 100%, $F$9) + CHOOSE(CONTROL!$C$27, 0.0021, 0)</f>
        <v>34.940899999999999</v>
      </c>
      <c r="K243" s="10">
        <f>34.9388 * CHOOSE(CONTROL!$C$9, $D$9, 100%, $F$9) + CHOOSE(CONTROL!$C$27, 0.0021, 0)</f>
        <v>34.940899999999999</v>
      </c>
      <c r="L243" s="10"/>
    </row>
    <row r="244" spans="1:12" ht="15" x14ac:dyDescent="0.2">
      <c r="A244" s="16">
        <v>48700</v>
      </c>
      <c r="B244" s="10">
        <f>36.0657 * CHOOSE(CONTROL!$C$9, $D$9, 100%, $F$9) + CHOOSE(CONTROL!$C$27, 0.0021, 0)</f>
        <v>36.067799999999998</v>
      </c>
      <c r="C244" s="10">
        <f>35.6334 * CHOOSE(CONTROL!$C$9, $D$9, 100%, $F$9) + CHOOSE(CONTROL!$C$27, 0.0021, 0)</f>
        <v>35.6355</v>
      </c>
      <c r="D244" s="10">
        <f>35.6334 * CHOOSE(CONTROL!$C$9, $D$9, 100%, $F$9) + CHOOSE(CONTROL!$C$27, 0.0021, 0)</f>
        <v>35.6355</v>
      </c>
      <c r="E244" s="10">
        <f>35.4968 * CHOOSE(CONTROL!$C$9, $D$9, 100%, $F$9) + CHOOSE(CONTROL!$C$27, 0.0021, 0)</f>
        <v>35.498899999999999</v>
      </c>
      <c r="F244" s="10">
        <f>35.4968 * CHOOSE(CONTROL!$C$9, $D$9, 100%, $F$9) + CHOOSE(CONTROL!$C$27, 0.0021, 0)</f>
        <v>35.498899999999999</v>
      </c>
      <c r="G244" s="10">
        <f>35.7681 * CHOOSE(CONTROL!$C$9, $D$9, 100%, $F$9) + CHOOSE(CONTROL!$C$27, 0.0021, 0)</f>
        <v>35.770199999999996</v>
      </c>
      <c r="H244" s="10">
        <f>35.6334 * CHOOSE(CONTROL!$C$9, $D$9, 100%, $F$9) + CHOOSE(CONTROL!$C$27, 0.0021, 0)</f>
        <v>35.6355</v>
      </c>
      <c r="I244" s="10">
        <f>35.6334 * CHOOSE(CONTROL!$C$9, $D$9, 100%, $F$9) + CHOOSE(CONTROL!$C$27, 0.0021, 0)</f>
        <v>35.6355</v>
      </c>
      <c r="J244" s="10">
        <f>35.6334 * CHOOSE(CONTROL!$C$9, $D$9, 100%, $F$9) + CHOOSE(CONTROL!$C$27, 0.0021, 0)</f>
        <v>35.6355</v>
      </c>
      <c r="K244" s="10">
        <f>35.6334 * CHOOSE(CONTROL!$C$9, $D$9, 100%, $F$9) + CHOOSE(CONTROL!$C$27, 0.0021, 0)</f>
        <v>35.6355</v>
      </c>
      <c r="L244" s="10"/>
    </row>
    <row r="245" spans="1:12" ht="15" x14ac:dyDescent="0.2">
      <c r="A245" s="16">
        <v>48731</v>
      </c>
      <c r="B245" s="10">
        <f>36.4817 * CHOOSE(CONTROL!$C$9, $D$9, 100%, $F$9) + CHOOSE(CONTROL!$C$27, 0.0021, 0)</f>
        <v>36.483799999999995</v>
      </c>
      <c r="C245" s="10">
        <f>36.0495 * CHOOSE(CONTROL!$C$9, $D$9, 100%, $F$9) + CHOOSE(CONTROL!$C$27, 0.0021, 0)</f>
        <v>36.051600000000001</v>
      </c>
      <c r="D245" s="10">
        <f>36.0495 * CHOOSE(CONTROL!$C$9, $D$9, 100%, $F$9) + CHOOSE(CONTROL!$C$27, 0.0021, 0)</f>
        <v>36.051600000000001</v>
      </c>
      <c r="E245" s="10">
        <f>35.9128 * CHOOSE(CONTROL!$C$9, $D$9, 100%, $F$9) + CHOOSE(CONTROL!$C$27, 0.0021, 0)</f>
        <v>35.914899999999996</v>
      </c>
      <c r="F245" s="10">
        <f>35.9128 * CHOOSE(CONTROL!$C$9, $D$9, 100%, $F$9) + CHOOSE(CONTROL!$C$27, 0.0021, 0)</f>
        <v>35.914899999999996</v>
      </c>
      <c r="G245" s="10">
        <f>36.1842 * CHOOSE(CONTROL!$C$9, $D$9, 100%, $F$9) + CHOOSE(CONTROL!$C$27, 0.0021, 0)</f>
        <v>36.186299999999996</v>
      </c>
      <c r="H245" s="10">
        <f>36.0495 * CHOOSE(CONTROL!$C$9, $D$9, 100%, $F$9) + CHOOSE(CONTROL!$C$27, 0.0021, 0)</f>
        <v>36.051600000000001</v>
      </c>
      <c r="I245" s="10">
        <f>36.0495 * CHOOSE(CONTROL!$C$9, $D$9, 100%, $F$9) + CHOOSE(CONTROL!$C$27, 0.0021, 0)</f>
        <v>36.051600000000001</v>
      </c>
      <c r="J245" s="10">
        <f>36.0495 * CHOOSE(CONTROL!$C$9, $D$9, 100%, $F$9) + CHOOSE(CONTROL!$C$27, 0.0021, 0)</f>
        <v>36.051600000000001</v>
      </c>
      <c r="K245" s="10">
        <f>36.0495 * CHOOSE(CONTROL!$C$9, $D$9, 100%, $F$9) + CHOOSE(CONTROL!$C$27, 0.0021, 0)</f>
        <v>36.051600000000001</v>
      </c>
      <c r="L245" s="10"/>
    </row>
    <row r="246" spans="1:12" ht="15" x14ac:dyDescent="0.2">
      <c r="A246" s="16">
        <v>48761</v>
      </c>
      <c r="B246" s="10">
        <f>37.1681 * CHOOSE(CONTROL!$C$9, $D$9, 100%, $F$9) + CHOOSE(CONTROL!$C$27, 0.0021, 0)</f>
        <v>37.170200000000001</v>
      </c>
      <c r="C246" s="10">
        <f>36.7359 * CHOOSE(CONTROL!$C$9, $D$9, 100%, $F$9) + CHOOSE(CONTROL!$C$27, 0.0021, 0)</f>
        <v>36.738</v>
      </c>
      <c r="D246" s="10">
        <f>36.7359 * CHOOSE(CONTROL!$C$9, $D$9, 100%, $F$9) + CHOOSE(CONTROL!$C$27, 0.0021, 0)</f>
        <v>36.738</v>
      </c>
      <c r="E246" s="10">
        <f>36.5992 * CHOOSE(CONTROL!$C$9, $D$9, 100%, $F$9) + CHOOSE(CONTROL!$C$27, 0.0021, 0)</f>
        <v>36.601300000000002</v>
      </c>
      <c r="F246" s="10">
        <f>36.5992 * CHOOSE(CONTROL!$C$9, $D$9, 100%, $F$9) + CHOOSE(CONTROL!$C$27, 0.0021, 0)</f>
        <v>36.601300000000002</v>
      </c>
      <c r="G246" s="10">
        <f>36.8706 * CHOOSE(CONTROL!$C$9, $D$9, 100%, $F$9) + CHOOSE(CONTROL!$C$27, 0.0021, 0)</f>
        <v>36.872700000000002</v>
      </c>
      <c r="H246" s="10">
        <f>36.7359 * CHOOSE(CONTROL!$C$9, $D$9, 100%, $F$9) + CHOOSE(CONTROL!$C$27, 0.0021, 0)</f>
        <v>36.738</v>
      </c>
      <c r="I246" s="10">
        <f>36.7359 * CHOOSE(CONTROL!$C$9, $D$9, 100%, $F$9) + CHOOSE(CONTROL!$C$27, 0.0021, 0)</f>
        <v>36.738</v>
      </c>
      <c r="J246" s="10">
        <f>36.7359 * CHOOSE(CONTROL!$C$9, $D$9, 100%, $F$9) + CHOOSE(CONTROL!$C$27, 0.0021, 0)</f>
        <v>36.738</v>
      </c>
      <c r="K246" s="10">
        <f>36.7359 * CHOOSE(CONTROL!$C$9, $D$9, 100%, $F$9) + CHOOSE(CONTROL!$C$27, 0.0021, 0)</f>
        <v>36.738</v>
      </c>
      <c r="L246" s="10"/>
    </row>
    <row r="247" spans="1:12" ht="15" x14ac:dyDescent="0.2">
      <c r="A247" s="16">
        <v>48792</v>
      </c>
      <c r="B247" s="10">
        <f>37.3776 * CHOOSE(CONTROL!$C$9, $D$9, 100%, $F$9) + CHOOSE(CONTROL!$C$27, 0.0021, 0)</f>
        <v>37.3797</v>
      </c>
      <c r="C247" s="10">
        <f>36.9454 * CHOOSE(CONTROL!$C$9, $D$9, 100%, $F$9) + CHOOSE(CONTROL!$C$27, 0.0021, 0)</f>
        <v>36.947499999999998</v>
      </c>
      <c r="D247" s="10">
        <f>36.9454 * CHOOSE(CONTROL!$C$9, $D$9, 100%, $F$9) + CHOOSE(CONTROL!$C$27, 0.0021, 0)</f>
        <v>36.947499999999998</v>
      </c>
      <c r="E247" s="10">
        <f>36.8087 * CHOOSE(CONTROL!$C$9, $D$9, 100%, $F$9) + CHOOSE(CONTROL!$C$27, 0.0021, 0)</f>
        <v>36.8108</v>
      </c>
      <c r="F247" s="10">
        <f>36.8087 * CHOOSE(CONTROL!$C$9, $D$9, 100%, $F$9) + CHOOSE(CONTROL!$C$27, 0.0021, 0)</f>
        <v>36.8108</v>
      </c>
      <c r="G247" s="10">
        <f>37.0801 * CHOOSE(CONTROL!$C$9, $D$9, 100%, $F$9) + CHOOSE(CONTROL!$C$27, 0.0021, 0)</f>
        <v>37.0822</v>
      </c>
      <c r="H247" s="10">
        <f>36.9454 * CHOOSE(CONTROL!$C$9, $D$9, 100%, $F$9) + CHOOSE(CONTROL!$C$27, 0.0021, 0)</f>
        <v>36.947499999999998</v>
      </c>
      <c r="I247" s="10">
        <f>36.9454 * CHOOSE(CONTROL!$C$9, $D$9, 100%, $F$9) + CHOOSE(CONTROL!$C$27, 0.0021, 0)</f>
        <v>36.947499999999998</v>
      </c>
      <c r="J247" s="10">
        <f>36.9454 * CHOOSE(CONTROL!$C$9, $D$9, 100%, $F$9) + CHOOSE(CONTROL!$C$27, 0.0021, 0)</f>
        <v>36.947499999999998</v>
      </c>
      <c r="K247" s="10">
        <f>36.9454 * CHOOSE(CONTROL!$C$9, $D$9, 100%, $F$9) + CHOOSE(CONTROL!$C$27, 0.0021, 0)</f>
        <v>36.947499999999998</v>
      </c>
      <c r="L247" s="10"/>
    </row>
    <row r="248" spans="1:12" ht="15" x14ac:dyDescent="0.2">
      <c r="A248" s="16">
        <v>48823</v>
      </c>
      <c r="B248" s="10">
        <f>38.0911 * CHOOSE(CONTROL!$C$9, $D$9, 100%, $F$9) + CHOOSE(CONTROL!$C$27, 0.0021, 0)</f>
        <v>38.093199999999996</v>
      </c>
      <c r="C248" s="10">
        <f>37.6588 * CHOOSE(CONTROL!$C$9, $D$9, 100%, $F$9) + CHOOSE(CONTROL!$C$27, 0.0021, 0)</f>
        <v>37.660899999999998</v>
      </c>
      <c r="D248" s="10">
        <f>37.6588 * CHOOSE(CONTROL!$C$9, $D$9, 100%, $F$9) + CHOOSE(CONTROL!$C$27, 0.0021, 0)</f>
        <v>37.660899999999998</v>
      </c>
      <c r="E248" s="10">
        <f>37.5222 * CHOOSE(CONTROL!$C$9, $D$9, 100%, $F$9) + CHOOSE(CONTROL!$C$27, 0.0021, 0)</f>
        <v>37.524299999999997</v>
      </c>
      <c r="F248" s="10">
        <f>37.5222 * CHOOSE(CONTROL!$C$9, $D$9, 100%, $F$9) + CHOOSE(CONTROL!$C$27, 0.0021, 0)</f>
        <v>37.524299999999997</v>
      </c>
      <c r="G248" s="10">
        <f>37.7935 * CHOOSE(CONTROL!$C$9, $D$9, 100%, $F$9) + CHOOSE(CONTROL!$C$27, 0.0021, 0)</f>
        <v>37.7956</v>
      </c>
      <c r="H248" s="10">
        <f>37.6588 * CHOOSE(CONTROL!$C$9, $D$9, 100%, $F$9) + CHOOSE(CONTROL!$C$27, 0.0021, 0)</f>
        <v>37.660899999999998</v>
      </c>
      <c r="I248" s="10">
        <f>37.6588 * CHOOSE(CONTROL!$C$9, $D$9, 100%, $F$9) + CHOOSE(CONTROL!$C$27, 0.0021, 0)</f>
        <v>37.660899999999998</v>
      </c>
      <c r="J248" s="10">
        <f>37.6588 * CHOOSE(CONTROL!$C$9, $D$9, 100%, $F$9) + CHOOSE(CONTROL!$C$27, 0.0021, 0)</f>
        <v>37.660899999999998</v>
      </c>
      <c r="K248" s="10">
        <f>37.6588 * CHOOSE(CONTROL!$C$9, $D$9, 100%, $F$9) + CHOOSE(CONTROL!$C$27, 0.0021, 0)</f>
        <v>37.660899999999998</v>
      </c>
      <c r="L248" s="10"/>
    </row>
    <row r="249" spans="1:12" ht="15" x14ac:dyDescent="0.2">
      <c r="A249" s="16">
        <v>48853</v>
      </c>
      <c r="B249" s="10">
        <f>38.9942 * CHOOSE(CONTROL!$C$9, $D$9, 100%, $F$9) + CHOOSE(CONTROL!$C$27, 0.0021, 0)</f>
        <v>38.996299999999998</v>
      </c>
      <c r="C249" s="10">
        <f>38.5619 * CHOOSE(CONTROL!$C$9, $D$9, 100%, $F$9) + CHOOSE(CONTROL!$C$27, 0.0021, 0)</f>
        <v>38.564</v>
      </c>
      <c r="D249" s="10">
        <f>38.5619 * CHOOSE(CONTROL!$C$9, $D$9, 100%, $F$9) + CHOOSE(CONTROL!$C$27, 0.0021, 0)</f>
        <v>38.564</v>
      </c>
      <c r="E249" s="10">
        <f>38.4253 * CHOOSE(CONTROL!$C$9, $D$9, 100%, $F$9) + CHOOSE(CONTROL!$C$27, 0.0021, 0)</f>
        <v>38.427399999999999</v>
      </c>
      <c r="F249" s="10">
        <f>38.4253 * CHOOSE(CONTROL!$C$9, $D$9, 100%, $F$9) + CHOOSE(CONTROL!$C$27, 0.0021, 0)</f>
        <v>38.427399999999999</v>
      </c>
      <c r="G249" s="10">
        <f>38.6967 * CHOOSE(CONTROL!$C$9, $D$9, 100%, $F$9) + CHOOSE(CONTROL!$C$27, 0.0021, 0)</f>
        <v>38.698799999999999</v>
      </c>
      <c r="H249" s="10">
        <f>38.5619 * CHOOSE(CONTROL!$C$9, $D$9, 100%, $F$9) + CHOOSE(CONTROL!$C$27, 0.0021, 0)</f>
        <v>38.564</v>
      </c>
      <c r="I249" s="10">
        <f>38.5619 * CHOOSE(CONTROL!$C$9, $D$9, 100%, $F$9) + CHOOSE(CONTROL!$C$27, 0.0021, 0)</f>
        <v>38.564</v>
      </c>
      <c r="J249" s="10">
        <f>38.5619 * CHOOSE(CONTROL!$C$9, $D$9, 100%, $F$9) + CHOOSE(CONTROL!$C$27, 0.0021, 0)</f>
        <v>38.564</v>
      </c>
      <c r="K249" s="10">
        <f>38.5619 * CHOOSE(CONTROL!$C$9, $D$9, 100%, $F$9) + CHOOSE(CONTROL!$C$27, 0.0021, 0)</f>
        <v>38.564</v>
      </c>
      <c r="L249" s="10"/>
    </row>
    <row r="250" spans="1:12" ht="15" x14ac:dyDescent="0.2">
      <c r="A250" s="16">
        <v>48884</v>
      </c>
      <c r="B250" s="10">
        <f>39.079 * CHOOSE(CONTROL!$C$9, $D$9, 100%, $F$9) + CHOOSE(CONTROL!$C$27, 0.0021, 0)</f>
        <v>39.081099999999999</v>
      </c>
      <c r="C250" s="10">
        <f>38.6467 * CHOOSE(CONTROL!$C$9, $D$9, 100%, $F$9) + CHOOSE(CONTROL!$C$27, 0.0021, 0)</f>
        <v>38.648800000000001</v>
      </c>
      <c r="D250" s="10">
        <f>38.6467 * CHOOSE(CONTROL!$C$9, $D$9, 100%, $F$9) + CHOOSE(CONTROL!$C$27, 0.0021, 0)</f>
        <v>38.648800000000001</v>
      </c>
      <c r="E250" s="10">
        <f>38.5101 * CHOOSE(CONTROL!$C$9, $D$9, 100%, $F$9) + CHOOSE(CONTROL!$C$27, 0.0021, 0)</f>
        <v>38.5122</v>
      </c>
      <c r="F250" s="10">
        <f>38.5101 * CHOOSE(CONTROL!$C$9, $D$9, 100%, $F$9) + CHOOSE(CONTROL!$C$27, 0.0021, 0)</f>
        <v>38.5122</v>
      </c>
      <c r="G250" s="10">
        <f>38.7814 * CHOOSE(CONTROL!$C$9, $D$9, 100%, $F$9) + CHOOSE(CONTROL!$C$27, 0.0021, 0)</f>
        <v>38.783499999999997</v>
      </c>
      <c r="H250" s="10">
        <f>38.6467 * CHOOSE(CONTROL!$C$9, $D$9, 100%, $F$9) + CHOOSE(CONTROL!$C$27, 0.0021, 0)</f>
        <v>38.648800000000001</v>
      </c>
      <c r="I250" s="10">
        <f>38.6467 * CHOOSE(CONTROL!$C$9, $D$9, 100%, $F$9) + CHOOSE(CONTROL!$C$27, 0.0021, 0)</f>
        <v>38.648800000000001</v>
      </c>
      <c r="J250" s="10">
        <f>38.6467 * CHOOSE(CONTROL!$C$9, $D$9, 100%, $F$9) + CHOOSE(CONTROL!$C$27, 0.0021, 0)</f>
        <v>38.648800000000001</v>
      </c>
      <c r="K250" s="10">
        <f>38.6467 * CHOOSE(CONTROL!$C$9, $D$9, 100%, $F$9) + CHOOSE(CONTROL!$C$27, 0.0021, 0)</f>
        <v>38.648800000000001</v>
      </c>
      <c r="L250" s="10"/>
    </row>
    <row r="251" spans="1:12" ht="15" x14ac:dyDescent="0.2">
      <c r="A251" s="16">
        <v>48914</v>
      </c>
      <c r="B251" s="10">
        <f>38.3577 * CHOOSE(CONTROL!$C$9, $D$9, 100%, $F$9) + CHOOSE(CONTROL!$C$27, 0.0021, 0)</f>
        <v>38.3598</v>
      </c>
      <c r="C251" s="10">
        <f>37.9254 * CHOOSE(CONTROL!$C$9, $D$9, 100%, $F$9) + CHOOSE(CONTROL!$C$27, 0.0021, 0)</f>
        <v>37.927500000000002</v>
      </c>
      <c r="D251" s="10">
        <f>37.9254 * CHOOSE(CONTROL!$C$9, $D$9, 100%, $F$9) + CHOOSE(CONTROL!$C$27, 0.0021, 0)</f>
        <v>37.927500000000002</v>
      </c>
      <c r="E251" s="10">
        <f>37.7888 * CHOOSE(CONTROL!$C$9, $D$9, 100%, $F$9) + CHOOSE(CONTROL!$C$27, 0.0021, 0)</f>
        <v>37.790900000000001</v>
      </c>
      <c r="F251" s="10">
        <f>37.7888 * CHOOSE(CONTROL!$C$9, $D$9, 100%, $F$9) + CHOOSE(CONTROL!$C$27, 0.0021, 0)</f>
        <v>37.790900000000001</v>
      </c>
      <c r="G251" s="10">
        <f>38.0601 * CHOOSE(CONTROL!$C$9, $D$9, 100%, $F$9) + CHOOSE(CONTROL!$C$27, 0.0021, 0)</f>
        <v>38.062199999999997</v>
      </c>
      <c r="H251" s="10">
        <f>37.9254 * CHOOSE(CONTROL!$C$9, $D$9, 100%, $F$9) + CHOOSE(CONTROL!$C$27, 0.0021, 0)</f>
        <v>37.927500000000002</v>
      </c>
      <c r="I251" s="10">
        <f>37.9254 * CHOOSE(CONTROL!$C$9, $D$9, 100%, $F$9) + CHOOSE(CONTROL!$C$27, 0.0021, 0)</f>
        <v>37.927500000000002</v>
      </c>
      <c r="J251" s="10">
        <f>37.9254 * CHOOSE(CONTROL!$C$9, $D$9, 100%, $F$9) + CHOOSE(CONTROL!$C$27, 0.0021, 0)</f>
        <v>37.927500000000002</v>
      </c>
      <c r="K251" s="10">
        <f>37.9254 * CHOOSE(CONTROL!$C$9, $D$9, 100%, $F$9) + CHOOSE(CONTROL!$C$27, 0.0021, 0)</f>
        <v>37.927500000000002</v>
      </c>
      <c r="L251" s="10"/>
    </row>
    <row r="252" spans="1:12" ht="15" x14ac:dyDescent="0.2">
      <c r="A252" s="16">
        <v>48945</v>
      </c>
      <c r="B252" s="10">
        <f>37.8054 * CHOOSE(CONTROL!$C$9, $D$9, 100%, $F$9) + CHOOSE(CONTROL!$C$27, 0.0021, 0)</f>
        <v>37.807499999999997</v>
      </c>
      <c r="C252" s="10">
        <f>37.3732 * CHOOSE(CONTROL!$C$9, $D$9, 100%, $F$9) + CHOOSE(CONTROL!$C$27, 0.0021, 0)</f>
        <v>37.375299999999996</v>
      </c>
      <c r="D252" s="10">
        <f>37.3732 * CHOOSE(CONTROL!$C$9, $D$9, 100%, $F$9) + CHOOSE(CONTROL!$C$27, 0.0021, 0)</f>
        <v>37.375299999999996</v>
      </c>
      <c r="E252" s="10">
        <f>37.2365 * CHOOSE(CONTROL!$C$9, $D$9, 100%, $F$9) + CHOOSE(CONTROL!$C$27, 0.0021, 0)</f>
        <v>37.238599999999998</v>
      </c>
      <c r="F252" s="10">
        <f>37.2365 * CHOOSE(CONTROL!$C$9, $D$9, 100%, $F$9) + CHOOSE(CONTROL!$C$27, 0.0021, 0)</f>
        <v>37.238599999999998</v>
      </c>
      <c r="G252" s="10">
        <f>37.5079 * CHOOSE(CONTROL!$C$9, $D$9, 100%, $F$9) + CHOOSE(CONTROL!$C$27, 0.0021, 0)</f>
        <v>37.51</v>
      </c>
      <c r="H252" s="10">
        <f>37.3732 * CHOOSE(CONTROL!$C$9, $D$9, 100%, $F$9) + CHOOSE(CONTROL!$C$27, 0.0021, 0)</f>
        <v>37.375299999999996</v>
      </c>
      <c r="I252" s="10">
        <f>37.3732 * CHOOSE(CONTROL!$C$9, $D$9, 100%, $F$9) + CHOOSE(CONTROL!$C$27, 0.0021, 0)</f>
        <v>37.375299999999996</v>
      </c>
      <c r="J252" s="10">
        <f>37.3732 * CHOOSE(CONTROL!$C$9, $D$9, 100%, $F$9) + CHOOSE(CONTROL!$C$27, 0.0021, 0)</f>
        <v>37.375299999999996</v>
      </c>
      <c r="K252" s="10">
        <f>37.3732 * CHOOSE(CONTROL!$C$9, $D$9, 100%, $F$9) + CHOOSE(CONTROL!$C$27, 0.0021, 0)</f>
        <v>37.375299999999996</v>
      </c>
      <c r="L252" s="10"/>
    </row>
    <row r="253" spans="1:12" ht="15" x14ac:dyDescent="0.2">
      <c r="A253" s="16">
        <v>48976</v>
      </c>
      <c r="B253" s="10">
        <f>36.8009 * CHOOSE(CONTROL!$C$9, $D$9, 100%, $F$9) + CHOOSE(CONTROL!$C$27, 0.0021, 0)</f>
        <v>36.802999999999997</v>
      </c>
      <c r="C253" s="10">
        <f>36.3687 * CHOOSE(CONTROL!$C$9, $D$9, 100%, $F$9) + CHOOSE(CONTROL!$C$27, 0.0021, 0)</f>
        <v>36.370799999999996</v>
      </c>
      <c r="D253" s="10">
        <f>36.3687 * CHOOSE(CONTROL!$C$9, $D$9, 100%, $F$9) + CHOOSE(CONTROL!$C$27, 0.0021, 0)</f>
        <v>36.370799999999996</v>
      </c>
      <c r="E253" s="10">
        <f>36.232 * CHOOSE(CONTROL!$C$9, $D$9, 100%, $F$9) + CHOOSE(CONTROL!$C$27, 0.0021, 0)</f>
        <v>36.234099999999998</v>
      </c>
      <c r="F253" s="10">
        <f>36.232 * CHOOSE(CONTROL!$C$9, $D$9, 100%, $F$9) + CHOOSE(CONTROL!$C$27, 0.0021, 0)</f>
        <v>36.234099999999998</v>
      </c>
      <c r="G253" s="10">
        <f>36.5034 * CHOOSE(CONTROL!$C$9, $D$9, 100%, $F$9) + CHOOSE(CONTROL!$C$27, 0.0021, 0)</f>
        <v>36.505499999999998</v>
      </c>
      <c r="H253" s="10">
        <f>36.3687 * CHOOSE(CONTROL!$C$9, $D$9, 100%, $F$9) + CHOOSE(CONTROL!$C$27, 0.0021, 0)</f>
        <v>36.370799999999996</v>
      </c>
      <c r="I253" s="10">
        <f>36.3687 * CHOOSE(CONTROL!$C$9, $D$9, 100%, $F$9) + CHOOSE(CONTROL!$C$27, 0.0021, 0)</f>
        <v>36.370799999999996</v>
      </c>
      <c r="J253" s="10">
        <f>36.3687 * CHOOSE(CONTROL!$C$9, $D$9, 100%, $F$9) + CHOOSE(CONTROL!$C$27, 0.0021, 0)</f>
        <v>36.370799999999996</v>
      </c>
      <c r="K253" s="10">
        <f>36.3687 * CHOOSE(CONTROL!$C$9, $D$9, 100%, $F$9) + CHOOSE(CONTROL!$C$27, 0.0021, 0)</f>
        <v>36.370799999999996</v>
      </c>
      <c r="L253" s="10"/>
    </row>
    <row r="254" spans="1:12" ht="15" x14ac:dyDescent="0.2">
      <c r="A254" s="16">
        <v>49004</v>
      </c>
      <c r="B254" s="10">
        <f>36.3863 * CHOOSE(CONTROL!$C$9, $D$9, 100%, $F$9) + CHOOSE(CONTROL!$C$27, 0.0021, 0)</f>
        <v>36.388399999999997</v>
      </c>
      <c r="C254" s="10">
        <f>35.954 * CHOOSE(CONTROL!$C$9, $D$9, 100%, $F$9) + CHOOSE(CONTROL!$C$27, 0.0021, 0)</f>
        <v>35.956099999999999</v>
      </c>
      <c r="D254" s="10">
        <f>35.954 * CHOOSE(CONTROL!$C$9, $D$9, 100%, $F$9) + CHOOSE(CONTROL!$C$27, 0.0021, 0)</f>
        <v>35.956099999999999</v>
      </c>
      <c r="E254" s="10">
        <f>35.8174 * CHOOSE(CONTROL!$C$9, $D$9, 100%, $F$9) + CHOOSE(CONTROL!$C$27, 0.0021, 0)</f>
        <v>35.819499999999998</v>
      </c>
      <c r="F254" s="10">
        <f>35.8174 * CHOOSE(CONTROL!$C$9, $D$9, 100%, $F$9) + CHOOSE(CONTROL!$C$27, 0.0021, 0)</f>
        <v>35.819499999999998</v>
      </c>
      <c r="G254" s="10">
        <f>36.0887 * CHOOSE(CONTROL!$C$9, $D$9, 100%, $F$9) + CHOOSE(CONTROL!$C$27, 0.0021, 0)</f>
        <v>36.090800000000002</v>
      </c>
      <c r="H254" s="10">
        <f>35.954 * CHOOSE(CONTROL!$C$9, $D$9, 100%, $F$9) + CHOOSE(CONTROL!$C$27, 0.0021, 0)</f>
        <v>35.956099999999999</v>
      </c>
      <c r="I254" s="10">
        <f>35.954 * CHOOSE(CONTROL!$C$9, $D$9, 100%, $F$9) + CHOOSE(CONTROL!$C$27, 0.0021, 0)</f>
        <v>35.956099999999999</v>
      </c>
      <c r="J254" s="10">
        <f>35.954 * CHOOSE(CONTROL!$C$9, $D$9, 100%, $F$9) + CHOOSE(CONTROL!$C$27, 0.0021, 0)</f>
        <v>35.956099999999999</v>
      </c>
      <c r="K254" s="10">
        <f>35.954 * CHOOSE(CONTROL!$C$9, $D$9, 100%, $F$9) + CHOOSE(CONTROL!$C$27, 0.0021, 0)</f>
        <v>35.956099999999999</v>
      </c>
      <c r="L254" s="10"/>
    </row>
    <row r="255" spans="1:12" ht="15" x14ac:dyDescent="0.2">
      <c r="A255" s="16">
        <v>49035</v>
      </c>
      <c r="B255" s="10">
        <f>35.8912 * CHOOSE(CONTROL!$C$9, $D$9, 100%, $F$9) + CHOOSE(CONTROL!$C$27, 0.0021, 0)</f>
        <v>35.893299999999996</v>
      </c>
      <c r="C255" s="10">
        <f>35.4589 * CHOOSE(CONTROL!$C$9, $D$9, 100%, $F$9) + CHOOSE(CONTROL!$C$27, 0.0021, 0)</f>
        <v>35.460999999999999</v>
      </c>
      <c r="D255" s="10">
        <f>35.4589 * CHOOSE(CONTROL!$C$9, $D$9, 100%, $F$9) + CHOOSE(CONTROL!$C$27, 0.0021, 0)</f>
        <v>35.460999999999999</v>
      </c>
      <c r="E255" s="10">
        <f>35.3223 * CHOOSE(CONTROL!$C$9, $D$9, 100%, $F$9) + CHOOSE(CONTROL!$C$27, 0.0021, 0)</f>
        <v>35.324399999999997</v>
      </c>
      <c r="F255" s="10">
        <f>35.3223 * CHOOSE(CONTROL!$C$9, $D$9, 100%, $F$9) + CHOOSE(CONTROL!$C$27, 0.0021, 0)</f>
        <v>35.324399999999997</v>
      </c>
      <c r="G255" s="10">
        <f>35.5936 * CHOOSE(CONTROL!$C$9, $D$9, 100%, $F$9) + CHOOSE(CONTROL!$C$27, 0.0021, 0)</f>
        <v>35.595700000000001</v>
      </c>
      <c r="H255" s="10">
        <f>35.4589 * CHOOSE(CONTROL!$C$9, $D$9, 100%, $F$9) + CHOOSE(CONTROL!$C$27, 0.0021, 0)</f>
        <v>35.460999999999999</v>
      </c>
      <c r="I255" s="10">
        <f>35.4589 * CHOOSE(CONTROL!$C$9, $D$9, 100%, $F$9) + CHOOSE(CONTROL!$C$27, 0.0021, 0)</f>
        <v>35.460999999999999</v>
      </c>
      <c r="J255" s="10">
        <f>35.4589 * CHOOSE(CONTROL!$C$9, $D$9, 100%, $F$9) + CHOOSE(CONTROL!$C$27, 0.0021, 0)</f>
        <v>35.460999999999999</v>
      </c>
      <c r="K255" s="10">
        <f>35.4589 * CHOOSE(CONTROL!$C$9, $D$9, 100%, $F$9) + CHOOSE(CONTROL!$C$27, 0.0021, 0)</f>
        <v>35.460999999999999</v>
      </c>
      <c r="L255" s="10"/>
    </row>
    <row r="256" spans="1:12" ht="15" x14ac:dyDescent="0.2">
      <c r="A256" s="16">
        <v>49065</v>
      </c>
      <c r="B256" s="10">
        <f>36.5967 * CHOOSE(CONTROL!$C$9, $D$9, 100%, $F$9) + CHOOSE(CONTROL!$C$27, 0.0021, 0)</f>
        <v>36.598799999999997</v>
      </c>
      <c r="C256" s="10">
        <f>36.1645 * CHOOSE(CONTROL!$C$9, $D$9, 100%, $F$9) + CHOOSE(CONTROL!$C$27, 0.0021, 0)</f>
        <v>36.166599999999995</v>
      </c>
      <c r="D256" s="10">
        <f>36.1645 * CHOOSE(CONTROL!$C$9, $D$9, 100%, $F$9) + CHOOSE(CONTROL!$C$27, 0.0021, 0)</f>
        <v>36.166599999999995</v>
      </c>
      <c r="E256" s="10">
        <f>36.0278 * CHOOSE(CONTROL!$C$9, $D$9, 100%, $F$9) + CHOOSE(CONTROL!$C$27, 0.0021, 0)</f>
        <v>36.029899999999998</v>
      </c>
      <c r="F256" s="10">
        <f>36.0278 * CHOOSE(CONTROL!$C$9, $D$9, 100%, $F$9) + CHOOSE(CONTROL!$C$27, 0.0021, 0)</f>
        <v>36.029899999999998</v>
      </c>
      <c r="G256" s="10">
        <f>36.2992 * CHOOSE(CONTROL!$C$9, $D$9, 100%, $F$9) + CHOOSE(CONTROL!$C$27, 0.0021, 0)</f>
        <v>36.301299999999998</v>
      </c>
      <c r="H256" s="10">
        <f>36.1645 * CHOOSE(CONTROL!$C$9, $D$9, 100%, $F$9) + CHOOSE(CONTROL!$C$27, 0.0021, 0)</f>
        <v>36.166599999999995</v>
      </c>
      <c r="I256" s="10">
        <f>36.1645 * CHOOSE(CONTROL!$C$9, $D$9, 100%, $F$9) + CHOOSE(CONTROL!$C$27, 0.0021, 0)</f>
        <v>36.166599999999995</v>
      </c>
      <c r="J256" s="10">
        <f>36.1645 * CHOOSE(CONTROL!$C$9, $D$9, 100%, $F$9) + CHOOSE(CONTROL!$C$27, 0.0021, 0)</f>
        <v>36.166599999999995</v>
      </c>
      <c r="K256" s="10">
        <f>36.1645 * CHOOSE(CONTROL!$C$9, $D$9, 100%, $F$9) + CHOOSE(CONTROL!$C$27, 0.0021, 0)</f>
        <v>36.166599999999995</v>
      </c>
      <c r="L256" s="10"/>
    </row>
    <row r="257" spans="1:12" ht="15" x14ac:dyDescent="0.2">
      <c r="A257" s="16">
        <v>49096</v>
      </c>
      <c r="B257" s="10">
        <f>37.0194 * CHOOSE(CONTROL!$C$9, $D$9, 100%, $F$9) + CHOOSE(CONTROL!$C$27, 0.0021, 0)</f>
        <v>37.021499999999996</v>
      </c>
      <c r="C257" s="10">
        <f>36.5871 * CHOOSE(CONTROL!$C$9, $D$9, 100%, $F$9) + CHOOSE(CONTROL!$C$27, 0.0021, 0)</f>
        <v>36.589199999999998</v>
      </c>
      <c r="D257" s="10">
        <f>36.5871 * CHOOSE(CONTROL!$C$9, $D$9, 100%, $F$9) + CHOOSE(CONTROL!$C$27, 0.0021, 0)</f>
        <v>36.589199999999998</v>
      </c>
      <c r="E257" s="10">
        <f>36.4505 * CHOOSE(CONTROL!$C$9, $D$9, 100%, $F$9) + CHOOSE(CONTROL!$C$27, 0.0021, 0)</f>
        <v>36.452599999999997</v>
      </c>
      <c r="F257" s="10">
        <f>36.4505 * CHOOSE(CONTROL!$C$9, $D$9, 100%, $F$9) + CHOOSE(CONTROL!$C$27, 0.0021, 0)</f>
        <v>36.452599999999997</v>
      </c>
      <c r="G257" s="10">
        <f>36.7218 * CHOOSE(CONTROL!$C$9, $D$9, 100%, $F$9) + CHOOSE(CONTROL!$C$27, 0.0021, 0)</f>
        <v>36.7239</v>
      </c>
      <c r="H257" s="10">
        <f>36.5871 * CHOOSE(CONTROL!$C$9, $D$9, 100%, $F$9) + CHOOSE(CONTROL!$C$27, 0.0021, 0)</f>
        <v>36.589199999999998</v>
      </c>
      <c r="I257" s="10">
        <f>36.5871 * CHOOSE(CONTROL!$C$9, $D$9, 100%, $F$9) + CHOOSE(CONTROL!$C$27, 0.0021, 0)</f>
        <v>36.589199999999998</v>
      </c>
      <c r="J257" s="10">
        <f>36.5871 * CHOOSE(CONTROL!$C$9, $D$9, 100%, $F$9) + CHOOSE(CONTROL!$C$27, 0.0021, 0)</f>
        <v>36.589199999999998</v>
      </c>
      <c r="K257" s="10">
        <f>36.5871 * CHOOSE(CONTROL!$C$9, $D$9, 100%, $F$9) + CHOOSE(CONTROL!$C$27, 0.0021, 0)</f>
        <v>36.589199999999998</v>
      </c>
      <c r="L257" s="10"/>
    </row>
    <row r="258" spans="1:12" ht="15" x14ac:dyDescent="0.2">
      <c r="A258" s="16">
        <v>49126</v>
      </c>
      <c r="B258" s="10">
        <f>37.7165 * CHOOSE(CONTROL!$C$9, $D$9, 100%, $F$9) + CHOOSE(CONTROL!$C$27, 0.0021, 0)</f>
        <v>37.718600000000002</v>
      </c>
      <c r="C258" s="10">
        <f>37.2843 * CHOOSE(CONTROL!$C$9, $D$9, 100%, $F$9) + CHOOSE(CONTROL!$C$27, 0.0021, 0)</f>
        <v>37.2864</v>
      </c>
      <c r="D258" s="10">
        <f>37.2843 * CHOOSE(CONTROL!$C$9, $D$9, 100%, $F$9) + CHOOSE(CONTROL!$C$27, 0.0021, 0)</f>
        <v>37.2864</v>
      </c>
      <c r="E258" s="10">
        <f>37.1476 * CHOOSE(CONTROL!$C$9, $D$9, 100%, $F$9) + CHOOSE(CONTROL!$C$27, 0.0021, 0)</f>
        <v>37.149699999999996</v>
      </c>
      <c r="F258" s="10">
        <f>37.1476 * CHOOSE(CONTROL!$C$9, $D$9, 100%, $F$9) + CHOOSE(CONTROL!$C$27, 0.0021, 0)</f>
        <v>37.149699999999996</v>
      </c>
      <c r="G258" s="10">
        <f>37.419 * CHOOSE(CONTROL!$C$9, $D$9, 100%, $F$9) + CHOOSE(CONTROL!$C$27, 0.0021, 0)</f>
        <v>37.421099999999996</v>
      </c>
      <c r="H258" s="10">
        <f>37.2843 * CHOOSE(CONTROL!$C$9, $D$9, 100%, $F$9) + CHOOSE(CONTROL!$C$27, 0.0021, 0)</f>
        <v>37.2864</v>
      </c>
      <c r="I258" s="10">
        <f>37.2843 * CHOOSE(CONTROL!$C$9, $D$9, 100%, $F$9) + CHOOSE(CONTROL!$C$27, 0.0021, 0)</f>
        <v>37.2864</v>
      </c>
      <c r="J258" s="10">
        <f>37.2843 * CHOOSE(CONTROL!$C$9, $D$9, 100%, $F$9) + CHOOSE(CONTROL!$C$27, 0.0021, 0)</f>
        <v>37.2864</v>
      </c>
      <c r="K258" s="10">
        <f>37.2843 * CHOOSE(CONTROL!$C$9, $D$9, 100%, $F$9) + CHOOSE(CONTROL!$C$27, 0.0021, 0)</f>
        <v>37.2864</v>
      </c>
      <c r="L258" s="10"/>
    </row>
    <row r="259" spans="1:12" ht="15" x14ac:dyDescent="0.2">
      <c r="A259" s="16">
        <v>49157</v>
      </c>
      <c r="B259" s="10">
        <f>37.9293 * CHOOSE(CONTROL!$C$9, $D$9, 100%, $F$9) + CHOOSE(CONTROL!$C$27, 0.0021, 0)</f>
        <v>37.931399999999996</v>
      </c>
      <c r="C259" s="10">
        <f>37.4971 * CHOOSE(CONTROL!$C$9, $D$9, 100%, $F$9) + CHOOSE(CONTROL!$C$27, 0.0021, 0)</f>
        <v>37.499200000000002</v>
      </c>
      <c r="D259" s="10">
        <f>37.4971 * CHOOSE(CONTROL!$C$9, $D$9, 100%, $F$9) + CHOOSE(CONTROL!$C$27, 0.0021, 0)</f>
        <v>37.499200000000002</v>
      </c>
      <c r="E259" s="10">
        <f>37.3604 * CHOOSE(CONTROL!$C$9, $D$9, 100%, $F$9) + CHOOSE(CONTROL!$C$27, 0.0021, 0)</f>
        <v>37.362499999999997</v>
      </c>
      <c r="F259" s="10">
        <f>37.3604 * CHOOSE(CONTROL!$C$9, $D$9, 100%, $F$9) + CHOOSE(CONTROL!$C$27, 0.0021, 0)</f>
        <v>37.362499999999997</v>
      </c>
      <c r="G259" s="10">
        <f>37.6318 * CHOOSE(CONTROL!$C$9, $D$9, 100%, $F$9) + CHOOSE(CONTROL!$C$27, 0.0021, 0)</f>
        <v>37.633899999999997</v>
      </c>
      <c r="H259" s="10">
        <f>37.4971 * CHOOSE(CONTROL!$C$9, $D$9, 100%, $F$9) + CHOOSE(CONTROL!$C$27, 0.0021, 0)</f>
        <v>37.499200000000002</v>
      </c>
      <c r="I259" s="10">
        <f>37.4971 * CHOOSE(CONTROL!$C$9, $D$9, 100%, $F$9) + CHOOSE(CONTROL!$C$27, 0.0021, 0)</f>
        <v>37.499200000000002</v>
      </c>
      <c r="J259" s="10">
        <f>37.4971 * CHOOSE(CONTROL!$C$9, $D$9, 100%, $F$9) + CHOOSE(CONTROL!$C$27, 0.0021, 0)</f>
        <v>37.499200000000002</v>
      </c>
      <c r="K259" s="10">
        <f>37.4971 * CHOOSE(CONTROL!$C$9, $D$9, 100%, $F$9) + CHOOSE(CONTROL!$C$27, 0.0021, 0)</f>
        <v>37.499200000000002</v>
      </c>
      <c r="L259" s="10"/>
    </row>
    <row r="260" spans="1:12" ht="15" x14ac:dyDescent="0.2">
      <c r="A260" s="16">
        <v>49188</v>
      </c>
      <c r="B260" s="10">
        <f>38.654 * CHOOSE(CONTROL!$C$9, $D$9, 100%, $F$9) + CHOOSE(CONTROL!$C$27, 0.0021, 0)</f>
        <v>38.656100000000002</v>
      </c>
      <c r="C260" s="10">
        <f>38.2218 * CHOOSE(CONTROL!$C$9, $D$9, 100%, $F$9) + CHOOSE(CONTROL!$C$27, 0.0021, 0)</f>
        <v>38.2239</v>
      </c>
      <c r="D260" s="10">
        <f>38.2218 * CHOOSE(CONTROL!$C$9, $D$9, 100%, $F$9) + CHOOSE(CONTROL!$C$27, 0.0021, 0)</f>
        <v>38.2239</v>
      </c>
      <c r="E260" s="10">
        <f>38.0851 * CHOOSE(CONTROL!$C$9, $D$9, 100%, $F$9) + CHOOSE(CONTROL!$C$27, 0.0021, 0)</f>
        <v>38.087199999999996</v>
      </c>
      <c r="F260" s="10">
        <f>38.0851 * CHOOSE(CONTROL!$C$9, $D$9, 100%, $F$9) + CHOOSE(CONTROL!$C$27, 0.0021, 0)</f>
        <v>38.087199999999996</v>
      </c>
      <c r="G260" s="10">
        <f>38.3565 * CHOOSE(CONTROL!$C$9, $D$9, 100%, $F$9) + CHOOSE(CONTROL!$C$27, 0.0021, 0)</f>
        <v>38.358599999999996</v>
      </c>
      <c r="H260" s="10">
        <f>38.2218 * CHOOSE(CONTROL!$C$9, $D$9, 100%, $F$9) + CHOOSE(CONTROL!$C$27, 0.0021, 0)</f>
        <v>38.2239</v>
      </c>
      <c r="I260" s="10">
        <f>38.2218 * CHOOSE(CONTROL!$C$9, $D$9, 100%, $F$9) + CHOOSE(CONTROL!$C$27, 0.0021, 0)</f>
        <v>38.2239</v>
      </c>
      <c r="J260" s="10">
        <f>38.2218 * CHOOSE(CONTROL!$C$9, $D$9, 100%, $F$9) + CHOOSE(CONTROL!$C$27, 0.0021, 0)</f>
        <v>38.2239</v>
      </c>
      <c r="K260" s="10">
        <f>38.2218 * CHOOSE(CONTROL!$C$9, $D$9, 100%, $F$9) + CHOOSE(CONTROL!$C$27, 0.0021, 0)</f>
        <v>38.2239</v>
      </c>
      <c r="L260" s="10"/>
    </row>
    <row r="261" spans="1:12" ht="15" x14ac:dyDescent="0.2">
      <c r="A261" s="16">
        <v>49218</v>
      </c>
      <c r="B261" s="10">
        <f>39.5713 * CHOOSE(CONTROL!$C$9, $D$9, 100%, $F$9) + CHOOSE(CONTROL!$C$27, 0.0021, 0)</f>
        <v>39.573399999999999</v>
      </c>
      <c r="C261" s="10">
        <f>39.1391 * CHOOSE(CONTROL!$C$9, $D$9, 100%, $F$9) + CHOOSE(CONTROL!$C$27, 0.0021, 0)</f>
        <v>39.141199999999998</v>
      </c>
      <c r="D261" s="10">
        <f>39.1391 * CHOOSE(CONTROL!$C$9, $D$9, 100%, $F$9) + CHOOSE(CONTROL!$C$27, 0.0021, 0)</f>
        <v>39.141199999999998</v>
      </c>
      <c r="E261" s="10">
        <f>39.0024 * CHOOSE(CONTROL!$C$9, $D$9, 100%, $F$9) + CHOOSE(CONTROL!$C$27, 0.0021, 0)</f>
        <v>39.0045</v>
      </c>
      <c r="F261" s="10">
        <f>39.0024 * CHOOSE(CONTROL!$C$9, $D$9, 100%, $F$9) + CHOOSE(CONTROL!$C$27, 0.0021, 0)</f>
        <v>39.0045</v>
      </c>
      <c r="G261" s="10">
        <f>39.2738 * CHOOSE(CONTROL!$C$9, $D$9, 100%, $F$9) + CHOOSE(CONTROL!$C$27, 0.0021, 0)</f>
        <v>39.2759</v>
      </c>
      <c r="H261" s="10">
        <f>39.1391 * CHOOSE(CONTROL!$C$9, $D$9, 100%, $F$9) + CHOOSE(CONTROL!$C$27, 0.0021, 0)</f>
        <v>39.141199999999998</v>
      </c>
      <c r="I261" s="10">
        <f>39.1391 * CHOOSE(CONTROL!$C$9, $D$9, 100%, $F$9) + CHOOSE(CONTROL!$C$27, 0.0021, 0)</f>
        <v>39.141199999999998</v>
      </c>
      <c r="J261" s="10">
        <f>39.1391 * CHOOSE(CONTROL!$C$9, $D$9, 100%, $F$9) + CHOOSE(CONTROL!$C$27, 0.0021, 0)</f>
        <v>39.141199999999998</v>
      </c>
      <c r="K261" s="10">
        <f>39.1391 * CHOOSE(CONTROL!$C$9, $D$9, 100%, $F$9) + CHOOSE(CONTROL!$C$27, 0.0021, 0)</f>
        <v>39.141199999999998</v>
      </c>
      <c r="L261" s="10"/>
    </row>
    <row r="262" spans="1:12" ht="15" x14ac:dyDescent="0.2">
      <c r="A262" s="16">
        <v>49249</v>
      </c>
      <c r="B262" s="10">
        <f>39.6574 * CHOOSE(CONTROL!$C$9, $D$9, 100%, $F$9) + CHOOSE(CONTROL!$C$27, 0.0021, 0)</f>
        <v>39.659500000000001</v>
      </c>
      <c r="C262" s="10">
        <f>39.2252 * CHOOSE(CONTROL!$C$9, $D$9, 100%, $F$9) + CHOOSE(CONTROL!$C$27, 0.0021, 0)</f>
        <v>39.2273</v>
      </c>
      <c r="D262" s="10">
        <f>39.2252 * CHOOSE(CONTROL!$C$9, $D$9, 100%, $F$9) + CHOOSE(CONTROL!$C$27, 0.0021, 0)</f>
        <v>39.2273</v>
      </c>
      <c r="E262" s="10">
        <f>39.0885 * CHOOSE(CONTROL!$C$9, $D$9, 100%, $F$9) + CHOOSE(CONTROL!$C$27, 0.0021, 0)</f>
        <v>39.090600000000002</v>
      </c>
      <c r="F262" s="10">
        <f>39.0885 * CHOOSE(CONTROL!$C$9, $D$9, 100%, $F$9) + CHOOSE(CONTROL!$C$27, 0.0021, 0)</f>
        <v>39.090600000000002</v>
      </c>
      <c r="G262" s="10">
        <f>39.3599 * CHOOSE(CONTROL!$C$9, $D$9, 100%, $F$9) + CHOOSE(CONTROL!$C$27, 0.0021, 0)</f>
        <v>39.362000000000002</v>
      </c>
      <c r="H262" s="10">
        <f>39.2252 * CHOOSE(CONTROL!$C$9, $D$9, 100%, $F$9) + CHOOSE(CONTROL!$C$27, 0.0021, 0)</f>
        <v>39.2273</v>
      </c>
      <c r="I262" s="10">
        <f>39.2252 * CHOOSE(CONTROL!$C$9, $D$9, 100%, $F$9) + CHOOSE(CONTROL!$C$27, 0.0021, 0)</f>
        <v>39.2273</v>
      </c>
      <c r="J262" s="10">
        <f>39.2252 * CHOOSE(CONTROL!$C$9, $D$9, 100%, $F$9) + CHOOSE(CONTROL!$C$27, 0.0021, 0)</f>
        <v>39.2273</v>
      </c>
      <c r="K262" s="10">
        <f>39.2252 * CHOOSE(CONTROL!$C$9, $D$9, 100%, $F$9) + CHOOSE(CONTROL!$C$27, 0.0021, 0)</f>
        <v>39.2273</v>
      </c>
      <c r="L262" s="10"/>
    </row>
    <row r="263" spans="1:12" ht="15" x14ac:dyDescent="0.2">
      <c r="A263" s="16">
        <v>49279</v>
      </c>
      <c r="B263" s="10">
        <f>38.9248 * CHOOSE(CONTROL!$C$9, $D$9, 100%, $F$9) + CHOOSE(CONTROL!$C$27, 0.0021, 0)</f>
        <v>38.926899999999996</v>
      </c>
      <c r="C263" s="10">
        <f>38.4926 * CHOOSE(CONTROL!$C$9, $D$9, 100%, $F$9) + CHOOSE(CONTROL!$C$27, 0.0021, 0)</f>
        <v>38.494700000000002</v>
      </c>
      <c r="D263" s="10">
        <f>38.4926 * CHOOSE(CONTROL!$C$9, $D$9, 100%, $F$9) + CHOOSE(CONTROL!$C$27, 0.0021, 0)</f>
        <v>38.494700000000002</v>
      </c>
      <c r="E263" s="10">
        <f>38.3559 * CHOOSE(CONTROL!$C$9, $D$9, 100%, $F$9) + CHOOSE(CONTROL!$C$27, 0.0021, 0)</f>
        <v>38.357999999999997</v>
      </c>
      <c r="F263" s="10">
        <f>38.3559 * CHOOSE(CONTROL!$C$9, $D$9, 100%, $F$9) + CHOOSE(CONTROL!$C$27, 0.0021, 0)</f>
        <v>38.357999999999997</v>
      </c>
      <c r="G263" s="10">
        <f>38.6273 * CHOOSE(CONTROL!$C$9, $D$9, 100%, $F$9) + CHOOSE(CONTROL!$C$27, 0.0021, 0)</f>
        <v>38.629399999999997</v>
      </c>
      <c r="H263" s="10">
        <f>38.4926 * CHOOSE(CONTROL!$C$9, $D$9, 100%, $F$9) + CHOOSE(CONTROL!$C$27, 0.0021, 0)</f>
        <v>38.494700000000002</v>
      </c>
      <c r="I263" s="10">
        <f>38.4926 * CHOOSE(CONTROL!$C$9, $D$9, 100%, $F$9) + CHOOSE(CONTROL!$C$27, 0.0021, 0)</f>
        <v>38.494700000000002</v>
      </c>
      <c r="J263" s="10">
        <f>38.4926 * CHOOSE(CONTROL!$C$9, $D$9, 100%, $F$9) + CHOOSE(CONTROL!$C$27, 0.0021, 0)</f>
        <v>38.494700000000002</v>
      </c>
      <c r="K263" s="10">
        <f>38.4926 * CHOOSE(CONTROL!$C$9, $D$9, 100%, $F$9) + CHOOSE(CONTROL!$C$27, 0.0021, 0)</f>
        <v>38.494700000000002</v>
      </c>
      <c r="L263" s="10"/>
    </row>
    <row r="264" spans="1:12" ht="15" x14ac:dyDescent="0.2">
      <c r="A264" s="16">
        <v>49310</v>
      </c>
      <c r="B264" s="10">
        <f>38.3639 * CHOOSE(CONTROL!$C$9, $D$9, 100%, $F$9) + CHOOSE(CONTROL!$C$27, 0.0021, 0)</f>
        <v>38.366</v>
      </c>
      <c r="C264" s="10">
        <f>37.9316 * CHOOSE(CONTROL!$C$9, $D$9, 100%, $F$9) + CHOOSE(CONTROL!$C$27, 0.0021, 0)</f>
        <v>37.933700000000002</v>
      </c>
      <c r="D264" s="10">
        <f>37.9316 * CHOOSE(CONTROL!$C$9, $D$9, 100%, $F$9) + CHOOSE(CONTROL!$C$27, 0.0021, 0)</f>
        <v>37.933700000000002</v>
      </c>
      <c r="E264" s="10">
        <f>37.795 * CHOOSE(CONTROL!$C$9, $D$9, 100%, $F$9) + CHOOSE(CONTROL!$C$27, 0.0021, 0)</f>
        <v>37.7971</v>
      </c>
      <c r="F264" s="10">
        <f>37.795 * CHOOSE(CONTROL!$C$9, $D$9, 100%, $F$9) + CHOOSE(CONTROL!$C$27, 0.0021, 0)</f>
        <v>37.7971</v>
      </c>
      <c r="G264" s="10">
        <f>38.0663 * CHOOSE(CONTROL!$C$9, $D$9, 100%, $F$9) + CHOOSE(CONTROL!$C$27, 0.0021, 0)</f>
        <v>38.068399999999997</v>
      </c>
      <c r="H264" s="10">
        <f>37.9316 * CHOOSE(CONTROL!$C$9, $D$9, 100%, $F$9) + CHOOSE(CONTROL!$C$27, 0.0021, 0)</f>
        <v>37.933700000000002</v>
      </c>
      <c r="I264" s="10">
        <f>37.9316 * CHOOSE(CONTROL!$C$9, $D$9, 100%, $F$9) + CHOOSE(CONTROL!$C$27, 0.0021, 0)</f>
        <v>37.933700000000002</v>
      </c>
      <c r="J264" s="10">
        <f>37.9316 * CHOOSE(CONTROL!$C$9, $D$9, 100%, $F$9) + CHOOSE(CONTROL!$C$27, 0.0021, 0)</f>
        <v>37.933700000000002</v>
      </c>
      <c r="K264" s="10">
        <f>37.9316 * CHOOSE(CONTROL!$C$9, $D$9, 100%, $F$9) + CHOOSE(CONTROL!$C$27, 0.0021, 0)</f>
        <v>37.933700000000002</v>
      </c>
      <c r="L264" s="10"/>
    </row>
    <row r="265" spans="1:12" ht="15" x14ac:dyDescent="0.2">
      <c r="A265" s="16">
        <v>49341</v>
      </c>
      <c r="B265" s="10">
        <f>37.3436 * CHOOSE(CONTROL!$C$9, $D$9, 100%, $F$9) + CHOOSE(CONTROL!$C$27, 0.0021, 0)</f>
        <v>37.345700000000001</v>
      </c>
      <c r="C265" s="10">
        <f>36.9113 * CHOOSE(CONTROL!$C$9, $D$9, 100%, $F$9) + CHOOSE(CONTROL!$C$27, 0.0021, 0)</f>
        <v>36.913399999999996</v>
      </c>
      <c r="D265" s="10">
        <f>36.9113 * CHOOSE(CONTROL!$C$9, $D$9, 100%, $F$9) + CHOOSE(CONTROL!$C$27, 0.0021, 0)</f>
        <v>36.913399999999996</v>
      </c>
      <c r="E265" s="10">
        <f>36.7747 * CHOOSE(CONTROL!$C$9, $D$9, 100%, $F$9) + CHOOSE(CONTROL!$C$27, 0.0021, 0)</f>
        <v>36.776800000000001</v>
      </c>
      <c r="F265" s="10">
        <f>36.7747 * CHOOSE(CONTROL!$C$9, $D$9, 100%, $F$9) + CHOOSE(CONTROL!$C$27, 0.0021, 0)</f>
        <v>36.776800000000001</v>
      </c>
      <c r="G265" s="10">
        <f>37.046 * CHOOSE(CONTROL!$C$9, $D$9, 100%, $F$9) + CHOOSE(CONTROL!$C$27, 0.0021, 0)</f>
        <v>37.048099999999998</v>
      </c>
      <c r="H265" s="10">
        <f>36.9113 * CHOOSE(CONTROL!$C$9, $D$9, 100%, $F$9) + CHOOSE(CONTROL!$C$27, 0.0021, 0)</f>
        <v>36.913399999999996</v>
      </c>
      <c r="I265" s="10">
        <f>36.9113 * CHOOSE(CONTROL!$C$9, $D$9, 100%, $F$9) + CHOOSE(CONTROL!$C$27, 0.0021, 0)</f>
        <v>36.913399999999996</v>
      </c>
      <c r="J265" s="10">
        <f>36.9113 * CHOOSE(CONTROL!$C$9, $D$9, 100%, $F$9) + CHOOSE(CONTROL!$C$27, 0.0021, 0)</f>
        <v>36.913399999999996</v>
      </c>
      <c r="K265" s="10">
        <f>36.9113 * CHOOSE(CONTROL!$C$9, $D$9, 100%, $F$9) + CHOOSE(CONTROL!$C$27, 0.0021, 0)</f>
        <v>36.913399999999996</v>
      </c>
      <c r="L265" s="10"/>
    </row>
    <row r="266" spans="1:12" ht="15" x14ac:dyDescent="0.2">
      <c r="A266" s="16">
        <v>49369</v>
      </c>
      <c r="B266" s="10">
        <f>36.9224 * CHOOSE(CONTROL!$C$9, $D$9, 100%, $F$9) + CHOOSE(CONTROL!$C$27, 0.0021, 0)</f>
        <v>36.924500000000002</v>
      </c>
      <c r="C266" s="10">
        <f>36.4901 * CHOOSE(CONTROL!$C$9, $D$9, 100%, $F$9) + CHOOSE(CONTROL!$C$27, 0.0021, 0)</f>
        <v>36.492199999999997</v>
      </c>
      <c r="D266" s="10">
        <f>36.4901 * CHOOSE(CONTROL!$C$9, $D$9, 100%, $F$9) + CHOOSE(CONTROL!$C$27, 0.0021, 0)</f>
        <v>36.492199999999997</v>
      </c>
      <c r="E266" s="10">
        <f>36.3535 * CHOOSE(CONTROL!$C$9, $D$9, 100%, $F$9) + CHOOSE(CONTROL!$C$27, 0.0021, 0)</f>
        <v>36.355599999999995</v>
      </c>
      <c r="F266" s="10">
        <f>36.3535 * CHOOSE(CONTROL!$C$9, $D$9, 100%, $F$9) + CHOOSE(CONTROL!$C$27, 0.0021, 0)</f>
        <v>36.355599999999995</v>
      </c>
      <c r="G266" s="10">
        <f>36.6249 * CHOOSE(CONTROL!$C$9, $D$9, 100%, $F$9) + CHOOSE(CONTROL!$C$27, 0.0021, 0)</f>
        <v>36.626999999999995</v>
      </c>
      <c r="H266" s="10">
        <f>36.4901 * CHOOSE(CONTROL!$C$9, $D$9, 100%, $F$9) + CHOOSE(CONTROL!$C$27, 0.0021, 0)</f>
        <v>36.492199999999997</v>
      </c>
      <c r="I266" s="10">
        <f>36.4901 * CHOOSE(CONTROL!$C$9, $D$9, 100%, $F$9) + CHOOSE(CONTROL!$C$27, 0.0021, 0)</f>
        <v>36.492199999999997</v>
      </c>
      <c r="J266" s="10">
        <f>36.4901 * CHOOSE(CONTROL!$C$9, $D$9, 100%, $F$9) + CHOOSE(CONTROL!$C$27, 0.0021, 0)</f>
        <v>36.492199999999997</v>
      </c>
      <c r="K266" s="10">
        <f>36.4901 * CHOOSE(CONTROL!$C$9, $D$9, 100%, $F$9) + CHOOSE(CONTROL!$C$27, 0.0021, 0)</f>
        <v>36.492199999999997</v>
      </c>
      <c r="L266" s="10"/>
    </row>
    <row r="267" spans="1:12" ht="15" x14ac:dyDescent="0.2">
      <c r="A267" s="16">
        <v>49400</v>
      </c>
      <c r="B267" s="10">
        <f>36.4195 * CHOOSE(CONTROL!$C$9, $D$9, 100%, $F$9) + CHOOSE(CONTROL!$C$27, 0.0021, 0)</f>
        <v>36.421599999999998</v>
      </c>
      <c r="C267" s="10">
        <f>35.9872 * CHOOSE(CONTROL!$C$9, $D$9, 100%, $F$9) + CHOOSE(CONTROL!$C$27, 0.0021, 0)</f>
        <v>35.9893</v>
      </c>
      <c r="D267" s="10">
        <f>35.9872 * CHOOSE(CONTROL!$C$9, $D$9, 100%, $F$9) + CHOOSE(CONTROL!$C$27, 0.0021, 0)</f>
        <v>35.9893</v>
      </c>
      <c r="E267" s="10">
        <f>35.8506 * CHOOSE(CONTROL!$C$9, $D$9, 100%, $F$9) + CHOOSE(CONTROL!$C$27, 0.0021, 0)</f>
        <v>35.852699999999999</v>
      </c>
      <c r="F267" s="10">
        <f>35.8506 * CHOOSE(CONTROL!$C$9, $D$9, 100%, $F$9) + CHOOSE(CONTROL!$C$27, 0.0021, 0)</f>
        <v>35.852699999999999</v>
      </c>
      <c r="G267" s="10">
        <f>36.122 * CHOOSE(CONTROL!$C$9, $D$9, 100%, $F$9) + CHOOSE(CONTROL!$C$27, 0.0021, 0)</f>
        <v>36.124099999999999</v>
      </c>
      <c r="H267" s="10">
        <f>35.9872 * CHOOSE(CONTROL!$C$9, $D$9, 100%, $F$9) + CHOOSE(CONTROL!$C$27, 0.0021, 0)</f>
        <v>35.9893</v>
      </c>
      <c r="I267" s="10">
        <f>35.9872 * CHOOSE(CONTROL!$C$9, $D$9, 100%, $F$9) + CHOOSE(CONTROL!$C$27, 0.0021, 0)</f>
        <v>35.9893</v>
      </c>
      <c r="J267" s="10">
        <f>35.9872 * CHOOSE(CONTROL!$C$9, $D$9, 100%, $F$9) + CHOOSE(CONTROL!$C$27, 0.0021, 0)</f>
        <v>35.9893</v>
      </c>
      <c r="K267" s="10">
        <f>35.9872 * CHOOSE(CONTROL!$C$9, $D$9, 100%, $F$9) + CHOOSE(CONTROL!$C$27, 0.0021, 0)</f>
        <v>35.9893</v>
      </c>
      <c r="L267" s="10"/>
    </row>
    <row r="268" spans="1:12" ht="15" x14ac:dyDescent="0.2">
      <c r="A268" s="16">
        <v>49430</v>
      </c>
      <c r="B268" s="10">
        <f>37.1362 * CHOOSE(CONTROL!$C$9, $D$9, 100%, $F$9) + CHOOSE(CONTROL!$C$27, 0.0021, 0)</f>
        <v>37.138300000000001</v>
      </c>
      <c r="C268" s="10">
        <f>36.7039 * CHOOSE(CONTROL!$C$9, $D$9, 100%, $F$9) + CHOOSE(CONTROL!$C$27, 0.0021, 0)</f>
        <v>36.705999999999996</v>
      </c>
      <c r="D268" s="10">
        <f>36.7039 * CHOOSE(CONTROL!$C$9, $D$9, 100%, $F$9) + CHOOSE(CONTROL!$C$27, 0.0021, 0)</f>
        <v>36.705999999999996</v>
      </c>
      <c r="E268" s="10">
        <f>36.5673 * CHOOSE(CONTROL!$C$9, $D$9, 100%, $F$9) + CHOOSE(CONTROL!$C$27, 0.0021, 0)</f>
        <v>36.569400000000002</v>
      </c>
      <c r="F268" s="10">
        <f>36.5673 * CHOOSE(CONTROL!$C$9, $D$9, 100%, $F$9) + CHOOSE(CONTROL!$C$27, 0.0021, 0)</f>
        <v>36.569400000000002</v>
      </c>
      <c r="G268" s="10">
        <f>36.8387 * CHOOSE(CONTROL!$C$9, $D$9, 100%, $F$9) + CHOOSE(CONTROL!$C$27, 0.0021, 0)</f>
        <v>36.840800000000002</v>
      </c>
      <c r="H268" s="10">
        <f>36.7039 * CHOOSE(CONTROL!$C$9, $D$9, 100%, $F$9) + CHOOSE(CONTROL!$C$27, 0.0021, 0)</f>
        <v>36.705999999999996</v>
      </c>
      <c r="I268" s="10">
        <f>36.7039 * CHOOSE(CONTROL!$C$9, $D$9, 100%, $F$9) + CHOOSE(CONTROL!$C$27, 0.0021, 0)</f>
        <v>36.705999999999996</v>
      </c>
      <c r="J268" s="10">
        <f>36.7039 * CHOOSE(CONTROL!$C$9, $D$9, 100%, $F$9) + CHOOSE(CONTROL!$C$27, 0.0021, 0)</f>
        <v>36.705999999999996</v>
      </c>
      <c r="K268" s="10">
        <f>36.7039 * CHOOSE(CONTROL!$C$9, $D$9, 100%, $F$9) + CHOOSE(CONTROL!$C$27, 0.0021, 0)</f>
        <v>36.705999999999996</v>
      </c>
      <c r="L268" s="10"/>
    </row>
    <row r="269" spans="1:12" ht="15" x14ac:dyDescent="0.2">
      <c r="A269" s="15">
        <v>49461</v>
      </c>
      <c r="B269" s="10">
        <f>37.5654 * CHOOSE(CONTROL!$C$9, $D$9, 100%, $F$9) + CHOOSE(CONTROL!$C$27, 0.0021, 0)</f>
        <v>37.567499999999995</v>
      </c>
      <c r="C269" s="10">
        <f>37.1332 * CHOOSE(CONTROL!$C$9, $D$9, 100%, $F$9) + CHOOSE(CONTROL!$C$27, 0.0021, 0)</f>
        <v>37.135300000000001</v>
      </c>
      <c r="D269" s="10">
        <f>37.1332 * CHOOSE(CONTROL!$C$9, $D$9, 100%, $F$9) + CHOOSE(CONTROL!$C$27, 0.0021, 0)</f>
        <v>37.135300000000001</v>
      </c>
      <c r="E269" s="10">
        <f>36.9965 * CHOOSE(CONTROL!$C$9, $D$9, 100%, $F$9) + CHOOSE(CONTROL!$C$27, 0.0021, 0)</f>
        <v>36.998599999999996</v>
      </c>
      <c r="F269" s="10">
        <f>36.9965 * CHOOSE(CONTROL!$C$9, $D$9, 100%, $F$9) + CHOOSE(CONTROL!$C$27, 0.0021, 0)</f>
        <v>36.998599999999996</v>
      </c>
      <c r="G269" s="10">
        <f>37.2679 * CHOOSE(CONTROL!$C$9, $D$9, 100%, $F$9) + CHOOSE(CONTROL!$C$27, 0.0021, 0)</f>
        <v>37.269999999999996</v>
      </c>
      <c r="H269" s="10">
        <f>37.1332 * CHOOSE(CONTROL!$C$9, $D$9, 100%, $F$9) + CHOOSE(CONTROL!$C$27, 0.0021, 0)</f>
        <v>37.135300000000001</v>
      </c>
      <c r="I269" s="10">
        <f>37.1332 * CHOOSE(CONTROL!$C$9, $D$9, 100%, $F$9) + CHOOSE(CONTROL!$C$27, 0.0021, 0)</f>
        <v>37.135300000000001</v>
      </c>
      <c r="J269" s="10">
        <f>37.1332 * CHOOSE(CONTROL!$C$9, $D$9, 100%, $F$9) + CHOOSE(CONTROL!$C$27, 0.0021, 0)</f>
        <v>37.135300000000001</v>
      </c>
      <c r="K269" s="10">
        <f>37.1332 * CHOOSE(CONTROL!$C$9, $D$9, 100%, $F$9) + CHOOSE(CONTROL!$C$27, 0.0021, 0)</f>
        <v>37.135300000000001</v>
      </c>
      <c r="L269" s="10"/>
    </row>
    <row r="270" spans="1:12" ht="15" x14ac:dyDescent="0.2">
      <c r="A270" s="15">
        <v>49491</v>
      </c>
      <c r="B270" s="10">
        <f>38.2736 * CHOOSE(CONTROL!$C$9, $D$9, 100%, $F$9) + CHOOSE(CONTROL!$C$27, 0.0021, 0)</f>
        <v>38.275700000000001</v>
      </c>
      <c r="C270" s="10">
        <f>37.8413 * CHOOSE(CONTROL!$C$9, $D$9, 100%, $F$9) + CHOOSE(CONTROL!$C$27, 0.0021, 0)</f>
        <v>37.843399999999995</v>
      </c>
      <c r="D270" s="10">
        <f>37.8413 * CHOOSE(CONTROL!$C$9, $D$9, 100%, $F$9) + CHOOSE(CONTROL!$C$27, 0.0021, 0)</f>
        <v>37.843399999999995</v>
      </c>
      <c r="E270" s="10">
        <f>37.7047 * CHOOSE(CONTROL!$C$9, $D$9, 100%, $F$9) + CHOOSE(CONTROL!$C$27, 0.0021, 0)</f>
        <v>37.706800000000001</v>
      </c>
      <c r="F270" s="10">
        <f>37.7047 * CHOOSE(CONTROL!$C$9, $D$9, 100%, $F$9) + CHOOSE(CONTROL!$C$27, 0.0021, 0)</f>
        <v>37.706800000000001</v>
      </c>
      <c r="G270" s="10">
        <f>37.976 * CHOOSE(CONTROL!$C$9, $D$9, 100%, $F$9) + CHOOSE(CONTROL!$C$27, 0.0021, 0)</f>
        <v>37.978099999999998</v>
      </c>
      <c r="H270" s="10">
        <f>37.8413 * CHOOSE(CONTROL!$C$9, $D$9, 100%, $F$9) + CHOOSE(CONTROL!$C$27, 0.0021, 0)</f>
        <v>37.843399999999995</v>
      </c>
      <c r="I270" s="10">
        <f>37.8413 * CHOOSE(CONTROL!$C$9, $D$9, 100%, $F$9) + CHOOSE(CONTROL!$C$27, 0.0021, 0)</f>
        <v>37.843399999999995</v>
      </c>
      <c r="J270" s="10">
        <f>37.8413 * CHOOSE(CONTROL!$C$9, $D$9, 100%, $F$9) + CHOOSE(CONTROL!$C$27, 0.0021, 0)</f>
        <v>37.843399999999995</v>
      </c>
      <c r="K270" s="10">
        <f>37.8413 * CHOOSE(CONTROL!$C$9, $D$9, 100%, $F$9) + CHOOSE(CONTROL!$C$27, 0.0021, 0)</f>
        <v>37.843399999999995</v>
      </c>
      <c r="L270" s="10"/>
    </row>
    <row r="271" spans="1:12" ht="15" x14ac:dyDescent="0.2">
      <c r="A271" s="15">
        <v>49522</v>
      </c>
      <c r="B271" s="10">
        <f>38.4897 * CHOOSE(CONTROL!$C$9, $D$9, 100%, $F$9) + CHOOSE(CONTROL!$C$27, 0.0021, 0)</f>
        <v>38.491799999999998</v>
      </c>
      <c r="C271" s="10">
        <f>38.0575 * CHOOSE(CONTROL!$C$9, $D$9, 100%, $F$9) + CHOOSE(CONTROL!$C$27, 0.0021, 0)</f>
        <v>38.059599999999996</v>
      </c>
      <c r="D271" s="10">
        <f>38.0575 * CHOOSE(CONTROL!$C$9, $D$9, 100%, $F$9) + CHOOSE(CONTROL!$C$27, 0.0021, 0)</f>
        <v>38.059599999999996</v>
      </c>
      <c r="E271" s="10">
        <f>37.9208 * CHOOSE(CONTROL!$C$9, $D$9, 100%, $F$9) + CHOOSE(CONTROL!$C$27, 0.0021, 0)</f>
        <v>37.922899999999998</v>
      </c>
      <c r="F271" s="10">
        <f>37.9208 * CHOOSE(CONTROL!$C$9, $D$9, 100%, $F$9) + CHOOSE(CONTROL!$C$27, 0.0021, 0)</f>
        <v>37.922899999999998</v>
      </c>
      <c r="G271" s="10">
        <f>38.1922 * CHOOSE(CONTROL!$C$9, $D$9, 100%, $F$9) + CHOOSE(CONTROL!$C$27, 0.0021, 0)</f>
        <v>38.194299999999998</v>
      </c>
      <c r="H271" s="10">
        <f>38.0575 * CHOOSE(CONTROL!$C$9, $D$9, 100%, $F$9) + CHOOSE(CONTROL!$C$27, 0.0021, 0)</f>
        <v>38.059599999999996</v>
      </c>
      <c r="I271" s="10">
        <f>38.0575 * CHOOSE(CONTROL!$C$9, $D$9, 100%, $F$9) + CHOOSE(CONTROL!$C$27, 0.0021, 0)</f>
        <v>38.059599999999996</v>
      </c>
      <c r="J271" s="10">
        <f>38.0575 * CHOOSE(CONTROL!$C$9, $D$9, 100%, $F$9) + CHOOSE(CONTROL!$C$27, 0.0021, 0)</f>
        <v>38.059599999999996</v>
      </c>
      <c r="K271" s="10">
        <f>38.0575 * CHOOSE(CONTROL!$C$9, $D$9, 100%, $F$9) + CHOOSE(CONTROL!$C$27, 0.0021, 0)</f>
        <v>38.059599999999996</v>
      </c>
      <c r="L271" s="10"/>
    </row>
    <row r="272" spans="1:12" ht="15" x14ac:dyDescent="0.2">
      <c r="A272" s="15">
        <v>49553</v>
      </c>
      <c r="B272" s="10">
        <f>39.2258 * CHOOSE(CONTROL!$C$9, $D$9, 100%, $F$9) + CHOOSE(CONTROL!$C$27, 0.0021, 0)</f>
        <v>39.227899999999998</v>
      </c>
      <c r="C272" s="10">
        <f>38.7935 * CHOOSE(CONTROL!$C$9, $D$9, 100%, $F$9) + CHOOSE(CONTROL!$C$27, 0.0021, 0)</f>
        <v>38.7956</v>
      </c>
      <c r="D272" s="10">
        <f>38.7935 * CHOOSE(CONTROL!$C$9, $D$9, 100%, $F$9) + CHOOSE(CONTROL!$C$27, 0.0021, 0)</f>
        <v>38.7956</v>
      </c>
      <c r="E272" s="10">
        <f>38.6569 * CHOOSE(CONTROL!$C$9, $D$9, 100%, $F$9) + CHOOSE(CONTROL!$C$27, 0.0021, 0)</f>
        <v>38.658999999999999</v>
      </c>
      <c r="F272" s="10">
        <f>38.6569 * CHOOSE(CONTROL!$C$9, $D$9, 100%, $F$9) + CHOOSE(CONTROL!$C$27, 0.0021, 0)</f>
        <v>38.658999999999999</v>
      </c>
      <c r="G272" s="10">
        <f>38.9283 * CHOOSE(CONTROL!$C$9, $D$9, 100%, $F$9) + CHOOSE(CONTROL!$C$27, 0.0021, 0)</f>
        <v>38.930399999999999</v>
      </c>
      <c r="H272" s="10">
        <f>38.7935 * CHOOSE(CONTROL!$C$9, $D$9, 100%, $F$9) + CHOOSE(CONTROL!$C$27, 0.0021, 0)</f>
        <v>38.7956</v>
      </c>
      <c r="I272" s="10">
        <f>38.7935 * CHOOSE(CONTROL!$C$9, $D$9, 100%, $F$9) + CHOOSE(CONTROL!$C$27, 0.0021, 0)</f>
        <v>38.7956</v>
      </c>
      <c r="J272" s="10">
        <f>38.7935 * CHOOSE(CONTROL!$C$9, $D$9, 100%, $F$9) + CHOOSE(CONTROL!$C$27, 0.0021, 0)</f>
        <v>38.7956</v>
      </c>
      <c r="K272" s="10">
        <f>38.7935 * CHOOSE(CONTROL!$C$9, $D$9, 100%, $F$9) + CHOOSE(CONTROL!$C$27, 0.0021, 0)</f>
        <v>38.7956</v>
      </c>
      <c r="L272" s="10"/>
    </row>
    <row r="273" spans="1:12" ht="15" x14ac:dyDescent="0.2">
      <c r="A273" s="15">
        <v>49583</v>
      </c>
      <c r="B273" s="10">
        <f>40.1575 * CHOOSE(CONTROL!$C$9, $D$9, 100%, $F$9) + CHOOSE(CONTROL!$C$27, 0.0021, 0)</f>
        <v>40.159599999999998</v>
      </c>
      <c r="C273" s="10">
        <f>39.7253 * CHOOSE(CONTROL!$C$9, $D$9, 100%, $F$9) + CHOOSE(CONTROL!$C$27, 0.0021, 0)</f>
        <v>39.727399999999996</v>
      </c>
      <c r="D273" s="10">
        <f>39.7253 * CHOOSE(CONTROL!$C$9, $D$9, 100%, $F$9) + CHOOSE(CONTROL!$C$27, 0.0021, 0)</f>
        <v>39.727399999999996</v>
      </c>
      <c r="E273" s="10">
        <f>39.5886 * CHOOSE(CONTROL!$C$9, $D$9, 100%, $F$9) + CHOOSE(CONTROL!$C$27, 0.0021, 0)</f>
        <v>39.590699999999998</v>
      </c>
      <c r="F273" s="10">
        <f>39.5886 * CHOOSE(CONTROL!$C$9, $D$9, 100%, $F$9) + CHOOSE(CONTROL!$C$27, 0.0021, 0)</f>
        <v>39.590699999999998</v>
      </c>
      <c r="G273" s="10">
        <f>39.86 * CHOOSE(CONTROL!$C$9, $D$9, 100%, $F$9) + CHOOSE(CONTROL!$C$27, 0.0021, 0)</f>
        <v>39.862099999999998</v>
      </c>
      <c r="H273" s="10">
        <f>39.7253 * CHOOSE(CONTROL!$C$9, $D$9, 100%, $F$9) + CHOOSE(CONTROL!$C$27, 0.0021, 0)</f>
        <v>39.727399999999996</v>
      </c>
      <c r="I273" s="10">
        <f>39.7253 * CHOOSE(CONTROL!$C$9, $D$9, 100%, $F$9) + CHOOSE(CONTROL!$C$27, 0.0021, 0)</f>
        <v>39.727399999999996</v>
      </c>
      <c r="J273" s="10">
        <f>39.7253 * CHOOSE(CONTROL!$C$9, $D$9, 100%, $F$9) + CHOOSE(CONTROL!$C$27, 0.0021, 0)</f>
        <v>39.727399999999996</v>
      </c>
      <c r="K273" s="10">
        <f>39.7253 * CHOOSE(CONTROL!$C$9, $D$9, 100%, $F$9) + CHOOSE(CONTROL!$C$27, 0.0021, 0)</f>
        <v>39.727399999999996</v>
      </c>
      <c r="L273" s="10"/>
    </row>
    <row r="274" spans="1:12" ht="15" x14ac:dyDescent="0.2">
      <c r="A274" s="15">
        <v>49614</v>
      </c>
      <c r="B274" s="10">
        <f>40.245 * CHOOSE(CONTROL!$C$9, $D$9, 100%, $F$9) + CHOOSE(CONTROL!$C$27, 0.0021, 0)</f>
        <v>40.247099999999996</v>
      </c>
      <c r="C274" s="10">
        <f>39.8128 * CHOOSE(CONTROL!$C$9, $D$9, 100%, $F$9) + CHOOSE(CONTROL!$C$27, 0.0021, 0)</f>
        <v>39.814900000000002</v>
      </c>
      <c r="D274" s="10">
        <f>39.8128 * CHOOSE(CONTROL!$C$9, $D$9, 100%, $F$9) + CHOOSE(CONTROL!$C$27, 0.0021, 0)</f>
        <v>39.814900000000002</v>
      </c>
      <c r="E274" s="10">
        <f>39.6761 * CHOOSE(CONTROL!$C$9, $D$9, 100%, $F$9) + CHOOSE(CONTROL!$C$27, 0.0021, 0)</f>
        <v>39.678199999999997</v>
      </c>
      <c r="F274" s="10">
        <f>39.6761 * CHOOSE(CONTROL!$C$9, $D$9, 100%, $F$9) + CHOOSE(CONTROL!$C$27, 0.0021, 0)</f>
        <v>39.678199999999997</v>
      </c>
      <c r="G274" s="10">
        <f>39.9475 * CHOOSE(CONTROL!$C$9, $D$9, 100%, $F$9) + CHOOSE(CONTROL!$C$27, 0.0021, 0)</f>
        <v>39.949599999999997</v>
      </c>
      <c r="H274" s="10">
        <f>39.8128 * CHOOSE(CONTROL!$C$9, $D$9, 100%, $F$9) + CHOOSE(CONTROL!$C$27, 0.0021, 0)</f>
        <v>39.814900000000002</v>
      </c>
      <c r="I274" s="10">
        <f>39.8128 * CHOOSE(CONTROL!$C$9, $D$9, 100%, $F$9) + CHOOSE(CONTROL!$C$27, 0.0021, 0)</f>
        <v>39.814900000000002</v>
      </c>
      <c r="J274" s="10">
        <f>39.8128 * CHOOSE(CONTROL!$C$9, $D$9, 100%, $F$9) + CHOOSE(CONTROL!$C$27, 0.0021, 0)</f>
        <v>39.814900000000002</v>
      </c>
      <c r="K274" s="10">
        <f>39.8128 * CHOOSE(CONTROL!$C$9, $D$9, 100%, $F$9) + CHOOSE(CONTROL!$C$27, 0.0021, 0)</f>
        <v>39.814900000000002</v>
      </c>
      <c r="L274" s="10"/>
    </row>
    <row r="275" spans="1:12" ht="15" x14ac:dyDescent="0.2">
      <c r="A275" s="15">
        <v>49644</v>
      </c>
      <c r="B275" s="10">
        <f>39.5008 * CHOOSE(CONTROL!$C$9, $D$9, 100%, $F$9) + CHOOSE(CONTROL!$C$27, 0.0021, 0)</f>
        <v>39.502899999999997</v>
      </c>
      <c r="C275" s="10">
        <f>39.0686 * CHOOSE(CONTROL!$C$9, $D$9, 100%, $F$9) + CHOOSE(CONTROL!$C$27, 0.0021, 0)</f>
        <v>39.070700000000002</v>
      </c>
      <c r="D275" s="10">
        <f>39.0686 * CHOOSE(CONTROL!$C$9, $D$9, 100%, $F$9) + CHOOSE(CONTROL!$C$27, 0.0021, 0)</f>
        <v>39.070700000000002</v>
      </c>
      <c r="E275" s="10">
        <f>38.9319 * CHOOSE(CONTROL!$C$9, $D$9, 100%, $F$9) + CHOOSE(CONTROL!$C$27, 0.0021, 0)</f>
        <v>38.933999999999997</v>
      </c>
      <c r="F275" s="10">
        <f>38.9319 * CHOOSE(CONTROL!$C$9, $D$9, 100%, $F$9) + CHOOSE(CONTROL!$C$27, 0.0021, 0)</f>
        <v>38.933999999999997</v>
      </c>
      <c r="G275" s="10">
        <f>39.2033 * CHOOSE(CONTROL!$C$9, $D$9, 100%, $F$9) + CHOOSE(CONTROL!$C$27, 0.0021, 0)</f>
        <v>39.205399999999997</v>
      </c>
      <c r="H275" s="10">
        <f>39.0686 * CHOOSE(CONTROL!$C$9, $D$9, 100%, $F$9) + CHOOSE(CONTROL!$C$27, 0.0021, 0)</f>
        <v>39.070700000000002</v>
      </c>
      <c r="I275" s="10">
        <f>39.0686 * CHOOSE(CONTROL!$C$9, $D$9, 100%, $F$9) + CHOOSE(CONTROL!$C$27, 0.0021, 0)</f>
        <v>39.070700000000002</v>
      </c>
      <c r="J275" s="10">
        <f>39.0686 * CHOOSE(CONTROL!$C$9, $D$9, 100%, $F$9) + CHOOSE(CONTROL!$C$27, 0.0021, 0)</f>
        <v>39.070700000000002</v>
      </c>
      <c r="K275" s="10">
        <f>39.0686 * CHOOSE(CONTROL!$C$9, $D$9, 100%, $F$9) + CHOOSE(CONTROL!$C$27, 0.0021, 0)</f>
        <v>39.070700000000002</v>
      </c>
      <c r="L275" s="10"/>
    </row>
    <row r="276" spans="1:12" ht="15" x14ac:dyDescent="0.2">
      <c r="A276" s="15">
        <v>49675</v>
      </c>
      <c r="B276" s="10">
        <f>38.9311 * CHOOSE(CONTROL!$C$9, $D$9, 100%, $F$9) + CHOOSE(CONTROL!$C$27, 0.0021, 0)</f>
        <v>38.933199999999999</v>
      </c>
      <c r="C276" s="10">
        <f>38.4988 * CHOOSE(CONTROL!$C$9, $D$9, 100%, $F$9) + CHOOSE(CONTROL!$C$27, 0.0021, 0)</f>
        <v>38.500900000000001</v>
      </c>
      <c r="D276" s="10">
        <f>38.4988 * CHOOSE(CONTROL!$C$9, $D$9, 100%, $F$9) + CHOOSE(CONTROL!$C$27, 0.0021, 0)</f>
        <v>38.500900000000001</v>
      </c>
      <c r="E276" s="10">
        <f>38.3622 * CHOOSE(CONTROL!$C$9, $D$9, 100%, $F$9) + CHOOSE(CONTROL!$C$27, 0.0021, 0)</f>
        <v>38.3643</v>
      </c>
      <c r="F276" s="10">
        <f>38.3622 * CHOOSE(CONTROL!$C$9, $D$9, 100%, $F$9) + CHOOSE(CONTROL!$C$27, 0.0021, 0)</f>
        <v>38.3643</v>
      </c>
      <c r="G276" s="10">
        <f>38.6336 * CHOOSE(CONTROL!$C$9, $D$9, 100%, $F$9) + CHOOSE(CONTROL!$C$27, 0.0021, 0)</f>
        <v>38.6357</v>
      </c>
      <c r="H276" s="10">
        <f>38.4988 * CHOOSE(CONTROL!$C$9, $D$9, 100%, $F$9) + CHOOSE(CONTROL!$C$27, 0.0021, 0)</f>
        <v>38.500900000000001</v>
      </c>
      <c r="I276" s="10">
        <f>38.4988 * CHOOSE(CONTROL!$C$9, $D$9, 100%, $F$9) + CHOOSE(CONTROL!$C$27, 0.0021, 0)</f>
        <v>38.500900000000001</v>
      </c>
      <c r="J276" s="10">
        <f>38.4988 * CHOOSE(CONTROL!$C$9, $D$9, 100%, $F$9) + CHOOSE(CONTROL!$C$27, 0.0021, 0)</f>
        <v>38.500900000000001</v>
      </c>
      <c r="K276" s="10">
        <f>38.4988 * CHOOSE(CONTROL!$C$9, $D$9, 100%, $F$9) + CHOOSE(CONTROL!$C$27, 0.0021, 0)</f>
        <v>38.500900000000001</v>
      </c>
      <c r="L276" s="10"/>
    </row>
    <row r="277" spans="1:12" ht="15" x14ac:dyDescent="0.2">
      <c r="A277" s="15">
        <v>49706</v>
      </c>
      <c r="B277" s="10">
        <f>37.8947 * CHOOSE(CONTROL!$C$9, $D$9, 100%, $F$9) + CHOOSE(CONTROL!$C$27, 0.0021, 0)</f>
        <v>37.896799999999999</v>
      </c>
      <c r="C277" s="10">
        <f>37.4625 * CHOOSE(CONTROL!$C$9, $D$9, 100%, $F$9) + CHOOSE(CONTROL!$C$27, 0.0021, 0)</f>
        <v>37.464599999999997</v>
      </c>
      <c r="D277" s="10">
        <f>37.4625 * CHOOSE(CONTROL!$C$9, $D$9, 100%, $F$9) + CHOOSE(CONTROL!$C$27, 0.0021, 0)</f>
        <v>37.464599999999997</v>
      </c>
      <c r="E277" s="10">
        <f>37.3258 * CHOOSE(CONTROL!$C$9, $D$9, 100%, $F$9) + CHOOSE(CONTROL!$C$27, 0.0021, 0)</f>
        <v>37.3279</v>
      </c>
      <c r="F277" s="10">
        <f>37.3258 * CHOOSE(CONTROL!$C$9, $D$9, 100%, $F$9) + CHOOSE(CONTROL!$C$27, 0.0021, 0)</f>
        <v>37.3279</v>
      </c>
      <c r="G277" s="10">
        <f>37.5972 * CHOOSE(CONTROL!$C$9, $D$9, 100%, $F$9) + CHOOSE(CONTROL!$C$27, 0.0021, 0)</f>
        <v>37.599299999999999</v>
      </c>
      <c r="H277" s="10">
        <f>37.4625 * CHOOSE(CONTROL!$C$9, $D$9, 100%, $F$9) + CHOOSE(CONTROL!$C$27, 0.0021, 0)</f>
        <v>37.464599999999997</v>
      </c>
      <c r="I277" s="10">
        <f>37.4625 * CHOOSE(CONTROL!$C$9, $D$9, 100%, $F$9) + CHOOSE(CONTROL!$C$27, 0.0021, 0)</f>
        <v>37.464599999999997</v>
      </c>
      <c r="J277" s="10">
        <f>37.4625 * CHOOSE(CONTROL!$C$9, $D$9, 100%, $F$9) + CHOOSE(CONTROL!$C$27, 0.0021, 0)</f>
        <v>37.464599999999997</v>
      </c>
      <c r="K277" s="10">
        <f>37.4625 * CHOOSE(CONTROL!$C$9, $D$9, 100%, $F$9) + CHOOSE(CONTROL!$C$27, 0.0021, 0)</f>
        <v>37.464599999999997</v>
      </c>
      <c r="L277" s="10"/>
    </row>
    <row r="278" spans="1:12" ht="15" x14ac:dyDescent="0.2">
      <c r="A278" s="15">
        <v>49735</v>
      </c>
      <c r="B278" s="10">
        <f>37.4669 * CHOOSE(CONTROL!$C$9, $D$9, 100%, $F$9) + CHOOSE(CONTROL!$C$27, 0.0021, 0)</f>
        <v>37.469000000000001</v>
      </c>
      <c r="C278" s="10">
        <f>37.0347 * CHOOSE(CONTROL!$C$9, $D$9, 100%, $F$9) + CHOOSE(CONTROL!$C$27, 0.0021, 0)</f>
        <v>37.036799999999999</v>
      </c>
      <c r="D278" s="10">
        <f>37.0347 * CHOOSE(CONTROL!$C$9, $D$9, 100%, $F$9) + CHOOSE(CONTROL!$C$27, 0.0021, 0)</f>
        <v>37.036799999999999</v>
      </c>
      <c r="E278" s="10">
        <f>36.898 * CHOOSE(CONTROL!$C$9, $D$9, 100%, $F$9) + CHOOSE(CONTROL!$C$27, 0.0021, 0)</f>
        <v>36.900100000000002</v>
      </c>
      <c r="F278" s="10">
        <f>36.898 * CHOOSE(CONTROL!$C$9, $D$9, 100%, $F$9) + CHOOSE(CONTROL!$C$27, 0.0021, 0)</f>
        <v>36.900100000000002</v>
      </c>
      <c r="G278" s="10">
        <f>37.1694 * CHOOSE(CONTROL!$C$9, $D$9, 100%, $F$9) + CHOOSE(CONTROL!$C$27, 0.0021, 0)</f>
        <v>37.171500000000002</v>
      </c>
      <c r="H278" s="10">
        <f>37.0347 * CHOOSE(CONTROL!$C$9, $D$9, 100%, $F$9) + CHOOSE(CONTROL!$C$27, 0.0021, 0)</f>
        <v>37.036799999999999</v>
      </c>
      <c r="I278" s="10">
        <f>37.0347 * CHOOSE(CONTROL!$C$9, $D$9, 100%, $F$9) + CHOOSE(CONTROL!$C$27, 0.0021, 0)</f>
        <v>37.036799999999999</v>
      </c>
      <c r="J278" s="10">
        <f>37.0347 * CHOOSE(CONTROL!$C$9, $D$9, 100%, $F$9) + CHOOSE(CONTROL!$C$27, 0.0021, 0)</f>
        <v>37.036799999999999</v>
      </c>
      <c r="K278" s="10">
        <f>37.0347 * CHOOSE(CONTROL!$C$9, $D$9, 100%, $F$9) + CHOOSE(CONTROL!$C$27, 0.0021, 0)</f>
        <v>37.036799999999999</v>
      </c>
      <c r="L278" s="10"/>
    </row>
    <row r="279" spans="1:12" ht="15" x14ac:dyDescent="0.2">
      <c r="A279" s="15">
        <v>49766</v>
      </c>
      <c r="B279" s="10">
        <f>36.9561 * CHOOSE(CONTROL!$C$9, $D$9, 100%, $F$9) + CHOOSE(CONTROL!$C$27, 0.0021, 0)</f>
        <v>36.958199999999998</v>
      </c>
      <c r="C279" s="10">
        <f>36.5239 * CHOOSE(CONTROL!$C$9, $D$9, 100%, $F$9) + CHOOSE(CONTROL!$C$27, 0.0021, 0)</f>
        <v>36.525999999999996</v>
      </c>
      <c r="D279" s="10">
        <f>36.5239 * CHOOSE(CONTROL!$C$9, $D$9, 100%, $F$9) + CHOOSE(CONTROL!$C$27, 0.0021, 0)</f>
        <v>36.525999999999996</v>
      </c>
      <c r="E279" s="10">
        <f>36.3872 * CHOOSE(CONTROL!$C$9, $D$9, 100%, $F$9) + CHOOSE(CONTROL!$C$27, 0.0021, 0)</f>
        <v>36.389299999999999</v>
      </c>
      <c r="F279" s="10">
        <f>36.3872 * CHOOSE(CONTROL!$C$9, $D$9, 100%, $F$9) + CHOOSE(CONTROL!$C$27, 0.0021, 0)</f>
        <v>36.389299999999999</v>
      </c>
      <c r="G279" s="10">
        <f>36.6586 * CHOOSE(CONTROL!$C$9, $D$9, 100%, $F$9) + CHOOSE(CONTROL!$C$27, 0.0021, 0)</f>
        <v>36.660699999999999</v>
      </c>
      <c r="H279" s="10">
        <f>36.5239 * CHOOSE(CONTROL!$C$9, $D$9, 100%, $F$9) + CHOOSE(CONTROL!$C$27, 0.0021, 0)</f>
        <v>36.525999999999996</v>
      </c>
      <c r="I279" s="10">
        <f>36.5239 * CHOOSE(CONTROL!$C$9, $D$9, 100%, $F$9) + CHOOSE(CONTROL!$C$27, 0.0021, 0)</f>
        <v>36.525999999999996</v>
      </c>
      <c r="J279" s="10">
        <f>36.5239 * CHOOSE(CONTROL!$C$9, $D$9, 100%, $F$9) + CHOOSE(CONTROL!$C$27, 0.0021, 0)</f>
        <v>36.525999999999996</v>
      </c>
      <c r="K279" s="10">
        <f>36.5239 * CHOOSE(CONTROL!$C$9, $D$9, 100%, $F$9) + CHOOSE(CONTROL!$C$27, 0.0021, 0)</f>
        <v>36.525999999999996</v>
      </c>
      <c r="L279" s="10"/>
    </row>
    <row r="280" spans="1:12" ht="15" x14ac:dyDescent="0.2">
      <c r="A280" s="15">
        <v>49796</v>
      </c>
      <c r="B280" s="10">
        <f>37.6841 * CHOOSE(CONTROL!$C$9, $D$9, 100%, $F$9) + CHOOSE(CONTROL!$C$27, 0.0021, 0)</f>
        <v>37.686199999999999</v>
      </c>
      <c r="C280" s="10">
        <f>37.2519 * CHOOSE(CONTROL!$C$9, $D$9, 100%, $F$9) + CHOOSE(CONTROL!$C$27, 0.0021, 0)</f>
        <v>37.253999999999998</v>
      </c>
      <c r="D280" s="10">
        <f>37.2519 * CHOOSE(CONTROL!$C$9, $D$9, 100%, $F$9) + CHOOSE(CONTROL!$C$27, 0.0021, 0)</f>
        <v>37.253999999999998</v>
      </c>
      <c r="E280" s="10">
        <f>37.1152 * CHOOSE(CONTROL!$C$9, $D$9, 100%, $F$9) + CHOOSE(CONTROL!$C$27, 0.0021, 0)</f>
        <v>37.1173</v>
      </c>
      <c r="F280" s="10">
        <f>37.1152 * CHOOSE(CONTROL!$C$9, $D$9, 100%, $F$9) + CHOOSE(CONTROL!$C$27, 0.0021, 0)</f>
        <v>37.1173</v>
      </c>
      <c r="G280" s="10">
        <f>37.3866 * CHOOSE(CONTROL!$C$9, $D$9, 100%, $F$9) + CHOOSE(CONTROL!$C$27, 0.0021, 0)</f>
        <v>37.3887</v>
      </c>
      <c r="H280" s="10">
        <f>37.2519 * CHOOSE(CONTROL!$C$9, $D$9, 100%, $F$9) + CHOOSE(CONTROL!$C$27, 0.0021, 0)</f>
        <v>37.253999999999998</v>
      </c>
      <c r="I280" s="10">
        <f>37.2519 * CHOOSE(CONTROL!$C$9, $D$9, 100%, $F$9) + CHOOSE(CONTROL!$C$27, 0.0021, 0)</f>
        <v>37.253999999999998</v>
      </c>
      <c r="J280" s="10">
        <f>37.2519 * CHOOSE(CONTROL!$C$9, $D$9, 100%, $F$9) + CHOOSE(CONTROL!$C$27, 0.0021, 0)</f>
        <v>37.253999999999998</v>
      </c>
      <c r="K280" s="10">
        <f>37.2519 * CHOOSE(CONTROL!$C$9, $D$9, 100%, $F$9) + CHOOSE(CONTROL!$C$27, 0.0021, 0)</f>
        <v>37.253999999999998</v>
      </c>
      <c r="L280" s="10"/>
    </row>
    <row r="281" spans="1:12" ht="15" x14ac:dyDescent="0.2">
      <c r="A281" s="15">
        <v>49827</v>
      </c>
      <c r="B281" s="10">
        <f>38.1201 * CHOOSE(CONTROL!$C$9, $D$9, 100%, $F$9) + CHOOSE(CONTROL!$C$27, 0.0021, 0)</f>
        <v>38.122199999999999</v>
      </c>
      <c r="C281" s="10">
        <f>37.6879 * CHOOSE(CONTROL!$C$9, $D$9, 100%, $F$9) + CHOOSE(CONTROL!$C$27, 0.0021, 0)</f>
        <v>37.69</v>
      </c>
      <c r="D281" s="10">
        <f>37.6879 * CHOOSE(CONTROL!$C$9, $D$9, 100%, $F$9) + CHOOSE(CONTROL!$C$27, 0.0021, 0)</f>
        <v>37.69</v>
      </c>
      <c r="E281" s="10">
        <f>37.5512 * CHOOSE(CONTROL!$C$9, $D$9, 100%, $F$9) + CHOOSE(CONTROL!$C$27, 0.0021, 0)</f>
        <v>37.5533</v>
      </c>
      <c r="F281" s="10">
        <f>37.5512 * CHOOSE(CONTROL!$C$9, $D$9, 100%, $F$9) + CHOOSE(CONTROL!$C$27, 0.0021, 0)</f>
        <v>37.5533</v>
      </c>
      <c r="G281" s="10">
        <f>37.8226 * CHOOSE(CONTROL!$C$9, $D$9, 100%, $F$9) + CHOOSE(CONTROL!$C$27, 0.0021, 0)</f>
        <v>37.8247</v>
      </c>
      <c r="H281" s="10">
        <f>37.6879 * CHOOSE(CONTROL!$C$9, $D$9, 100%, $F$9) + CHOOSE(CONTROL!$C$27, 0.0021, 0)</f>
        <v>37.69</v>
      </c>
      <c r="I281" s="10">
        <f>37.6879 * CHOOSE(CONTROL!$C$9, $D$9, 100%, $F$9) + CHOOSE(CONTROL!$C$27, 0.0021, 0)</f>
        <v>37.69</v>
      </c>
      <c r="J281" s="10">
        <f>37.6879 * CHOOSE(CONTROL!$C$9, $D$9, 100%, $F$9) + CHOOSE(CONTROL!$C$27, 0.0021, 0)</f>
        <v>37.69</v>
      </c>
      <c r="K281" s="10">
        <f>37.6879 * CHOOSE(CONTROL!$C$9, $D$9, 100%, $F$9) + CHOOSE(CONTROL!$C$27, 0.0021, 0)</f>
        <v>37.69</v>
      </c>
      <c r="L281" s="10"/>
    </row>
    <row r="282" spans="1:12" ht="15" x14ac:dyDescent="0.2">
      <c r="A282" s="15">
        <v>49857</v>
      </c>
      <c r="B282" s="10">
        <f>38.8394 * CHOOSE(CONTROL!$C$9, $D$9, 100%, $F$9) + CHOOSE(CONTROL!$C$27, 0.0021, 0)</f>
        <v>38.841499999999996</v>
      </c>
      <c r="C282" s="10">
        <f>38.4071 * CHOOSE(CONTROL!$C$9, $D$9, 100%, $F$9) + CHOOSE(CONTROL!$C$27, 0.0021, 0)</f>
        <v>38.409199999999998</v>
      </c>
      <c r="D282" s="10">
        <f>38.4071 * CHOOSE(CONTROL!$C$9, $D$9, 100%, $F$9) + CHOOSE(CONTROL!$C$27, 0.0021, 0)</f>
        <v>38.409199999999998</v>
      </c>
      <c r="E282" s="10">
        <f>38.2705 * CHOOSE(CONTROL!$C$9, $D$9, 100%, $F$9) + CHOOSE(CONTROL!$C$27, 0.0021, 0)</f>
        <v>38.272599999999997</v>
      </c>
      <c r="F282" s="10">
        <f>38.2705 * CHOOSE(CONTROL!$C$9, $D$9, 100%, $F$9) + CHOOSE(CONTROL!$C$27, 0.0021, 0)</f>
        <v>38.272599999999997</v>
      </c>
      <c r="G282" s="10">
        <f>38.5419 * CHOOSE(CONTROL!$C$9, $D$9, 100%, $F$9) + CHOOSE(CONTROL!$C$27, 0.0021, 0)</f>
        <v>38.543999999999997</v>
      </c>
      <c r="H282" s="10">
        <f>38.4071 * CHOOSE(CONTROL!$C$9, $D$9, 100%, $F$9) + CHOOSE(CONTROL!$C$27, 0.0021, 0)</f>
        <v>38.409199999999998</v>
      </c>
      <c r="I282" s="10">
        <f>38.4071 * CHOOSE(CONTROL!$C$9, $D$9, 100%, $F$9) + CHOOSE(CONTROL!$C$27, 0.0021, 0)</f>
        <v>38.409199999999998</v>
      </c>
      <c r="J282" s="10">
        <f>38.4071 * CHOOSE(CONTROL!$C$9, $D$9, 100%, $F$9) + CHOOSE(CONTROL!$C$27, 0.0021, 0)</f>
        <v>38.409199999999998</v>
      </c>
      <c r="K282" s="10">
        <f>38.4071 * CHOOSE(CONTROL!$C$9, $D$9, 100%, $F$9) + CHOOSE(CONTROL!$C$27, 0.0021, 0)</f>
        <v>38.409199999999998</v>
      </c>
      <c r="L282" s="10"/>
    </row>
    <row r="283" spans="1:12" ht="15" x14ac:dyDescent="0.2">
      <c r="A283" s="15">
        <v>49888</v>
      </c>
      <c r="B283" s="10">
        <f>39.0589 * CHOOSE(CONTROL!$C$9, $D$9, 100%, $F$9) + CHOOSE(CONTROL!$C$27, 0.0021, 0)</f>
        <v>39.061</v>
      </c>
      <c r="C283" s="10">
        <f>38.6267 * CHOOSE(CONTROL!$C$9, $D$9, 100%, $F$9) + CHOOSE(CONTROL!$C$27, 0.0021, 0)</f>
        <v>38.628799999999998</v>
      </c>
      <c r="D283" s="10">
        <f>38.6267 * CHOOSE(CONTROL!$C$9, $D$9, 100%, $F$9) + CHOOSE(CONTROL!$C$27, 0.0021, 0)</f>
        <v>38.628799999999998</v>
      </c>
      <c r="E283" s="10">
        <f>38.49 * CHOOSE(CONTROL!$C$9, $D$9, 100%, $F$9) + CHOOSE(CONTROL!$C$27, 0.0021, 0)</f>
        <v>38.492100000000001</v>
      </c>
      <c r="F283" s="10">
        <f>38.49 * CHOOSE(CONTROL!$C$9, $D$9, 100%, $F$9) + CHOOSE(CONTROL!$C$27, 0.0021, 0)</f>
        <v>38.492100000000001</v>
      </c>
      <c r="G283" s="10">
        <f>38.7614 * CHOOSE(CONTROL!$C$9, $D$9, 100%, $F$9) + CHOOSE(CONTROL!$C$27, 0.0021, 0)</f>
        <v>38.763500000000001</v>
      </c>
      <c r="H283" s="10">
        <f>38.6267 * CHOOSE(CONTROL!$C$9, $D$9, 100%, $F$9) + CHOOSE(CONTROL!$C$27, 0.0021, 0)</f>
        <v>38.628799999999998</v>
      </c>
      <c r="I283" s="10">
        <f>38.6267 * CHOOSE(CONTROL!$C$9, $D$9, 100%, $F$9) + CHOOSE(CONTROL!$C$27, 0.0021, 0)</f>
        <v>38.628799999999998</v>
      </c>
      <c r="J283" s="10">
        <f>38.6267 * CHOOSE(CONTROL!$C$9, $D$9, 100%, $F$9) + CHOOSE(CONTROL!$C$27, 0.0021, 0)</f>
        <v>38.628799999999998</v>
      </c>
      <c r="K283" s="10">
        <f>38.6267 * CHOOSE(CONTROL!$C$9, $D$9, 100%, $F$9) + CHOOSE(CONTROL!$C$27, 0.0021, 0)</f>
        <v>38.628799999999998</v>
      </c>
      <c r="L283" s="10"/>
    </row>
    <row r="284" spans="1:12" ht="15" x14ac:dyDescent="0.2">
      <c r="A284" s="15">
        <v>49919</v>
      </c>
      <c r="B284" s="10">
        <f>39.8066 * CHOOSE(CONTROL!$C$9, $D$9, 100%, $F$9) + CHOOSE(CONTROL!$C$27, 0.0021, 0)</f>
        <v>39.808700000000002</v>
      </c>
      <c r="C284" s="10">
        <f>39.3743 * CHOOSE(CONTROL!$C$9, $D$9, 100%, $F$9) + CHOOSE(CONTROL!$C$27, 0.0021, 0)</f>
        <v>39.376399999999997</v>
      </c>
      <c r="D284" s="10">
        <f>39.3743 * CHOOSE(CONTROL!$C$9, $D$9, 100%, $F$9) + CHOOSE(CONTROL!$C$27, 0.0021, 0)</f>
        <v>39.376399999999997</v>
      </c>
      <c r="E284" s="10">
        <f>39.2377 * CHOOSE(CONTROL!$C$9, $D$9, 100%, $F$9) + CHOOSE(CONTROL!$C$27, 0.0021, 0)</f>
        <v>39.239799999999995</v>
      </c>
      <c r="F284" s="10">
        <f>39.2377 * CHOOSE(CONTROL!$C$9, $D$9, 100%, $F$9) + CHOOSE(CONTROL!$C$27, 0.0021, 0)</f>
        <v>39.239799999999995</v>
      </c>
      <c r="G284" s="10">
        <f>39.509 * CHOOSE(CONTROL!$C$9, $D$9, 100%, $F$9) + CHOOSE(CONTROL!$C$27, 0.0021, 0)</f>
        <v>39.511099999999999</v>
      </c>
      <c r="H284" s="10">
        <f>39.3743 * CHOOSE(CONTROL!$C$9, $D$9, 100%, $F$9) + CHOOSE(CONTROL!$C$27, 0.0021, 0)</f>
        <v>39.376399999999997</v>
      </c>
      <c r="I284" s="10">
        <f>39.3743 * CHOOSE(CONTROL!$C$9, $D$9, 100%, $F$9) + CHOOSE(CONTROL!$C$27, 0.0021, 0)</f>
        <v>39.376399999999997</v>
      </c>
      <c r="J284" s="10">
        <f>39.3743 * CHOOSE(CONTROL!$C$9, $D$9, 100%, $F$9) + CHOOSE(CONTROL!$C$27, 0.0021, 0)</f>
        <v>39.376399999999997</v>
      </c>
      <c r="K284" s="10">
        <f>39.3743 * CHOOSE(CONTROL!$C$9, $D$9, 100%, $F$9) + CHOOSE(CONTROL!$C$27, 0.0021, 0)</f>
        <v>39.376399999999997</v>
      </c>
      <c r="L284" s="10"/>
    </row>
    <row r="285" spans="1:12" ht="15" x14ac:dyDescent="0.2">
      <c r="A285" s="15">
        <v>49949</v>
      </c>
      <c r="B285" s="10">
        <f>40.753 * CHOOSE(CONTROL!$C$9, $D$9, 100%, $F$9) + CHOOSE(CONTROL!$C$27, 0.0021, 0)</f>
        <v>40.755099999999999</v>
      </c>
      <c r="C285" s="10">
        <f>40.3207 * CHOOSE(CONTROL!$C$9, $D$9, 100%, $F$9) + CHOOSE(CONTROL!$C$27, 0.0021, 0)</f>
        <v>40.322800000000001</v>
      </c>
      <c r="D285" s="10">
        <f>40.3207 * CHOOSE(CONTROL!$C$9, $D$9, 100%, $F$9) + CHOOSE(CONTROL!$C$27, 0.0021, 0)</f>
        <v>40.322800000000001</v>
      </c>
      <c r="E285" s="10">
        <f>40.1841 * CHOOSE(CONTROL!$C$9, $D$9, 100%, $F$9) + CHOOSE(CONTROL!$C$27, 0.0021, 0)</f>
        <v>40.186199999999999</v>
      </c>
      <c r="F285" s="10">
        <f>40.1841 * CHOOSE(CONTROL!$C$9, $D$9, 100%, $F$9) + CHOOSE(CONTROL!$C$27, 0.0021, 0)</f>
        <v>40.186199999999999</v>
      </c>
      <c r="G285" s="10">
        <f>40.4554 * CHOOSE(CONTROL!$C$9, $D$9, 100%, $F$9) + CHOOSE(CONTROL!$C$27, 0.0021, 0)</f>
        <v>40.457499999999996</v>
      </c>
      <c r="H285" s="10">
        <f>40.3207 * CHOOSE(CONTROL!$C$9, $D$9, 100%, $F$9) + CHOOSE(CONTROL!$C$27, 0.0021, 0)</f>
        <v>40.322800000000001</v>
      </c>
      <c r="I285" s="10">
        <f>40.3207 * CHOOSE(CONTROL!$C$9, $D$9, 100%, $F$9) + CHOOSE(CONTROL!$C$27, 0.0021, 0)</f>
        <v>40.322800000000001</v>
      </c>
      <c r="J285" s="10">
        <f>40.3207 * CHOOSE(CONTROL!$C$9, $D$9, 100%, $F$9) + CHOOSE(CONTROL!$C$27, 0.0021, 0)</f>
        <v>40.322800000000001</v>
      </c>
      <c r="K285" s="10">
        <f>40.3207 * CHOOSE(CONTROL!$C$9, $D$9, 100%, $F$9) + CHOOSE(CONTROL!$C$27, 0.0021, 0)</f>
        <v>40.322800000000001</v>
      </c>
      <c r="L285" s="10"/>
    </row>
    <row r="286" spans="1:12" ht="15" x14ac:dyDescent="0.2">
      <c r="A286" s="15">
        <v>49980</v>
      </c>
      <c r="B286" s="10">
        <f>40.8418 * CHOOSE(CONTROL!$C$9, $D$9, 100%, $F$9) + CHOOSE(CONTROL!$C$27, 0.0021, 0)</f>
        <v>40.843899999999998</v>
      </c>
      <c r="C286" s="10">
        <f>40.4096 * CHOOSE(CONTROL!$C$9, $D$9, 100%, $F$9) + CHOOSE(CONTROL!$C$27, 0.0021, 0)</f>
        <v>40.411699999999996</v>
      </c>
      <c r="D286" s="10">
        <f>40.4096 * CHOOSE(CONTROL!$C$9, $D$9, 100%, $F$9) + CHOOSE(CONTROL!$C$27, 0.0021, 0)</f>
        <v>40.411699999999996</v>
      </c>
      <c r="E286" s="10">
        <f>40.2729 * CHOOSE(CONTROL!$C$9, $D$9, 100%, $F$9) + CHOOSE(CONTROL!$C$27, 0.0021, 0)</f>
        <v>40.274999999999999</v>
      </c>
      <c r="F286" s="10">
        <f>40.2729 * CHOOSE(CONTROL!$C$9, $D$9, 100%, $F$9) + CHOOSE(CONTROL!$C$27, 0.0021, 0)</f>
        <v>40.274999999999999</v>
      </c>
      <c r="G286" s="10">
        <f>40.5443 * CHOOSE(CONTROL!$C$9, $D$9, 100%, $F$9) + CHOOSE(CONTROL!$C$27, 0.0021, 0)</f>
        <v>40.546399999999998</v>
      </c>
      <c r="H286" s="10">
        <f>40.4096 * CHOOSE(CONTROL!$C$9, $D$9, 100%, $F$9) + CHOOSE(CONTROL!$C$27, 0.0021, 0)</f>
        <v>40.411699999999996</v>
      </c>
      <c r="I286" s="10">
        <f>40.4096 * CHOOSE(CONTROL!$C$9, $D$9, 100%, $F$9) + CHOOSE(CONTROL!$C$27, 0.0021, 0)</f>
        <v>40.411699999999996</v>
      </c>
      <c r="J286" s="10">
        <f>40.4096 * CHOOSE(CONTROL!$C$9, $D$9, 100%, $F$9) + CHOOSE(CONTROL!$C$27, 0.0021, 0)</f>
        <v>40.411699999999996</v>
      </c>
      <c r="K286" s="10">
        <f>40.4096 * CHOOSE(CONTROL!$C$9, $D$9, 100%, $F$9) + CHOOSE(CONTROL!$C$27, 0.0021, 0)</f>
        <v>40.411699999999996</v>
      </c>
      <c r="L286" s="10"/>
    </row>
    <row r="287" spans="1:12" ht="15" x14ac:dyDescent="0.2">
      <c r="A287" s="15">
        <v>50010</v>
      </c>
      <c r="B287" s="10">
        <f>40.0859 * CHOOSE(CONTROL!$C$9, $D$9, 100%, $F$9) + CHOOSE(CONTROL!$C$27, 0.0021, 0)</f>
        <v>40.088000000000001</v>
      </c>
      <c r="C287" s="10">
        <f>39.6537 * CHOOSE(CONTROL!$C$9, $D$9, 100%, $F$9) + CHOOSE(CONTROL!$C$27, 0.0021, 0)</f>
        <v>39.655799999999999</v>
      </c>
      <c r="D287" s="10">
        <f>39.6537 * CHOOSE(CONTROL!$C$9, $D$9, 100%, $F$9) + CHOOSE(CONTROL!$C$27, 0.0021, 0)</f>
        <v>39.655799999999999</v>
      </c>
      <c r="E287" s="10">
        <f>39.517 * CHOOSE(CONTROL!$C$9, $D$9, 100%, $F$9) + CHOOSE(CONTROL!$C$27, 0.0021, 0)</f>
        <v>39.519100000000002</v>
      </c>
      <c r="F287" s="10">
        <f>39.517 * CHOOSE(CONTROL!$C$9, $D$9, 100%, $F$9) + CHOOSE(CONTROL!$C$27, 0.0021, 0)</f>
        <v>39.519100000000002</v>
      </c>
      <c r="G287" s="10">
        <f>39.7884 * CHOOSE(CONTROL!$C$9, $D$9, 100%, $F$9) + CHOOSE(CONTROL!$C$27, 0.0021, 0)</f>
        <v>39.790500000000002</v>
      </c>
      <c r="H287" s="10">
        <f>39.6537 * CHOOSE(CONTROL!$C$9, $D$9, 100%, $F$9) + CHOOSE(CONTROL!$C$27, 0.0021, 0)</f>
        <v>39.655799999999999</v>
      </c>
      <c r="I287" s="10">
        <f>39.6537 * CHOOSE(CONTROL!$C$9, $D$9, 100%, $F$9) + CHOOSE(CONTROL!$C$27, 0.0021, 0)</f>
        <v>39.655799999999999</v>
      </c>
      <c r="J287" s="10">
        <f>39.6537 * CHOOSE(CONTROL!$C$9, $D$9, 100%, $F$9) + CHOOSE(CONTROL!$C$27, 0.0021, 0)</f>
        <v>39.655799999999999</v>
      </c>
      <c r="K287" s="10">
        <f>39.6537 * CHOOSE(CONTROL!$C$9, $D$9, 100%, $F$9) + CHOOSE(CONTROL!$C$27, 0.0021, 0)</f>
        <v>39.655799999999999</v>
      </c>
      <c r="L287" s="10"/>
    </row>
    <row r="288" spans="1:12" ht="15" x14ac:dyDescent="0.2">
      <c r="A288" s="15">
        <v>50041</v>
      </c>
      <c r="B288" s="10">
        <f>39.5072 * CHOOSE(CONTROL!$C$9, $D$9, 100%, $F$9) + CHOOSE(CONTROL!$C$27, 0.0021, 0)</f>
        <v>39.509299999999996</v>
      </c>
      <c r="C288" s="10">
        <f>39.075 * CHOOSE(CONTROL!$C$9, $D$9, 100%, $F$9) + CHOOSE(CONTROL!$C$27, 0.0021, 0)</f>
        <v>39.077100000000002</v>
      </c>
      <c r="D288" s="10">
        <f>39.075 * CHOOSE(CONTROL!$C$9, $D$9, 100%, $F$9) + CHOOSE(CONTROL!$C$27, 0.0021, 0)</f>
        <v>39.077100000000002</v>
      </c>
      <c r="E288" s="10">
        <f>38.9383 * CHOOSE(CONTROL!$C$9, $D$9, 100%, $F$9) + CHOOSE(CONTROL!$C$27, 0.0021, 0)</f>
        <v>38.940399999999997</v>
      </c>
      <c r="F288" s="10">
        <f>38.9383 * CHOOSE(CONTROL!$C$9, $D$9, 100%, $F$9) + CHOOSE(CONTROL!$C$27, 0.0021, 0)</f>
        <v>38.940399999999997</v>
      </c>
      <c r="G288" s="10">
        <f>39.2097 * CHOOSE(CONTROL!$C$9, $D$9, 100%, $F$9) + CHOOSE(CONTROL!$C$27, 0.0021, 0)</f>
        <v>39.211799999999997</v>
      </c>
      <c r="H288" s="10">
        <f>39.075 * CHOOSE(CONTROL!$C$9, $D$9, 100%, $F$9) + CHOOSE(CONTROL!$C$27, 0.0021, 0)</f>
        <v>39.077100000000002</v>
      </c>
      <c r="I288" s="10">
        <f>39.075 * CHOOSE(CONTROL!$C$9, $D$9, 100%, $F$9) + CHOOSE(CONTROL!$C$27, 0.0021, 0)</f>
        <v>39.077100000000002</v>
      </c>
      <c r="J288" s="10">
        <f>39.075 * CHOOSE(CONTROL!$C$9, $D$9, 100%, $F$9) + CHOOSE(CONTROL!$C$27, 0.0021, 0)</f>
        <v>39.077100000000002</v>
      </c>
      <c r="K288" s="10">
        <f>39.075 * CHOOSE(CONTROL!$C$9, $D$9, 100%, $F$9) + CHOOSE(CONTROL!$C$27, 0.0021, 0)</f>
        <v>39.077100000000002</v>
      </c>
      <c r="L288" s="10"/>
    </row>
    <row r="289" spans="1:12" ht="15" x14ac:dyDescent="0.2">
      <c r="A289" s="15">
        <v>50072</v>
      </c>
      <c r="B289" s="10">
        <f>38.4546 * CHOOSE(CONTROL!$C$9, $D$9, 100%, $F$9) + CHOOSE(CONTROL!$C$27, 0.0021, 0)</f>
        <v>38.456699999999998</v>
      </c>
      <c r="C289" s="10">
        <f>38.0223 * CHOOSE(CONTROL!$C$9, $D$9, 100%, $F$9) + CHOOSE(CONTROL!$C$27, 0.0021, 0)</f>
        <v>38.0244</v>
      </c>
      <c r="D289" s="10">
        <f>38.0223 * CHOOSE(CONTROL!$C$9, $D$9, 100%, $F$9) + CHOOSE(CONTROL!$C$27, 0.0021, 0)</f>
        <v>38.0244</v>
      </c>
      <c r="E289" s="10">
        <f>37.8857 * CHOOSE(CONTROL!$C$9, $D$9, 100%, $F$9) + CHOOSE(CONTROL!$C$27, 0.0021, 0)</f>
        <v>37.887799999999999</v>
      </c>
      <c r="F289" s="10">
        <f>37.8857 * CHOOSE(CONTROL!$C$9, $D$9, 100%, $F$9) + CHOOSE(CONTROL!$C$27, 0.0021, 0)</f>
        <v>37.887799999999999</v>
      </c>
      <c r="G289" s="10">
        <f>38.1571 * CHOOSE(CONTROL!$C$9, $D$9, 100%, $F$9) + CHOOSE(CONTROL!$C$27, 0.0021, 0)</f>
        <v>38.159199999999998</v>
      </c>
      <c r="H289" s="10">
        <f>38.0223 * CHOOSE(CONTROL!$C$9, $D$9, 100%, $F$9) + CHOOSE(CONTROL!$C$27, 0.0021, 0)</f>
        <v>38.0244</v>
      </c>
      <c r="I289" s="10">
        <f>38.0223 * CHOOSE(CONTROL!$C$9, $D$9, 100%, $F$9) + CHOOSE(CONTROL!$C$27, 0.0021, 0)</f>
        <v>38.0244</v>
      </c>
      <c r="J289" s="10">
        <f>38.0223 * CHOOSE(CONTROL!$C$9, $D$9, 100%, $F$9) + CHOOSE(CONTROL!$C$27, 0.0021, 0)</f>
        <v>38.0244</v>
      </c>
      <c r="K289" s="10">
        <f>38.0223 * CHOOSE(CONTROL!$C$9, $D$9, 100%, $F$9) + CHOOSE(CONTROL!$C$27, 0.0021, 0)</f>
        <v>38.0244</v>
      </c>
      <c r="L289" s="10"/>
    </row>
    <row r="290" spans="1:12" ht="15" x14ac:dyDescent="0.2">
      <c r="A290" s="15">
        <v>50100</v>
      </c>
      <c r="B290" s="10">
        <f>38.0201 * CHOOSE(CONTROL!$C$9, $D$9, 100%, $F$9) + CHOOSE(CONTROL!$C$27, 0.0021, 0)</f>
        <v>38.022199999999998</v>
      </c>
      <c r="C290" s="10">
        <f>37.5878 * CHOOSE(CONTROL!$C$9, $D$9, 100%, $F$9) + CHOOSE(CONTROL!$C$27, 0.0021, 0)</f>
        <v>37.5899</v>
      </c>
      <c r="D290" s="10">
        <f>37.5878 * CHOOSE(CONTROL!$C$9, $D$9, 100%, $F$9) + CHOOSE(CONTROL!$C$27, 0.0021, 0)</f>
        <v>37.5899</v>
      </c>
      <c r="E290" s="10">
        <f>37.4512 * CHOOSE(CONTROL!$C$9, $D$9, 100%, $F$9) + CHOOSE(CONTROL!$C$27, 0.0021, 0)</f>
        <v>37.453299999999999</v>
      </c>
      <c r="F290" s="10">
        <f>37.4512 * CHOOSE(CONTROL!$C$9, $D$9, 100%, $F$9) + CHOOSE(CONTROL!$C$27, 0.0021, 0)</f>
        <v>37.453299999999999</v>
      </c>
      <c r="G290" s="10">
        <f>37.7225 * CHOOSE(CONTROL!$C$9, $D$9, 100%, $F$9) + CHOOSE(CONTROL!$C$27, 0.0021, 0)</f>
        <v>37.724599999999995</v>
      </c>
      <c r="H290" s="10">
        <f>37.5878 * CHOOSE(CONTROL!$C$9, $D$9, 100%, $F$9) + CHOOSE(CONTROL!$C$27, 0.0021, 0)</f>
        <v>37.5899</v>
      </c>
      <c r="I290" s="10">
        <f>37.5878 * CHOOSE(CONTROL!$C$9, $D$9, 100%, $F$9) + CHOOSE(CONTROL!$C$27, 0.0021, 0)</f>
        <v>37.5899</v>
      </c>
      <c r="J290" s="10">
        <f>37.5878 * CHOOSE(CONTROL!$C$9, $D$9, 100%, $F$9) + CHOOSE(CONTROL!$C$27, 0.0021, 0)</f>
        <v>37.5899</v>
      </c>
      <c r="K290" s="10">
        <f>37.5878 * CHOOSE(CONTROL!$C$9, $D$9, 100%, $F$9) + CHOOSE(CONTROL!$C$27, 0.0021, 0)</f>
        <v>37.5899</v>
      </c>
      <c r="L290" s="10"/>
    </row>
    <row r="291" spans="1:12" ht="15" x14ac:dyDescent="0.2">
      <c r="A291" s="15">
        <v>50131</v>
      </c>
      <c r="B291" s="10">
        <f>37.5012 * CHOOSE(CONTROL!$C$9, $D$9, 100%, $F$9) + CHOOSE(CONTROL!$C$27, 0.0021, 0)</f>
        <v>37.503299999999996</v>
      </c>
      <c r="C291" s="10">
        <f>37.069 * CHOOSE(CONTROL!$C$9, $D$9, 100%, $F$9) + CHOOSE(CONTROL!$C$27, 0.0021, 0)</f>
        <v>37.071100000000001</v>
      </c>
      <c r="D291" s="10">
        <f>37.069 * CHOOSE(CONTROL!$C$9, $D$9, 100%, $F$9) + CHOOSE(CONTROL!$C$27, 0.0021, 0)</f>
        <v>37.071100000000001</v>
      </c>
      <c r="E291" s="10">
        <f>36.9323 * CHOOSE(CONTROL!$C$9, $D$9, 100%, $F$9) + CHOOSE(CONTROL!$C$27, 0.0021, 0)</f>
        <v>36.934399999999997</v>
      </c>
      <c r="F291" s="10">
        <f>36.9323 * CHOOSE(CONTROL!$C$9, $D$9, 100%, $F$9) + CHOOSE(CONTROL!$C$27, 0.0021, 0)</f>
        <v>36.934399999999997</v>
      </c>
      <c r="G291" s="10">
        <f>37.2037 * CHOOSE(CONTROL!$C$9, $D$9, 100%, $F$9) + CHOOSE(CONTROL!$C$27, 0.0021, 0)</f>
        <v>37.205799999999996</v>
      </c>
      <c r="H291" s="10">
        <f>37.069 * CHOOSE(CONTROL!$C$9, $D$9, 100%, $F$9) + CHOOSE(CONTROL!$C$27, 0.0021, 0)</f>
        <v>37.071100000000001</v>
      </c>
      <c r="I291" s="10">
        <f>37.069 * CHOOSE(CONTROL!$C$9, $D$9, 100%, $F$9) + CHOOSE(CONTROL!$C$27, 0.0021, 0)</f>
        <v>37.071100000000001</v>
      </c>
      <c r="J291" s="10">
        <f>37.069 * CHOOSE(CONTROL!$C$9, $D$9, 100%, $F$9) + CHOOSE(CONTROL!$C$27, 0.0021, 0)</f>
        <v>37.071100000000001</v>
      </c>
      <c r="K291" s="10">
        <f>37.069 * CHOOSE(CONTROL!$C$9, $D$9, 100%, $F$9) + CHOOSE(CONTROL!$C$27, 0.0021, 0)</f>
        <v>37.071100000000001</v>
      </c>
      <c r="L291" s="10"/>
    </row>
    <row r="292" spans="1:12" ht="15" x14ac:dyDescent="0.2">
      <c r="A292" s="15">
        <v>50161</v>
      </c>
      <c r="B292" s="10">
        <f>38.2406 * CHOOSE(CONTROL!$C$9, $D$9, 100%, $F$9) + CHOOSE(CONTROL!$C$27, 0.0021, 0)</f>
        <v>38.242699999999999</v>
      </c>
      <c r="C292" s="10">
        <f>37.8084 * CHOOSE(CONTROL!$C$9, $D$9, 100%, $F$9) + CHOOSE(CONTROL!$C$27, 0.0021, 0)</f>
        <v>37.810499999999998</v>
      </c>
      <c r="D292" s="10">
        <f>37.8084 * CHOOSE(CONTROL!$C$9, $D$9, 100%, $F$9) + CHOOSE(CONTROL!$C$27, 0.0021, 0)</f>
        <v>37.810499999999998</v>
      </c>
      <c r="E292" s="10">
        <f>37.6717 * CHOOSE(CONTROL!$C$9, $D$9, 100%, $F$9) + CHOOSE(CONTROL!$C$27, 0.0021, 0)</f>
        <v>37.6738</v>
      </c>
      <c r="F292" s="10">
        <f>37.6717 * CHOOSE(CONTROL!$C$9, $D$9, 100%, $F$9) + CHOOSE(CONTROL!$C$27, 0.0021, 0)</f>
        <v>37.6738</v>
      </c>
      <c r="G292" s="10">
        <f>37.9431 * CHOOSE(CONTROL!$C$9, $D$9, 100%, $F$9) + CHOOSE(CONTROL!$C$27, 0.0021, 0)</f>
        <v>37.9452</v>
      </c>
      <c r="H292" s="10">
        <f>37.8084 * CHOOSE(CONTROL!$C$9, $D$9, 100%, $F$9) + CHOOSE(CONTROL!$C$27, 0.0021, 0)</f>
        <v>37.810499999999998</v>
      </c>
      <c r="I292" s="10">
        <f>37.8084 * CHOOSE(CONTROL!$C$9, $D$9, 100%, $F$9) + CHOOSE(CONTROL!$C$27, 0.0021, 0)</f>
        <v>37.810499999999998</v>
      </c>
      <c r="J292" s="10">
        <f>37.8084 * CHOOSE(CONTROL!$C$9, $D$9, 100%, $F$9) + CHOOSE(CONTROL!$C$27, 0.0021, 0)</f>
        <v>37.810499999999998</v>
      </c>
      <c r="K292" s="10">
        <f>37.8084 * CHOOSE(CONTROL!$C$9, $D$9, 100%, $F$9) + CHOOSE(CONTROL!$C$27, 0.0021, 0)</f>
        <v>37.810499999999998</v>
      </c>
      <c r="L292" s="10"/>
    </row>
    <row r="293" spans="1:12" ht="15" x14ac:dyDescent="0.2">
      <c r="A293" s="15">
        <v>50192</v>
      </c>
      <c r="B293" s="10">
        <f>38.6835 * CHOOSE(CONTROL!$C$9, $D$9, 100%, $F$9) + CHOOSE(CONTROL!$C$27, 0.0021, 0)</f>
        <v>38.685600000000001</v>
      </c>
      <c r="C293" s="10">
        <f>38.2513 * CHOOSE(CONTROL!$C$9, $D$9, 100%, $F$9) + CHOOSE(CONTROL!$C$27, 0.0021, 0)</f>
        <v>38.253399999999999</v>
      </c>
      <c r="D293" s="10">
        <f>38.2513 * CHOOSE(CONTROL!$C$9, $D$9, 100%, $F$9) + CHOOSE(CONTROL!$C$27, 0.0021, 0)</f>
        <v>38.253399999999999</v>
      </c>
      <c r="E293" s="10">
        <f>38.1146 * CHOOSE(CONTROL!$C$9, $D$9, 100%, $F$9) + CHOOSE(CONTROL!$C$27, 0.0021, 0)</f>
        <v>38.116700000000002</v>
      </c>
      <c r="F293" s="10">
        <f>38.1146 * CHOOSE(CONTROL!$C$9, $D$9, 100%, $F$9) + CHOOSE(CONTROL!$C$27, 0.0021, 0)</f>
        <v>38.116700000000002</v>
      </c>
      <c r="G293" s="10">
        <f>38.386 * CHOOSE(CONTROL!$C$9, $D$9, 100%, $F$9) + CHOOSE(CONTROL!$C$27, 0.0021, 0)</f>
        <v>38.388100000000001</v>
      </c>
      <c r="H293" s="10">
        <f>38.2513 * CHOOSE(CONTROL!$C$9, $D$9, 100%, $F$9) + CHOOSE(CONTROL!$C$27, 0.0021, 0)</f>
        <v>38.253399999999999</v>
      </c>
      <c r="I293" s="10">
        <f>38.2513 * CHOOSE(CONTROL!$C$9, $D$9, 100%, $F$9) + CHOOSE(CONTROL!$C$27, 0.0021, 0)</f>
        <v>38.253399999999999</v>
      </c>
      <c r="J293" s="10">
        <f>38.2513 * CHOOSE(CONTROL!$C$9, $D$9, 100%, $F$9) + CHOOSE(CONTROL!$C$27, 0.0021, 0)</f>
        <v>38.253399999999999</v>
      </c>
      <c r="K293" s="10">
        <f>38.2513 * CHOOSE(CONTROL!$C$9, $D$9, 100%, $F$9) + CHOOSE(CONTROL!$C$27, 0.0021, 0)</f>
        <v>38.253399999999999</v>
      </c>
      <c r="L293" s="10"/>
    </row>
    <row r="294" spans="1:12" ht="15" x14ac:dyDescent="0.2">
      <c r="A294" s="15">
        <v>50222</v>
      </c>
      <c r="B294" s="10">
        <f>39.4141 * CHOOSE(CONTROL!$C$9, $D$9, 100%, $F$9) + CHOOSE(CONTROL!$C$27, 0.0021, 0)</f>
        <v>39.416199999999996</v>
      </c>
      <c r="C294" s="10">
        <f>38.9818 * CHOOSE(CONTROL!$C$9, $D$9, 100%, $F$9) + CHOOSE(CONTROL!$C$27, 0.0021, 0)</f>
        <v>38.983899999999998</v>
      </c>
      <c r="D294" s="10">
        <f>38.9818 * CHOOSE(CONTROL!$C$9, $D$9, 100%, $F$9) + CHOOSE(CONTROL!$C$27, 0.0021, 0)</f>
        <v>38.983899999999998</v>
      </c>
      <c r="E294" s="10">
        <f>38.8452 * CHOOSE(CONTROL!$C$9, $D$9, 100%, $F$9) + CHOOSE(CONTROL!$C$27, 0.0021, 0)</f>
        <v>38.847299999999997</v>
      </c>
      <c r="F294" s="10">
        <f>38.8452 * CHOOSE(CONTROL!$C$9, $D$9, 100%, $F$9) + CHOOSE(CONTROL!$C$27, 0.0021, 0)</f>
        <v>38.847299999999997</v>
      </c>
      <c r="G294" s="10">
        <f>39.1165 * CHOOSE(CONTROL!$C$9, $D$9, 100%, $F$9) + CHOOSE(CONTROL!$C$27, 0.0021, 0)</f>
        <v>39.118600000000001</v>
      </c>
      <c r="H294" s="10">
        <f>38.9818 * CHOOSE(CONTROL!$C$9, $D$9, 100%, $F$9) + CHOOSE(CONTROL!$C$27, 0.0021, 0)</f>
        <v>38.983899999999998</v>
      </c>
      <c r="I294" s="10">
        <f>38.9818 * CHOOSE(CONTROL!$C$9, $D$9, 100%, $F$9) + CHOOSE(CONTROL!$C$27, 0.0021, 0)</f>
        <v>38.983899999999998</v>
      </c>
      <c r="J294" s="10">
        <f>38.9818 * CHOOSE(CONTROL!$C$9, $D$9, 100%, $F$9) + CHOOSE(CONTROL!$C$27, 0.0021, 0)</f>
        <v>38.983899999999998</v>
      </c>
      <c r="K294" s="10">
        <f>38.9818 * CHOOSE(CONTROL!$C$9, $D$9, 100%, $F$9) + CHOOSE(CONTROL!$C$27, 0.0021, 0)</f>
        <v>38.983899999999998</v>
      </c>
      <c r="L294" s="10"/>
    </row>
    <row r="295" spans="1:12" ht="15" x14ac:dyDescent="0.2">
      <c r="A295" s="15">
        <v>50253</v>
      </c>
      <c r="B295" s="10">
        <f>39.6371 * CHOOSE(CONTROL!$C$9, $D$9, 100%, $F$9) + CHOOSE(CONTROL!$C$27, 0.0021, 0)</f>
        <v>39.639199999999995</v>
      </c>
      <c r="C295" s="10">
        <f>39.2048 * CHOOSE(CONTROL!$C$9, $D$9, 100%, $F$9) + CHOOSE(CONTROL!$C$27, 0.0021, 0)</f>
        <v>39.206899999999997</v>
      </c>
      <c r="D295" s="10">
        <f>39.2048 * CHOOSE(CONTROL!$C$9, $D$9, 100%, $F$9) + CHOOSE(CONTROL!$C$27, 0.0021, 0)</f>
        <v>39.206899999999997</v>
      </c>
      <c r="E295" s="10">
        <f>39.0682 * CHOOSE(CONTROL!$C$9, $D$9, 100%, $F$9) + CHOOSE(CONTROL!$C$27, 0.0021, 0)</f>
        <v>39.070299999999996</v>
      </c>
      <c r="F295" s="10">
        <f>39.0682 * CHOOSE(CONTROL!$C$9, $D$9, 100%, $F$9) + CHOOSE(CONTROL!$C$27, 0.0021, 0)</f>
        <v>39.070299999999996</v>
      </c>
      <c r="G295" s="10">
        <f>39.3395 * CHOOSE(CONTROL!$C$9, $D$9, 100%, $F$9) + CHOOSE(CONTROL!$C$27, 0.0021, 0)</f>
        <v>39.3416</v>
      </c>
      <c r="H295" s="10">
        <f>39.2048 * CHOOSE(CONTROL!$C$9, $D$9, 100%, $F$9) + CHOOSE(CONTROL!$C$27, 0.0021, 0)</f>
        <v>39.206899999999997</v>
      </c>
      <c r="I295" s="10">
        <f>39.2048 * CHOOSE(CONTROL!$C$9, $D$9, 100%, $F$9) + CHOOSE(CONTROL!$C$27, 0.0021, 0)</f>
        <v>39.206899999999997</v>
      </c>
      <c r="J295" s="10">
        <f>39.2048 * CHOOSE(CONTROL!$C$9, $D$9, 100%, $F$9) + CHOOSE(CONTROL!$C$27, 0.0021, 0)</f>
        <v>39.206899999999997</v>
      </c>
      <c r="K295" s="10">
        <f>39.2048 * CHOOSE(CONTROL!$C$9, $D$9, 100%, $F$9) + CHOOSE(CONTROL!$C$27, 0.0021, 0)</f>
        <v>39.206899999999997</v>
      </c>
      <c r="L295" s="10"/>
    </row>
    <row r="296" spans="1:12" ht="15" x14ac:dyDescent="0.2">
      <c r="A296" s="15">
        <v>50284</v>
      </c>
      <c r="B296" s="10">
        <f>40.3965 * CHOOSE(CONTROL!$C$9, $D$9, 100%, $F$9) + CHOOSE(CONTROL!$C$27, 0.0021, 0)</f>
        <v>40.398600000000002</v>
      </c>
      <c r="C296" s="10">
        <f>39.9642 * CHOOSE(CONTROL!$C$9, $D$9, 100%, $F$9) + CHOOSE(CONTROL!$C$27, 0.0021, 0)</f>
        <v>39.966299999999997</v>
      </c>
      <c r="D296" s="10">
        <f>39.9642 * CHOOSE(CONTROL!$C$9, $D$9, 100%, $F$9) + CHOOSE(CONTROL!$C$27, 0.0021, 0)</f>
        <v>39.966299999999997</v>
      </c>
      <c r="E296" s="10">
        <f>39.8276 * CHOOSE(CONTROL!$C$9, $D$9, 100%, $F$9) + CHOOSE(CONTROL!$C$27, 0.0021, 0)</f>
        <v>39.829699999999995</v>
      </c>
      <c r="F296" s="10">
        <f>39.8276 * CHOOSE(CONTROL!$C$9, $D$9, 100%, $F$9) + CHOOSE(CONTROL!$C$27, 0.0021, 0)</f>
        <v>39.829699999999995</v>
      </c>
      <c r="G296" s="10">
        <f>40.0989 * CHOOSE(CONTROL!$C$9, $D$9, 100%, $F$9) + CHOOSE(CONTROL!$C$27, 0.0021, 0)</f>
        <v>40.100999999999999</v>
      </c>
      <c r="H296" s="10">
        <f>39.9642 * CHOOSE(CONTROL!$C$9, $D$9, 100%, $F$9) + CHOOSE(CONTROL!$C$27, 0.0021, 0)</f>
        <v>39.966299999999997</v>
      </c>
      <c r="I296" s="10">
        <f>39.9642 * CHOOSE(CONTROL!$C$9, $D$9, 100%, $F$9) + CHOOSE(CONTROL!$C$27, 0.0021, 0)</f>
        <v>39.966299999999997</v>
      </c>
      <c r="J296" s="10">
        <f>39.9642 * CHOOSE(CONTROL!$C$9, $D$9, 100%, $F$9) + CHOOSE(CONTROL!$C$27, 0.0021, 0)</f>
        <v>39.966299999999997</v>
      </c>
      <c r="K296" s="10">
        <f>39.9642 * CHOOSE(CONTROL!$C$9, $D$9, 100%, $F$9) + CHOOSE(CONTROL!$C$27, 0.0021, 0)</f>
        <v>39.966299999999997</v>
      </c>
      <c r="L296" s="10"/>
    </row>
    <row r="297" spans="1:12" ht="15" x14ac:dyDescent="0.2">
      <c r="A297" s="15">
        <v>50314</v>
      </c>
      <c r="B297" s="10">
        <f>41.3578 * CHOOSE(CONTROL!$C$9, $D$9, 100%, $F$9) + CHOOSE(CONTROL!$C$27, 0.0021, 0)</f>
        <v>41.359899999999996</v>
      </c>
      <c r="C297" s="10">
        <f>40.9255 * CHOOSE(CONTROL!$C$9, $D$9, 100%, $F$9) + CHOOSE(CONTROL!$C$27, 0.0021, 0)</f>
        <v>40.927599999999998</v>
      </c>
      <c r="D297" s="10">
        <f>40.9255 * CHOOSE(CONTROL!$C$9, $D$9, 100%, $F$9) + CHOOSE(CONTROL!$C$27, 0.0021, 0)</f>
        <v>40.927599999999998</v>
      </c>
      <c r="E297" s="10">
        <f>40.7888 * CHOOSE(CONTROL!$C$9, $D$9, 100%, $F$9) + CHOOSE(CONTROL!$C$27, 0.0021, 0)</f>
        <v>40.790900000000001</v>
      </c>
      <c r="F297" s="10">
        <f>40.7888 * CHOOSE(CONTROL!$C$9, $D$9, 100%, $F$9) + CHOOSE(CONTROL!$C$27, 0.0021, 0)</f>
        <v>40.790900000000001</v>
      </c>
      <c r="G297" s="10">
        <f>41.0602 * CHOOSE(CONTROL!$C$9, $D$9, 100%, $F$9) + CHOOSE(CONTROL!$C$27, 0.0021, 0)</f>
        <v>41.0623</v>
      </c>
      <c r="H297" s="10">
        <f>40.9255 * CHOOSE(CONTROL!$C$9, $D$9, 100%, $F$9) + CHOOSE(CONTROL!$C$27, 0.0021, 0)</f>
        <v>40.927599999999998</v>
      </c>
      <c r="I297" s="10">
        <f>40.9255 * CHOOSE(CONTROL!$C$9, $D$9, 100%, $F$9) + CHOOSE(CONTROL!$C$27, 0.0021, 0)</f>
        <v>40.927599999999998</v>
      </c>
      <c r="J297" s="10">
        <f>40.9255 * CHOOSE(CONTROL!$C$9, $D$9, 100%, $F$9) + CHOOSE(CONTROL!$C$27, 0.0021, 0)</f>
        <v>40.927599999999998</v>
      </c>
      <c r="K297" s="10">
        <f>40.9255 * CHOOSE(CONTROL!$C$9, $D$9, 100%, $F$9) + CHOOSE(CONTROL!$C$27, 0.0021, 0)</f>
        <v>40.927599999999998</v>
      </c>
      <c r="L297" s="10"/>
    </row>
    <row r="298" spans="1:12" ht="15" x14ac:dyDescent="0.2">
      <c r="A298" s="15">
        <v>50345</v>
      </c>
      <c r="B298" s="10">
        <f>41.448 * CHOOSE(CONTROL!$C$9, $D$9, 100%, $F$9) + CHOOSE(CONTROL!$C$27, 0.0021, 0)</f>
        <v>41.450099999999999</v>
      </c>
      <c r="C298" s="10">
        <f>41.0157 * CHOOSE(CONTROL!$C$9, $D$9, 100%, $F$9) + CHOOSE(CONTROL!$C$27, 0.0021, 0)</f>
        <v>41.017800000000001</v>
      </c>
      <c r="D298" s="10">
        <f>41.0157 * CHOOSE(CONTROL!$C$9, $D$9, 100%, $F$9) + CHOOSE(CONTROL!$C$27, 0.0021, 0)</f>
        <v>41.017800000000001</v>
      </c>
      <c r="E298" s="10">
        <f>40.8791 * CHOOSE(CONTROL!$C$9, $D$9, 100%, $F$9) + CHOOSE(CONTROL!$C$27, 0.0021, 0)</f>
        <v>40.8812</v>
      </c>
      <c r="F298" s="10">
        <f>40.8791 * CHOOSE(CONTROL!$C$9, $D$9, 100%, $F$9) + CHOOSE(CONTROL!$C$27, 0.0021, 0)</f>
        <v>40.8812</v>
      </c>
      <c r="G298" s="10">
        <f>41.1505 * CHOOSE(CONTROL!$C$9, $D$9, 100%, $F$9) + CHOOSE(CONTROL!$C$27, 0.0021, 0)</f>
        <v>41.1526</v>
      </c>
      <c r="H298" s="10">
        <f>41.0157 * CHOOSE(CONTROL!$C$9, $D$9, 100%, $F$9) + CHOOSE(CONTROL!$C$27, 0.0021, 0)</f>
        <v>41.017800000000001</v>
      </c>
      <c r="I298" s="10">
        <f>41.0157 * CHOOSE(CONTROL!$C$9, $D$9, 100%, $F$9) + CHOOSE(CONTROL!$C$27, 0.0021, 0)</f>
        <v>41.017800000000001</v>
      </c>
      <c r="J298" s="10">
        <f>41.0157 * CHOOSE(CONTROL!$C$9, $D$9, 100%, $F$9) + CHOOSE(CONTROL!$C$27, 0.0021, 0)</f>
        <v>41.017800000000001</v>
      </c>
      <c r="K298" s="10">
        <f>41.0157 * CHOOSE(CONTROL!$C$9, $D$9, 100%, $F$9) + CHOOSE(CONTROL!$C$27, 0.0021, 0)</f>
        <v>41.017800000000001</v>
      </c>
      <c r="L298" s="10"/>
    </row>
    <row r="299" spans="1:12" ht="15" x14ac:dyDescent="0.2">
      <c r="A299" s="15">
        <v>50375</v>
      </c>
      <c r="B299" s="10">
        <f>40.6802 * CHOOSE(CONTROL!$C$9, $D$9, 100%, $F$9) + CHOOSE(CONTROL!$C$27, 0.0021, 0)</f>
        <v>40.682299999999998</v>
      </c>
      <c r="C299" s="10">
        <f>40.248 * CHOOSE(CONTROL!$C$9, $D$9, 100%, $F$9) + CHOOSE(CONTROL!$C$27, 0.0021, 0)</f>
        <v>40.250099999999996</v>
      </c>
      <c r="D299" s="10">
        <f>40.248 * CHOOSE(CONTROL!$C$9, $D$9, 100%, $F$9) + CHOOSE(CONTROL!$C$27, 0.0021, 0)</f>
        <v>40.250099999999996</v>
      </c>
      <c r="E299" s="10">
        <f>40.1113 * CHOOSE(CONTROL!$C$9, $D$9, 100%, $F$9) + CHOOSE(CONTROL!$C$27, 0.0021, 0)</f>
        <v>40.113399999999999</v>
      </c>
      <c r="F299" s="10">
        <f>40.1113 * CHOOSE(CONTROL!$C$9, $D$9, 100%, $F$9) + CHOOSE(CONTROL!$C$27, 0.0021, 0)</f>
        <v>40.113399999999999</v>
      </c>
      <c r="G299" s="10">
        <f>40.3827 * CHOOSE(CONTROL!$C$9, $D$9, 100%, $F$9) + CHOOSE(CONTROL!$C$27, 0.0021, 0)</f>
        <v>40.384799999999998</v>
      </c>
      <c r="H299" s="10">
        <f>40.248 * CHOOSE(CONTROL!$C$9, $D$9, 100%, $F$9) + CHOOSE(CONTROL!$C$27, 0.0021, 0)</f>
        <v>40.250099999999996</v>
      </c>
      <c r="I299" s="10">
        <f>40.248 * CHOOSE(CONTROL!$C$9, $D$9, 100%, $F$9) + CHOOSE(CONTROL!$C$27, 0.0021, 0)</f>
        <v>40.250099999999996</v>
      </c>
      <c r="J299" s="10">
        <f>40.248 * CHOOSE(CONTROL!$C$9, $D$9, 100%, $F$9) + CHOOSE(CONTROL!$C$27, 0.0021, 0)</f>
        <v>40.250099999999996</v>
      </c>
      <c r="K299" s="10">
        <f>40.248 * CHOOSE(CONTROL!$C$9, $D$9, 100%, $F$9) + CHOOSE(CONTROL!$C$27, 0.0021, 0)</f>
        <v>40.250099999999996</v>
      </c>
      <c r="L299" s="10"/>
    </row>
    <row r="300" spans="1:12" ht="15.75" x14ac:dyDescent="0.25">
      <c r="A300" s="14">
        <v>50436</v>
      </c>
      <c r="B300" s="10">
        <f>40.0924 * CHOOSE(CONTROL!$C$9, $D$9, 100%, $F$9) + CHOOSE(CONTROL!$C$27, 0.0021, 0)</f>
        <v>40.094499999999996</v>
      </c>
      <c r="C300" s="10">
        <f>39.6602 * CHOOSE(CONTROL!$C$9, $D$9, 100%, $F$9) + CHOOSE(CONTROL!$C$27, 0.0021, 0)</f>
        <v>39.662300000000002</v>
      </c>
      <c r="D300" s="10">
        <f>39.6602 * CHOOSE(CONTROL!$C$9, $D$9, 100%, $F$9) + CHOOSE(CONTROL!$C$27, 0.0021, 0)</f>
        <v>39.662300000000002</v>
      </c>
      <c r="E300" s="10">
        <f>39.5235 * CHOOSE(CONTROL!$C$9, $D$9, 100%, $F$9) + CHOOSE(CONTROL!$C$27, 0.0021, 0)</f>
        <v>39.525599999999997</v>
      </c>
      <c r="F300" s="10">
        <f>39.5235 * CHOOSE(CONTROL!$C$9, $D$9, 100%, $F$9) + CHOOSE(CONTROL!$C$27, 0.0021, 0)</f>
        <v>39.525599999999997</v>
      </c>
      <c r="G300" s="10">
        <f>39.7949 * CHOOSE(CONTROL!$C$9, $D$9, 100%, $F$9) + CHOOSE(CONTROL!$C$27, 0.0021, 0)</f>
        <v>39.796999999999997</v>
      </c>
      <c r="H300" s="10">
        <f>39.6602 * CHOOSE(CONTROL!$C$9, $D$9, 100%, $F$9) + CHOOSE(CONTROL!$C$27, 0.0021, 0)</f>
        <v>39.662300000000002</v>
      </c>
      <c r="I300" s="10">
        <f>39.6602 * CHOOSE(CONTROL!$C$9, $D$9, 100%, $F$9) + CHOOSE(CONTROL!$C$27, 0.0021, 0)</f>
        <v>39.662300000000002</v>
      </c>
      <c r="J300" s="10">
        <f>39.6602 * CHOOSE(CONTROL!$C$9, $D$9, 100%, $F$9) + CHOOSE(CONTROL!$C$27, 0.0021, 0)</f>
        <v>39.662300000000002</v>
      </c>
      <c r="K300" s="10">
        <f>39.6602 * CHOOSE(CONTROL!$C$9, $D$9, 100%, $F$9) + CHOOSE(CONTROL!$C$27, 0.0021, 0)</f>
        <v>39.662300000000002</v>
      </c>
      <c r="L300" s="10"/>
    </row>
    <row r="301" spans="1:12" ht="15.75" x14ac:dyDescent="0.25">
      <c r="A301" s="14">
        <v>50464</v>
      </c>
      <c r="B301" s="10">
        <f>39.0232 * CHOOSE(CONTROL!$C$9, $D$9, 100%, $F$9) + CHOOSE(CONTROL!$C$27, 0.0021, 0)</f>
        <v>39.025300000000001</v>
      </c>
      <c r="C301" s="10">
        <f>38.591 * CHOOSE(CONTROL!$C$9, $D$9, 100%, $F$9) + CHOOSE(CONTROL!$C$27, 0.0021, 0)</f>
        <v>38.5931</v>
      </c>
      <c r="D301" s="10">
        <f>38.591 * CHOOSE(CONTROL!$C$9, $D$9, 100%, $F$9) + CHOOSE(CONTROL!$C$27, 0.0021, 0)</f>
        <v>38.5931</v>
      </c>
      <c r="E301" s="10">
        <f>38.4543 * CHOOSE(CONTROL!$C$9, $D$9, 100%, $F$9) + CHOOSE(CONTROL!$C$27, 0.0021, 0)</f>
        <v>38.456400000000002</v>
      </c>
      <c r="F301" s="10">
        <f>38.4543 * CHOOSE(CONTROL!$C$9, $D$9, 100%, $F$9) + CHOOSE(CONTROL!$C$27, 0.0021, 0)</f>
        <v>38.456400000000002</v>
      </c>
      <c r="G301" s="10">
        <f>38.7257 * CHOOSE(CONTROL!$C$9, $D$9, 100%, $F$9) + CHOOSE(CONTROL!$C$27, 0.0021, 0)</f>
        <v>38.727800000000002</v>
      </c>
      <c r="H301" s="10">
        <f>38.591 * CHOOSE(CONTROL!$C$9, $D$9, 100%, $F$9) + CHOOSE(CONTROL!$C$27, 0.0021, 0)</f>
        <v>38.5931</v>
      </c>
      <c r="I301" s="10">
        <f>38.591 * CHOOSE(CONTROL!$C$9, $D$9, 100%, $F$9) + CHOOSE(CONTROL!$C$27, 0.0021, 0)</f>
        <v>38.5931</v>
      </c>
      <c r="J301" s="10">
        <f>38.591 * CHOOSE(CONTROL!$C$9, $D$9, 100%, $F$9) + CHOOSE(CONTROL!$C$27, 0.0021, 0)</f>
        <v>38.5931</v>
      </c>
      <c r="K301" s="10">
        <f>38.591 * CHOOSE(CONTROL!$C$9, $D$9, 100%, $F$9) + CHOOSE(CONTROL!$C$27, 0.0021, 0)</f>
        <v>38.5931</v>
      </c>
      <c r="L301" s="10"/>
    </row>
    <row r="302" spans="1:12" ht="15.75" x14ac:dyDescent="0.25">
      <c r="A302" s="14">
        <v>50495</v>
      </c>
      <c r="B302" s="10">
        <f>38.5819 * CHOOSE(CONTROL!$C$9, $D$9, 100%, $F$9) + CHOOSE(CONTROL!$C$27, 0.0021, 0)</f>
        <v>38.583999999999996</v>
      </c>
      <c r="C302" s="10">
        <f>38.1496 * CHOOSE(CONTROL!$C$9, $D$9, 100%, $F$9) + CHOOSE(CONTROL!$C$27, 0.0021, 0)</f>
        <v>38.151699999999998</v>
      </c>
      <c r="D302" s="10">
        <f>38.1496 * CHOOSE(CONTROL!$C$9, $D$9, 100%, $F$9) + CHOOSE(CONTROL!$C$27, 0.0021, 0)</f>
        <v>38.151699999999998</v>
      </c>
      <c r="E302" s="10">
        <f>38.013 * CHOOSE(CONTROL!$C$9, $D$9, 100%, $F$9) + CHOOSE(CONTROL!$C$27, 0.0021, 0)</f>
        <v>38.015099999999997</v>
      </c>
      <c r="F302" s="10">
        <f>38.013 * CHOOSE(CONTROL!$C$9, $D$9, 100%, $F$9) + CHOOSE(CONTROL!$C$27, 0.0021, 0)</f>
        <v>38.015099999999997</v>
      </c>
      <c r="G302" s="10">
        <f>38.2843 * CHOOSE(CONTROL!$C$9, $D$9, 100%, $F$9) + CHOOSE(CONTROL!$C$27, 0.0021, 0)</f>
        <v>38.2864</v>
      </c>
      <c r="H302" s="10">
        <f>38.1496 * CHOOSE(CONTROL!$C$9, $D$9, 100%, $F$9) + CHOOSE(CONTROL!$C$27, 0.0021, 0)</f>
        <v>38.151699999999998</v>
      </c>
      <c r="I302" s="10">
        <f>38.1496 * CHOOSE(CONTROL!$C$9, $D$9, 100%, $F$9) + CHOOSE(CONTROL!$C$27, 0.0021, 0)</f>
        <v>38.151699999999998</v>
      </c>
      <c r="J302" s="10">
        <f>38.1496 * CHOOSE(CONTROL!$C$9, $D$9, 100%, $F$9) + CHOOSE(CONTROL!$C$27, 0.0021, 0)</f>
        <v>38.151699999999998</v>
      </c>
      <c r="K302" s="10">
        <f>38.1496 * CHOOSE(CONTROL!$C$9, $D$9, 100%, $F$9) + CHOOSE(CONTROL!$C$27, 0.0021, 0)</f>
        <v>38.151699999999998</v>
      </c>
      <c r="L302" s="10"/>
    </row>
    <row r="303" spans="1:12" ht="15.75" x14ac:dyDescent="0.25">
      <c r="A303" s="14">
        <v>50525</v>
      </c>
      <c r="B303" s="10">
        <f>38.0549 * CHOOSE(CONTROL!$C$9, $D$9, 100%, $F$9) + CHOOSE(CONTROL!$C$27, 0.0021, 0)</f>
        <v>38.057000000000002</v>
      </c>
      <c r="C303" s="10">
        <f>37.6226 * CHOOSE(CONTROL!$C$9, $D$9, 100%, $F$9) + CHOOSE(CONTROL!$C$27, 0.0021, 0)</f>
        <v>37.624699999999997</v>
      </c>
      <c r="D303" s="10">
        <f>37.6226 * CHOOSE(CONTROL!$C$9, $D$9, 100%, $F$9) + CHOOSE(CONTROL!$C$27, 0.0021, 0)</f>
        <v>37.624699999999997</v>
      </c>
      <c r="E303" s="10">
        <f>37.486 * CHOOSE(CONTROL!$C$9, $D$9, 100%, $F$9) + CHOOSE(CONTROL!$C$27, 0.0021, 0)</f>
        <v>37.488099999999996</v>
      </c>
      <c r="F303" s="10">
        <f>37.486 * CHOOSE(CONTROL!$C$9, $D$9, 100%, $F$9) + CHOOSE(CONTROL!$C$27, 0.0021, 0)</f>
        <v>37.488099999999996</v>
      </c>
      <c r="G303" s="10">
        <f>37.7574 * CHOOSE(CONTROL!$C$9, $D$9, 100%, $F$9) + CHOOSE(CONTROL!$C$27, 0.0021, 0)</f>
        <v>37.759499999999996</v>
      </c>
      <c r="H303" s="10">
        <f>37.6226 * CHOOSE(CONTROL!$C$9, $D$9, 100%, $F$9) + CHOOSE(CONTROL!$C$27, 0.0021, 0)</f>
        <v>37.624699999999997</v>
      </c>
      <c r="I303" s="10">
        <f>37.6226 * CHOOSE(CONTROL!$C$9, $D$9, 100%, $F$9) + CHOOSE(CONTROL!$C$27, 0.0021, 0)</f>
        <v>37.624699999999997</v>
      </c>
      <c r="J303" s="10">
        <f>37.6226 * CHOOSE(CONTROL!$C$9, $D$9, 100%, $F$9) + CHOOSE(CONTROL!$C$27, 0.0021, 0)</f>
        <v>37.624699999999997</v>
      </c>
      <c r="K303" s="10">
        <f>37.6226 * CHOOSE(CONTROL!$C$9, $D$9, 100%, $F$9) + CHOOSE(CONTROL!$C$27, 0.0021, 0)</f>
        <v>37.624699999999997</v>
      </c>
      <c r="L303" s="10"/>
    </row>
    <row r="304" spans="1:12" ht="15.75" x14ac:dyDescent="0.25">
      <c r="A304" s="14">
        <v>50556</v>
      </c>
      <c r="B304" s="10">
        <f>38.8059 * CHOOSE(CONTROL!$C$9, $D$9, 100%, $F$9) + CHOOSE(CONTROL!$C$27, 0.0021, 0)</f>
        <v>38.808</v>
      </c>
      <c r="C304" s="10">
        <f>38.3737 * CHOOSE(CONTROL!$C$9, $D$9, 100%, $F$9) + CHOOSE(CONTROL!$C$27, 0.0021, 0)</f>
        <v>38.375799999999998</v>
      </c>
      <c r="D304" s="10">
        <f>38.3737 * CHOOSE(CONTROL!$C$9, $D$9, 100%, $F$9) + CHOOSE(CONTROL!$C$27, 0.0021, 0)</f>
        <v>38.375799999999998</v>
      </c>
      <c r="E304" s="10">
        <f>38.237 * CHOOSE(CONTROL!$C$9, $D$9, 100%, $F$9) + CHOOSE(CONTROL!$C$27, 0.0021, 0)</f>
        <v>38.239100000000001</v>
      </c>
      <c r="F304" s="10">
        <f>38.237 * CHOOSE(CONTROL!$C$9, $D$9, 100%, $F$9) + CHOOSE(CONTROL!$C$27, 0.0021, 0)</f>
        <v>38.239100000000001</v>
      </c>
      <c r="G304" s="10">
        <f>38.5084 * CHOOSE(CONTROL!$C$9, $D$9, 100%, $F$9) + CHOOSE(CONTROL!$C$27, 0.0021, 0)</f>
        <v>38.5105</v>
      </c>
      <c r="H304" s="10">
        <f>38.3737 * CHOOSE(CONTROL!$C$9, $D$9, 100%, $F$9) + CHOOSE(CONTROL!$C$27, 0.0021, 0)</f>
        <v>38.375799999999998</v>
      </c>
      <c r="I304" s="10">
        <f>38.3737 * CHOOSE(CONTROL!$C$9, $D$9, 100%, $F$9) + CHOOSE(CONTROL!$C$27, 0.0021, 0)</f>
        <v>38.375799999999998</v>
      </c>
      <c r="J304" s="10">
        <f>38.3737 * CHOOSE(CONTROL!$C$9, $D$9, 100%, $F$9) + CHOOSE(CONTROL!$C$27, 0.0021, 0)</f>
        <v>38.375799999999998</v>
      </c>
      <c r="K304" s="10">
        <f>38.3737 * CHOOSE(CONTROL!$C$9, $D$9, 100%, $F$9) + CHOOSE(CONTROL!$C$27, 0.0021, 0)</f>
        <v>38.375799999999998</v>
      </c>
      <c r="L304" s="10"/>
    </row>
    <row r="305" spans="1:12" ht="15.75" x14ac:dyDescent="0.25">
      <c r="A305" s="14">
        <v>50586</v>
      </c>
      <c r="B305" s="10">
        <f>39.2558 * CHOOSE(CONTROL!$C$9, $D$9, 100%, $F$9) + CHOOSE(CONTROL!$C$27, 0.0021, 0)</f>
        <v>39.257899999999999</v>
      </c>
      <c r="C305" s="10">
        <f>38.8235 * CHOOSE(CONTROL!$C$9, $D$9, 100%, $F$9) + CHOOSE(CONTROL!$C$27, 0.0021, 0)</f>
        <v>38.825600000000001</v>
      </c>
      <c r="D305" s="10">
        <f>38.8235 * CHOOSE(CONTROL!$C$9, $D$9, 100%, $F$9) + CHOOSE(CONTROL!$C$27, 0.0021, 0)</f>
        <v>38.825600000000001</v>
      </c>
      <c r="E305" s="10">
        <f>38.6868 * CHOOSE(CONTROL!$C$9, $D$9, 100%, $F$9) + CHOOSE(CONTROL!$C$27, 0.0021, 0)</f>
        <v>38.688899999999997</v>
      </c>
      <c r="F305" s="10">
        <f>38.6868 * CHOOSE(CONTROL!$C$9, $D$9, 100%, $F$9) + CHOOSE(CONTROL!$C$27, 0.0021, 0)</f>
        <v>38.688899999999997</v>
      </c>
      <c r="G305" s="10">
        <f>38.9582 * CHOOSE(CONTROL!$C$9, $D$9, 100%, $F$9) + CHOOSE(CONTROL!$C$27, 0.0021, 0)</f>
        <v>38.960299999999997</v>
      </c>
      <c r="H305" s="10">
        <f>38.8235 * CHOOSE(CONTROL!$C$9, $D$9, 100%, $F$9) + CHOOSE(CONTROL!$C$27, 0.0021, 0)</f>
        <v>38.825600000000001</v>
      </c>
      <c r="I305" s="10">
        <f>38.8235 * CHOOSE(CONTROL!$C$9, $D$9, 100%, $F$9) + CHOOSE(CONTROL!$C$27, 0.0021, 0)</f>
        <v>38.825600000000001</v>
      </c>
      <c r="J305" s="10">
        <f>38.8235 * CHOOSE(CONTROL!$C$9, $D$9, 100%, $F$9) + CHOOSE(CONTROL!$C$27, 0.0021, 0)</f>
        <v>38.825600000000001</v>
      </c>
      <c r="K305" s="10">
        <f>38.8235 * CHOOSE(CONTROL!$C$9, $D$9, 100%, $F$9) + CHOOSE(CONTROL!$C$27, 0.0021, 0)</f>
        <v>38.825600000000001</v>
      </c>
      <c r="L305" s="10"/>
    </row>
    <row r="306" spans="1:12" ht="15.75" x14ac:dyDescent="0.25">
      <c r="A306" s="14">
        <v>50617</v>
      </c>
      <c r="B306" s="10">
        <f>39.9978 * CHOOSE(CONTROL!$C$9, $D$9, 100%, $F$9) + CHOOSE(CONTROL!$C$27, 0.0021, 0)</f>
        <v>39.999899999999997</v>
      </c>
      <c r="C306" s="10">
        <f>39.5656 * CHOOSE(CONTROL!$C$9, $D$9, 100%, $F$9) + CHOOSE(CONTROL!$C$27, 0.0021, 0)</f>
        <v>39.567700000000002</v>
      </c>
      <c r="D306" s="10">
        <f>39.5656 * CHOOSE(CONTROL!$C$9, $D$9, 100%, $F$9) + CHOOSE(CONTROL!$C$27, 0.0021, 0)</f>
        <v>39.567700000000002</v>
      </c>
      <c r="E306" s="10">
        <f>39.4289 * CHOOSE(CONTROL!$C$9, $D$9, 100%, $F$9) + CHOOSE(CONTROL!$C$27, 0.0021, 0)</f>
        <v>39.430999999999997</v>
      </c>
      <c r="F306" s="10">
        <f>39.4289 * CHOOSE(CONTROL!$C$9, $D$9, 100%, $F$9) + CHOOSE(CONTROL!$C$27, 0.0021, 0)</f>
        <v>39.430999999999997</v>
      </c>
      <c r="G306" s="10">
        <f>39.7003 * CHOOSE(CONTROL!$C$9, $D$9, 100%, $F$9) + CHOOSE(CONTROL!$C$27, 0.0021, 0)</f>
        <v>39.702399999999997</v>
      </c>
      <c r="H306" s="10">
        <f>39.5656 * CHOOSE(CONTROL!$C$9, $D$9, 100%, $F$9) + CHOOSE(CONTROL!$C$27, 0.0021, 0)</f>
        <v>39.567700000000002</v>
      </c>
      <c r="I306" s="10">
        <f>39.5656 * CHOOSE(CONTROL!$C$9, $D$9, 100%, $F$9) + CHOOSE(CONTROL!$C$27, 0.0021, 0)</f>
        <v>39.567700000000002</v>
      </c>
      <c r="J306" s="10">
        <f>39.5656 * CHOOSE(CONTROL!$C$9, $D$9, 100%, $F$9) + CHOOSE(CONTROL!$C$27, 0.0021, 0)</f>
        <v>39.567700000000002</v>
      </c>
      <c r="K306" s="10">
        <f>39.5656 * CHOOSE(CONTROL!$C$9, $D$9, 100%, $F$9) + CHOOSE(CONTROL!$C$27, 0.0021, 0)</f>
        <v>39.567700000000002</v>
      </c>
      <c r="L306" s="10"/>
    </row>
    <row r="307" spans="1:12" ht="15.75" x14ac:dyDescent="0.25">
      <c r="A307" s="14">
        <v>50648</v>
      </c>
      <c r="B307" s="10">
        <f>40.2243 * CHOOSE(CONTROL!$C$9, $D$9, 100%, $F$9) + CHOOSE(CONTROL!$C$27, 0.0021, 0)</f>
        <v>40.226399999999998</v>
      </c>
      <c r="C307" s="10">
        <f>39.7921 * CHOOSE(CONTROL!$C$9, $D$9, 100%, $F$9) + CHOOSE(CONTROL!$C$27, 0.0021, 0)</f>
        <v>39.794199999999996</v>
      </c>
      <c r="D307" s="10">
        <f>39.7921 * CHOOSE(CONTROL!$C$9, $D$9, 100%, $F$9) + CHOOSE(CONTROL!$C$27, 0.0021, 0)</f>
        <v>39.794199999999996</v>
      </c>
      <c r="E307" s="10">
        <f>39.6554 * CHOOSE(CONTROL!$C$9, $D$9, 100%, $F$9) + CHOOSE(CONTROL!$C$27, 0.0021, 0)</f>
        <v>39.657499999999999</v>
      </c>
      <c r="F307" s="10">
        <f>39.6554 * CHOOSE(CONTROL!$C$9, $D$9, 100%, $F$9) + CHOOSE(CONTROL!$C$27, 0.0021, 0)</f>
        <v>39.657499999999999</v>
      </c>
      <c r="G307" s="10">
        <f>39.9268 * CHOOSE(CONTROL!$C$9, $D$9, 100%, $F$9) + CHOOSE(CONTROL!$C$27, 0.0021, 0)</f>
        <v>39.928899999999999</v>
      </c>
      <c r="H307" s="10">
        <f>39.7921 * CHOOSE(CONTROL!$C$9, $D$9, 100%, $F$9) + CHOOSE(CONTROL!$C$27, 0.0021, 0)</f>
        <v>39.794199999999996</v>
      </c>
      <c r="I307" s="10">
        <f>39.7921 * CHOOSE(CONTROL!$C$9, $D$9, 100%, $F$9) + CHOOSE(CONTROL!$C$27, 0.0021, 0)</f>
        <v>39.794199999999996</v>
      </c>
      <c r="J307" s="10">
        <f>39.7921 * CHOOSE(CONTROL!$C$9, $D$9, 100%, $F$9) + CHOOSE(CONTROL!$C$27, 0.0021, 0)</f>
        <v>39.794199999999996</v>
      </c>
      <c r="K307" s="10">
        <f>39.7921 * CHOOSE(CONTROL!$C$9, $D$9, 100%, $F$9) + CHOOSE(CONTROL!$C$27, 0.0021, 0)</f>
        <v>39.794199999999996</v>
      </c>
      <c r="L307" s="10"/>
    </row>
    <row r="308" spans="1:12" ht="15.75" x14ac:dyDescent="0.25">
      <c r="A308" s="14">
        <v>50678</v>
      </c>
      <c r="B308" s="10">
        <f>40.9957 * CHOOSE(CONTROL!$C$9, $D$9, 100%, $F$9) + CHOOSE(CONTROL!$C$27, 0.0021, 0)</f>
        <v>40.997799999999998</v>
      </c>
      <c r="C308" s="10">
        <f>40.5634 * CHOOSE(CONTROL!$C$9, $D$9, 100%, $F$9) + CHOOSE(CONTROL!$C$27, 0.0021, 0)</f>
        <v>40.5655</v>
      </c>
      <c r="D308" s="10">
        <f>40.5634 * CHOOSE(CONTROL!$C$9, $D$9, 100%, $F$9) + CHOOSE(CONTROL!$C$27, 0.0021, 0)</f>
        <v>40.5655</v>
      </c>
      <c r="E308" s="10">
        <f>40.4268 * CHOOSE(CONTROL!$C$9, $D$9, 100%, $F$9) + CHOOSE(CONTROL!$C$27, 0.0021, 0)</f>
        <v>40.428899999999999</v>
      </c>
      <c r="F308" s="10">
        <f>40.4268 * CHOOSE(CONTROL!$C$9, $D$9, 100%, $F$9) + CHOOSE(CONTROL!$C$27, 0.0021, 0)</f>
        <v>40.428899999999999</v>
      </c>
      <c r="G308" s="10">
        <f>40.6981 * CHOOSE(CONTROL!$C$9, $D$9, 100%, $F$9) + CHOOSE(CONTROL!$C$27, 0.0021, 0)</f>
        <v>40.700199999999995</v>
      </c>
      <c r="H308" s="10">
        <f>40.5634 * CHOOSE(CONTROL!$C$9, $D$9, 100%, $F$9) + CHOOSE(CONTROL!$C$27, 0.0021, 0)</f>
        <v>40.5655</v>
      </c>
      <c r="I308" s="10">
        <f>40.5634 * CHOOSE(CONTROL!$C$9, $D$9, 100%, $F$9) + CHOOSE(CONTROL!$C$27, 0.0021, 0)</f>
        <v>40.5655</v>
      </c>
      <c r="J308" s="10">
        <f>40.5634 * CHOOSE(CONTROL!$C$9, $D$9, 100%, $F$9) + CHOOSE(CONTROL!$C$27, 0.0021, 0)</f>
        <v>40.5655</v>
      </c>
      <c r="K308" s="10">
        <f>40.5634 * CHOOSE(CONTROL!$C$9, $D$9, 100%, $F$9) + CHOOSE(CONTROL!$C$27, 0.0021, 0)</f>
        <v>40.5655</v>
      </c>
      <c r="L308" s="10"/>
    </row>
    <row r="309" spans="1:12" ht="15.75" x14ac:dyDescent="0.25">
      <c r="A309" s="14">
        <v>50709</v>
      </c>
      <c r="B309" s="10">
        <f>41.9721 * CHOOSE(CONTROL!$C$9, $D$9, 100%, $F$9) + CHOOSE(CONTROL!$C$27, 0.0021, 0)</f>
        <v>41.974199999999996</v>
      </c>
      <c r="C309" s="10">
        <f>41.5398 * CHOOSE(CONTROL!$C$9, $D$9, 100%, $F$9) + CHOOSE(CONTROL!$C$27, 0.0021, 0)</f>
        <v>41.541899999999998</v>
      </c>
      <c r="D309" s="10">
        <f>41.5398 * CHOOSE(CONTROL!$C$9, $D$9, 100%, $F$9) + CHOOSE(CONTROL!$C$27, 0.0021, 0)</f>
        <v>41.541899999999998</v>
      </c>
      <c r="E309" s="10">
        <f>41.4031 * CHOOSE(CONTROL!$C$9, $D$9, 100%, $F$9) + CHOOSE(CONTROL!$C$27, 0.0021, 0)</f>
        <v>41.405200000000001</v>
      </c>
      <c r="F309" s="10">
        <f>41.4031 * CHOOSE(CONTROL!$C$9, $D$9, 100%, $F$9) + CHOOSE(CONTROL!$C$27, 0.0021, 0)</f>
        <v>41.405200000000001</v>
      </c>
      <c r="G309" s="10">
        <f>41.6745 * CHOOSE(CONTROL!$C$9, $D$9, 100%, $F$9) + CHOOSE(CONTROL!$C$27, 0.0021, 0)</f>
        <v>41.676600000000001</v>
      </c>
      <c r="H309" s="10">
        <f>41.5398 * CHOOSE(CONTROL!$C$9, $D$9, 100%, $F$9) + CHOOSE(CONTROL!$C$27, 0.0021, 0)</f>
        <v>41.541899999999998</v>
      </c>
      <c r="I309" s="10">
        <f>41.5398 * CHOOSE(CONTROL!$C$9, $D$9, 100%, $F$9) + CHOOSE(CONTROL!$C$27, 0.0021, 0)</f>
        <v>41.541899999999998</v>
      </c>
      <c r="J309" s="10">
        <f>41.5398 * CHOOSE(CONTROL!$C$9, $D$9, 100%, $F$9) + CHOOSE(CONTROL!$C$27, 0.0021, 0)</f>
        <v>41.541899999999998</v>
      </c>
      <c r="K309" s="10">
        <f>41.5398 * CHOOSE(CONTROL!$C$9, $D$9, 100%, $F$9) + CHOOSE(CONTROL!$C$27, 0.0021, 0)</f>
        <v>41.541899999999998</v>
      </c>
      <c r="L309" s="10"/>
    </row>
    <row r="310" spans="1:12" ht="15.75" x14ac:dyDescent="0.25">
      <c r="A310" s="14">
        <v>50739</v>
      </c>
      <c r="B310" s="10">
        <f>42.0637 * CHOOSE(CONTROL!$C$9, $D$9, 100%, $F$9) + CHOOSE(CONTROL!$C$27, 0.0021, 0)</f>
        <v>42.065799999999996</v>
      </c>
      <c r="C310" s="10">
        <f>41.6315 * CHOOSE(CONTROL!$C$9, $D$9, 100%, $F$9) + CHOOSE(CONTROL!$C$27, 0.0021, 0)</f>
        <v>41.633600000000001</v>
      </c>
      <c r="D310" s="10">
        <f>41.6315 * CHOOSE(CONTROL!$C$9, $D$9, 100%, $F$9) + CHOOSE(CONTROL!$C$27, 0.0021, 0)</f>
        <v>41.633600000000001</v>
      </c>
      <c r="E310" s="10">
        <f>41.4948 * CHOOSE(CONTROL!$C$9, $D$9, 100%, $F$9) + CHOOSE(CONTROL!$C$27, 0.0021, 0)</f>
        <v>41.496899999999997</v>
      </c>
      <c r="F310" s="10">
        <f>41.4948 * CHOOSE(CONTROL!$C$9, $D$9, 100%, $F$9) + CHOOSE(CONTROL!$C$27, 0.0021, 0)</f>
        <v>41.496899999999997</v>
      </c>
      <c r="G310" s="10">
        <f>41.7662 * CHOOSE(CONTROL!$C$9, $D$9, 100%, $F$9) + CHOOSE(CONTROL!$C$27, 0.0021, 0)</f>
        <v>41.768299999999996</v>
      </c>
      <c r="H310" s="10">
        <f>41.6315 * CHOOSE(CONTROL!$C$9, $D$9, 100%, $F$9) + CHOOSE(CONTROL!$C$27, 0.0021, 0)</f>
        <v>41.633600000000001</v>
      </c>
      <c r="I310" s="10">
        <f>41.6315 * CHOOSE(CONTROL!$C$9, $D$9, 100%, $F$9) + CHOOSE(CONTROL!$C$27, 0.0021, 0)</f>
        <v>41.633600000000001</v>
      </c>
      <c r="J310" s="10">
        <f>41.6315 * CHOOSE(CONTROL!$C$9, $D$9, 100%, $F$9) + CHOOSE(CONTROL!$C$27, 0.0021, 0)</f>
        <v>41.633600000000001</v>
      </c>
      <c r="K310" s="10">
        <f>41.6315 * CHOOSE(CONTROL!$C$9, $D$9, 100%, $F$9) + CHOOSE(CONTROL!$C$27, 0.0021, 0)</f>
        <v>41.633600000000001</v>
      </c>
      <c r="L310" s="10"/>
    </row>
    <row r="311" spans="1:12" ht="15.75" x14ac:dyDescent="0.25">
      <c r="A311" s="14">
        <v>50770</v>
      </c>
      <c r="B311" s="10">
        <f>41.2839 * CHOOSE(CONTROL!$C$9, $D$9, 100%, $F$9) + CHOOSE(CONTROL!$C$27, 0.0021, 0)</f>
        <v>41.286000000000001</v>
      </c>
      <c r="C311" s="10">
        <f>40.8516 * CHOOSE(CONTROL!$C$9, $D$9, 100%, $F$9) + CHOOSE(CONTROL!$C$27, 0.0021, 0)</f>
        <v>40.853699999999996</v>
      </c>
      <c r="D311" s="10">
        <f>40.8516 * CHOOSE(CONTROL!$C$9, $D$9, 100%, $F$9) + CHOOSE(CONTROL!$C$27, 0.0021, 0)</f>
        <v>40.853699999999996</v>
      </c>
      <c r="E311" s="10">
        <f>40.715 * CHOOSE(CONTROL!$C$9, $D$9, 100%, $F$9) + CHOOSE(CONTROL!$C$27, 0.0021, 0)</f>
        <v>40.717100000000002</v>
      </c>
      <c r="F311" s="10">
        <f>40.715 * CHOOSE(CONTROL!$C$9, $D$9, 100%, $F$9) + CHOOSE(CONTROL!$C$27, 0.0021, 0)</f>
        <v>40.717100000000002</v>
      </c>
      <c r="G311" s="10">
        <f>40.9864 * CHOOSE(CONTROL!$C$9, $D$9, 100%, $F$9) + CHOOSE(CONTROL!$C$27, 0.0021, 0)</f>
        <v>40.988500000000002</v>
      </c>
      <c r="H311" s="10">
        <f>40.8516 * CHOOSE(CONTROL!$C$9, $D$9, 100%, $F$9) + CHOOSE(CONTROL!$C$27, 0.0021, 0)</f>
        <v>40.853699999999996</v>
      </c>
      <c r="I311" s="10">
        <f>40.8516 * CHOOSE(CONTROL!$C$9, $D$9, 100%, $F$9) + CHOOSE(CONTROL!$C$27, 0.0021, 0)</f>
        <v>40.853699999999996</v>
      </c>
      <c r="J311" s="10">
        <f>40.8516 * CHOOSE(CONTROL!$C$9, $D$9, 100%, $F$9) + CHOOSE(CONTROL!$C$27, 0.0021, 0)</f>
        <v>40.853699999999996</v>
      </c>
      <c r="K311" s="10">
        <f>40.8516 * CHOOSE(CONTROL!$C$9, $D$9, 100%, $F$9) + CHOOSE(CONTROL!$C$27, 0.0021, 0)</f>
        <v>40.853699999999996</v>
      </c>
      <c r="L311" s="10"/>
    </row>
    <row r="312" spans="1:12" ht="15.75" x14ac:dyDescent="0.25">
      <c r="A312" s="14">
        <v>50801</v>
      </c>
      <c r="B312" s="10">
        <f>40.6868 * CHOOSE(CONTROL!$C$9, $D$9, 100%, $F$9) + CHOOSE(CONTROL!$C$27, 0.0021, 0)</f>
        <v>40.688899999999997</v>
      </c>
      <c r="C312" s="10">
        <f>40.2546 * CHOOSE(CONTROL!$C$9, $D$9, 100%, $F$9) + CHOOSE(CONTROL!$C$27, 0.0021, 0)</f>
        <v>40.256700000000002</v>
      </c>
      <c r="D312" s="10">
        <f>40.2546 * CHOOSE(CONTROL!$C$9, $D$9, 100%, $F$9) + CHOOSE(CONTROL!$C$27, 0.0021, 0)</f>
        <v>40.256700000000002</v>
      </c>
      <c r="E312" s="10">
        <f>40.1179 * CHOOSE(CONTROL!$C$9, $D$9, 100%, $F$9) + CHOOSE(CONTROL!$C$27, 0.0021, 0)</f>
        <v>40.119999999999997</v>
      </c>
      <c r="F312" s="10">
        <f>40.1179 * CHOOSE(CONTROL!$C$9, $D$9, 100%, $F$9) + CHOOSE(CONTROL!$C$27, 0.0021, 0)</f>
        <v>40.119999999999997</v>
      </c>
      <c r="G312" s="10">
        <f>40.3893 * CHOOSE(CONTROL!$C$9, $D$9, 100%, $F$9) + CHOOSE(CONTROL!$C$27, 0.0021, 0)</f>
        <v>40.391399999999997</v>
      </c>
      <c r="H312" s="10">
        <f>40.2546 * CHOOSE(CONTROL!$C$9, $D$9, 100%, $F$9) + CHOOSE(CONTROL!$C$27, 0.0021, 0)</f>
        <v>40.256700000000002</v>
      </c>
      <c r="I312" s="10">
        <f>40.2546 * CHOOSE(CONTROL!$C$9, $D$9, 100%, $F$9) + CHOOSE(CONTROL!$C$27, 0.0021, 0)</f>
        <v>40.256700000000002</v>
      </c>
      <c r="J312" s="10">
        <f>40.2546 * CHOOSE(CONTROL!$C$9, $D$9, 100%, $F$9) + CHOOSE(CONTROL!$C$27, 0.0021, 0)</f>
        <v>40.256700000000002</v>
      </c>
      <c r="K312" s="10">
        <f>40.2546 * CHOOSE(CONTROL!$C$9, $D$9, 100%, $F$9) + CHOOSE(CONTROL!$C$27, 0.0021, 0)</f>
        <v>40.256700000000002</v>
      </c>
      <c r="L312" s="10"/>
    </row>
    <row r="313" spans="1:12" ht="15.75" x14ac:dyDescent="0.25">
      <c r="A313" s="14">
        <v>50829</v>
      </c>
      <c r="B313" s="10">
        <f>39.6008 * CHOOSE(CONTROL!$C$9, $D$9, 100%, $F$9) + CHOOSE(CONTROL!$C$27, 0.0021, 0)</f>
        <v>39.602899999999998</v>
      </c>
      <c r="C313" s="10">
        <f>39.1686 * CHOOSE(CONTROL!$C$9, $D$9, 100%, $F$9) + CHOOSE(CONTROL!$C$27, 0.0021, 0)</f>
        <v>39.170699999999997</v>
      </c>
      <c r="D313" s="10">
        <f>39.1686 * CHOOSE(CONTROL!$C$9, $D$9, 100%, $F$9) + CHOOSE(CONTROL!$C$27, 0.0021, 0)</f>
        <v>39.170699999999997</v>
      </c>
      <c r="E313" s="10">
        <f>39.0319 * CHOOSE(CONTROL!$C$9, $D$9, 100%, $F$9) + CHOOSE(CONTROL!$C$27, 0.0021, 0)</f>
        <v>39.033999999999999</v>
      </c>
      <c r="F313" s="10">
        <f>39.0319 * CHOOSE(CONTROL!$C$9, $D$9, 100%, $F$9) + CHOOSE(CONTROL!$C$27, 0.0021, 0)</f>
        <v>39.033999999999999</v>
      </c>
      <c r="G313" s="10">
        <f>39.3033 * CHOOSE(CONTROL!$C$9, $D$9, 100%, $F$9) + CHOOSE(CONTROL!$C$27, 0.0021, 0)</f>
        <v>39.305399999999999</v>
      </c>
      <c r="H313" s="10">
        <f>39.1686 * CHOOSE(CONTROL!$C$9, $D$9, 100%, $F$9) + CHOOSE(CONTROL!$C$27, 0.0021, 0)</f>
        <v>39.170699999999997</v>
      </c>
      <c r="I313" s="10">
        <f>39.1686 * CHOOSE(CONTROL!$C$9, $D$9, 100%, $F$9) + CHOOSE(CONTROL!$C$27, 0.0021, 0)</f>
        <v>39.170699999999997</v>
      </c>
      <c r="J313" s="10">
        <f>39.1686 * CHOOSE(CONTROL!$C$9, $D$9, 100%, $F$9) + CHOOSE(CONTROL!$C$27, 0.0021, 0)</f>
        <v>39.170699999999997</v>
      </c>
      <c r="K313" s="10">
        <f>39.1686 * CHOOSE(CONTROL!$C$9, $D$9, 100%, $F$9) + CHOOSE(CONTROL!$C$27, 0.0021, 0)</f>
        <v>39.170699999999997</v>
      </c>
      <c r="L313" s="10"/>
    </row>
    <row r="314" spans="1:12" ht="15.75" x14ac:dyDescent="0.25">
      <c r="A314" s="14">
        <v>50860</v>
      </c>
      <c r="B314" s="10">
        <f>39.1525 * CHOOSE(CONTROL!$C$9, $D$9, 100%, $F$9) + CHOOSE(CONTROL!$C$27, 0.0021, 0)</f>
        <v>39.154600000000002</v>
      </c>
      <c r="C314" s="10">
        <f>38.7203 * CHOOSE(CONTROL!$C$9, $D$9, 100%, $F$9) + CHOOSE(CONTROL!$C$27, 0.0021, 0)</f>
        <v>38.7224</v>
      </c>
      <c r="D314" s="10">
        <f>38.7203 * CHOOSE(CONTROL!$C$9, $D$9, 100%, $F$9) + CHOOSE(CONTROL!$C$27, 0.0021, 0)</f>
        <v>38.7224</v>
      </c>
      <c r="E314" s="10">
        <f>38.5836 * CHOOSE(CONTROL!$C$9, $D$9, 100%, $F$9) + CHOOSE(CONTROL!$C$27, 0.0021, 0)</f>
        <v>38.585699999999996</v>
      </c>
      <c r="F314" s="10">
        <f>38.5836 * CHOOSE(CONTROL!$C$9, $D$9, 100%, $F$9) + CHOOSE(CONTROL!$C$27, 0.0021, 0)</f>
        <v>38.585699999999996</v>
      </c>
      <c r="G314" s="10">
        <f>38.855 * CHOOSE(CONTROL!$C$9, $D$9, 100%, $F$9) + CHOOSE(CONTROL!$C$27, 0.0021, 0)</f>
        <v>38.857099999999996</v>
      </c>
      <c r="H314" s="10">
        <f>38.7203 * CHOOSE(CONTROL!$C$9, $D$9, 100%, $F$9) + CHOOSE(CONTROL!$C$27, 0.0021, 0)</f>
        <v>38.7224</v>
      </c>
      <c r="I314" s="10">
        <f>38.7203 * CHOOSE(CONTROL!$C$9, $D$9, 100%, $F$9) + CHOOSE(CONTROL!$C$27, 0.0021, 0)</f>
        <v>38.7224</v>
      </c>
      <c r="J314" s="10">
        <f>38.7203 * CHOOSE(CONTROL!$C$9, $D$9, 100%, $F$9) + CHOOSE(CONTROL!$C$27, 0.0021, 0)</f>
        <v>38.7224</v>
      </c>
      <c r="K314" s="10">
        <f>38.7203 * CHOOSE(CONTROL!$C$9, $D$9, 100%, $F$9) + CHOOSE(CONTROL!$C$27, 0.0021, 0)</f>
        <v>38.7224</v>
      </c>
      <c r="L314" s="10"/>
    </row>
    <row r="315" spans="1:12" ht="15.75" x14ac:dyDescent="0.25">
      <c r="A315" s="14">
        <v>50890</v>
      </c>
      <c r="B315" s="10">
        <f>38.6172 * CHOOSE(CONTROL!$C$9, $D$9, 100%, $F$9) + CHOOSE(CONTROL!$C$27, 0.0021, 0)</f>
        <v>38.619299999999996</v>
      </c>
      <c r="C315" s="10">
        <f>38.185 * CHOOSE(CONTROL!$C$9, $D$9, 100%, $F$9) + CHOOSE(CONTROL!$C$27, 0.0021, 0)</f>
        <v>38.187100000000001</v>
      </c>
      <c r="D315" s="10">
        <f>38.185 * CHOOSE(CONTROL!$C$9, $D$9, 100%, $F$9) + CHOOSE(CONTROL!$C$27, 0.0021, 0)</f>
        <v>38.187100000000001</v>
      </c>
      <c r="E315" s="10">
        <f>38.0483 * CHOOSE(CONTROL!$C$9, $D$9, 100%, $F$9) + CHOOSE(CONTROL!$C$27, 0.0021, 0)</f>
        <v>38.050399999999996</v>
      </c>
      <c r="F315" s="10">
        <f>38.0483 * CHOOSE(CONTROL!$C$9, $D$9, 100%, $F$9) + CHOOSE(CONTROL!$C$27, 0.0021, 0)</f>
        <v>38.050399999999996</v>
      </c>
      <c r="G315" s="10">
        <f>38.3197 * CHOOSE(CONTROL!$C$9, $D$9, 100%, $F$9) + CHOOSE(CONTROL!$C$27, 0.0021, 0)</f>
        <v>38.321799999999996</v>
      </c>
      <c r="H315" s="10">
        <f>38.185 * CHOOSE(CONTROL!$C$9, $D$9, 100%, $F$9) + CHOOSE(CONTROL!$C$27, 0.0021, 0)</f>
        <v>38.187100000000001</v>
      </c>
      <c r="I315" s="10">
        <f>38.185 * CHOOSE(CONTROL!$C$9, $D$9, 100%, $F$9) + CHOOSE(CONTROL!$C$27, 0.0021, 0)</f>
        <v>38.187100000000001</v>
      </c>
      <c r="J315" s="10">
        <f>38.185 * CHOOSE(CONTROL!$C$9, $D$9, 100%, $F$9) + CHOOSE(CONTROL!$C$27, 0.0021, 0)</f>
        <v>38.187100000000001</v>
      </c>
      <c r="K315" s="10">
        <f>38.185 * CHOOSE(CONTROL!$C$9, $D$9, 100%, $F$9) + CHOOSE(CONTROL!$C$27, 0.0021, 0)</f>
        <v>38.187100000000001</v>
      </c>
      <c r="L315" s="10"/>
    </row>
    <row r="316" spans="1:12" ht="15.75" x14ac:dyDescent="0.25">
      <c r="A316" s="14">
        <v>50921</v>
      </c>
      <c r="B316" s="10">
        <f>39.3801 * CHOOSE(CONTROL!$C$9, $D$9, 100%, $F$9) + CHOOSE(CONTROL!$C$27, 0.0021, 0)</f>
        <v>39.382199999999997</v>
      </c>
      <c r="C316" s="10">
        <f>38.9478 * CHOOSE(CONTROL!$C$9, $D$9, 100%, $F$9) + CHOOSE(CONTROL!$C$27, 0.0021, 0)</f>
        <v>38.9499</v>
      </c>
      <c r="D316" s="10">
        <f>38.9478 * CHOOSE(CONTROL!$C$9, $D$9, 100%, $F$9) + CHOOSE(CONTROL!$C$27, 0.0021, 0)</f>
        <v>38.9499</v>
      </c>
      <c r="E316" s="10">
        <f>38.8112 * CHOOSE(CONTROL!$C$9, $D$9, 100%, $F$9) + CHOOSE(CONTROL!$C$27, 0.0021, 0)</f>
        <v>38.813299999999998</v>
      </c>
      <c r="F316" s="10">
        <f>38.8112 * CHOOSE(CONTROL!$C$9, $D$9, 100%, $F$9) + CHOOSE(CONTROL!$C$27, 0.0021, 0)</f>
        <v>38.813299999999998</v>
      </c>
      <c r="G316" s="10">
        <f>39.0826 * CHOOSE(CONTROL!$C$9, $D$9, 100%, $F$9) + CHOOSE(CONTROL!$C$27, 0.0021, 0)</f>
        <v>39.084699999999998</v>
      </c>
      <c r="H316" s="10">
        <f>38.9478 * CHOOSE(CONTROL!$C$9, $D$9, 100%, $F$9) + CHOOSE(CONTROL!$C$27, 0.0021, 0)</f>
        <v>38.9499</v>
      </c>
      <c r="I316" s="10">
        <f>38.9478 * CHOOSE(CONTROL!$C$9, $D$9, 100%, $F$9) + CHOOSE(CONTROL!$C$27, 0.0021, 0)</f>
        <v>38.9499</v>
      </c>
      <c r="J316" s="10">
        <f>38.9478 * CHOOSE(CONTROL!$C$9, $D$9, 100%, $F$9) + CHOOSE(CONTROL!$C$27, 0.0021, 0)</f>
        <v>38.9499</v>
      </c>
      <c r="K316" s="10">
        <f>38.9478 * CHOOSE(CONTROL!$C$9, $D$9, 100%, $F$9) + CHOOSE(CONTROL!$C$27, 0.0021, 0)</f>
        <v>38.9499</v>
      </c>
      <c r="L316" s="10"/>
    </row>
    <row r="317" spans="1:12" ht="15.75" x14ac:dyDescent="0.25">
      <c r="A317" s="14">
        <v>50951</v>
      </c>
      <c r="B317" s="10">
        <f>39.837 * CHOOSE(CONTROL!$C$9, $D$9, 100%, $F$9) + CHOOSE(CONTROL!$C$27, 0.0021, 0)</f>
        <v>39.839100000000002</v>
      </c>
      <c r="C317" s="10">
        <f>39.4048 * CHOOSE(CONTROL!$C$9, $D$9, 100%, $F$9) + CHOOSE(CONTROL!$C$27, 0.0021, 0)</f>
        <v>39.4069</v>
      </c>
      <c r="D317" s="10">
        <f>39.4048 * CHOOSE(CONTROL!$C$9, $D$9, 100%, $F$9) + CHOOSE(CONTROL!$C$27, 0.0021, 0)</f>
        <v>39.4069</v>
      </c>
      <c r="E317" s="10">
        <f>39.2681 * CHOOSE(CONTROL!$C$9, $D$9, 100%, $F$9) + CHOOSE(CONTROL!$C$27, 0.0021, 0)</f>
        <v>39.270199999999996</v>
      </c>
      <c r="F317" s="10">
        <f>39.2681 * CHOOSE(CONTROL!$C$9, $D$9, 100%, $F$9) + CHOOSE(CONTROL!$C$27, 0.0021, 0)</f>
        <v>39.270199999999996</v>
      </c>
      <c r="G317" s="10">
        <f>39.5395 * CHOOSE(CONTROL!$C$9, $D$9, 100%, $F$9) + CHOOSE(CONTROL!$C$27, 0.0021, 0)</f>
        <v>39.541599999999995</v>
      </c>
      <c r="H317" s="10">
        <f>39.4048 * CHOOSE(CONTROL!$C$9, $D$9, 100%, $F$9) + CHOOSE(CONTROL!$C$27, 0.0021, 0)</f>
        <v>39.4069</v>
      </c>
      <c r="I317" s="10">
        <f>39.4048 * CHOOSE(CONTROL!$C$9, $D$9, 100%, $F$9) + CHOOSE(CONTROL!$C$27, 0.0021, 0)</f>
        <v>39.4069</v>
      </c>
      <c r="J317" s="10">
        <f>39.4048 * CHOOSE(CONTROL!$C$9, $D$9, 100%, $F$9) + CHOOSE(CONTROL!$C$27, 0.0021, 0)</f>
        <v>39.4069</v>
      </c>
      <c r="K317" s="10">
        <f>39.4048 * CHOOSE(CONTROL!$C$9, $D$9, 100%, $F$9) + CHOOSE(CONTROL!$C$27, 0.0021, 0)</f>
        <v>39.4069</v>
      </c>
      <c r="L317" s="10"/>
    </row>
    <row r="318" spans="1:12" ht="15.75" x14ac:dyDescent="0.25">
      <c r="A318" s="14">
        <v>50982</v>
      </c>
      <c r="B318" s="10">
        <f>40.5907 * CHOOSE(CONTROL!$C$9, $D$9, 100%, $F$9) + CHOOSE(CONTROL!$C$27, 0.0021, 0)</f>
        <v>40.592799999999997</v>
      </c>
      <c r="C318" s="10">
        <f>40.1585 * CHOOSE(CONTROL!$C$9, $D$9, 100%, $F$9) + CHOOSE(CONTROL!$C$27, 0.0021, 0)</f>
        <v>40.160599999999995</v>
      </c>
      <c r="D318" s="10">
        <f>40.1585 * CHOOSE(CONTROL!$C$9, $D$9, 100%, $F$9) + CHOOSE(CONTROL!$C$27, 0.0021, 0)</f>
        <v>40.160599999999995</v>
      </c>
      <c r="E318" s="10">
        <f>40.0218 * CHOOSE(CONTROL!$C$9, $D$9, 100%, $F$9) + CHOOSE(CONTROL!$C$27, 0.0021, 0)</f>
        <v>40.023899999999998</v>
      </c>
      <c r="F318" s="10">
        <f>40.0218 * CHOOSE(CONTROL!$C$9, $D$9, 100%, $F$9) + CHOOSE(CONTROL!$C$27, 0.0021, 0)</f>
        <v>40.023899999999998</v>
      </c>
      <c r="G318" s="10">
        <f>40.2932 * CHOOSE(CONTROL!$C$9, $D$9, 100%, $F$9) + CHOOSE(CONTROL!$C$27, 0.0021, 0)</f>
        <v>40.295299999999997</v>
      </c>
      <c r="H318" s="10">
        <f>40.1585 * CHOOSE(CONTROL!$C$9, $D$9, 100%, $F$9) + CHOOSE(CONTROL!$C$27, 0.0021, 0)</f>
        <v>40.160599999999995</v>
      </c>
      <c r="I318" s="10">
        <f>40.1585 * CHOOSE(CONTROL!$C$9, $D$9, 100%, $F$9) + CHOOSE(CONTROL!$C$27, 0.0021, 0)</f>
        <v>40.160599999999995</v>
      </c>
      <c r="J318" s="10">
        <f>40.1585 * CHOOSE(CONTROL!$C$9, $D$9, 100%, $F$9) + CHOOSE(CONTROL!$C$27, 0.0021, 0)</f>
        <v>40.160599999999995</v>
      </c>
      <c r="K318" s="10">
        <f>40.1585 * CHOOSE(CONTROL!$C$9, $D$9, 100%, $F$9) + CHOOSE(CONTROL!$C$27, 0.0021, 0)</f>
        <v>40.160599999999995</v>
      </c>
      <c r="L318" s="10"/>
    </row>
    <row r="319" spans="1:12" ht="15.75" x14ac:dyDescent="0.25">
      <c r="A319" s="14">
        <v>51013</v>
      </c>
      <c r="B319" s="10">
        <f>40.8208 * CHOOSE(CONTROL!$C$9, $D$9, 100%, $F$9) + CHOOSE(CONTROL!$C$27, 0.0021, 0)</f>
        <v>40.822899999999997</v>
      </c>
      <c r="C319" s="10">
        <f>40.3885 * CHOOSE(CONTROL!$C$9, $D$9, 100%, $F$9) + CHOOSE(CONTROL!$C$27, 0.0021, 0)</f>
        <v>40.390599999999999</v>
      </c>
      <c r="D319" s="10">
        <f>40.3885 * CHOOSE(CONTROL!$C$9, $D$9, 100%, $F$9) + CHOOSE(CONTROL!$C$27, 0.0021, 0)</f>
        <v>40.390599999999999</v>
      </c>
      <c r="E319" s="10">
        <f>40.2519 * CHOOSE(CONTROL!$C$9, $D$9, 100%, $F$9) + CHOOSE(CONTROL!$C$27, 0.0021, 0)</f>
        <v>40.253999999999998</v>
      </c>
      <c r="F319" s="10">
        <f>40.2519 * CHOOSE(CONTROL!$C$9, $D$9, 100%, $F$9) + CHOOSE(CONTROL!$C$27, 0.0021, 0)</f>
        <v>40.253999999999998</v>
      </c>
      <c r="G319" s="10">
        <f>40.5233 * CHOOSE(CONTROL!$C$9, $D$9, 100%, $F$9) + CHOOSE(CONTROL!$C$27, 0.0021, 0)</f>
        <v>40.525399999999998</v>
      </c>
      <c r="H319" s="10">
        <f>40.3885 * CHOOSE(CONTROL!$C$9, $D$9, 100%, $F$9) + CHOOSE(CONTROL!$C$27, 0.0021, 0)</f>
        <v>40.390599999999999</v>
      </c>
      <c r="I319" s="10">
        <f>40.3885 * CHOOSE(CONTROL!$C$9, $D$9, 100%, $F$9) + CHOOSE(CONTROL!$C$27, 0.0021, 0)</f>
        <v>40.390599999999999</v>
      </c>
      <c r="J319" s="10">
        <f>40.3885 * CHOOSE(CONTROL!$C$9, $D$9, 100%, $F$9) + CHOOSE(CONTROL!$C$27, 0.0021, 0)</f>
        <v>40.390599999999999</v>
      </c>
      <c r="K319" s="10">
        <f>40.3885 * CHOOSE(CONTROL!$C$9, $D$9, 100%, $F$9) + CHOOSE(CONTROL!$C$27, 0.0021, 0)</f>
        <v>40.390599999999999</v>
      </c>
      <c r="L319" s="10"/>
    </row>
    <row r="320" spans="1:12" ht="15.75" x14ac:dyDescent="0.25">
      <c r="A320" s="14">
        <v>51043</v>
      </c>
      <c r="B320" s="10">
        <f>41.6043 * CHOOSE(CONTROL!$C$9, $D$9, 100%, $F$9) + CHOOSE(CONTROL!$C$27, 0.0021, 0)</f>
        <v>41.606400000000001</v>
      </c>
      <c r="C320" s="10">
        <f>41.172 * CHOOSE(CONTROL!$C$9, $D$9, 100%, $F$9) + CHOOSE(CONTROL!$C$27, 0.0021, 0)</f>
        <v>41.174099999999996</v>
      </c>
      <c r="D320" s="10">
        <f>41.172 * CHOOSE(CONTROL!$C$9, $D$9, 100%, $F$9) + CHOOSE(CONTROL!$C$27, 0.0021, 0)</f>
        <v>41.174099999999996</v>
      </c>
      <c r="E320" s="10">
        <f>41.0354 * CHOOSE(CONTROL!$C$9, $D$9, 100%, $F$9) + CHOOSE(CONTROL!$C$27, 0.0021, 0)</f>
        <v>41.037500000000001</v>
      </c>
      <c r="F320" s="10">
        <f>41.0354 * CHOOSE(CONTROL!$C$9, $D$9, 100%, $F$9) + CHOOSE(CONTROL!$C$27, 0.0021, 0)</f>
        <v>41.037500000000001</v>
      </c>
      <c r="G320" s="10">
        <f>41.3067 * CHOOSE(CONTROL!$C$9, $D$9, 100%, $F$9) + CHOOSE(CONTROL!$C$27, 0.0021, 0)</f>
        <v>41.308799999999998</v>
      </c>
      <c r="H320" s="10">
        <f>41.172 * CHOOSE(CONTROL!$C$9, $D$9, 100%, $F$9) + CHOOSE(CONTROL!$C$27, 0.0021, 0)</f>
        <v>41.174099999999996</v>
      </c>
      <c r="I320" s="10">
        <f>41.172 * CHOOSE(CONTROL!$C$9, $D$9, 100%, $F$9) + CHOOSE(CONTROL!$C$27, 0.0021, 0)</f>
        <v>41.174099999999996</v>
      </c>
      <c r="J320" s="10">
        <f>41.172 * CHOOSE(CONTROL!$C$9, $D$9, 100%, $F$9) + CHOOSE(CONTROL!$C$27, 0.0021, 0)</f>
        <v>41.174099999999996</v>
      </c>
      <c r="K320" s="10">
        <f>41.172 * CHOOSE(CONTROL!$C$9, $D$9, 100%, $F$9) + CHOOSE(CONTROL!$C$27, 0.0021, 0)</f>
        <v>41.174099999999996</v>
      </c>
      <c r="L320" s="10"/>
    </row>
    <row r="321" spans="1:12" ht="15.75" x14ac:dyDescent="0.25">
      <c r="A321" s="14">
        <v>51074</v>
      </c>
      <c r="B321" s="10">
        <f>42.596 * CHOOSE(CONTROL!$C$9, $D$9, 100%, $F$9) + CHOOSE(CONTROL!$C$27, 0.0021, 0)</f>
        <v>42.598099999999995</v>
      </c>
      <c r="C321" s="10">
        <f>42.1638 * CHOOSE(CONTROL!$C$9, $D$9, 100%, $F$9) + CHOOSE(CONTROL!$C$27, 0.0021, 0)</f>
        <v>42.165900000000001</v>
      </c>
      <c r="D321" s="10">
        <f>42.1638 * CHOOSE(CONTROL!$C$9, $D$9, 100%, $F$9) + CHOOSE(CONTROL!$C$27, 0.0021, 0)</f>
        <v>42.165900000000001</v>
      </c>
      <c r="E321" s="10">
        <f>42.0271 * CHOOSE(CONTROL!$C$9, $D$9, 100%, $F$9) + CHOOSE(CONTROL!$C$27, 0.0021, 0)</f>
        <v>42.029199999999996</v>
      </c>
      <c r="F321" s="10">
        <f>42.0271 * CHOOSE(CONTROL!$C$9, $D$9, 100%, $F$9) + CHOOSE(CONTROL!$C$27, 0.0021, 0)</f>
        <v>42.029199999999996</v>
      </c>
      <c r="G321" s="10">
        <f>42.2985 * CHOOSE(CONTROL!$C$9, $D$9, 100%, $F$9) + CHOOSE(CONTROL!$C$27, 0.0021, 0)</f>
        <v>42.300599999999996</v>
      </c>
      <c r="H321" s="10">
        <f>42.1638 * CHOOSE(CONTROL!$C$9, $D$9, 100%, $F$9) + CHOOSE(CONTROL!$C$27, 0.0021, 0)</f>
        <v>42.165900000000001</v>
      </c>
      <c r="I321" s="10">
        <f>42.1638 * CHOOSE(CONTROL!$C$9, $D$9, 100%, $F$9) + CHOOSE(CONTROL!$C$27, 0.0021, 0)</f>
        <v>42.165900000000001</v>
      </c>
      <c r="J321" s="10">
        <f>42.1638 * CHOOSE(CONTROL!$C$9, $D$9, 100%, $F$9) + CHOOSE(CONTROL!$C$27, 0.0021, 0)</f>
        <v>42.165900000000001</v>
      </c>
      <c r="K321" s="10">
        <f>42.1638 * CHOOSE(CONTROL!$C$9, $D$9, 100%, $F$9) + CHOOSE(CONTROL!$C$27, 0.0021, 0)</f>
        <v>42.165900000000001</v>
      </c>
      <c r="L321" s="10"/>
    </row>
    <row r="322" spans="1:12" ht="15.75" x14ac:dyDescent="0.25">
      <c r="A322" s="14">
        <v>51104</v>
      </c>
      <c r="B322" s="10">
        <f>42.6891 * CHOOSE(CONTROL!$C$9, $D$9, 100%, $F$9) + CHOOSE(CONTROL!$C$27, 0.0021, 0)</f>
        <v>42.691200000000002</v>
      </c>
      <c r="C322" s="10">
        <f>42.2569 * CHOOSE(CONTROL!$C$9, $D$9, 100%, $F$9) + CHOOSE(CONTROL!$C$27, 0.0021, 0)</f>
        <v>42.259</v>
      </c>
      <c r="D322" s="10">
        <f>42.2569 * CHOOSE(CONTROL!$C$9, $D$9, 100%, $F$9) + CHOOSE(CONTROL!$C$27, 0.0021, 0)</f>
        <v>42.259</v>
      </c>
      <c r="E322" s="10">
        <f>42.1202 * CHOOSE(CONTROL!$C$9, $D$9, 100%, $F$9) + CHOOSE(CONTROL!$C$27, 0.0021, 0)</f>
        <v>42.122299999999996</v>
      </c>
      <c r="F322" s="10">
        <f>42.1202 * CHOOSE(CONTROL!$C$9, $D$9, 100%, $F$9) + CHOOSE(CONTROL!$C$27, 0.0021, 0)</f>
        <v>42.122299999999996</v>
      </c>
      <c r="G322" s="10">
        <f>42.3916 * CHOOSE(CONTROL!$C$9, $D$9, 100%, $F$9) + CHOOSE(CONTROL!$C$27, 0.0021, 0)</f>
        <v>42.393699999999995</v>
      </c>
      <c r="H322" s="10">
        <f>42.2569 * CHOOSE(CONTROL!$C$9, $D$9, 100%, $F$9) + CHOOSE(CONTROL!$C$27, 0.0021, 0)</f>
        <v>42.259</v>
      </c>
      <c r="I322" s="10">
        <f>42.2569 * CHOOSE(CONTROL!$C$9, $D$9, 100%, $F$9) + CHOOSE(CONTROL!$C$27, 0.0021, 0)</f>
        <v>42.259</v>
      </c>
      <c r="J322" s="10">
        <f>42.2569 * CHOOSE(CONTROL!$C$9, $D$9, 100%, $F$9) + CHOOSE(CONTROL!$C$27, 0.0021, 0)</f>
        <v>42.259</v>
      </c>
      <c r="K322" s="10">
        <f>42.2569 * CHOOSE(CONTROL!$C$9, $D$9, 100%, $F$9) + CHOOSE(CONTROL!$C$27, 0.0021, 0)</f>
        <v>42.259</v>
      </c>
      <c r="L322" s="10"/>
    </row>
    <row r="323" spans="1:12" ht="15.75" x14ac:dyDescent="0.25">
      <c r="A323" s="14">
        <v>51135</v>
      </c>
      <c r="B323" s="10">
        <f>41.897 * CHOOSE(CONTROL!$C$9, $D$9, 100%, $F$9) + CHOOSE(CONTROL!$C$27, 0.0021, 0)</f>
        <v>41.899099999999997</v>
      </c>
      <c r="C323" s="10">
        <f>41.4648 * CHOOSE(CONTROL!$C$9, $D$9, 100%, $F$9) + CHOOSE(CONTROL!$C$27, 0.0021, 0)</f>
        <v>41.466899999999995</v>
      </c>
      <c r="D323" s="10">
        <f>41.4648 * CHOOSE(CONTROL!$C$9, $D$9, 100%, $F$9) + CHOOSE(CONTROL!$C$27, 0.0021, 0)</f>
        <v>41.466899999999995</v>
      </c>
      <c r="E323" s="10">
        <f>41.3281 * CHOOSE(CONTROL!$C$9, $D$9, 100%, $F$9) + CHOOSE(CONTROL!$C$27, 0.0021, 0)</f>
        <v>41.330199999999998</v>
      </c>
      <c r="F323" s="10">
        <f>41.3281 * CHOOSE(CONTROL!$C$9, $D$9, 100%, $F$9) + CHOOSE(CONTROL!$C$27, 0.0021, 0)</f>
        <v>41.330199999999998</v>
      </c>
      <c r="G323" s="10">
        <f>41.5995 * CHOOSE(CONTROL!$C$9, $D$9, 100%, $F$9) + CHOOSE(CONTROL!$C$27, 0.0021, 0)</f>
        <v>41.601599999999998</v>
      </c>
      <c r="H323" s="10">
        <f>41.4648 * CHOOSE(CONTROL!$C$9, $D$9, 100%, $F$9) + CHOOSE(CONTROL!$C$27, 0.0021, 0)</f>
        <v>41.466899999999995</v>
      </c>
      <c r="I323" s="10">
        <f>41.4648 * CHOOSE(CONTROL!$C$9, $D$9, 100%, $F$9) + CHOOSE(CONTROL!$C$27, 0.0021, 0)</f>
        <v>41.466899999999995</v>
      </c>
      <c r="J323" s="10">
        <f>41.4648 * CHOOSE(CONTROL!$C$9, $D$9, 100%, $F$9) + CHOOSE(CONTROL!$C$27, 0.0021, 0)</f>
        <v>41.466899999999995</v>
      </c>
      <c r="K323" s="10">
        <f>41.4648 * CHOOSE(CONTROL!$C$9, $D$9, 100%, $F$9) + CHOOSE(CONTROL!$C$27, 0.0021, 0)</f>
        <v>41.466899999999995</v>
      </c>
      <c r="L323" s="10"/>
    </row>
    <row r="324" spans="1:12" ht="15.75" x14ac:dyDescent="0.25">
      <c r="A324" s="14">
        <v>51166</v>
      </c>
      <c r="B324" s="10">
        <f>41.2906 * CHOOSE(CONTROL!$C$9, $D$9, 100%, $F$9) + CHOOSE(CONTROL!$C$27, 0.0021, 0)</f>
        <v>41.292699999999996</v>
      </c>
      <c r="C324" s="10">
        <f>40.8583 * CHOOSE(CONTROL!$C$9, $D$9, 100%, $F$9) + CHOOSE(CONTROL!$C$27, 0.0021, 0)</f>
        <v>40.860399999999998</v>
      </c>
      <c r="D324" s="10">
        <f>40.8583 * CHOOSE(CONTROL!$C$9, $D$9, 100%, $F$9) + CHOOSE(CONTROL!$C$27, 0.0021, 0)</f>
        <v>40.860399999999998</v>
      </c>
      <c r="E324" s="10">
        <f>40.7217 * CHOOSE(CONTROL!$C$9, $D$9, 100%, $F$9) + CHOOSE(CONTROL!$C$27, 0.0021, 0)</f>
        <v>40.723799999999997</v>
      </c>
      <c r="F324" s="10">
        <f>40.7217 * CHOOSE(CONTROL!$C$9, $D$9, 100%, $F$9) + CHOOSE(CONTROL!$C$27, 0.0021, 0)</f>
        <v>40.723799999999997</v>
      </c>
      <c r="G324" s="10">
        <f>40.9931 * CHOOSE(CONTROL!$C$9, $D$9, 100%, $F$9) + CHOOSE(CONTROL!$C$27, 0.0021, 0)</f>
        <v>40.995199999999997</v>
      </c>
      <c r="H324" s="10">
        <f>40.8583 * CHOOSE(CONTROL!$C$9, $D$9, 100%, $F$9) + CHOOSE(CONTROL!$C$27, 0.0021, 0)</f>
        <v>40.860399999999998</v>
      </c>
      <c r="I324" s="10">
        <f>40.8583 * CHOOSE(CONTROL!$C$9, $D$9, 100%, $F$9) + CHOOSE(CONTROL!$C$27, 0.0021, 0)</f>
        <v>40.860399999999998</v>
      </c>
      <c r="J324" s="10">
        <f>40.8583 * CHOOSE(CONTROL!$C$9, $D$9, 100%, $F$9) + CHOOSE(CONTROL!$C$27, 0.0021, 0)</f>
        <v>40.860399999999998</v>
      </c>
      <c r="K324" s="10">
        <f>40.8583 * CHOOSE(CONTROL!$C$9, $D$9, 100%, $F$9) + CHOOSE(CONTROL!$C$27, 0.0021, 0)</f>
        <v>40.860399999999998</v>
      </c>
      <c r="L324" s="10"/>
    </row>
    <row r="325" spans="1:12" ht="15.75" x14ac:dyDescent="0.25">
      <c r="A325" s="14">
        <v>51194</v>
      </c>
      <c r="B325" s="10">
        <f>40.1875 * CHOOSE(CONTROL!$C$9, $D$9, 100%, $F$9) + CHOOSE(CONTROL!$C$27, 0.0021, 0)</f>
        <v>40.189599999999999</v>
      </c>
      <c r="C325" s="10">
        <f>39.7553 * CHOOSE(CONTROL!$C$9, $D$9, 100%, $F$9) + CHOOSE(CONTROL!$C$27, 0.0021, 0)</f>
        <v>39.757399999999997</v>
      </c>
      <c r="D325" s="10">
        <f>39.7553 * CHOOSE(CONTROL!$C$9, $D$9, 100%, $F$9) + CHOOSE(CONTROL!$C$27, 0.0021, 0)</f>
        <v>39.757399999999997</v>
      </c>
      <c r="E325" s="10">
        <f>39.6186 * CHOOSE(CONTROL!$C$9, $D$9, 100%, $F$9) + CHOOSE(CONTROL!$C$27, 0.0021, 0)</f>
        <v>39.620699999999999</v>
      </c>
      <c r="F325" s="10">
        <f>39.6186 * CHOOSE(CONTROL!$C$9, $D$9, 100%, $F$9) + CHOOSE(CONTROL!$C$27, 0.0021, 0)</f>
        <v>39.620699999999999</v>
      </c>
      <c r="G325" s="10">
        <f>39.89 * CHOOSE(CONTROL!$C$9, $D$9, 100%, $F$9) + CHOOSE(CONTROL!$C$27, 0.0021, 0)</f>
        <v>39.892099999999999</v>
      </c>
      <c r="H325" s="10">
        <f>39.7553 * CHOOSE(CONTROL!$C$9, $D$9, 100%, $F$9) + CHOOSE(CONTROL!$C$27, 0.0021, 0)</f>
        <v>39.757399999999997</v>
      </c>
      <c r="I325" s="10">
        <f>39.7553 * CHOOSE(CONTROL!$C$9, $D$9, 100%, $F$9) + CHOOSE(CONTROL!$C$27, 0.0021, 0)</f>
        <v>39.757399999999997</v>
      </c>
      <c r="J325" s="10">
        <f>39.7553 * CHOOSE(CONTROL!$C$9, $D$9, 100%, $F$9) + CHOOSE(CONTROL!$C$27, 0.0021, 0)</f>
        <v>39.757399999999997</v>
      </c>
      <c r="K325" s="10">
        <f>39.7553 * CHOOSE(CONTROL!$C$9, $D$9, 100%, $F$9) + CHOOSE(CONTROL!$C$27, 0.0021, 0)</f>
        <v>39.757399999999997</v>
      </c>
      <c r="L325" s="10"/>
    </row>
    <row r="326" spans="1:12" ht="15.75" x14ac:dyDescent="0.25">
      <c r="A326" s="14">
        <v>51226</v>
      </c>
      <c r="B326" s="10">
        <f>39.7322 * CHOOSE(CONTROL!$C$9, $D$9, 100%, $F$9) + CHOOSE(CONTROL!$C$27, 0.0021, 0)</f>
        <v>39.734299999999998</v>
      </c>
      <c r="C326" s="10">
        <f>39.2999 * CHOOSE(CONTROL!$C$9, $D$9, 100%, $F$9) + CHOOSE(CONTROL!$C$27, 0.0021, 0)</f>
        <v>39.302</v>
      </c>
      <c r="D326" s="10">
        <f>39.2999 * CHOOSE(CONTROL!$C$9, $D$9, 100%, $F$9) + CHOOSE(CONTROL!$C$27, 0.0021, 0)</f>
        <v>39.302</v>
      </c>
      <c r="E326" s="10">
        <f>39.1632 * CHOOSE(CONTROL!$C$9, $D$9, 100%, $F$9) + CHOOSE(CONTROL!$C$27, 0.0021, 0)</f>
        <v>39.165300000000002</v>
      </c>
      <c r="F326" s="10">
        <f>39.1632 * CHOOSE(CONTROL!$C$9, $D$9, 100%, $F$9) + CHOOSE(CONTROL!$C$27, 0.0021, 0)</f>
        <v>39.165300000000002</v>
      </c>
      <c r="G326" s="10">
        <f>39.4346 * CHOOSE(CONTROL!$C$9, $D$9, 100%, $F$9) + CHOOSE(CONTROL!$C$27, 0.0021, 0)</f>
        <v>39.436700000000002</v>
      </c>
      <c r="H326" s="10">
        <f>39.2999 * CHOOSE(CONTROL!$C$9, $D$9, 100%, $F$9) + CHOOSE(CONTROL!$C$27, 0.0021, 0)</f>
        <v>39.302</v>
      </c>
      <c r="I326" s="10">
        <f>39.2999 * CHOOSE(CONTROL!$C$9, $D$9, 100%, $F$9) + CHOOSE(CONTROL!$C$27, 0.0021, 0)</f>
        <v>39.302</v>
      </c>
      <c r="J326" s="10">
        <f>39.2999 * CHOOSE(CONTROL!$C$9, $D$9, 100%, $F$9) + CHOOSE(CONTROL!$C$27, 0.0021, 0)</f>
        <v>39.302</v>
      </c>
      <c r="K326" s="10">
        <f>39.2999 * CHOOSE(CONTROL!$C$9, $D$9, 100%, $F$9) + CHOOSE(CONTROL!$C$27, 0.0021, 0)</f>
        <v>39.302</v>
      </c>
      <c r="L326" s="10"/>
    </row>
    <row r="327" spans="1:12" ht="15.75" x14ac:dyDescent="0.25">
      <c r="A327" s="14">
        <v>51256</v>
      </c>
      <c r="B327" s="10">
        <f>39.1885 * CHOOSE(CONTROL!$C$9, $D$9, 100%, $F$9) + CHOOSE(CONTROL!$C$27, 0.0021, 0)</f>
        <v>39.190599999999996</v>
      </c>
      <c r="C327" s="10">
        <f>38.7562 * CHOOSE(CONTROL!$C$9, $D$9, 100%, $F$9) + CHOOSE(CONTROL!$C$27, 0.0021, 0)</f>
        <v>38.758299999999998</v>
      </c>
      <c r="D327" s="10">
        <f>38.7562 * CHOOSE(CONTROL!$C$9, $D$9, 100%, $F$9) + CHOOSE(CONTROL!$C$27, 0.0021, 0)</f>
        <v>38.758299999999998</v>
      </c>
      <c r="E327" s="10">
        <f>38.6195 * CHOOSE(CONTROL!$C$9, $D$9, 100%, $F$9) + CHOOSE(CONTROL!$C$27, 0.0021, 0)</f>
        <v>38.621600000000001</v>
      </c>
      <c r="F327" s="10">
        <f>38.6195 * CHOOSE(CONTROL!$C$9, $D$9, 100%, $F$9) + CHOOSE(CONTROL!$C$27, 0.0021, 0)</f>
        <v>38.621600000000001</v>
      </c>
      <c r="G327" s="10">
        <f>38.8909 * CHOOSE(CONTROL!$C$9, $D$9, 100%, $F$9) + CHOOSE(CONTROL!$C$27, 0.0021, 0)</f>
        <v>38.893000000000001</v>
      </c>
      <c r="H327" s="10">
        <f>38.7562 * CHOOSE(CONTROL!$C$9, $D$9, 100%, $F$9) + CHOOSE(CONTROL!$C$27, 0.0021, 0)</f>
        <v>38.758299999999998</v>
      </c>
      <c r="I327" s="10">
        <f>38.7562 * CHOOSE(CONTROL!$C$9, $D$9, 100%, $F$9) + CHOOSE(CONTROL!$C$27, 0.0021, 0)</f>
        <v>38.758299999999998</v>
      </c>
      <c r="J327" s="10">
        <f>38.7562 * CHOOSE(CONTROL!$C$9, $D$9, 100%, $F$9) + CHOOSE(CONTROL!$C$27, 0.0021, 0)</f>
        <v>38.758299999999998</v>
      </c>
      <c r="K327" s="10">
        <f>38.7562 * CHOOSE(CONTROL!$C$9, $D$9, 100%, $F$9) + CHOOSE(CONTROL!$C$27, 0.0021, 0)</f>
        <v>38.758299999999998</v>
      </c>
      <c r="L327" s="10"/>
    </row>
    <row r="328" spans="1:12" ht="15.75" x14ac:dyDescent="0.25">
      <c r="A328" s="14">
        <v>51287</v>
      </c>
      <c r="B328" s="10">
        <f>39.9633 * CHOOSE(CONTROL!$C$9, $D$9, 100%, $F$9) + CHOOSE(CONTROL!$C$27, 0.0021, 0)</f>
        <v>39.965399999999995</v>
      </c>
      <c r="C328" s="10">
        <f>39.531 * CHOOSE(CONTROL!$C$9, $D$9, 100%, $F$9) + CHOOSE(CONTROL!$C$27, 0.0021, 0)</f>
        <v>39.533099999999997</v>
      </c>
      <c r="D328" s="10">
        <f>39.531 * CHOOSE(CONTROL!$C$9, $D$9, 100%, $F$9) + CHOOSE(CONTROL!$C$27, 0.0021, 0)</f>
        <v>39.533099999999997</v>
      </c>
      <c r="E328" s="10">
        <f>39.3944 * CHOOSE(CONTROL!$C$9, $D$9, 100%, $F$9) + CHOOSE(CONTROL!$C$27, 0.0021, 0)</f>
        <v>39.396499999999996</v>
      </c>
      <c r="F328" s="10">
        <f>39.3944 * CHOOSE(CONTROL!$C$9, $D$9, 100%, $F$9) + CHOOSE(CONTROL!$C$27, 0.0021, 0)</f>
        <v>39.396499999999996</v>
      </c>
      <c r="G328" s="10">
        <f>39.6658 * CHOOSE(CONTROL!$C$9, $D$9, 100%, $F$9) + CHOOSE(CONTROL!$C$27, 0.0021, 0)</f>
        <v>39.667899999999996</v>
      </c>
      <c r="H328" s="10">
        <f>39.531 * CHOOSE(CONTROL!$C$9, $D$9, 100%, $F$9) + CHOOSE(CONTROL!$C$27, 0.0021, 0)</f>
        <v>39.533099999999997</v>
      </c>
      <c r="I328" s="10">
        <f>39.531 * CHOOSE(CONTROL!$C$9, $D$9, 100%, $F$9) + CHOOSE(CONTROL!$C$27, 0.0021, 0)</f>
        <v>39.533099999999997</v>
      </c>
      <c r="J328" s="10">
        <f>39.531 * CHOOSE(CONTROL!$C$9, $D$9, 100%, $F$9) + CHOOSE(CONTROL!$C$27, 0.0021, 0)</f>
        <v>39.533099999999997</v>
      </c>
      <c r="K328" s="10">
        <f>39.531 * CHOOSE(CONTROL!$C$9, $D$9, 100%, $F$9) + CHOOSE(CONTROL!$C$27, 0.0021, 0)</f>
        <v>39.533099999999997</v>
      </c>
      <c r="L328" s="10"/>
    </row>
    <row r="329" spans="1:12" ht="15.75" x14ac:dyDescent="0.25">
      <c r="A329" s="14">
        <v>51317</v>
      </c>
      <c r="B329" s="10">
        <f>40.4274 * CHOOSE(CONTROL!$C$9, $D$9, 100%, $F$9) + CHOOSE(CONTROL!$C$27, 0.0021, 0)</f>
        <v>40.429499999999997</v>
      </c>
      <c r="C329" s="10">
        <f>39.9951 * CHOOSE(CONTROL!$C$9, $D$9, 100%, $F$9) + CHOOSE(CONTROL!$C$27, 0.0021, 0)</f>
        <v>39.997199999999999</v>
      </c>
      <c r="D329" s="10">
        <f>39.9951 * CHOOSE(CONTROL!$C$9, $D$9, 100%, $F$9) + CHOOSE(CONTROL!$C$27, 0.0021, 0)</f>
        <v>39.997199999999999</v>
      </c>
      <c r="E329" s="10">
        <f>39.8585 * CHOOSE(CONTROL!$C$9, $D$9, 100%, $F$9) + CHOOSE(CONTROL!$C$27, 0.0021, 0)</f>
        <v>39.860599999999998</v>
      </c>
      <c r="F329" s="10">
        <f>39.8585 * CHOOSE(CONTROL!$C$9, $D$9, 100%, $F$9) + CHOOSE(CONTROL!$C$27, 0.0021, 0)</f>
        <v>39.860599999999998</v>
      </c>
      <c r="G329" s="10">
        <f>40.1299 * CHOOSE(CONTROL!$C$9, $D$9, 100%, $F$9) + CHOOSE(CONTROL!$C$27, 0.0021, 0)</f>
        <v>40.131999999999998</v>
      </c>
      <c r="H329" s="10">
        <f>39.9951 * CHOOSE(CONTROL!$C$9, $D$9, 100%, $F$9) + CHOOSE(CONTROL!$C$27, 0.0021, 0)</f>
        <v>39.997199999999999</v>
      </c>
      <c r="I329" s="10">
        <f>39.9951 * CHOOSE(CONTROL!$C$9, $D$9, 100%, $F$9) + CHOOSE(CONTROL!$C$27, 0.0021, 0)</f>
        <v>39.997199999999999</v>
      </c>
      <c r="J329" s="10">
        <f>39.9951 * CHOOSE(CONTROL!$C$9, $D$9, 100%, $F$9) + CHOOSE(CONTROL!$C$27, 0.0021, 0)</f>
        <v>39.997199999999999</v>
      </c>
      <c r="K329" s="10">
        <f>39.9951 * CHOOSE(CONTROL!$C$9, $D$9, 100%, $F$9) + CHOOSE(CONTROL!$C$27, 0.0021, 0)</f>
        <v>39.997199999999999</v>
      </c>
      <c r="L329" s="10"/>
    </row>
    <row r="330" spans="1:12" ht="15.75" x14ac:dyDescent="0.25">
      <c r="A330" s="14">
        <v>51348</v>
      </c>
      <c r="B330" s="10">
        <f>41.193 * CHOOSE(CONTROL!$C$9, $D$9, 100%, $F$9) + CHOOSE(CONTROL!$C$27, 0.0021, 0)</f>
        <v>41.195099999999996</v>
      </c>
      <c r="C330" s="10">
        <f>40.7607 * CHOOSE(CONTROL!$C$9, $D$9, 100%, $F$9) + CHOOSE(CONTROL!$C$27, 0.0021, 0)</f>
        <v>40.762799999999999</v>
      </c>
      <c r="D330" s="10">
        <f>40.7607 * CHOOSE(CONTROL!$C$9, $D$9, 100%, $F$9) + CHOOSE(CONTROL!$C$27, 0.0021, 0)</f>
        <v>40.762799999999999</v>
      </c>
      <c r="E330" s="10">
        <f>40.6241 * CHOOSE(CONTROL!$C$9, $D$9, 100%, $F$9) + CHOOSE(CONTROL!$C$27, 0.0021, 0)</f>
        <v>40.626199999999997</v>
      </c>
      <c r="F330" s="10">
        <f>40.6241 * CHOOSE(CONTROL!$C$9, $D$9, 100%, $F$9) + CHOOSE(CONTROL!$C$27, 0.0021, 0)</f>
        <v>40.626199999999997</v>
      </c>
      <c r="G330" s="10">
        <f>40.8954 * CHOOSE(CONTROL!$C$9, $D$9, 100%, $F$9) + CHOOSE(CONTROL!$C$27, 0.0021, 0)</f>
        <v>40.897500000000001</v>
      </c>
      <c r="H330" s="10">
        <f>40.7607 * CHOOSE(CONTROL!$C$9, $D$9, 100%, $F$9) + CHOOSE(CONTROL!$C$27, 0.0021, 0)</f>
        <v>40.762799999999999</v>
      </c>
      <c r="I330" s="10">
        <f>40.7607 * CHOOSE(CONTROL!$C$9, $D$9, 100%, $F$9) + CHOOSE(CONTROL!$C$27, 0.0021, 0)</f>
        <v>40.762799999999999</v>
      </c>
      <c r="J330" s="10">
        <f>40.7607 * CHOOSE(CONTROL!$C$9, $D$9, 100%, $F$9) + CHOOSE(CONTROL!$C$27, 0.0021, 0)</f>
        <v>40.762799999999999</v>
      </c>
      <c r="K330" s="10">
        <f>40.7607 * CHOOSE(CONTROL!$C$9, $D$9, 100%, $F$9) + CHOOSE(CONTROL!$C$27, 0.0021, 0)</f>
        <v>40.762799999999999</v>
      </c>
      <c r="L330" s="10"/>
    </row>
    <row r="331" spans="1:12" ht="15.75" x14ac:dyDescent="0.25">
      <c r="A331" s="14">
        <v>51379</v>
      </c>
      <c r="B331" s="10">
        <f>41.4267 * CHOOSE(CONTROL!$C$9, $D$9, 100%, $F$9) + CHOOSE(CONTROL!$C$27, 0.0021, 0)</f>
        <v>41.428799999999995</v>
      </c>
      <c r="C331" s="10">
        <f>40.9944 * CHOOSE(CONTROL!$C$9, $D$9, 100%, $F$9) + CHOOSE(CONTROL!$C$27, 0.0021, 0)</f>
        <v>40.996499999999997</v>
      </c>
      <c r="D331" s="10">
        <f>40.9944 * CHOOSE(CONTROL!$C$9, $D$9, 100%, $F$9) + CHOOSE(CONTROL!$C$27, 0.0021, 0)</f>
        <v>40.996499999999997</v>
      </c>
      <c r="E331" s="10">
        <f>40.8577 * CHOOSE(CONTROL!$C$9, $D$9, 100%, $F$9) + CHOOSE(CONTROL!$C$27, 0.0021, 0)</f>
        <v>40.8598</v>
      </c>
      <c r="F331" s="10">
        <f>40.8577 * CHOOSE(CONTROL!$C$9, $D$9, 100%, $F$9) + CHOOSE(CONTROL!$C$27, 0.0021, 0)</f>
        <v>40.8598</v>
      </c>
      <c r="G331" s="10">
        <f>41.1291 * CHOOSE(CONTROL!$C$9, $D$9, 100%, $F$9) + CHOOSE(CONTROL!$C$27, 0.0021, 0)</f>
        <v>41.1312</v>
      </c>
      <c r="H331" s="10">
        <f>40.9944 * CHOOSE(CONTROL!$C$9, $D$9, 100%, $F$9) + CHOOSE(CONTROL!$C$27, 0.0021, 0)</f>
        <v>40.996499999999997</v>
      </c>
      <c r="I331" s="10">
        <f>40.9944 * CHOOSE(CONTROL!$C$9, $D$9, 100%, $F$9) + CHOOSE(CONTROL!$C$27, 0.0021, 0)</f>
        <v>40.996499999999997</v>
      </c>
      <c r="J331" s="10">
        <f>40.9944 * CHOOSE(CONTROL!$C$9, $D$9, 100%, $F$9) + CHOOSE(CONTROL!$C$27, 0.0021, 0)</f>
        <v>40.996499999999997</v>
      </c>
      <c r="K331" s="10">
        <f>40.9944 * CHOOSE(CONTROL!$C$9, $D$9, 100%, $F$9) + CHOOSE(CONTROL!$C$27, 0.0021, 0)</f>
        <v>40.996499999999997</v>
      </c>
      <c r="L331" s="10"/>
    </row>
    <row r="332" spans="1:12" ht="15.75" x14ac:dyDescent="0.25">
      <c r="A332" s="14">
        <v>51409</v>
      </c>
      <c r="B332" s="10">
        <f>42.2224 * CHOOSE(CONTROL!$C$9, $D$9, 100%, $F$9) + CHOOSE(CONTROL!$C$27, 0.0021, 0)</f>
        <v>42.224499999999999</v>
      </c>
      <c r="C332" s="10">
        <f>41.7902 * CHOOSE(CONTROL!$C$9, $D$9, 100%, $F$9) + CHOOSE(CONTROL!$C$27, 0.0021, 0)</f>
        <v>41.792299999999997</v>
      </c>
      <c r="D332" s="10">
        <f>41.7902 * CHOOSE(CONTROL!$C$9, $D$9, 100%, $F$9) + CHOOSE(CONTROL!$C$27, 0.0021, 0)</f>
        <v>41.792299999999997</v>
      </c>
      <c r="E332" s="10">
        <f>41.6535 * CHOOSE(CONTROL!$C$9, $D$9, 100%, $F$9) + CHOOSE(CONTROL!$C$27, 0.0021, 0)</f>
        <v>41.6556</v>
      </c>
      <c r="F332" s="10">
        <f>41.6535 * CHOOSE(CONTROL!$C$9, $D$9, 100%, $F$9) + CHOOSE(CONTROL!$C$27, 0.0021, 0)</f>
        <v>41.6556</v>
      </c>
      <c r="G332" s="10">
        <f>41.9249 * CHOOSE(CONTROL!$C$9, $D$9, 100%, $F$9) + CHOOSE(CONTROL!$C$27, 0.0021, 0)</f>
        <v>41.927</v>
      </c>
      <c r="H332" s="10">
        <f>41.7902 * CHOOSE(CONTROL!$C$9, $D$9, 100%, $F$9) + CHOOSE(CONTROL!$C$27, 0.0021, 0)</f>
        <v>41.792299999999997</v>
      </c>
      <c r="I332" s="10">
        <f>41.7902 * CHOOSE(CONTROL!$C$9, $D$9, 100%, $F$9) + CHOOSE(CONTROL!$C$27, 0.0021, 0)</f>
        <v>41.792299999999997</v>
      </c>
      <c r="J332" s="10">
        <f>41.7902 * CHOOSE(CONTROL!$C$9, $D$9, 100%, $F$9) + CHOOSE(CONTROL!$C$27, 0.0021, 0)</f>
        <v>41.792299999999997</v>
      </c>
      <c r="K332" s="10">
        <f>41.7902 * CHOOSE(CONTROL!$C$9, $D$9, 100%, $F$9) + CHOOSE(CONTROL!$C$27, 0.0021, 0)</f>
        <v>41.792299999999997</v>
      </c>
      <c r="L332" s="10"/>
    </row>
    <row r="333" spans="1:12" ht="15.75" x14ac:dyDescent="0.25">
      <c r="A333" s="14">
        <v>51440</v>
      </c>
      <c r="B333" s="10">
        <f>43.2298 * CHOOSE(CONTROL!$C$9, $D$9, 100%, $F$9) + CHOOSE(CONTROL!$C$27, 0.0021, 0)</f>
        <v>43.231899999999996</v>
      </c>
      <c r="C333" s="10">
        <f>42.7975 * CHOOSE(CONTROL!$C$9, $D$9, 100%, $F$9) + CHOOSE(CONTROL!$C$27, 0.0021, 0)</f>
        <v>42.799599999999998</v>
      </c>
      <c r="D333" s="10">
        <f>42.7975 * CHOOSE(CONTROL!$C$9, $D$9, 100%, $F$9) + CHOOSE(CONTROL!$C$27, 0.0021, 0)</f>
        <v>42.799599999999998</v>
      </c>
      <c r="E333" s="10">
        <f>42.6609 * CHOOSE(CONTROL!$C$9, $D$9, 100%, $F$9) + CHOOSE(CONTROL!$C$27, 0.0021, 0)</f>
        <v>42.662999999999997</v>
      </c>
      <c r="F333" s="10">
        <f>42.6609 * CHOOSE(CONTROL!$C$9, $D$9, 100%, $F$9) + CHOOSE(CONTROL!$C$27, 0.0021, 0)</f>
        <v>42.662999999999997</v>
      </c>
      <c r="G333" s="10">
        <f>42.9323 * CHOOSE(CONTROL!$C$9, $D$9, 100%, $F$9) + CHOOSE(CONTROL!$C$27, 0.0021, 0)</f>
        <v>42.934399999999997</v>
      </c>
      <c r="H333" s="10">
        <f>42.7975 * CHOOSE(CONTROL!$C$9, $D$9, 100%, $F$9) + CHOOSE(CONTROL!$C$27, 0.0021, 0)</f>
        <v>42.799599999999998</v>
      </c>
      <c r="I333" s="10">
        <f>42.7975 * CHOOSE(CONTROL!$C$9, $D$9, 100%, $F$9) + CHOOSE(CONTROL!$C$27, 0.0021, 0)</f>
        <v>42.799599999999998</v>
      </c>
      <c r="J333" s="10">
        <f>42.7975 * CHOOSE(CONTROL!$C$9, $D$9, 100%, $F$9) + CHOOSE(CONTROL!$C$27, 0.0021, 0)</f>
        <v>42.799599999999998</v>
      </c>
      <c r="K333" s="10">
        <f>42.7975 * CHOOSE(CONTROL!$C$9, $D$9, 100%, $F$9) + CHOOSE(CONTROL!$C$27, 0.0021, 0)</f>
        <v>42.799599999999998</v>
      </c>
      <c r="L333" s="10"/>
    </row>
    <row r="334" spans="1:12" ht="15.75" x14ac:dyDescent="0.25">
      <c r="A334" s="14">
        <v>51470</v>
      </c>
      <c r="B334" s="10">
        <f>43.3244 * CHOOSE(CONTROL!$C$9, $D$9, 100%, $F$9) + CHOOSE(CONTROL!$C$27, 0.0021, 0)</f>
        <v>43.326499999999996</v>
      </c>
      <c r="C334" s="10">
        <f>42.8921 * CHOOSE(CONTROL!$C$9, $D$9, 100%, $F$9) + CHOOSE(CONTROL!$C$27, 0.0021, 0)</f>
        <v>42.894199999999998</v>
      </c>
      <c r="D334" s="10">
        <f>42.8921 * CHOOSE(CONTROL!$C$9, $D$9, 100%, $F$9) + CHOOSE(CONTROL!$C$27, 0.0021, 0)</f>
        <v>42.894199999999998</v>
      </c>
      <c r="E334" s="10">
        <f>42.7554 * CHOOSE(CONTROL!$C$9, $D$9, 100%, $F$9) + CHOOSE(CONTROL!$C$27, 0.0021, 0)</f>
        <v>42.7575</v>
      </c>
      <c r="F334" s="10">
        <f>42.7554 * CHOOSE(CONTROL!$C$9, $D$9, 100%, $F$9) + CHOOSE(CONTROL!$C$27, 0.0021, 0)</f>
        <v>42.7575</v>
      </c>
      <c r="G334" s="10">
        <f>43.0268 * CHOOSE(CONTROL!$C$9, $D$9, 100%, $F$9) + CHOOSE(CONTROL!$C$27, 0.0021, 0)</f>
        <v>43.0289</v>
      </c>
      <c r="H334" s="10">
        <f>42.8921 * CHOOSE(CONTROL!$C$9, $D$9, 100%, $F$9) + CHOOSE(CONTROL!$C$27, 0.0021, 0)</f>
        <v>42.894199999999998</v>
      </c>
      <c r="I334" s="10">
        <f>42.8921 * CHOOSE(CONTROL!$C$9, $D$9, 100%, $F$9) + CHOOSE(CONTROL!$C$27, 0.0021, 0)</f>
        <v>42.894199999999998</v>
      </c>
      <c r="J334" s="10">
        <f>42.8921 * CHOOSE(CONTROL!$C$9, $D$9, 100%, $F$9) + CHOOSE(CONTROL!$C$27, 0.0021, 0)</f>
        <v>42.894199999999998</v>
      </c>
      <c r="K334" s="10">
        <f>42.8921 * CHOOSE(CONTROL!$C$9, $D$9, 100%, $F$9) + CHOOSE(CONTROL!$C$27, 0.0021, 0)</f>
        <v>42.894199999999998</v>
      </c>
      <c r="L334" s="10"/>
    </row>
    <row r="335" spans="1:12" ht="15.75" x14ac:dyDescent="0.25">
      <c r="A335" s="14">
        <v>51501</v>
      </c>
      <c r="B335" s="10">
        <f>42.5198 * CHOOSE(CONTROL!$C$9, $D$9, 100%, $F$9) + CHOOSE(CONTROL!$C$27, 0.0021, 0)</f>
        <v>42.521899999999995</v>
      </c>
      <c r="C335" s="10">
        <f>42.0876 * CHOOSE(CONTROL!$C$9, $D$9, 100%, $F$9) + CHOOSE(CONTROL!$C$27, 0.0021, 0)</f>
        <v>42.089700000000001</v>
      </c>
      <c r="D335" s="10">
        <f>42.0876 * CHOOSE(CONTROL!$C$9, $D$9, 100%, $F$9) + CHOOSE(CONTROL!$C$27, 0.0021, 0)</f>
        <v>42.089700000000001</v>
      </c>
      <c r="E335" s="10">
        <f>41.9509 * CHOOSE(CONTROL!$C$9, $D$9, 100%, $F$9) + CHOOSE(CONTROL!$C$27, 0.0021, 0)</f>
        <v>41.952999999999996</v>
      </c>
      <c r="F335" s="10">
        <f>41.9509 * CHOOSE(CONTROL!$C$9, $D$9, 100%, $F$9) + CHOOSE(CONTROL!$C$27, 0.0021, 0)</f>
        <v>41.952999999999996</v>
      </c>
      <c r="G335" s="10">
        <f>42.2223 * CHOOSE(CONTROL!$C$9, $D$9, 100%, $F$9) + CHOOSE(CONTROL!$C$27, 0.0021, 0)</f>
        <v>42.224399999999996</v>
      </c>
      <c r="H335" s="10">
        <f>42.0876 * CHOOSE(CONTROL!$C$9, $D$9, 100%, $F$9) + CHOOSE(CONTROL!$C$27, 0.0021, 0)</f>
        <v>42.089700000000001</v>
      </c>
      <c r="I335" s="10">
        <f>42.0876 * CHOOSE(CONTROL!$C$9, $D$9, 100%, $F$9) + CHOOSE(CONTROL!$C$27, 0.0021, 0)</f>
        <v>42.089700000000001</v>
      </c>
      <c r="J335" s="10">
        <f>42.0876 * CHOOSE(CONTROL!$C$9, $D$9, 100%, $F$9) + CHOOSE(CONTROL!$C$27, 0.0021, 0)</f>
        <v>42.089700000000001</v>
      </c>
      <c r="K335" s="10">
        <f>42.0876 * CHOOSE(CONTROL!$C$9, $D$9, 100%, $F$9) + CHOOSE(CONTROL!$C$27, 0.0021, 0)</f>
        <v>42.089700000000001</v>
      </c>
      <c r="L335" s="10"/>
    </row>
    <row r="336" spans="1:12" ht="15.75" x14ac:dyDescent="0.25">
      <c r="A336" s="14">
        <v>51532</v>
      </c>
      <c r="B336" s="10">
        <f>41.9038 * CHOOSE(CONTROL!$C$9, $D$9, 100%, $F$9) + CHOOSE(CONTROL!$C$27, 0.0021, 0)</f>
        <v>41.905899999999995</v>
      </c>
      <c r="C336" s="10">
        <f>41.4716 * CHOOSE(CONTROL!$C$9, $D$9, 100%, $F$9) + CHOOSE(CONTROL!$C$27, 0.0021, 0)</f>
        <v>41.473700000000001</v>
      </c>
      <c r="D336" s="10">
        <f>41.4716 * CHOOSE(CONTROL!$C$9, $D$9, 100%, $F$9) + CHOOSE(CONTROL!$C$27, 0.0021, 0)</f>
        <v>41.473700000000001</v>
      </c>
      <c r="E336" s="10">
        <f>41.3349 * CHOOSE(CONTROL!$C$9, $D$9, 100%, $F$9) + CHOOSE(CONTROL!$C$27, 0.0021, 0)</f>
        <v>41.336999999999996</v>
      </c>
      <c r="F336" s="10">
        <f>41.3349 * CHOOSE(CONTROL!$C$9, $D$9, 100%, $F$9) + CHOOSE(CONTROL!$C$27, 0.0021, 0)</f>
        <v>41.336999999999996</v>
      </c>
      <c r="G336" s="10">
        <f>41.6063 * CHOOSE(CONTROL!$C$9, $D$9, 100%, $F$9) + CHOOSE(CONTROL!$C$27, 0.0021, 0)</f>
        <v>41.608399999999996</v>
      </c>
      <c r="H336" s="10">
        <f>41.4716 * CHOOSE(CONTROL!$C$9, $D$9, 100%, $F$9) + CHOOSE(CONTROL!$C$27, 0.0021, 0)</f>
        <v>41.473700000000001</v>
      </c>
      <c r="I336" s="10">
        <f>41.4716 * CHOOSE(CONTROL!$C$9, $D$9, 100%, $F$9) + CHOOSE(CONTROL!$C$27, 0.0021, 0)</f>
        <v>41.473700000000001</v>
      </c>
      <c r="J336" s="10">
        <f>41.4716 * CHOOSE(CONTROL!$C$9, $D$9, 100%, $F$9) + CHOOSE(CONTROL!$C$27, 0.0021, 0)</f>
        <v>41.473700000000001</v>
      </c>
      <c r="K336" s="10">
        <f>41.4716 * CHOOSE(CONTROL!$C$9, $D$9, 100%, $F$9) + CHOOSE(CONTROL!$C$27, 0.0021, 0)</f>
        <v>41.473700000000001</v>
      </c>
      <c r="L336" s="10"/>
    </row>
    <row r="337" spans="1:12" ht="15.75" x14ac:dyDescent="0.25">
      <c r="A337" s="14">
        <v>51560</v>
      </c>
      <c r="B337" s="10">
        <f>40.7834 * CHOOSE(CONTROL!$C$9, $D$9, 100%, $F$9) + CHOOSE(CONTROL!$C$27, 0.0021, 0)</f>
        <v>40.785499999999999</v>
      </c>
      <c r="C337" s="10">
        <f>40.3512 * CHOOSE(CONTROL!$C$9, $D$9, 100%, $F$9) + CHOOSE(CONTROL!$C$27, 0.0021, 0)</f>
        <v>40.353299999999997</v>
      </c>
      <c r="D337" s="10">
        <f>40.3512 * CHOOSE(CONTROL!$C$9, $D$9, 100%, $F$9) + CHOOSE(CONTROL!$C$27, 0.0021, 0)</f>
        <v>40.353299999999997</v>
      </c>
      <c r="E337" s="10">
        <f>40.2145 * CHOOSE(CONTROL!$C$9, $D$9, 100%, $F$9) + CHOOSE(CONTROL!$C$27, 0.0021, 0)</f>
        <v>40.2166</v>
      </c>
      <c r="F337" s="10">
        <f>40.2145 * CHOOSE(CONTROL!$C$9, $D$9, 100%, $F$9) + CHOOSE(CONTROL!$C$27, 0.0021, 0)</f>
        <v>40.2166</v>
      </c>
      <c r="G337" s="10">
        <f>40.4859 * CHOOSE(CONTROL!$C$9, $D$9, 100%, $F$9) + CHOOSE(CONTROL!$C$27, 0.0021, 0)</f>
        <v>40.488</v>
      </c>
      <c r="H337" s="10">
        <f>40.3512 * CHOOSE(CONTROL!$C$9, $D$9, 100%, $F$9) + CHOOSE(CONTROL!$C$27, 0.0021, 0)</f>
        <v>40.353299999999997</v>
      </c>
      <c r="I337" s="10">
        <f>40.3512 * CHOOSE(CONTROL!$C$9, $D$9, 100%, $F$9) + CHOOSE(CONTROL!$C$27, 0.0021, 0)</f>
        <v>40.353299999999997</v>
      </c>
      <c r="J337" s="10">
        <f>40.3512 * CHOOSE(CONTROL!$C$9, $D$9, 100%, $F$9) + CHOOSE(CONTROL!$C$27, 0.0021, 0)</f>
        <v>40.353299999999997</v>
      </c>
      <c r="K337" s="10">
        <f>40.3512 * CHOOSE(CONTROL!$C$9, $D$9, 100%, $F$9) + CHOOSE(CONTROL!$C$27, 0.0021, 0)</f>
        <v>40.353299999999997</v>
      </c>
      <c r="L337" s="10"/>
    </row>
    <row r="338" spans="1:12" ht="15.75" x14ac:dyDescent="0.25">
      <c r="A338" s="14">
        <v>51591</v>
      </c>
      <c r="B338" s="10">
        <f>40.3209 * CHOOSE(CONTROL!$C$9, $D$9, 100%, $F$9) + CHOOSE(CONTROL!$C$27, 0.0021, 0)</f>
        <v>40.323</v>
      </c>
      <c r="C338" s="10">
        <f>39.8886 * CHOOSE(CONTROL!$C$9, $D$9, 100%, $F$9) + CHOOSE(CONTROL!$C$27, 0.0021, 0)</f>
        <v>39.890699999999995</v>
      </c>
      <c r="D338" s="10">
        <f>39.8886 * CHOOSE(CONTROL!$C$9, $D$9, 100%, $F$9) + CHOOSE(CONTROL!$C$27, 0.0021, 0)</f>
        <v>39.890699999999995</v>
      </c>
      <c r="E338" s="10">
        <f>39.752 * CHOOSE(CONTROL!$C$9, $D$9, 100%, $F$9) + CHOOSE(CONTROL!$C$27, 0.0021, 0)</f>
        <v>39.754100000000001</v>
      </c>
      <c r="F338" s="10">
        <f>39.752 * CHOOSE(CONTROL!$C$9, $D$9, 100%, $F$9) + CHOOSE(CONTROL!$C$27, 0.0021, 0)</f>
        <v>39.754100000000001</v>
      </c>
      <c r="G338" s="10">
        <f>40.0234 * CHOOSE(CONTROL!$C$9, $D$9, 100%, $F$9) + CHOOSE(CONTROL!$C$27, 0.0021, 0)</f>
        <v>40.025500000000001</v>
      </c>
      <c r="H338" s="10">
        <f>39.8886 * CHOOSE(CONTROL!$C$9, $D$9, 100%, $F$9) + CHOOSE(CONTROL!$C$27, 0.0021, 0)</f>
        <v>39.890699999999995</v>
      </c>
      <c r="I338" s="10">
        <f>39.8886 * CHOOSE(CONTROL!$C$9, $D$9, 100%, $F$9) + CHOOSE(CONTROL!$C$27, 0.0021, 0)</f>
        <v>39.890699999999995</v>
      </c>
      <c r="J338" s="10">
        <f>39.8886 * CHOOSE(CONTROL!$C$9, $D$9, 100%, $F$9) + CHOOSE(CONTROL!$C$27, 0.0021, 0)</f>
        <v>39.890699999999995</v>
      </c>
      <c r="K338" s="10">
        <f>39.8886 * CHOOSE(CONTROL!$C$9, $D$9, 100%, $F$9) + CHOOSE(CONTROL!$C$27, 0.0021, 0)</f>
        <v>39.890699999999995</v>
      </c>
      <c r="L338" s="10"/>
    </row>
    <row r="339" spans="1:12" ht="15.75" x14ac:dyDescent="0.25">
      <c r="A339" s="14">
        <v>51621</v>
      </c>
      <c r="B339" s="10">
        <f>39.7686 * CHOOSE(CONTROL!$C$9, $D$9, 100%, $F$9) + CHOOSE(CONTROL!$C$27, 0.0021, 0)</f>
        <v>39.770699999999998</v>
      </c>
      <c r="C339" s="10">
        <f>39.3364 * CHOOSE(CONTROL!$C$9, $D$9, 100%, $F$9) + CHOOSE(CONTROL!$C$27, 0.0021, 0)</f>
        <v>39.338499999999996</v>
      </c>
      <c r="D339" s="10">
        <f>39.3364 * CHOOSE(CONTROL!$C$9, $D$9, 100%, $F$9) + CHOOSE(CONTROL!$C$27, 0.0021, 0)</f>
        <v>39.338499999999996</v>
      </c>
      <c r="E339" s="10">
        <f>39.1997 * CHOOSE(CONTROL!$C$9, $D$9, 100%, $F$9) + CHOOSE(CONTROL!$C$27, 0.0021, 0)</f>
        <v>39.201799999999999</v>
      </c>
      <c r="F339" s="10">
        <f>39.1997 * CHOOSE(CONTROL!$C$9, $D$9, 100%, $F$9) + CHOOSE(CONTROL!$C$27, 0.0021, 0)</f>
        <v>39.201799999999999</v>
      </c>
      <c r="G339" s="10">
        <f>39.4711 * CHOOSE(CONTROL!$C$9, $D$9, 100%, $F$9) + CHOOSE(CONTROL!$C$27, 0.0021, 0)</f>
        <v>39.473199999999999</v>
      </c>
      <c r="H339" s="10">
        <f>39.3364 * CHOOSE(CONTROL!$C$9, $D$9, 100%, $F$9) + CHOOSE(CONTROL!$C$27, 0.0021, 0)</f>
        <v>39.338499999999996</v>
      </c>
      <c r="I339" s="10">
        <f>39.3364 * CHOOSE(CONTROL!$C$9, $D$9, 100%, $F$9) + CHOOSE(CONTROL!$C$27, 0.0021, 0)</f>
        <v>39.338499999999996</v>
      </c>
      <c r="J339" s="10">
        <f>39.3364 * CHOOSE(CONTROL!$C$9, $D$9, 100%, $F$9) + CHOOSE(CONTROL!$C$27, 0.0021, 0)</f>
        <v>39.338499999999996</v>
      </c>
      <c r="K339" s="10">
        <f>39.3364 * CHOOSE(CONTROL!$C$9, $D$9, 100%, $F$9) + CHOOSE(CONTROL!$C$27, 0.0021, 0)</f>
        <v>39.338499999999996</v>
      </c>
      <c r="L339" s="10"/>
    </row>
    <row r="340" spans="1:12" ht="15.75" x14ac:dyDescent="0.25">
      <c r="A340" s="14">
        <v>51652</v>
      </c>
      <c r="B340" s="10">
        <f>40.5557 * CHOOSE(CONTROL!$C$9, $D$9, 100%, $F$9) + CHOOSE(CONTROL!$C$27, 0.0021, 0)</f>
        <v>40.5578</v>
      </c>
      <c r="C340" s="10">
        <f>40.1234 * CHOOSE(CONTROL!$C$9, $D$9, 100%, $F$9) + CHOOSE(CONTROL!$C$27, 0.0021, 0)</f>
        <v>40.125499999999995</v>
      </c>
      <c r="D340" s="10">
        <f>40.1234 * CHOOSE(CONTROL!$C$9, $D$9, 100%, $F$9) + CHOOSE(CONTROL!$C$27, 0.0021, 0)</f>
        <v>40.125499999999995</v>
      </c>
      <c r="E340" s="10">
        <f>39.9868 * CHOOSE(CONTROL!$C$9, $D$9, 100%, $F$9) + CHOOSE(CONTROL!$C$27, 0.0021, 0)</f>
        <v>39.988900000000001</v>
      </c>
      <c r="F340" s="10">
        <f>39.9868 * CHOOSE(CONTROL!$C$9, $D$9, 100%, $F$9) + CHOOSE(CONTROL!$C$27, 0.0021, 0)</f>
        <v>39.988900000000001</v>
      </c>
      <c r="G340" s="10">
        <f>40.2581 * CHOOSE(CONTROL!$C$9, $D$9, 100%, $F$9) + CHOOSE(CONTROL!$C$27, 0.0021, 0)</f>
        <v>40.260199999999998</v>
      </c>
      <c r="H340" s="10">
        <f>40.1234 * CHOOSE(CONTROL!$C$9, $D$9, 100%, $F$9) + CHOOSE(CONTROL!$C$27, 0.0021, 0)</f>
        <v>40.125499999999995</v>
      </c>
      <c r="I340" s="10">
        <f>40.1234 * CHOOSE(CONTROL!$C$9, $D$9, 100%, $F$9) + CHOOSE(CONTROL!$C$27, 0.0021, 0)</f>
        <v>40.125499999999995</v>
      </c>
      <c r="J340" s="10">
        <f>40.1234 * CHOOSE(CONTROL!$C$9, $D$9, 100%, $F$9) + CHOOSE(CONTROL!$C$27, 0.0021, 0)</f>
        <v>40.125499999999995</v>
      </c>
      <c r="K340" s="10">
        <f>40.1234 * CHOOSE(CONTROL!$C$9, $D$9, 100%, $F$9) + CHOOSE(CONTROL!$C$27, 0.0021, 0)</f>
        <v>40.125499999999995</v>
      </c>
      <c r="L340" s="10"/>
    </row>
    <row r="341" spans="1:12" ht="15.75" x14ac:dyDescent="0.25">
      <c r="A341" s="14">
        <v>51682</v>
      </c>
      <c r="B341" s="10">
        <f>41.0271 * CHOOSE(CONTROL!$C$9, $D$9, 100%, $F$9) + CHOOSE(CONTROL!$C$27, 0.0021, 0)</f>
        <v>41.029199999999996</v>
      </c>
      <c r="C341" s="10">
        <f>40.5948 * CHOOSE(CONTROL!$C$9, $D$9, 100%, $F$9) + CHOOSE(CONTROL!$C$27, 0.0021, 0)</f>
        <v>40.596899999999998</v>
      </c>
      <c r="D341" s="10">
        <f>40.5948 * CHOOSE(CONTROL!$C$9, $D$9, 100%, $F$9) + CHOOSE(CONTROL!$C$27, 0.0021, 0)</f>
        <v>40.596899999999998</v>
      </c>
      <c r="E341" s="10">
        <f>40.4581 * CHOOSE(CONTROL!$C$9, $D$9, 100%, $F$9) + CHOOSE(CONTROL!$C$27, 0.0021, 0)</f>
        <v>40.4602</v>
      </c>
      <c r="F341" s="10">
        <f>40.4581 * CHOOSE(CONTROL!$C$9, $D$9, 100%, $F$9) + CHOOSE(CONTROL!$C$27, 0.0021, 0)</f>
        <v>40.4602</v>
      </c>
      <c r="G341" s="10">
        <f>40.7295 * CHOOSE(CONTROL!$C$9, $D$9, 100%, $F$9) + CHOOSE(CONTROL!$C$27, 0.0021, 0)</f>
        <v>40.7316</v>
      </c>
      <c r="H341" s="10">
        <f>40.5948 * CHOOSE(CONTROL!$C$9, $D$9, 100%, $F$9) + CHOOSE(CONTROL!$C$27, 0.0021, 0)</f>
        <v>40.596899999999998</v>
      </c>
      <c r="I341" s="10">
        <f>40.5948 * CHOOSE(CONTROL!$C$9, $D$9, 100%, $F$9) + CHOOSE(CONTROL!$C$27, 0.0021, 0)</f>
        <v>40.596899999999998</v>
      </c>
      <c r="J341" s="10">
        <f>40.5948 * CHOOSE(CONTROL!$C$9, $D$9, 100%, $F$9) + CHOOSE(CONTROL!$C$27, 0.0021, 0)</f>
        <v>40.596899999999998</v>
      </c>
      <c r="K341" s="10">
        <f>40.5948 * CHOOSE(CONTROL!$C$9, $D$9, 100%, $F$9) + CHOOSE(CONTROL!$C$27, 0.0021, 0)</f>
        <v>40.596899999999998</v>
      </c>
      <c r="L341" s="10"/>
    </row>
    <row r="342" spans="1:12" ht="15.75" x14ac:dyDescent="0.25">
      <c r="A342" s="14">
        <v>51713</v>
      </c>
      <c r="B342" s="10">
        <f>41.8047 * CHOOSE(CONTROL!$C$9, $D$9, 100%, $F$9) + CHOOSE(CONTROL!$C$27, 0.0021, 0)</f>
        <v>41.806799999999996</v>
      </c>
      <c r="C342" s="10">
        <f>41.3724 * CHOOSE(CONTROL!$C$9, $D$9, 100%, $F$9) + CHOOSE(CONTROL!$C$27, 0.0021, 0)</f>
        <v>41.374499999999998</v>
      </c>
      <c r="D342" s="10">
        <f>41.3724 * CHOOSE(CONTROL!$C$9, $D$9, 100%, $F$9) + CHOOSE(CONTROL!$C$27, 0.0021, 0)</f>
        <v>41.374499999999998</v>
      </c>
      <c r="E342" s="10">
        <f>41.2358 * CHOOSE(CONTROL!$C$9, $D$9, 100%, $F$9) + CHOOSE(CONTROL!$C$27, 0.0021, 0)</f>
        <v>41.237899999999996</v>
      </c>
      <c r="F342" s="10">
        <f>41.2358 * CHOOSE(CONTROL!$C$9, $D$9, 100%, $F$9) + CHOOSE(CONTROL!$C$27, 0.0021, 0)</f>
        <v>41.237899999999996</v>
      </c>
      <c r="G342" s="10">
        <f>41.5071 * CHOOSE(CONTROL!$C$9, $D$9, 100%, $F$9) + CHOOSE(CONTROL!$C$27, 0.0021, 0)</f>
        <v>41.5092</v>
      </c>
      <c r="H342" s="10">
        <f>41.3724 * CHOOSE(CONTROL!$C$9, $D$9, 100%, $F$9) + CHOOSE(CONTROL!$C$27, 0.0021, 0)</f>
        <v>41.374499999999998</v>
      </c>
      <c r="I342" s="10">
        <f>41.3724 * CHOOSE(CONTROL!$C$9, $D$9, 100%, $F$9) + CHOOSE(CONTROL!$C$27, 0.0021, 0)</f>
        <v>41.374499999999998</v>
      </c>
      <c r="J342" s="10">
        <f>41.3724 * CHOOSE(CONTROL!$C$9, $D$9, 100%, $F$9) + CHOOSE(CONTROL!$C$27, 0.0021, 0)</f>
        <v>41.374499999999998</v>
      </c>
      <c r="K342" s="10">
        <f>41.3724 * CHOOSE(CONTROL!$C$9, $D$9, 100%, $F$9) + CHOOSE(CONTROL!$C$27, 0.0021, 0)</f>
        <v>41.374499999999998</v>
      </c>
      <c r="L342" s="10"/>
    </row>
    <row r="343" spans="1:12" ht="15.75" x14ac:dyDescent="0.25">
      <c r="A343" s="14">
        <v>51744</v>
      </c>
      <c r="B343" s="10">
        <f>42.042 * CHOOSE(CONTROL!$C$9, $D$9, 100%, $F$9) + CHOOSE(CONTROL!$C$27, 0.0021, 0)</f>
        <v>42.0441</v>
      </c>
      <c r="C343" s="10">
        <f>41.6098 * CHOOSE(CONTROL!$C$9, $D$9, 100%, $F$9) + CHOOSE(CONTROL!$C$27, 0.0021, 0)</f>
        <v>41.611899999999999</v>
      </c>
      <c r="D343" s="10">
        <f>41.6098 * CHOOSE(CONTROL!$C$9, $D$9, 100%, $F$9) + CHOOSE(CONTROL!$C$27, 0.0021, 0)</f>
        <v>41.611899999999999</v>
      </c>
      <c r="E343" s="10">
        <f>41.4731 * CHOOSE(CONTROL!$C$9, $D$9, 100%, $F$9) + CHOOSE(CONTROL!$C$27, 0.0021, 0)</f>
        <v>41.475200000000001</v>
      </c>
      <c r="F343" s="10">
        <f>41.4731 * CHOOSE(CONTROL!$C$9, $D$9, 100%, $F$9) + CHOOSE(CONTROL!$C$27, 0.0021, 0)</f>
        <v>41.475200000000001</v>
      </c>
      <c r="G343" s="10">
        <f>41.7445 * CHOOSE(CONTROL!$C$9, $D$9, 100%, $F$9) + CHOOSE(CONTROL!$C$27, 0.0021, 0)</f>
        <v>41.746600000000001</v>
      </c>
      <c r="H343" s="10">
        <f>41.6098 * CHOOSE(CONTROL!$C$9, $D$9, 100%, $F$9) + CHOOSE(CONTROL!$C$27, 0.0021, 0)</f>
        <v>41.611899999999999</v>
      </c>
      <c r="I343" s="10">
        <f>41.6098 * CHOOSE(CONTROL!$C$9, $D$9, 100%, $F$9) + CHOOSE(CONTROL!$C$27, 0.0021, 0)</f>
        <v>41.611899999999999</v>
      </c>
      <c r="J343" s="10">
        <f>41.6098 * CHOOSE(CONTROL!$C$9, $D$9, 100%, $F$9) + CHOOSE(CONTROL!$C$27, 0.0021, 0)</f>
        <v>41.611899999999999</v>
      </c>
      <c r="K343" s="10">
        <f>41.6098 * CHOOSE(CONTROL!$C$9, $D$9, 100%, $F$9) + CHOOSE(CONTROL!$C$27, 0.0021, 0)</f>
        <v>41.611899999999999</v>
      </c>
      <c r="L343" s="10"/>
    </row>
    <row r="344" spans="1:12" ht="15.75" x14ac:dyDescent="0.25">
      <c r="A344" s="14">
        <v>51774</v>
      </c>
      <c r="B344" s="10">
        <f>42.8503 * CHOOSE(CONTROL!$C$9, $D$9, 100%, $F$9) + CHOOSE(CONTROL!$C$27, 0.0021, 0)</f>
        <v>42.852399999999996</v>
      </c>
      <c r="C344" s="10">
        <f>42.4181 * CHOOSE(CONTROL!$C$9, $D$9, 100%, $F$9) + CHOOSE(CONTROL!$C$27, 0.0021, 0)</f>
        <v>42.420200000000001</v>
      </c>
      <c r="D344" s="10">
        <f>42.4181 * CHOOSE(CONTROL!$C$9, $D$9, 100%, $F$9) + CHOOSE(CONTROL!$C$27, 0.0021, 0)</f>
        <v>42.420200000000001</v>
      </c>
      <c r="E344" s="10">
        <f>42.2814 * CHOOSE(CONTROL!$C$9, $D$9, 100%, $F$9) + CHOOSE(CONTROL!$C$27, 0.0021, 0)</f>
        <v>42.283499999999997</v>
      </c>
      <c r="F344" s="10">
        <f>42.2814 * CHOOSE(CONTROL!$C$9, $D$9, 100%, $F$9) + CHOOSE(CONTROL!$C$27, 0.0021, 0)</f>
        <v>42.283499999999997</v>
      </c>
      <c r="G344" s="10">
        <f>42.5528 * CHOOSE(CONTROL!$C$9, $D$9, 100%, $F$9) + CHOOSE(CONTROL!$C$27, 0.0021, 0)</f>
        <v>42.554899999999996</v>
      </c>
      <c r="H344" s="10">
        <f>42.4181 * CHOOSE(CONTROL!$C$9, $D$9, 100%, $F$9) + CHOOSE(CONTROL!$C$27, 0.0021, 0)</f>
        <v>42.420200000000001</v>
      </c>
      <c r="I344" s="10">
        <f>42.4181 * CHOOSE(CONTROL!$C$9, $D$9, 100%, $F$9) + CHOOSE(CONTROL!$C$27, 0.0021, 0)</f>
        <v>42.420200000000001</v>
      </c>
      <c r="J344" s="10">
        <f>42.4181 * CHOOSE(CONTROL!$C$9, $D$9, 100%, $F$9) + CHOOSE(CONTROL!$C$27, 0.0021, 0)</f>
        <v>42.420200000000001</v>
      </c>
      <c r="K344" s="10">
        <f>42.4181 * CHOOSE(CONTROL!$C$9, $D$9, 100%, $F$9) + CHOOSE(CONTROL!$C$27, 0.0021, 0)</f>
        <v>42.420200000000001</v>
      </c>
      <c r="L344" s="10"/>
    </row>
    <row r="345" spans="1:12" ht="15.75" x14ac:dyDescent="0.25">
      <c r="A345" s="14">
        <v>51805</v>
      </c>
      <c r="B345" s="10">
        <f>43.8735 * CHOOSE(CONTROL!$C$9, $D$9, 100%, $F$9) + CHOOSE(CONTROL!$C$27, 0.0021, 0)</f>
        <v>43.875599999999999</v>
      </c>
      <c r="C345" s="10">
        <f>43.4413 * CHOOSE(CONTROL!$C$9, $D$9, 100%, $F$9) + CHOOSE(CONTROL!$C$27, 0.0021, 0)</f>
        <v>43.443399999999997</v>
      </c>
      <c r="D345" s="10">
        <f>43.4413 * CHOOSE(CONTROL!$C$9, $D$9, 100%, $F$9) + CHOOSE(CONTROL!$C$27, 0.0021, 0)</f>
        <v>43.443399999999997</v>
      </c>
      <c r="E345" s="10">
        <f>43.3046 * CHOOSE(CONTROL!$C$9, $D$9, 100%, $F$9) + CHOOSE(CONTROL!$C$27, 0.0021, 0)</f>
        <v>43.306699999999999</v>
      </c>
      <c r="F345" s="10">
        <f>43.3046 * CHOOSE(CONTROL!$C$9, $D$9, 100%, $F$9) + CHOOSE(CONTROL!$C$27, 0.0021, 0)</f>
        <v>43.306699999999999</v>
      </c>
      <c r="G345" s="10">
        <f>43.576 * CHOOSE(CONTROL!$C$9, $D$9, 100%, $F$9) + CHOOSE(CONTROL!$C$27, 0.0021, 0)</f>
        <v>43.578099999999999</v>
      </c>
      <c r="H345" s="10">
        <f>43.4413 * CHOOSE(CONTROL!$C$9, $D$9, 100%, $F$9) + CHOOSE(CONTROL!$C$27, 0.0021, 0)</f>
        <v>43.443399999999997</v>
      </c>
      <c r="I345" s="10">
        <f>43.4413 * CHOOSE(CONTROL!$C$9, $D$9, 100%, $F$9) + CHOOSE(CONTROL!$C$27, 0.0021, 0)</f>
        <v>43.443399999999997</v>
      </c>
      <c r="J345" s="10">
        <f>43.4413 * CHOOSE(CONTROL!$C$9, $D$9, 100%, $F$9) + CHOOSE(CONTROL!$C$27, 0.0021, 0)</f>
        <v>43.443399999999997</v>
      </c>
      <c r="K345" s="10">
        <f>43.4413 * CHOOSE(CONTROL!$C$9, $D$9, 100%, $F$9) + CHOOSE(CONTROL!$C$27, 0.0021, 0)</f>
        <v>43.443399999999997</v>
      </c>
      <c r="L345" s="10"/>
    </row>
    <row r="346" spans="1:12" ht="15.75" x14ac:dyDescent="0.25">
      <c r="A346" s="14">
        <v>51835</v>
      </c>
      <c r="B346" s="10">
        <f>43.9696 * CHOOSE(CONTROL!$C$9, $D$9, 100%, $F$9) + CHOOSE(CONTROL!$C$27, 0.0021, 0)</f>
        <v>43.971699999999998</v>
      </c>
      <c r="C346" s="10">
        <f>43.5373 * CHOOSE(CONTROL!$C$9, $D$9, 100%, $F$9) + CHOOSE(CONTROL!$C$27, 0.0021, 0)</f>
        <v>43.539400000000001</v>
      </c>
      <c r="D346" s="10">
        <f>43.5373 * CHOOSE(CONTROL!$C$9, $D$9, 100%, $F$9) + CHOOSE(CONTROL!$C$27, 0.0021, 0)</f>
        <v>43.539400000000001</v>
      </c>
      <c r="E346" s="10">
        <f>43.4007 * CHOOSE(CONTROL!$C$9, $D$9, 100%, $F$9) + CHOOSE(CONTROL!$C$27, 0.0021, 0)</f>
        <v>43.402799999999999</v>
      </c>
      <c r="F346" s="10">
        <f>43.4007 * CHOOSE(CONTROL!$C$9, $D$9, 100%, $F$9) + CHOOSE(CONTROL!$C$27, 0.0021, 0)</f>
        <v>43.402799999999999</v>
      </c>
      <c r="G346" s="10">
        <f>43.672 * CHOOSE(CONTROL!$C$9, $D$9, 100%, $F$9) + CHOOSE(CONTROL!$C$27, 0.0021, 0)</f>
        <v>43.674099999999996</v>
      </c>
      <c r="H346" s="10">
        <f>43.5373 * CHOOSE(CONTROL!$C$9, $D$9, 100%, $F$9) + CHOOSE(CONTROL!$C$27, 0.0021, 0)</f>
        <v>43.539400000000001</v>
      </c>
      <c r="I346" s="10">
        <f>43.5373 * CHOOSE(CONTROL!$C$9, $D$9, 100%, $F$9) + CHOOSE(CONTROL!$C$27, 0.0021, 0)</f>
        <v>43.539400000000001</v>
      </c>
      <c r="J346" s="10">
        <f>43.5373 * CHOOSE(CONTROL!$C$9, $D$9, 100%, $F$9) + CHOOSE(CONTROL!$C$27, 0.0021, 0)</f>
        <v>43.539400000000001</v>
      </c>
      <c r="K346" s="10">
        <f>43.5373 * CHOOSE(CONTROL!$C$9, $D$9, 100%, $F$9) + CHOOSE(CONTROL!$C$27, 0.0021, 0)</f>
        <v>43.539400000000001</v>
      </c>
      <c r="L346" s="10"/>
    </row>
    <row r="347" spans="1:12" ht="15.75" x14ac:dyDescent="0.25">
      <c r="A347" s="14">
        <v>51866</v>
      </c>
      <c r="B347" s="10">
        <f>43.1524 * CHOOSE(CONTROL!$C$9, $D$9, 100%, $F$9) + CHOOSE(CONTROL!$C$27, 0.0021, 0)</f>
        <v>43.154499999999999</v>
      </c>
      <c r="C347" s="10">
        <f>42.7201 * CHOOSE(CONTROL!$C$9, $D$9, 100%, $F$9) + CHOOSE(CONTROL!$C$27, 0.0021, 0)</f>
        <v>42.722200000000001</v>
      </c>
      <c r="D347" s="10">
        <f>42.7201 * CHOOSE(CONTROL!$C$9, $D$9, 100%, $F$9) + CHOOSE(CONTROL!$C$27, 0.0021, 0)</f>
        <v>42.722200000000001</v>
      </c>
      <c r="E347" s="10">
        <f>42.5835 * CHOOSE(CONTROL!$C$9, $D$9, 100%, $F$9) + CHOOSE(CONTROL!$C$27, 0.0021, 0)</f>
        <v>42.585599999999999</v>
      </c>
      <c r="F347" s="10">
        <f>42.5835 * CHOOSE(CONTROL!$C$9, $D$9, 100%, $F$9) + CHOOSE(CONTROL!$C$27, 0.0021, 0)</f>
        <v>42.585599999999999</v>
      </c>
      <c r="G347" s="10">
        <f>42.8549 * CHOOSE(CONTROL!$C$9, $D$9, 100%, $F$9) + CHOOSE(CONTROL!$C$27, 0.0021, 0)</f>
        <v>42.856999999999999</v>
      </c>
      <c r="H347" s="10">
        <f>42.7201 * CHOOSE(CONTROL!$C$9, $D$9, 100%, $F$9) + CHOOSE(CONTROL!$C$27, 0.0021, 0)</f>
        <v>42.722200000000001</v>
      </c>
      <c r="I347" s="10">
        <f>42.7201 * CHOOSE(CONTROL!$C$9, $D$9, 100%, $F$9) + CHOOSE(CONTROL!$C$27, 0.0021, 0)</f>
        <v>42.722200000000001</v>
      </c>
      <c r="J347" s="10">
        <f>42.7201 * CHOOSE(CONTROL!$C$9, $D$9, 100%, $F$9) + CHOOSE(CONTROL!$C$27, 0.0021, 0)</f>
        <v>42.722200000000001</v>
      </c>
      <c r="K347" s="10">
        <f>42.7201 * CHOOSE(CONTROL!$C$9, $D$9, 100%, $F$9) + CHOOSE(CONTROL!$C$27, 0.0021, 0)</f>
        <v>42.722200000000001</v>
      </c>
      <c r="L347" s="10"/>
    </row>
    <row r="348" spans="1:12" ht="15.75" x14ac:dyDescent="0.25">
      <c r="A348" s="14">
        <v>51897</v>
      </c>
      <c r="B348" s="10">
        <f>42.5267 * CHOOSE(CONTROL!$C$9, $D$9, 100%, $F$9) + CHOOSE(CONTROL!$C$27, 0.0021, 0)</f>
        <v>42.528799999999997</v>
      </c>
      <c r="C348" s="10">
        <f>42.0945 * CHOOSE(CONTROL!$C$9, $D$9, 100%, $F$9) + CHOOSE(CONTROL!$C$27, 0.0021, 0)</f>
        <v>42.096599999999995</v>
      </c>
      <c r="D348" s="10">
        <f>42.0945 * CHOOSE(CONTROL!$C$9, $D$9, 100%, $F$9) + CHOOSE(CONTROL!$C$27, 0.0021, 0)</f>
        <v>42.096599999999995</v>
      </c>
      <c r="E348" s="10">
        <f>41.9578 * CHOOSE(CONTROL!$C$9, $D$9, 100%, $F$9) + CHOOSE(CONTROL!$C$27, 0.0021, 0)</f>
        <v>41.959899999999998</v>
      </c>
      <c r="F348" s="10">
        <f>41.9578 * CHOOSE(CONTROL!$C$9, $D$9, 100%, $F$9) + CHOOSE(CONTROL!$C$27, 0.0021, 0)</f>
        <v>41.959899999999998</v>
      </c>
      <c r="G348" s="10">
        <f>42.2292 * CHOOSE(CONTROL!$C$9, $D$9, 100%, $F$9) + CHOOSE(CONTROL!$C$27, 0.0021, 0)</f>
        <v>42.231299999999997</v>
      </c>
      <c r="H348" s="10">
        <f>42.0945 * CHOOSE(CONTROL!$C$9, $D$9, 100%, $F$9) + CHOOSE(CONTROL!$C$27, 0.0021, 0)</f>
        <v>42.096599999999995</v>
      </c>
      <c r="I348" s="10">
        <f>42.0945 * CHOOSE(CONTROL!$C$9, $D$9, 100%, $F$9) + CHOOSE(CONTROL!$C$27, 0.0021, 0)</f>
        <v>42.096599999999995</v>
      </c>
      <c r="J348" s="10">
        <f>42.0945 * CHOOSE(CONTROL!$C$9, $D$9, 100%, $F$9) + CHOOSE(CONTROL!$C$27, 0.0021, 0)</f>
        <v>42.096599999999995</v>
      </c>
      <c r="K348" s="10">
        <f>42.0945 * CHOOSE(CONTROL!$C$9, $D$9, 100%, $F$9) + CHOOSE(CONTROL!$C$27, 0.0021, 0)</f>
        <v>42.096599999999995</v>
      </c>
      <c r="L348" s="10"/>
    </row>
    <row r="349" spans="1:12" ht="15.75" x14ac:dyDescent="0.25">
      <c r="A349" s="14">
        <v>51925</v>
      </c>
      <c r="B349" s="10">
        <f>41.3887 * CHOOSE(CONTROL!$C$9, $D$9, 100%, $F$9) + CHOOSE(CONTROL!$C$27, 0.0021, 0)</f>
        <v>41.390799999999999</v>
      </c>
      <c r="C349" s="10">
        <f>40.9564 * CHOOSE(CONTROL!$C$9, $D$9, 100%, $F$9) + CHOOSE(CONTROL!$C$27, 0.0021, 0)</f>
        <v>40.958500000000001</v>
      </c>
      <c r="D349" s="10">
        <f>40.9564 * CHOOSE(CONTROL!$C$9, $D$9, 100%, $F$9) + CHOOSE(CONTROL!$C$27, 0.0021, 0)</f>
        <v>40.958500000000001</v>
      </c>
      <c r="E349" s="10">
        <f>40.8198 * CHOOSE(CONTROL!$C$9, $D$9, 100%, $F$9) + CHOOSE(CONTROL!$C$27, 0.0021, 0)</f>
        <v>40.821899999999999</v>
      </c>
      <c r="F349" s="10">
        <f>40.8198 * CHOOSE(CONTROL!$C$9, $D$9, 100%, $F$9) + CHOOSE(CONTROL!$C$27, 0.0021, 0)</f>
        <v>40.821899999999999</v>
      </c>
      <c r="G349" s="10">
        <f>41.0911 * CHOOSE(CONTROL!$C$9, $D$9, 100%, $F$9) + CHOOSE(CONTROL!$C$27, 0.0021, 0)</f>
        <v>41.093199999999996</v>
      </c>
      <c r="H349" s="10">
        <f>40.9564 * CHOOSE(CONTROL!$C$9, $D$9, 100%, $F$9) + CHOOSE(CONTROL!$C$27, 0.0021, 0)</f>
        <v>40.958500000000001</v>
      </c>
      <c r="I349" s="10">
        <f>40.9564 * CHOOSE(CONTROL!$C$9, $D$9, 100%, $F$9) + CHOOSE(CONTROL!$C$27, 0.0021, 0)</f>
        <v>40.958500000000001</v>
      </c>
      <c r="J349" s="10">
        <f>40.9564 * CHOOSE(CONTROL!$C$9, $D$9, 100%, $F$9) + CHOOSE(CONTROL!$C$27, 0.0021, 0)</f>
        <v>40.958500000000001</v>
      </c>
      <c r="K349" s="10">
        <f>40.9564 * CHOOSE(CONTROL!$C$9, $D$9, 100%, $F$9) + CHOOSE(CONTROL!$C$27, 0.0021, 0)</f>
        <v>40.958500000000001</v>
      </c>
      <c r="L349" s="10"/>
    </row>
    <row r="350" spans="1:12" ht="15.75" x14ac:dyDescent="0.25">
      <c r="A350" s="14">
        <v>51956</v>
      </c>
      <c r="B350" s="10">
        <f>40.9189 * CHOOSE(CONTROL!$C$9, $D$9, 100%, $F$9) + CHOOSE(CONTROL!$C$27, 0.0021, 0)</f>
        <v>40.920999999999999</v>
      </c>
      <c r="C350" s="10">
        <f>40.4866 * CHOOSE(CONTROL!$C$9, $D$9, 100%, $F$9) + CHOOSE(CONTROL!$C$27, 0.0021, 0)</f>
        <v>40.488700000000001</v>
      </c>
      <c r="D350" s="10">
        <f>40.4866 * CHOOSE(CONTROL!$C$9, $D$9, 100%, $F$9) + CHOOSE(CONTROL!$C$27, 0.0021, 0)</f>
        <v>40.488700000000001</v>
      </c>
      <c r="E350" s="10">
        <f>40.35 * CHOOSE(CONTROL!$C$9, $D$9, 100%, $F$9) + CHOOSE(CONTROL!$C$27, 0.0021, 0)</f>
        <v>40.3521</v>
      </c>
      <c r="F350" s="10">
        <f>40.35 * CHOOSE(CONTROL!$C$9, $D$9, 100%, $F$9) + CHOOSE(CONTROL!$C$27, 0.0021, 0)</f>
        <v>40.3521</v>
      </c>
      <c r="G350" s="10">
        <f>40.6214 * CHOOSE(CONTROL!$C$9, $D$9, 100%, $F$9) + CHOOSE(CONTROL!$C$27, 0.0021, 0)</f>
        <v>40.6235</v>
      </c>
      <c r="H350" s="10">
        <f>40.4866 * CHOOSE(CONTROL!$C$9, $D$9, 100%, $F$9) + CHOOSE(CONTROL!$C$27, 0.0021, 0)</f>
        <v>40.488700000000001</v>
      </c>
      <c r="I350" s="10">
        <f>40.4866 * CHOOSE(CONTROL!$C$9, $D$9, 100%, $F$9) + CHOOSE(CONTROL!$C$27, 0.0021, 0)</f>
        <v>40.488700000000001</v>
      </c>
      <c r="J350" s="10">
        <f>40.4866 * CHOOSE(CONTROL!$C$9, $D$9, 100%, $F$9) + CHOOSE(CONTROL!$C$27, 0.0021, 0)</f>
        <v>40.488700000000001</v>
      </c>
      <c r="K350" s="10">
        <f>40.4866 * CHOOSE(CONTROL!$C$9, $D$9, 100%, $F$9) + CHOOSE(CONTROL!$C$27, 0.0021, 0)</f>
        <v>40.488700000000001</v>
      </c>
      <c r="L350" s="10"/>
    </row>
    <row r="351" spans="1:12" ht="15.75" x14ac:dyDescent="0.25">
      <c r="A351" s="14">
        <v>51986</v>
      </c>
      <c r="B351" s="10">
        <f>40.358 * CHOOSE(CONTROL!$C$9, $D$9, 100%, $F$9) + CHOOSE(CONTROL!$C$27, 0.0021, 0)</f>
        <v>40.360099999999996</v>
      </c>
      <c r="C351" s="10">
        <f>39.9257 * CHOOSE(CONTROL!$C$9, $D$9, 100%, $F$9) + CHOOSE(CONTROL!$C$27, 0.0021, 0)</f>
        <v>39.927799999999998</v>
      </c>
      <c r="D351" s="10">
        <f>39.9257 * CHOOSE(CONTROL!$C$9, $D$9, 100%, $F$9) + CHOOSE(CONTROL!$C$27, 0.0021, 0)</f>
        <v>39.927799999999998</v>
      </c>
      <c r="E351" s="10">
        <f>39.789 * CHOOSE(CONTROL!$C$9, $D$9, 100%, $F$9) + CHOOSE(CONTROL!$C$27, 0.0021, 0)</f>
        <v>39.7911</v>
      </c>
      <c r="F351" s="10">
        <f>39.789 * CHOOSE(CONTROL!$C$9, $D$9, 100%, $F$9) + CHOOSE(CONTROL!$C$27, 0.0021, 0)</f>
        <v>39.7911</v>
      </c>
      <c r="G351" s="10">
        <f>40.0604 * CHOOSE(CONTROL!$C$9, $D$9, 100%, $F$9) + CHOOSE(CONTROL!$C$27, 0.0021, 0)</f>
        <v>40.0625</v>
      </c>
      <c r="H351" s="10">
        <f>39.9257 * CHOOSE(CONTROL!$C$9, $D$9, 100%, $F$9) + CHOOSE(CONTROL!$C$27, 0.0021, 0)</f>
        <v>39.927799999999998</v>
      </c>
      <c r="I351" s="10">
        <f>39.9257 * CHOOSE(CONTROL!$C$9, $D$9, 100%, $F$9) + CHOOSE(CONTROL!$C$27, 0.0021, 0)</f>
        <v>39.927799999999998</v>
      </c>
      <c r="J351" s="10">
        <f>39.9257 * CHOOSE(CONTROL!$C$9, $D$9, 100%, $F$9) + CHOOSE(CONTROL!$C$27, 0.0021, 0)</f>
        <v>39.927799999999998</v>
      </c>
      <c r="K351" s="10">
        <f>39.9257 * CHOOSE(CONTROL!$C$9, $D$9, 100%, $F$9) + CHOOSE(CONTROL!$C$27, 0.0021, 0)</f>
        <v>39.927799999999998</v>
      </c>
      <c r="L351" s="10"/>
    </row>
    <row r="352" spans="1:12" ht="15.75" x14ac:dyDescent="0.25">
      <c r="A352" s="14">
        <v>52017</v>
      </c>
      <c r="B352" s="10">
        <f>41.1574 * CHOOSE(CONTROL!$C$9, $D$9, 100%, $F$9) + CHOOSE(CONTROL!$C$27, 0.0021, 0)</f>
        <v>41.159500000000001</v>
      </c>
      <c r="C352" s="10">
        <f>40.7251 * CHOOSE(CONTROL!$C$9, $D$9, 100%, $F$9) + CHOOSE(CONTROL!$C$27, 0.0021, 0)</f>
        <v>40.727199999999996</v>
      </c>
      <c r="D352" s="10">
        <f>40.7251 * CHOOSE(CONTROL!$C$9, $D$9, 100%, $F$9) + CHOOSE(CONTROL!$C$27, 0.0021, 0)</f>
        <v>40.727199999999996</v>
      </c>
      <c r="E352" s="10">
        <f>40.5884 * CHOOSE(CONTROL!$C$9, $D$9, 100%, $F$9) + CHOOSE(CONTROL!$C$27, 0.0021, 0)</f>
        <v>40.590499999999999</v>
      </c>
      <c r="F352" s="10">
        <f>40.5884 * CHOOSE(CONTROL!$C$9, $D$9, 100%, $F$9) + CHOOSE(CONTROL!$C$27, 0.0021, 0)</f>
        <v>40.590499999999999</v>
      </c>
      <c r="G352" s="10">
        <f>40.8598 * CHOOSE(CONTROL!$C$9, $D$9, 100%, $F$9) + CHOOSE(CONTROL!$C$27, 0.0021, 0)</f>
        <v>40.861899999999999</v>
      </c>
      <c r="H352" s="10">
        <f>40.7251 * CHOOSE(CONTROL!$C$9, $D$9, 100%, $F$9) + CHOOSE(CONTROL!$C$27, 0.0021, 0)</f>
        <v>40.727199999999996</v>
      </c>
      <c r="I352" s="10">
        <f>40.7251 * CHOOSE(CONTROL!$C$9, $D$9, 100%, $F$9) + CHOOSE(CONTROL!$C$27, 0.0021, 0)</f>
        <v>40.727199999999996</v>
      </c>
      <c r="J352" s="10">
        <f>40.7251 * CHOOSE(CONTROL!$C$9, $D$9, 100%, $F$9) + CHOOSE(CONTROL!$C$27, 0.0021, 0)</f>
        <v>40.727199999999996</v>
      </c>
      <c r="K352" s="10">
        <f>40.7251 * CHOOSE(CONTROL!$C$9, $D$9, 100%, $F$9) + CHOOSE(CONTROL!$C$27, 0.0021, 0)</f>
        <v>40.727199999999996</v>
      </c>
      <c r="L352" s="10"/>
    </row>
    <row r="353" spans="1:12" ht="15.75" x14ac:dyDescent="0.25">
      <c r="A353" s="14">
        <v>52047</v>
      </c>
      <c r="B353" s="10">
        <f>41.6362 * CHOOSE(CONTROL!$C$9, $D$9, 100%, $F$9) + CHOOSE(CONTROL!$C$27, 0.0021, 0)</f>
        <v>41.638300000000001</v>
      </c>
      <c r="C353" s="10">
        <f>41.2039 * CHOOSE(CONTROL!$C$9, $D$9, 100%, $F$9) + CHOOSE(CONTROL!$C$27, 0.0021, 0)</f>
        <v>41.205999999999996</v>
      </c>
      <c r="D353" s="10">
        <f>41.2039 * CHOOSE(CONTROL!$C$9, $D$9, 100%, $F$9) + CHOOSE(CONTROL!$C$27, 0.0021, 0)</f>
        <v>41.205999999999996</v>
      </c>
      <c r="E353" s="10">
        <f>41.0673 * CHOOSE(CONTROL!$C$9, $D$9, 100%, $F$9) + CHOOSE(CONTROL!$C$27, 0.0021, 0)</f>
        <v>41.069400000000002</v>
      </c>
      <c r="F353" s="10">
        <f>41.0673 * CHOOSE(CONTROL!$C$9, $D$9, 100%, $F$9) + CHOOSE(CONTROL!$C$27, 0.0021, 0)</f>
        <v>41.069400000000002</v>
      </c>
      <c r="G353" s="10">
        <f>41.3386 * CHOOSE(CONTROL!$C$9, $D$9, 100%, $F$9) + CHOOSE(CONTROL!$C$27, 0.0021, 0)</f>
        <v>41.340699999999998</v>
      </c>
      <c r="H353" s="10">
        <f>41.2039 * CHOOSE(CONTROL!$C$9, $D$9, 100%, $F$9) + CHOOSE(CONTROL!$C$27, 0.0021, 0)</f>
        <v>41.205999999999996</v>
      </c>
      <c r="I353" s="10">
        <f>41.2039 * CHOOSE(CONTROL!$C$9, $D$9, 100%, $F$9) + CHOOSE(CONTROL!$C$27, 0.0021, 0)</f>
        <v>41.205999999999996</v>
      </c>
      <c r="J353" s="10">
        <f>41.2039 * CHOOSE(CONTROL!$C$9, $D$9, 100%, $F$9) + CHOOSE(CONTROL!$C$27, 0.0021, 0)</f>
        <v>41.205999999999996</v>
      </c>
      <c r="K353" s="10">
        <f>41.2039 * CHOOSE(CONTROL!$C$9, $D$9, 100%, $F$9) + CHOOSE(CONTROL!$C$27, 0.0021, 0)</f>
        <v>41.205999999999996</v>
      </c>
      <c r="L353" s="10"/>
    </row>
    <row r="354" spans="1:12" ht="15.75" x14ac:dyDescent="0.25">
      <c r="A354" s="14">
        <v>52078</v>
      </c>
      <c r="B354" s="10">
        <f>42.426 * CHOOSE(CONTROL!$C$9, $D$9, 100%, $F$9) + CHOOSE(CONTROL!$C$27, 0.0021, 0)</f>
        <v>42.428100000000001</v>
      </c>
      <c r="C354" s="10">
        <f>41.9938 * CHOOSE(CONTROL!$C$9, $D$9, 100%, $F$9) + CHOOSE(CONTROL!$C$27, 0.0021, 0)</f>
        <v>41.995899999999999</v>
      </c>
      <c r="D354" s="10">
        <f>41.9938 * CHOOSE(CONTROL!$C$9, $D$9, 100%, $F$9) + CHOOSE(CONTROL!$C$27, 0.0021, 0)</f>
        <v>41.995899999999999</v>
      </c>
      <c r="E354" s="10">
        <f>41.8571 * CHOOSE(CONTROL!$C$9, $D$9, 100%, $F$9) + CHOOSE(CONTROL!$C$27, 0.0021, 0)</f>
        <v>41.859200000000001</v>
      </c>
      <c r="F354" s="10">
        <f>41.8571 * CHOOSE(CONTROL!$C$9, $D$9, 100%, $F$9) + CHOOSE(CONTROL!$C$27, 0.0021, 0)</f>
        <v>41.859200000000001</v>
      </c>
      <c r="G354" s="10">
        <f>42.1285 * CHOOSE(CONTROL!$C$9, $D$9, 100%, $F$9) + CHOOSE(CONTROL!$C$27, 0.0021, 0)</f>
        <v>42.130600000000001</v>
      </c>
      <c r="H354" s="10">
        <f>41.9938 * CHOOSE(CONTROL!$C$9, $D$9, 100%, $F$9) + CHOOSE(CONTROL!$C$27, 0.0021, 0)</f>
        <v>41.995899999999999</v>
      </c>
      <c r="I354" s="10">
        <f>41.9938 * CHOOSE(CONTROL!$C$9, $D$9, 100%, $F$9) + CHOOSE(CONTROL!$C$27, 0.0021, 0)</f>
        <v>41.995899999999999</v>
      </c>
      <c r="J354" s="10">
        <f>41.9938 * CHOOSE(CONTROL!$C$9, $D$9, 100%, $F$9) + CHOOSE(CONTROL!$C$27, 0.0021, 0)</f>
        <v>41.995899999999999</v>
      </c>
      <c r="K354" s="10">
        <f>41.9938 * CHOOSE(CONTROL!$C$9, $D$9, 100%, $F$9) + CHOOSE(CONTROL!$C$27, 0.0021, 0)</f>
        <v>41.995899999999999</v>
      </c>
      <c r="L354" s="10"/>
    </row>
    <row r="355" spans="1:12" ht="15.75" x14ac:dyDescent="0.25">
      <c r="A355" s="14">
        <v>52109</v>
      </c>
      <c r="B355" s="10">
        <f>42.6671 * CHOOSE(CONTROL!$C$9, $D$9, 100%, $F$9) + CHOOSE(CONTROL!$C$27, 0.0021, 0)</f>
        <v>42.669199999999996</v>
      </c>
      <c r="C355" s="10">
        <f>42.2348 * CHOOSE(CONTROL!$C$9, $D$9, 100%, $F$9) + CHOOSE(CONTROL!$C$27, 0.0021, 0)</f>
        <v>42.236899999999999</v>
      </c>
      <c r="D355" s="10">
        <f>42.2348 * CHOOSE(CONTROL!$C$9, $D$9, 100%, $F$9) + CHOOSE(CONTROL!$C$27, 0.0021, 0)</f>
        <v>42.236899999999999</v>
      </c>
      <c r="E355" s="10">
        <f>42.0982 * CHOOSE(CONTROL!$C$9, $D$9, 100%, $F$9) + CHOOSE(CONTROL!$C$27, 0.0021, 0)</f>
        <v>42.100299999999997</v>
      </c>
      <c r="F355" s="10">
        <f>42.0982 * CHOOSE(CONTROL!$C$9, $D$9, 100%, $F$9) + CHOOSE(CONTROL!$C$27, 0.0021, 0)</f>
        <v>42.100299999999997</v>
      </c>
      <c r="G355" s="10">
        <f>42.3696 * CHOOSE(CONTROL!$C$9, $D$9, 100%, $F$9) + CHOOSE(CONTROL!$C$27, 0.0021, 0)</f>
        <v>42.371699999999997</v>
      </c>
      <c r="H355" s="10">
        <f>42.2348 * CHOOSE(CONTROL!$C$9, $D$9, 100%, $F$9) + CHOOSE(CONTROL!$C$27, 0.0021, 0)</f>
        <v>42.236899999999999</v>
      </c>
      <c r="I355" s="10">
        <f>42.2348 * CHOOSE(CONTROL!$C$9, $D$9, 100%, $F$9) + CHOOSE(CONTROL!$C$27, 0.0021, 0)</f>
        <v>42.236899999999999</v>
      </c>
      <c r="J355" s="10">
        <f>42.2348 * CHOOSE(CONTROL!$C$9, $D$9, 100%, $F$9) + CHOOSE(CONTROL!$C$27, 0.0021, 0)</f>
        <v>42.236899999999999</v>
      </c>
      <c r="K355" s="10">
        <f>42.2348 * CHOOSE(CONTROL!$C$9, $D$9, 100%, $F$9) + CHOOSE(CONTROL!$C$27, 0.0021, 0)</f>
        <v>42.236899999999999</v>
      </c>
      <c r="L355" s="10"/>
    </row>
    <row r="356" spans="1:12" ht="15.75" x14ac:dyDescent="0.25">
      <c r="A356" s="14">
        <v>52139</v>
      </c>
      <c r="B356" s="10">
        <f>43.4881 * CHOOSE(CONTROL!$C$9, $D$9, 100%, $F$9) + CHOOSE(CONTROL!$C$27, 0.0021, 0)</f>
        <v>43.490200000000002</v>
      </c>
      <c r="C356" s="10">
        <f>43.0559 * CHOOSE(CONTROL!$C$9, $D$9, 100%, $F$9) + CHOOSE(CONTROL!$C$27, 0.0021, 0)</f>
        <v>43.058</v>
      </c>
      <c r="D356" s="10">
        <f>43.0559 * CHOOSE(CONTROL!$C$9, $D$9, 100%, $F$9) + CHOOSE(CONTROL!$C$27, 0.0021, 0)</f>
        <v>43.058</v>
      </c>
      <c r="E356" s="10">
        <f>42.9192 * CHOOSE(CONTROL!$C$9, $D$9, 100%, $F$9) + CHOOSE(CONTROL!$C$27, 0.0021, 0)</f>
        <v>42.921299999999995</v>
      </c>
      <c r="F356" s="10">
        <f>42.9192 * CHOOSE(CONTROL!$C$9, $D$9, 100%, $F$9) + CHOOSE(CONTROL!$C$27, 0.0021, 0)</f>
        <v>42.921299999999995</v>
      </c>
      <c r="G356" s="10">
        <f>43.1906 * CHOOSE(CONTROL!$C$9, $D$9, 100%, $F$9) + CHOOSE(CONTROL!$C$27, 0.0021, 0)</f>
        <v>43.192700000000002</v>
      </c>
      <c r="H356" s="10">
        <f>43.0559 * CHOOSE(CONTROL!$C$9, $D$9, 100%, $F$9) + CHOOSE(CONTROL!$C$27, 0.0021, 0)</f>
        <v>43.058</v>
      </c>
      <c r="I356" s="10">
        <f>43.0559 * CHOOSE(CONTROL!$C$9, $D$9, 100%, $F$9) + CHOOSE(CONTROL!$C$27, 0.0021, 0)</f>
        <v>43.058</v>
      </c>
      <c r="J356" s="10">
        <f>43.0559 * CHOOSE(CONTROL!$C$9, $D$9, 100%, $F$9) + CHOOSE(CONTROL!$C$27, 0.0021, 0)</f>
        <v>43.058</v>
      </c>
      <c r="K356" s="10">
        <f>43.0559 * CHOOSE(CONTROL!$C$9, $D$9, 100%, $F$9) + CHOOSE(CONTROL!$C$27, 0.0021, 0)</f>
        <v>43.058</v>
      </c>
      <c r="L356" s="10"/>
    </row>
    <row r="357" spans="1:12" ht="15.75" x14ac:dyDescent="0.25">
      <c r="A357" s="14">
        <v>52170</v>
      </c>
      <c r="B357" s="10">
        <f>44.5274 * CHOOSE(CONTROL!$C$9, $D$9, 100%, $F$9) + CHOOSE(CONTROL!$C$27, 0.0021, 0)</f>
        <v>44.529499999999999</v>
      </c>
      <c r="C357" s="10">
        <f>44.0951 * CHOOSE(CONTROL!$C$9, $D$9, 100%, $F$9) + CHOOSE(CONTROL!$C$27, 0.0021, 0)</f>
        <v>44.097200000000001</v>
      </c>
      <c r="D357" s="10">
        <f>44.0951 * CHOOSE(CONTROL!$C$9, $D$9, 100%, $F$9) + CHOOSE(CONTROL!$C$27, 0.0021, 0)</f>
        <v>44.097200000000001</v>
      </c>
      <c r="E357" s="10">
        <f>43.9585 * CHOOSE(CONTROL!$C$9, $D$9, 100%, $F$9) + CHOOSE(CONTROL!$C$27, 0.0021, 0)</f>
        <v>43.960599999999999</v>
      </c>
      <c r="F357" s="10">
        <f>43.9585 * CHOOSE(CONTROL!$C$9, $D$9, 100%, $F$9) + CHOOSE(CONTROL!$C$27, 0.0021, 0)</f>
        <v>43.960599999999999</v>
      </c>
      <c r="G357" s="10">
        <f>44.2299 * CHOOSE(CONTROL!$C$9, $D$9, 100%, $F$9) + CHOOSE(CONTROL!$C$27, 0.0021, 0)</f>
        <v>44.231999999999999</v>
      </c>
      <c r="H357" s="10">
        <f>44.0951 * CHOOSE(CONTROL!$C$9, $D$9, 100%, $F$9) + CHOOSE(CONTROL!$C$27, 0.0021, 0)</f>
        <v>44.097200000000001</v>
      </c>
      <c r="I357" s="10">
        <f>44.0951 * CHOOSE(CONTROL!$C$9, $D$9, 100%, $F$9) + CHOOSE(CONTROL!$C$27, 0.0021, 0)</f>
        <v>44.097200000000001</v>
      </c>
      <c r="J357" s="10">
        <f>44.0951 * CHOOSE(CONTROL!$C$9, $D$9, 100%, $F$9) + CHOOSE(CONTROL!$C$27, 0.0021, 0)</f>
        <v>44.097200000000001</v>
      </c>
      <c r="K357" s="10">
        <f>44.0951 * CHOOSE(CONTROL!$C$9, $D$9, 100%, $F$9) + CHOOSE(CONTROL!$C$27, 0.0021, 0)</f>
        <v>44.097200000000001</v>
      </c>
      <c r="L357" s="10"/>
    </row>
    <row r="358" spans="1:12" ht="15.75" x14ac:dyDescent="0.25">
      <c r="A358" s="14">
        <v>52200</v>
      </c>
      <c r="B358" s="10">
        <f>44.6249 * CHOOSE(CONTROL!$C$9, $D$9, 100%, $F$9) + CHOOSE(CONTROL!$C$27, 0.0021, 0)</f>
        <v>44.626999999999995</v>
      </c>
      <c r="C358" s="10">
        <f>44.1927 * CHOOSE(CONTROL!$C$9, $D$9, 100%, $F$9) + CHOOSE(CONTROL!$C$27, 0.0021, 0)</f>
        <v>44.194800000000001</v>
      </c>
      <c r="D358" s="10">
        <f>44.1927 * CHOOSE(CONTROL!$C$9, $D$9, 100%, $F$9) + CHOOSE(CONTROL!$C$27, 0.0021, 0)</f>
        <v>44.194800000000001</v>
      </c>
      <c r="E358" s="10">
        <f>44.056 * CHOOSE(CONTROL!$C$9, $D$9, 100%, $F$9) + CHOOSE(CONTROL!$C$27, 0.0021, 0)</f>
        <v>44.058099999999996</v>
      </c>
      <c r="F358" s="10">
        <f>44.056 * CHOOSE(CONTROL!$C$9, $D$9, 100%, $F$9) + CHOOSE(CONTROL!$C$27, 0.0021, 0)</f>
        <v>44.058099999999996</v>
      </c>
      <c r="G358" s="10">
        <f>44.3274 * CHOOSE(CONTROL!$C$9, $D$9, 100%, $F$9) + CHOOSE(CONTROL!$C$27, 0.0021, 0)</f>
        <v>44.329499999999996</v>
      </c>
      <c r="H358" s="10">
        <f>44.1927 * CHOOSE(CONTROL!$C$9, $D$9, 100%, $F$9) + CHOOSE(CONTROL!$C$27, 0.0021, 0)</f>
        <v>44.194800000000001</v>
      </c>
      <c r="I358" s="10">
        <f>44.1927 * CHOOSE(CONTROL!$C$9, $D$9, 100%, $F$9) + CHOOSE(CONTROL!$C$27, 0.0021, 0)</f>
        <v>44.194800000000001</v>
      </c>
      <c r="J358" s="10">
        <f>44.1927 * CHOOSE(CONTROL!$C$9, $D$9, 100%, $F$9) + CHOOSE(CONTROL!$C$27, 0.0021, 0)</f>
        <v>44.194800000000001</v>
      </c>
      <c r="K358" s="10">
        <f>44.1927 * CHOOSE(CONTROL!$C$9, $D$9, 100%, $F$9) + CHOOSE(CONTROL!$C$27, 0.0021, 0)</f>
        <v>44.194800000000001</v>
      </c>
      <c r="L358" s="10"/>
    </row>
    <row r="359" spans="1:12" ht="15.75" x14ac:dyDescent="0.25">
      <c r="A359" s="14">
        <v>52231</v>
      </c>
      <c r="B359" s="10">
        <f>43.7949 * CHOOSE(CONTROL!$C$9, $D$9, 100%, $F$9) + CHOOSE(CONTROL!$C$27, 0.0021, 0)</f>
        <v>43.796999999999997</v>
      </c>
      <c r="C359" s="10">
        <f>43.3627 * CHOOSE(CONTROL!$C$9, $D$9, 100%, $F$9) + CHOOSE(CONTROL!$C$27, 0.0021, 0)</f>
        <v>43.364799999999995</v>
      </c>
      <c r="D359" s="10">
        <f>43.3627 * CHOOSE(CONTROL!$C$9, $D$9, 100%, $F$9) + CHOOSE(CONTROL!$C$27, 0.0021, 0)</f>
        <v>43.364799999999995</v>
      </c>
      <c r="E359" s="10">
        <f>43.226 * CHOOSE(CONTROL!$C$9, $D$9, 100%, $F$9) + CHOOSE(CONTROL!$C$27, 0.0021, 0)</f>
        <v>43.228099999999998</v>
      </c>
      <c r="F359" s="10">
        <f>43.226 * CHOOSE(CONTROL!$C$9, $D$9, 100%, $F$9) + CHOOSE(CONTROL!$C$27, 0.0021, 0)</f>
        <v>43.228099999999998</v>
      </c>
      <c r="G359" s="10">
        <f>43.4974 * CHOOSE(CONTROL!$C$9, $D$9, 100%, $F$9) + CHOOSE(CONTROL!$C$27, 0.0021, 0)</f>
        <v>43.499499999999998</v>
      </c>
      <c r="H359" s="10">
        <f>43.3627 * CHOOSE(CONTROL!$C$9, $D$9, 100%, $F$9) + CHOOSE(CONTROL!$C$27, 0.0021, 0)</f>
        <v>43.364799999999995</v>
      </c>
      <c r="I359" s="10">
        <f>43.3627 * CHOOSE(CONTROL!$C$9, $D$9, 100%, $F$9) + CHOOSE(CONTROL!$C$27, 0.0021, 0)</f>
        <v>43.364799999999995</v>
      </c>
      <c r="J359" s="10">
        <f>43.3627 * CHOOSE(CONTROL!$C$9, $D$9, 100%, $F$9) + CHOOSE(CONTROL!$C$27, 0.0021, 0)</f>
        <v>43.364799999999995</v>
      </c>
      <c r="K359" s="10">
        <f>43.3627 * CHOOSE(CONTROL!$C$9, $D$9, 100%, $F$9) + CHOOSE(CONTROL!$C$27, 0.0021, 0)</f>
        <v>43.364799999999995</v>
      </c>
      <c r="L359" s="10"/>
    </row>
    <row r="360" spans="1:12" ht="15.75" x14ac:dyDescent="0.25">
      <c r="A360" s="14">
        <v>52262</v>
      </c>
      <c r="B360" s="10">
        <f>43.1594 * CHOOSE(CONTROL!$C$9, $D$9, 100%, $F$9) + CHOOSE(CONTROL!$C$27, 0.0021, 0)</f>
        <v>43.161499999999997</v>
      </c>
      <c r="C360" s="10">
        <f>42.7272 * CHOOSE(CONTROL!$C$9, $D$9, 100%, $F$9) + CHOOSE(CONTROL!$C$27, 0.0021, 0)</f>
        <v>42.729300000000002</v>
      </c>
      <c r="D360" s="10">
        <f>42.7272 * CHOOSE(CONTROL!$C$9, $D$9, 100%, $F$9) + CHOOSE(CONTROL!$C$27, 0.0021, 0)</f>
        <v>42.729300000000002</v>
      </c>
      <c r="E360" s="10">
        <f>42.5905 * CHOOSE(CONTROL!$C$9, $D$9, 100%, $F$9) + CHOOSE(CONTROL!$C$27, 0.0021, 0)</f>
        <v>42.592599999999997</v>
      </c>
      <c r="F360" s="10">
        <f>42.5905 * CHOOSE(CONTROL!$C$9, $D$9, 100%, $F$9) + CHOOSE(CONTROL!$C$27, 0.0021, 0)</f>
        <v>42.592599999999997</v>
      </c>
      <c r="G360" s="10">
        <f>42.8619 * CHOOSE(CONTROL!$C$9, $D$9, 100%, $F$9) + CHOOSE(CONTROL!$C$27, 0.0021, 0)</f>
        <v>42.863999999999997</v>
      </c>
      <c r="H360" s="10">
        <f>42.7272 * CHOOSE(CONTROL!$C$9, $D$9, 100%, $F$9) + CHOOSE(CONTROL!$C$27, 0.0021, 0)</f>
        <v>42.729300000000002</v>
      </c>
      <c r="I360" s="10">
        <f>42.7272 * CHOOSE(CONTROL!$C$9, $D$9, 100%, $F$9) + CHOOSE(CONTROL!$C$27, 0.0021, 0)</f>
        <v>42.729300000000002</v>
      </c>
      <c r="J360" s="10">
        <f>42.7272 * CHOOSE(CONTROL!$C$9, $D$9, 100%, $F$9) + CHOOSE(CONTROL!$C$27, 0.0021, 0)</f>
        <v>42.729300000000002</v>
      </c>
      <c r="K360" s="10">
        <f>42.7272 * CHOOSE(CONTROL!$C$9, $D$9, 100%, $F$9) + CHOOSE(CONTROL!$C$27, 0.0021, 0)</f>
        <v>42.729300000000002</v>
      </c>
      <c r="L360" s="10"/>
    </row>
    <row r="361" spans="1:12" ht="15.75" x14ac:dyDescent="0.25">
      <c r="A361" s="14">
        <v>52290</v>
      </c>
      <c r="B361" s="10">
        <f>42.0035 * CHOOSE(CONTROL!$C$9, $D$9, 100%, $F$9) + CHOOSE(CONTROL!$C$27, 0.0021, 0)</f>
        <v>42.005600000000001</v>
      </c>
      <c r="C361" s="10">
        <f>41.5712 * CHOOSE(CONTROL!$C$9, $D$9, 100%, $F$9) + CHOOSE(CONTROL!$C$27, 0.0021, 0)</f>
        <v>41.573299999999996</v>
      </c>
      <c r="D361" s="10">
        <f>41.5712 * CHOOSE(CONTROL!$C$9, $D$9, 100%, $F$9) + CHOOSE(CONTROL!$C$27, 0.0021, 0)</f>
        <v>41.573299999999996</v>
      </c>
      <c r="E361" s="10">
        <f>41.4346 * CHOOSE(CONTROL!$C$9, $D$9, 100%, $F$9) + CHOOSE(CONTROL!$C$27, 0.0021, 0)</f>
        <v>41.436700000000002</v>
      </c>
      <c r="F361" s="10">
        <f>41.4346 * CHOOSE(CONTROL!$C$9, $D$9, 100%, $F$9) + CHOOSE(CONTROL!$C$27, 0.0021, 0)</f>
        <v>41.436700000000002</v>
      </c>
      <c r="G361" s="10">
        <f>41.7059 * CHOOSE(CONTROL!$C$9, $D$9, 100%, $F$9) + CHOOSE(CONTROL!$C$27, 0.0021, 0)</f>
        <v>41.707999999999998</v>
      </c>
      <c r="H361" s="10">
        <f>41.5712 * CHOOSE(CONTROL!$C$9, $D$9, 100%, $F$9) + CHOOSE(CONTROL!$C$27, 0.0021, 0)</f>
        <v>41.573299999999996</v>
      </c>
      <c r="I361" s="10">
        <f>41.5712 * CHOOSE(CONTROL!$C$9, $D$9, 100%, $F$9) + CHOOSE(CONTROL!$C$27, 0.0021, 0)</f>
        <v>41.573299999999996</v>
      </c>
      <c r="J361" s="10">
        <f>41.5712 * CHOOSE(CONTROL!$C$9, $D$9, 100%, $F$9) + CHOOSE(CONTROL!$C$27, 0.0021, 0)</f>
        <v>41.573299999999996</v>
      </c>
      <c r="K361" s="10">
        <f>41.5712 * CHOOSE(CONTROL!$C$9, $D$9, 100%, $F$9) + CHOOSE(CONTROL!$C$27, 0.0021, 0)</f>
        <v>41.573299999999996</v>
      </c>
      <c r="L361" s="10"/>
    </row>
    <row r="362" spans="1:12" ht="15.75" x14ac:dyDescent="0.25">
      <c r="A362" s="14">
        <v>52321</v>
      </c>
      <c r="B362" s="10">
        <f>41.5263 * CHOOSE(CONTROL!$C$9, $D$9, 100%, $F$9) + CHOOSE(CONTROL!$C$27, 0.0021, 0)</f>
        <v>41.528399999999998</v>
      </c>
      <c r="C362" s="10">
        <f>41.094 * CHOOSE(CONTROL!$C$9, $D$9, 100%, $F$9) + CHOOSE(CONTROL!$C$27, 0.0021, 0)</f>
        <v>41.0961</v>
      </c>
      <c r="D362" s="10">
        <f>41.094 * CHOOSE(CONTROL!$C$9, $D$9, 100%, $F$9) + CHOOSE(CONTROL!$C$27, 0.0021, 0)</f>
        <v>41.0961</v>
      </c>
      <c r="E362" s="10">
        <f>40.9574 * CHOOSE(CONTROL!$C$9, $D$9, 100%, $F$9) + CHOOSE(CONTROL!$C$27, 0.0021, 0)</f>
        <v>40.959499999999998</v>
      </c>
      <c r="F362" s="10">
        <f>40.9574 * CHOOSE(CONTROL!$C$9, $D$9, 100%, $F$9) + CHOOSE(CONTROL!$C$27, 0.0021, 0)</f>
        <v>40.959499999999998</v>
      </c>
      <c r="G362" s="10">
        <f>41.2288 * CHOOSE(CONTROL!$C$9, $D$9, 100%, $F$9) + CHOOSE(CONTROL!$C$27, 0.0021, 0)</f>
        <v>41.230899999999998</v>
      </c>
      <c r="H362" s="10">
        <f>41.094 * CHOOSE(CONTROL!$C$9, $D$9, 100%, $F$9) + CHOOSE(CONTROL!$C$27, 0.0021, 0)</f>
        <v>41.0961</v>
      </c>
      <c r="I362" s="10">
        <f>41.094 * CHOOSE(CONTROL!$C$9, $D$9, 100%, $F$9) + CHOOSE(CONTROL!$C$27, 0.0021, 0)</f>
        <v>41.0961</v>
      </c>
      <c r="J362" s="10">
        <f>41.094 * CHOOSE(CONTROL!$C$9, $D$9, 100%, $F$9) + CHOOSE(CONTROL!$C$27, 0.0021, 0)</f>
        <v>41.0961</v>
      </c>
      <c r="K362" s="10">
        <f>41.094 * CHOOSE(CONTROL!$C$9, $D$9, 100%, $F$9) + CHOOSE(CONTROL!$C$27, 0.0021, 0)</f>
        <v>41.0961</v>
      </c>
      <c r="L362" s="10"/>
    </row>
    <row r="363" spans="1:12" ht="15.75" x14ac:dyDescent="0.25">
      <c r="A363" s="14">
        <v>52351</v>
      </c>
      <c r="B363" s="10">
        <f>40.9565 * CHOOSE(CONTROL!$C$9, $D$9, 100%, $F$9) + CHOOSE(CONTROL!$C$27, 0.0021, 0)</f>
        <v>40.958599999999997</v>
      </c>
      <c r="C363" s="10">
        <f>40.5243 * CHOOSE(CONTROL!$C$9, $D$9, 100%, $F$9) + CHOOSE(CONTROL!$C$27, 0.0021, 0)</f>
        <v>40.526399999999995</v>
      </c>
      <c r="D363" s="10">
        <f>40.5243 * CHOOSE(CONTROL!$C$9, $D$9, 100%, $F$9) + CHOOSE(CONTROL!$C$27, 0.0021, 0)</f>
        <v>40.526399999999995</v>
      </c>
      <c r="E363" s="10">
        <f>40.3876 * CHOOSE(CONTROL!$C$9, $D$9, 100%, $F$9) + CHOOSE(CONTROL!$C$27, 0.0021, 0)</f>
        <v>40.389699999999998</v>
      </c>
      <c r="F363" s="10">
        <f>40.3876 * CHOOSE(CONTROL!$C$9, $D$9, 100%, $F$9) + CHOOSE(CONTROL!$C$27, 0.0021, 0)</f>
        <v>40.389699999999998</v>
      </c>
      <c r="G363" s="10">
        <f>40.659 * CHOOSE(CONTROL!$C$9, $D$9, 100%, $F$9) + CHOOSE(CONTROL!$C$27, 0.0021, 0)</f>
        <v>40.661099999999998</v>
      </c>
      <c r="H363" s="10">
        <f>40.5243 * CHOOSE(CONTROL!$C$9, $D$9, 100%, $F$9) + CHOOSE(CONTROL!$C$27, 0.0021, 0)</f>
        <v>40.526399999999995</v>
      </c>
      <c r="I363" s="10">
        <f>40.5243 * CHOOSE(CONTROL!$C$9, $D$9, 100%, $F$9) + CHOOSE(CONTROL!$C$27, 0.0021, 0)</f>
        <v>40.526399999999995</v>
      </c>
      <c r="J363" s="10">
        <f>40.5243 * CHOOSE(CONTROL!$C$9, $D$9, 100%, $F$9) + CHOOSE(CONTROL!$C$27, 0.0021, 0)</f>
        <v>40.526399999999995</v>
      </c>
      <c r="K363" s="10">
        <f>40.5243 * CHOOSE(CONTROL!$C$9, $D$9, 100%, $F$9) + CHOOSE(CONTROL!$C$27, 0.0021, 0)</f>
        <v>40.526399999999995</v>
      </c>
      <c r="L363" s="10"/>
    </row>
    <row r="364" spans="1:12" ht="15.75" x14ac:dyDescent="0.25">
      <c r="A364" s="14">
        <v>52382</v>
      </c>
      <c r="B364" s="10">
        <f>41.7685 * CHOOSE(CONTROL!$C$9, $D$9, 100%, $F$9) + CHOOSE(CONTROL!$C$27, 0.0021, 0)</f>
        <v>41.770600000000002</v>
      </c>
      <c r="C364" s="10">
        <f>41.3363 * CHOOSE(CONTROL!$C$9, $D$9, 100%, $F$9) + CHOOSE(CONTROL!$C$27, 0.0021, 0)</f>
        <v>41.3384</v>
      </c>
      <c r="D364" s="10">
        <f>41.3363 * CHOOSE(CONTROL!$C$9, $D$9, 100%, $F$9) + CHOOSE(CONTROL!$C$27, 0.0021, 0)</f>
        <v>41.3384</v>
      </c>
      <c r="E364" s="10">
        <f>41.1996 * CHOOSE(CONTROL!$C$9, $D$9, 100%, $F$9) + CHOOSE(CONTROL!$C$27, 0.0021, 0)</f>
        <v>41.201699999999995</v>
      </c>
      <c r="F364" s="10">
        <f>41.1996 * CHOOSE(CONTROL!$C$9, $D$9, 100%, $F$9) + CHOOSE(CONTROL!$C$27, 0.0021, 0)</f>
        <v>41.201699999999995</v>
      </c>
      <c r="G364" s="10">
        <f>41.471 * CHOOSE(CONTROL!$C$9, $D$9, 100%, $F$9) + CHOOSE(CONTROL!$C$27, 0.0021, 0)</f>
        <v>41.473099999999995</v>
      </c>
      <c r="H364" s="10">
        <f>41.3363 * CHOOSE(CONTROL!$C$9, $D$9, 100%, $F$9) + CHOOSE(CONTROL!$C$27, 0.0021, 0)</f>
        <v>41.3384</v>
      </c>
      <c r="I364" s="10">
        <f>41.3363 * CHOOSE(CONTROL!$C$9, $D$9, 100%, $F$9) + CHOOSE(CONTROL!$C$27, 0.0021, 0)</f>
        <v>41.3384</v>
      </c>
      <c r="J364" s="10">
        <f>41.3363 * CHOOSE(CONTROL!$C$9, $D$9, 100%, $F$9) + CHOOSE(CONTROL!$C$27, 0.0021, 0)</f>
        <v>41.3384</v>
      </c>
      <c r="K364" s="10">
        <f>41.3363 * CHOOSE(CONTROL!$C$9, $D$9, 100%, $F$9) + CHOOSE(CONTROL!$C$27, 0.0021, 0)</f>
        <v>41.3384</v>
      </c>
      <c r="L364" s="10"/>
    </row>
    <row r="365" spans="1:12" ht="15.75" x14ac:dyDescent="0.25">
      <c r="A365" s="14">
        <v>52412</v>
      </c>
      <c r="B365" s="10">
        <f>42.2548 * CHOOSE(CONTROL!$C$9, $D$9, 100%, $F$9) + CHOOSE(CONTROL!$C$27, 0.0021, 0)</f>
        <v>42.256900000000002</v>
      </c>
      <c r="C365" s="10">
        <f>41.8226 * CHOOSE(CONTROL!$C$9, $D$9, 100%, $F$9) + CHOOSE(CONTROL!$C$27, 0.0021, 0)</f>
        <v>41.8247</v>
      </c>
      <c r="D365" s="10">
        <f>41.8226 * CHOOSE(CONTROL!$C$9, $D$9, 100%, $F$9) + CHOOSE(CONTROL!$C$27, 0.0021, 0)</f>
        <v>41.8247</v>
      </c>
      <c r="E365" s="10">
        <f>41.6859 * CHOOSE(CONTROL!$C$9, $D$9, 100%, $F$9) + CHOOSE(CONTROL!$C$27, 0.0021, 0)</f>
        <v>41.687999999999995</v>
      </c>
      <c r="F365" s="10">
        <f>41.6859 * CHOOSE(CONTROL!$C$9, $D$9, 100%, $F$9) + CHOOSE(CONTROL!$C$27, 0.0021, 0)</f>
        <v>41.687999999999995</v>
      </c>
      <c r="G365" s="10">
        <f>41.9573 * CHOOSE(CONTROL!$C$9, $D$9, 100%, $F$9) + CHOOSE(CONTROL!$C$27, 0.0021, 0)</f>
        <v>41.959399999999995</v>
      </c>
      <c r="H365" s="10">
        <f>41.8226 * CHOOSE(CONTROL!$C$9, $D$9, 100%, $F$9) + CHOOSE(CONTROL!$C$27, 0.0021, 0)</f>
        <v>41.8247</v>
      </c>
      <c r="I365" s="10">
        <f>41.8226 * CHOOSE(CONTROL!$C$9, $D$9, 100%, $F$9) + CHOOSE(CONTROL!$C$27, 0.0021, 0)</f>
        <v>41.8247</v>
      </c>
      <c r="J365" s="10">
        <f>41.8226 * CHOOSE(CONTROL!$C$9, $D$9, 100%, $F$9) + CHOOSE(CONTROL!$C$27, 0.0021, 0)</f>
        <v>41.8247</v>
      </c>
      <c r="K365" s="10">
        <f>41.8226 * CHOOSE(CONTROL!$C$9, $D$9, 100%, $F$9) + CHOOSE(CONTROL!$C$27, 0.0021, 0)</f>
        <v>41.8247</v>
      </c>
      <c r="L365" s="10"/>
    </row>
    <row r="366" spans="1:12" ht="15.75" x14ac:dyDescent="0.25">
      <c r="A366" s="14">
        <v>52443</v>
      </c>
      <c r="B366" s="10">
        <f>43.0571 * CHOOSE(CONTROL!$C$9, $D$9, 100%, $F$9) + CHOOSE(CONTROL!$C$27, 0.0021, 0)</f>
        <v>43.059199999999997</v>
      </c>
      <c r="C366" s="10">
        <f>42.6249 * CHOOSE(CONTROL!$C$9, $D$9, 100%, $F$9) + CHOOSE(CONTROL!$C$27, 0.0021, 0)</f>
        <v>42.626999999999995</v>
      </c>
      <c r="D366" s="10">
        <f>42.6249 * CHOOSE(CONTROL!$C$9, $D$9, 100%, $F$9) + CHOOSE(CONTROL!$C$27, 0.0021, 0)</f>
        <v>42.626999999999995</v>
      </c>
      <c r="E366" s="10">
        <f>42.4882 * CHOOSE(CONTROL!$C$9, $D$9, 100%, $F$9) + CHOOSE(CONTROL!$C$27, 0.0021, 0)</f>
        <v>42.490299999999998</v>
      </c>
      <c r="F366" s="10">
        <f>42.4882 * CHOOSE(CONTROL!$C$9, $D$9, 100%, $F$9) + CHOOSE(CONTROL!$C$27, 0.0021, 0)</f>
        <v>42.490299999999998</v>
      </c>
      <c r="G366" s="10">
        <f>42.7596 * CHOOSE(CONTROL!$C$9, $D$9, 100%, $F$9) + CHOOSE(CONTROL!$C$27, 0.0021, 0)</f>
        <v>42.761699999999998</v>
      </c>
      <c r="H366" s="10">
        <f>42.6249 * CHOOSE(CONTROL!$C$9, $D$9, 100%, $F$9) + CHOOSE(CONTROL!$C$27, 0.0021, 0)</f>
        <v>42.626999999999995</v>
      </c>
      <c r="I366" s="10">
        <f>42.6249 * CHOOSE(CONTROL!$C$9, $D$9, 100%, $F$9) + CHOOSE(CONTROL!$C$27, 0.0021, 0)</f>
        <v>42.626999999999995</v>
      </c>
      <c r="J366" s="10">
        <f>42.6249 * CHOOSE(CONTROL!$C$9, $D$9, 100%, $F$9) + CHOOSE(CONTROL!$C$27, 0.0021, 0)</f>
        <v>42.626999999999995</v>
      </c>
      <c r="K366" s="10">
        <f>42.6249 * CHOOSE(CONTROL!$C$9, $D$9, 100%, $F$9) + CHOOSE(CONTROL!$C$27, 0.0021, 0)</f>
        <v>42.626999999999995</v>
      </c>
      <c r="L366" s="10"/>
    </row>
    <row r="367" spans="1:12" ht="15.75" x14ac:dyDescent="0.25">
      <c r="A367" s="14">
        <v>52474</v>
      </c>
      <c r="B367" s="10">
        <f>43.302 * CHOOSE(CONTROL!$C$9, $D$9, 100%, $F$9) + CHOOSE(CONTROL!$C$27, 0.0021, 0)</f>
        <v>43.304099999999998</v>
      </c>
      <c r="C367" s="10">
        <f>42.8697 * CHOOSE(CONTROL!$C$9, $D$9, 100%, $F$9) + CHOOSE(CONTROL!$C$27, 0.0021, 0)</f>
        <v>42.8718</v>
      </c>
      <c r="D367" s="10">
        <f>42.8697 * CHOOSE(CONTROL!$C$9, $D$9, 100%, $F$9) + CHOOSE(CONTROL!$C$27, 0.0021, 0)</f>
        <v>42.8718</v>
      </c>
      <c r="E367" s="10">
        <f>42.7331 * CHOOSE(CONTROL!$C$9, $D$9, 100%, $F$9) + CHOOSE(CONTROL!$C$27, 0.0021, 0)</f>
        <v>42.735199999999999</v>
      </c>
      <c r="F367" s="10">
        <f>42.7331 * CHOOSE(CONTROL!$C$9, $D$9, 100%, $F$9) + CHOOSE(CONTROL!$C$27, 0.0021, 0)</f>
        <v>42.735199999999999</v>
      </c>
      <c r="G367" s="10">
        <f>43.0045 * CHOOSE(CONTROL!$C$9, $D$9, 100%, $F$9) + CHOOSE(CONTROL!$C$27, 0.0021, 0)</f>
        <v>43.006599999999999</v>
      </c>
      <c r="H367" s="10">
        <f>42.8697 * CHOOSE(CONTROL!$C$9, $D$9, 100%, $F$9) + CHOOSE(CONTROL!$C$27, 0.0021, 0)</f>
        <v>42.8718</v>
      </c>
      <c r="I367" s="10">
        <f>42.8697 * CHOOSE(CONTROL!$C$9, $D$9, 100%, $F$9) + CHOOSE(CONTROL!$C$27, 0.0021, 0)</f>
        <v>42.8718</v>
      </c>
      <c r="J367" s="10">
        <f>42.8697 * CHOOSE(CONTROL!$C$9, $D$9, 100%, $F$9) + CHOOSE(CONTROL!$C$27, 0.0021, 0)</f>
        <v>42.8718</v>
      </c>
      <c r="K367" s="10">
        <f>42.8697 * CHOOSE(CONTROL!$C$9, $D$9, 100%, $F$9) + CHOOSE(CONTROL!$C$27, 0.0021, 0)</f>
        <v>42.8718</v>
      </c>
      <c r="L367" s="10"/>
    </row>
    <row r="368" spans="1:12" ht="15.75" x14ac:dyDescent="0.25">
      <c r="A368" s="14">
        <v>52504</v>
      </c>
      <c r="B368" s="10">
        <f>44.1359 * CHOOSE(CONTROL!$C$9, $D$9, 100%, $F$9) + CHOOSE(CONTROL!$C$27, 0.0021, 0)</f>
        <v>44.137999999999998</v>
      </c>
      <c r="C368" s="10">
        <f>43.7037 * CHOOSE(CONTROL!$C$9, $D$9, 100%, $F$9) + CHOOSE(CONTROL!$C$27, 0.0021, 0)</f>
        <v>43.705799999999996</v>
      </c>
      <c r="D368" s="10">
        <f>43.7037 * CHOOSE(CONTROL!$C$9, $D$9, 100%, $F$9) + CHOOSE(CONTROL!$C$27, 0.0021, 0)</f>
        <v>43.705799999999996</v>
      </c>
      <c r="E368" s="10">
        <f>43.567 * CHOOSE(CONTROL!$C$9, $D$9, 100%, $F$9) + CHOOSE(CONTROL!$C$27, 0.0021, 0)</f>
        <v>43.569099999999999</v>
      </c>
      <c r="F368" s="10">
        <f>43.567 * CHOOSE(CONTROL!$C$9, $D$9, 100%, $F$9) + CHOOSE(CONTROL!$C$27, 0.0021, 0)</f>
        <v>43.569099999999999</v>
      </c>
      <c r="G368" s="10">
        <f>43.8384 * CHOOSE(CONTROL!$C$9, $D$9, 100%, $F$9) + CHOOSE(CONTROL!$C$27, 0.0021, 0)</f>
        <v>43.840499999999999</v>
      </c>
      <c r="H368" s="10">
        <f>43.7037 * CHOOSE(CONTROL!$C$9, $D$9, 100%, $F$9) + CHOOSE(CONTROL!$C$27, 0.0021, 0)</f>
        <v>43.705799999999996</v>
      </c>
      <c r="I368" s="10">
        <f>43.7037 * CHOOSE(CONTROL!$C$9, $D$9, 100%, $F$9) + CHOOSE(CONTROL!$C$27, 0.0021, 0)</f>
        <v>43.705799999999996</v>
      </c>
      <c r="J368" s="10">
        <f>43.7037 * CHOOSE(CONTROL!$C$9, $D$9, 100%, $F$9) + CHOOSE(CONTROL!$C$27, 0.0021, 0)</f>
        <v>43.705799999999996</v>
      </c>
      <c r="K368" s="10">
        <f>43.7037 * CHOOSE(CONTROL!$C$9, $D$9, 100%, $F$9) + CHOOSE(CONTROL!$C$27, 0.0021, 0)</f>
        <v>43.705799999999996</v>
      </c>
      <c r="L368" s="10"/>
    </row>
    <row r="369" spans="1:12" ht="15.75" x14ac:dyDescent="0.25">
      <c r="A369" s="14">
        <v>52535</v>
      </c>
      <c r="B369" s="10">
        <f>45.1915 * CHOOSE(CONTROL!$C$9, $D$9, 100%, $F$9) + CHOOSE(CONTROL!$C$27, 0.0021, 0)</f>
        <v>45.193599999999996</v>
      </c>
      <c r="C369" s="10">
        <f>44.7593 * CHOOSE(CONTROL!$C$9, $D$9, 100%, $F$9) + CHOOSE(CONTROL!$C$27, 0.0021, 0)</f>
        <v>44.761400000000002</v>
      </c>
      <c r="D369" s="10">
        <f>44.7593 * CHOOSE(CONTROL!$C$9, $D$9, 100%, $F$9) + CHOOSE(CONTROL!$C$27, 0.0021, 0)</f>
        <v>44.761400000000002</v>
      </c>
      <c r="E369" s="10">
        <f>44.6226 * CHOOSE(CONTROL!$C$9, $D$9, 100%, $F$9) + CHOOSE(CONTROL!$C$27, 0.0021, 0)</f>
        <v>44.624699999999997</v>
      </c>
      <c r="F369" s="10">
        <f>44.6226 * CHOOSE(CONTROL!$C$9, $D$9, 100%, $F$9) + CHOOSE(CONTROL!$C$27, 0.0021, 0)</f>
        <v>44.624699999999997</v>
      </c>
      <c r="G369" s="10">
        <f>44.894 * CHOOSE(CONTROL!$C$9, $D$9, 100%, $F$9) + CHOOSE(CONTROL!$C$27, 0.0021, 0)</f>
        <v>44.896099999999997</v>
      </c>
      <c r="H369" s="10">
        <f>44.7593 * CHOOSE(CONTROL!$C$9, $D$9, 100%, $F$9) + CHOOSE(CONTROL!$C$27, 0.0021, 0)</f>
        <v>44.761400000000002</v>
      </c>
      <c r="I369" s="10">
        <f>44.7593 * CHOOSE(CONTROL!$C$9, $D$9, 100%, $F$9) + CHOOSE(CONTROL!$C$27, 0.0021, 0)</f>
        <v>44.761400000000002</v>
      </c>
      <c r="J369" s="10">
        <f>44.7593 * CHOOSE(CONTROL!$C$9, $D$9, 100%, $F$9) + CHOOSE(CONTROL!$C$27, 0.0021, 0)</f>
        <v>44.761400000000002</v>
      </c>
      <c r="K369" s="10">
        <f>44.7593 * CHOOSE(CONTROL!$C$9, $D$9, 100%, $F$9) + CHOOSE(CONTROL!$C$27, 0.0021, 0)</f>
        <v>44.761400000000002</v>
      </c>
      <c r="L369" s="10"/>
    </row>
    <row r="370" spans="1:12" ht="15.75" x14ac:dyDescent="0.25">
      <c r="A370" s="14">
        <v>52565</v>
      </c>
      <c r="B370" s="10">
        <f>45.2906 * CHOOSE(CONTROL!$C$9, $D$9, 100%, $F$9) + CHOOSE(CONTROL!$C$27, 0.0021, 0)</f>
        <v>45.292699999999996</v>
      </c>
      <c r="C370" s="10">
        <f>44.8584 * CHOOSE(CONTROL!$C$9, $D$9, 100%, $F$9) + CHOOSE(CONTROL!$C$27, 0.0021, 0)</f>
        <v>44.860500000000002</v>
      </c>
      <c r="D370" s="10">
        <f>44.8584 * CHOOSE(CONTROL!$C$9, $D$9, 100%, $F$9) + CHOOSE(CONTROL!$C$27, 0.0021, 0)</f>
        <v>44.860500000000002</v>
      </c>
      <c r="E370" s="10">
        <f>44.7217 * CHOOSE(CONTROL!$C$9, $D$9, 100%, $F$9) + CHOOSE(CONTROL!$C$27, 0.0021, 0)</f>
        <v>44.723799999999997</v>
      </c>
      <c r="F370" s="10">
        <f>44.7217 * CHOOSE(CONTROL!$C$9, $D$9, 100%, $F$9) + CHOOSE(CONTROL!$C$27, 0.0021, 0)</f>
        <v>44.723799999999997</v>
      </c>
      <c r="G370" s="10">
        <f>44.9931 * CHOOSE(CONTROL!$C$9, $D$9, 100%, $F$9) + CHOOSE(CONTROL!$C$27, 0.0021, 0)</f>
        <v>44.995199999999997</v>
      </c>
      <c r="H370" s="10">
        <f>44.8584 * CHOOSE(CONTROL!$C$9, $D$9, 100%, $F$9) + CHOOSE(CONTROL!$C$27, 0.0021, 0)</f>
        <v>44.860500000000002</v>
      </c>
      <c r="I370" s="10">
        <f>44.8584 * CHOOSE(CONTROL!$C$9, $D$9, 100%, $F$9) + CHOOSE(CONTROL!$C$27, 0.0021, 0)</f>
        <v>44.860500000000002</v>
      </c>
      <c r="J370" s="10">
        <f>44.8584 * CHOOSE(CONTROL!$C$9, $D$9, 100%, $F$9) + CHOOSE(CONTROL!$C$27, 0.0021, 0)</f>
        <v>44.860500000000002</v>
      </c>
      <c r="K370" s="10">
        <f>44.8584 * CHOOSE(CONTROL!$C$9, $D$9, 100%, $F$9) + CHOOSE(CONTROL!$C$27, 0.0021, 0)</f>
        <v>44.860500000000002</v>
      </c>
      <c r="L370" s="10"/>
    </row>
    <row r="371" spans="1:12" ht="15.75" x14ac:dyDescent="0.25">
      <c r="A371" s="14">
        <v>52596</v>
      </c>
      <c r="B371" s="10">
        <f>44.4475 * CHOOSE(CONTROL!$C$9, $D$9, 100%, $F$9) + CHOOSE(CONTROL!$C$27, 0.0021, 0)</f>
        <v>44.449599999999997</v>
      </c>
      <c r="C371" s="10">
        <f>44.0153 * CHOOSE(CONTROL!$C$9, $D$9, 100%, $F$9) + CHOOSE(CONTROL!$C$27, 0.0021, 0)</f>
        <v>44.017400000000002</v>
      </c>
      <c r="D371" s="10">
        <f>44.0153 * CHOOSE(CONTROL!$C$9, $D$9, 100%, $F$9) + CHOOSE(CONTROL!$C$27, 0.0021, 0)</f>
        <v>44.017400000000002</v>
      </c>
      <c r="E371" s="10">
        <f>43.8786 * CHOOSE(CONTROL!$C$9, $D$9, 100%, $F$9) + CHOOSE(CONTROL!$C$27, 0.0021, 0)</f>
        <v>43.880699999999997</v>
      </c>
      <c r="F371" s="10">
        <f>43.8786 * CHOOSE(CONTROL!$C$9, $D$9, 100%, $F$9) + CHOOSE(CONTROL!$C$27, 0.0021, 0)</f>
        <v>43.880699999999997</v>
      </c>
      <c r="G371" s="10">
        <f>44.15 * CHOOSE(CONTROL!$C$9, $D$9, 100%, $F$9) + CHOOSE(CONTROL!$C$27, 0.0021, 0)</f>
        <v>44.152099999999997</v>
      </c>
      <c r="H371" s="10">
        <f>44.0153 * CHOOSE(CONTROL!$C$9, $D$9, 100%, $F$9) + CHOOSE(CONTROL!$C$27, 0.0021, 0)</f>
        <v>44.017400000000002</v>
      </c>
      <c r="I371" s="10">
        <f>44.0153 * CHOOSE(CONTROL!$C$9, $D$9, 100%, $F$9) + CHOOSE(CONTROL!$C$27, 0.0021, 0)</f>
        <v>44.017400000000002</v>
      </c>
      <c r="J371" s="10">
        <f>44.0153 * CHOOSE(CONTROL!$C$9, $D$9, 100%, $F$9) + CHOOSE(CONTROL!$C$27, 0.0021, 0)</f>
        <v>44.017400000000002</v>
      </c>
      <c r="K371" s="10">
        <f>44.0153 * CHOOSE(CONTROL!$C$9, $D$9, 100%, $F$9) + CHOOSE(CONTROL!$C$27, 0.0021, 0)</f>
        <v>44.017400000000002</v>
      </c>
      <c r="L371" s="10"/>
    </row>
    <row r="372" spans="1:12" ht="15.75" x14ac:dyDescent="0.25">
      <c r="A372" s="14">
        <v>52627</v>
      </c>
      <c r="B372" s="10">
        <f>43.802 * CHOOSE(CONTROL!$C$9, $D$9, 100%, $F$9) + CHOOSE(CONTROL!$C$27, 0.0021, 0)</f>
        <v>43.804099999999998</v>
      </c>
      <c r="C372" s="10">
        <f>43.3698 * CHOOSE(CONTROL!$C$9, $D$9, 100%, $F$9) + CHOOSE(CONTROL!$C$27, 0.0021, 0)</f>
        <v>43.371899999999997</v>
      </c>
      <c r="D372" s="10">
        <f>43.3698 * CHOOSE(CONTROL!$C$9, $D$9, 100%, $F$9) + CHOOSE(CONTROL!$C$27, 0.0021, 0)</f>
        <v>43.371899999999997</v>
      </c>
      <c r="E372" s="10">
        <f>43.2331 * CHOOSE(CONTROL!$C$9, $D$9, 100%, $F$9) + CHOOSE(CONTROL!$C$27, 0.0021, 0)</f>
        <v>43.235199999999999</v>
      </c>
      <c r="F372" s="10">
        <f>43.2331 * CHOOSE(CONTROL!$C$9, $D$9, 100%, $F$9) + CHOOSE(CONTROL!$C$27, 0.0021, 0)</f>
        <v>43.235199999999999</v>
      </c>
      <c r="G372" s="10">
        <f>43.5045 * CHOOSE(CONTROL!$C$9, $D$9, 100%, $F$9) + CHOOSE(CONTROL!$C$27, 0.0021, 0)</f>
        <v>43.506599999999999</v>
      </c>
      <c r="H372" s="10">
        <f>43.3698 * CHOOSE(CONTROL!$C$9, $D$9, 100%, $F$9) + CHOOSE(CONTROL!$C$27, 0.0021, 0)</f>
        <v>43.371899999999997</v>
      </c>
      <c r="I372" s="10">
        <f>43.3698 * CHOOSE(CONTROL!$C$9, $D$9, 100%, $F$9) + CHOOSE(CONTROL!$C$27, 0.0021, 0)</f>
        <v>43.371899999999997</v>
      </c>
      <c r="J372" s="10">
        <f>43.3698 * CHOOSE(CONTROL!$C$9, $D$9, 100%, $F$9) + CHOOSE(CONTROL!$C$27, 0.0021, 0)</f>
        <v>43.371899999999997</v>
      </c>
      <c r="K372" s="10">
        <f>43.3698 * CHOOSE(CONTROL!$C$9, $D$9, 100%, $F$9) + CHOOSE(CONTROL!$C$27, 0.0021, 0)</f>
        <v>43.371899999999997</v>
      </c>
      <c r="L372" s="10"/>
    </row>
    <row r="373" spans="1:12" ht="15.75" x14ac:dyDescent="0.25">
      <c r="A373" s="14">
        <v>52655</v>
      </c>
      <c r="B373" s="10">
        <f>42.6279 * CHOOSE(CONTROL!$C$9, $D$9, 100%, $F$9) + CHOOSE(CONTROL!$C$27, 0.0021, 0)</f>
        <v>42.629999999999995</v>
      </c>
      <c r="C373" s="10">
        <f>42.1957 * CHOOSE(CONTROL!$C$9, $D$9, 100%, $F$9) + CHOOSE(CONTROL!$C$27, 0.0021, 0)</f>
        <v>42.197800000000001</v>
      </c>
      <c r="D373" s="10">
        <f>42.1957 * CHOOSE(CONTROL!$C$9, $D$9, 100%, $F$9) + CHOOSE(CONTROL!$C$27, 0.0021, 0)</f>
        <v>42.197800000000001</v>
      </c>
      <c r="E373" s="10">
        <f>42.059 * CHOOSE(CONTROL!$C$9, $D$9, 100%, $F$9) + CHOOSE(CONTROL!$C$27, 0.0021, 0)</f>
        <v>42.061099999999996</v>
      </c>
      <c r="F373" s="10">
        <f>42.059 * CHOOSE(CONTROL!$C$9, $D$9, 100%, $F$9) + CHOOSE(CONTROL!$C$27, 0.0021, 0)</f>
        <v>42.061099999999996</v>
      </c>
      <c r="G373" s="10">
        <f>42.3304 * CHOOSE(CONTROL!$C$9, $D$9, 100%, $F$9) + CHOOSE(CONTROL!$C$27, 0.0021, 0)</f>
        <v>42.332499999999996</v>
      </c>
      <c r="H373" s="10">
        <f>42.1957 * CHOOSE(CONTROL!$C$9, $D$9, 100%, $F$9) + CHOOSE(CONTROL!$C$27, 0.0021, 0)</f>
        <v>42.197800000000001</v>
      </c>
      <c r="I373" s="10">
        <f>42.1957 * CHOOSE(CONTROL!$C$9, $D$9, 100%, $F$9) + CHOOSE(CONTROL!$C$27, 0.0021, 0)</f>
        <v>42.197800000000001</v>
      </c>
      <c r="J373" s="10">
        <f>42.1957 * CHOOSE(CONTROL!$C$9, $D$9, 100%, $F$9) + CHOOSE(CONTROL!$C$27, 0.0021, 0)</f>
        <v>42.197800000000001</v>
      </c>
      <c r="K373" s="10">
        <f>42.1957 * CHOOSE(CONTROL!$C$9, $D$9, 100%, $F$9) + CHOOSE(CONTROL!$C$27, 0.0021, 0)</f>
        <v>42.197800000000001</v>
      </c>
      <c r="L373" s="10"/>
    </row>
    <row r="374" spans="1:12" ht="15.75" x14ac:dyDescent="0.25">
      <c r="A374" s="14">
        <v>52687</v>
      </c>
      <c r="B374" s="10">
        <f>42.1432 * CHOOSE(CONTROL!$C$9, $D$9, 100%, $F$9) + CHOOSE(CONTROL!$C$27, 0.0021, 0)</f>
        <v>42.145299999999999</v>
      </c>
      <c r="C374" s="10">
        <f>41.711 * CHOOSE(CONTROL!$C$9, $D$9, 100%, $F$9) + CHOOSE(CONTROL!$C$27, 0.0021, 0)</f>
        <v>41.713099999999997</v>
      </c>
      <c r="D374" s="10">
        <f>41.711 * CHOOSE(CONTROL!$C$9, $D$9, 100%, $F$9) + CHOOSE(CONTROL!$C$27, 0.0021, 0)</f>
        <v>41.713099999999997</v>
      </c>
      <c r="E374" s="10">
        <f>41.5743 * CHOOSE(CONTROL!$C$9, $D$9, 100%, $F$9) + CHOOSE(CONTROL!$C$27, 0.0021, 0)</f>
        <v>41.5764</v>
      </c>
      <c r="F374" s="10">
        <f>41.5743 * CHOOSE(CONTROL!$C$9, $D$9, 100%, $F$9) + CHOOSE(CONTROL!$C$27, 0.0021, 0)</f>
        <v>41.5764</v>
      </c>
      <c r="G374" s="10">
        <f>41.8457 * CHOOSE(CONTROL!$C$9, $D$9, 100%, $F$9) + CHOOSE(CONTROL!$C$27, 0.0021, 0)</f>
        <v>41.847799999999999</v>
      </c>
      <c r="H374" s="10">
        <f>41.711 * CHOOSE(CONTROL!$C$9, $D$9, 100%, $F$9) + CHOOSE(CONTROL!$C$27, 0.0021, 0)</f>
        <v>41.713099999999997</v>
      </c>
      <c r="I374" s="10">
        <f>41.711 * CHOOSE(CONTROL!$C$9, $D$9, 100%, $F$9) + CHOOSE(CONTROL!$C$27, 0.0021, 0)</f>
        <v>41.713099999999997</v>
      </c>
      <c r="J374" s="10">
        <f>41.711 * CHOOSE(CONTROL!$C$9, $D$9, 100%, $F$9) + CHOOSE(CONTROL!$C$27, 0.0021, 0)</f>
        <v>41.713099999999997</v>
      </c>
      <c r="K374" s="10">
        <f>41.711 * CHOOSE(CONTROL!$C$9, $D$9, 100%, $F$9) + CHOOSE(CONTROL!$C$27, 0.0021, 0)</f>
        <v>41.713099999999997</v>
      </c>
      <c r="L374" s="10"/>
    </row>
    <row r="375" spans="1:12" ht="15.75" x14ac:dyDescent="0.25">
      <c r="A375" s="14">
        <v>52717</v>
      </c>
      <c r="B375" s="10">
        <f>41.5645 * CHOOSE(CONTROL!$C$9, $D$9, 100%, $F$9) + CHOOSE(CONTROL!$C$27, 0.0021, 0)</f>
        <v>41.566600000000001</v>
      </c>
      <c r="C375" s="10">
        <f>41.1323 * CHOOSE(CONTROL!$C$9, $D$9, 100%, $F$9) + CHOOSE(CONTROL!$C$27, 0.0021, 0)</f>
        <v>41.134399999999999</v>
      </c>
      <c r="D375" s="10">
        <f>41.1323 * CHOOSE(CONTROL!$C$9, $D$9, 100%, $F$9) + CHOOSE(CONTROL!$C$27, 0.0021, 0)</f>
        <v>41.134399999999999</v>
      </c>
      <c r="E375" s="10">
        <f>40.9956 * CHOOSE(CONTROL!$C$9, $D$9, 100%, $F$9) + CHOOSE(CONTROL!$C$27, 0.0021, 0)</f>
        <v>40.997700000000002</v>
      </c>
      <c r="F375" s="10">
        <f>40.9956 * CHOOSE(CONTROL!$C$9, $D$9, 100%, $F$9) + CHOOSE(CONTROL!$C$27, 0.0021, 0)</f>
        <v>40.997700000000002</v>
      </c>
      <c r="G375" s="10">
        <f>41.267 * CHOOSE(CONTROL!$C$9, $D$9, 100%, $F$9) + CHOOSE(CONTROL!$C$27, 0.0021, 0)</f>
        <v>41.269100000000002</v>
      </c>
      <c r="H375" s="10">
        <f>41.1323 * CHOOSE(CONTROL!$C$9, $D$9, 100%, $F$9) + CHOOSE(CONTROL!$C$27, 0.0021, 0)</f>
        <v>41.134399999999999</v>
      </c>
      <c r="I375" s="10">
        <f>41.1323 * CHOOSE(CONTROL!$C$9, $D$9, 100%, $F$9) + CHOOSE(CONTROL!$C$27, 0.0021, 0)</f>
        <v>41.134399999999999</v>
      </c>
      <c r="J375" s="10">
        <f>41.1323 * CHOOSE(CONTROL!$C$9, $D$9, 100%, $F$9) + CHOOSE(CONTROL!$C$27, 0.0021, 0)</f>
        <v>41.134399999999999</v>
      </c>
      <c r="K375" s="10">
        <f>41.1323 * CHOOSE(CONTROL!$C$9, $D$9, 100%, $F$9) + CHOOSE(CONTROL!$C$27, 0.0021, 0)</f>
        <v>41.134399999999999</v>
      </c>
      <c r="L375" s="10"/>
    </row>
    <row r="376" spans="1:12" ht="15.75" x14ac:dyDescent="0.25">
      <c r="A376" s="14">
        <v>52748</v>
      </c>
      <c r="B376" s="10">
        <f>42.3893 * CHOOSE(CONTROL!$C$9, $D$9, 100%, $F$9) + CHOOSE(CONTROL!$C$27, 0.0021, 0)</f>
        <v>42.391399999999997</v>
      </c>
      <c r="C376" s="10">
        <f>41.957 * CHOOSE(CONTROL!$C$9, $D$9, 100%, $F$9) + CHOOSE(CONTROL!$C$27, 0.0021, 0)</f>
        <v>41.959099999999999</v>
      </c>
      <c r="D376" s="10">
        <f>41.957 * CHOOSE(CONTROL!$C$9, $D$9, 100%, $F$9) + CHOOSE(CONTROL!$C$27, 0.0021, 0)</f>
        <v>41.959099999999999</v>
      </c>
      <c r="E376" s="10">
        <f>41.8204 * CHOOSE(CONTROL!$C$9, $D$9, 100%, $F$9) + CHOOSE(CONTROL!$C$27, 0.0021, 0)</f>
        <v>41.822499999999998</v>
      </c>
      <c r="F376" s="10">
        <f>41.8204 * CHOOSE(CONTROL!$C$9, $D$9, 100%, $F$9) + CHOOSE(CONTROL!$C$27, 0.0021, 0)</f>
        <v>41.822499999999998</v>
      </c>
      <c r="G376" s="10">
        <f>42.0917 * CHOOSE(CONTROL!$C$9, $D$9, 100%, $F$9) + CHOOSE(CONTROL!$C$27, 0.0021, 0)</f>
        <v>42.093800000000002</v>
      </c>
      <c r="H376" s="10">
        <f>41.957 * CHOOSE(CONTROL!$C$9, $D$9, 100%, $F$9) + CHOOSE(CONTROL!$C$27, 0.0021, 0)</f>
        <v>41.959099999999999</v>
      </c>
      <c r="I376" s="10">
        <f>41.957 * CHOOSE(CONTROL!$C$9, $D$9, 100%, $F$9) + CHOOSE(CONTROL!$C$27, 0.0021, 0)</f>
        <v>41.959099999999999</v>
      </c>
      <c r="J376" s="10">
        <f>41.957 * CHOOSE(CONTROL!$C$9, $D$9, 100%, $F$9) + CHOOSE(CONTROL!$C$27, 0.0021, 0)</f>
        <v>41.959099999999999</v>
      </c>
      <c r="K376" s="10">
        <f>41.957 * CHOOSE(CONTROL!$C$9, $D$9, 100%, $F$9) + CHOOSE(CONTROL!$C$27, 0.0021, 0)</f>
        <v>41.959099999999999</v>
      </c>
      <c r="L376" s="10"/>
    </row>
    <row r="377" spans="1:12" ht="15.75" x14ac:dyDescent="0.25">
      <c r="A377" s="14">
        <v>52778</v>
      </c>
      <c r="B377" s="10">
        <f>42.8832 * CHOOSE(CONTROL!$C$9, $D$9, 100%, $F$9) + CHOOSE(CONTROL!$C$27, 0.0021, 0)</f>
        <v>42.885300000000001</v>
      </c>
      <c r="C377" s="10">
        <f>42.451 * CHOOSE(CONTROL!$C$9, $D$9, 100%, $F$9) + CHOOSE(CONTROL!$C$27, 0.0021, 0)</f>
        <v>42.453099999999999</v>
      </c>
      <c r="D377" s="10">
        <f>42.451 * CHOOSE(CONTROL!$C$9, $D$9, 100%, $F$9) + CHOOSE(CONTROL!$C$27, 0.0021, 0)</f>
        <v>42.453099999999999</v>
      </c>
      <c r="E377" s="10">
        <f>42.3143 * CHOOSE(CONTROL!$C$9, $D$9, 100%, $F$9) + CHOOSE(CONTROL!$C$27, 0.0021, 0)</f>
        <v>42.316400000000002</v>
      </c>
      <c r="F377" s="10">
        <f>42.3143 * CHOOSE(CONTROL!$C$9, $D$9, 100%, $F$9) + CHOOSE(CONTROL!$C$27, 0.0021, 0)</f>
        <v>42.316400000000002</v>
      </c>
      <c r="G377" s="10">
        <f>42.5857 * CHOOSE(CONTROL!$C$9, $D$9, 100%, $F$9) + CHOOSE(CONTROL!$C$27, 0.0021, 0)</f>
        <v>42.587800000000001</v>
      </c>
      <c r="H377" s="10">
        <f>42.451 * CHOOSE(CONTROL!$C$9, $D$9, 100%, $F$9) + CHOOSE(CONTROL!$C$27, 0.0021, 0)</f>
        <v>42.453099999999999</v>
      </c>
      <c r="I377" s="10">
        <f>42.451 * CHOOSE(CONTROL!$C$9, $D$9, 100%, $F$9) + CHOOSE(CONTROL!$C$27, 0.0021, 0)</f>
        <v>42.453099999999999</v>
      </c>
      <c r="J377" s="10">
        <f>42.451 * CHOOSE(CONTROL!$C$9, $D$9, 100%, $F$9) + CHOOSE(CONTROL!$C$27, 0.0021, 0)</f>
        <v>42.453099999999999</v>
      </c>
      <c r="K377" s="10">
        <f>42.451 * CHOOSE(CONTROL!$C$9, $D$9, 100%, $F$9) + CHOOSE(CONTROL!$C$27, 0.0021, 0)</f>
        <v>42.453099999999999</v>
      </c>
      <c r="L377" s="10"/>
    </row>
    <row r="378" spans="1:12" ht="15.75" x14ac:dyDescent="0.25">
      <c r="A378" s="14">
        <v>52809</v>
      </c>
      <c r="B378" s="10">
        <f>43.6981 * CHOOSE(CONTROL!$C$9, $D$9, 100%, $F$9) + CHOOSE(CONTROL!$C$27, 0.0021, 0)</f>
        <v>43.700199999999995</v>
      </c>
      <c r="C378" s="10">
        <f>43.2659 * CHOOSE(CONTROL!$C$9, $D$9, 100%, $F$9) + CHOOSE(CONTROL!$C$27, 0.0021, 0)</f>
        <v>43.268000000000001</v>
      </c>
      <c r="D378" s="10">
        <f>43.2659 * CHOOSE(CONTROL!$C$9, $D$9, 100%, $F$9) + CHOOSE(CONTROL!$C$27, 0.0021, 0)</f>
        <v>43.268000000000001</v>
      </c>
      <c r="E378" s="10">
        <f>43.1292 * CHOOSE(CONTROL!$C$9, $D$9, 100%, $F$9) + CHOOSE(CONTROL!$C$27, 0.0021, 0)</f>
        <v>43.131299999999996</v>
      </c>
      <c r="F378" s="10">
        <f>43.1292 * CHOOSE(CONTROL!$C$9, $D$9, 100%, $F$9) + CHOOSE(CONTROL!$C$27, 0.0021, 0)</f>
        <v>43.131299999999996</v>
      </c>
      <c r="G378" s="10">
        <f>43.4006 * CHOOSE(CONTROL!$C$9, $D$9, 100%, $F$9) + CHOOSE(CONTROL!$C$27, 0.0021, 0)</f>
        <v>43.402699999999996</v>
      </c>
      <c r="H378" s="10">
        <f>43.2659 * CHOOSE(CONTROL!$C$9, $D$9, 100%, $F$9) + CHOOSE(CONTROL!$C$27, 0.0021, 0)</f>
        <v>43.268000000000001</v>
      </c>
      <c r="I378" s="10">
        <f>43.2659 * CHOOSE(CONTROL!$C$9, $D$9, 100%, $F$9) + CHOOSE(CONTROL!$C$27, 0.0021, 0)</f>
        <v>43.268000000000001</v>
      </c>
      <c r="J378" s="10">
        <f>43.2659 * CHOOSE(CONTROL!$C$9, $D$9, 100%, $F$9) + CHOOSE(CONTROL!$C$27, 0.0021, 0)</f>
        <v>43.268000000000001</v>
      </c>
      <c r="K378" s="10">
        <f>43.2659 * CHOOSE(CONTROL!$C$9, $D$9, 100%, $F$9) + CHOOSE(CONTROL!$C$27, 0.0021, 0)</f>
        <v>43.268000000000001</v>
      </c>
      <c r="L378" s="10"/>
    </row>
    <row r="379" spans="1:12" ht="15.75" x14ac:dyDescent="0.25">
      <c r="A379" s="14">
        <v>52840</v>
      </c>
      <c r="B379" s="10">
        <f>43.9469 * CHOOSE(CONTROL!$C$9, $D$9, 100%, $F$9) + CHOOSE(CONTROL!$C$27, 0.0021, 0)</f>
        <v>43.948999999999998</v>
      </c>
      <c r="C379" s="10">
        <f>43.5146 * CHOOSE(CONTROL!$C$9, $D$9, 100%, $F$9) + CHOOSE(CONTROL!$C$27, 0.0021, 0)</f>
        <v>43.5167</v>
      </c>
      <c r="D379" s="10">
        <f>43.5146 * CHOOSE(CONTROL!$C$9, $D$9, 100%, $F$9) + CHOOSE(CONTROL!$C$27, 0.0021, 0)</f>
        <v>43.5167</v>
      </c>
      <c r="E379" s="10">
        <f>43.378 * CHOOSE(CONTROL!$C$9, $D$9, 100%, $F$9) + CHOOSE(CONTROL!$C$27, 0.0021, 0)</f>
        <v>43.380099999999999</v>
      </c>
      <c r="F379" s="10">
        <f>43.378 * CHOOSE(CONTROL!$C$9, $D$9, 100%, $F$9) + CHOOSE(CONTROL!$C$27, 0.0021, 0)</f>
        <v>43.380099999999999</v>
      </c>
      <c r="G379" s="10">
        <f>43.6493 * CHOOSE(CONTROL!$C$9, $D$9, 100%, $F$9) + CHOOSE(CONTROL!$C$27, 0.0021, 0)</f>
        <v>43.651399999999995</v>
      </c>
      <c r="H379" s="10">
        <f>43.5146 * CHOOSE(CONTROL!$C$9, $D$9, 100%, $F$9) + CHOOSE(CONTROL!$C$27, 0.0021, 0)</f>
        <v>43.5167</v>
      </c>
      <c r="I379" s="10">
        <f>43.5146 * CHOOSE(CONTROL!$C$9, $D$9, 100%, $F$9) + CHOOSE(CONTROL!$C$27, 0.0021, 0)</f>
        <v>43.5167</v>
      </c>
      <c r="J379" s="10">
        <f>43.5146 * CHOOSE(CONTROL!$C$9, $D$9, 100%, $F$9) + CHOOSE(CONTROL!$C$27, 0.0021, 0)</f>
        <v>43.5167</v>
      </c>
      <c r="K379" s="10">
        <f>43.5146 * CHOOSE(CONTROL!$C$9, $D$9, 100%, $F$9) + CHOOSE(CONTROL!$C$27, 0.0021, 0)</f>
        <v>43.5167</v>
      </c>
      <c r="L379" s="10"/>
    </row>
    <row r="380" spans="1:12" ht="15.75" x14ac:dyDescent="0.25">
      <c r="A380" s="14">
        <v>52870</v>
      </c>
      <c r="B380" s="10">
        <f>44.7939 * CHOOSE(CONTROL!$C$9, $D$9, 100%, $F$9) + CHOOSE(CONTROL!$C$27, 0.0021, 0)</f>
        <v>44.795999999999999</v>
      </c>
      <c r="C380" s="10">
        <f>44.3617 * CHOOSE(CONTROL!$C$9, $D$9, 100%, $F$9) + CHOOSE(CONTROL!$C$27, 0.0021, 0)</f>
        <v>44.363799999999998</v>
      </c>
      <c r="D380" s="10">
        <f>44.3617 * CHOOSE(CONTROL!$C$9, $D$9, 100%, $F$9) + CHOOSE(CONTROL!$C$27, 0.0021, 0)</f>
        <v>44.363799999999998</v>
      </c>
      <c r="E380" s="10">
        <f>44.225 * CHOOSE(CONTROL!$C$9, $D$9, 100%, $F$9) + CHOOSE(CONTROL!$C$27, 0.0021, 0)</f>
        <v>44.2271</v>
      </c>
      <c r="F380" s="10">
        <f>44.225 * CHOOSE(CONTROL!$C$9, $D$9, 100%, $F$9) + CHOOSE(CONTROL!$C$27, 0.0021, 0)</f>
        <v>44.2271</v>
      </c>
      <c r="G380" s="10">
        <f>44.4964 * CHOOSE(CONTROL!$C$9, $D$9, 100%, $F$9) + CHOOSE(CONTROL!$C$27, 0.0021, 0)</f>
        <v>44.4985</v>
      </c>
      <c r="H380" s="10">
        <f>44.3617 * CHOOSE(CONTROL!$C$9, $D$9, 100%, $F$9) + CHOOSE(CONTROL!$C$27, 0.0021, 0)</f>
        <v>44.363799999999998</v>
      </c>
      <c r="I380" s="10">
        <f>44.3617 * CHOOSE(CONTROL!$C$9, $D$9, 100%, $F$9) + CHOOSE(CONTROL!$C$27, 0.0021, 0)</f>
        <v>44.363799999999998</v>
      </c>
      <c r="J380" s="10">
        <f>44.3617 * CHOOSE(CONTROL!$C$9, $D$9, 100%, $F$9) + CHOOSE(CONTROL!$C$27, 0.0021, 0)</f>
        <v>44.363799999999998</v>
      </c>
      <c r="K380" s="10">
        <f>44.3617 * CHOOSE(CONTROL!$C$9, $D$9, 100%, $F$9) + CHOOSE(CONTROL!$C$27, 0.0021, 0)</f>
        <v>44.363799999999998</v>
      </c>
      <c r="L380" s="10"/>
    </row>
    <row r="381" spans="1:12" ht="15.75" x14ac:dyDescent="0.25">
      <c r="A381" s="14">
        <v>52901</v>
      </c>
      <c r="B381" s="10">
        <f>45.8661 * CHOOSE(CONTROL!$C$9, $D$9, 100%, $F$9) + CHOOSE(CONTROL!$C$27, 0.0021, 0)</f>
        <v>45.868200000000002</v>
      </c>
      <c r="C381" s="10">
        <f>45.4339 * CHOOSE(CONTROL!$C$9, $D$9, 100%, $F$9) + CHOOSE(CONTROL!$C$27, 0.0021, 0)</f>
        <v>45.436</v>
      </c>
      <c r="D381" s="10">
        <f>45.4339 * CHOOSE(CONTROL!$C$9, $D$9, 100%, $F$9) + CHOOSE(CONTROL!$C$27, 0.0021, 0)</f>
        <v>45.436</v>
      </c>
      <c r="E381" s="10">
        <f>45.2972 * CHOOSE(CONTROL!$C$9, $D$9, 100%, $F$9) + CHOOSE(CONTROL!$C$27, 0.0021, 0)</f>
        <v>45.299299999999995</v>
      </c>
      <c r="F381" s="10">
        <f>45.2972 * CHOOSE(CONTROL!$C$9, $D$9, 100%, $F$9) + CHOOSE(CONTROL!$C$27, 0.0021, 0)</f>
        <v>45.299299999999995</v>
      </c>
      <c r="G381" s="10">
        <f>45.5686 * CHOOSE(CONTROL!$C$9, $D$9, 100%, $F$9) + CHOOSE(CONTROL!$C$27, 0.0021, 0)</f>
        <v>45.570700000000002</v>
      </c>
      <c r="H381" s="10">
        <f>45.4339 * CHOOSE(CONTROL!$C$9, $D$9, 100%, $F$9) + CHOOSE(CONTROL!$C$27, 0.0021, 0)</f>
        <v>45.436</v>
      </c>
      <c r="I381" s="10">
        <f>45.4339 * CHOOSE(CONTROL!$C$9, $D$9, 100%, $F$9) + CHOOSE(CONTROL!$C$27, 0.0021, 0)</f>
        <v>45.436</v>
      </c>
      <c r="J381" s="10">
        <f>45.4339 * CHOOSE(CONTROL!$C$9, $D$9, 100%, $F$9) + CHOOSE(CONTROL!$C$27, 0.0021, 0)</f>
        <v>45.436</v>
      </c>
      <c r="K381" s="10">
        <f>45.4339 * CHOOSE(CONTROL!$C$9, $D$9, 100%, $F$9) + CHOOSE(CONTROL!$C$27, 0.0021, 0)</f>
        <v>45.436</v>
      </c>
      <c r="L381" s="10"/>
    </row>
    <row r="382" spans="1:12" ht="15.75" x14ac:dyDescent="0.25">
      <c r="A382" s="14">
        <v>52931</v>
      </c>
      <c r="B382" s="10">
        <f>45.9668 * CHOOSE(CONTROL!$C$9, $D$9, 100%, $F$9) + CHOOSE(CONTROL!$C$27, 0.0021, 0)</f>
        <v>45.968899999999998</v>
      </c>
      <c r="C382" s="10">
        <f>45.5345 * CHOOSE(CONTROL!$C$9, $D$9, 100%, $F$9) + CHOOSE(CONTROL!$C$27, 0.0021, 0)</f>
        <v>45.5366</v>
      </c>
      <c r="D382" s="10">
        <f>45.5345 * CHOOSE(CONTROL!$C$9, $D$9, 100%, $F$9) + CHOOSE(CONTROL!$C$27, 0.0021, 0)</f>
        <v>45.5366</v>
      </c>
      <c r="E382" s="10">
        <f>45.3979 * CHOOSE(CONTROL!$C$9, $D$9, 100%, $F$9) + CHOOSE(CONTROL!$C$27, 0.0021, 0)</f>
        <v>45.4</v>
      </c>
      <c r="F382" s="10">
        <f>45.3979 * CHOOSE(CONTROL!$C$9, $D$9, 100%, $F$9) + CHOOSE(CONTROL!$C$27, 0.0021, 0)</f>
        <v>45.4</v>
      </c>
      <c r="G382" s="10">
        <f>45.6692 * CHOOSE(CONTROL!$C$9, $D$9, 100%, $F$9) + CHOOSE(CONTROL!$C$27, 0.0021, 0)</f>
        <v>45.671299999999995</v>
      </c>
      <c r="H382" s="10">
        <f>45.5345 * CHOOSE(CONTROL!$C$9, $D$9, 100%, $F$9) + CHOOSE(CONTROL!$C$27, 0.0021, 0)</f>
        <v>45.5366</v>
      </c>
      <c r="I382" s="10">
        <f>45.5345 * CHOOSE(CONTROL!$C$9, $D$9, 100%, $F$9) + CHOOSE(CONTROL!$C$27, 0.0021, 0)</f>
        <v>45.5366</v>
      </c>
      <c r="J382" s="10">
        <f>45.5345 * CHOOSE(CONTROL!$C$9, $D$9, 100%, $F$9) + CHOOSE(CONTROL!$C$27, 0.0021, 0)</f>
        <v>45.5366</v>
      </c>
      <c r="K382" s="10">
        <f>45.5345 * CHOOSE(CONTROL!$C$9, $D$9, 100%, $F$9) + CHOOSE(CONTROL!$C$27, 0.0021, 0)</f>
        <v>45.5366</v>
      </c>
      <c r="L382" s="10"/>
    </row>
    <row r="383" spans="1:12" ht="15.75" x14ac:dyDescent="0.25">
      <c r="A383" s="14">
        <v>52962</v>
      </c>
      <c r="B383" s="10">
        <f>45.1104 * CHOOSE(CONTROL!$C$9, $D$9, 100%, $F$9) + CHOOSE(CONTROL!$C$27, 0.0021, 0)</f>
        <v>45.112499999999997</v>
      </c>
      <c r="C383" s="10">
        <f>44.6782 * CHOOSE(CONTROL!$C$9, $D$9, 100%, $F$9) + CHOOSE(CONTROL!$C$27, 0.0021, 0)</f>
        <v>44.680299999999995</v>
      </c>
      <c r="D383" s="10">
        <f>44.6782 * CHOOSE(CONTROL!$C$9, $D$9, 100%, $F$9) + CHOOSE(CONTROL!$C$27, 0.0021, 0)</f>
        <v>44.680299999999995</v>
      </c>
      <c r="E383" s="10">
        <f>44.5415 * CHOOSE(CONTROL!$C$9, $D$9, 100%, $F$9) + CHOOSE(CONTROL!$C$27, 0.0021, 0)</f>
        <v>44.543599999999998</v>
      </c>
      <c r="F383" s="10">
        <f>44.5415 * CHOOSE(CONTROL!$C$9, $D$9, 100%, $F$9) + CHOOSE(CONTROL!$C$27, 0.0021, 0)</f>
        <v>44.543599999999998</v>
      </c>
      <c r="G383" s="10">
        <f>44.8129 * CHOOSE(CONTROL!$C$9, $D$9, 100%, $F$9) + CHOOSE(CONTROL!$C$27, 0.0021, 0)</f>
        <v>44.814999999999998</v>
      </c>
      <c r="H383" s="10">
        <f>44.6782 * CHOOSE(CONTROL!$C$9, $D$9, 100%, $F$9) + CHOOSE(CONTROL!$C$27, 0.0021, 0)</f>
        <v>44.680299999999995</v>
      </c>
      <c r="I383" s="10">
        <f>44.6782 * CHOOSE(CONTROL!$C$9, $D$9, 100%, $F$9) + CHOOSE(CONTROL!$C$27, 0.0021, 0)</f>
        <v>44.680299999999995</v>
      </c>
      <c r="J383" s="10">
        <f>44.6782 * CHOOSE(CONTROL!$C$9, $D$9, 100%, $F$9) + CHOOSE(CONTROL!$C$27, 0.0021, 0)</f>
        <v>44.680299999999995</v>
      </c>
      <c r="K383" s="10">
        <f>44.6782 * CHOOSE(CONTROL!$C$9, $D$9, 100%, $F$9) + CHOOSE(CONTROL!$C$27, 0.0021, 0)</f>
        <v>44.680299999999995</v>
      </c>
      <c r="L383" s="10"/>
    </row>
    <row r="384" spans="1:12" ht="15.75" x14ac:dyDescent="0.25">
      <c r="A384" s="14">
        <v>52993</v>
      </c>
      <c r="B384" s="10">
        <f>44.4548 * CHOOSE(CONTROL!$C$9, $D$9, 100%, $F$9) + CHOOSE(CONTROL!$C$27, 0.0021, 0)</f>
        <v>44.456899999999997</v>
      </c>
      <c r="C384" s="10">
        <f>44.0225 * CHOOSE(CONTROL!$C$9, $D$9, 100%, $F$9) + CHOOSE(CONTROL!$C$27, 0.0021, 0)</f>
        <v>44.0246</v>
      </c>
      <c r="D384" s="10">
        <f>44.0225 * CHOOSE(CONTROL!$C$9, $D$9, 100%, $F$9) + CHOOSE(CONTROL!$C$27, 0.0021, 0)</f>
        <v>44.0246</v>
      </c>
      <c r="E384" s="10">
        <f>43.8859 * CHOOSE(CONTROL!$C$9, $D$9, 100%, $F$9) + CHOOSE(CONTROL!$C$27, 0.0021, 0)</f>
        <v>43.887999999999998</v>
      </c>
      <c r="F384" s="10">
        <f>43.8859 * CHOOSE(CONTROL!$C$9, $D$9, 100%, $F$9) + CHOOSE(CONTROL!$C$27, 0.0021, 0)</f>
        <v>43.887999999999998</v>
      </c>
      <c r="G384" s="10">
        <f>44.1572 * CHOOSE(CONTROL!$C$9, $D$9, 100%, $F$9) + CHOOSE(CONTROL!$C$27, 0.0021, 0)</f>
        <v>44.159300000000002</v>
      </c>
      <c r="H384" s="10">
        <f>44.0225 * CHOOSE(CONTROL!$C$9, $D$9, 100%, $F$9) + CHOOSE(CONTROL!$C$27, 0.0021, 0)</f>
        <v>44.0246</v>
      </c>
      <c r="I384" s="10">
        <f>44.0225 * CHOOSE(CONTROL!$C$9, $D$9, 100%, $F$9) + CHOOSE(CONTROL!$C$27, 0.0021, 0)</f>
        <v>44.0246</v>
      </c>
      <c r="J384" s="10">
        <f>44.0225 * CHOOSE(CONTROL!$C$9, $D$9, 100%, $F$9) + CHOOSE(CONTROL!$C$27, 0.0021, 0)</f>
        <v>44.0246</v>
      </c>
      <c r="K384" s="10">
        <f>44.0225 * CHOOSE(CONTROL!$C$9, $D$9, 100%, $F$9) + CHOOSE(CONTROL!$C$27, 0.0021, 0)</f>
        <v>44.0246</v>
      </c>
      <c r="L384" s="10"/>
    </row>
    <row r="385" spans="1:12" ht="15.75" x14ac:dyDescent="0.25">
      <c r="A385" s="14">
        <v>53021</v>
      </c>
      <c r="B385" s="10">
        <f>43.2622 * CHOOSE(CONTROL!$C$9, $D$9, 100%, $F$9) + CHOOSE(CONTROL!$C$27, 0.0021, 0)</f>
        <v>43.264299999999999</v>
      </c>
      <c r="C385" s="10">
        <f>42.8299 * CHOOSE(CONTROL!$C$9, $D$9, 100%, $F$9) + CHOOSE(CONTROL!$C$27, 0.0021, 0)</f>
        <v>42.832000000000001</v>
      </c>
      <c r="D385" s="10">
        <f>42.8299 * CHOOSE(CONTROL!$C$9, $D$9, 100%, $F$9) + CHOOSE(CONTROL!$C$27, 0.0021, 0)</f>
        <v>42.832000000000001</v>
      </c>
      <c r="E385" s="10">
        <f>42.6933 * CHOOSE(CONTROL!$C$9, $D$9, 100%, $F$9) + CHOOSE(CONTROL!$C$27, 0.0021, 0)</f>
        <v>42.695399999999999</v>
      </c>
      <c r="F385" s="10">
        <f>42.6933 * CHOOSE(CONTROL!$C$9, $D$9, 100%, $F$9) + CHOOSE(CONTROL!$C$27, 0.0021, 0)</f>
        <v>42.695399999999999</v>
      </c>
      <c r="G385" s="10">
        <f>42.9647 * CHOOSE(CONTROL!$C$9, $D$9, 100%, $F$9) + CHOOSE(CONTROL!$C$27, 0.0021, 0)</f>
        <v>42.966799999999999</v>
      </c>
      <c r="H385" s="10">
        <f>42.8299 * CHOOSE(CONTROL!$C$9, $D$9, 100%, $F$9) + CHOOSE(CONTROL!$C$27, 0.0021, 0)</f>
        <v>42.832000000000001</v>
      </c>
      <c r="I385" s="10">
        <f>42.8299 * CHOOSE(CONTROL!$C$9, $D$9, 100%, $F$9) + CHOOSE(CONTROL!$C$27, 0.0021, 0)</f>
        <v>42.832000000000001</v>
      </c>
      <c r="J385" s="10">
        <f>42.8299 * CHOOSE(CONTROL!$C$9, $D$9, 100%, $F$9) + CHOOSE(CONTROL!$C$27, 0.0021, 0)</f>
        <v>42.832000000000001</v>
      </c>
      <c r="K385" s="10">
        <f>42.8299 * CHOOSE(CONTROL!$C$9, $D$9, 100%, $F$9) + CHOOSE(CONTROL!$C$27, 0.0021, 0)</f>
        <v>42.832000000000001</v>
      </c>
      <c r="L385" s="10"/>
    </row>
    <row r="386" spans="1:12" ht="15.75" x14ac:dyDescent="0.25">
      <c r="A386" s="14">
        <v>53052</v>
      </c>
      <c r="B386" s="10">
        <f>42.7699 * CHOOSE(CONTROL!$C$9, $D$9, 100%, $F$9) + CHOOSE(CONTROL!$C$27, 0.0021, 0)</f>
        <v>42.771999999999998</v>
      </c>
      <c r="C386" s="10">
        <f>42.3376 * CHOOSE(CONTROL!$C$9, $D$9, 100%, $F$9) + CHOOSE(CONTROL!$C$27, 0.0021, 0)</f>
        <v>42.339700000000001</v>
      </c>
      <c r="D386" s="10">
        <f>42.3376 * CHOOSE(CONTROL!$C$9, $D$9, 100%, $F$9) + CHOOSE(CONTROL!$C$27, 0.0021, 0)</f>
        <v>42.339700000000001</v>
      </c>
      <c r="E386" s="10">
        <f>42.201 * CHOOSE(CONTROL!$C$9, $D$9, 100%, $F$9) + CHOOSE(CONTROL!$C$27, 0.0021, 0)</f>
        <v>42.203099999999999</v>
      </c>
      <c r="F386" s="10">
        <f>42.201 * CHOOSE(CONTROL!$C$9, $D$9, 100%, $F$9) + CHOOSE(CONTROL!$C$27, 0.0021, 0)</f>
        <v>42.203099999999999</v>
      </c>
      <c r="G386" s="10">
        <f>42.4724 * CHOOSE(CONTROL!$C$9, $D$9, 100%, $F$9) + CHOOSE(CONTROL!$C$27, 0.0021, 0)</f>
        <v>42.474499999999999</v>
      </c>
      <c r="H386" s="10">
        <f>42.3376 * CHOOSE(CONTROL!$C$9, $D$9, 100%, $F$9) + CHOOSE(CONTROL!$C$27, 0.0021, 0)</f>
        <v>42.339700000000001</v>
      </c>
      <c r="I386" s="10">
        <f>42.3376 * CHOOSE(CONTROL!$C$9, $D$9, 100%, $F$9) + CHOOSE(CONTROL!$C$27, 0.0021, 0)</f>
        <v>42.339700000000001</v>
      </c>
      <c r="J386" s="10">
        <f>42.3376 * CHOOSE(CONTROL!$C$9, $D$9, 100%, $F$9) + CHOOSE(CONTROL!$C$27, 0.0021, 0)</f>
        <v>42.339700000000001</v>
      </c>
      <c r="K386" s="10">
        <f>42.3376 * CHOOSE(CONTROL!$C$9, $D$9, 100%, $F$9) + CHOOSE(CONTROL!$C$27, 0.0021, 0)</f>
        <v>42.339700000000001</v>
      </c>
      <c r="L386" s="10"/>
    </row>
    <row r="387" spans="1:12" ht="15.75" x14ac:dyDescent="0.25">
      <c r="A387" s="14">
        <v>53082</v>
      </c>
      <c r="B387" s="10">
        <f>42.1821 * CHOOSE(CONTROL!$C$9, $D$9, 100%, $F$9) + CHOOSE(CONTROL!$C$27, 0.0021, 0)</f>
        <v>42.184199999999997</v>
      </c>
      <c r="C387" s="10">
        <f>41.7498 * CHOOSE(CONTROL!$C$9, $D$9, 100%, $F$9) + CHOOSE(CONTROL!$C$27, 0.0021, 0)</f>
        <v>41.751899999999999</v>
      </c>
      <c r="D387" s="10">
        <f>41.7498 * CHOOSE(CONTROL!$C$9, $D$9, 100%, $F$9) + CHOOSE(CONTROL!$C$27, 0.0021, 0)</f>
        <v>41.751899999999999</v>
      </c>
      <c r="E387" s="10">
        <f>41.6132 * CHOOSE(CONTROL!$C$9, $D$9, 100%, $F$9) + CHOOSE(CONTROL!$C$27, 0.0021, 0)</f>
        <v>41.615299999999998</v>
      </c>
      <c r="F387" s="10">
        <f>41.6132 * CHOOSE(CONTROL!$C$9, $D$9, 100%, $F$9) + CHOOSE(CONTROL!$C$27, 0.0021, 0)</f>
        <v>41.615299999999998</v>
      </c>
      <c r="G387" s="10">
        <f>41.8845 * CHOOSE(CONTROL!$C$9, $D$9, 100%, $F$9) + CHOOSE(CONTROL!$C$27, 0.0021, 0)</f>
        <v>41.886600000000001</v>
      </c>
      <c r="H387" s="10">
        <f>41.7498 * CHOOSE(CONTROL!$C$9, $D$9, 100%, $F$9) + CHOOSE(CONTROL!$C$27, 0.0021, 0)</f>
        <v>41.751899999999999</v>
      </c>
      <c r="I387" s="10">
        <f>41.7498 * CHOOSE(CONTROL!$C$9, $D$9, 100%, $F$9) + CHOOSE(CONTROL!$C$27, 0.0021, 0)</f>
        <v>41.751899999999999</v>
      </c>
      <c r="J387" s="10">
        <f>41.7498 * CHOOSE(CONTROL!$C$9, $D$9, 100%, $F$9) + CHOOSE(CONTROL!$C$27, 0.0021, 0)</f>
        <v>41.751899999999999</v>
      </c>
      <c r="K387" s="10">
        <f>41.7498 * CHOOSE(CONTROL!$C$9, $D$9, 100%, $F$9) + CHOOSE(CONTROL!$C$27, 0.0021, 0)</f>
        <v>41.751899999999999</v>
      </c>
      <c r="L387" s="10"/>
    </row>
    <row r="388" spans="1:12" ht="15.75" x14ac:dyDescent="0.25">
      <c r="A388" s="14">
        <v>53113</v>
      </c>
      <c r="B388" s="10">
        <f>43.0198 * CHOOSE(CONTROL!$C$9, $D$9, 100%, $F$9) + CHOOSE(CONTROL!$C$27, 0.0021, 0)</f>
        <v>43.021899999999995</v>
      </c>
      <c r="C388" s="10">
        <f>42.5875 * CHOOSE(CONTROL!$C$9, $D$9, 100%, $F$9) + CHOOSE(CONTROL!$C$27, 0.0021, 0)</f>
        <v>42.589599999999997</v>
      </c>
      <c r="D388" s="10">
        <f>42.5875 * CHOOSE(CONTROL!$C$9, $D$9, 100%, $F$9) + CHOOSE(CONTROL!$C$27, 0.0021, 0)</f>
        <v>42.589599999999997</v>
      </c>
      <c r="E388" s="10">
        <f>42.4509 * CHOOSE(CONTROL!$C$9, $D$9, 100%, $F$9) + CHOOSE(CONTROL!$C$27, 0.0021, 0)</f>
        <v>42.452999999999996</v>
      </c>
      <c r="F388" s="10">
        <f>42.4509 * CHOOSE(CONTROL!$C$9, $D$9, 100%, $F$9) + CHOOSE(CONTROL!$C$27, 0.0021, 0)</f>
        <v>42.452999999999996</v>
      </c>
      <c r="G388" s="10">
        <f>42.7222 * CHOOSE(CONTROL!$C$9, $D$9, 100%, $F$9) + CHOOSE(CONTROL!$C$27, 0.0021, 0)</f>
        <v>42.724299999999999</v>
      </c>
      <c r="H388" s="10">
        <f>42.5875 * CHOOSE(CONTROL!$C$9, $D$9, 100%, $F$9) + CHOOSE(CONTROL!$C$27, 0.0021, 0)</f>
        <v>42.589599999999997</v>
      </c>
      <c r="I388" s="10">
        <f>42.5875 * CHOOSE(CONTROL!$C$9, $D$9, 100%, $F$9) + CHOOSE(CONTROL!$C$27, 0.0021, 0)</f>
        <v>42.589599999999997</v>
      </c>
      <c r="J388" s="10">
        <f>42.5875 * CHOOSE(CONTROL!$C$9, $D$9, 100%, $F$9) + CHOOSE(CONTROL!$C$27, 0.0021, 0)</f>
        <v>42.589599999999997</v>
      </c>
      <c r="K388" s="10">
        <f>42.5875 * CHOOSE(CONTROL!$C$9, $D$9, 100%, $F$9) + CHOOSE(CONTROL!$C$27, 0.0021, 0)</f>
        <v>42.589599999999997</v>
      </c>
      <c r="L388" s="10"/>
    </row>
    <row r="389" spans="1:12" ht="15.75" x14ac:dyDescent="0.25">
      <c r="A389" s="14">
        <v>53143</v>
      </c>
      <c r="B389" s="10">
        <f>43.5215 * CHOOSE(CONTROL!$C$9, $D$9, 100%, $F$9) + CHOOSE(CONTROL!$C$27, 0.0021, 0)</f>
        <v>43.523600000000002</v>
      </c>
      <c r="C389" s="10">
        <f>43.0893 * CHOOSE(CONTROL!$C$9, $D$9, 100%, $F$9) + CHOOSE(CONTROL!$C$27, 0.0021, 0)</f>
        <v>43.0914</v>
      </c>
      <c r="D389" s="10">
        <f>43.0893 * CHOOSE(CONTROL!$C$9, $D$9, 100%, $F$9) + CHOOSE(CONTROL!$C$27, 0.0021, 0)</f>
        <v>43.0914</v>
      </c>
      <c r="E389" s="10">
        <f>42.9526 * CHOOSE(CONTROL!$C$9, $D$9, 100%, $F$9) + CHOOSE(CONTROL!$C$27, 0.0021, 0)</f>
        <v>42.954699999999995</v>
      </c>
      <c r="F389" s="10">
        <f>42.9526 * CHOOSE(CONTROL!$C$9, $D$9, 100%, $F$9) + CHOOSE(CONTROL!$C$27, 0.0021, 0)</f>
        <v>42.954699999999995</v>
      </c>
      <c r="G389" s="10">
        <f>43.224 * CHOOSE(CONTROL!$C$9, $D$9, 100%, $F$9) + CHOOSE(CONTROL!$C$27, 0.0021, 0)</f>
        <v>43.226099999999995</v>
      </c>
      <c r="H389" s="10">
        <f>43.0893 * CHOOSE(CONTROL!$C$9, $D$9, 100%, $F$9) + CHOOSE(CONTROL!$C$27, 0.0021, 0)</f>
        <v>43.0914</v>
      </c>
      <c r="I389" s="10">
        <f>43.0893 * CHOOSE(CONTROL!$C$9, $D$9, 100%, $F$9) + CHOOSE(CONTROL!$C$27, 0.0021, 0)</f>
        <v>43.0914</v>
      </c>
      <c r="J389" s="10">
        <f>43.0893 * CHOOSE(CONTROL!$C$9, $D$9, 100%, $F$9) + CHOOSE(CONTROL!$C$27, 0.0021, 0)</f>
        <v>43.0914</v>
      </c>
      <c r="K389" s="10">
        <f>43.0893 * CHOOSE(CONTROL!$C$9, $D$9, 100%, $F$9) + CHOOSE(CONTROL!$C$27, 0.0021, 0)</f>
        <v>43.0914</v>
      </c>
      <c r="L389" s="10"/>
    </row>
    <row r="390" spans="1:12" ht="15.75" x14ac:dyDescent="0.25">
      <c r="A390" s="14">
        <v>53174</v>
      </c>
      <c r="B390" s="10">
        <f>44.3492 * CHOOSE(CONTROL!$C$9, $D$9, 100%, $F$9) + CHOOSE(CONTROL!$C$27, 0.0021, 0)</f>
        <v>44.351300000000002</v>
      </c>
      <c r="C390" s="10">
        <f>43.917 * CHOOSE(CONTROL!$C$9, $D$9, 100%, $F$9) + CHOOSE(CONTROL!$C$27, 0.0021, 0)</f>
        <v>43.9191</v>
      </c>
      <c r="D390" s="10">
        <f>43.917 * CHOOSE(CONTROL!$C$9, $D$9, 100%, $F$9) + CHOOSE(CONTROL!$C$27, 0.0021, 0)</f>
        <v>43.9191</v>
      </c>
      <c r="E390" s="10">
        <f>43.7803 * CHOOSE(CONTROL!$C$9, $D$9, 100%, $F$9) + CHOOSE(CONTROL!$C$27, 0.0021, 0)</f>
        <v>43.782399999999996</v>
      </c>
      <c r="F390" s="10">
        <f>43.7803 * CHOOSE(CONTROL!$C$9, $D$9, 100%, $F$9) + CHOOSE(CONTROL!$C$27, 0.0021, 0)</f>
        <v>43.782399999999996</v>
      </c>
      <c r="G390" s="10">
        <f>44.0517 * CHOOSE(CONTROL!$C$9, $D$9, 100%, $F$9) + CHOOSE(CONTROL!$C$27, 0.0021, 0)</f>
        <v>44.053799999999995</v>
      </c>
      <c r="H390" s="10">
        <f>43.917 * CHOOSE(CONTROL!$C$9, $D$9, 100%, $F$9) + CHOOSE(CONTROL!$C$27, 0.0021, 0)</f>
        <v>43.9191</v>
      </c>
      <c r="I390" s="10">
        <f>43.917 * CHOOSE(CONTROL!$C$9, $D$9, 100%, $F$9) + CHOOSE(CONTROL!$C$27, 0.0021, 0)</f>
        <v>43.9191</v>
      </c>
      <c r="J390" s="10">
        <f>43.917 * CHOOSE(CONTROL!$C$9, $D$9, 100%, $F$9) + CHOOSE(CONTROL!$C$27, 0.0021, 0)</f>
        <v>43.9191</v>
      </c>
      <c r="K390" s="10">
        <f>43.917 * CHOOSE(CONTROL!$C$9, $D$9, 100%, $F$9) + CHOOSE(CONTROL!$C$27, 0.0021, 0)</f>
        <v>43.9191</v>
      </c>
      <c r="L390" s="10"/>
    </row>
    <row r="391" spans="1:12" ht="15.75" x14ac:dyDescent="0.25">
      <c r="A391" s="14">
        <v>53205</v>
      </c>
      <c r="B391" s="10">
        <f>44.6019 * CHOOSE(CONTROL!$C$9, $D$9, 100%, $F$9) + CHOOSE(CONTROL!$C$27, 0.0021, 0)</f>
        <v>44.603999999999999</v>
      </c>
      <c r="C391" s="10">
        <f>44.1696 * CHOOSE(CONTROL!$C$9, $D$9, 100%, $F$9) + CHOOSE(CONTROL!$C$27, 0.0021, 0)</f>
        <v>44.171700000000001</v>
      </c>
      <c r="D391" s="10">
        <f>44.1696 * CHOOSE(CONTROL!$C$9, $D$9, 100%, $F$9) + CHOOSE(CONTROL!$C$27, 0.0021, 0)</f>
        <v>44.171700000000001</v>
      </c>
      <c r="E391" s="10">
        <f>44.033 * CHOOSE(CONTROL!$C$9, $D$9, 100%, $F$9) + CHOOSE(CONTROL!$C$27, 0.0021, 0)</f>
        <v>44.0351</v>
      </c>
      <c r="F391" s="10">
        <f>44.033 * CHOOSE(CONTROL!$C$9, $D$9, 100%, $F$9) + CHOOSE(CONTROL!$C$27, 0.0021, 0)</f>
        <v>44.0351</v>
      </c>
      <c r="G391" s="10">
        <f>44.3043 * CHOOSE(CONTROL!$C$9, $D$9, 100%, $F$9) + CHOOSE(CONTROL!$C$27, 0.0021, 0)</f>
        <v>44.306399999999996</v>
      </c>
      <c r="H391" s="10">
        <f>44.1696 * CHOOSE(CONTROL!$C$9, $D$9, 100%, $F$9) + CHOOSE(CONTROL!$C$27, 0.0021, 0)</f>
        <v>44.171700000000001</v>
      </c>
      <c r="I391" s="10">
        <f>44.1696 * CHOOSE(CONTROL!$C$9, $D$9, 100%, $F$9) + CHOOSE(CONTROL!$C$27, 0.0021, 0)</f>
        <v>44.171700000000001</v>
      </c>
      <c r="J391" s="10">
        <f>44.1696 * CHOOSE(CONTROL!$C$9, $D$9, 100%, $F$9) + CHOOSE(CONTROL!$C$27, 0.0021, 0)</f>
        <v>44.171700000000001</v>
      </c>
      <c r="K391" s="10">
        <f>44.1696 * CHOOSE(CONTROL!$C$9, $D$9, 100%, $F$9) + CHOOSE(CONTROL!$C$27, 0.0021, 0)</f>
        <v>44.171700000000001</v>
      </c>
      <c r="L391" s="10"/>
    </row>
    <row r="392" spans="1:12" ht="15.75" x14ac:dyDescent="0.25">
      <c r="A392" s="14">
        <v>53235</v>
      </c>
      <c r="B392" s="10">
        <f>45.4622 * CHOOSE(CONTROL!$C$9, $D$9, 100%, $F$9) + CHOOSE(CONTROL!$C$27, 0.0021, 0)</f>
        <v>45.464300000000001</v>
      </c>
      <c r="C392" s="10">
        <f>45.03 * CHOOSE(CONTROL!$C$9, $D$9, 100%, $F$9) + CHOOSE(CONTROL!$C$27, 0.0021, 0)</f>
        <v>45.0321</v>
      </c>
      <c r="D392" s="10">
        <f>45.03 * CHOOSE(CONTROL!$C$9, $D$9, 100%, $F$9) + CHOOSE(CONTROL!$C$27, 0.0021, 0)</f>
        <v>45.0321</v>
      </c>
      <c r="E392" s="10">
        <f>44.8933 * CHOOSE(CONTROL!$C$9, $D$9, 100%, $F$9) + CHOOSE(CONTROL!$C$27, 0.0021, 0)</f>
        <v>44.895400000000002</v>
      </c>
      <c r="F392" s="10">
        <f>44.8933 * CHOOSE(CONTROL!$C$9, $D$9, 100%, $F$9) + CHOOSE(CONTROL!$C$27, 0.0021, 0)</f>
        <v>44.895400000000002</v>
      </c>
      <c r="G392" s="10">
        <f>45.1647 * CHOOSE(CONTROL!$C$9, $D$9, 100%, $F$9) + CHOOSE(CONTROL!$C$27, 0.0021, 0)</f>
        <v>45.166800000000002</v>
      </c>
      <c r="H392" s="10">
        <f>45.03 * CHOOSE(CONTROL!$C$9, $D$9, 100%, $F$9) + CHOOSE(CONTROL!$C$27, 0.0021, 0)</f>
        <v>45.0321</v>
      </c>
      <c r="I392" s="10">
        <f>45.03 * CHOOSE(CONTROL!$C$9, $D$9, 100%, $F$9) + CHOOSE(CONTROL!$C$27, 0.0021, 0)</f>
        <v>45.0321</v>
      </c>
      <c r="J392" s="10">
        <f>45.03 * CHOOSE(CONTROL!$C$9, $D$9, 100%, $F$9) + CHOOSE(CONTROL!$C$27, 0.0021, 0)</f>
        <v>45.0321</v>
      </c>
      <c r="K392" s="10">
        <f>45.03 * CHOOSE(CONTROL!$C$9, $D$9, 100%, $F$9) + CHOOSE(CONTROL!$C$27, 0.0021, 0)</f>
        <v>45.0321</v>
      </c>
      <c r="L392" s="10"/>
    </row>
    <row r="393" spans="1:12" ht="15.75" x14ac:dyDescent="0.25">
      <c r="A393" s="14">
        <v>53266</v>
      </c>
      <c r="B393" s="10">
        <f>46.5513 * CHOOSE(CONTROL!$C$9, $D$9, 100%, $F$9) + CHOOSE(CONTROL!$C$27, 0.0021, 0)</f>
        <v>46.553399999999996</v>
      </c>
      <c r="C393" s="10">
        <f>46.1191 * CHOOSE(CONTROL!$C$9, $D$9, 100%, $F$9) + CHOOSE(CONTROL!$C$27, 0.0021, 0)</f>
        <v>46.121200000000002</v>
      </c>
      <c r="D393" s="10">
        <f>46.1191 * CHOOSE(CONTROL!$C$9, $D$9, 100%, $F$9) + CHOOSE(CONTROL!$C$27, 0.0021, 0)</f>
        <v>46.121200000000002</v>
      </c>
      <c r="E393" s="10">
        <f>45.9824 * CHOOSE(CONTROL!$C$9, $D$9, 100%, $F$9) + CHOOSE(CONTROL!$C$27, 0.0021, 0)</f>
        <v>45.984499999999997</v>
      </c>
      <c r="F393" s="10">
        <f>45.9824 * CHOOSE(CONTROL!$C$9, $D$9, 100%, $F$9) + CHOOSE(CONTROL!$C$27, 0.0021, 0)</f>
        <v>45.984499999999997</v>
      </c>
      <c r="G393" s="10">
        <f>46.2538 * CHOOSE(CONTROL!$C$9, $D$9, 100%, $F$9) + CHOOSE(CONTROL!$C$27, 0.0021, 0)</f>
        <v>46.255899999999997</v>
      </c>
      <c r="H393" s="10">
        <f>46.1191 * CHOOSE(CONTROL!$C$9, $D$9, 100%, $F$9) + CHOOSE(CONTROL!$C$27, 0.0021, 0)</f>
        <v>46.121200000000002</v>
      </c>
      <c r="I393" s="10">
        <f>46.1191 * CHOOSE(CONTROL!$C$9, $D$9, 100%, $F$9) + CHOOSE(CONTROL!$C$27, 0.0021, 0)</f>
        <v>46.121200000000002</v>
      </c>
      <c r="J393" s="10">
        <f>46.1191 * CHOOSE(CONTROL!$C$9, $D$9, 100%, $F$9) + CHOOSE(CONTROL!$C$27, 0.0021, 0)</f>
        <v>46.121200000000002</v>
      </c>
      <c r="K393" s="10">
        <f>46.1191 * CHOOSE(CONTROL!$C$9, $D$9, 100%, $F$9) + CHOOSE(CONTROL!$C$27, 0.0021, 0)</f>
        <v>46.121200000000002</v>
      </c>
      <c r="L393" s="10"/>
    </row>
    <row r="394" spans="1:12" ht="15.75" x14ac:dyDescent="0.25">
      <c r="A394" s="14">
        <v>53296</v>
      </c>
      <c r="B394" s="10">
        <f>46.6535 * CHOOSE(CONTROL!$C$9, $D$9, 100%, $F$9) + CHOOSE(CONTROL!$C$27, 0.0021, 0)</f>
        <v>46.6556</v>
      </c>
      <c r="C394" s="10">
        <f>46.2213 * CHOOSE(CONTROL!$C$9, $D$9, 100%, $F$9) + CHOOSE(CONTROL!$C$27, 0.0021, 0)</f>
        <v>46.223399999999998</v>
      </c>
      <c r="D394" s="10">
        <f>46.2213 * CHOOSE(CONTROL!$C$9, $D$9, 100%, $F$9) + CHOOSE(CONTROL!$C$27, 0.0021, 0)</f>
        <v>46.223399999999998</v>
      </c>
      <c r="E394" s="10">
        <f>46.0846 * CHOOSE(CONTROL!$C$9, $D$9, 100%, $F$9) + CHOOSE(CONTROL!$C$27, 0.0021, 0)</f>
        <v>46.0867</v>
      </c>
      <c r="F394" s="10">
        <f>46.0846 * CHOOSE(CONTROL!$C$9, $D$9, 100%, $F$9) + CHOOSE(CONTROL!$C$27, 0.0021, 0)</f>
        <v>46.0867</v>
      </c>
      <c r="G394" s="10">
        <f>46.356 * CHOOSE(CONTROL!$C$9, $D$9, 100%, $F$9) + CHOOSE(CONTROL!$C$27, 0.0021, 0)</f>
        <v>46.3581</v>
      </c>
      <c r="H394" s="10">
        <f>46.2213 * CHOOSE(CONTROL!$C$9, $D$9, 100%, $F$9) + CHOOSE(CONTROL!$C$27, 0.0021, 0)</f>
        <v>46.223399999999998</v>
      </c>
      <c r="I394" s="10">
        <f>46.2213 * CHOOSE(CONTROL!$C$9, $D$9, 100%, $F$9) + CHOOSE(CONTROL!$C$27, 0.0021, 0)</f>
        <v>46.223399999999998</v>
      </c>
      <c r="J394" s="10">
        <f>46.2213 * CHOOSE(CONTROL!$C$9, $D$9, 100%, $F$9) + CHOOSE(CONTROL!$C$27, 0.0021, 0)</f>
        <v>46.223399999999998</v>
      </c>
      <c r="K394" s="10">
        <f>46.2213 * CHOOSE(CONTROL!$C$9, $D$9, 100%, $F$9) + CHOOSE(CONTROL!$C$27, 0.0021, 0)</f>
        <v>46.223399999999998</v>
      </c>
      <c r="L394" s="10"/>
    </row>
    <row r="395" spans="1:12" ht="15.75" x14ac:dyDescent="0.25">
      <c r="A395" s="14">
        <v>53327</v>
      </c>
      <c r="B395" s="10">
        <f>45.7837 * CHOOSE(CONTROL!$C$9, $D$9, 100%, $F$9) + CHOOSE(CONTROL!$C$27, 0.0021, 0)</f>
        <v>45.785800000000002</v>
      </c>
      <c r="C395" s="10">
        <f>45.3515 * CHOOSE(CONTROL!$C$9, $D$9, 100%, $F$9) + CHOOSE(CONTROL!$C$27, 0.0021, 0)</f>
        <v>45.3536</v>
      </c>
      <c r="D395" s="10">
        <f>45.3515 * CHOOSE(CONTROL!$C$9, $D$9, 100%, $F$9) + CHOOSE(CONTROL!$C$27, 0.0021, 0)</f>
        <v>45.3536</v>
      </c>
      <c r="E395" s="10">
        <f>45.2148 * CHOOSE(CONTROL!$C$9, $D$9, 100%, $F$9) + CHOOSE(CONTROL!$C$27, 0.0021, 0)</f>
        <v>45.216899999999995</v>
      </c>
      <c r="F395" s="10">
        <f>45.2148 * CHOOSE(CONTROL!$C$9, $D$9, 100%, $F$9) + CHOOSE(CONTROL!$C$27, 0.0021, 0)</f>
        <v>45.216899999999995</v>
      </c>
      <c r="G395" s="10">
        <f>45.4862 * CHOOSE(CONTROL!$C$9, $D$9, 100%, $F$9) + CHOOSE(CONTROL!$C$27, 0.0021, 0)</f>
        <v>45.488299999999995</v>
      </c>
      <c r="H395" s="10">
        <f>45.3515 * CHOOSE(CONTROL!$C$9, $D$9, 100%, $F$9) + CHOOSE(CONTROL!$C$27, 0.0021, 0)</f>
        <v>45.3536</v>
      </c>
      <c r="I395" s="10">
        <f>45.3515 * CHOOSE(CONTROL!$C$9, $D$9, 100%, $F$9) + CHOOSE(CONTROL!$C$27, 0.0021, 0)</f>
        <v>45.3536</v>
      </c>
      <c r="J395" s="10">
        <f>45.3515 * CHOOSE(CONTROL!$C$9, $D$9, 100%, $F$9) + CHOOSE(CONTROL!$C$27, 0.0021, 0)</f>
        <v>45.3536</v>
      </c>
      <c r="K395" s="10">
        <f>45.3515 * CHOOSE(CONTROL!$C$9, $D$9, 100%, $F$9) + CHOOSE(CONTROL!$C$27, 0.0021, 0)</f>
        <v>45.3536</v>
      </c>
      <c r="L395" s="10"/>
    </row>
    <row r="396" spans="1:12" ht="15.75" x14ac:dyDescent="0.25">
      <c r="A396" s="14">
        <v>53358</v>
      </c>
      <c r="B396" s="10">
        <f>45.1178 * CHOOSE(CONTROL!$C$9, $D$9, 100%, $F$9) + CHOOSE(CONTROL!$C$27, 0.0021, 0)</f>
        <v>45.119900000000001</v>
      </c>
      <c r="C396" s="10">
        <f>44.6855 * CHOOSE(CONTROL!$C$9, $D$9, 100%, $F$9) + CHOOSE(CONTROL!$C$27, 0.0021, 0)</f>
        <v>44.687599999999996</v>
      </c>
      <c r="D396" s="10">
        <f>44.6855 * CHOOSE(CONTROL!$C$9, $D$9, 100%, $F$9) + CHOOSE(CONTROL!$C$27, 0.0021, 0)</f>
        <v>44.687599999999996</v>
      </c>
      <c r="E396" s="10">
        <f>44.5489 * CHOOSE(CONTROL!$C$9, $D$9, 100%, $F$9) + CHOOSE(CONTROL!$C$27, 0.0021, 0)</f>
        <v>44.551000000000002</v>
      </c>
      <c r="F396" s="10">
        <f>44.5489 * CHOOSE(CONTROL!$C$9, $D$9, 100%, $F$9) + CHOOSE(CONTROL!$C$27, 0.0021, 0)</f>
        <v>44.551000000000002</v>
      </c>
      <c r="G396" s="10">
        <f>44.8202 * CHOOSE(CONTROL!$C$9, $D$9, 100%, $F$9) + CHOOSE(CONTROL!$C$27, 0.0021, 0)</f>
        <v>44.822299999999998</v>
      </c>
      <c r="H396" s="10">
        <f>44.6855 * CHOOSE(CONTROL!$C$9, $D$9, 100%, $F$9) + CHOOSE(CONTROL!$C$27, 0.0021, 0)</f>
        <v>44.687599999999996</v>
      </c>
      <c r="I396" s="10">
        <f>44.6855 * CHOOSE(CONTROL!$C$9, $D$9, 100%, $F$9) + CHOOSE(CONTROL!$C$27, 0.0021, 0)</f>
        <v>44.687599999999996</v>
      </c>
      <c r="J396" s="10">
        <f>44.6855 * CHOOSE(CONTROL!$C$9, $D$9, 100%, $F$9) + CHOOSE(CONTROL!$C$27, 0.0021, 0)</f>
        <v>44.687599999999996</v>
      </c>
      <c r="K396" s="10">
        <f>44.6855 * CHOOSE(CONTROL!$C$9, $D$9, 100%, $F$9) + CHOOSE(CONTROL!$C$27, 0.0021, 0)</f>
        <v>44.687599999999996</v>
      </c>
      <c r="L396" s="10"/>
    </row>
    <row r="397" spans="1:12" ht="15.75" x14ac:dyDescent="0.25">
      <c r="A397" s="14">
        <v>53386</v>
      </c>
      <c r="B397" s="10">
        <f>43.9064 * CHOOSE(CONTROL!$C$9, $D$9, 100%, $F$9) + CHOOSE(CONTROL!$C$27, 0.0021, 0)</f>
        <v>43.908499999999997</v>
      </c>
      <c r="C397" s="10">
        <f>43.4742 * CHOOSE(CONTROL!$C$9, $D$9, 100%, $F$9) + CHOOSE(CONTROL!$C$27, 0.0021, 0)</f>
        <v>43.476300000000002</v>
      </c>
      <c r="D397" s="10">
        <f>43.4742 * CHOOSE(CONTROL!$C$9, $D$9, 100%, $F$9) + CHOOSE(CONTROL!$C$27, 0.0021, 0)</f>
        <v>43.476300000000002</v>
      </c>
      <c r="E397" s="10">
        <f>43.3375 * CHOOSE(CONTROL!$C$9, $D$9, 100%, $F$9) + CHOOSE(CONTROL!$C$27, 0.0021, 0)</f>
        <v>43.339599999999997</v>
      </c>
      <c r="F397" s="10">
        <f>43.3375 * CHOOSE(CONTROL!$C$9, $D$9, 100%, $F$9) + CHOOSE(CONTROL!$C$27, 0.0021, 0)</f>
        <v>43.339599999999997</v>
      </c>
      <c r="G397" s="10">
        <f>43.6089 * CHOOSE(CONTROL!$C$9, $D$9, 100%, $F$9) + CHOOSE(CONTROL!$C$27, 0.0021, 0)</f>
        <v>43.610999999999997</v>
      </c>
      <c r="H397" s="10">
        <f>43.4742 * CHOOSE(CONTROL!$C$9, $D$9, 100%, $F$9) + CHOOSE(CONTROL!$C$27, 0.0021, 0)</f>
        <v>43.476300000000002</v>
      </c>
      <c r="I397" s="10">
        <f>43.4742 * CHOOSE(CONTROL!$C$9, $D$9, 100%, $F$9) + CHOOSE(CONTROL!$C$27, 0.0021, 0)</f>
        <v>43.476300000000002</v>
      </c>
      <c r="J397" s="10">
        <f>43.4742 * CHOOSE(CONTROL!$C$9, $D$9, 100%, $F$9) + CHOOSE(CONTROL!$C$27, 0.0021, 0)</f>
        <v>43.476300000000002</v>
      </c>
      <c r="K397" s="10">
        <f>43.4742 * CHOOSE(CONTROL!$C$9, $D$9, 100%, $F$9) + CHOOSE(CONTROL!$C$27, 0.0021, 0)</f>
        <v>43.476300000000002</v>
      </c>
      <c r="L397" s="10"/>
    </row>
    <row r="398" spans="1:12" ht="15.75" x14ac:dyDescent="0.25">
      <c r="A398" s="14">
        <v>53417</v>
      </c>
      <c r="B398" s="10">
        <f>43.4064 * CHOOSE(CONTROL!$C$9, $D$9, 100%, $F$9) + CHOOSE(CONTROL!$C$27, 0.0021, 0)</f>
        <v>43.408499999999997</v>
      </c>
      <c r="C398" s="10">
        <f>42.9741 * CHOOSE(CONTROL!$C$9, $D$9, 100%, $F$9) + CHOOSE(CONTROL!$C$27, 0.0021, 0)</f>
        <v>42.976199999999999</v>
      </c>
      <c r="D398" s="10">
        <f>42.9741 * CHOOSE(CONTROL!$C$9, $D$9, 100%, $F$9) + CHOOSE(CONTROL!$C$27, 0.0021, 0)</f>
        <v>42.976199999999999</v>
      </c>
      <c r="E398" s="10">
        <f>42.8375 * CHOOSE(CONTROL!$C$9, $D$9, 100%, $F$9) + CHOOSE(CONTROL!$C$27, 0.0021, 0)</f>
        <v>42.839599999999997</v>
      </c>
      <c r="F398" s="10">
        <f>42.8375 * CHOOSE(CONTROL!$C$9, $D$9, 100%, $F$9) + CHOOSE(CONTROL!$C$27, 0.0021, 0)</f>
        <v>42.839599999999997</v>
      </c>
      <c r="G398" s="10">
        <f>43.1089 * CHOOSE(CONTROL!$C$9, $D$9, 100%, $F$9) + CHOOSE(CONTROL!$C$27, 0.0021, 0)</f>
        <v>43.110999999999997</v>
      </c>
      <c r="H398" s="10">
        <f>42.9741 * CHOOSE(CONTROL!$C$9, $D$9, 100%, $F$9) + CHOOSE(CONTROL!$C$27, 0.0021, 0)</f>
        <v>42.976199999999999</v>
      </c>
      <c r="I398" s="10">
        <f>42.9741 * CHOOSE(CONTROL!$C$9, $D$9, 100%, $F$9) + CHOOSE(CONTROL!$C$27, 0.0021, 0)</f>
        <v>42.976199999999999</v>
      </c>
      <c r="J398" s="10">
        <f>42.9741 * CHOOSE(CONTROL!$C$9, $D$9, 100%, $F$9) + CHOOSE(CONTROL!$C$27, 0.0021, 0)</f>
        <v>42.976199999999999</v>
      </c>
      <c r="K398" s="10">
        <f>42.9741 * CHOOSE(CONTROL!$C$9, $D$9, 100%, $F$9) + CHOOSE(CONTROL!$C$27, 0.0021, 0)</f>
        <v>42.976199999999999</v>
      </c>
      <c r="L398" s="10"/>
    </row>
    <row r="399" spans="1:12" ht="15.75" x14ac:dyDescent="0.25">
      <c r="A399" s="14">
        <v>53447</v>
      </c>
      <c r="B399" s="10">
        <f>42.8093 * CHOOSE(CONTROL!$C$9, $D$9, 100%, $F$9) + CHOOSE(CONTROL!$C$27, 0.0021, 0)</f>
        <v>42.811399999999999</v>
      </c>
      <c r="C399" s="10">
        <f>42.3771 * CHOOSE(CONTROL!$C$9, $D$9, 100%, $F$9) + CHOOSE(CONTROL!$C$27, 0.0021, 0)</f>
        <v>42.379199999999997</v>
      </c>
      <c r="D399" s="10">
        <f>42.3771 * CHOOSE(CONTROL!$C$9, $D$9, 100%, $F$9) + CHOOSE(CONTROL!$C$27, 0.0021, 0)</f>
        <v>42.379199999999997</v>
      </c>
      <c r="E399" s="10">
        <f>42.2404 * CHOOSE(CONTROL!$C$9, $D$9, 100%, $F$9) + CHOOSE(CONTROL!$C$27, 0.0021, 0)</f>
        <v>42.2425</v>
      </c>
      <c r="F399" s="10">
        <f>42.2404 * CHOOSE(CONTROL!$C$9, $D$9, 100%, $F$9) + CHOOSE(CONTROL!$C$27, 0.0021, 0)</f>
        <v>42.2425</v>
      </c>
      <c r="G399" s="10">
        <f>42.5118 * CHOOSE(CONTROL!$C$9, $D$9, 100%, $F$9) + CHOOSE(CONTROL!$C$27, 0.0021, 0)</f>
        <v>42.5139</v>
      </c>
      <c r="H399" s="10">
        <f>42.3771 * CHOOSE(CONTROL!$C$9, $D$9, 100%, $F$9) + CHOOSE(CONTROL!$C$27, 0.0021, 0)</f>
        <v>42.379199999999997</v>
      </c>
      <c r="I399" s="10">
        <f>42.3771 * CHOOSE(CONTROL!$C$9, $D$9, 100%, $F$9) + CHOOSE(CONTROL!$C$27, 0.0021, 0)</f>
        <v>42.379199999999997</v>
      </c>
      <c r="J399" s="10">
        <f>42.3771 * CHOOSE(CONTROL!$C$9, $D$9, 100%, $F$9) + CHOOSE(CONTROL!$C$27, 0.0021, 0)</f>
        <v>42.379199999999997</v>
      </c>
      <c r="K399" s="10">
        <f>42.3771 * CHOOSE(CONTROL!$C$9, $D$9, 100%, $F$9) + CHOOSE(CONTROL!$C$27, 0.0021, 0)</f>
        <v>42.379199999999997</v>
      </c>
      <c r="L399" s="10"/>
    </row>
    <row r="400" spans="1:12" ht="15.75" x14ac:dyDescent="0.25">
      <c r="A400" s="14">
        <v>53478</v>
      </c>
      <c r="B400" s="10">
        <f>43.6602 * CHOOSE(CONTROL!$C$9, $D$9, 100%, $F$9) + CHOOSE(CONTROL!$C$27, 0.0021, 0)</f>
        <v>43.662300000000002</v>
      </c>
      <c r="C400" s="10">
        <f>43.228 * CHOOSE(CONTROL!$C$9, $D$9, 100%, $F$9) + CHOOSE(CONTROL!$C$27, 0.0021, 0)</f>
        <v>43.2301</v>
      </c>
      <c r="D400" s="10">
        <f>43.228 * CHOOSE(CONTROL!$C$9, $D$9, 100%, $F$9) + CHOOSE(CONTROL!$C$27, 0.0021, 0)</f>
        <v>43.2301</v>
      </c>
      <c r="E400" s="10">
        <f>43.0913 * CHOOSE(CONTROL!$C$9, $D$9, 100%, $F$9) + CHOOSE(CONTROL!$C$27, 0.0021, 0)</f>
        <v>43.093399999999995</v>
      </c>
      <c r="F400" s="10">
        <f>43.0913 * CHOOSE(CONTROL!$C$9, $D$9, 100%, $F$9) + CHOOSE(CONTROL!$C$27, 0.0021, 0)</f>
        <v>43.093399999999995</v>
      </c>
      <c r="G400" s="10">
        <f>43.3627 * CHOOSE(CONTROL!$C$9, $D$9, 100%, $F$9) + CHOOSE(CONTROL!$C$27, 0.0021, 0)</f>
        <v>43.364799999999995</v>
      </c>
      <c r="H400" s="10">
        <f>43.228 * CHOOSE(CONTROL!$C$9, $D$9, 100%, $F$9) + CHOOSE(CONTROL!$C$27, 0.0021, 0)</f>
        <v>43.2301</v>
      </c>
      <c r="I400" s="10">
        <f>43.228 * CHOOSE(CONTROL!$C$9, $D$9, 100%, $F$9) + CHOOSE(CONTROL!$C$27, 0.0021, 0)</f>
        <v>43.2301</v>
      </c>
      <c r="J400" s="10">
        <f>43.228 * CHOOSE(CONTROL!$C$9, $D$9, 100%, $F$9) + CHOOSE(CONTROL!$C$27, 0.0021, 0)</f>
        <v>43.2301</v>
      </c>
      <c r="K400" s="10">
        <f>43.228 * CHOOSE(CONTROL!$C$9, $D$9, 100%, $F$9) + CHOOSE(CONTROL!$C$27, 0.0021, 0)</f>
        <v>43.2301</v>
      </c>
      <c r="L400" s="10"/>
    </row>
    <row r="401" spans="1:12" ht="15.75" x14ac:dyDescent="0.25">
      <c r="A401" s="14">
        <v>53508</v>
      </c>
      <c r="B401" s="10">
        <f>44.1699 * CHOOSE(CONTROL!$C$9, $D$9, 100%, $F$9) + CHOOSE(CONTROL!$C$27, 0.0021, 0)</f>
        <v>44.171999999999997</v>
      </c>
      <c r="C401" s="10">
        <f>43.7376 * CHOOSE(CONTROL!$C$9, $D$9, 100%, $F$9) + CHOOSE(CONTROL!$C$27, 0.0021, 0)</f>
        <v>43.739699999999999</v>
      </c>
      <c r="D401" s="10">
        <f>43.7376 * CHOOSE(CONTROL!$C$9, $D$9, 100%, $F$9) + CHOOSE(CONTROL!$C$27, 0.0021, 0)</f>
        <v>43.739699999999999</v>
      </c>
      <c r="E401" s="10">
        <f>43.6009 * CHOOSE(CONTROL!$C$9, $D$9, 100%, $F$9) + CHOOSE(CONTROL!$C$27, 0.0021, 0)</f>
        <v>43.603000000000002</v>
      </c>
      <c r="F401" s="10">
        <f>43.6009 * CHOOSE(CONTROL!$C$9, $D$9, 100%, $F$9) + CHOOSE(CONTROL!$C$27, 0.0021, 0)</f>
        <v>43.603000000000002</v>
      </c>
      <c r="G401" s="10">
        <f>43.8723 * CHOOSE(CONTROL!$C$9, $D$9, 100%, $F$9) + CHOOSE(CONTROL!$C$27, 0.0021, 0)</f>
        <v>43.874400000000001</v>
      </c>
      <c r="H401" s="10">
        <f>43.7376 * CHOOSE(CONTROL!$C$9, $D$9, 100%, $F$9) + CHOOSE(CONTROL!$C$27, 0.0021, 0)</f>
        <v>43.739699999999999</v>
      </c>
      <c r="I401" s="10">
        <f>43.7376 * CHOOSE(CONTROL!$C$9, $D$9, 100%, $F$9) + CHOOSE(CONTROL!$C$27, 0.0021, 0)</f>
        <v>43.739699999999999</v>
      </c>
      <c r="J401" s="10">
        <f>43.7376 * CHOOSE(CONTROL!$C$9, $D$9, 100%, $F$9) + CHOOSE(CONTROL!$C$27, 0.0021, 0)</f>
        <v>43.739699999999999</v>
      </c>
      <c r="K401" s="10">
        <f>43.7376 * CHOOSE(CONTROL!$C$9, $D$9, 100%, $F$9) + CHOOSE(CONTROL!$C$27, 0.0021, 0)</f>
        <v>43.739699999999999</v>
      </c>
      <c r="L401" s="10"/>
    </row>
    <row r="402" spans="1:12" ht="15.75" x14ac:dyDescent="0.25">
      <c r="A402" s="14">
        <v>53539</v>
      </c>
      <c r="B402" s="10">
        <f>45.0106 * CHOOSE(CONTROL!$C$9, $D$9, 100%, $F$9) + CHOOSE(CONTROL!$C$27, 0.0021, 0)</f>
        <v>45.012699999999995</v>
      </c>
      <c r="C402" s="10">
        <f>44.5783 * CHOOSE(CONTROL!$C$9, $D$9, 100%, $F$9) + CHOOSE(CONTROL!$C$27, 0.0021, 0)</f>
        <v>44.580399999999997</v>
      </c>
      <c r="D402" s="10">
        <f>44.5783 * CHOOSE(CONTROL!$C$9, $D$9, 100%, $F$9) + CHOOSE(CONTROL!$C$27, 0.0021, 0)</f>
        <v>44.580399999999997</v>
      </c>
      <c r="E402" s="10">
        <f>44.4417 * CHOOSE(CONTROL!$C$9, $D$9, 100%, $F$9) + CHOOSE(CONTROL!$C$27, 0.0021, 0)</f>
        <v>44.443799999999996</v>
      </c>
      <c r="F402" s="10">
        <f>44.4417 * CHOOSE(CONTROL!$C$9, $D$9, 100%, $F$9) + CHOOSE(CONTROL!$C$27, 0.0021, 0)</f>
        <v>44.443799999999996</v>
      </c>
      <c r="G402" s="10">
        <f>44.713 * CHOOSE(CONTROL!$C$9, $D$9, 100%, $F$9) + CHOOSE(CONTROL!$C$27, 0.0021, 0)</f>
        <v>44.7151</v>
      </c>
      <c r="H402" s="10">
        <f>44.5783 * CHOOSE(CONTROL!$C$9, $D$9, 100%, $F$9) + CHOOSE(CONTROL!$C$27, 0.0021, 0)</f>
        <v>44.580399999999997</v>
      </c>
      <c r="I402" s="10">
        <f>44.5783 * CHOOSE(CONTROL!$C$9, $D$9, 100%, $F$9) + CHOOSE(CONTROL!$C$27, 0.0021, 0)</f>
        <v>44.580399999999997</v>
      </c>
      <c r="J402" s="10">
        <f>44.5783 * CHOOSE(CONTROL!$C$9, $D$9, 100%, $F$9) + CHOOSE(CONTROL!$C$27, 0.0021, 0)</f>
        <v>44.580399999999997</v>
      </c>
      <c r="K402" s="10">
        <f>44.5783 * CHOOSE(CONTROL!$C$9, $D$9, 100%, $F$9) + CHOOSE(CONTROL!$C$27, 0.0021, 0)</f>
        <v>44.580399999999997</v>
      </c>
      <c r="L402" s="10"/>
    </row>
    <row r="403" spans="1:12" ht="15.75" x14ac:dyDescent="0.25">
      <c r="A403" s="14">
        <v>53570</v>
      </c>
      <c r="B403" s="10">
        <f>45.2672 * CHOOSE(CONTROL!$C$9, $D$9, 100%, $F$9) + CHOOSE(CONTROL!$C$27, 0.0021, 0)</f>
        <v>45.269300000000001</v>
      </c>
      <c r="C403" s="10">
        <f>44.8349 * CHOOSE(CONTROL!$C$9, $D$9, 100%, $F$9) + CHOOSE(CONTROL!$C$27, 0.0021, 0)</f>
        <v>44.836999999999996</v>
      </c>
      <c r="D403" s="10">
        <f>44.8349 * CHOOSE(CONTROL!$C$9, $D$9, 100%, $F$9) + CHOOSE(CONTROL!$C$27, 0.0021, 0)</f>
        <v>44.836999999999996</v>
      </c>
      <c r="E403" s="10">
        <f>44.6983 * CHOOSE(CONTROL!$C$9, $D$9, 100%, $F$9) + CHOOSE(CONTROL!$C$27, 0.0021, 0)</f>
        <v>44.700400000000002</v>
      </c>
      <c r="F403" s="10">
        <f>44.6983 * CHOOSE(CONTROL!$C$9, $D$9, 100%, $F$9) + CHOOSE(CONTROL!$C$27, 0.0021, 0)</f>
        <v>44.700400000000002</v>
      </c>
      <c r="G403" s="10">
        <f>44.9697 * CHOOSE(CONTROL!$C$9, $D$9, 100%, $F$9) + CHOOSE(CONTROL!$C$27, 0.0021, 0)</f>
        <v>44.971800000000002</v>
      </c>
      <c r="H403" s="10">
        <f>44.8349 * CHOOSE(CONTROL!$C$9, $D$9, 100%, $F$9) + CHOOSE(CONTROL!$C$27, 0.0021, 0)</f>
        <v>44.836999999999996</v>
      </c>
      <c r="I403" s="10">
        <f>44.8349 * CHOOSE(CONTROL!$C$9, $D$9, 100%, $F$9) + CHOOSE(CONTROL!$C$27, 0.0021, 0)</f>
        <v>44.836999999999996</v>
      </c>
      <c r="J403" s="10">
        <f>44.8349 * CHOOSE(CONTROL!$C$9, $D$9, 100%, $F$9) + CHOOSE(CONTROL!$C$27, 0.0021, 0)</f>
        <v>44.836999999999996</v>
      </c>
      <c r="K403" s="10">
        <f>44.8349 * CHOOSE(CONTROL!$C$9, $D$9, 100%, $F$9) + CHOOSE(CONTROL!$C$27, 0.0021, 0)</f>
        <v>44.836999999999996</v>
      </c>
      <c r="L403" s="10"/>
    </row>
    <row r="404" spans="1:12" ht="15.75" x14ac:dyDescent="0.25">
      <c r="A404" s="14">
        <v>53600</v>
      </c>
      <c r="B404" s="10">
        <f>46.1411 * CHOOSE(CONTROL!$C$9, $D$9, 100%, $F$9) + CHOOSE(CONTROL!$C$27, 0.0021, 0)</f>
        <v>46.1432</v>
      </c>
      <c r="C404" s="10">
        <f>45.7088 * CHOOSE(CONTROL!$C$9, $D$9, 100%, $F$9) + CHOOSE(CONTROL!$C$27, 0.0021, 0)</f>
        <v>45.710899999999995</v>
      </c>
      <c r="D404" s="10">
        <f>45.7088 * CHOOSE(CONTROL!$C$9, $D$9, 100%, $F$9) + CHOOSE(CONTROL!$C$27, 0.0021, 0)</f>
        <v>45.710899999999995</v>
      </c>
      <c r="E404" s="10">
        <f>45.5722 * CHOOSE(CONTROL!$C$9, $D$9, 100%, $F$9) + CHOOSE(CONTROL!$C$27, 0.0021, 0)</f>
        <v>45.574300000000001</v>
      </c>
      <c r="F404" s="10">
        <f>45.5722 * CHOOSE(CONTROL!$C$9, $D$9, 100%, $F$9) + CHOOSE(CONTROL!$C$27, 0.0021, 0)</f>
        <v>45.574300000000001</v>
      </c>
      <c r="G404" s="10">
        <f>45.8435 * CHOOSE(CONTROL!$C$9, $D$9, 100%, $F$9) + CHOOSE(CONTROL!$C$27, 0.0021, 0)</f>
        <v>45.845599999999997</v>
      </c>
      <c r="H404" s="10">
        <f>45.7088 * CHOOSE(CONTROL!$C$9, $D$9, 100%, $F$9) + CHOOSE(CONTROL!$C$27, 0.0021, 0)</f>
        <v>45.710899999999995</v>
      </c>
      <c r="I404" s="10">
        <f>45.7088 * CHOOSE(CONTROL!$C$9, $D$9, 100%, $F$9) + CHOOSE(CONTROL!$C$27, 0.0021, 0)</f>
        <v>45.710899999999995</v>
      </c>
      <c r="J404" s="10">
        <f>45.7088 * CHOOSE(CONTROL!$C$9, $D$9, 100%, $F$9) + CHOOSE(CONTROL!$C$27, 0.0021, 0)</f>
        <v>45.710899999999995</v>
      </c>
      <c r="K404" s="10">
        <f>45.7088 * CHOOSE(CONTROL!$C$9, $D$9, 100%, $F$9) + CHOOSE(CONTROL!$C$27, 0.0021, 0)</f>
        <v>45.710899999999995</v>
      </c>
      <c r="L404" s="10"/>
    </row>
    <row r="405" spans="1:12" ht="15.75" x14ac:dyDescent="0.25">
      <c r="A405" s="14">
        <v>53631</v>
      </c>
      <c r="B405" s="10">
        <f>47.2473 * CHOOSE(CONTROL!$C$9, $D$9, 100%, $F$9) + CHOOSE(CONTROL!$C$27, 0.0021, 0)</f>
        <v>47.249400000000001</v>
      </c>
      <c r="C405" s="10">
        <f>46.815 * CHOOSE(CONTROL!$C$9, $D$9, 100%, $F$9) + CHOOSE(CONTROL!$C$27, 0.0021, 0)</f>
        <v>46.817099999999996</v>
      </c>
      <c r="D405" s="10">
        <f>46.815 * CHOOSE(CONTROL!$C$9, $D$9, 100%, $F$9) + CHOOSE(CONTROL!$C$27, 0.0021, 0)</f>
        <v>46.817099999999996</v>
      </c>
      <c r="E405" s="10">
        <f>46.6784 * CHOOSE(CONTROL!$C$9, $D$9, 100%, $F$9) + CHOOSE(CONTROL!$C$27, 0.0021, 0)</f>
        <v>46.680500000000002</v>
      </c>
      <c r="F405" s="10">
        <f>46.6784 * CHOOSE(CONTROL!$C$9, $D$9, 100%, $F$9) + CHOOSE(CONTROL!$C$27, 0.0021, 0)</f>
        <v>46.680500000000002</v>
      </c>
      <c r="G405" s="10">
        <f>46.9497 * CHOOSE(CONTROL!$C$9, $D$9, 100%, $F$9) + CHOOSE(CONTROL!$C$27, 0.0021, 0)</f>
        <v>46.951799999999999</v>
      </c>
      <c r="H405" s="10">
        <f>46.815 * CHOOSE(CONTROL!$C$9, $D$9, 100%, $F$9) + CHOOSE(CONTROL!$C$27, 0.0021, 0)</f>
        <v>46.817099999999996</v>
      </c>
      <c r="I405" s="10">
        <f>46.815 * CHOOSE(CONTROL!$C$9, $D$9, 100%, $F$9) + CHOOSE(CONTROL!$C$27, 0.0021, 0)</f>
        <v>46.817099999999996</v>
      </c>
      <c r="J405" s="10">
        <f>46.815 * CHOOSE(CONTROL!$C$9, $D$9, 100%, $F$9) + CHOOSE(CONTROL!$C$27, 0.0021, 0)</f>
        <v>46.817099999999996</v>
      </c>
      <c r="K405" s="10">
        <f>46.815 * CHOOSE(CONTROL!$C$9, $D$9, 100%, $F$9) + CHOOSE(CONTROL!$C$27, 0.0021, 0)</f>
        <v>46.817099999999996</v>
      </c>
      <c r="L405" s="10"/>
    </row>
    <row r="406" spans="1:12" ht="15.75" x14ac:dyDescent="0.25">
      <c r="A406" s="14">
        <v>53661</v>
      </c>
      <c r="B406" s="10">
        <f>47.3511 * CHOOSE(CONTROL!$C$9, $D$9, 100%, $F$9) + CHOOSE(CONTROL!$C$27, 0.0021, 0)</f>
        <v>47.353200000000001</v>
      </c>
      <c r="C406" s="10">
        <f>46.9189 * CHOOSE(CONTROL!$C$9, $D$9, 100%, $F$9) + CHOOSE(CONTROL!$C$27, 0.0021, 0)</f>
        <v>46.920999999999999</v>
      </c>
      <c r="D406" s="10">
        <f>46.9189 * CHOOSE(CONTROL!$C$9, $D$9, 100%, $F$9) + CHOOSE(CONTROL!$C$27, 0.0021, 0)</f>
        <v>46.920999999999999</v>
      </c>
      <c r="E406" s="10">
        <f>46.7822 * CHOOSE(CONTROL!$C$9, $D$9, 100%, $F$9) + CHOOSE(CONTROL!$C$27, 0.0021, 0)</f>
        <v>46.784300000000002</v>
      </c>
      <c r="F406" s="10">
        <f>46.7822 * CHOOSE(CONTROL!$C$9, $D$9, 100%, $F$9) + CHOOSE(CONTROL!$C$27, 0.0021, 0)</f>
        <v>46.784300000000002</v>
      </c>
      <c r="G406" s="10">
        <f>47.0536 * CHOOSE(CONTROL!$C$9, $D$9, 100%, $F$9) + CHOOSE(CONTROL!$C$27, 0.0021, 0)</f>
        <v>47.055700000000002</v>
      </c>
      <c r="H406" s="10">
        <f>46.9189 * CHOOSE(CONTROL!$C$9, $D$9, 100%, $F$9) + CHOOSE(CONTROL!$C$27, 0.0021, 0)</f>
        <v>46.920999999999999</v>
      </c>
      <c r="I406" s="10">
        <f>46.9189 * CHOOSE(CONTROL!$C$9, $D$9, 100%, $F$9) + CHOOSE(CONTROL!$C$27, 0.0021, 0)</f>
        <v>46.920999999999999</v>
      </c>
      <c r="J406" s="10">
        <f>46.9189 * CHOOSE(CONTROL!$C$9, $D$9, 100%, $F$9) + CHOOSE(CONTROL!$C$27, 0.0021, 0)</f>
        <v>46.920999999999999</v>
      </c>
      <c r="K406" s="10">
        <f>46.9189 * CHOOSE(CONTROL!$C$9, $D$9, 100%, $F$9) + CHOOSE(CONTROL!$C$27, 0.0021, 0)</f>
        <v>46.920999999999999</v>
      </c>
      <c r="L406" s="10"/>
    </row>
    <row r="407" spans="1:12" ht="15.75" x14ac:dyDescent="0.25">
      <c r="A407" s="14">
        <v>53692</v>
      </c>
      <c r="B407" s="10">
        <f>46.4676 * CHOOSE(CONTROL!$C$9, $D$9, 100%, $F$9) + CHOOSE(CONTROL!$C$27, 0.0021, 0)</f>
        <v>46.469699999999996</v>
      </c>
      <c r="C407" s="10">
        <f>46.0354 * CHOOSE(CONTROL!$C$9, $D$9, 100%, $F$9) + CHOOSE(CONTROL!$C$27, 0.0021, 0)</f>
        <v>46.037500000000001</v>
      </c>
      <c r="D407" s="10">
        <f>46.0354 * CHOOSE(CONTROL!$C$9, $D$9, 100%, $F$9) + CHOOSE(CONTROL!$C$27, 0.0021, 0)</f>
        <v>46.037500000000001</v>
      </c>
      <c r="E407" s="10">
        <f>45.8987 * CHOOSE(CONTROL!$C$9, $D$9, 100%, $F$9) + CHOOSE(CONTROL!$C$27, 0.0021, 0)</f>
        <v>45.900799999999997</v>
      </c>
      <c r="F407" s="10">
        <f>45.8987 * CHOOSE(CONTROL!$C$9, $D$9, 100%, $F$9) + CHOOSE(CONTROL!$C$27, 0.0021, 0)</f>
        <v>45.900799999999997</v>
      </c>
      <c r="G407" s="10">
        <f>46.1701 * CHOOSE(CONTROL!$C$9, $D$9, 100%, $F$9) + CHOOSE(CONTROL!$C$27, 0.0021, 0)</f>
        <v>46.172199999999997</v>
      </c>
      <c r="H407" s="10">
        <f>46.0354 * CHOOSE(CONTROL!$C$9, $D$9, 100%, $F$9) + CHOOSE(CONTROL!$C$27, 0.0021, 0)</f>
        <v>46.037500000000001</v>
      </c>
      <c r="I407" s="10">
        <f>46.0354 * CHOOSE(CONTROL!$C$9, $D$9, 100%, $F$9) + CHOOSE(CONTROL!$C$27, 0.0021, 0)</f>
        <v>46.037500000000001</v>
      </c>
      <c r="J407" s="10">
        <f>46.0354 * CHOOSE(CONTROL!$C$9, $D$9, 100%, $F$9) + CHOOSE(CONTROL!$C$27, 0.0021, 0)</f>
        <v>46.037500000000001</v>
      </c>
      <c r="K407" s="10">
        <f>46.0354 * CHOOSE(CONTROL!$C$9, $D$9, 100%, $F$9) + CHOOSE(CONTROL!$C$27, 0.0021, 0)</f>
        <v>46.037500000000001</v>
      </c>
      <c r="L407" s="10"/>
    </row>
    <row r="408" spans="1:12" ht="15.75" x14ac:dyDescent="0.25">
      <c r="A408" s="14">
        <v>53723</v>
      </c>
      <c r="B408" s="10">
        <f>45.7912 * CHOOSE(CONTROL!$C$9, $D$9, 100%, $F$9) + CHOOSE(CONTROL!$C$27, 0.0021, 0)</f>
        <v>45.793300000000002</v>
      </c>
      <c r="C408" s="10">
        <f>45.3589 * CHOOSE(CONTROL!$C$9, $D$9, 100%, $F$9) + CHOOSE(CONTROL!$C$27, 0.0021, 0)</f>
        <v>45.360999999999997</v>
      </c>
      <c r="D408" s="10">
        <f>45.3589 * CHOOSE(CONTROL!$C$9, $D$9, 100%, $F$9) + CHOOSE(CONTROL!$C$27, 0.0021, 0)</f>
        <v>45.360999999999997</v>
      </c>
      <c r="E408" s="10">
        <f>45.2223 * CHOOSE(CONTROL!$C$9, $D$9, 100%, $F$9) + CHOOSE(CONTROL!$C$27, 0.0021, 0)</f>
        <v>45.224399999999996</v>
      </c>
      <c r="F408" s="10">
        <f>45.2223 * CHOOSE(CONTROL!$C$9, $D$9, 100%, $F$9) + CHOOSE(CONTROL!$C$27, 0.0021, 0)</f>
        <v>45.224399999999996</v>
      </c>
      <c r="G408" s="10">
        <f>45.4937 * CHOOSE(CONTROL!$C$9, $D$9, 100%, $F$9) + CHOOSE(CONTROL!$C$27, 0.0021, 0)</f>
        <v>45.495799999999996</v>
      </c>
      <c r="H408" s="10">
        <f>45.3589 * CHOOSE(CONTROL!$C$9, $D$9, 100%, $F$9) + CHOOSE(CONTROL!$C$27, 0.0021, 0)</f>
        <v>45.360999999999997</v>
      </c>
      <c r="I408" s="10">
        <f>45.3589 * CHOOSE(CONTROL!$C$9, $D$9, 100%, $F$9) + CHOOSE(CONTROL!$C$27, 0.0021, 0)</f>
        <v>45.360999999999997</v>
      </c>
      <c r="J408" s="10">
        <f>45.3589 * CHOOSE(CONTROL!$C$9, $D$9, 100%, $F$9) + CHOOSE(CONTROL!$C$27, 0.0021, 0)</f>
        <v>45.360999999999997</v>
      </c>
      <c r="K408" s="10">
        <f>45.3589 * CHOOSE(CONTROL!$C$9, $D$9, 100%, $F$9) + CHOOSE(CONTROL!$C$27, 0.0021, 0)</f>
        <v>45.360999999999997</v>
      </c>
      <c r="L408" s="10"/>
    </row>
    <row r="409" spans="1:12" ht="15.75" x14ac:dyDescent="0.25">
      <c r="A409" s="14">
        <v>53751</v>
      </c>
      <c r="B409" s="10">
        <f>44.5608 * CHOOSE(CONTROL!$C$9, $D$9, 100%, $F$9) + CHOOSE(CONTROL!$C$27, 0.0021, 0)</f>
        <v>44.562899999999999</v>
      </c>
      <c r="C409" s="10">
        <f>44.1286 * CHOOSE(CONTROL!$C$9, $D$9, 100%, $F$9) + CHOOSE(CONTROL!$C$27, 0.0021, 0)</f>
        <v>44.130699999999997</v>
      </c>
      <c r="D409" s="10">
        <f>44.1286 * CHOOSE(CONTROL!$C$9, $D$9, 100%, $F$9) + CHOOSE(CONTROL!$C$27, 0.0021, 0)</f>
        <v>44.130699999999997</v>
      </c>
      <c r="E409" s="10">
        <f>43.9919 * CHOOSE(CONTROL!$C$9, $D$9, 100%, $F$9) + CHOOSE(CONTROL!$C$27, 0.0021, 0)</f>
        <v>43.994</v>
      </c>
      <c r="F409" s="10">
        <f>43.9919 * CHOOSE(CONTROL!$C$9, $D$9, 100%, $F$9) + CHOOSE(CONTROL!$C$27, 0.0021, 0)</f>
        <v>43.994</v>
      </c>
      <c r="G409" s="10">
        <f>44.2633 * CHOOSE(CONTROL!$C$9, $D$9, 100%, $F$9) + CHOOSE(CONTROL!$C$27, 0.0021, 0)</f>
        <v>44.2654</v>
      </c>
      <c r="H409" s="10">
        <f>44.1286 * CHOOSE(CONTROL!$C$9, $D$9, 100%, $F$9) + CHOOSE(CONTROL!$C$27, 0.0021, 0)</f>
        <v>44.130699999999997</v>
      </c>
      <c r="I409" s="10">
        <f>44.1286 * CHOOSE(CONTROL!$C$9, $D$9, 100%, $F$9) + CHOOSE(CONTROL!$C$27, 0.0021, 0)</f>
        <v>44.130699999999997</v>
      </c>
      <c r="J409" s="10">
        <f>44.1286 * CHOOSE(CONTROL!$C$9, $D$9, 100%, $F$9) + CHOOSE(CONTROL!$C$27, 0.0021, 0)</f>
        <v>44.130699999999997</v>
      </c>
      <c r="K409" s="10">
        <f>44.1286 * CHOOSE(CONTROL!$C$9, $D$9, 100%, $F$9) + CHOOSE(CONTROL!$C$27, 0.0021, 0)</f>
        <v>44.130699999999997</v>
      </c>
      <c r="L409" s="10"/>
    </row>
    <row r="410" spans="1:12" ht="15.75" x14ac:dyDescent="0.25">
      <c r="A410" s="14">
        <v>53782</v>
      </c>
      <c r="B410" s="10">
        <f>44.0529 * CHOOSE(CONTROL!$C$9, $D$9, 100%, $F$9) + CHOOSE(CONTROL!$C$27, 0.0021, 0)</f>
        <v>44.055</v>
      </c>
      <c r="C410" s="10">
        <f>43.6207 * CHOOSE(CONTROL!$C$9, $D$9, 100%, $F$9) + CHOOSE(CONTROL!$C$27, 0.0021, 0)</f>
        <v>43.622799999999998</v>
      </c>
      <c r="D410" s="10">
        <f>43.6207 * CHOOSE(CONTROL!$C$9, $D$9, 100%, $F$9) + CHOOSE(CONTROL!$C$27, 0.0021, 0)</f>
        <v>43.622799999999998</v>
      </c>
      <c r="E410" s="10">
        <f>43.484 * CHOOSE(CONTROL!$C$9, $D$9, 100%, $F$9) + CHOOSE(CONTROL!$C$27, 0.0021, 0)</f>
        <v>43.4861</v>
      </c>
      <c r="F410" s="10">
        <f>43.484 * CHOOSE(CONTROL!$C$9, $D$9, 100%, $F$9) + CHOOSE(CONTROL!$C$27, 0.0021, 0)</f>
        <v>43.4861</v>
      </c>
      <c r="G410" s="10">
        <f>43.7554 * CHOOSE(CONTROL!$C$9, $D$9, 100%, $F$9) + CHOOSE(CONTROL!$C$27, 0.0021, 0)</f>
        <v>43.7575</v>
      </c>
      <c r="H410" s="10">
        <f>43.6207 * CHOOSE(CONTROL!$C$9, $D$9, 100%, $F$9) + CHOOSE(CONTROL!$C$27, 0.0021, 0)</f>
        <v>43.622799999999998</v>
      </c>
      <c r="I410" s="10">
        <f>43.6207 * CHOOSE(CONTROL!$C$9, $D$9, 100%, $F$9) + CHOOSE(CONTROL!$C$27, 0.0021, 0)</f>
        <v>43.622799999999998</v>
      </c>
      <c r="J410" s="10">
        <f>43.6207 * CHOOSE(CONTROL!$C$9, $D$9, 100%, $F$9) + CHOOSE(CONTROL!$C$27, 0.0021, 0)</f>
        <v>43.622799999999998</v>
      </c>
      <c r="K410" s="10">
        <f>43.6207 * CHOOSE(CONTROL!$C$9, $D$9, 100%, $F$9) + CHOOSE(CONTROL!$C$27, 0.0021, 0)</f>
        <v>43.622799999999998</v>
      </c>
      <c r="L410" s="10"/>
    </row>
    <row r="411" spans="1:12" ht="15.75" x14ac:dyDescent="0.25">
      <c r="A411" s="14">
        <v>53812</v>
      </c>
      <c r="B411" s="10">
        <f>43.4465 * CHOOSE(CONTROL!$C$9, $D$9, 100%, $F$9) + CHOOSE(CONTROL!$C$27, 0.0021, 0)</f>
        <v>43.448599999999999</v>
      </c>
      <c r="C411" s="10">
        <f>43.0142 * CHOOSE(CONTROL!$C$9, $D$9, 100%, $F$9) + CHOOSE(CONTROL!$C$27, 0.0021, 0)</f>
        <v>43.016300000000001</v>
      </c>
      <c r="D411" s="10">
        <f>43.0142 * CHOOSE(CONTROL!$C$9, $D$9, 100%, $F$9) + CHOOSE(CONTROL!$C$27, 0.0021, 0)</f>
        <v>43.016300000000001</v>
      </c>
      <c r="E411" s="10">
        <f>42.8776 * CHOOSE(CONTROL!$C$9, $D$9, 100%, $F$9) + CHOOSE(CONTROL!$C$27, 0.0021, 0)</f>
        <v>42.8797</v>
      </c>
      <c r="F411" s="10">
        <f>42.8776 * CHOOSE(CONTROL!$C$9, $D$9, 100%, $F$9) + CHOOSE(CONTROL!$C$27, 0.0021, 0)</f>
        <v>42.8797</v>
      </c>
      <c r="G411" s="10">
        <f>43.1489 * CHOOSE(CONTROL!$C$9, $D$9, 100%, $F$9) + CHOOSE(CONTROL!$C$27, 0.0021, 0)</f>
        <v>43.150999999999996</v>
      </c>
      <c r="H411" s="10">
        <f>43.0142 * CHOOSE(CONTROL!$C$9, $D$9, 100%, $F$9) + CHOOSE(CONTROL!$C$27, 0.0021, 0)</f>
        <v>43.016300000000001</v>
      </c>
      <c r="I411" s="10">
        <f>43.0142 * CHOOSE(CONTROL!$C$9, $D$9, 100%, $F$9) + CHOOSE(CONTROL!$C$27, 0.0021, 0)</f>
        <v>43.016300000000001</v>
      </c>
      <c r="J411" s="10">
        <f>43.0142 * CHOOSE(CONTROL!$C$9, $D$9, 100%, $F$9) + CHOOSE(CONTROL!$C$27, 0.0021, 0)</f>
        <v>43.016300000000001</v>
      </c>
      <c r="K411" s="10">
        <f>43.0142 * CHOOSE(CONTROL!$C$9, $D$9, 100%, $F$9) + CHOOSE(CONTROL!$C$27, 0.0021, 0)</f>
        <v>43.016300000000001</v>
      </c>
      <c r="L411" s="10"/>
    </row>
    <row r="412" spans="1:12" ht="15.75" x14ac:dyDescent="0.25">
      <c r="A412" s="14">
        <v>53843</v>
      </c>
      <c r="B412" s="10">
        <f>44.3107 * CHOOSE(CONTROL!$C$9, $D$9, 100%, $F$9) + CHOOSE(CONTROL!$C$27, 0.0021, 0)</f>
        <v>44.312799999999996</v>
      </c>
      <c r="C412" s="10">
        <f>43.8785 * CHOOSE(CONTROL!$C$9, $D$9, 100%, $F$9) + CHOOSE(CONTROL!$C$27, 0.0021, 0)</f>
        <v>43.880600000000001</v>
      </c>
      <c r="D412" s="10">
        <f>43.8785 * CHOOSE(CONTROL!$C$9, $D$9, 100%, $F$9) + CHOOSE(CONTROL!$C$27, 0.0021, 0)</f>
        <v>43.880600000000001</v>
      </c>
      <c r="E412" s="10">
        <f>43.7418 * CHOOSE(CONTROL!$C$9, $D$9, 100%, $F$9) + CHOOSE(CONTROL!$C$27, 0.0021, 0)</f>
        <v>43.743899999999996</v>
      </c>
      <c r="F412" s="10">
        <f>43.7418 * CHOOSE(CONTROL!$C$9, $D$9, 100%, $F$9) + CHOOSE(CONTROL!$C$27, 0.0021, 0)</f>
        <v>43.743899999999996</v>
      </c>
      <c r="G412" s="10">
        <f>44.0132 * CHOOSE(CONTROL!$C$9, $D$9, 100%, $F$9) + CHOOSE(CONTROL!$C$27, 0.0021, 0)</f>
        <v>44.015299999999996</v>
      </c>
      <c r="H412" s="10">
        <f>43.8785 * CHOOSE(CONTROL!$C$9, $D$9, 100%, $F$9) + CHOOSE(CONTROL!$C$27, 0.0021, 0)</f>
        <v>43.880600000000001</v>
      </c>
      <c r="I412" s="10">
        <f>43.8785 * CHOOSE(CONTROL!$C$9, $D$9, 100%, $F$9) + CHOOSE(CONTROL!$C$27, 0.0021, 0)</f>
        <v>43.880600000000001</v>
      </c>
      <c r="J412" s="10">
        <f>43.8785 * CHOOSE(CONTROL!$C$9, $D$9, 100%, $F$9) + CHOOSE(CONTROL!$C$27, 0.0021, 0)</f>
        <v>43.880600000000001</v>
      </c>
      <c r="K412" s="10">
        <f>43.8785 * CHOOSE(CONTROL!$C$9, $D$9, 100%, $F$9) + CHOOSE(CONTROL!$C$27, 0.0021, 0)</f>
        <v>43.880600000000001</v>
      </c>
      <c r="L412" s="10"/>
    </row>
    <row r="413" spans="1:12" ht="15.75" x14ac:dyDescent="0.25">
      <c r="A413" s="14">
        <v>53873</v>
      </c>
      <c r="B413" s="10">
        <f>44.8284 * CHOOSE(CONTROL!$C$9, $D$9, 100%, $F$9) + CHOOSE(CONTROL!$C$27, 0.0021, 0)</f>
        <v>44.830500000000001</v>
      </c>
      <c r="C413" s="10">
        <f>44.3961 * CHOOSE(CONTROL!$C$9, $D$9, 100%, $F$9) + CHOOSE(CONTROL!$C$27, 0.0021, 0)</f>
        <v>44.398199999999996</v>
      </c>
      <c r="D413" s="10">
        <f>44.3961 * CHOOSE(CONTROL!$C$9, $D$9, 100%, $F$9) + CHOOSE(CONTROL!$C$27, 0.0021, 0)</f>
        <v>44.398199999999996</v>
      </c>
      <c r="E413" s="10">
        <f>44.2595 * CHOOSE(CONTROL!$C$9, $D$9, 100%, $F$9) + CHOOSE(CONTROL!$C$27, 0.0021, 0)</f>
        <v>44.261600000000001</v>
      </c>
      <c r="F413" s="10">
        <f>44.2595 * CHOOSE(CONTROL!$C$9, $D$9, 100%, $F$9) + CHOOSE(CONTROL!$C$27, 0.0021, 0)</f>
        <v>44.261600000000001</v>
      </c>
      <c r="G413" s="10">
        <f>44.5308 * CHOOSE(CONTROL!$C$9, $D$9, 100%, $F$9) + CHOOSE(CONTROL!$C$27, 0.0021, 0)</f>
        <v>44.532899999999998</v>
      </c>
      <c r="H413" s="10">
        <f>44.3961 * CHOOSE(CONTROL!$C$9, $D$9, 100%, $F$9) + CHOOSE(CONTROL!$C$27, 0.0021, 0)</f>
        <v>44.398199999999996</v>
      </c>
      <c r="I413" s="10">
        <f>44.3961 * CHOOSE(CONTROL!$C$9, $D$9, 100%, $F$9) + CHOOSE(CONTROL!$C$27, 0.0021, 0)</f>
        <v>44.398199999999996</v>
      </c>
      <c r="J413" s="10">
        <f>44.3961 * CHOOSE(CONTROL!$C$9, $D$9, 100%, $F$9) + CHOOSE(CONTROL!$C$27, 0.0021, 0)</f>
        <v>44.398199999999996</v>
      </c>
      <c r="K413" s="10">
        <f>44.3961 * CHOOSE(CONTROL!$C$9, $D$9, 100%, $F$9) + CHOOSE(CONTROL!$C$27, 0.0021, 0)</f>
        <v>44.398199999999996</v>
      </c>
      <c r="L413" s="10"/>
    </row>
    <row r="414" spans="1:12" ht="15.75" x14ac:dyDescent="0.25">
      <c r="A414" s="14">
        <v>53904</v>
      </c>
      <c r="B414" s="10">
        <f>45.6823 * CHOOSE(CONTROL!$C$9, $D$9, 100%, $F$9) + CHOOSE(CONTROL!$C$27, 0.0021, 0)</f>
        <v>45.684399999999997</v>
      </c>
      <c r="C414" s="10">
        <f>45.2501 * CHOOSE(CONTROL!$C$9, $D$9, 100%, $F$9) + CHOOSE(CONTROL!$C$27, 0.0021, 0)</f>
        <v>45.252200000000002</v>
      </c>
      <c r="D414" s="10">
        <f>45.2501 * CHOOSE(CONTROL!$C$9, $D$9, 100%, $F$9) + CHOOSE(CONTROL!$C$27, 0.0021, 0)</f>
        <v>45.252200000000002</v>
      </c>
      <c r="E414" s="10">
        <f>45.1134 * CHOOSE(CONTROL!$C$9, $D$9, 100%, $F$9) + CHOOSE(CONTROL!$C$27, 0.0021, 0)</f>
        <v>45.115499999999997</v>
      </c>
      <c r="F414" s="10">
        <f>45.1134 * CHOOSE(CONTROL!$C$9, $D$9, 100%, $F$9) + CHOOSE(CONTROL!$C$27, 0.0021, 0)</f>
        <v>45.115499999999997</v>
      </c>
      <c r="G414" s="10">
        <f>45.3848 * CHOOSE(CONTROL!$C$9, $D$9, 100%, $F$9) + CHOOSE(CONTROL!$C$27, 0.0021, 0)</f>
        <v>45.386899999999997</v>
      </c>
      <c r="H414" s="10">
        <f>45.2501 * CHOOSE(CONTROL!$C$9, $D$9, 100%, $F$9) + CHOOSE(CONTROL!$C$27, 0.0021, 0)</f>
        <v>45.252200000000002</v>
      </c>
      <c r="I414" s="10">
        <f>45.2501 * CHOOSE(CONTROL!$C$9, $D$9, 100%, $F$9) + CHOOSE(CONTROL!$C$27, 0.0021, 0)</f>
        <v>45.252200000000002</v>
      </c>
      <c r="J414" s="10">
        <f>45.2501 * CHOOSE(CONTROL!$C$9, $D$9, 100%, $F$9) + CHOOSE(CONTROL!$C$27, 0.0021, 0)</f>
        <v>45.252200000000002</v>
      </c>
      <c r="K414" s="10">
        <f>45.2501 * CHOOSE(CONTROL!$C$9, $D$9, 100%, $F$9) + CHOOSE(CONTROL!$C$27, 0.0021, 0)</f>
        <v>45.252200000000002</v>
      </c>
      <c r="L414" s="10"/>
    </row>
    <row r="415" spans="1:12" ht="15.75" x14ac:dyDescent="0.25">
      <c r="A415" s="14">
        <v>53935</v>
      </c>
      <c r="B415" s="10">
        <f>45.943 * CHOOSE(CONTROL!$C$9, $D$9, 100%, $F$9) + CHOOSE(CONTROL!$C$27, 0.0021, 0)</f>
        <v>45.945099999999996</v>
      </c>
      <c r="C415" s="10">
        <f>45.5107 * CHOOSE(CONTROL!$C$9, $D$9, 100%, $F$9) + CHOOSE(CONTROL!$C$27, 0.0021, 0)</f>
        <v>45.512799999999999</v>
      </c>
      <c r="D415" s="10">
        <f>45.5107 * CHOOSE(CONTROL!$C$9, $D$9, 100%, $F$9) + CHOOSE(CONTROL!$C$27, 0.0021, 0)</f>
        <v>45.512799999999999</v>
      </c>
      <c r="E415" s="10">
        <f>45.3741 * CHOOSE(CONTROL!$C$9, $D$9, 100%, $F$9) + CHOOSE(CONTROL!$C$27, 0.0021, 0)</f>
        <v>45.376199999999997</v>
      </c>
      <c r="F415" s="10">
        <f>45.3741 * CHOOSE(CONTROL!$C$9, $D$9, 100%, $F$9) + CHOOSE(CONTROL!$C$27, 0.0021, 0)</f>
        <v>45.376199999999997</v>
      </c>
      <c r="G415" s="10">
        <f>45.6454 * CHOOSE(CONTROL!$C$9, $D$9, 100%, $F$9) + CHOOSE(CONTROL!$C$27, 0.0021, 0)</f>
        <v>45.647500000000001</v>
      </c>
      <c r="H415" s="10">
        <f>45.5107 * CHOOSE(CONTROL!$C$9, $D$9, 100%, $F$9) + CHOOSE(CONTROL!$C$27, 0.0021, 0)</f>
        <v>45.512799999999999</v>
      </c>
      <c r="I415" s="10">
        <f>45.5107 * CHOOSE(CONTROL!$C$9, $D$9, 100%, $F$9) + CHOOSE(CONTROL!$C$27, 0.0021, 0)</f>
        <v>45.512799999999999</v>
      </c>
      <c r="J415" s="10">
        <f>45.5107 * CHOOSE(CONTROL!$C$9, $D$9, 100%, $F$9) + CHOOSE(CONTROL!$C$27, 0.0021, 0)</f>
        <v>45.512799999999999</v>
      </c>
      <c r="K415" s="10">
        <f>45.5107 * CHOOSE(CONTROL!$C$9, $D$9, 100%, $F$9) + CHOOSE(CONTROL!$C$27, 0.0021, 0)</f>
        <v>45.512799999999999</v>
      </c>
      <c r="L415" s="10"/>
    </row>
    <row r="416" spans="1:12" ht="15.75" x14ac:dyDescent="0.25">
      <c r="A416" s="14">
        <v>53965</v>
      </c>
      <c r="B416" s="10">
        <f>46.8306 * CHOOSE(CONTROL!$C$9, $D$9, 100%, $F$9) + CHOOSE(CONTROL!$C$27, 0.0021, 0)</f>
        <v>46.832699999999996</v>
      </c>
      <c r="C416" s="10">
        <f>46.3984 * CHOOSE(CONTROL!$C$9, $D$9, 100%, $F$9) + CHOOSE(CONTROL!$C$27, 0.0021, 0)</f>
        <v>46.400500000000001</v>
      </c>
      <c r="D416" s="10">
        <f>46.3984 * CHOOSE(CONTROL!$C$9, $D$9, 100%, $F$9) + CHOOSE(CONTROL!$C$27, 0.0021, 0)</f>
        <v>46.400500000000001</v>
      </c>
      <c r="E416" s="10">
        <f>46.2617 * CHOOSE(CONTROL!$C$9, $D$9, 100%, $F$9) + CHOOSE(CONTROL!$C$27, 0.0021, 0)</f>
        <v>46.263799999999996</v>
      </c>
      <c r="F416" s="10">
        <f>46.2617 * CHOOSE(CONTROL!$C$9, $D$9, 100%, $F$9) + CHOOSE(CONTROL!$C$27, 0.0021, 0)</f>
        <v>46.263799999999996</v>
      </c>
      <c r="G416" s="10">
        <f>46.5331 * CHOOSE(CONTROL!$C$9, $D$9, 100%, $F$9) + CHOOSE(CONTROL!$C$27, 0.0021, 0)</f>
        <v>46.535199999999996</v>
      </c>
      <c r="H416" s="10">
        <f>46.3984 * CHOOSE(CONTROL!$C$9, $D$9, 100%, $F$9) + CHOOSE(CONTROL!$C$27, 0.0021, 0)</f>
        <v>46.400500000000001</v>
      </c>
      <c r="I416" s="10">
        <f>46.3984 * CHOOSE(CONTROL!$C$9, $D$9, 100%, $F$9) + CHOOSE(CONTROL!$C$27, 0.0021, 0)</f>
        <v>46.400500000000001</v>
      </c>
      <c r="J416" s="10">
        <f>46.3984 * CHOOSE(CONTROL!$C$9, $D$9, 100%, $F$9) + CHOOSE(CONTROL!$C$27, 0.0021, 0)</f>
        <v>46.400500000000001</v>
      </c>
      <c r="K416" s="10">
        <f>46.3984 * CHOOSE(CONTROL!$C$9, $D$9, 100%, $F$9) + CHOOSE(CONTROL!$C$27, 0.0021, 0)</f>
        <v>46.400500000000001</v>
      </c>
      <c r="L416" s="10"/>
    </row>
    <row r="417" spans="1:12" ht="15.75" x14ac:dyDescent="0.25">
      <c r="A417" s="14">
        <v>53996</v>
      </c>
      <c r="B417" s="10">
        <f>47.9542 * CHOOSE(CONTROL!$C$9, $D$9, 100%, $F$9) + CHOOSE(CONTROL!$C$27, 0.0021, 0)</f>
        <v>47.956299999999999</v>
      </c>
      <c r="C417" s="10">
        <f>47.5219 * CHOOSE(CONTROL!$C$9, $D$9, 100%, $F$9) + CHOOSE(CONTROL!$C$27, 0.0021, 0)</f>
        <v>47.524000000000001</v>
      </c>
      <c r="D417" s="10">
        <f>47.5219 * CHOOSE(CONTROL!$C$9, $D$9, 100%, $F$9) + CHOOSE(CONTROL!$C$27, 0.0021, 0)</f>
        <v>47.524000000000001</v>
      </c>
      <c r="E417" s="10">
        <f>47.3853 * CHOOSE(CONTROL!$C$9, $D$9, 100%, $F$9) + CHOOSE(CONTROL!$C$27, 0.0021, 0)</f>
        <v>47.3874</v>
      </c>
      <c r="F417" s="10">
        <f>47.3853 * CHOOSE(CONTROL!$C$9, $D$9, 100%, $F$9) + CHOOSE(CONTROL!$C$27, 0.0021, 0)</f>
        <v>47.3874</v>
      </c>
      <c r="G417" s="10">
        <f>47.6567 * CHOOSE(CONTROL!$C$9, $D$9, 100%, $F$9) + CHOOSE(CONTROL!$C$27, 0.0021, 0)</f>
        <v>47.658799999999999</v>
      </c>
      <c r="H417" s="10">
        <f>47.5219 * CHOOSE(CONTROL!$C$9, $D$9, 100%, $F$9) + CHOOSE(CONTROL!$C$27, 0.0021, 0)</f>
        <v>47.524000000000001</v>
      </c>
      <c r="I417" s="10">
        <f>47.5219 * CHOOSE(CONTROL!$C$9, $D$9, 100%, $F$9) + CHOOSE(CONTROL!$C$27, 0.0021, 0)</f>
        <v>47.524000000000001</v>
      </c>
      <c r="J417" s="10">
        <f>47.5219 * CHOOSE(CONTROL!$C$9, $D$9, 100%, $F$9) + CHOOSE(CONTROL!$C$27, 0.0021, 0)</f>
        <v>47.524000000000001</v>
      </c>
      <c r="K417" s="10">
        <f>47.5219 * CHOOSE(CONTROL!$C$9, $D$9, 100%, $F$9) + CHOOSE(CONTROL!$C$27, 0.0021, 0)</f>
        <v>47.524000000000001</v>
      </c>
      <c r="L417" s="10"/>
    </row>
    <row r="418" spans="1:12" ht="15.75" x14ac:dyDescent="0.25">
      <c r="A418" s="14">
        <v>54026</v>
      </c>
      <c r="B418" s="10">
        <f>48.0597 * CHOOSE(CONTROL!$C$9, $D$9, 100%, $F$9) + CHOOSE(CONTROL!$C$27, 0.0021, 0)</f>
        <v>48.061799999999998</v>
      </c>
      <c r="C418" s="10">
        <f>47.6274 * CHOOSE(CONTROL!$C$9, $D$9, 100%, $F$9) + CHOOSE(CONTROL!$C$27, 0.0021, 0)</f>
        <v>47.6295</v>
      </c>
      <c r="D418" s="10">
        <f>47.6274 * CHOOSE(CONTROL!$C$9, $D$9, 100%, $F$9) + CHOOSE(CONTROL!$C$27, 0.0021, 0)</f>
        <v>47.6295</v>
      </c>
      <c r="E418" s="10">
        <f>47.4908 * CHOOSE(CONTROL!$C$9, $D$9, 100%, $F$9) + CHOOSE(CONTROL!$C$27, 0.0021, 0)</f>
        <v>47.492899999999999</v>
      </c>
      <c r="F418" s="10">
        <f>47.4908 * CHOOSE(CONTROL!$C$9, $D$9, 100%, $F$9) + CHOOSE(CONTROL!$C$27, 0.0021, 0)</f>
        <v>47.492899999999999</v>
      </c>
      <c r="G418" s="10">
        <f>47.7621 * CHOOSE(CONTROL!$C$9, $D$9, 100%, $F$9) + CHOOSE(CONTROL!$C$27, 0.0021, 0)</f>
        <v>47.764199999999995</v>
      </c>
      <c r="H418" s="10">
        <f>47.6274 * CHOOSE(CONTROL!$C$9, $D$9, 100%, $F$9) + CHOOSE(CONTROL!$C$27, 0.0021, 0)</f>
        <v>47.6295</v>
      </c>
      <c r="I418" s="10">
        <f>47.6274 * CHOOSE(CONTROL!$C$9, $D$9, 100%, $F$9) + CHOOSE(CONTROL!$C$27, 0.0021, 0)</f>
        <v>47.6295</v>
      </c>
      <c r="J418" s="10">
        <f>47.6274 * CHOOSE(CONTROL!$C$9, $D$9, 100%, $F$9) + CHOOSE(CONTROL!$C$27, 0.0021, 0)</f>
        <v>47.6295</v>
      </c>
      <c r="K418" s="10">
        <f>47.6274 * CHOOSE(CONTROL!$C$9, $D$9, 100%, $F$9) + CHOOSE(CONTROL!$C$27, 0.0021, 0)</f>
        <v>47.6295</v>
      </c>
      <c r="L418" s="10"/>
    </row>
    <row r="419" spans="1:12" ht="15.75" x14ac:dyDescent="0.25">
      <c r="A419" s="14">
        <v>54057</v>
      </c>
      <c r="B419" s="10">
        <f>47.1623 * CHOOSE(CONTROL!$C$9, $D$9, 100%, $F$9) + CHOOSE(CONTROL!$C$27, 0.0021, 0)</f>
        <v>47.164400000000001</v>
      </c>
      <c r="C419" s="10">
        <f>46.73 * CHOOSE(CONTROL!$C$9, $D$9, 100%, $F$9) + CHOOSE(CONTROL!$C$27, 0.0021, 0)</f>
        <v>46.732099999999996</v>
      </c>
      <c r="D419" s="10">
        <f>46.73 * CHOOSE(CONTROL!$C$9, $D$9, 100%, $F$9) + CHOOSE(CONTROL!$C$27, 0.0021, 0)</f>
        <v>46.732099999999996</v>
      </c>
      <c r="E419" s="10">
        <f>46.5934 * CHOOSE(CONTROL!$C$9, $D$9, 100%, $F$9) + CHOOSE(CONTROL!$C$27, 0.0021, 0)</f>
        <v>46.595500000000001</v>
      </c>
      <c r="F419" s="10">
        <f>46.5934 * CHOOSE(CONTROL!$C$9, $D$9, 100%, $F$9) + CHOOSE(CONTROL!$C$27, 0.0021, 0)</f>
        <v>46.595500000000001</v>
      </c>
      <c r="G419" s="10">
        <f>46.8647 * CHOOSE(CONTROL!$C$9, $D$9, 100%, $F$9) + CHOOSE(CONTROL!$C$27, 0.0021, 0)</f>
        <v>46.866799999999998</v>
      </c>
      <c r="H419" s="10">
        <f>46.73 * CHOOSE(CONTROL!$C$9, $D$9, 100%, $F$9) + CHOOSE(CONTROL!$C$27, 0.0021, 0)</f>
        <v>46.732099999999996</v>
      </c>
      <c r="I419" s="10">
        <f>46.73 * CHOOSE(CONTROL!$C$9, $D$9, 100%, $F$9) + CHOOSE(CONTROL!$C$27, 0.0021, 0)</f>
        <v>46.732099999999996</v>
      </c>
      <c r="J419" s="10">
        <f>46.73 * CHOOSE(CONTROL!$C$9, $D$9, 100%, $F$9) + CHOOSE(CONTROL!$C$27, 0.0021, 0)</f>
        <v>46.732099999999996</v>
      </c>
      <c r="K419" s="10">
        <f>46.73 * CHOOSE(CONTROL!$C$9, $D$9, 100%, $F$9) + CHOOSE(CONTROL!$C$27, 0.0021, 0)</f>
        <v>46.732099999999996</v>
      </c>
      <c r="L419" s="10"/>
    </row>
    <row r="420" spans="1:12" ht="15.75" x14ac:dyDescent="0.25">
      <c r="A420" s="14">
        <v>54088</v>
      </c>
      <c r="B420" s="10">
        <f>46.4752 * CHOOSE(CONTROL!$C$9, $D$9, 100%, $F$9) + CHOOSE(CONTROL!$C$27, 0.0021, 0)</f>
        <v>46.4773</v>
      </c>
      <c r="C420" s="10">
        <f>46.043 * CHOOSE(CONTROL!$C$9, $D$9, 100%, $F$9) + CHOOSE(CONTROL!$C$27, 0.0021, 0)</f>
        <v>46.045099999999998</v>
      </c>
      <c r="D420" s="10">
        <f>46.043 * CHOOSE(CONTROL!$C$9, $D$9, 100%, $F$9) + CHOOSE(CONTROL!$C$27, 0.0021, 0)</f>
        <v>46.045099999999998</v>
      </c>
      <c r="E420" s="10">
        <f>45.9063 * CHOOSE(CONTROL!$C$9, $D$9, 100%, $F$9) + CHOOSE(CONTROL!$C$27, 0.0021, 0)</f>
        <v>45.9084</v>
      </c>
      <c r="F420" s="10">
        <f>45.9063 * CHOOSE(CONTROL!$C$9, $D$9, 100%, $F$9) + CHOOSE(CONTROL!$C$27, 0.0021, 0)</f>
        <v>45.9084</v>
      </c>
      <c r="G420" s="10">
        <f>46.1777 * CHOOSE(CONTROL!$C$9, $D$9, 100%, $F$9) + CHOOSE(CONTROL!$C$27, 0.0021, 0)</f>
        <v>46.1798</v>
      </c>
      <c r="H420" s="10">
        <f>46.043 * CHOOSE(CONTROL!$C$9, $D$9, 100%, $F$9) + CHOOSE(CONTROL!$C$27, 0.0021, 0)</f>
        <v>46.045099999999998</v>
      </c>
      <c r="I420" s="10">
        <f>46.043 * CHOOSE(CONTROL!$C$9, $D$9, 100%, $F$9) + CHOOSE(CONTROL!$C$27, 0.0021, 0)</f>
        <v>46.045099999999998</v>
      </c>
      <c r="J420" s="10">
        <f>46.043 * CHOOSE(CONTROL!$C$9, $D$9, 100%, $F$9) + CHOOSE(CONTROL!$C$27, 0.0021, 0)</f>
        <v>46.045099999999998</v>
      </c>
      <c r="K420" s="10">
        <f>46.043 * CHOOSE(CONTROL!$C$9, $D$9, 100%, $F$9) + CHOOSE(CONTROL!$C$27, 0.0021, 0)</f>
        <v>46.045099999999998</v>
      </c>
      <c r="L420" s="10"/>
    </row>
    <row r="421" spans="1:12" ht="15.75" x14ac:dyDescent="0.25">
      <c r="A421" s="14">
        <v>54116</v>
      </c>
      <c r="B421" s="10">
        <f>45.2255 * CHOOSE(CONTROL!$C$9, $D$9, 100%, $F$9) + CHOOSE(CONTROL!$C$27, 0.0021, 0)</f>
        <v>45.227599999999995</v>
      </c>
      <c r="C421" s="10">
        <f>44.7932 * CHOOSE(CONTROL!$C$9, $D$9, 100%, $F$9) + CHOOSE(CONTROL!$C$27, 0.0021, 0)</f>
        <v>44.795299999999997</v>
      </c>
      <c r="D421" s="10">
        <f>44.7932 * CHOOSE(CONTROL!$C$9, $D$9, 100%, $F$9) + CHOOSE(CONTROL!$C$27, 0.0021, 0)</f>
        <v>44.795299999999997</v>
      </c>
      <c r="E421" s="10">
        <f>44.6566 * CHOOSE(CONTROL!$C$9, $D$9, 100%, $F$9) + CHOOSE(CONTROL!$C$27, 0.0021, 0)</f>
        <v>44.658699999999996</v>
      </c>
      <c r="F421" s="10">
        <f>44.6566 * CHOOSE(CONTROL!$C$9, $D$9, 100%, $F$9) + CHOOSE(CONTROL!$C$27, 0.0021, 0)</f>
        <v>44.658699999999996</v>
      </c>
      <c r="G421" s="10">
        <f>44.9279 * CHOOSE(CONTROL!$C$9, $D$9, 100%, $F$9) + CHOOSE(CONTROL!$C$27, 0.0021, 0)</f>
        <v>44.93</v>
      </c>
      <c r="H421" s="10">
        <f>44.7932 * CHOOSE(CONTROL!$C$9, $D$9, 100%, $F$9) + CHOOSE(CONTROL!$C$27, 0.0021, 0)</f>
        <v>44.795299999999997</v>
      </c>
      <c r="I421" s="10">
        <f>44.7932 * CHOOSE(CONTROL!$C$9, $D$9, 100%, $F$9) + CHOOSE(CONTROL!$C$27, 0.0021, 0)</f>
        <v>44.795299999999997</v>
      </c>
      <c r="J421" s="10">
        <f>44.7932 * CHOOSE(CONTROL!$C$9, $D$9, 100%, $F$9) + CHOOSE(CONTROL!$C$27, 0.0021, 0)</f>
        <v>44.795299999999997</v>
      </c>
      <c r="K421" s="10">
        <f>44.7932 * CHOOSE(CONTROL!$C$9, $D$9, 100%, $F$9) + CHOOSE(CONTROL!$C$27, 0.0021, 0)</f>
        <v>44.795299999999997</v>
      </c>
      <c r="L421" s="10"/>
    </row>
    <row r="422" spans="1:12" ht="15.75" x14ac:dyDescent="0.25">
      <c r="A422" s="14">
        <v>54148</v>
      </c>
      <c r="B422" s="10">
        <f>44.7096 * CHOOSE(CONTROL!$C$9, $D$9, 100%, $F$9) + CHOOSE(CONTROL!$C$27, 0.0021, 0)</f>
        <v>44.7117</v>
      </c>
      <c r="C422" s="10">
        <f>44.2773 * CHOOSE(CONTROL!$C$9, $D$9, 100%, $F$9) + CHOOSE(CONTROL!$C$27, 0.0021, 0)</f>
        <v>44.279399999999995</v>
      </c>
      <c r="D422" s="10">
        <f>44.2773 * CHOOSE(CONTROL!$C$9, $D$9, 100%, $F$9) + CHOOSE(CONTROL!$C$27, 0.0021, 0)</f>
        <v>44.279399999999995</v>
      </c>
      <c r="E422" s="10">
        <f>44.1407 * CHOOSE(CONTROL!$C$9, $D$9, 100%, $F$9) + CHOOSE(CONTROL!$C$27, 0.0021, 0)</f>
        <v>44.142800000000001</v>
      </c>
      <c r="F422" s="10">
        <f>44.1407 * CHOOSE(CONTROL!$C$9, $D$9, 100%, $F$9) + CHOOSE(CONTROL!$C$27, 0.0021, 0)</f>
        <v>44.142800000000001</v>
      </c>
      <c r="G422" s="10">
        <f>44.4121 * CHOOSE(CONTROL!$C$9, $D$9, 100%, $F$9) + CHOOSE(CONTROL!$C$27, 0.0021, 0)</f>
        <v>44.414200000000001</v>
      </c>
      <c r="H422" s="10">
        <f>44.2773 * CHOOSE(CONTROL!$C$9, $D$9, 100%, $F$9) + CHOOSE(CONTROL!$C$27, 0.0021, 0)</f>
        <v>44.279399999999995</v>
      </c>
      <c r="I422" s="10">
        <f>44.2773 * CHOOSE(CONTROL!$C$9, $D$9, 100%, $F$9) + CHOOSE(CONTROL!$C$27, 0.0021, 0)</f>
        <v>44.279399999999995</v>
      </c>
      <c r="J422" s="10">
        <f>44.2773 * CHOOSE(CONTROL!$C$9, $D$9, 100%, $F$9) + CHOOSE(CONTROL!$C$27, 0.0021, 0)</f>
        <v>44.279399999999995</v>
      </c>
      <c r="K422" s="10">
        <f>44.2773 * CHOOSE(CONTROL!$C$9, $D$9, 100%, $F$9) + CHOOSE(CONTROL!$C$27, 0.0021, 0)</f>
        <v>44.279399999999995</v>
      </c>
      <c r="L422" s="10"/>
    </row>
    <row r="423" spans="1:12" ht="15.75" x14ac:dyDescent="0.25">
      <c r="A423" s="14">
        <v>54178</v>
      </c>
      <c r="B423" s="10">
        <f>44.0936 * CHOOSE(CONTROL!$C$9, $D$9, 100%, $F$9) + CHOOSE(CONTROL!$C$27, 0.0021, 0)</f>
        <v>44.095700000000001</v>
      </c>
      <c r="C423" s="10">
        <f>43.6614 * CHOOSE(CONTROL!$C$9, $D$9, 100%, $F$9) + CHOOSE(CONTROL!$C$27, 0.0021, 0)</f>
        <v>43.663499999999999</v>
      </c>
      <c r="D423" s="10">
        <f>43.6614 * CHOOSE(CONTROL!$C$9, $D$9, 100%, $F$9) + CHOOSE(CONTROL!$C$27, 0.0021, 0)</f>
        <v>43.663499999999999</v>
      </c>
      <c r="E423" s="10">
        <f>43.5247 * CHOOSE(CONTROL!$C$9, $D$9, 100%, $F$9) + CHOOSE(CONTROL!$C$27, 0.0021, 0)</f>
        <v>43.526800000000001</v>
      </c>
      <c r="F423" s="10">
        <f>43.5247 * CHOOSE(CONTROL!$C$9, $D$9, 100%, $F$9) + CHOOSE(CONTROL!$C$27, 0.0021, 0)</f>
        <v>43.526800000000001</v>
      </c>
      <c r="G423" s="10">
        <f>43.7961 * CHOOSE(CONTROL!$C$9, $D$9, 100%, $F$9) + CHOOSE(CONTROL!$C$27, 0.0021, 0)</f>
        <v>43.798200000000001</v>
      </c>
      <c r="H423" s="10">
        <f>43.6614 * CHOOSE(CONTROL!$C$9, $D$9, 100%, $F$9) + CHOOSE(CONTROL!$C$27, 0.0021, 0)</f>
        <v>43.663499999999999</v>
      </c>
      <c r="I423" s="10">
        <f>43.6614 * CHOOSE(CONTROL!$C$9, $D$9, 100%, $F$9) + CHOOSE(CONTROL!$C$27, 0.0021, 0)</f>
        <v>43.663499999999999</v>
      </c>
      <c r="J423" s="10">
        <f>43.6614 * CHOOSE(CONTROL!$C$9, $D$9, 100%, $F$9) + CHOOSE(CONTROL!$C$27, 0.0021, 0)</f>
        <v>43.663499999999999</v>
      </c>
      <c r="K423" s="10">
        <f>43.6614 * CHOOSE(CONTROL!$C$9, $D$9, 100%, $F$9) + CHOOSE(CONTROL!$C$27, 0.0021, 0)</f>
        <v>43.663499999999999</v>
      </c>
      <c r="L423" s="10"/>
    </row>
    <row r="424" spans="1:12" ht="15.75" x14ac:dyDescent="0.25">
      <c r="A424" s="14">
        <v>54209</v>
      </c>
      <c r="B424" s="10">
        <f>44.9715 * CHOOSE(CONTROL!$C$9, $D$9, 100%, $F$9) + CHOOSE(CONTROL!$C$27, 0.0021, 0)</f>
        <v>44.973599999999998</v>
      </c>
      <c r="C424" s="10">
        <f>44.5392 * CHOOSE(CONTROL!$C$9, $D$9, 100%, $F$9) + CHOOSE(CONTROL!$C$27, 0.0021, 0)</f>
        <v>44.5413</v>
      </c>
      <c r="D424" s="10">
        <f>44.5392 * CHOOSE(CONTROL!$C$9, $D$9, 100%, $F$9) + CHOOSE(CONTROL!$C$27, 0.0021, 0)</f>
        <v>44.5413</v>
      </c>
      <c r="E424" s="10">
        <f>44.4026 * CHOOSE(CONTROL!$C$9, $D$9, 100%, $F$9) + CHOOSE(CONTROL!$C$27, 0.0021, 0)</f>
        <v>44.404699999999998</v>
      </c>
      <c r="F424" s="10">
        <f>44.4026 * CHOOSE(CONTROL!$C$9, $D$9, 100%, $F$9) + CHOOSE(CONTROL!$C$27, 0.0021, 0)</f>
        <v>44.404699999999998</v>
      </c>
      <c r="G424" s="10">
        <f>44.6739 * CHOOSE(CONTROL!$C$9, $D$9, 100%, $F$9) + CHOOSE(CONTROL!$C$27, 0.0021, 0)</f>
        <v>44.676000000000002</v>
      </c>
      <c r="H424" s="10">
        <f>44.5392 * CHOOSE(CONTROL!$C$9, $D$9, 100%, $F$9) + CHOOSE(CONTROL!$C$27, 0.0021, 0)</f>
        <v>44.5413</v>
      </c>
      <c r="I424" s="10">
        <f>44.5392 * CHOOSE(CONTROL!$C$9, $D$9, 100%, $F$9) + CHOOSE(CONTROL!$C$27, 0.0021, 0)</f>
        <v>44.5413</v>
      </c>
      <c r="J424" s="10">
        <f>44.5392 * CHOOSE(CONTROL!$C$9, $D$9, 100%, $F$9) + CHOOSE(CONTROL!$C$27, 0.0021, 0)</f>
        <v>44.5413</v>
      </c>
      <c r="K424" s="10">
        <f>44.5392 * CHOOSE(CONTROL!$C$9, $D$9, 100%, $F$9) + CHOOSE(CONTROL!$C$27, 0.0021, 0)</f>
        <v>44.5413</v>
      </c>
      <c r="L424" s="10"/>
    </row>
    <row r="425" spans="1:12" ht="15.75" x14ac:dyDescent="0.25">
      <c r="A425" s="14">
        <v>54239</v>
      </c>
      <c r="B425" s="10">
        <f>45.4973 * CHOOSE(CONTROL!$C$9, $D$9, 100%, $F$9) + CHOOSE(CONTROL!$C$27, 0.0021, 0)</f>
        <v>45.499400000000001</v>
      </c>
      <c r="C425" s="10">
        <f>45.065 * CHOOSE(CONTROL!$C$9, $D$9, 100%, $F$9) + CHOOSE(CONTROL!$C$27, 0.0021, 0)</f>
        <v>45.067099999999996</v>
      </c>
      <c r="D425" s="10">
        <f>45.065 * CHOOSE(CONTROL!$C$9, $D$9, 100%, $F$9) + CHOOSE(CONTROL!$C$27, 0.0021, 0)</f>
        <v>45.067099999999996</v>
      </c>
      <c r="E425" s="10">
        <f>44.9283 * CHOOSE(CONTROL!$C$9, $D$9, 100%, $F$9) + CHOOSE(CONTROL!$C$27, 0.0021, 0)</f>
        <v>44.930399999999999</v>
      </c>
      <c r="F425" s="10">
        <f>44.9283 * CHOOSE(CONTROL!$C$9, $D$9, 100%, $F$9) + CHOOSE(CONTROL!$C$27, 0.0021, 0)</f>
        <v>44.930399999999999</v>
      </c>
      <c r="G425" s="10">
        <f>45.1997 * CHOOSE(CONTROL!$C$9, $D$9, 100%, $F$9) + CHOOSE(CONTROL!$C$27, 0.0021, 0)</f>
        <v>45.201799999999999</v>
      </c>
      <c r="H425" s="10">
        <f>45.065 * CHOOSE(CONTROL!$C$9, $D$9, 100%, $F$9) + CHOOSE(CONTROL!$C$27, 0.0021, 0)</f>
        <v>45.067099999999996</v>
      </c>
      <c r="I425" s="10">
        <f>45.065 * CHOOSE(CONTROL!$C$9, $D$9, 100%, $F$9) + CHOOSE(CONTROL!$C$27, 0.0021, 0)</f>
        <v>45.067099999999996</v>
      </c>
      <c r="J425" s="10">
        <f>45.065 * CHOOSE(CONTROL!$C$9, $D$9, 100%, $F$9) + CHOOSE(CONTROL!$C$27, 0.0021, 0)</f>
        <v>45.067099999999996</v>
      </c>
      <c r="K425" s="10">
        <f>45.065 * CHOOSE(CONTROL!$C$9, $D$9, 100%, $F$9) + CHOOSE(CONTROL!$C$27, 0.0021, 0)</f>
        <v>45.067099999999996</v>
      </c>
      <c r="L425" s="10"/>
    </row>
    <row r="426" spans="1:12" ht="15.75" x14ac:dyDescent="0.25">
      <c r="A426" s="14">
        <v>54270</v>
      </c>
      <c r="B426" s="10">
        <f>46.3646 * CHOOSE(CONTROL!$C$9, $D$9, 100%, $F$9) + CHOOSE(CONTROL!$C$27, 0.0021, 0)</f>
        <v>46.366700000000002</v>
      </c>
      <c r="C426" s="10">
        <f>45.9324 * CHOOSE(CONTROL!$C$9, $D$9, 100%, $F$9) + CHOOSE(CONTROL!$C$27, 0.0021, 0)</f>
        <v>45.9345</v>
      </c>
      <c r="D426" s="10">
        <f>45.9324 * CHOOSE(CONTROL!$C$9, $D$9, 100%, $F$9) + CHOOSE(CONTROL!$C$27, 0.0021, 0)</f>
        <v>45.9345</v>
      </c>
      <c r="E426" s="10">
        <f>45.7957 * CHOOSE(CONTROL!$C$9, $D$9, 100%, $F$9) + CHOOSE(CONTROL!$C$27, 0.0021, 0)</f>
        <v>45.797799999999995</v>
      </c>
      <c r="F426" s="10">
        <f>45.7957 * CHOOSE(CONTROL!$C$9, $D$9, 100%, $F$9) + CHOOSE(CONTROL!$C$27, 0.0021, 0)</f>
        <v>45.797799999999995</v>
      </c>
      <c r="G426" s="10">
        <f>46.0671 * CHOOSE(CONTROL!$C$9, $D$9, 100%, $F$9) + CHOOSE(CONTROL!$C$27, 0.0021, 0)</f>
        <v>46.069200000000002</v>
      </c>
      <c r="H426" s="10">
        <f>45.9324 * CHOOSE(CONTROL!$C$9, $D$9, 100%, $F$9) + CHOOSE(CONTROL!$C$27, 0.0021, 0)</f>
        <v>45.9345</v>
      </c>
      <c r="I426" s="10">
        <f>45.9324 * CHOOSE(CONTROL!$C$9, $D$9, 100%, $F$9) + CHOOSE(CONTROL!$C$27, 0.0021, 0)</f>
        <v>45.9345</v>
      </c>
      <c r="J426" s="10">
        <f>45.9324 * CHOOSE(CONTROL!$C$9, $D$9, 100%, $F$9) + CHOOSE(CONTROL!$C$27, 0.0021, 0)</f>
        <v>45.9345</v>
      </c>
      <c r="K426" s="10">
        <f>45.9324 * CHOOSE(CONTROL!$C$9, $D$9, 100%, $F$9) + CHOOSE(CONTROL!$C$27, 0.0021, 0)</f>
        <v>45.9345</v>
      </c>
      <c r="L426" s="10"/>
    </row>
    <row r="427" spans="1:12" ht="15.75" x14ac:dyDescent="0.25">
      <c r="A427" s="14">
        <v>54301</v>
      </c>
      <c r="B427" s="10">
        <f>46.6294 * CHOOSE(CONTROL!$C$9, $D$9, 100%, $F$9) + CHOOSE(CONTROL!$C$27, 0.0021, 0)</f>
        <v>46.631499999999996</v>
      </c>
      <c r="C427" s="10">
        <f>46.1971 * CHOOSE(CONTROL!$C$9, $D$9, 100%, $F$9) + CHOOSE(CONTROL!$C$27, 0.0021, 0)</f>
        <v>46.199199999999998</v>
      </c>
      <c r="D427" s="10">
        <f>46.1971 * CHOOSE(CONTROL!$C$9, $D$9, 100%, $F$9) + CHOOSE(CONTROL!$C$27, 0.0021, 0)</f>
        <v>46.199199999999998</v>
      </c>
      <c r="E427" s="10">
        <f>46.0605 * CHOOSE(CONTROL!$C$9, $D$9, 100%, $F$9) + CHOOSE(CONTROL!$C$27, 0.0021, 0)</f>
        <v>46.062599999999996</v>
      </c>
      <c r="F427" s="10">
        <f>46.0605 * CHOOSE(CONTROL!$C$9, $D$9, 100%, $F$9) + CHOOSE(CONTROL!$C$27, 0.0021, 0)</f>
        <v>46.062599999999996</v>
      </c>
      <c r="G427" s="10">
        <f>46.3318 * CHOOSE(CONTROL!$C$9, $D$9, 100%, $F$9) + CHOOSE(CONTROL!$C$27, 0.0021, 0)</f>
        <v>46.3339</v>
      </c>
      <c r="H427" s="10">
        <f>46.1971 * CHOOSE(CONTROL!$C$9, $D$9, 100%, $F$9) + CHOOSE(CONTROL!$C$27, 0.0021, 0)</f>
        <v>46.199199999999998</v>
      </c>
      <c r="I427" s="10">
        <f>46.1971 * CHOOSE(CONTROL!$C$9, $D$9, 100%, $F$9) + CHOOSE(CONTROL!$C$27, 0.0021, 0)</f>
        <v>46.199199999999998</v>
      </c>
      <c r="J427" s="10">
        <f>46.1971 * CHOOSE(CONTROL!$C$9, $D$9, 100%, $F$9) + CHOOSE(CONTROL!$C$27, 0.0021, 0)</f>
        <v>46.199199999999998</v>
      </c>
      <c r="K427" s="10">
        <f>46.1971 * CHOOSE(CONTROL!$C$9, $D$9, 100%, $F$9) + CHOOSE(CONTROL!$C$27, 0.0021, 0)</f>
        <v>46.199199999999998</v>
      </c>
      <c r="L427" s="10"/>
    </row>
    <row r="428" spans="1:12" ht="15.75" x14ac:dyDescent="0.25">
      <c r="A428" s="14">
        <v>54331</v>
      </c>
      <c r="B428" s="10">
        <f>47.531 * CHOOSE(CONTROL!$C$9, $D$9, 100%, $F$9) + CHOOSE(CONTROL!$C$27, 0.0021, 0)</f>
        <v>47.533099999999997</v>
      </c>
      <c r="C428" s="10">
        <f>47.0987 * CHOOSE(CONTROL!$C$9, $D$9, 100%, $F$9) + CHOOSE(CONTROL!$C$27, 0.0021, 0)</f>
        <v>47.1008</v>
      </c>
      <c r="D428" s="10">
        <f>47.0987 * CHOOSE(CONTROL!$C$9, $D$9, 100%, $F$9) + CHOOSE(CONTROL!$C$27, 0.0021, 0)</f>
        <v>47.1008</v>
      </c>
      <c r="E428" s="10">
        <f>46.9621 * CHOOSE(CONTROL!$C$9, $D$9, 100%, $F$9) + CHOOSE(CONTROL!$C$27, 0.0021, 0)</f>
        <v>46.964199999999998</v>
      </c>
      <c r="F428" s="10">
        <f>46.9621 * CHOOSE(CONTROL!$C$9, $D$9, 100%, $F$9) + CHOOSE(CONTROL!$C$27, 0.0021, 0)</f>
        <v>46.964199999999998</v>
      </c>
      <c r="G428" s="10">
        <f>47.2334 * CHOOSE(CONTROL!$C$9, $D$9, 100%, $F$9) + CHOOSE(CONTROL!$C$27, 0.0021, 0)</f>
        <v>47.235500000000002</v>
      </c>
      <c r="H428" s="10">
        <f>47.0987 * CHOOSE(CONTROL!$C$9, $D$9, 100%, $F$9) + CHOOSE(CONTROL!$C$27, 0.0021, 0)</f>
        <v>47.1008</v>
      </c>
      <c r="I428" s="10">
        <f>47.0987 * CHOOSE(CONTROL!$C$9, $D$9, 100%, $F$9) + CHOOSE(CONTROL!$C$27, 0.0021, 0)</f>
        <v>47.1008</v>
      </c>
      <c r="J428" s="10">
        <f>47.0987 * CHOOSE(CONTROL!$C$9, $D$9, 100%, $F$9) + CHOOSE(CONTROL!$C$27, 0.0021, 0)</f>
        <v>47.1008</v>
      </c>
      <c r="K428" s="10">
        <f>47.0987 * CHOOSE(CONTROL!$C$9, $D$9, 100%, $F$9) + CHOOSE(CONTROL!$C$27, 0.0021, 0)</f>
        <v>47.1008</v>
      </c>
      <c r="L428" s="10"/>
    </row>
    <row r="429" spans="1:12" ht="15.75" x14ac:dyDescent="0.25">
      <c r="A429" s="14">
        <v>54362</v>
      </c>
      <c r="B429" s="10">
        <f>48.6722 * CHOOSE(CONTROL!$C$9, $D$9, 100%, $F$9) + CHOOSE(CONTROL!$C$27, 0.0021, 0)</f>
        <v>48.674299999999995</v>
      </c>
      <c r="C429" s="10">
        <f>48.24 * CHOOSE(CONTROL!$C$9, $D$9, 100%, $F$9) + CHOOSE(CONTROL!$C$27, 0.0021, 0)</f>
        <v>48.242100000000001</v>
      </c>
      <c r="D429" s="10">
        <f>48.24 * CHOOSE(CONTROL!$C$9, $D$9, 100%, $F$9) + CHOOSE(CONTROL!$C$27, 0.0021, 0)</f>
        <v>48.242100000000001</v>
      </c>
      <c r="E429" s="10">
        <f>48.1033 * CHOOSE(CONTROL!$C$9, $D$9, 100%, $F$9) + CHOOSE(CONTROL!$C$27, 0.0021, 0)</f>
        <v>48.105399999999996</v>
      </c>
      <c r="F429" s="10">
        <f>48.1033 * CHOOSE(CONTROL!$C$9, $D$9, 100%, $F$9) + CHOOSE(CONTROL!$C$27, 0.0021, 0)</f>
        <v>48.105399999999996</v>
      </c>
      <c r="G429" s="10">
        <f>48.3747 * CHOOSE(CONTROL!$C$9, $D$9, 100%, $F$9) + CHOOSE(CONTROL!$C$27, 0.0021, 0)</f>
        <v>48.376799999999996</v>
      </c>
      <c r="H429" s="10">
        <f>48.24 * CHOOSE(CONTROL!$C$9, $D$9, 100%, $F$9) + CHOOSE(CONTROL!$C$27, 0.0021, 0)</f>
        <v>48.242100000000001</v>
      </c>
      <c r="I429" s="10">
        <f>48.24 * CHOOSE(CONTROL!$C$9, $D$9, 100%, $F$9) + CHOOSE(CONTROL!$C$27, 0.0021, 0)</f>
        <v>48.242100000000001</v>
      </c>
      <c r="J429" s="10">
        <f>48.24 * CHOOSE(CONTROL!$C$9, $D$9, 100%, $F$9) + CHOOSE(CONTROL!$C$27, 0.0021, 0)</f>
        <v>48.242100000000001</v>
      </c>
      <c r="K429" s="10">
        <f>48.24 * CHOOSE(CONTROL!$C$9, $D$9, 100%, $F$9) + CHOOSE(CONTROL!$C$27, 0.0021, 0)</f>
        <v>48.242100000000001</v>
      </c>
      <c r="L429" s="10"/>
    </row>
    <row r="430" spans="1:12" ht="15.75" x14ac:dyDescent="0.25">
      <c r="A430" s="14">
        <v>54392</v>
      </c>
      <c r="B430" s="10">
        <f>48.7794 * CHOOSE(CONTROL!$C$9, $D$9, 100%, $F$9) + CHOOSE(CONTROL!$C$27, 0.0021, 0)</f>
        <v>48.781500000000001</v>
      </c>
      <c r="C430" s="10">
        <f>48.3471 * CHOOSE(CONTROL!$C$9, $D$9, 100%, $F$9) + CHOOSE(CONTROL!$C$27, 0.0021, 0)</f>
        <v>48.349199999999996</v>
      </c>
      <c r="D430" s="10">
        <f>48.3471 * CHOOSE(CONTROL!$C$9, $D$9, 100%, $F$9) + CHOOSE(CONTROL!$C$27, 0.0021, 0)</f>
        <v>48.349199999999996</v>
      </c>
      <c r="E430" s="10">
        <f>48.2105 * CHOOSE(CONTROL!$C$9, $D$9, 100%, $F$9) + CHOOSE(CONTROL!$C$27, 0.0021, 0)</f>
        <v>48.212600000000002</v>
      </c>
      <c r="F430" s="10">
        <f>48.2105 * CHOOSE(CONTROL!$C$9, $D$9, 100%, $F$9) + CHOOSE(CONTROL!$C$27, 0.0021, 0)</f>
        <v>48.212600000000002</v>
      </c>
      <c r="G430" s="10">
        <f>48.4818 * CHOOSE(CONTROL!$C$9, $D$9, 100%, $F$9) + CHOOSE(CONTROL!$C$27, 0.0021, 0)</f>
        <v>48.483899999999998</v>
      </c>
      <c r="H430" s="10">
        <f>48.3471 * CHOOSE(CONTROL!$C$9, $D$9, 100%, $F$9) + CHOOSE(CONTROL!$C$27, 0.0021, 0)</f>
        <v>48.349199999999996</v>
      </c>
      <c r="I430" s="10">
        <f>48.3471 * CHOOSE(CONTROL!$C$9, $D$9, 100%, $F$9) + CHOOSE(CONTROL!$C$27, 0.0021, 0)</f>
        <v>48.349199999999996</v>
      </c>
      <c r="J430" s="10">
        <f>48.3471 * CHOOSE(CONTROL!$C$9, $D$9, 100%, $F$9) + CHOOSE(CONTROL!$C$27, 0.0021, 0)</f>
        <v>48.349199999999996</v>
      </c>
      <c r="K430" s="10">
        <f>48.3471 * CHOOSE(CONTROL!$C$9, $D$9, 100%, $F$9) + CHOOSE(CONTROL!$C$27, 0.0021, 0)</f>
        <v>48.349199999999996</v>
      </c>
      <c r="L430" s="10"/>
    </row>
    <row r="431" spans="1:12" ht="15.75" x14ac:dyDescent="0.25">
      <c r="A431" s="14">
        <v>54423</v>
      </c>
      <c r="B431" s="10">
        <f>47.8679 * CHOOSE(CONTROL!$C$9, $D$9, 100%, $F$9) + CHOOSE(CONTROL!$C$27, 0.0021, 0)</f>
        <v>47.87</v>
      </c>
      <c r="C431" s="10">
        <f>47.4356 * CHOOSE(CONTROL!$C$9, $D$9, 100%, $F$9) + CHOOSE(CONTROL!$C$27, 0.0021, 0)</f>
        <v>47.4377</v>
      </c>
      <c r="D431" s="10">
        <f>47.4356 * CHOOSE(CONTROL!$C$9, $D$9, 100%, $F$9) + CHOOSE(CONTROL!$C$27, 0.0021, 0)</f>
        <v>47.4377</v>
      </c>
      <c r="E431" s="10">
        <f>47.2989 * CHOOSE(CONTROL!$C$9, $D$9, 100%, $F$9) + CHOOSE(CONTROL!$C$27, 0.0021, 0)</f>
        <v>47.301000000000002</v>
      </c>
      <c r="F431" s="10">
        <f>47.2989 * CHOOSE(CONTROL!$C$9, $D$9, 100%, $F$9) + CHOOSE(CONTROL!$C$27, 0.0021, 0)</f>
        <v>47.301000000000002</v>
      </c>
      <c r="G431" s="10">
        <f>47.5703 * CHOOSE(CONTROL!$C$9, $D$9, 100%, $F$9) + CHOOSE(CONTROL!$C$27, 0.0021, 0)</f>
        <v>47.572400000000002</v>
      </c>
      <c r="H431" s="10">
        <f>47.4356 * CHOOSE(CONTROL!$C$9, $D$9, 100%, $F$9) + CHOOSE(CONTROL!$C$27, 0.0021, 0)</f>
        <v>47.4377</v>
      </c>
      <c r="I431" s="10">
        <f>47.4356 * CHOOSE(CONTROL!$C$9, $D$9, 100%, $F$9) + CHOOSE(CONTROL!$C$27, 0.0021, 0)</f>
        <v>47.4377</v>
      </c>
      <c r="J431" s="10">
        <f>47.4356 * CHOOSE(CONTROL!$C$9, $D$9, 100%, $F$9) + CHOOSE(CONTROL!$C$27, 0.0021, 0)</f>
        <v>47.4377</v>
      </c>
      <c r="K431" s="10">
        <f>47.4356 * CHOOSE(CONTROL!$C$9, $D$9, 100%, $F$9) + CHOOSE(CONTROL!$C$27, 0.0021, 0)</f>
        <v>47.4377</v>
      </c>
      <c r="L431" s="10"/>
    </row>
    <row r="432" spans="1:12" ht="15.75" x14ac:dyDescent="0.25">
      <c r="A432" s="14">
        <v>54454</v>
      </c>
      <c r="B432" s="10">
        <f>47.17 * CHOOSE(CONTROL!$C$9, $D$9, 100%, $F$9) + CHOOSE(CONTROL!$C$27, 0.0021, 0)</f>
        <v>47.1721</v>
      </c>
      <c r="C432" s="10">
        <f>46.7377 * CHOOSE(CONTROL!$C$9, $D$9, 100%, $F$9) + CHOOSE(CONTROL!$C$27, 0.0021, 0)</f>
        <v>46.739799999999995</v>
      </c>
      <c r="D432" s="10">
        <f>46.7377 * CHOOSE(CONTROL!$C$9, $D$9, 100%, $F$9) + CHOOSE(CONTROL!$C$27, 0.0021, 0)</f>
        <v>46.739799999999995</v>
      </c>
      <c r="E432" s="10">
        <f>46.6011 * CHOOSE(CONTROL!$C$9, $D$9, 100%, $F$9) + CHOOSE(CONTROL!$C$27, 0.0021, 0)</f>
        <v>46.603200000000001</v>
      </c>
      <c r="F432" s="10">
        <f>46.6011 * CHOOSE(CONTROL!$C$9, $D$9, 100%, $F$9) + CHOOSE(CONTROL!$C$27, 0.0021, 0)</f>
        <v>46.603200000000001</v>
      </c>
      <c r="G432" s="10">
        <f>46.8725 * CHOOSE(CONTROL!$C$9, $D$9, 100%, $F$9) + CHOOSE(CONTROL!$C$27, 0.0021, 0)</f>
        <v>46.874600000000001</v>
      </c>
      <c r="H432" s="10">
        <f>46.7377 * CHOOSE(CONTROL!$C$9, $D$9, 100%, $F$9) + CHOOSE(CONTROL!$C$27, 0.0021, 0)</f>
        <v>46.739799999999995</v>
      </c>
      <c r="I432" s="10">
        <f>46.7377 * CHOOSE(CONTROL!$C$9, $D$9, 100%, $F$9) + CHOOSE(CONTROL!$C$27, 0.0021, 0)</f>
        <v>46.739799999999995</v>
      </c>
      <c r="J432" s="10">
        <f>46.7377 * CHOOSE(CONTROL!$C$9, $D$9, 100%, $F$9) + CHOOSE(CONTROL!$C$27, 0.0021, 0)</f>
        <v>46.739799999999995</v>
      </c>
      <c r="K432" s="10">
        <f>46.7377 * CHOOSE(CONTROL!$C$9, $D$9, 100%, $F$9) + CHOOSE(CONTROL!$C$27, 0.0021, 0)</f>
        <v>46.739799999999995</v>
      </c>
      <c r="L432" s="10"/>
    </row>
    <row r="433" spans="1:12" ht="15.75" x14ac:dyDescent="0.25">
      <c r="A433" s="14">
        <v>54482</v>
      </c>
      <c r="B433" s="10">
        <f>45.9006 * CHOOSE(CONTROL!$C$9, $D$9, 100%, $F$9) + CHOOSE(CONTROL!$C$27, 0.0021, 0)</f>
        <v>45.902699999999996</v>
      </c>
      <c r="C433" s="10">
        <f>45.4684 * CHOOSE(CONTROL!$C$9, $D$9, 100%, $F$9) + CHOOSE(CONTROL!$C$27, 0.0021, 0)</f>
        <v>45.470500000000001</v>
      </c>
      <c r="D433" s="10">
        <f>45.4684 * CHOOSE(CONTROL!$C$9, $D$9, 100%, $F$9) + CHOOSE(CONTROL!$C$27, 0.0021, 0)</f>
        <v>45.470500000000001</v>
      </c>
      <c r="E433" s="10">
        <f>45.3317 * CHOOSE(CONTROL!$C$9, $D$9, 100%, $F$9) + CHOOSE(CONTROL!$C$27, 0.0021, 0)</f>
        <v>45.333799999999997</v>
      </c>
      <c r="F433" s="10">
        <f>45.3317 * CHOOSE(CONTROL!$C$9, $D$9, 100%, $F$9) + CHOOSE(CONTROL!$C$27, 0.0021, 0)</f>
        <v>45.333799999999997</v>
      </c>
      <c r="G433" s="10">
        <f>45.6031 * CHOOSE(CONTROL!$C$9, $D$9, 100%, $F$9) + CHOOSE(CONTROL!$C$27, 0.0021, 0)</f>
        <v>45.605199999999996</v>
      </c>
      <c r="H433" s="10">
        <f>45.4684 * CHOOSE(CONTROL!$C$9, $D$9, 100%, $F$9) + CHOOSE(CONTROL!$C$27, 0.0021, 0)</f>
        <v>45.470500000000001</v>
      </c>
      <c r="I433" s="10">
        <f>45.4684 * CHOOSE(CONTROL!$C$9, $D$9, 100%, $F$9) + CHOOSE(CONTROL!$C$27, 0.0021, 0)</f>
        <v>45.470500000000001</v>
      </c>
      <c r="J433" s="10">
        <f>45.4684 * CHOOSE(CONTROL!$C$9, $D$9, 100%, $F$9) + CHOOSE(CONTROL!$C$27, 0.0021, 0)</f>
        <v>45.470500000000001</v>
      </c>
      <c r="K433" s="10">
        <f>45.4684 * CHOOSE(CONTROL!$C$9, $D$9, 100%, $F$9) + CHOOSE(CONTROL!$C$27, 0.0021, 0)</f>
        <v>45.470500000000001</v>
      </c>
      <c r="L433" s="10"/>
    </row>
    <row r="434" spans="1:12" ht="15.75" x14ac:dyDescent="0.25">
      <c r="A434" s="14">
        <v>54513</v>
      </c>
      <c r="B434" s="10">
        <f>45.3766 * CHOOSE(CONTROL!$C$9, $D$9, 100%, $F$9) + CHOOSE(CONTROL!$C$27, 0.0021, 0)</f>
        <v>45.378700000000002</v>
      </c>
      <c r="C434" s="10">
        <f>44.9444 * CHOOSE(CONTROL!$C$9, $D$9, 100%, $F$9) + CHOOSE(CONTROL!$C$27, 0.0021, 0)</f>
        <v>44.9465</v>
      </c>
      <c r="D434" s="10">
        <f>44.9444 * CHOOSE(CONTROL!$C$9, $D$9, 100%, $F$9) + CHOOSE(CONTROL!$C$27, 0.0021, 0)</f>
        <v>44.9465</v>
      </c>
      <c r="E434" s="10">
        <f>44.8077 * CHOOSE(CONTROL!$C$9, $D$9, 100%, $F$9) + CHOOSE(CONTROL!$C$27, 0.0021, 0)</f>
        <v>44.809799999999996</v>
      </c>
      <c r="F434" s="10">
        <f>44.8077 * CHOOSE(CONTROL!$C$9, $D$9, 100%, $F$9) + CHOOSE(CONTROL!$C$27, 0.0021, 0)</f>
        <v>44.809799999999996</v>
      </c>
      <c r="G434" s="10">
        <f>45.0791 * CHOOSE(CONTROL!$C$9, $D$9, 100%, $F$9) + CHOOSE(CONTROL!$C$27, 0.0021, 0)</f>
        <v>45.081199999999995</v>
      </c>
      <c r="H434" s="10">
        <f>44.9444 * CHOOSE(CONTROL!$C$9, $D$9, 100%, $F$9) + CHOOSE(CONTROL!$C$27, 0.0021, 0)</f>
        <v>44.9465</v>
      </c>
      <c r="I434" s="10">
        <f>44.9444 * CHOOSE(CONTROL!$C$9, $D$9, 100%, $F$9) + CHOOSE(CONTROL!$C$27, 0.0021, 0)</f>
        <v>44.9465</v>
      </c>
      <c r="J434" s="10">
        <f>44.9444 * CHOOSE(CONTROL!$C$9, $D$9, 100%, $F$9) + CHOOSE(CONTROL!$C$27, 0.0021, 0)</f>
        <v>44.9465</v>
      </c>
      <c r="K434" s="10">
        <f>44.9444 * CHOOSE(CONTROL!$C$9, $D$9, 100%, $F$9) + CHOOSE(CONTROL!$C$27, 0.0021, 0)</f>
        <v>44.9465</v>
      </c>
      <c r="L434" s="10"/>
    </row>
    <row r="435" spans="1:12" ht="15.75" x14ac:dyDescent="0.25">
      <c r="A435" s="14">
        <v>54543</v>
      </c>
      <c r="B435" s="10">
        <f>44.7509 * CHOOSE(CONTROL!$C$9, $D$9, 100%, $F$9) + CHOOSE(CONTROL!$C$27, 0.0021, 0)</f>
        <v>44.753</v>
      </c>
      <c r="C435" s="10">
        <f>44.3187 * CHOOSE(CONTROL!$C$9, $D$9, 100%, $F$9) + CHOOSE(CONTROL!$C$27, 0.0021, 0)</f>
        <v>44.320799999999998</v>
      </c>
      <c r="D435" s="10">
        <f>44.3187 * CHOOSE(CONTROL!$C$9, $D$9, 100%, $F$9) + CHOOSE(CONTROL!$C$27, 0.0021, 0)</f>
        <v>44.320799999999998</v>
      </c>
      <c r="E435" s="10">
        <f>44.182 * CHOOSE(CONTROL!$C$9, $D$9, 100%, $F$9) + CHOOSE(CONTROL!$C$27, 0.0021, 0)</f>
        <v>44.184100000000001</v>
      </c>
      <c r="F435" s="10">
        <f>44.182 * CHOOSE(CONTROL!$C$9, $D$9, 100%, $F$9) + CHOOSE(CONTROL!$C$27, 0.0021, 0)</f>
        <v>44.184100000000001</v>
      </c>
      <c r="G435" s="10">
        <f>44.4534 * CHOOSE(CONTROL!$C$9, $D$9, 100%, $F$9) + CHOOSE(CONTROL!$C$27, 0.0021, 0)</f>
        <v>44.455500000000001</v>
      </c>
      <c r="H435" s="10">
        <f>44.3187 * CHOOSE(CONTROL!$C$9, $D$9, 100%, $F$9) + CHOOSE(CONTROL!$C$27, 0.0021, 0)</f>
        <v>44.320799999999998</v>
      </c>
      <c r="I435" s="10">
        <f>44.3187 * CHOOSE(CONTROL!$C$9, $D$9, 100%, $F$9) + CHOOSE(CONTROL!$C$27, 0.0021, 0)</f>
        <v>44.320799999999998</v>
      </c>
      <c r="J435" s="10">
        <f>44.3187 * CHOOSE(CONTROL!$C$9, $D$9, 100%, $F$9) + CHOOSE(CONTROL!$C$27, 0.0021, 0)</f>
        <v>44.320799999999998</v>
      </c>
      <c r="K435" s="10">
        <f>44.3187 * CHOOSE(CONTROL!$C$9, $D$9, 100%, $F$9) + CHOOSE(CONTROL!$C$27, 0.0021, 0)</f>
        <v>44.320799999999998</v>
      </c>
      <c r="L435" s="10"/>
    </row>
    <row r="436" spans="1:12" ht="15.75" x14ac:dyDescent="0.25">
      <c r="A436" s="14">
        <v>54574</v>
      </c>
      <c r="B436" s="10">
        <f>45.6426 * CHOOSE(CONTROL!$C$9, $D$9, 100%, $F$9) + CHOOSE(CONTROL!$C$27, 0.0021, 0)</f>
        <v>45.6447</v>
      </c>
      <c r="C436" s="10">
        <f>45.2103 * CHOOSE(CONTROL!$C$9, $D$9, 100%, $F$9) + CHOOSE(CONTROL!$C$27, 0.0021, 0)</f>
        <v>45.212399999999995</v>
      </c>
      <c r="D436" s="10">
        <f>45.2103 * CHOOSE(CONTROL!$C$9, $D$9, 100%, $F$9) + CHOOSE(CONTROL!$C$27, 0.0021, 0)</f>
        <v>45.212399999999995</v>
      </c>
      <c r="E436" s="10">
        <f>45.0737 * CHOOSE(CONTROL!$C$9, $D$9, 100%, $F$9) + CHOOSE(CONTROL!$C$27, 0.0021, 0)</f>
        <v>45.075800000000001</v>
      </c>
      <c r="F436" s="10">
        <f>45.0737 * CHOOSE(CONTROL!$C$9, $D$9, 100%, $F$9) + CHOOSE(CONTROL!$C$27, 0.0021, 0)</f>
        <v>45.075800000000001</v>
      </c>
      <c r="G436" s="10">
        <f>45.3451 * CHOOSE(CONTROL!$C$9, $D$9, 100%, $F$9) + CHOOSE(CONTROL!$C$27, 0.0021, 0)</f>
        <v>45.347200000000001</v>
      </c>
      <c r="H436" s="10">
        <f>45.2103 * CHOOSE(CONTROL!$C$9, $D$9, 100%, $F$9) + CHOOSE(CONTROL!$C$27, 0.0021, 0)</f>
        <v>45.212399999999995</v>
      </c>
      <c r="I436" s="10">
        <f>45.2103 * CHOOSE(CONTROL!$C$9, $D$9, 100%, $F$9) + CHOOSE(CONTROL!$C$27, 0.0021, 0)</f>
        <v>45.212399999999995</v>
      </c>
      <c r="J436" s="10">
        <f>45.2103 * CHOOSE(CONTROL!$C$9, $D$9, 100%, $F$9) + CHOOSE(CONTROL!$C$27, 0.0021, 0)</f>
        <v>45.212399999999995</v>
      </c>
      <c r="K436" s="10">
        <f>45.2103 * CHOOSE(CONTROL!$C$9, $D$9, 100%, $F$9) + CHOOSE(CONTROL!$C$27, 0.0021, 0)</f>
        <v>45.212399999999995</v>
      </c>
      <c r="L436" s="10"/>
    </row>
    <row r="437" spans="1:12" ht="15.75" x14ac:dyDescent="0.25">
      <c r="A437" s="14">
        <v>54604</v>
      </c>
      <c r="B437" s="10">
        <f>46.1766 * CHOOSE(CONTROL!$C$9, $D$9, 100%, $F$9) + CHOOSE(CONTROL!$C$27, 0.0021, 0)</f>
        <v>46.178699999999999</v>
      </c>
      <c r="C437" s="10">
        <f>45.7444 * CHOOSE(CONTROL!$C$9, $D$9, 100%, $F$9) + CHOOSE(CONTROL!$C$27, 0.0021, 0)</f>
        <v>45.746499999999997</v>
      </c>
      <c r="D437" s="10">
        <f>45.7444 * CHOOSE(CONTROL!$C$9, $D$9, 100%, $F$9) + CHOOSE(CONTROL!$C$27, 0.0021, 0)</f>
        <v>45.746499999999997</v>
      </c>
      <c r="E437" s="10">
        <f>45.6077 * CHOOSE(CONTROL!$C$9, $D$9, 100%, $F$9) + CHOOSE(CONTROL!$C$27, 0.0021, 0)</f>
        <v>45.6098</v>
      </c>
      <c r="F437" s="10">
        <f>45.6077 * CHOOSE(CONTROL!$C$9, $D$9, 100%, $F$9) + CHOOSE(CONTROL!$C$27, 0.0021, 0)</f>
        <v>45.6098</v>
      </c>
      <c r="G437" s="10">
        <f>45.8791 * CHOOSE(CONTROL!$C$9, $D$9, 100%, $F$9) + CHOOSE(CONTROL!$C$27, 0.0021, 0)</f>
        <v>45.8812</v>
      </c>
      <c r="H437" s="10">
        <f>45.7444 * CHOOSE(CONTROL!$C$9, $D$9, 100%, $F$9) + CHOOSE(CONTROL!$C$27, 0.0021, 0)</f>
        <v>45.746499999999997</v>
      </c>
      <c r="I437" s="10">
        <f>45.7444 * CHOOSE(CONTROL!$C$9, $D$9, 100%, $F$9) + CHOOSE(CONTROL!$C$27, 0.0021, 0)</f>
        <v>45.746499999999997</v>
      </c>
      <c r="J437" s="10">
        <f>45.7444 * CHOOSE(CONTROL!$C$9, $D$9, 100%, $F$9) + CHOOSE(CONTROL!$C$27, 0.0021, 0)</f>
        <v>45.746499999999997</v>
      </c>
      <c r="K437" s="10">
        <f>45.7444 * CHOOSE(CONTROL!$C$9, $D$9, 100%, $F$9) + CHOOSE(CONTROL!$C$27, 0.0021, 0)</f>
        <v>45.746499999999997</v>
      </c>
      <c r="L437" s="10"/>
    </row>
    <row r="438" spans="1:12" ht="15.75" x14ac:dyDescent="0.25">
      <c r="A438" s="14">
        <v>54635</v>
      </c>
      <c r="B438" s="10">
        <f>47.0577 * CHOOSE(CONTROL!$C$9, $D$9, 100%, $F$9) + CHOOSE(CONTROL!$C$27, 0.0021, 0)</f>
        <v>47.059799999999996</v>
      </c>
      <c r="C438" s="10">
        <f>46.6254 * CHOOSE(CONTROL!$C$9, $D$9, 100%, $F$9) + CHOOSE(CONTROL!$C$27, 0.0021, 0)</f>
        <v>46.627499999999998</v>
      </c>
      <c r="D438" s="10">
        <f>46.6254 * CHOOSE(CONTROL!$C$9, $D$9, 100%, $F$9) + CHOOSE(CONTROL!$C$27, 0.0021, 0)</f>
        <v>46.627499999999998</v>
      </c>
      <c r="E438" s="10">
        <f>46.4887 * CHOOSE(CONTROL!$C$9, $D$9, 100%, $F$9) + CHOOSE(CONTROL!$C$27, 0.0021, 0)</f>
        <v>46.4908</v>
      </c>
      <c r="F438" s="10">
        <f>46.4887 * CHOOSE(CONTROL!$C$9, $D$9, 100%, $F$9) + CHOOSE(CONTROL!$C$27, 0.0021, 0)</f>
        <v>46.4908</v>
      </c>
      <c r="G438" s="10">
        <f>46.7601 * CHOOSE(CONTROL!$C$9, $D$9, 100%, $F$9) + CHOOSE(CONTROL!$C$27, 0.0021, 0)</f>
        <v>46.7622</v>
      </c>
      <c r="H438" s="10">
        <f>46.6254 * CHOOSE(CONTROL!$C$9, $D$9, 100%, $F$9) + CHOOSE(CONTROL!$C$27, 0.0021, 0)</f>
        <v>46.627499999999998</v>
      </c>
      <c r="I438" s="10">
        <f>46.6254 * CHOOSE(CONTROL!$C$9, $D$9, 100%, $F$9) + CHOOSE(CONTROL!$C$27, 0.0021, 0)</f>
        <v>46.627499999999998</v>
      </c>
      <c r="J438" s="10">
        <f>46.6254 * CHOOSE(CONTROL!$C$9, $D$9, 100%, $F$9) + CHOOSE(CONTROL!$C$27, 0.0021, 0)</f>
        <v>46.627499999999998</v>
      </c>
      <c r="K438" s="10">
        <f>46.6254 * CHOOSE(CONTROL!$C$9, $D$9, 100%, $F$9) + CHOOSE(CONTROL!$C$27, 0.0021, 0)</f>
        <v>46.627499999999998</v>
      </c>
      <c r="L438" s="10"/>
    </row>
    <row r="439" spans="1:12" ht="15.75" x14ac:dyDescent="0.25">
      <c r="A439" s="14">
        <v>54666</v>
      </c>
      <c r="B439" s="10">
        <f>47.3266 * CHOOSE(CONTROL!$C$9, $D$9, 100%, $F$9) + CHOOSE(CONTROL!$C$27, 0.0021, 0)</f>
        <v>47.328699999999998</v>
      </c>
      <c r="C439" s="10">
        <f>46.8943 * CHOOSE(CONTROL!$C$9, $D$9, 100%, $F$9) + CHOOSE(CONTROL!$C$27, 0.0021, 0)</f>
        <v>46.8964</v>
      </c>
      <c r="D439" s="10">
        <f>46.8943 * CHOOSE(CONTROL!$C$9, $D$9, 100%, $F$9) + CHOOSE(CONTROL!$C$27, 0.0021, 0)</f>
        <v>46.8964</v>
      </c>
      <c r="E439" s="10">
        <f>46.7577 * CHOOSE(CONTROL!$C$9, $D$9, 100%, $F$9) + CHOOSE(CONTROL!$C$27, 0.0021, 0)</f>
        <v>46.759799999999998</v>
      </c>
      <c r="F439" s="10">
        <f>46.7577 * CHOOSE(CONTROL!$C$9, $D$9, 100%, $F$9) + CHOOSE(CONTROL!$C$27, 0.0021, 0)</f>
        <v>46.759799999999998</v>
      </c>
      <c r="G439" s="10">
        <f>47.029 * CHOOSE(CONTROL!$C$9, $D$9, 100%, $F$9) + CHOOSE(CONTROL!$C$27, 0.0021, 0)</f>
        <v>47.031100000000002</v>
      </c>
      <c r="H439" s="10">
        <f>46.8943 * CHOOSE(CONTROL!$C$9, $D$9, 100%, $F$9) + CHOOSE(CONTROL!$C$27, 0.0021, 0)</f>
        <v>46.8964</v>
      </c>
      <c r="I439" s="10">
        <f>46.8943 * CHOOSE(CONTROL!$C$9, $D$9, 100%, $F$9) + CHOOSE(CONTROL!$C$27, 0.0021, 0)</f>
        <v>46.8964</v>
      </c>
      <c r="J439" s="10">
        <f>46.8943 * CHOOSE(CONTROL!$C$9, $D$9, 100%, $F$9) + CHOOSE(CONTROL!$C$27, 0.0021, 0)</f>
        <v>46.8964</v>
      </c>
      <c r="K439" s="10">
        <f>46.8943 * CHOOSE(CONTROL!$C$9, $D$9, 100%, $F$9) + CHOOSE(CONTROL!$C$27, 0.0021, 0)</f>
        <v>46.8964</v>
      </c>
      <c r="L439" s="10"/>
    </row>
    <row r="440" spans="1:12" ht="15.75" x14ac:dyDescent="0.25">
      <c r="A440" s="14">
        <v>54696</v>
      </c>
      <c r="B440" s="10">
        <f>48.2423 * CHOOSE(CONTROL!$C$9, $D$9, 100%, $F$9) + CHOOSE(CONTROL!$C$27, 0.0021, 0)</f>
        <v>48.244399999999999</v>
      </c>
      <c r="C440" s="10">
        <f>47.8101 * CHOOSE(CONTROL!$C$9, $D$9, 100%, $F$9) + CHOOSE(CONTROL!$C$27, 0.0021, 0)</f>
        <v>47.812199999999997</v>
      </c>
      <c r="D440" s="10">
        <f>47.8101 * CHOOSE(CONTROL!$C$9, $D$9, 100%, $F$9) + CHOOSE(CONTROL!$C$27, 0.0021, 0)</f>
        <v>47.812199999999997</v>
      </c>
      <c r="E440" s="10">
        <f>47.6734 * CHOOSE(CONTROL!$C$9, $D$9, 100%, $F$9) + CHOOSE(CONTROL!$C$27, 0.0021, 0)</f>
        <v>47.6755</v>
      </c>
      <c r="F440" s="10">
        <f>47.6734 * CHOOSE(CONTROL!$C$9, $D$9, 100%, $F$9) + CHOOSE(CONTROL!$C$27, 0.0021, 0)</f>
        <v>47.6755</v>
      </c>
      <c r="G440" s="10">
        <f>47.9448 * CHOOSE(CONTROL!$C$9, $D$9, 100%, $F$9) + CHOOSE(CONTROL!$C$27, 0.0021, 0)</f>
        <v>47.946899999999999</v>
      </c>
      <c r="H440" s="10">
        <f>47.8101 * CHOOSE(CONTROL!$C$9, $D$9, 100%, $F$9) + CHOOSE(CONTROL!$C$27, 0.0021, 0)</f>
        <v>47.812199999999997</v>
      </c>
      <c r="I440" s="10">
        <f>47.8101 * CHOOSE(CONTROL!$C$9, $D$9, 100%, $F$9) + CHOOSE(CONTROL!$C$27, 0.0021, 0)</f>
        <v>47.812199999999997</v>
      </c>
      <c r="J440" s="10">
        <f>47.8101 * CHOOSE(CONTROL!$C$9, $D$9, 100%, $F$9) + CHOOSE(CONTROL!$C$27, 0.0021, 0)</f>
        <v>47.812199999999997</v>
      </c>
      <c r="K440" s="10">
        <f>47.8101 * CHOOSE(CONTROL!$C$9, $D$9, 100%, $F$9) + CHOOSE(CONTROL!$C$27, 0.0021, 0)</f>
        <v>47.812199999999997</v>
      </c>
      <c r="L440" s="10"/>
    </row>
    <row r="441" spans="1:12" ht="15.75" x14ac:dyDescent="0.25">
      <c r="A441" s="14">
        <v>54727</v>
      </c>
      <c r="B441" s="10">
        <f>49.4015 * CHOOSE(CONTROL!$C$9, $D$9, 100%, $F$9) + CHOOSE(CONTROL!$C$27, 0.0021, 0)</f>
        <v>49.403599999999997</v>
      </c>
      <c r="C441" s="10">
        <f>48.9693 * CHOOSE(CONTROL!$C$9, $D$9, 100%, $F$9) + CHOOSE(CONTROL!$C$27, 0.0021, 0)</f>
        <v>48.971399999999996</v>
      </c>
      <c r="D441" s="10">
        <f>48.9693 * CHOOSE(CONTROL!$C$9, $D$9, 100%, $F$9) + CHOOSE(CONTROL!$C$27, 0.0021, 0)</f>
        <v>48.971399999999996</v>
      </c>
      <c r="E441" s="10">
        <f>48.8326 * CHOOSE(CONTROL!$C$9, $D$9, 100%, $F$9) + CHOOSE(CONTROL!$C$27, 0.0021, 0)</f>
        <v>48.834699999999998</v>
      </c>
      <c r="F441" s="10">
        <f>48.8326 * CHOOSE(CONTROL!$C$9, $D$9, 100%, $F$9) + CHOOSE(CONTROL!$C$27, 0.0021, 0)</f>
        <v>48.834699999999998</v>
      </c>
      <c r="G441" s="10">
        <f>49.104 * CHOOSE(CONTROL!$C$9, $D$9, 100%, $F$9) + CHOOSE(CONTROL!$C$27, 0.0021, 0)</f>
        <v>49.106099999999998</v>
      </c>
      <c r="H441" s="10">
        <f>48.9693 * CHOOSE(CONTROL!$C$9, $D$9, 100%, $F$9) + CHOOSE(CONTROL!$C$27, 0.0021, 0)</f>
        <v>48.971399999999996</v>
      </c>
      <c r="I441" s="10">
        <f>48.9693 * CHOOSE(CONTROL!$C$9, $D$9, 100%, $F$9) + CHOOSE(CONTROL!$C$27, 0.0021, 0)</f>
        <v>48.971399999999996</v>
      </c>
      <c r="J441" s="10">
        <f>48.9693 * CHOOSE(CONTROL!$C$9, $D$9, 100%, $F$9) + CHOOSE(CONTROL!$C$27, 0.0021, 0)</f>
        <v>48.971399999999996</v>
      </c>
      <c r="K441" s="10">
        <f>48.9693 * CHOOSE(CONTROL!$C$9, $D$9, 100%, $F$9) + CHOOSE(CONTROL!$C$27, 0.0021, 0)</f>
        <v>48.971399999999996</v>
      </c>
      <c r="L441" s="10"/>
    </row>
    <row r="442" spans="1:12" ht="15.75" x14ac:dyDescent="0.25">
      <c r="A442" s="14">
        <v>54757</v>
      </c>
      <c r="B442" s="10">
        <f>49.5104 * CHOOSE(CONTROL!$C$9, $D$9, 100%, $F$9) + CHOOSE(CONTROL!$C$27, 0.0021, 0)</f>
        <v>49.512499999999996</v>
      </c>
      <c r="C442" s="10">
        <f>49.0781 * CHOOSE(CONTROL!$C$9, $D$9, 100%, $F$9) + CHOOSE(CONTROL!$C$27, 0.0021, 0)</f>
        <v>49.080199999999998</v>
      </c>
      <c r="D442" s="10">
        <f>49.0781 * CHOOSE(CONTROL!$C$9, $D$9, 100%, $F$9) + CHOOSE(CONTROL!$C$27, 0.0021, 0)</f>
        <v>49.080199999999998</v>
      </c>
      <c r="E442" s="10">
        <f>48.9415 * CHOOSE(CONTROL!$C$9, $D$9, 100%, $F$9) + CHOOSE(CONTROL!$C$27, 0.0021, 0)</f>
        <v>48.943599999999996</v>
      </c>
      <c r="F442" s="10">
        <f>48.9415 * CHOOSE(CONTROL!$C$9, $D$9, 100%, $F$9) + CHOOSE(CONTROL!$C$27, 0.0021, 0)</f>
        <v>48.943599999999996</v>
      </c>
      <c r="G442" s="10">
        <f>49.2128 * CHOOSE(CONTROL!$C$9, $D$9, 100%, $F$9) + CHOOSE(CONTROL!$C$27, 0.0021, 0)</f>
        <v>49.2149</v>
      </c>
      <c r="H442" s="10">
        <f>49.0781 * CHOOSE(CONTROL!$C$9, $D$9, 100%, $F$9) + CHOOSE(CONTROL!$C$27, 0.0021, 0)</f>
        <v>49.080199999999998</v>
      </c>
      <c r="I442" s="10">
        <f>49.0781 * CHOOSE(CONTROL!$C$9, $D$9, 100%, $F$9) + CHOOSE(CONTROL!$C$27, 0.0021, 0)</f>
        <v>49.080199999999998</v>
      </c>
      <c r="J442" s="10">
        <f>49.0781 * CHOOSE(CONTROL!$C$9, $D$9, 100%, $F$9) + CHOOSE(CONTROL!$C$27, 0.0021, 0)</f>
        <v>49.080199999999998</v>
      </c>
      <c r="K442" s="10">
        <f>49.0781 * CHOOSE(CONTROL!$C$9, $D$9, 100%, $F$9) + CHOOSE(CONTROL!$C$27, 0.0021, 0)</f>
        <v>49.080199999999998</v>
      </c>
      <c r="L442" s="10"/>
    </row>
    <row r="443" spans="1:12" ht="15.75" x14ac:dyDescent="0.25">
      <c r="A443" s="14">
        <v>54788</v>
      </c>
      <c r="B443" s="10">
        <f>48.5845 * CHOOSE(CONTROL!$C$9, $D$9, 100%, $F$9) + CHOOSE(CONTROL!$C$27, 0.0021, 0)</f>
        <v>48.586599999999997</v>
      </c>
      <c r="C443" s="10">
        <f>48.1523 * CHOOSE(CONTROL!$C$9, $D$9, 100%, $F$9) + CHOOSE(CONTROL!$C$27, 0.0021, 0)</f>
        <v>48.154399999999995</v>
      </c>
      <c r="D443" s="10">
        <f>48.1523 * CHOOSE(CONTROL!$C$9, $D$9, 100%, $F$9) + CHOOSE(CONTROL!$C$27, 0.0021, 0)</f>
        <v>48.154399999999995</v>
      </c>
      <c r="E443" s="10">
        <f>48.0156 * CHOOSE(CONTROL!$C$9, $D$9, 100%, $F$9) + CHOOSE(CONTROL!$C$27, 0.0021, 0)</f>
        <v>48.017699999999998</v>
      </c>
      <c r="F443" s="10">
        <f>48.0156 * CHOOSE(CONTROL!$C$9, $D$9, 100%, $F$9) + CHOOSE(CONTROL!$C$27, 0.0021, 0)</f>
        <v>48.017699999999998</v>
      </c>
      <c r="G443" s="10">
        <f>48.287 * CHOOSE(CONTROL!$C$9, $D$9, 100%, $F$9) + CHOOSE(CONTROL!$C$27, 0.0021, 0)</f>
        <v>48.289099999999998</v>
      </c>
      <c r="H443" s="10">
        <f>48.1523 * CHOOSE(CONTROL!$C$9, $D$9, 100%, $F$9) + CHOOSE(CONTROL!$C$27, 0.0021, 0)</f>
        <v>48.154399999999995</v>
      </c>
      <c r="I443" s="10">
        <f>48.1523 * CHOOSE(CONTROL!$C$9, $D$9, 100%, $F$9) + CHOOSE(CONTROL!$C$27, 0.0021, 0)</f>
        <v>48.154399999999995</v>
      </c>
      <c r="J443" s="10">
        <f>48.1523 * CHOOSE(CONTROL!$C$9, $D$9, 100%, $F$9) + CHOOSE(CONTROL!$C$27, 0.0021, 0)</f>
        <v>48.154399999999995</v>
      </c>
      <c r="K443" s="10">
        <f>48.1523 * CHOOSE(CONTROL!$C$9, $D$9, 100%, $F$9) + CHOOSE(CONTROL!$C$27, 0.0021, 0)</f>
        <v>48.154399999999995</v>
      </c>
      <c r="L443" s="10"/>
    </row>
    <row r="444" spans="1:12" ht="15.75" x14ac:dyDescent="0.25">
      <c r="A444" s="14">
        <v>54819</v>
      </c>
      <c r="B444" s="10">
        <f>47.8757 * CHOOSE(CONTROL!$C$9, $D$9, 100%, $F$9) + CHOOSE(CONTROL!$C$27, 0.0021, 0)</f>
        <v>47.877800000000001</v>
      </c>
      <c r="C444" s="10">
        <f>47.4434 * CHOOSE(CONTROL!$C$9, $D$9, 100%, $F$9) + CHOOSE(CONTROL!$C$27, 0.0021, 0)</f>
        <v>47.445499999999996</v>
      </c>
      <c r="D444" s="10">
        <f>47.4434 * CHOOSE(CONTROL!$C$9, $D$9, 100%, $F$9) + CHOOSE(CONTROL!$C$27, 0.0021, 0)</f>
        <v>47.445499999999996</v>
      </c>
      <c r="E444" s="10">
        <f>47.3068 * CHOOSE(CONTROL!$C$9, $D$9, 100%, $F$9) + CHOOSE(CONTROL!$C$27, 0.0021, 0)</f>
        <v>47.308900000000001</v>
      </c>
      <c r="F444" s="10">
        <f>47.3068 * CHOOSE(CONTROL!$C$9, $D$9, 100%, $F$9) + CHOOSE(CONTROL!$C$27, 0.0021, 0)</f>
        <v>47.308900000000001</v>
      </c>
      <c r="G444" s="10">
        <f>47.5781 * CHOOSE(CONTROL!$C$9, $D$9, 100%, $F$9) + CHOOSE(CONTROL!$C$27, 0.0021, 0)</f>
        <v>47.580199999999998</v>
      </c>
      <c r="H444" s="10">
        <f>47.4434 * CHOOSE(CONTROL!$C$9, $D$9, 100%, $F$9) + CHOOSE(CONTROL!$C$27, 0.0021, 0)</f>
        <v>47.445499999999996</v>
      </c>
      <c r="I444" s="10">
        <f>47.4434 * CHOOSE(CONTROL!$C$9, $D$9, 100%, $F$9) + CHOOSE(CONTROL!$C$27, 0.0021, 0)</f>
        <v>47.445499999999996</v>
      </c>
      <c r="J444" s="10">
        <f>47.4434 * CHOOSE(CONTROL!$C$9, $D$9, 100%, $F$9) + CHOOSE(CONTROL!$C$27, 0.0021, 0)</f>
        <v>47.445499999999996</v>
      </c>
      <c r="K444" s="10">
        <f>47.4434 * CHOOSE(CONTROL!$C$9, $D$9, 100%, $F$9) + CHOOSE(CONTROL!$C$27, 0.0021, 0)</f>
        <v>47.445499999999996</v>
      </c>
      <c r="L444" s="10"/>
    </row>
    <row r="445" spans="1:12" ht="15.75" x14ac:dyDescent="0.25">
      <c r="A445" s="14">
        <v>54847</v>
      </c>
      <c r="B445" s="10">
        <f>46.5863 * CHOOSE(CONTROL!$C$9, $D$9, 100%, $F$9) + CHOOSE(CONTROL!$C$27, 0.0021, 0)</f>
        <v>46.5884</v>
      </c>
      <c r="C445" s="10">
        <f>46.1541 * CHOOSE(CONTROL!$C$9, $D$9, 100%, $F$9) + CHOOSE(CONTROL!$C$27, 0.0021, 0)</f>
        <v>46.156199999999998</v>
      </c>
      <c r="D445" s="10">
        <f>46.1541 * CHOOSE(CONTROL!$C$9, $D$9, 100%, $F$9) + CHOOSE(CONTROL!$C$27, 0.0021, 0)</f>
        <v>46.156199999999998</v>
      </c>
      <c r="E445" s="10">
        <f>46.0174 * CHOOSE(CONTROL!$C$9, $D$9, 100%, $F$9) + CHOOSE(CONTROL!$C$27, 0.0021, 0)</f>
        <v>46.019500000000001</v>
      </c>
      <c r="F445" s="10">
        <f>46.0174 * CHOOSE(CONTROL!$C$9, $D$9, 100%, $F$9) + CHOOSE(CONTROL!$C$27, 0.0021, 0)</f>
        <v>46.019500000000001</v>
      </c>
      <c r="G445" s="10">
        <f>46.2888 * CHOOSE(CONTROL!$C$9, $D$9, 100%, $F$9) + CHOOSE(CONTROL!$C$27, 0.0021, 0)</f>
        <v>46.290900000000001</v>
      </c>
      <c r="H445" s="10">
        <f>46.1541 * CHOOSE(CONTROL!$C$9, $D$9, 100%, $F$9) + CHOOSE(CONTROL!$C$27, 0.0021, 0)</f>
        <v>46.156199999999998</v>
      </c>
      <c r="I445" s="10">
        <f>46.1541 * CHOOSE(CONTROL!$C$9, $D$9, 100%, $F$9) + CHOOSE(CONTROL!$C$27, 0.0021, 0)</f>
        <v>46.156199999999998</v>
      </c>
      <c r="J445" s="10">
        <f>46.1541 * CHOOSE(CONTROL!$C$9, $D$9, 100%, $F$9) + CHOOSE(CONTROL!$C$27, 0.0021, 0)</f>
        <v>46.156199999999998</v>
      </c>
      <c r="K445" s="10">
        <f>46.1541 * CHOOSE(CONTROL!$C$9, $D$9, 100%, $F$9) + CHOOSE(CONTROL!$C$27, 0.0021, 0)</f>
        <v>46.156199999999998</v>
      </c>
      <c r="L445" s="10"/>
    </row>
    <row r="446" spans="1:12" ht="15.75" x14ac:dyDescent="0.25">
      <c r="A446" s="14">
        <v>54878</v>
      </c>
      <c r="B446" s="10">
        <f>46.0541 * CHOOSE(CONTROL!$C$9, $D$9, 100%, $F$9) + CHOOSE(CONTROL!$C$27, 0.0021, 0)</f>
        <v>46.056199999999997</v>
      </c>
      <c r="C446" s="10">
        <f>45.6218 * CHOOSE(CONTROL!$C$9, $D$9, 100%, $F$9) + CHOOSE(CONTROL!$C$27, 0.0021, 0)</f>
        <v>45.623899999999999</v>
      </c>
      <c r="D446" s="10">
        <f>45.6218 * CHOOSE(CONTROL!$C$9, $D$9, 100%, $F$9) + CHOOSE(CONTROL!$C$27, 0.0021, 0)</f>
        <v>45.623899999999999</v>
      </c>
      <c r="E446" s="10">
        <f>45.4852 * CHOOSE(CONTROL!$C$9, $D$9, 100%, $F$9) + CHOOSE(CONTROL!$C$27, 0.0021, 0)</f>
        <v>45.487299999999998</v>
      </c>
      <c r="F446" s="10">
        <f>45.4852 * CHOOSE(CONTROL!$C$9, $D$9, 100%, $F$9) + CHOOSE(CONTROL!$C$27, 0.0021, 0)</f>
        <v>45.487299999999998</v>
      </c>
      <c r="G446" s="10">
        <f>45.7566 * CHOOSE(CONTROL!$C$9, $D$9, 100%, $F$9) + CHOOSE(CONTROL!$C$27, 0.0021, 0)</f>
        <v>45.758699999999997</v>
      </c>
      <c r="H446" s="10">
        <f>45.6218 * CHOOSE(CONTROL!$C$9, $D$9, 100%, $F$9) + CHOOSE(CONTROL!$C$27, 0.0021, 0)</f>
        <v>45.623899999999999</v>
      </c>
      <c r="I446" s="10">
        <f>45.6218 * CHOOSE(CONTROL!$C$9, $D$9, 100%, $F$9) + CHOOSE(CONTROL!$C$27, 0.0021, 0)</f>
        <v>45.623899999999999</v>
      </c>
      <c r="J446" s="10">
        <f>45.6218 * CHOOSE(CONTROL!$C$9, $D$9, 100%, $F$9) + CHOOSE(CONTROL!$C$27, 0.0021, 0)</f>
        <v>45.623899999999999</v>
      </c>
      <c r="K446" s="10">
        <f>45.6218 * CHOOSE(CONTROL!$C$9, $D$9, 100%, $F$9) + CHOOSE(CONTROL!$C$27, 0.0021, 0)</f>
        <v>45.623899999999999</v>
      </c>
      <c r="L446" s="10"/>
    </row>
    <row r="447" spans="1:12" ht="15.75" x14ac:dyDescent="0.25">
      <c r="A447" s="14">
        <v>54908</v>
      </c>
      <c r="B447" s="10">
        <f>45.4186 * CHOOSE(CONTROL!$C$9, $D$9, 100%, $F$9) + CHOOSE(CONTROL!$C$27, 0.0021, 0)</f>
        <v>45.420699999999997</v>
      </c>
      <c r="C447" s="10">
        <f>44.9863 * CHOOSE(CONTROL!$C$9, $D$9, 100%, $F$9) + CHOOSE(CONTROL!$C$27, 0.0021, 0)</f>
        <v>44.988399999999999</v>
      </c>
      <c r="D447" s="10">
        <f>44.9863 * CHOOSE(CONTROL!$C$9, $D$9, 100%, $F$9) + CHOOSE(CONTROL!$C$27, 0.0021, 0)</f>
        <v>44.988399999999999</v>
      </c>
      <c r="E447" s="10">
        <f>44.8497 * CHOOSE(CONTROL!$C$9, $D$9, 100%, $F$9) + CHOOSE(CONTROL!$C$27, 0.0021, 0)</f>
        <v>44.851799999999997</v>
      </c>
      <c r="F447" s="10">
        <f>44.8497 * CHOOSE(CONTROL!$C$9, $D$9, 100%, $F$9) + CHOOSE(CONTROL!$C$27, 0.0021, 0)</f>
        <v>44.851799999999997</v>
      </c>
      <c r="G447" s="10">
        <f>45.1211 * CHOOSE(CONTROL!$C$9, $D$9, 100%, $F$9) + CHOOSE(CONTROL!$C$27, 0.0021, 0)</f>
        <v>45.123199999999997</v>
      </c>
      <c r="H447" s="10">
        <f>44.9863 * CHOOSE(CONTROL!$C$9, $D$9, 100%, $F$9) + CHOOSE(CONTROL!$C$27, 0.0021, 0)</f>
        <v>44.988399999999999</v>
      </c>
      <c r="I447" s="10">
        <f>44.9863 * CHOOSE(CONTROL!$C$9, $D$9, 100%, $F$9) + CHOOSE(CONTROL!$C$27, 0.0021, 0)</f>
        <v>44.988399999999999</v>
      </c>
      <c r="J447" s="10">
        <f>44.9863 * CHOOSE(CONTROL!$C$9, $D$9, 100%, $F$9) + CHOOSE(CONTROL!$C$27, 0.0021, 0)</f>
        <v>44.988399999999999</v>
      </c>
      <c r="K447" s="10">
        <f>44.9863 * CHOOSE(CONTROL!$C$9, $D$9, 100%, $F$9) + CHOOSE(CONTROL!$C$27, 0.0021, 0)</f>
        <v>44.988399999999999</v>
      </c>
      <c r="L447" s="10"/>
    </row>
    <row r="448" spans="1:12" ht="15.75" x14ac:dyDescent="0.25">
      <c r="A448" s="14">
        <v>54939</v>
      </c>
      <c r="B448" s="10">
        <f>46.3243 * CHOOSE(CONTROL!$C$9, $D$9, 100%, $F$9) + CHOOSE(CONTROL!$C$27, 0.0021, 0)</f>
        <v>46.3264</v>
      </c>
      <c r="C448" s="10">
        <f>45.892 * CHOOSE(CONTROL!$C$9, $D$9, 100%, $F$9) + CHOOSE(CONTROL!$C$27, 0.0021, 0)</f>
        <v>45.894100000000002</v>
      </c>
      <c r="D448" s="10">
        <f>45.892 * CHOOSE(CONTROL!$C$9, $D$9, 100%, $F$9) + CHOOSE(CONTROL!$C$27, 0.0021, 0)</f>
        <v>45.894100000000002</v>
      </c>
      <c r="E448" s="10">
        <f>45.7554 * CHOOSE(CONTROL!$C$9, $D$9, 100%, $F$9) + CHOOSE(CONTROL!$C$27, 0.0021, 0)</f>
        <v>45.7575</v>
      </c>
      <c r="F448" s="10">
        <f>45.7554 * CHOOSE(CONTROL!$C$9, $D$9, 100%, $F$9) + CHOOSE(CONTROL!$C$27, 0.0021, 0)</f>
        <v>45.7575</v>
      </c>
      <c r="G448" s="10">
        <f>46.0267 * CHOOSE(CONTROL!$C$9, $D$9, 100%, $F$9) + CHOOSE(CONTROL!$C$27, 0.0021, 0)</f>
        <v>46.028799999999997</v>
      </c>
      <c r="H448" s="10">
        <f>45.892 * CHOOSE(CONTROL!$C$9, $D$9, 100%, $F$9) + CHOOSE(CONTROL!$C$27, 0.0021, 0)</f>
        <v>45.894100000000002</v>
      </c>
      <c r="I448" s="10">
        <f>45.892 * CHOOSE(CONTROL!$C$9, $D$9, 100%, $F$9) + CHOOSE(CONTROL!$C$27, 0.0021, 0)</f>
        <v>45.894100000000002</v>
      </c>
      <c r="J448" s="10">
        <f>45.892 * CHOOSE(CONTROL!$C$9, $D$9, 100%, $F$9) + CHOOSE(CONTROL!$C$27, 0.0021, 0)</f>
        <v>45.894100000000002</v>
      </c>
      <c r="K448" s="10">
        <f>45.892 * CHOOSE(CONTROL!$C$9, $D$9, 100%, $F$9) + CHOOSE(CONTROL!$C$27, 0.0021, 0)</f>
        <v>45.894100000000002</v>
      </c>
      <c r="L448" s="10"/>
    </row>
    <row r="449" spans="1:12" ht="15.75" x14ac:dyDescent="0.25">
      <c r="A449" s="14">
        <v>54969</v>
      </c>
      <c r="B449" s="10">
        <f>46.8667 * CHOOSE(CONTROL!$C$9, $D$9, 100%, $F$9) + CHOOSE(CONTROL!$C$27, 0.0021, 0)</f>
        <v>46.8688</v>
      </c>
      <c r="C449" s="10">
        <f>46.4345 * CHOOSE(CONTROL!$C$9, $D$9, 100%, $F$9) + CHOOSE(CONTROL!$C$27, 0.0021, 0)</f>
        <v>46.436599999999999</v>
      </c>
      <c r="D449" s="10">
        <f>46.4345 * CHOOSE(CONTROL!$C$9, $D$9, 100%, $F$9) + CHOOSE(CONTROL!$C$27, 0.0021, 0)</f>
        <v>46.436599999999999</v>
      </c>
      <c r="E449" s="10">
        <f>46.2978 * CHOOSE(CONTROL!$C$9, $D$9, 100%, $F$9) + CHOOSE(CONTROL!$C$27, 0.0021, 0)</f>
        <v>46.299900000000001</v>
      </c>
      <c r="F449" s="10">
        <f>46.2978 * CHOOSE(CONTROL!$C$9, $D$9, 100%, $F$9) + CHOOSE(CONTROL!$C$27, 0.0021, 0)</f>
        <v>46.299900000000001</v>
      </c>
      <c r="G449" s="10">
        <f>46.5692 * CHOOSE(CONTROL!$C$9, $D$9, 100%, $F$9) + CHOOSE(CONTROL!$C$27, 0.0021, 0)</f>
        <v>46.571300000000001</v>
      </c>
      <c r="H449" s="10">
        <f>46.4345 * CHOOSE(CONTROL!$C$9, $D$9, 100%, $F$9) + CHOOSE(CONTROL!$C$27, 0.0021, 0)</f>
        <v>46.436599999999999</v>
      </c>
      <c r="I449" s="10">
        <f>46.4345 * CHOOSE(CONTROL!$C$9, $D$9, 100%, $F$9) + CHOOSE(CONTROL!$C$27, 0.0021, 0)</f>
        <v>46.436599999999999</v>
      </c>
      <c r="J449" s="10">
        <f>46.4345 * CHOOSE(CONTROL!$C$9, $D$9, 100%, $F$9) + CHOOSE(CONTROL!$C$27, 0.0021, 0)</f>
        <v>46.436599999999999</v>
      </c>
      <c r="K449" s="10">
        <f>46.4345 * CHOOSE(CONTROL!$C$9, $D$9, 100%, $F$9) + CHOOSE(CONTROL!$C$27, 0.0021, 0)</f>
        <v>46.436599999999999</v>
      </c>
      <c r="L449" s="10"/>
    </row>
    <row r="450" spans="1:12" ht="15.75" x14ac:dyDescent="0.25">
      <c r="A450" s="14">
        <v>55000</v>
      </c>
      <c r="B450" s="10">
        <f>47.7616 * CHOOSE(CONTROL!$C$9, $D$9, 100%, $F$9) + CHOOSE(CONTROL!$C$27, 0.0021, 0)</f>
        <v>47.7637</v>
      </c>
      <c r="C450" s="10">
        <f>47.3293 * CHOOSE(CONTROL!$C$9, $D$9, 100%, $F$9) + CHOOSE(CONTROL!$C$27, 0.0021, 0)</f>
        <v>47.331400000000002</v>
      </c>
      <c r="D450" s="10">
        <f>47.3293 * CHOOSE(CONTROL!$C$9, $D$9, 100%, $F$9) + CHOOSE(CONTROL!$C$27, 0.0021, 0)</f>
        <v>47.331400000000002</v>
      </c>
      <c r="E450" s="10">
        <f>47.1927 * CHOOSE(CONTROL!$C$9, $D$9, 100%, $F$9) + CHOOSE(CONTROL!$C$27, 0.0021, 0)</f>
        <v>47.194800000000001</v>
      </c>
      <c r="F450" s="10">
        <f>47.1927 * CHOOSE(CONTROL!$C$9, $D$9, 100%, $F$9) + CHOOSE(CONTROL!$C$27, 0.0021, 0)</f>
        <v>47.194800000000001</v>
      </c>
      <c r="G450" s="10">
        <f>47.4641 * CHOOSE(CONTROL!$C$9, $D$9, 100%, $F$9) + CHOOSE(CONTROL!$C$27, 0.0021, 0)</f>
        <v>47.466200000000001</v>
      </c>
      <c r="H450" s="10">
        <f>47.3293 * CHOOSE(CONTROL!$C$9, $D$9, 100%, $F$9) + CHOOSE(CONTROL!$C$27, 0.0021, 0)</f>
        <v>47.331400000000002</v>
      </c>
      <c r="I450" s="10">
        <f>47.3293 * CHOOSE(CONTROL!$C$9, $D$9, 100%, $F$9) + CHOOSE(CONTROL!$C$27, 0.0021, 0)</f>
        <v>47.331400000000002</v>
      </c>
      <c r="J450" s="10">
        <f>47.3293 * CHOOSE(CONTROL!$C$9, $D$9, 100%, $F$9) + CHOOSE(CONTROL!$C$27, 0.0021, 0)</f>
        <v>47.331400000000002</v>
      </c>
      <c r="K450" s="10">
        <f>47.3293 * CHOOSE(CONTROL!$C$9, $D$9, 100%, $F$9) + CHOOSE(CONTROL!$C$27, 0.0021, 0)</f>
        <v>47.331400000000002</v>
      </c>
      <c r="L450" s="10"/>
    </row>
    <row r="451" spans="1:12" ht="15.75" x14ac:dyDescent="0.25">
      <c r="A451" s="14">
        <v>55031</v>
      </c>
      <c r="B451" s="10">
        <f>48.0347 * CHOOSE(CONTROL!$C$9, $D$9, 100%, $F$9) + CHOOSE(CONTROL!$C$27, 0.0021, 0)</f>
        <v>48.036799999999999</v>
      </c>
      <c r="C451" s="10">
        <f>47.6025 * CHOOSE(CONTROL!$C$9, $D$9, 100%, $F$9) + CHOOSE(CONTROL!$C$27, 0.0021, 0)</f>
        <v>47.604599999999998</v>
      </c>
      <c r="D451" s="10">
        <f>47.6025 * CHOOSE(CONTROL!$C$9, $D$9, 100%, $F$9) + CHOOSE(CONTROL!$C$27, 0.0021, 0)</f>
        <v>47.604599999999998</v>
      </c>
      <c r="E451" s="10">
        <f>47.4658 * CHOOSE(CONTROL!$C$9, $D$9, 100%, $F$9) + CHOOSE(CONTROL!$C$27, 0.0021, 0)</f>
        <v>47.4679</v>
      </c>
      <c r="F451" s="10">
        <f>47.4658 * CHOOSE(CONTROL!$C$9, $D$9, 100%, $F$9) + CHOOSE(CONTROL!$C$27, 0.0021, 0)</f>
        <v>47.4679</v>
      </c>
      <c r="G451" s="10">
        <f>47.7372 * CHOOSE(CONTROL!$C$9, $D$9, 100%, $F$9) + CHOOSE(CONTROL!$C$27, 0.0021, 0)</f>
        <v>47.7393</v>
      </c>
      <c r="H451" s="10">
        <f>47.6025 * CHOOSE(CONTROL!$C$9, $D$9, 100%, $F$9) + CHOOSE(CONTROL!$C$27, 0.0021, 0)</f>
        <v>47.604599999999998</v>
      </c>
      <c r="I451" s="10">
        <f>47.6025 * CHOOSE(CONTROL!$C$9, $D$9, 100%, $F$9) + CHOOSE(CONTROL!$C$27, 0.0021, 0)</f>
        <v>47.604599999999998</v>
      </c>
      <c r="J451" s="10">
        <f>47.6025 * CHOOSE(CONTROL!$C$9, $D$9, 100%, $F$9) + CHOOSE(CONTROL!$C$27, 0.0021, 0)</f>
        <v>47.604599999999998</v>
      </c>
      <c r="K451" s="10">
        <f>47.6025 * CHOOSE(CONTROL!$C$9, $D$9, 100%, $F$9) + CHOOSE(CONTROL!$C$27, 0.0021, 0)</f>
        <v>47.604599999999998</v>
      </c>
      <c r="L451" s="10"/>
    </row>
    <row r="452" spans="1:12" ht="15.75" x14ac:dyDescent="0.25">
      <c r="A452" s="14">
        <v>55061</v>
      </c>
      <c r="B452" s="10">
        <f>48.9649 * CHOOSE(CONTROL!$C$9, $D$9, 100%, $F$9) + CHOOSE(CONTROL!$C$27, 0.0021, 0)</f>
        <v>48.966999999999999</v>
      </c>
      <c r="C452" s="10">
        <f>48.5326 * CHOOSE(CONTROL!$C$9, $D$9, 100%, $F$9) + CHOOSE(CONTROL!$C$27, 0.0021, 0)</f>
        <v>48.534700000000001</v>
      </c>
      <c r="D452" s="10">
        <f>48.5326 * CHOOSE(CONTROL!$C$9, $D$9, 100%, $F$9) + CHOOSE(CONTROL!$C$27, 0.0021, 0)</f>
        <v>48.534700000000001</v>
      </c>
      <c r="E452" s="10">
        <f>48.396 * CHOOSE(CONTROL!$C$9, $D$9, 100%, $F$9) + CHOOSE(CONTROL!$C$27, 0.0021, 0)</f>
        <v>48.398099999999999</v>
      </c>
      <c r="F452" s="10">
        <f>48.396 * CHOOSE(CONTROL!$C$9, $D$9, 100%, $F$9) + CHOOSE(CONTROL!$C$27, 0.0021, 0)</f>
        <v>48.398099999999999</v>
      </c>
      <c r="G452" s="10">
        <f>48.6674 * CHOOSE(CONTROL!$C$9, $D$9, 100%, $F$9) + CHOOSE(CONTROL!$C$27, 0.0021, 0)</f>
        <v>48.669499999999999</v>
      </c>
      <c r="H452" s="10">
        <f>48.5326 * CHOOSE(CONTROL!$C$9, $D$9, 100%, $F$9) + CHOOSE(CONTROL!$C$27, 0.0021, 0)</f>
        <v>48.534700000000001</v>
      </c>
      <c r="I452" s="10">
        <f>48.5326 * CHOOSE(CONTROL!$C$9, $D$9, 100%, $F$9) + CHOOSE(CONTROL!$C$27, 0.0021, 0)</f>
        <v>48.534700000000001</v>
      </c>
      <c r="J452" s="10">
        <f>48.5326 * CHOOSE(CONTROL!$C$9, $D$9, 100%, $F$9) + CHOOSE(CONTROL!$C$27, 0.0021, 0)</f>
        <v>48.534700000000001</v>
      </c>
      <c r="K452" s="10">
        <f>48.5326 * CHOOSE(CONTROL!$C$9, $D$9, 100%, $F$9) + CHOOSE(CONTROL!$C$27, 0.0021, 0)</f>
        <v>48.534700000000001</v>
      </c>
      <c r="L452" s="10"/>
    </row>
    <row r="453" spans="1:12" ht="15.75" x14ac:dyDescent="0.25">
      <c r="A453" s="14">
        <v>55092</v>
      </c>
      <c r="B453" s="10">
        <f>50.1423 * CHOOSE(CONTROL!$C$9, $D$9, 100%, $F$9) + CHOOSE(CONTROL!$C$27, 0.0021, 0)</f>
        <v>50.144399999999997</v>
      </c>
      <c r="C453" s="10">
        <f>49.7101 * CHOOSE(CONTROL!$C$9, $D$9, 100%, $F$9) + CHOOSE(CONTROL!$C$27, 0.0021, 0)</f>
        <v>49.712199999999996</v>
      </c>
      <c r="D453" s="10">
        <f>49.7101 * CHOOSE(CONTROL!$C$9, $D$9, 100%, $F$9) + CHOOSE(CONTROL!$C$27, 0.0021, 0)</f>
        <v>49.712199999999996</v>
      </c>
      <c r="E453" s="10">
        <f>49.5734 * CHOOSE(CONTROL!$C$9, $D$9, 100%, $F$9) + CHOOSE(CONTROL!$C$27, 0.0021, 0)</f>
        <v>49.575499999999998</v>
      </c>
      <c r="F453" s="10">
        <f>49.5734 * CHOOSE(CONTROL!$C$9, $D$9, 100%, $F$9) + CHOOSE(CONTROL!$C$27, 0.0021, 0)</f>
        <v>49.575499999999998</v>
      </c>
      <c r="G453" s="10">
        <f>49.8448 * CHOOSE(CONTROL!$C$9, $D$9, 100%, $F$9) + CHOOSE(CONTROL!$C$27, 0.0021, 0)</f>
        <v>49.846899999999998</v>
      </c>
      <c r="H453" s="10">
        <f>49.7101 * CHOOSE(CONTROL!$C$9, $D$9, 100%, $F$9) + CHOOSE(CONTROL!$C$27, 0.0021, 0)</f>
        <v>49.712199999999996</v>
      </c>
      <c r="I453" s="10">
        <f>49.7101 * CHOOSE(CONTROL!$C$9, $D$9, 100%, $F$9) + CHOOSE(CONTROL!$C$27, 0.0021, 0)</f>
        <v>49.712199999999996</v>
      </c>
      <c r="J453" s="10">
        <f>49.7101 * CHOOSE(CONTROL!$C$9, $D$9, 100%, $F$9) + CHOOSE(CONTROL!$C$27, 0.0021, 0)</f>
        <v>49.712199999999996</v>
      </c>
      <c r="K453" s="10">
        <f>49.7101 * CHOOSE(CONTROL!$C$9, $D$9, 100%, $F$9) + CHOOSE(CONTROL!$C$27, 0.0021, 0)</f>
        <v>49.712199999999996</v>
      </c>
      <c r="L453" s="10"/>
    </row>
    <row r="454" spans="1:12" ht="15.75" x14ac:dyDescent="0.25">
      <c r="A454" s="14">
        <v>55122</v>
      </c>
      <c r="B454" s="10">
        <f>50.2529 * CHOOSE(CONTROL!$C$9, $D$9, 100%, $F$9) + CHOOSE(CONTROL!$C$27, 0.0021, 0)</f>
        <v>50.254999999999995</v>
      </c>
      <c r="C454" s="10">
        <f>49.8206 * CHOOSE(CONTROL!$C$9, $D$9, 100%, $F$9) + CHOOSE(CONTROL!$C$27, 0.0021, 0)</f>
        <v>49.822699999999998</v>
      </c>
      <c r="D454" s="10">
        <f>49.8206 * CHOOSE(CONTROL!$C$9, $D$9, 100%, $F$9) + CHOOSE(CONTROL!$C$27, 0.0021, 0)</f>
        <v>49.822699999999998</v>
      </c>
      <c r="E454" s="10">
        <f>49.684 * CHOOSE(CONTROL!$C$9, $D$9, 100%, $F$9) + CHOOSE(CONTROL!$C$27, 0.0021, 0)</f>
        <v>49.686099999999996</v>
      </c>
      <c r="F454" s="10">
        <f>49.684 * CHOOSE(CONTROL!$C$9, $D$9, 100%, $F$9) + CHOOSE(CONTROL!$C$27, 0.0021, 0)</f>
        <v>49.686099999999996</v>
      </c>
      <c r="G454" s="10">
        <f>49.9553 * CHOOSE(CONTROL!$C$9, $D$9, 100%, $F$9) + CHOOSE(CONTROL!$C$27, 0.0021, 0)</f>
        <v>49.9574</v>
      </c>
      <c r="H454" s="10">
        <f>49.8206 * CHOOSE(CONTROL!$C$9, $D$9, 100%, $F$9) + CHOOSE(CONTROL!$C$27, 0.0021, 0)</f>
        <v>49.822699999999998</v>
      </c>
      <c r="I454" s="10">
        <f>49.8206 * CHOOSE(CONTROL!$C$9, $D$9, 100%, $F$9) + CHOOSE(CONTROL!$C$27, 0.0021, 0)</f>
        <v>49.822699999999998</v>
      </c>
      <c r="J454" s="10">
        <f>49.8206 * CHOOSE(CONTROL!$C$9, $D$9, 100%, $F$9) + CHOOSE(CONTROL!$C$27, 0.0021, 0)</f>
        <v>49.822699999999998</v>
      </c>
      <c r="K454" s="10">
        <f>49.8206 * CHOOSE(CONTROL!$C$9, $D$9, 100%, $F$9) + CHOOSE(CONTROL!$C$27, 0.0021, 0)</f>
        <v>49.822699999999998</v>
      </c>
      <c r="L454" s="10"/>
    </row>
    <row r="455" spans="1:12" ht="15.75" x14ac:dyDescent="0.25">
      <c r="A455" s="14">
        <v>55153</v>
      </c>
      <c r="B455" s="10">
        <f>49.3125 * CHOOSE(CONTROL!$C$9, $D$9, 100%, $F$9) + CHOOSE(CONTROL!$C$27, 0.0021, 0)</f>
        <v>49.314599999999999</v>
      </c>
      <c r="C455" s="10">
        <f>48.8802 * CHOOSE(CONTROL!$C$9, $D$9, 100%, $F$9) + CHOOSE(CONTROL!$C$27, 0.0021, 0)</f>
        <v>48.882300000000001</v>
      </c>
      <c r="D455" s="10">
        <f>48.8802 * CHOOSE(CONTROL!$C$9, $D$9, 100%, $F$9) + CHOOSE(CONTROL!$C$27, 0.0021, 0)</f>
        <v>48.882300000000001</v>
      </c>
      <c r="E455" s="10">
        <f>48.7436 * CHOOSE(CONTROL!$C$9, $D$9, 100%, $F$9) + CHOOSE(CONTROL!$C$27, 0.0021, 0)</f>
        <v>48.745699999999999</v>
      </c>
      <c r="F455" s="10">
        <f>48.7436 * CHOOSE(CONTROL!$C$9, $D$9, 100%, $F$9) + CHOOSE(CONTROL!$C$27, 0.0021, 0)</f>
        <v>48.745699999999999</v>
      </c>
      <c r="G455" s="10">
        <f>49.0149 * CHOOSE(CONTROL!$C$9, $D$9, 100%, $F$9) + CHOOSE(CONTROL!$C$27, 0.0021, 0)</f>
        <v>49.016999999999996</v>
      </c>
      <c r="H455" s="10">
        <f>48.8802 * CHOOSE(CONTROL!$C$9, $D$9, 100%, $F$9) + CHOOSE(CONTROL!$C$27, 0.0021, 0)</f>
        <v>48.882300000000001</v>
      </c>
      <c r="I455" s="10">
        <f>48.8802 * CHOOSE(CONTROL!$C$9, $D$9, 100%, $F$9) + CHOOSE(CONTROL!$C$27, 0.0021, 0)</f>
        <v>48.882300000000001</v>
      </c>
      <c r="J455" s="10">
        <f>48.8802 * CHOOSE(CONTROL!$C$9, $D$9, 100%, $F$9) + CHOOSE(CONTROL!$C$27, 0.0021, 0)</f>
        <v>48.882300000000001</v>
      </c>
      <c r="K455" s="10">
        <f>48.8802 * CHOOSE(CONTROL!$C$9, $D$9, 100%, $F$9) + CHOOSE(CONTROL!$C$27, 0.0021, 0)</f>
        <v>48.882300000000001</v>
      </c>
      <c r="L455" s="10"/>
    </row>
    <row r="456" spans="1:12" ht="15.75" x14ac:dyDescent="0.25">
      <c r="A456" s="14">
        <v>55184</v>
      </c>
      <c r="B456" s="10">
        <f>48.5925 * CHOOSE(CONTROL!$C$9, $D$9, 100%, $F$9) + CHOOSE(CONTROL!$C$27, 0.0021, 0)</f>
        <v>48.5946</v>
      </c>
      <c r="C456" s="10">
        <f>48.1602 * CHOOSE(CONTROL!$C$9, $D$9, 100%, $F$9) + CHOOSE(CONTROL!$C$27, 0.0021, 0)</f>
        <v>48.162300000000002</v>
      </c>
      <c r="D456" s="10">
        <f>48.1602 * CHOOSE(CONTROL!$C$9, $D$9, 100%, $F$9) + CHOOSE(CONTROL!$C$27, 0.0021, 0)</f>
        <v>48.162300000000002</v>
      </c>
      <c r="E456" s="10">
        <f>48.0236 * CHOOSE(CONTROL!$C$9, $D$9, 100%, $F$9) + CHOOSE(CONTROL!$C$27, 0.0021, 0)</f>
        <v>48.025700000000001</v>
      </c>
      <c r="F456" s="10">
        <f>48.0236 * CHOOSE(CONTROL!$C$9, $D$9, 100%, $F$9) + CHOOSE(CONTROL!$C$27, 0.0021, 0)</f>
        <v>48.025700000000001</v>
      </c>
      <c r="G456" s="10">
        <f>48.2949 * CHOOSE(CONTROL!$C$9, $D$9, 100%, $F$9) + CHOOSE(CONTROL!$C$27, 0.0021, 0)</f>
        <v>48.296999999999997</v>
      </c>
      <c r="H456" s="10">
        <f>48.1602 * CHOOSE(CONTROL!$C$9, $D$9, 100%, $F$9) + CHOOSE(CONTROL!$C$27, 0.0021, 0)</f>
        <v>48.162300000000002</v>
      </c>
      <c r="I456" s="10">
        <f>48.1602 * CHOOSE(CONTROL!$C$9, $D$9, 100%, $F$9) + CHOOSE(CONTROL!$C$27, 0.0021, 0)</f>
        <v>48.162300000000002</v>
      </c>
      <c r="J456" s="10">
        <f>48.1602 * CHOOSE(CONTROL!$C$9, $D$9, 100%, $F$9) + CHOOSE(CONTROL!$C$27, 0.0021, 0)</f>
        <v>48.162300000000002</v>
      </c>
      <c r="K456" s="10">
        <f>48.1602 * CHOOSE(CONTROL!$C$9, $D$9, 100%, $F$9) + CHOOSE(CONTROL!$C$27, 0.0021, 0)</f>
        <v>48.162300000000002</v>
      </c>
      <c r="L456" s="10"/>
    </row>
    <row r="457" spans="1:12" ht="15.75" x14ac:dyDescent="0.25">
      <c r="A457" s="14">
        <v>55212</v>
      </c>
      <c r="B457" s="10">
        <f>47.2829 * CHOOSE(CONTROL!$C$9, $D$9, 100%, $F$9) + CHOOSE(CONTROL!$C$27, 0.0021, 0)</f>
        <v>47.284999999999997</v>
      </c>
      <c r="C457" s="10">
        <f>46.8506 * CHOOSE(CONTROL!$C$9, $D$9, 100%, $F$9) + CHOOSE(CONTROL!$C$27, 0.0021, 0)</f>
        <v>46.852699999999999</v>
      </c>
      <c r="D457" s="10">
        <f>46.8506 * CHOOSE(CONTROL!$C$9, $D$9, 100%, $F$9) + CHOOSE(CONTROL!$C$27, 0.0021, 0)</f>
        <v>46.852699999999999</v>
      </c>
      <c r="E457" s="10">
        <f>46.7139 * CHOOSE(CONTROL!$C$9, $D$9, 100%, $F$9) + CHOOSE(CONTROL!$C$27, 0.0021, 0)</f>
        <v>46.716000000000001</v>
      </c>
      <c r="F457" s="10">
        <f>46.7139 * CHOOSE(CONTROL!$C$9, $D$9, 100%, $F$9) + CHOOSE(CONTROL!$C$27, 0.0021, 0)</f>
        <v>46.716000000000001</v>
      </c>
      <c r="G457" s="10">
        <f>46.9853 * CHOOSE(CONTROL!$C$9, $D$9, 100%, $F$9) + CHOOSE(CONTROL!$C$27, 0.0021, 0)</f>
        <v>46.987400000000001</v>
      </c>
      <c r="H457" s="10">
        <f>46.8506 * CHOOSE(CONTROL!$C$9, $D$9, 100%, $F$9) + CHOOSE(CONTROL!$C$27, 0.0021, 0)</f>
        <v>46.852699999999999</v>
      </c>
      <c r="I457" s="10">
        <f>46.8506 * CHOOSE(CONTROL!$C$9, $D$9, 100%, $F$9) + CHOOSE(CONTROL!$C$27, 0.0021, 0)</f>
        <v>46.852699999999999</v>
      </c>
      <c r="J457" s="10">
        <f>46.8506 * CHOOSE(CONTROL!$C$9, $D$9, 100%, $F$9) + CHOOSE(CONTROL!$C$27, 0.0021, 0)</f>
        <v>46.852699999999999</v>
      </c>
      <c r="K457" s="10">
        <f>46.8506 * CHOOSE(CONTROL!$C$9, $D$9, 100%, $F$9) + CHOOSE(CONTROL!$C$27, 0.0021, 0)</f>
        <v>46.852699999999999</v>
      </c>
      <c r="L457" s="10"/>
    </row>
    <row r="458" spans="1:12" ht="15.75" x14ac:dyDescent="0.25">
      <c r="A458" s="14">
        <v>55243</v>
      </c>
      <c r="B458" s="10">
        <f>46.7422 * CHOOSE(CONTROL!$C$9, $D$9, 100%, $F$9) + CHOOSE(CONTROL!$C$27, 0.0021, 0)</f>
        <v>46.744299999999996</v>
      </c>
      <c r="C458" s="10">
        <f>46.31 * CHOOSE(CONTROL!$C$9, $D$9, 100%, $F$9) + CHOOSE(CONTROL!$C$27, 0.0021, 0)</f>
        <v>46.312100000000001</v>
      </c>
      <c r="D458" s="10">
        <f>46.31 * CHOOSE(CONTROL!$C$9, $D$9, 100%, $F$9) + CHOOSE(CONTROL!$C$27, 0.0021, 0)</f>
        <v>46.312100000000001</v>
      </c>
      <c r="E458" s="10">
        <f>46.1733 * CHOOSE(CONTROL!$C$9, $D$9, 100%, $F$9) + CHOOSE(CONTROL!$C$27, 0.0021, 0)</f>
        <v>46.175399999999996</v>
      </c>
      <c r="F458" s="10">
        <f>46.1733 * CHOOSE(CONTROL!$C$9, $D$9, 100%, $F$9) + CHOOSE(CONTROL!$C$27, 0.0021, 0)</f>
        <v>46.175399999999996</v>
      </c>
      <c r="G458" s="10">
        <f>46.4447 * CHOOSE(CONTROL!$C$9, $D$9, 100%, $F$9) + CHOOSE(CONTROL!$C$27, 0.0021, 0)</f>
        <v>46.446799999999996</v>
      </c>
      <c r="H458" s="10">
        <f>46.31 * CHOOSE(CONTROL!$C$9, $D$9, 100%, $F$9) + CHOOSE(CONTROL!$C$27, 0.0021, 0)</f>
        <v>46.312100000000001</v>
      </c>
      <c r="I458" s="10">
        <f>46.31 * CHOOSE(CONTROL!$C$9, $D$9, 100%, $F$9) + CHOOSE(CONTROL!$C$27, 0.0021, 0)</f>
        <v>46.312100000000001</v>
      </c>
      <c r="J458" s="10">
        <f>46.31 * CHOOSE(CONTROL!$C$9, $D$9, 100%, $F$9) + CHOOSE(CONTROL!$C$27, 0.0021, 0)</f>
        <v>46.312100000000001</v>
      </c>
      <c r="K458" s="10">
        <f>46.31 * CHOOSE(CONTROL!$C$9, $D$9, 100%, $F$9) + CHOOSE(CONTROL!$C$27, 0.0021, 0)</f>
        <v>46.312100000000001</v>
      </c>
      <c r="L458" s="10"/>
    </row>
    <row r="459" spans="1:12" ht="15.75" x14ac:dyDescent="0.25">
      <c r="A459" s="14">
        <v>55273</v>
      </c>
      <c r="B459" s="10">
        <f>46.0967 * CHOOSE(CONTROL!$C$9, $D$9, 100%, $F$9) + CHOOSE(CONTROL!$C$27, 0.0021, 0)</f>
        <v>46.098799999999997</v>
      </c>
      <c r="C459" s="10">
        <f>45.6645 * CHOOSE(CONTROL!$C$9, $D$9, 100%, $F$9) + CHOOSE(CONTROL!$C$27, 0.0021, 0)</f>
        <v>45.666599999999995</v>
      </c>
      <c r="D459" s="10">
        <f>45.6645 * CHOOSE(CONTROL!$C$9, $D$9, 100%, $F$9) + CHOOSE(CONTROL!$C$27, 0.0021, 0)</f>
        <v>45.666599999999995</v>
      </c>
      <c r="E459" s="10">
        <f>45.5278 * CHOOSE(CONTROL!$C$9, $D$9, 100%, $F$9) + CHOOSE(CONTROL!$C$27, 0.0021, 0)</f>
        <v>45.529899999999998</v>
      </c>
      <c r="F459" s="10">
        <f>45.5278 * CHOOSE(CONTROL!$C$9, $D$9, 100%, $F$9) + CHOOSE(CONTROL!$C$27, 0.0021, 0)</f>
        <v>45.529899999999998</v>
      </c>
      <c r="G459" s="10">
        <f>45.7992 * CHOOSE(CONTROL!$C$9, $D$9, 100%, $F$9) + CHOOSE(CONTROL!$C$27, 0.0021, 0)</f>
        <v>45.801299999999998</v>
      </c>
      <c r="H459" s="10">
        <f>45.6645 * CHOOSE(CONTROL!$C$9, $D$9, 100%, $F$9) + CHOOSE(CONTROL!$C$27, 0.0021, 0)</f>
        <v>45.666599999999995</v>
      </c>
      <c r="I459" s="10">
        <f>45.6645 * CHOOSE(CONTROL!$C$9, $D$9, 100%, $F$9) + CHOOSE(CONTROL!$C$27, 0.0021, 0)</f>
        <v>45.666599999999995</v>
      </c>
      <c r="J459" s="10">
        <f>45.6645 * CHOOSE(CONTROL!$C$9, $D$9, 100%, $F$9) + CHOOSE(CONTROL!$C$27, 0.0021, 0)</f>
        <v>45.666599999999995</v>
      </c>
      <c r="K459" s="10">
        <f>45.6645 * CHOOSE(CONTROL!$C$9, $D$9, 100%, $F$9) + CHOOSE(CONTROL!$C$27, 0.0021, 0)</f>
        <v>45.666599999999995</v>
      </c>
      <c r="L459" s="10"/>
    </row>
    <row r="460" spans="1:12" ht="15.75" x14ac:dyDescent="0.25">
      <c r="A460" s="14">
        <v>55304</v>
      </c>
      <c r="B460" s="10">
        <f>47.0167 * CHOOSE(CONTROL!$C$9, $D$9, 100%, $F$9) + CHOOSE(CONTROL!$C$27, 0.0021, 0)</f>
        <v>47.018799999999999</v>
      </c>
      <c r="C460" s="10">
        <f>46.5844 * CHOOSE(CONTROL!$C$9, $D$9, 100%, $F$9) + CHOOSE(CONTROL!$C$27, 0.0021, 0)</f>
        <v>46.586500000000001</v>
      </c>
      <c r="D460" s="10">
        <f>46.5844 * CHOOSE(CONTROL!$C$9, $D$9, 100%, $F$9) + CHOOSE(CONTROL!$C$27, 0.0021, 0)</f>
        <v>46.586500000000001</v>
      </c>
      <c r="E460" s="10">
        <f>46.4478 * CHOOSE(CONTROL!$C$9, $D$9, 100%, $F$9) + CHOOSE(CONTROL!$C$27, 0.0021, 0)</f>
        <v>46.4499</v>
      </c>
      <c r="F460" s="10">
        <f>46.4478 * CHOOSE(CONTROL!$C$9, $D$9, 100%, $F$9) + CHOOSE(CONTROL!$C$27, 0.0021, 0)</f>
        <v>46.4499</v>
      </c>
      <c r="G460" s="10">
        <f>46.7191 * CHOOSE(CONTROL!$C$9, $D$9, 100%, $F$9) + CHOOSE(CONTROL!$C$27, 0.0021, 0)</f>
        <v>46.721199999999996</v>
      </c>
      <c r="H460" s="10">
        <f>46.5844 * CHOOSE(CONTROL!$C$9, $D$9, 100%, $F$9) + CHOOSE(CONTROL!$C$27, 0.0021, 0)</f>
        <v>46.586500000000001</v>
      </c>
      <c r="I460" s="10">
        <f>46.5844 * CHOOSE(CONTROL!$C$9, $D$9, 100%, $F$9) + CHOOSE(CONTROL!$C$27, 0.0021, 0)</f>
        <v>46.586500000000001</v>
      </c>
      <c r="J460" s="10">
        <f>46.5844 * CHOOSE(CONTROL!$C$9, $D$9, 100%, $F$9) + CHOOSE(CONTROL!$C$27, 0.0021, 0)</f>
        <v>46.586500000000001</v>
      </c>
      <c r="K460" s="10">
        <f>46.5844 * CHOOSE(CONTROL!$C$9, $D$9, 100%, $F$9) + CHOOSE(CONTROL!$C$27, 0.0021, 0)</f>
        <v>46.586500000000001</v>
      </c>
      <c r="L460" s="10"/>
    </row>
    <row r="461" spans="1:12" ht="15.75" x14ac:dyDescent="0.25">
      <c r="A461" s="14">
        <v>55334</v>
      </c>
      <c r="B461" s="10">
        <f>47.5677 * CHOOSE(CONTROL!$C$9, $D$9, 100%, $F$9) + CHOOSE(CONTROL!$C$27, 0.0021, 0)</f>
        <v>47.569800000000001</v>
      </c>
      <c r="C461" s="10">
        <f>47.1354 * CHOOSE(CONTROL!$C$9, $D$9, 100%, $F$9) + CHOOSE(CONTROL!$C$27, 0.0021, 0)</f>
        <v>47.137499999999996</v>
      </c>
      <c r="D461" s="10">
        <f>47.1354 * CHOOSE(CONTROL!$C$9, $D$9, 100%, $F$9) + CHOOSE(CONTROL!$C$27, 0.0021, 0)</f>
        <v>47.137499999999996</v>
      </c>
      <c r="E461" s="10">
        <f>46.9987 * CHOOSE(CONTROL!$C$9, $D$9, 100%, $F$9) + CHOOSE(CONTROL!$C$27, 0.0021, 0)</f>
        <v>47.000799999999998</v>
      </c>
      <c r="F461" s="10">
        <f>46.9987 * CHOOSE(CONTROL!$C$9, $D$9, 100%, $F$9) + CHOOSE(CONTROL!$C$27, 0.0021, 0)</f>
        <v>47.000799999999998</v>
      </c>
      <c r="G461" s="10">
        <f>47.2701 * CHOOSE(CONTROL!$C$9, $D$9, 100%, $F$9) + CHOOSE(CONTROL!$C$27, 0.0021, 0)</f>
        <v>47.272199999999998</v>
      </c>
      <c r="H461" s="10">
        <f>47.1354 * CHOOSE(CONTROL!$C$9, $D$9, 100%, $F$9) + CHOOSE(CONTROL!$C$27, 0.0021, 0)</f>
        <v>47.137499999999996</v>
      </c>
      <c r="I461" s="10">
        <f>47.1354 * CHOOSE(CONTROL!$C$9, $D$9, 100%, $F$9) + CHOOSE(CONTROL!$C$27, 0.0021, 0)</f>
        <v>47.137499999999996</v>
      </c>
      <c r="J461" s="10">
        <f>47.1354 * CHOOSE(CONTROL!$C$9, $D$9, 100%, $F$9) + CHOOSE(CONTROL!$C$27, 0.0021, 0)</f>
        <v>47.137499999999996</v>
      </c>
      <c r="K461" s="10">
        <f>47.1354 * CHOOSE(CONTROL!$C$9, $D$9, 100%, $F$9) + CHOOSE(CONTROL!$C$27, 0.0021, 0)</f>
        <v>47.137499999999996</v>
      </c>
      <c r="L461" s="10"/>
    </row>
    <row r="462" spans="1:12" ht="15.75" x14ac:dyDescent="0.25">
      <c r="A462" s="14">
        <v>55365</v>
      </c>
      <c r="B462" s="10">
        <f>48.4766 * CHOOSE(CONTROL!$C$9, $D$9, 100%, $F$9) + CHOOSE(CONTROL!$C$27, 0.0021, 0)</f>
        <v>48.478699999999996</v>
      </c>
      <c r="C462" s="10">
        <f>48.0443 * CHOOSE(CONTROL!$C$9, $D$9, 100%, $F$9) + CHOOSE(CONTROL!$C$27, 0.0021, 0)</f>
        <v>48.046399999999998</v>
      </c>
      <c r="D462" s="10">
        <f>48.0443 * CHOOSE(CONTROL!$C$9, $D$9, 100%, $F$9) + CHOOSE(CONTROL!$C$27, 0.0021, 0)</f>
        <v>48.046399999999998</v>
      </c>
      <c r="E462" s="10">
        <f>47.9077 * CHOOSE(CONTROL!$C$9, $D$9, 100%, $F$9) + CHOOSE(CONTROL!$C$27, 0.0021, 0)</f>
        <v>47.909799999999997</v>
      </c>
      <c r="F462" s="10">
        <f>47.9077 * CHOOSE(CONTROL!$C$9, $D$9, 100%, $F$9) + CHOOSE(CONTROL!$C$27, 0.0021, 0)</f>
        <v>47.909799999999997</v>
      </c>
      <c r="G462" s="10">
        <f>48.1791 * CHOOSE(CONTROL!$C$9, $D$9, 100%, $F$9) + CHOOSE(CONTROL!$C$27, 0.0021, 0)</f>
        <v>48.181199999999997</v>
      </c>
      <c r="H462" s="10">
        <f>48.0443 * CHOOSE(CONTROL!$C$9, $D$9, 100%, $F$9) + CHOOSE(CONTROL!$C$27, 0.0021, 0)</f>
        <v>48.046399999999998</v>
      </c>
      <c r="I462" s="10">
        <f>48.0443 * CHOOSE(CONTROL!$C$9, $D$9, 100%, $F$9) + CHOOSE(CONTROL!$C$27, 0.0021, 0)</f>
        <v>48.046399999999998</v>
      </c>
      <c r="J462" s="10">
        <f>48.0443 * CHOOSE(CONTROL!$C$9, $D$9, 100%, $F$9) + CHOOSE(CONTROL!$C$27, 0.0021, 0)</f>
        <v>48.046399999999998</v>
      </c>
      <c r="K462" s="10">
        <f>48.0443 * CHOOSE(CONTROL!$C$9, $D$9, 100%, $F$9) + CHOOSE(CONTROL!$C$27, 0.0021, 0)</f>
        <v>48.046399999999998</v>
      </c>
      <c r="L462" s="10"/>
    </row>
    <row r="463" spans="1:12" ht="15.75" x14ac:dyDescent="0.25">
      <c r="A463" s="14">
        <v>55396</v>
      </c>
      <c r="B463" s="10">
        <f>48.754 * CHOOSE(CONTROL!$C$9, $D$9, 100%, $F$9) + CHOOSE(CONTROL!$C$27, 0.0021, 0)</f>
        <v>48.756099999999996</v>
      </c>
      <c r="C463" s="10">
        <f>48.3218 * CHOOSE(CONTROL!$C$9, $D$9, 100%, $F$9) + CHOOSE(CONTROL!$C$27, 0.0021, 0)</f>
        <v>48.323900000000002</v>
      </c>
      <c r="D463" s="10">
        <f>48.3218 * CHOOSE(CONTROL!$C$9, $D$9, 100%, $F$9) + CHOOSE(CONTROL!$C$27, 0.0021, 0)</f>
        <v>48.323900000000002</v>
      </c>
      <c r="E463" s="10">
        <f>48.1851 * CHOOSE(CONTROL!$C$9, $D$9, 100%, $F$9) + CHOOSE(CONTROL!$C$27, 0.0021, 0)</f>
        <v>48.187199999999997</v>
      </c>
      <c r="F463" s="10">
        <f>48.1851 * CHOOSE(CONTROL!$C$9, $D$9, 100%, $F$9) + CHOOSE(CONTROL!$C$27, 0.0021, 0)</f>
        <v>48.187199999999997</v>
      </c>
      <c r="G463" s="10">
        <f>48.4565 * CHOOSE(CONTROL!$C$9, $D$9, 100%, $F$9) + CHOOSE(CONTROL!$C$27, 0.0021, 0)</f>
        <v>48.458599999999997</v>
      </c>
      <c r="H463" s="10">
        <f>48.3218 * CHOOSE(CONTROL!$C$9, $D$9, 100%, $F$9) + CHOOSE(CONTROL!$C$27, 0.0021, 0)</f>
        <v>48.323900000000002</v>
      </c>
      <c r="I463" s="10">
        <f>48.3218 * CHOOSE(CONTROL!$C$9, $D$9, 100%, $F$9) + CHOOSE(CONTROL!$C$27, 0.0021, 0)</f>
        <v>48.323900000000002</v>
      </c>
      <c r="J463" s="10">
        <f>48.3218 * CHOOSE(CONTROL!$C$9, $D$9, 100%, $F$9) + CHOOSE(CONTROL!$C$27, 0.0021, 0)</f>
        <v>48.323900000000002</v>
      </c>
      <c r="K463" s="10">
        <f>48.3218 * CHOOSE(CONTROL!$C$9, $D$9, 100%, $F$9) + CHOOSE(CONTROL!$C$27, 0.0021, 0)</f>
        <v>48.323900000000002</v>
      </c>
      <c r="L463" s="10"/>
    </row>
    <row r="464" spans="1:12" ht="15.75" x14ac:dyDescent="0.25">
      <c r="A464" s="14">
        <v>55426</v>
      </c>
      <c r="B464" s="10">
        <f>49.6988 * CHOOSE(CONTROL!$C$9, $D$9, 100%, $F$9) + CHOOSE(CONTROL!$C$27, 0.0021, 0)</f>
        <v>49.700899999999997</v>
      </c>
      <c r="C464" s="10">
        <f>49.2666 * CHOOSE(CONTROL!$C$9, $D$9, 100%, $F$9) + CHOOSE(CONTROL!$C$27, 0.0021, 0)</f>
        <v>49.268699999999995</v>
      </c>
      <c r="D464" s="10">
        <f>49.2666 * CHOOSE(CONTROL!$C$9, $D$9, 100%, $F$9) + CHOOSE(CONTROL!$C$27, 0.0021, 0)</f>
        <v>49.268699999999995</v>
      </c>
      <c r="E464" s="10">
        <f>49.1299 * CHOOSE(CONTROL!$C$9, $D$9, 100%, $F$9) + CHOOSE(CONTROL!$C$27, 0.0021, 0)</f>
        <v>49.131999999999998</v>
      </c>
      <c r="F464" s="10">
        <f>49.1299 * CHOOSE(CONTROL!$C$9, $D$9, 100%, $F$9) + CHOOSE(CONTROL!$C$27, 0.0021, 0)</f>
        <v>49.131999999999998</v>
      </c>
      <c r="G464" s="10">
        <f>49.4013 * CHOOSE(CONTROL!$C$9, $D$9, 100%, $F$9) + CHOOSE(CONTROL!$C$27, 0.0021, 0)</f>
        <v>49.403399999999998</v>
      </c>
      <c r="H464" s="10">
        <f>49.2666 * CHOOSE(CONTROL!$C$9, $D$9, 100%, $F$9) + CHOOSE(CONTROL!$C$27, 0.0021, 0)</f>
        <v>49.268699999999995</v>
      </c>
      <c r="I464" s="10">
        <f>49.2666 * CHOOSE(CONTROL!$C$9, $D$9, 100%, $F$9) + CHOOSE(CONTROL!$C$27, 0.0021, 0)</f>
        <v>49.268699999999995</v>
      </c>
      <c r="J464" s="10">
        <f>49.2666 * CHOOSE(CONTROL!$C$9, $D$9, 100%, $F$9) + CHOOSE(CONTROL!$C$27, 0.0021, 0)</f>
        <v>49.268699999999995</v>
      </c>
      <c r="K464" s="10">
        <f>49.2666 * CHOOSE(CONTROL!$C$9, $D$9, 100%, $F$9) + CHOOSE(CONTROL!$C$27, 0.0021, 0)</f>
        <v>49.268699999999995</v>
      </c>
      <c r="L464" s="10"/>
    </row>
    <row r="465" spans="1:12" ht="15.75" x14ac:dyDescent="0.25">
      <c r="A465" s="14">
        <v>55457</v>
      </c>
      <c r="B465" s="10">
        <f>50.8948 * CHOOSE(CONTROL!$C$9, $D$9, 100%, $F$9) + CHOOSE(CONTROL!$C$27, 0.0021, 0)</f>
        <v>50.896899999999995</v>
      </c>
      <c r="C465" s="10">
        <f>50.4625 * CHOOSE(CONTROL!$C$9, $D$9, 100%, $F$9) + CHOOSE(CONTROL!$C$27, 0.0021, 0)</f>
        <v>50.464599999999997</v>
      </c>
      <c r="D465" s="10">
        <f>50.4625 * CHOOSE(CONTROL!$C$9, $D$9, 100%, $F$9) + CHOOSE(CONTROL!$C$27, 0.0021, 0)</f>
        <v>50.464599999999997</v>
      </c>
      <c r="E465" s="10">
        <f>50.3259 * CHOOSE(CONTROL!$C$9, $D$9, 100%, $F$9) + CHOOSE(CONTROL!$C$27, 0.0021, 0)</f>
        <v>50.327999999999996</v>
      </c>
      <c r="F465" s="10">
        <f>50.3259 * CHOOSE(CONTROL!$C$9, $D$9, 100%, $F$9) + CHOOSE(CONTROL!$C$27, 0.0021, 0)</f>
        <v>50.327999999999996</v>
      </c>
      <c r="G465" s="10">
        <f>50.5972 * CHOOSE(CONTROL!$C$9, $D$9, 100%, $F$9) + CHOOSE(CONTROL!$C$27, 0.0021, 0)</f>
        <v>50.599299999999999</v>
      </c>
      <c r="H465" s="10">
        <f>50.4625 * CHOOSE(CONTROL!$C$9, $D$9, 100%, $F$9) + CHOOSE(CONTROL!$C$27, 0.0021, 0)</f>
        <v>50.464599999999997</v>
      </c>
      <c r="I465" s="10">
        <f>50.4625 * CHOOSE(CONTROL!$C$9, $D$9, 100%, $F$9) + CHOOSE(CONTROL!$C$27, 0.0021, 0)</f>
        <v>50.464599999999997</v>
      </c>
      <c r="J465" s="10">
        <f>50.4625 * CHOOSE(CONTROL!$C$9, $D$9, 100%, $F$9) + CHOOSE(CONTROL!$C$27, 0.0021, 0)</f>
        <v>50.464599999999997</v>
      </c>
      <c r="K465" s="10">
        <f>50.4625 * CHOOSE(CONTROL!$C$9, $D$9, 100%, $F$9) + CHOOSE(CONTROL!$C$27, 0.0021, 0)</f>
        <v>50.464599999999997</v>
      </c>
      <c r="L465" s="10"/>
    </row>
    <row r="466" spans="1:12" ht="15.75" x14ac:dyDescent="0.25">
      <c r="A466" s="14">
        <v>55487</v>
      </c>
      <c r="B466" s="10">
        <f>51.007 * CHOOSE(CONTROL!$C$9, $D$9, 100%, $F$9) + CHOOSE(CONTROL!$C$27, 0.0021, 0)</f>
        <v>51.009099999999997</v>
      </c>
      <c r="C466" s="10">
        <f>50.5748 * CHOOSE(CONTROL!$C$9, $D$9, 100%, $F$9) + CHOOSE(CONTROL!$C$27, 0.0021, 0)</f>
        <v>50.576900000000002</v>
      </c>
      <c r="D466" s="10">
        <f>50.5748 * CHOOSE(CONTROL!$C$9, $D$9, 100%, $F$9) + CHOOSE(CONTROL!$C$27, 0.0021, 0)</f>
        <v>50.576900000000002</v>
      </c>
      <c r="E466" s="10">
        <f>50.4381 * CHOOSE(CONTROL!$C$9, $D$9, 100%, $F$9) + CHOOSE(CONTROL!$C$27, 0.0021, 0)</f>
        <v>50.440199999999997</v>
      </c>
      <c r="F466" s="10">
        <f>50.4381 * CHOOSE(CONTROL!$C$9, $D$9, 100%, $F$9) + CHOOSE(CONTROL!$C$27, 0.0021, 0)</f>
        <v>50.440199999999997</v>
      </c>
      <c r="G466" s="10">
        <f>50.7095 * CHOOSE(CONTROL!$C$9, $D$9, 100%, $F$9) + CHOOSE(CONTROL!$C$27, 0.0021, 0)</f>
        <v>50.711599999999997</v>
      </c>
      <c r="H466" s="10">
        <f>50.5748 * CHOOSE(CONTROL!$C$9, $D$9, 100%, $F$9) + CHOOSE(CONTROL!$C$27, 0.0021, 0)</f>
        <v>50.576900000000002</v>
      </c>
      <c r="I466" s="10">
        <f>50.5748 * CHOOSE(CONTROL!$C$9, $D$9, 100%, $F$9) + CHOOSE(CONTROL!$C$27, 0.0021, 0)</f>
        <v>50.576900000000002</v>
      </c>
      <c r="J466" s="10">
        <f>50.5748 * CHOOSE(CONTROL!$C$9, $D$9, 100%, $F$9) + CHOOSE(CONTROL!$C$27, 0.0021, 0)</f>
        <v>50.576900000000002</v>
      </c>
      <c r="K466" s="10">
        <f>50.5748 * CHOOSE(CONTROL!$C$9, $D$9, 100%, $F$9) + CHOOSE(CONTROL!$C$27, 0.0021, 0)</f>
        <v>50.576900000000002</v>
      </c>
      <c r="L466" s="10"/>
    </row>
    <row r="467" spans="1:12" ht="15.75" x14ac:dyDescent="0.25">
      <c r="A467" s="14">
        <v>55518</v>
      </c>
      <c r="B467" s="10">
        <f>50.0519 * CHOOSE(CONTROL!$C$9, $D$9, 100%, $F$9) + CHOOSE(CONTROL!$C$27, 0.0021, 0)</f>
        <v>50.054000000000002</v>
      </c>
      <c r="C467" s="10">
        <f>49.6196 * CHOOSE(CONTROL!$C$9, $D$9, 100%, $F$9) + CHOOSE(CONTROL!$C$27, 0.0021, 0)</f>
        <v>49.621699999999997</v>
      </c>
      <c r="D467" s="10">
        <f>49.6196 * CHOOSE(CONTROL!$C$9, $D$9, 100%, $F$9) + CHOOSE(CONTROL!$C$27, 0.0021, 0)</f>
        <v>49.621699999999997</v>
      </c>
      <c r="E467" s="10">
        <f>49.4829 * CHOOSE(CONTROL!$C$9, $D$9, 100%, $F$9) + CHOOSE(CONTROL!$C$27, 0.0021, 0)</f>
        <v>49.484999999999999</v>
      </c>
      <c r="F467" s="10">
        <f>49.4829 * CHOOSE(CONTROL!$C$9, $D$9, 100%, $F$9) + CHOOSE(CONTROL!$C$27, 0.0021, 0)</f>
        <v>49.484999999999999</v>
      </c>
      <c r="G467" s="10">
        <f>49.7543 * CHOOSE(CONTROL!$C$9, $D$9, 100%, $F$9) + CHOOSE(CONTROL!$C$27, 0.0021, 0)</f>
        <v>49.756399999999999</v>
      </c>
      <c r="H467" s="10">
        <f>49.6196 * CHOOSE(CONTROL!$C$9, $D$9, 100%, $F$9) + CHOOSE(CONTROL!$C$27, 0.0021, 0)</f>
        <v>49.621699999999997</v>
      </c>
      <c r="I467" s="10">
        <f>49.6196 * CHOOSE(CONTROL!$C$9, $D$9, 100%, $F$9) + CHOOSE(CONTROL!$C$27, 0.0021, 0)</f>
        <v>49.621699999999997</v>
      </c>
      <c r="J467" s="10">
        <f>49.6196 * CHOOSE(CONTROL!$C$9, $D$9, 100%, $F$9) + CHOOSE(CONTROL!$C$27, 0.0021, 0)</f>
        <v>49.621699999999997</v>
      </c>
      <c r="K467" s="10">
        <f>49.6196 * CHOOSE(CONTROL!$C$9, $D$9, 100%, $F$9) + CHOOSE(CONTROL!$C$27, 0.0021, 0)</f>
        <v>49.621699999999997</v>
      </c>
      <c r="L467" s="10"/>
    </row>
    <row r="468" spans="1:12" ht="15.75" x14ac:dyDescent="0.25">
      <c r="A468" s="14">
        <v>55549</v>
      </c>
      <c r="B468" s="10">
        <f>49.3205 * CHOOSE(CONTROL!$C$9, $D$9, 100%, $F$9) + CHOOSE(CONTROL!$C$27, 0.0021, 0)</f>
        <v>49.322600000000001</v>
      </c>
      <c r="C468" s="10">
        <f>48.8883 * CHOOSE(CONTROL!$C$9, $D$9, 100%, $F$9) + CHOOSE(CONTROL!$C$27, 0.0021, 0)</f>
        <v>48.8904</v>
      </c>
      <c r="D468" s="10">
        <f>48.8883 * CHOOSE(CONTROL!$C$9, $D$9, 100%, $F$9) + CHOOSE(CONTROL!$C$27, 0.0021, 0)</f>
        <v>48.8904</v>
      </c>
      <c r="E468" s="10">
        <f>48.7516 * CHOOSE(CONTROL!$C$9, $D$9, 100%, $F$9) + CHOOSE(CONTROL!$C$27, 0.0021, 0)</f>
        <v>48.753700000000002</v>
      </c>
      <c r="F468" s="10">
        <f>48.7516 * CHOOSE(CONTROL!$C$9, $D$9, 100%, $F$9) + CHOOSE(CONTROL!$C$27, 0.0021, 0)</f>
        <v>48.753700000000002</v>
      </c>
      <c r="G468" s="10">
        <f>49.023 * CHOOSE(CONTROL!$C$9, $D$9, 100%, $F$9) + CHOOSE(CONTROL!$C$27, 0.0021, 0)</f>
        <v>49.025100000000002</v>
      </c>
      <c r="H468" s="10">
        <f>48.8883 * CHOOSE(CONTROL!$C$9, $D$9, 100%, $F$9) + CHOOSE(CONTROL!$C$27, 0.0021, 0)</f>
        <v>48.8904</v>
      </c>
      <c r="I468" s="10">
        <f>48.8883 * CHOOSE(CONTROL!$C$9, $D$9, 100%, $F$9) + CHOOSE(CONTROL!$C$27, 0.0021, 0)</f>
        <v>48.8904</v>
      </c>
      <c r="J468" s="10">
        <f>48.8883 * CHOOSE(CONTROL!$C$9, $D$9, 100%, $F$9) + CHOOSE(CONTROL!$C$27, 0.0021, 0)</f>
        <v>48.8904</v>
      </c>
      <c r="K468" s="10">
        <f>48.8883 * CHOOSE(CONTROL!$C$9, $D$9, 100%, $F$9) + CHOOSE(CONTROL!$C$27, 0.0021, 0)</f>
        <v>48.8904</v>
      </c>
      <c r="L468" s="10"/>
    </row>
    <row r="469" spans="1:12" ht="15.75" x14ac:dyDescent="0.25">
      <c r="A469" s="14">
        <v>55577</v>
      </c>
      <c r="B469" s="10">
        <f>47.9903 * CHOOSE(CONTROL!$C$9, $D$9, 100%, $F$9) + CHOOSE(CONTROL!$C$27, 0.0021, 0)</f>
        <v>47.992399999999996</v>
      </c>
      <c r="C469" s="10">
        <f>47.5581 * CHOOSE(CONTROL!$C$9, $D$9, 100%, $F$9) + CHOOSE(CONTROL!$C$27, 0.0021, 0)</f>
        <v>47.560200000000002</v>
      </c>
      <c r="D469" s="10">
        <f>47.5581 * CHOOSE(CONTROL!$C$9, $D$9, 100%, $F$9) + CHOOSE(CONTROL!$C$27, 0.0021, 0)</f>
        <v>47.560200000000002</v>
      </c>
      <c r="E469" s="10">
        <f>47.4214 * CHOOSE(CONTROL!$C$9, $D$9, 100%, $F$9) + CHOOSE(CONTROL!$C$27, 0.0021, 0)</f>
        <v>47.423499999999997</v>
      </c>
      <c r="F469" s="10">
        <f>47.4214 * CHOOSE(CONTROL!$C$9, $D$9, 100%, $F$9) + CHOOSE(CONTROL!$C$27, 0.0021, 0)</f>
        <v>47.423499999999997</v>
      </c>
      <c r="G469" s="10">
        <f>47.6928 * CHOOSE(CONTROL!$C$9, $D$9, 100%, $F$9) + CHOOSE(CONTROL!$C$27, 0.0021, 0)</f>
        <v>47.694899999999997</v>
      </c>
      <c r="H469" s="10">
        <f>47.5581 * CHOOSE(CONTROL!$C$9, $D$9, 100%, $F$9) + CHOOSE(CONTROL!$C$27, 0.0021, 0)</f>
        <v>47.560200000000002</v>
      </c>
      <c r="I469" s="10">
        <f>47.5581 * CHOOSE(CONTROL!$C$9, $D$9, 100%, $F$9) + CHOOSE(CONTROL!$C$27, 0.0021, 0)</f>
        <v>47.560200000000002</v>
      </c>
      <c r="J469" s="10">
        <f>47.5581 * CHOOSE(CONTROL!$C$9, $D$9, 100%, $F$9) + CHOOSE(CONTROL!$C$27, 0.0021, 0)</f>
        <v>47.560200000000002</v>
      </c>
      <c r="K469" s="10">
        <f>47.5581 * CHOOSE(CONTROL!$C$9, $D$9, 100%, $F$9) + CHOOSE(CONTROL!$C$27, 0.0021, 0)</f>
        <v>47.560200000000002</v>
      </c>
      <c r="L469" s="10"/>
    </row>
    <row r="470" spans="1:12" ht="15.75" x14ac:dyDescent="0.25">
      <c r="A470" s="14">
        <v>55609</v>
      </c>
      <c r="B470" s="10">
        <f>47.4412 * CHOOSE(CONTROL!$C$9, $D$9, 100%, $F$9) + CHOOSE(CONTROL!$C$27, 0.0021, 0)</f>
        <v>47.443300000000001</v>
      </c>
      <c r="C470" s="10">
        <f>47.009 * CHOOSE(CONTROL!$C$9, $D$9, 100%, $F$9) + CHOOSE(CONTROL!$C$27, 0.0021, 0)</f>
        <v>47.011099999999999</v>
      </c>
      <c r="D470" s="10">
        <f>47.009 * CHOOSE(CONTROL!$C$9, $D$9, 100%, $F$9) + CHOOSE(CONTROL!$C$27, 0.0021, 0)</f>
        <v>47.011099999999999</v>
      </c>
      <c r="E470" s="10">
        <f>46.8723 * CHOOSE(CONTROL!$C$9, $D$9, 100%, $F$9) + CHOOSE(CONTROL!$C$27, 0.0021, 0)</f>
        <v>46.874400000000001</v>
      </c>
      <c r="F470" s="10">
        <f>46.8723 * CHOOSE(CONTROL!$C$9, $D$9, 100%, $F$9) + CHOOSE(CONTROL!$C$27, 0.0021, 0)</f>
        <v>46.874400000000001</v>
      </c>
      <c r="G470" s="10">
        <f>47.1437 * CHOOSE(CONTROL!$C$9, $D$9, 100%, $F$9) + CHOOSE(CONTROL!$C$27, 0.0021, 0)</f>
        <v>47.145800000000001</v>
      </c>
      <c r="H470" s="10">
        <f>47.009 * CHOOSE(CONTROL!$C$9, $D$9, 100%, $F$9) + CHOOSE(CONTROL!$C$27, 0.0021, 0)</f>
        <v>47.011099999999999</v>
      </c>
      <c r="I470" s="10">
        <f>47.009 * CHOOSE(CONTROL!$C$9, $D$9, 100%, $F$9) + CHOOSE(CONTROL!$C$27, 0.0021, 0)</f>
        <v>47.011099999999999</v>
      </c>
      <c r="J470" s="10">
        <f>47.009 * CHOOSE(CONTROL!$C$9, $D$9, 100%, $F$9) + CHOOSE(CONTROL!$C$27, 0.0021, 0)</f>
        <v>47.011099999999999</v>
      </c>
      <c r="K470" s="10">
        <f>47.009 * CHOOSE(CONTROL!$C$9, $D$9, 100%, $F$9) + CHOOSE(CONTROL!$C$27, 0.0021, 0)</f>
        <v>47.011099999999999</v>
      </c>
      <c r="L470" s="10"/>
    </row>
    <row r="471" spans="1:12" ht="15.75" x14ac:dyDescent="0.25">
      <c r="A471" s="14">
        <v>55639</v>
      </c>
      <c r="B471" s="10">
        <f>46.7856 * CHOOSE(CONTROL!$C$9, $D$9, 100%, $F$9) + CHOOSE(CONTROL!$C$27, 0.0021, 0)</f>
        <v>46.787700000000001</v>
      </c>
      <c r="C471" s="10">
        <f>46.3533 * CHOOSE(CONTROL!$C$9, $D$9, 100%, $F$9) + CHOOSE(CONTROL!$C$27, 0.0021, 0)</f>
        <v>46.355399999999996</v>
      </c>
      <c r="D471" s="10">
        <f>46.3533 * CHOOSE(CONTROL!$C$9, $D$9, 100%, $F$9) + CHOOSE(CONTROL!$C$27, 0.0021, 0)</f>
        <v>46.355399999999996</v>
      </c>
      <c r="E471" s="10">
        <f>46.2167 * CHOOSE(CONTROL!$C$9, $D$9, 100%, $F$9) + CHOOSE(CONTROL!$C$27, 0.0021, 0)</f>
        <v>46.218800000000002</v>
      </c>
      <c r="F471" s="10">
        <f>46.2167 * CHOOSE(CONTROL!$C$9, $D$9, 100%, $F$9) + CHOOSE(CONTROL!$C$27, 0.0021, 0)</f>
        <v>46.218800000000002</v>
      </c>
      <c r="G471" s="10">
        <f>46.488 * CHOOSE(CONTROL!$C$9, $D$9, 100%, $F$9) + CHOOSE(CONTROL!$C$27, 0.0021, 0)</f>
        <v>46.490099999999998</v>
      </c>
      <c r="H471" s="10">
        <f>46.3533 * CHOOSE(CONTROL!$C$9, $D$9, 100%, $F$9) + CHOOSE(CONTROL!$C$27, 0.0021, 0)</f>
        <v>46.355399999999996</v>
      </c>
      <c r="I471" s="10">
        <f>46.3533 * CHOOSE(CONTROL!$C$9, $D$9, 100%, $F$9) + CHOOSE(CONTROL!$C$27, 0.0021, 0)</f>
        <v>46.355399999999996</v>
      </c>
      <c r="J471" s="10">
        <f>46.3533 * CHOOSE(CONTROL!$C$9, $D$9, 100%, $F$9) + CHOOSE(CONTROL!$C$27, 0.0021, 0)</f>
        <v>46.355399999999996</v>
      </c>
      <c r="K471" s="10">
        <f>46.3533 * CHOOSE(CONTROL!$C$9, $D$9, 100%, $F$9) + CHOOSE(CONTROL!$C$27, 0.0021, 0)</f>
        <v>46.355399999999996</v>
      </c>
      <c r="L471" s="10"/>
    </row>
    <row r="472" spans="1:12" ht="15.75" x14ac:dyDescent="0.25">
      <c r="A472" s="14">
        <v>55670</v>
      </c>
      <c r="B472" s="10">
        <f>47.7199 * CHOOSE(CONTROL!$C$9, $D$9, 100%, $F$9) + CHOOSE(CONTROL!$C$27, 0.0021, 0)</f>
        <v>47.722000000000001</v>
      </c>
      <c r="C472" s="10">
        <f>47.2877 * CHOOSE(CONTROL!$C$9, $D$9, 100%, $F$9) + CHOOSE(CONTROL!$C$27, 0.0021, 0)</f>
        <v>47.2898</v>
      </c>
      <c r="D472" s="10">
        <f>47.2877 * CHOOSE(CONTROL!$C$9, $D$9, 100%, $F$9) + CHOOSE(CONTROL!$C$27, 0.0021, 0)</f>
        <v>47.2898</v>
      </c>
      <c r="E472" s="10">
        <f>47.151 * CHOOSE(CONTROL!$C$9, $D$9, 100%, $F$9) + CHOOSE(CONTROL!$C$27, 0.0021, 0)</f>
        <v>47.153100000000002</v>
      </c>
      <c r="F472" s="10">
        <f>47.151 * CHOOSE(CONTROL!$C$9, $D$9, 100%, $F$9) + CHOOSE(CONTROL!$C$27, 0.0021, 0)</f>
        <v>47.153100000000002</v>
      </c>
      <c r="G472" s="10">
        <f>47.4224 * CHOOSE(CONTROL!$C$9, $D$9, 100%, $F$9) + CHOOSE(CONTROL!$C$27, 0.0021, 0)</f>
        <v>47.424500000000002</v>
      </c>
      <c r="H472" s="10">
        <f>47.2877 * CHOOSE(CONTROL!$C$9, $D$9, 100%, $F$9) + CHOOSE(CONTROL!$C$27, 0.0021, 0)</f>
        <v>47.2898</v>
      </c>
      <c r="I472" s="10">
        <f>47.2877 * CHOOSE(CONTROL!$C$9, $D$9, 100%, $F$9) + CHOOSE(CONTROL!$C$27, 0.0021, 0)</f>
        <v>47.2898</v>
      </c>
      <c r="J472" s="10">
        <f>47.2877 * CHOOSE(CONTROL!$C$9, $D$9, 100%, $F$9) + CHOOSE(CONTROL!$C$27, 0.0021, 0)</f>
        <v>47.2898</v>
      </c>
      <c r="K472" s="10">
        <f>47.2877 * CHOOSE(CONTROL!$C$9, $D$9, 100%, $F$9) + CHOOSE(CONTROL!$C$27, 0.0021, 0)</f>
        <v>47.2898</v>
      </c>
      <c r="L472" s="10"/>
    </row>
    <row r="473" spans="1:12" ht="15.75" x14ac:dyDescent="0.25">
      <c r="A473" s="14">
        <v>55700</v>
      </c>
      <c r="B473" s="10">
        <f>48.2796 * CHOOSE(CONTROL!$C$9, $D$9, 100%, $F$9) + CHOOSE(CONTROL!$C$27, 0.0021, 0)</f>
        <v>48.281700000000001</v>
      </c>
      <c r="C473" s="10">
        <f>47.8474 * CHOOSE(CONTROL!$C$9, $D$9, 100%, $F$9) + CHOOSE(CONTROL!$C$27, 0.0021, 0)</f>
        <v>47.849499999999999</v>
      </c>
      <c r="D473" s="10">
        <f>47.8474 * CHOOSE(CONTROL!$C$9, $D$9, 100%, $F$9) + CHOOSE(CONTROL!$C$27, 0.0021, 0)</f>
        <v>47.849499999999999</v>
      </c>
      <c r="E473" s="10">
        <f>47.7107 * CHOOSE(CONTROL!$C$9, $D$9, 100%, $F$9) + CHOOSE(CONTROL!$C$27, 0.0021, 0)</f>
        <v>47.712800000000001</v>
      </c>
      <c r="F473" s="10">
        <f>47.7107 * CHOOSE(CONTROL!$C$9, $D$9, 100%, $F$9) + CHOOSE(CONTROL!$C$27, 0.0021, 0)</f>
        <v>47.712800000000001</v>
      </c>
      <c r="G473" s="10">
        <f>47.9821 * CHOOSE(CONTROL!$C$9, $D$9, 100%, $F$9) + CHOOSE(CONTROL!$C$27, 0.0021, 0)</f>
        <v>47.984200000000001</v>
      </c>
      <c r="H473" s="10">
        <f>47.8474 * CHOOSE(CONTROL!$C$9, $D$9, 100%, $F$9) + CHOOSE(CONTROL!$C$27, 0.0021, 0)</f>
        <v>47.849499999999999</v>
      </c>
      <c r="I473" s="10">
        <f>47.8474 * CHOOSE(CONTROL!$C$9, $D$9, 100%, $F$9) + CHOOSE(CONTROL!$C$27, 0.0021, 0)</f>
        <v>47.849499999999999</v>
      </c>
      <c r="J473" s="10">
        <f>47.8474 * CHOOSE(CONTROL!$C$9, $D$9, 100%, $F$9) + CHOOSE(CONTROL!$C$27, 0.0021, 0)</f>
        <v>47.849499999999999</v>
      </c>
      <c r="K473" s="10">
        <f>47.8474 * CHOOSE(CONTROL!$C$9, $D$9, 100%, $F$9) + CHOOSE(CONTROL!$C$27, 0.0021, 0)</f>
        <v>47.849499999999999</v>
      </c>
      <c r="L473" s="10"/>
    </row>
    <row r="474" spans="1:12" ht="15.75" x14ac:dyDescent="0.25">
      <c r="A474" s="14">
        <v>55731</v>
      </c>
      <c r="B474" s="10">
        <f>49.2028 * CHOOSE(CONTROL!$C$9, $D$9, 100%, $F$9) + CHOOSE(CONTROL!$C$27, 0.0021, 0)</f>
        <v>49.204900000000002</v>
      </c>
      <c r="C474" s="10">
        <f>48.7706 * CHOOSE(CONTROL!$C$9, $D$9, 100%, $F$9) + CHOOSE(CONTROL!$C$27, 0.0021, 0)</f>
        <v>48.7727</v>
      </c>
      <c r="D474" s="10">
        <f>48.7706 * CHOOSE(CONTROL!$C$9, $D$9, 100%, $F$9) + CHOOSE(CONTROL!$C$27, 0.0021, 0)</f>
        <v>48.7727</v>
      </c>
      <c r="E474" s="10">
        <f>48.6339 * CHOOSE(CONTROL!$C$9, $D$9, 100%, $F$9) + CHOOSE(CONTROL!$C$27, 0.0021, 0)</f>
        <v>48.635999999999996</v>
      </c>
      <c r="F474" s="10">
        <f>48.6339 * CHOOSE(CONTROL!$C$9, $D$9, 100%, $F$9) + CHOOSE(CONTROL!$C$27, 0.0021, 0)</f>
        <v>48.635999999999996</v>
      </c>
      <c r="G474" s="10">
        <f>48.9053 * CHOOSE(CONTROL!$C$9, $D$9, 100%, $F$9) + CHOOSE(CONTROL!$C$27, 0.0021, 0)</f>
        <v>48.907399999999996</v>
      </c>
      <c r="H474" s="10">
        <f>48.7706 * CHOOSE(CONTROL!$C$9, $D$9, 100%, $F$9) + CHOOSE(CONTROL!$C$27, 0.0021, 0)</f>
        <v>48.7727</v>
      </c>
      <c r="I474" s="10">
        <f>48.7706 * CHOOSE(CONTROL!$C$9, $D$9, 100%, $F$9) + CHOOSE(CONTROL!$C$27, 0.0021, 0)</f>
        <v>48.7727</v>
      </c>
      <c r="J474" s="10">
        <f>48.7706 * CHOOSE(CONTROL!$C$9, $D$9, 100%, $F$9) + CHOOSE(CONTROL!$C$27, 0.0021, 0)</f>
        <v>48.7727</v>
      </c>
      <c r="K474" s="10">
        <f>48.7706 * CHOOSE(CONTROL!$C$9, $D$9, 100%, $F$9) + CHOOSE(CONTROL!$C$27, 0.0021, 0)</f>
        <v>48.7727</v>
      </c>
      <c r="L474" s="10"/>
    </row>
    <row r="475" spans="1:12" ht="15.75" x14ac:dyDescent="0.25">
      <c r="A475" s="14">
        <v>55762</v>
      </c>
      <c r="B475" s="10">
        <f>49.4846 * CHOOSE(CONTROL!$C$9, $D$9, 100%, $F$9) + CHOOSE(CONTROL!$C$27, 0.0021, 0)</f>
        <v>49.486699999999999</v>
      </c>
      <c r="C475" s="10">
        <f>49.0524 * CHOOSE(CONTROL!$C$9, $D$9, 100%, $F$9) + CHOOSE(CONTROL!$C$27, 0.0021, 0)</f>
        <v>49.054499999999997</v>
      </c>
      <c r="D475" s="10">
        <f>49.0524 * CHOOSE(CONTROL!$C$9, $D$9, 100%, $F$9) + CHOOSE(CONTROL!$C$27, 0.0021, 0)</f>
        <v>49.054499999999997</v>
      </c>
      <c r="E475" s="10">
        <f>48.9157 * CHOOSE(CONTROL!$C$9, $D$9, 100%, $F$9) + CHOOSE(CONTROL!$C$27, 0.0021, 0)</f>
        <v>48.9178</v>
      </c>
      <c r="F475" s="10">
        <f>48.9157 * CHOOSE(CONTROL!$C$9, $D$9, 100%, $F$9) + CHOOSE(CONTROL!$C$27, 0.0021, 0)</f>
        <v>48.9178</v>
      </c>
      <c r="G475" s="10">
        <f>49.1871 * CHOOSE(CONTROL!$C$9, $D$9, 100%, $F$9) + CHOOSE(CONTROL!$C$27, 0.0021, 0)</f>
        <v>49.1892</v>
      </c>
      <c r="H475" s="10">
        <f>49.0524 * CHOOSE(CONTROL!$C$9, $D$9, 100%, $F$9) + CHOOSE(CONTROL!$C$27, 0.0021, 0)</f>
        <v>49.054499999999997</v>
      </c>
      <c r="I475" s="10">
        <f>49.0524 * CHOOSE(CONTROL!$C$9, $D$9, 100%, $F$9) + CHOOSE(CONTROL!$C$27, 0.0021, 0)</f>
        <v>49.054499999999997</v>
      </c>
      <c r="J475" s="10">
        <f>49.0524 * CHOOSE(CONTROL!$C$9, $D$9, 100%, $F$9) + CHOOSE(CONTROL!$C$27, 0.0021, 0)</f>
        <v>49.054499999999997</v>
      </c>
      <c r="K475" s="10">
        <f>49.0524 * CHOOSE(CONTROL!$C$9, $D$9, 100%, $F$9) + CHOOSE(CONTROL!$C$27, 0.0021, 0)</f>
        <v>49.054499999999997</v>
      </c>
      <c r="L475" s="10"/>
    </row>
    <row r="476" spans="1:12" ht="15.75" x14ac:dyDescent="0.25">
      <c r="A476" s="14">
        <v>55792</v>
      </c>
      <c r="B476" s="10">
        <f>50.4443 * CHOOSE(CONTROL!$C$9, $D$9, 100%, $F$9) + CHOOSE(CONTROL!$C$27, 0.0021, 0)</f>
        <v>50.446399999999997</v>
      </c>
      <c r="C476" s="10">
        <f>50.012 * CHOOSE(CONTROL!$C$9, $D$9, 100%, $F$9) + CHOOSE(CONTROL!$C$27, 0.0021, 0)</f>
        <v>50.014099999999999</v>
      </c>
      <c r="D476" s="10">
        <f>50.012 * CHOOSE(CONTROL!$C$9, $D$9, 100%, $F$9) + CHOOSE(CONTROL!$C$27, 0.0021, 0)</f>
        <v>50.014099999999999</v>
      </c>
      <c r="E476" s="10">
        <f>49.8754 * CHOOSE(CONTROL!$C$9, $D$9, 100%, $F$9) + CHOOSE(CONTROL!$C$27, 0.0021, 0)</f>
        <v>49.877499999999998</v>
      </c>
      <c r="F476" s="10">
        <f>49.8754 * CHOOSE(CONTROL!$C$9, $D$9, 100%, $F$9) + CHOOSE(CONTROL!$C$27, 0.0021, 0)</f>
        <v>49.877499999999998</v>
      </c>
      <c r="G476" s="10">
        <f>50.1467 * CHOOSE(CONTROL!$C$9, $D$9, 100%, $F$9) + CHOOSE(CONTROL!$C$27, 0.0021, 0)</f>
        <v>50.148800000000001</v>
      </c>
      <c r="H476" s="10">
        <f>50.012 * CHOOSE(CONTROL!$C$9, $D$9, 100%, $F$9) + CHOOSE(CONTROL!$C$27, 0.0021, 0)</f>
        <v>50.014099999999999</v>
      </c>
      <c r="I476" s="10">
        <f>50.012 * CHOOSE(CONTROL!$C$9, $D$9, 100%, $F$9) + CHOOSE(CONTROL!$C$27, 0.0021, 0)</f>
        <v>50.014099999999999</v>
      </c>
      <c r="J476" s="10">
        <f>50.012 * CHOOSE(CONTROL!$C$9, $D$9, 100%, $F$9) + CHOOSE(CONTROL!$C$27, 0.0021, 0)</f>
        <v>50.014099999999999</v>
      </c>
      <c r="K476" s="10">
        <f>50.012 * CHOOSE(CONTROL!$C$9, $D$9, 100%, $F$9) + CHOOSE(CONTROL!$C$27, 0.0021, 0)</f>
        <v>50.014099999999999</v>
      </c>
      <c r="L476" s="10"/>
    </row>
    <row r="477" spans="1:12" ht="15.75" x14ac:dyDescent="0.25">
      <c r="A477" s="14">
        <v>55823</v>
      </c>
      <c r="B477" s="10">
        <f>51.659 * CHOOSE(CONTROL!$C$9, $D$9, 100%, $F$9) + CHOOSE(CONTROL!$C$27, 0.0021, 0)</f>
        <v>51.661099999999998</v>
      </c>
      <c r="C477" s="10">
        <f>51.2268 * CHOOSE(CONTROL!$C$9, $D$9, 100%, $F$9) + CHOOSE(CONTROL!$C$27, 0.0021, 0)</f>
        <v>51.228899999999996</v>
      </c>
      <c r="D477" s="10">
        <f>51.2268 * CHOOSE(CONTROL!$C$9, $D$9, 100%, $F$9) + CHOOSE(CONTROL!$C$27, 0.0021, 0)</f>
        <v>51.228899999999996</v>
      </c>
      <c r="E477" s="10">
        <f>51.0901 * CHOOSE(CONTROL!$C$9, $D$9, 100%, $F$9) + CHOOSE(CONTROL!$C$27, 0.0021, 0)</f>
        <v>51.092199999999998</v>
      </c>
      <c r="F477" s="10">
        <f>51.0901 * CHOOSE(CONTROL!$C$9, $D$9, 100%, $F$9) + CHOOSE(CONTROL!$C$27, 0.0021, 0)</f>
        <v>51.092199999999998</v>
      </c>
      <c r="G477" s="10">
        <f>51.3615 * CHOOSE(CONTROL!$C$9, $D$9, 100%, $F$9) + CHOOSE(CONTROL!$C$27, 0.0021, 0)</f>
        <v>51.363599999999998</v>
      </c>
      <c r="H477" s="10">
        <f>51.2268 * CHOOSE(CONTROL!$C$9, $D$9, 100%, $F$9) + CHOOSE(CONTROL!$C$27, 0.0021, 0)</f>
        <v>51.228899999999996</v>
      </c>
      <c r="I477" s="10">
        <f>51.2268 * CHOOSE(CONTROL!$C$9, $D$9, 100%, $F$9) + CHOOSE(CONTROL!$C$27, 0.0021, 0)</f>
        <v>51.228899999999996</v>
      </c>
      <c r="J477" s="10">
        <f>51.2268 * CHOOSE(CONTROL!$C$9, $D$9, 100%, $F$9) + CHOOSE(CONTROL!$C$27, 0.0021, 0)</f>
        <v>51.228899999999996</v>
      </c>
      <c r="K477" s="10">
        <f>51.2268 * CHOOSE(CONTROL!$C$9, $D$9, 100%, $F$9) + CHOOSE(CONTROL!$C$27, 0.0021, 0)</f>
        <v>51.228899999999996</v>
      </c>
      <c r="L477" s="10"/>
    </row>
    <row r="478" spans="1:12" ht="15.75" x14ac:dyDescent="0.25">
      <c r="A478" s="14">
        <v>55853</v>
      </c>
      <c r="B478" s="10">
        <f>51.7731 * CHOOSE(CONTROL!$C$9, $D$9, 100%, $F$9) + CHOOSE(CONTROL!$C$27, 0.0021, 0)</f>
        <v>51.775199999999998</v>
      </c>
      <c r="C478" s="10">
        <f>51.3408 * CHOOSE(CONTROL!$C$9, $D$9, 100%, $F$9) + CHOOSE(CONTROL!$C$27, 0.0021, 0)</f>
        <v>51.3429</v>
      </c>
      <c r="D478" s="10">
        <f>51.3408 * CHOOSE(CONTROL!$C$9, $D$9, 100%, $F$9) + CHOOSE(CONTROL!$C$27, 0.0021, 0)</f>
        <v>51.3429</v>
      </c>
      <c r="E478" s="10">
        <f>51.2042 * CHOOSE(CONTROL!$C$9, $D$9, 100%, $F$9) + CHOOSE(CONTROL!$C$27, 0.0021, 0)</f>
        <v>51.206299999999999</v>
      </c>
      <c r="F478" s="10">
        <f>51.2042 * CHOOSE(CONTROL!$C$9, $D$9, 100%, $F$9) + CHOOSE(CONTROL!$C$27, 0.0021, 0)</f>
        <v>51.206299999999999</v>
      </c>
      <c r="G478" s="10">
        <f>51.4755 * CHOOSE(CONTROL!$C$9, $D$9, 100%, $F$9) + CHOOSE(CONTROL!$C$27, 0.0021, 0)</f>
        <v>51.477599999999995</v>
      </c>
      <c r="H478" s="10">
        <f>51.3408 * CHOOSE(CONTROL!$C$9, $D$9, 100%, $F$9) + CHOOSE(CONTROL!$C$27, 0.0021, 0)</f>
        <v>51.3429</v>
      </c>
      <c r="I478" s="10">
        <f>51.3408 * CHOOSE(CONTROL!$C$9, $D$9, 100%, $F$9) + CHOOSE(CONTROL!$C$27, 0.0021, 0)</f>
        <v>51.3429</v>
      </c>
      <c r="J478" s="10">
        <f>51.3408 * CHOOSE(CONTROL!$C$9, $D$9, 100%, $F$9) + CHOOSE(CONTROL!$C$27, 0.0021, 0)</f>
        <v>51.3429</v>
      </c>
      <c r="K478" s="10">
        <f>51.3408 * CHOOSE(CONTROL!$C$9, $D$9, 100%, $F$9) + CHOOSE(CONTROL!$C$27, 0.0021, 0)</f>
        <v>51.3429</v>
      </c>
      <c r="L478" s="10"/>
    </row>
    <row r="479" spans="1:12" ht="15.75" x14ac:dyDescent="0.25">
      <c r="A479" s="14">
        <v>55884</v>
      </c>
      <c r="B479" s="10">
        <f>50.8029 * CHOOSE(CONTROL!$C$9, $D$9, 100%, $F$9) + CHOOSE(CONTROL!$C$27, 0.0021, 0)</f>
        <v>50.805</v>
      </c>
      <c r="C479" s="10">
        <f>50.3706 * CHOOSE(CONTROL!$C$9, $D$9, 100%, $F$9) + CHOOSE(CONTROL!$C$27, 0.0021, 0)</f>
        <v>50.372700000000002</v>
      </c>
      <c r="D479" s="10">
        <f>50.3706 * CHOOSE(CONTROL!$C$9, $D$9, 100%, $F$9) + CHOOSE(CONTROL!$C$27, 0.0021, 0)</f>
        <v>50.372700000000002</v>
      </c>
      <c r="E479" s="10">
        <f>50.234 * CHOOSE(CONTROL!$C$9, $D$9, 100%, $F$9) + CHOOSE(CONTROL!$C$27, 0.0021, 0)</f>
        <v>50.2361</v>
      </c>
      <c r="F479" s="10">
        <f>50.234 * CHOOSE(CONTROL!$C$9, $D$9, 100%, $F$9) + CHOOSE(CONTROL!$C$27, 0.0021, 0)</f>
        <v>50.2361</v>
      </c>
      <c r="G479" s="10">
        <f>50.5053 * CHOOSE(CONTROL!$C$9, $D$9, 100%, $F$9) + CHOOSE(CONTROL!$C$27, 0.0021, 0)</f>
        <v>50.507399999999997</v>
      </c>
      <c r="H479" s="10">
        <f>50.3706 * CHOOSE(CONTROL!$C$9, $D$9, 100%, $F$9) + CHOOSE(CONTROL!$C$27, 0.0021, 0)</f>
        <v>50.372700000000002</v>
      </c>
      <c r="I479" s="10">
        <f>50.3706 * CHOOSE(CONTROL!$C$9, $D$9, 100%, $F$9) + CHOOSE(CONTROL!$C$27, 0.0021, 0)</f>
        <v>50.372700000000002</v>
      </c>
      <c r="J479" s="10">
        <f>50.3706 * CHOOSE(CONTROL!$C$9, $D$9, 100%, $F$9) + CHOOSE(CONTROL!$C$27, 0.0021, 0)</f>
        <v>50.372700000000002</v>
      </c>
      <c r="K479" s="10">
        <f>50.3706 * CHOOSE(CONTROL!$C$9, $D$9, 100%, $F$9) + CHOOSE(CONTROL!$C$27, 0.0021, 0)</f>
        <v>50.372700000000002</v>
      </c>
      <c r="L479" s="10"/>
    </row>
    <row r="480" spans="1:12" ht="15.75" x14ac:dyDescent="0.25">
      <c r="A480" s="14">
        <v>55915</v>
      </c>
      <c r="B480" s="10">
        <f>50.0601 * CHOOSE(CONTROL!$C$9, $D$9, 100%, $F$9) + CHOOSE(CONTROL!$C$27, 0.0021, 0)</f>
        <v>50.062199999999997</v>
      </c>
      <c r="C480" s="10">
        <f>49.6278 * CHOOSE(CONTROL!$C$9, $D$9, 100%, $F$9) + CHOOSE(CONTROL!$C$27, 0.0021, 0)</f>
        <v>49.629899999999999</v>
      </c>
      <c r="D480" s="10">
        <f>49.6278 * CHOOSE(CONTROL!$C$9, $D$9, 100%, $F$9) + CHOOSE(CONTROL!$C$27, 0.0021, 0)</f>
        <v>49.629899999999999</v>
      </c>
      <c r="E480" s="10">
        <f>49.4911 * CHOOSE(CONTROL!$C$9, $D$9, 100%, $F$9) + CHOOSE(CONTROL!$C$27, 0.0021, 0)</f>
        <v>49.493200000000002</v>
      </c>
      <c r="F480" s="10">
        <f>49.4911 * CHOOSE(CONTROL!$C$9, $D$9, 100%, $F$9) + CHOOSE(CONTROL!$C$27, 0.0021, 0)</f>
        <v>49.493200000000002</v>
      </c>
      <c r="G480" s="10">
        <f>49.7625 * CHOOSE(CONTROL!$C$9, $D$9, 100%, $F$9) + CHOOSE(CONTROL!$C$27, 0.0021, 0)</f>
        <v>49.764600000000002</v>
      </c>
      <c r="H480" s="10">
        <f>49.6278 * CHOOSE(CONTROL!$C$9, $D$9, 100%, $F$9) + CHOOSE(CONTROL!$C$27, 0.0021, 0)</f>
        <v>49.629899999999999</v>
      </c>
      <c r="I480" s="10">
        <f>49.6278 * CHOOSE(CONTROL!$C$9, $D$9, 100%, $F$9) + CHOOSE(CONTROL!$C$27, 0.0021, 0)</f>
        <v>49.629899999999999</v>
      </c>
      <c r="J480" s="10">
        <f>49.6278 * CHOOSE(CONTROL!$C$9, $D$9, 100%, $F$9) + CHOOSE(CONTROL!$C$27, 0.0021, 0)</f>
        <v>49.629899999999999</v>
      </c>
      <c r="K480" s="10">
        <f>49.6278 * CHOOSE(CONTROL!$C$9, $D$9, 100%, $F$9) + CHOOSE(CONTROL!$C$27, 0.0021, 0)</f>
        <v>49.629899999999999</v>
      </c>
      <c r="L480" s="10"/>
    </row>
    <row r="481" spans="1:12" ht="15.75" x14ac:dyDescent="0.25">
      <c r="A481" s="14">
        <v>55943</v>
      </c>
      <c r="B481" s="10">
        <f>48.7089 * CHOOSE(CONTROL!$C$9, $D$9, 100%, $F$9) + CHOOSE(CONTROL!$C$27, 0.0021, 0)</f>
        <v>48.710999999999999</v>
      </c>
      <c r="C481" s="10">
        <f>48.2767 * CHOOSE(CONTROL!$C$9, $D$9, 100%, $F$9) + CHOOSE(CONTROL!$C$27, 0.0021, 0)</f>
        <v>48.278799999999997</v>
      </c>
      <c r="D481" s="10">
        <f>48.2767 * CHOOSE(CONTROL!$C$9, $D$9, 100%, $F$9) + CHOOSE(CONTROL!$C$27, 0.0021, 0)</f>
        <v>48.278799999999997</v>
      </c>
      <c r="E481" s="10">
        <f>48.14 * CHOOSE(CONTROL!$C$9, $D$9, 100%, $F$9) + CHOOSE(CONTROL!$C$27, 0.0021, 0)</f>
        <v>48.142099999999999</v>
      </c>
      <c r="F481" s="10">
        <f>48.14 * CHOOSE(CONTROL!$C$9, $D$9, 100%, $F$9) + CHOOSE(CONTROL!$C$27, 0.0021, 0)</f>
        <v>48.142099999999999</v>
      </c>
      <c r="G481" s="10">
        <f>48.4114 * CHOOSE(CONTROL!$C$9, $D$9, 100%, $F$9) + CHOOSE(CONTROL!$C$27, 0.0021, 0)</f>
        <v>48.413499999999999</v>
      </c>
      <c r="H481" s="10">
        <f>48.2767 * CHOOSE(CONTROL!$C$9, $D$9, 100%, $F$9) + CHOOSE(CONTROL!$C$27, 0.0021, 0)</f>
        <v>48.278799999999997</v>
      </c>
      <c r="I481" s="10">
        <f>48.2767 * CHOOSE(CONTROL!$C$9, $D$9, 100%, $F$9) + CHOOSE(CONTROL!$C$27, 0.0021, 0)</f>
        <v>48.278799999999997</v>
      </c>
      <c r="J481" s="10">
        <f>48.2767 * CHOOSE(CONTROL!$C$9, $D$9, 100%, $F$9) + CHOOSE(CONTROL!$C$27, 0.0021, 0)</f>
        <v>48.278799999999997</v>
      </c>
      <c r="K481" s="10">
        <f>48.2767 * CHOOSE(CONTROL!$C$9, $D$9, 100%, $F$9) + CHOOSE(CONTROL!$C$27, 0.0021, 0)</f>
        <v>48.278799999999997</v>
      </c>
      <c r="L481" s="10"/>
    </row>
    <row r="482" spans="1:12" ht="15.75" x14ac:dyDescent="0.25">
      <c r="A482" s="14">
        <v>55974</v>
      </c>
      <c r="B482" s="10">
        <f>48.1512 * CHOOSE(CONTROL!$C$9, $D$9, 100%, $F$9) + CHOOSE(CONTROL!$C$27, 0.0021, 0)</f>
        <v>48.153300000000002</v>
      </c>
      <c r="C482" s="10">
        <f>47.7189 * CHOOSE(CONTROL!$C$9, $D$9, 100%, $F$9) + CHOOSE(CONTROL!$C$27, 0.0021, 0)</f>
        <v>47.720999999999997</v>
      </c>
      <c r="D482" s="10">
        <f>47.7189 * CHOOSE(CONTROL!$C$9, $D$9, 100%, $F$9) + CHOOSE(CONTROL!$C$27, 0.0021, 0)</f>
        <v>47.720999999999997</v>
      </c>
      <c r="E482" s="10">
        <f>47.5823 * CHOOSE(CONTROL!$C$9, $D$9, 100%, $F$9) + CHOOSE(CONTROL!$C$27, 0.0021, 0)</f>
        <v>47.584399999999995</v>
      </c>
      <c r="F482" s="10">
        <f>47.5823 * CHOOSE(CONTROL!$C$9, $D$9, 100%, $F$9) + CHOOSE(CONTROL!$C$27, 0.0021, 0)</f>
        <v>47.584399999999995</v>
      </c>
      <c r="G482" s="10">
        <f>47.8537 * CHOOSE(CONTROL!$C$9, $D$9, 100%, $F$9) + CHOOSE(CONTROL!$C$27, 0.0021, 0)</f>
        <v>47.855800000000002</v>
      </c>
      <c r="H482" s="10">
        <f>47.7189 * CHOOSE(CONTROL!$C$9, $D$9, 100%, $F$9) + CHOOSE(CONTROL!$C$27, 0.0021, 0)</f>
        <v>47.720999999999997</v>
      </c>
      <c r="I482" s="10">
        <f>47.7189 * CHOOSE(CONTROL!$C$9, $D$9, 100%, $F$9) + CHOOSE(CONTROL!$C$27, 0.0021, 0)</f>
        <v>47.720999999999997</v>
      </c>
      <c r="J482" s="10">
        <f>47.7189 * CHOOSE(CONTROL!$C$9, $D$9, 100%, $F$9) + CHOOSE(CONTROL!$C$27, 0.0021, 0)</f>
        <v>47.720999999999997</v>
      </c>
      <c r="K482" s="10">
        <f>47.7189 * CHOOSE(CONTROL!$C$9, $D$9, 100%, $F$9) + CHOOSE(CONTROL!$C$27, 0.0021, 0)</f>
        <v>47.720999999999997</v>
      </c>
      <c r="L482" s="10"/>
    </row>
    <row r="483" spans="1:12" ht="15.75" x14ac:dyDescent="0.25">
      <c r="A483" s="14">
        <v>56004</v>
      </c>
      <c r="B483" s="10">
        <f>47.4852 * CHOOSE(CONTROL!$C$9, $D$9, 100%, $F$9) + CHOOSE(CONTROL!$C$27, 0.0021, 0)</f>
        <v>47.487299999999998</v>
      </c>
      <c r="C483" s="10">
        <f>47.053 * CHOOSE(CONTROL!$C$9, $D$9, 100%, $F$9) + CHOOSE(CONTROL!$C$27, 0.0021, 0)</f>
        <v>47.055099999999996</v>
      </c>
      <c r="D483" s="10">
        <f>47.053 * CHOOSE(CONTROL!$C$9, $D$9, 100%, $F$9) + CHOOSE(CONTROL!$C$27, 0.0021, 0)</f>
        <v>47.055099999999996</v>
      </c>
      <c r="E483" s="10">
        <f>46.9163 * CHOOSE(CONTROL!$C$9, $D$9, 100%, $F$9) + CHOOSE(CONTROL!$C$27, 0.0021, 0)</f>
        <v>46.918399999999998</v>
      </c>
      <c r="F483" s="10">
        <f>46.9163 * CHOOSE(CONTROL!$C$9, $D$9, 100%, $F$9) + CHOOSE(CONTROL!$C$27, 0.0021, 0)</f>
        <v>46.918399999999998</v>
      </c>
      <c r="G483" s="10">
        <f>47.1877 * CHOOSE(CONTROL!$C$9, $D$9, 100%, $F$9) + CHOOSE(CONTROL!$C$27, 0.0021, 0)</f>
        <v>47.189799999999998</v>
      </c>
      <c r="H483" s="10">
        <f>47.053 * CHOOSE(CONTROL!$C$9, $D$9, 100%, $F$9) + CHOOSE(CONTROL!$C$27, 0.0021, 0)</f>
        <v>47.055099999999996</v>
      </c>
      <c r="I483" s="10">
        <f>47.053 * CHOOSE(CONTROL!$C$9, $D$9, 100%, $F$9) + CHOOSE(CONTROL!$C$27, 0.0021, 0)</f>
        <v>47.055099999999996</v>
      </c>
      <c r="J483" s="10">
        <f>47.053 * CHOOSE(CONTROL!$C$9, $D$9, 100%, $F$9) + CHOOSE(CONTROL!$C$27, 0.0021, 0)</f>
        <v>47.055099999999996</v>
      </c>
      <c r="K483" s="10">
        <f>47.053 * CHOOSE(CONTROL!$C$9, $D$9, 100%, $F$9) + CHOOSE(CONTROL!$C$27, 0.0021, 0)</f>
        <v>47.055099999999996</v>
      </c>
      <c r="L483" s="10"/>
    </row>
    <row r="484" spans="1:12" ht="15.75" x14ac:dyDescent="0.25">
      <c r="A484" s="14">
        <v>56035</v>
      </c>
      <c r="B484" s="10">
        <f>48.4343 * CHOOSE(CONTROL!$C$9, $D$9, 100%, $F$9) + CHOOSE(CONTROL!$C$27, 0.0021, 0)</f>
        <v>48.436399999999999</v>
      </c>
      <c r="C484" s="10">
        <f>48.002 * CHOOSE(CONTROL!$C$9, $D$9, 100%, $F$9) + CHOOSE(CONTROL!$C$27, 0.0021, 0)</f>
        <v>48.004100000000001</v>
      </c>
      <c r="D484" s="10">
        <f>48.002 * CHOOSE(CONTROL!$C$9, $D$9, 100%, $F$9) + CHOOSE(CONTROL!$C$27, 0.0021, 0)</f>
        <v>48.004100000000001</v>
      </c>
      <c r="E484" s="10">
        <f>47.8654 * CHOOSE(CONTROL!$C$9, $D$9, 100%, $F$9) + CHOOSE(CONTROL!$C$27, 0.0021, 0)</f>
        <v>47.8675</v>
      </c>
      <c r="F484" s="10">
        <f>47.8654 * CHOOSE(CONTROL!$C$9, $D$9, 100%, $F$9) + CHOOSE(CONTROL!$C$27, 0.0021, 0)</f>
        <v>47.8675</v>
      </c>
      <c r="G484" s="10">
        <f>48.1368 * CHOOSE(CONTROL!$C$9, $D$9, 100%, $F$9) + CHOOSE(CONTROL!$C$27, 0.0021, 0)</f>
        <v>48.1389</v>
      </c>
      <c r="H484" s="10">
        <f>48.002 * CHOOSE(CONTROL!$C$9, $D$9, 100%, $F$9) + CHOOSE(CONTROL!$C$27, 0.0021, 0)</f>
        <v>48.004100000000001</v>
      </c>
      <c r="I484" s="10">
        <f>48.002 * CHOOSE(CONTROL!$C$9, $D$9, 100%, $F$9) + CHOOSE(CONTROL!$C$27, 0.0021, 0)</f>
        <v>48.004100000000001</v>
      </c>
      <c r="J484" s="10">
        <f>48.002 * CHOOSE(CONTROL!$C$9, $D$9, 100%, $F$9) + CHOOSE(CONTROL!$C$27, 0.0021, 0)</f>
        <v>48.004100000000001</v>
      </c>
      <c r="K484" s="10">
        <f>48.002 * CHOOSE(CONTROL!$C$9, $D$9, 100%, $F$9) + CHOOSE(CONTROL!$C$27, 0.0021, 0)</f>
        <v>48.004100000000001</v>
      </c>
      <c r="L484" s="10"/>
    </row>
    <row r="485" spans="1:12" ht="15.75" x14ac:dyDescent="0.25">
      <c r="A485" s="14">
        <v>56065</v>
      </c>
      <c r="B485" s="10">
        <f>49.0027 * CHOOSE(CONTROL!$C$9, $D$9, 100%, $F$9) + CHOOSE(CONTROL!$C$27, 0.0021, 0)</f>
        <v>49.004799999999996</v>
      </c>
      <c r="C485" s="10">
        <f>48.5705 * CHOOSE(CONTROL!$C$9, $D$9, 100%, $F$9) + CHOOSE(CONTROL!$C$27, 0.0021, 0)</f>
        <v>48.572600000000001</v>
      </c>
      <c r="D485" s="10">
        <f>48.5705 * CHOOSE(CONTROL!$C$9, $D$9, 100%, $F$9) + CHOOSE(CONTROL!$C$27, 0.0021, 0)</f>
        <v>48.572600000000001</v>
      </c>
      <c r="E485" s="10">
        <f>48.4338 * CHOOSE(CONTROL!$C$9, $D$9, 100%, $F$9) + CHOOSE(CONTROL!$C$27, 0.0021, 0)</f>
        <v>48.435899999999997</v>
      </c>
      <c r="F485" s="10">
        <f>48.4338 * CHOOSE(CONTROL!$C$9, $D$9, 100%, $F$9) + CHOOSE(CONTROL!$C$27, 0.0021, 0)</f>
        <v>48.435899999999997</v>
      </c>
      <c r="G485" s="10">
        <f>48.7052 * CHOOSE(CONTROL!$C$9, $D$9, 100%, $F$9) + CHOOSE(CONTROL!$C$27, 0.0021, 0)</f>
        <v>48.707299999999996</v>
      </c>
      <c r="H485" s="10">
        <f>48.5705 * CHOOSE(CONTROL!$C$9, $D$9, 100%, $F$9) + CHOOSE(CONTROL!$C$27, 0.0021, 0)</f>
        <v>48.572600000000001</v>
      </c>
      <c r="I485" s="10">
        <f>48.5705 * CHOOSE(CONTROL!$C$9, $D$9, 100%, $F$9) + CHOOSE(CONTROL!$C$27, 0.0021, 0)</f>
        <v>48.572600000000001</v>
      </c>
      <c r="J485" s="10">
        <f>48.5705 * CHOOSE(CONTROL!$C$9, $D$9, 100%, $F$9) + CHOOSE(CONTROL!$C$27, 0.0021, 0)</f>
        <v>48.572600000000001</v>
      </c>
      <c r="K485" s="10">
        <f>48.5705 * CHOOSE(CONTROL!$C$9, $D$9, 100%, $F$9) + CHOOSE(CONTROL!$C$27, 0.0021, 0)</f>
        <v>48.572600000000001</v>
      </c>
      <c r="L485" s="10"/>
    </row>
    <row r="486" spans="1:12" ht="15.75" x14ac:dyDescent="0.25">
      <c r="A486" s="14">
        <v>56096</v>
      </c>
      <c r="B486" s="10">
        <f>49.9405 * CHOOSE(CONTROL!$C$9, $D$9, 100%, $F$9) + CHOOSE(CONTROL!$C$27, 0.0021, 0)</f>
        <v>49.942599999999999</v>
      </c>
      <c r="C486" s="10">
        <f>49.5082 * CHOOSE(CONTROL!$C$9, $D$9, 100%, $F$9) + CHOOSE(CONTROL!$C$27, 0.0021, 0)</f>
        <v>49.510300000000001</v>
      </c>
      <c r="D486" s="10">
        <f>49.5082 * CHOOSE(CONTROL!$C$9, $D$9, 100%, $F$9) + CHOOSE(CONTROL!$C$27, 0.0021, 0)</f>
        <v>49.510300000000001</v>
      </c>
      <c r="E486" s="10">
        <f>49.3716 * CHOOSE(CONTROL!$C$9, $D$9, 100%, $F$9) + CHOOSE(CONTROL!$C$27, 0.0021, 0)</f>
        <v>49.373699999999999</v>
      </c>
      <c r="F486" s="10">
        <f>49.3716 * CHOOSE(CONTROL!$C$9, $D$9, 100%, $F$9) + CHOOSE(CONTROL!$C$27, 0.0021, 0)</f>
        <v>49.373699999999999</v>
      </c>
      <c r="G486" s="10">
        <f>49.643 * CHOOSE(CONTROL!$C$9, $D$9, 100%, $F$9) + CHOOSE(CONTROL!$C$27, 0.0021, 0)</f>
        <v>49.645099999999999</v>
      </c>
      <c r="H486" s="10">
        <f>49.5082 * CHOOSE(CONTROL!$C$9, $D$9, 100%, $F$9) + CHOOSE(CONTROL!$C$27, 0.0021, 0)</f>
        <v>49.510300000000001</v>
      </c>
      <c r="I486" s="10">
        <f>49.5082 * CHOOSE(CONTROL!$C$9, $D$9, 100%, $F$9) + CHOOSE(CONTROL!$C$27, 0.0021, 0)</f>
        <v>49.510300000000001</v>
      </c>
      <c r="J486" s="10">
        <f>49.5082 * CHOOSE(CONTROL!$C$9, $D$9, 100%, $F$9) + CHOOSE(CONTROL!$C$27, 0.0021, 0)</f>
        <v>49.510300000000001</v>
      </c>
      <c r="K486" s="10">
        <f>49.5082 * CHOOSE(CONTROL!$C$9, $D$9, 100%, $F$9) + CHOOSE(CONTROL!$C$27, 0.0021, 0)</f>
        <v>49.510300000000001</v>
      </c>
      <c r="L486" s="10"/>
    </row>
    <row r="487" spans="1:12" ht="15.75" x14ac:dyDescent="0.25">
      <c r="A487" s="14">
        <v>56127</v>
      </c>
      <c r="B487" s="10">
        <f>50.2267 * CHOOSE(CONTROL!$C$9, $D$9, 100%, $F$9) + CHOOSE(CONTROL!$C$27, 0.0021, 0)</f>
        <v>50.2288</v>
      </c>
      <c r="C487" s="10">
        <f>49.7945 * CHOOSE(CONTROL!$C$9, $D$9, 100%, $F$9) + CHOOSE(CONTROL!$C$27, 0.0021, 0)</f>
        <v>49.796599999999998</v>
      </c>
      <c r="D487" s="10">
        <f>49.7945 * CHOOSE(CONTROL!$C$9, $D$9, 100%, $F$9) + CHOOSE(CONTROL!$C$27, 0.0021, 0)</f>
        <v>49.796599999999998</v>
      </c>
      <c r="E487" s="10">
        <f>49.6578 * CHOOSE(CONTROL!$C$9, $D$9, 100%, $F$9) + CHOOSE(CONTROL!$C$27, 0.0021, 0)</f>
        <v>49.6599</v>
      </c>
      <c r="F487" s="10">
        <f>49.6578 * CHOOSE(CONTROL!$C$9, $D$9, 100%, $F$9) + CHOOSE(CONTROL!$C$27, 0.0021, 0)</f>
        <v>49.6599</v>
      </c>
      <c r="G487" s="10">
        <f>49.9292 * CHOOSE(CONTROL!$C$9, $D$9, 100%, $F$9) + CHOOSE(CONTROL!$C$27, 0.0021, 0)</f>
        <v>49.9313</v>
      </c>
      <c r="H487" s="10">
        <f>49.7945 * CHOOSE(CONTROL!$C$9, $D$9, 100%, $F$9) + CHOOSE(CONTROL!$C$27, 0.0021, 0)</f>
        <v>49.796599999999998</v>
      </c>
      <c r="I487" s="10">
        <f>49.7945 * CHOOSE(CONTROL!$C$9, $D$9, 100%, $F$9) + CHOOSE(CONTROL!$C$27, 0.0021, 0)</f>
        <v>49.796599999999998</v>
      </c>
      <c r="J487" s="10">
        <f>49.7945 * CHOOSE(CONTROL!$C$9, $D$9, 100%, $F$9) + CHOOSE(CONTROL!$C$27, 0.0021, 0)</f>
        <v>49.796599999999998</v>
      </c>
      <c r="K487" s="10">
        <f>49.7945 * CHOOSE(CONTROL!$C$9, $D$9, 100%, $F$9) + CHOOSE(CONTROL!$C$27, 0.0021, 0)</f>
        <v>49.796599999999998</v>
      </c>
      <c r="L487" s="10"/>
    </row>
    <row r="488" spans="1:12" ht="15.75" x14ac:dyDescent="0.25">
      <c r="A488" s="14">
        <v>56157</v>
      </c>
      <c r="B488" s="10">
        <f>51.2015 * CHOOSE(CONTROL!$C$9, $D$9, 100%, $F$9) + CHOOSE(CONTROL!$C$27, 0.0021, 0)</f>
        <v>51.203600000000002</v>
      </c>
      <c r="C488" s="10">
        <f>50.7692 * CHOOSE(CONTROL!$C$9, $D$9, 100%, $F$9) + CHOOSE(CONTROL!$C$27, 0.0021, 0)</f>
        <v>50.771299999999997</v>
      </c>
      <c r="D488" s="10">
        <f>50.7692 * CHOOSE(CONTROL!$C$9, $D$9, 100%, $F$9) + CHOOSE(CONTROL!$C$27, 0.0021, 0)</f>
        <v>50.771299999999997</v>
      </c>
      <c r="E488" s="10">
        <f>50.6326 * CHOOSE(CONTROL!$C$9, $D$9, 100%, $F$9) + CHOOSE(CONTROL!$C$27, 0.0021, 0)</f>
        <v>50.634699999999995</v>
      </c>
      <c r="F488" s="10">
        <f>50.6326 * CHOOSE(CONTROL!$C$9, $D$9, 100%, $F$9) + CHOOSE(CONTROL!$C$27, 0.0021, 0)</f>
        <v>50.634699999999995</v>
      </c>
      <c r="G488" s="10">
        <f>50.9039 * CHOOSE(CONTROL!$C$9, $D$9, 100%, $F$9) + CHOOSE(CONTROL!$C$27, 0.0021, 0)</f>
        <v>50.905999999999999</v>
      </c>
      <c r="H488" s="10">
        <f>50.7692 * CHOOSE(CONTROL!$C$9, $D$9, 100%, $F$9) + CHOOSE(CONTROL!$C$27, 0.0021, 0)</f>
        <v>50.771299999999997</v>
      </c>
      <c r="I488" s="10">
        <f>50.7692 * CHOOSE(CONTROL!$C$9, $D$9, 100%, $F$9) + CHOOSE(CONTROL!$C$27, 0.0021, 0)</f>
        <v>50.771299999999997</v>
      </c>
      <c r="J488" s="10">
        <f>50.7692 * CHOOSE(CONTROL!$C$9, $D$9, 100%, $F$9) + CHOOSE(CONTROL!$C$27, 0.0021, 0)</f>
        <v>50.771299999999997</v>
      </c>
      <c r="K488" s="10">
        <f>50.7692 * CHOOSE(CONTROL!$C$9, $D$9, 100%, $F$9) + CHOOSE(CONTROL!$C$27, 0.0021, 0)</f>
        <v>50.771299999999997</v>
      </c>
      <c r="L488" s="10"/>
    </row>
    <row r="489" spans="1:12" ht="15.75" x14ac:dyDescent="0.25">
      <c r="A489" s="14">
        <v>56188</v>
      </c>
      <c r="B489" s="10">
        <f>52.4353 * CHOOSE(CONTROL!$C$9, $D$9, 100%, $F$9) + CHOOSE(CONTROL!$C$27, 0.0021, 0)</f>
        <v>52.437399999999997</v>
      </c>
      <c r="C489" s="10">
        <f>52.0031 * CHOOSE(CONTROL!$C$9, $D$9, 100%, $F$9) + CHOOSE(CONTROL!$C$27, 0.0021, 0)</f>
        <v>52.005200000000002</v>
      </c>
      <c r="D489" s="10">
        <f>52.0031 * CHOOSE(CONTROL!$C$9, $D$9, 100%, $F$9) + CHOOSE(CONTROL!$C$27, 0.0021, 0)</f>
        <v>52.005200000000002</v>
      </c>
      <c r="E489" s="10">
        <f>51.8664 * CHOOSE(CONTROL!$C$9, $D$9, 100%, $F$9) + CHOOSE(CONTROL!$C$27, 0.0021, 0)</f>
        <v>51.868499999999997</v>
      </c>
      <c r="F489" s="10">
        <f>51.8664 * CHOOSE(CONTROL!$C$9, $D$9, 100%, $F$9) + CHOOSE(CONTROL!$C$27, 0.0021, 0)</f>
        <v>51.868499999999997</v>
      </c>
      <c r="G489" s="10">
        <f>52.1378 * CHOOSE(CONTROL!$C$9, $D$9, 100%, $F$9) + CHOOSE(CONTROL!$C$27, 0.0021, 0)</f>
        <v>52.139899999999997</v>
      </c>
      <c r="H489" s="10">
        <f>52.0031 * CHOOSE(CONTROL!$C$9, $D$9, 100%, $F$9) + CHOOSE(CONTROL!$C$27, 0.0021, 0)</f>
        <v>52.005200000000002</v>
      </c>
      <c r="I489" s="10">
        <f>52.0031 * CHOOSE(CONTROL!$C$9, $D$9, 100%, $F$9) + CHOOSE(CONTROL!$C$27, 0.0021, 0)</f>
        <v>52.005200000000002</v>
      </c>
      <c r="J489" s="10">
        <f>52.0031 * CHOOSE(CONTROL!$C$9, $D$9, 100%, $F$9) + CHOOSE(CONTROL!$C$27, 0.0021, 0)</f>
        <v>52.005200000000002</v>
      </c>
      <c r="K489" s="10">
        <f>52.0031 * CHOOSE(CONTROL!$C$9, $D$9, 100%, $F$9) + CHOOSE(CONTROL!$C$27, 0.0021, 0)</f>
        <v>52.005200000000002</v>
      </c>
      <c r="L489" s="10"/>
    </row>
    <row r="490" spans="1:12" ht="15.75" x14ac:dyDescent="0.25">
      <c r="A490" s="14">
        <v>56218</v>
      </c>
      <c r="B490" s="10">
        <f>52.5512 * CHOOSE(CONTROL!$C$9, $D$9, 100%, $F$9) + CHOOSE(CONTROL!$C$27, 0.0021, 0)</f>
        <v>52.5533</v>
      </c>
      <c r="C490" s="10">
        <f>52.1189 * CHOOSE(CONTROL!$C$9, $D$9, 100%, $F$9) + CHOOSE(CONTROL!$C$27, 0.0021, 0)</f>
        <v>52.120999999999995</v>
      </c>
      <c r="D490" s="10">
        <f>52.1189 * CHOOSE(CONTROL!$C$9, $D$9, 100%, $F$9) + CHOOSE(CONTROL!$C$27, 0.0021, 0)</f>
        <v>52.120999999999995</v>
      </c>
      <c r="E490" s="10">
        <f>51.9822 * CHOOSE(CONTROL!$C$9, $D$9, 100%, $F$9) + CHOOSE(CONTROL!$C$27, 0.0021, 0)</f>
        <v>51.984299999999998</v>
      </c>
      <c r="F490" s="10">
        <f>51.9822 * CHOOSE(CONTROL!$C$9, $D$9, 100%, $F$9) + CHOOSE(CONTROL!$C$27, 0.0021, 0)</f>
        <v>51.984299999999998</v>
      </c>
      <c r="G490" s="10">
        <f>52.2536 * CHOOSE(CONTROL!$C$9, $D$9, 100%, $F$9) + CHOOSE(CONTROL!$C$27, 0.0021, 0)</f>
        <v>52.255699999999997</v>
      </c>
      <c r="H490" s="10">
        <f>52.1189 * CHOOSE(CONTROL!$C$9, $D$9, 100%, $F$9) + CHOOSE(CONTROL!$C$27, 0.0021, 0)</f>
        <v>52.120999999999995</v>
      </c>
      <c r="I490" s="10">
        <f>52.1189 * CHOOSE(CONTROL!$C$9, $D$9, 100%, $F$9) + CHOOSE(CONTROL!$C$27, 0.0021, 0)</f>
        <v>52.120999999999995</v>
      </c>
      <c r="J490" s="10">
        <f>52.1189 * CHOOSE(CONTROL!$C$9, $D$9, 100%, $F$9) + CHOOSE(CONTROL!$C$27, 0.0021, 0)</f>
        <v>52.120999999999995</v>
      </c>
      <c r="K490" s="10">
        <f>52.1189 * CHOOSE(CONTROL!$C$9, $D$9, 100%, $F$9) + CHOOSE(CONTROL!$C$27, 0.0021, 0)</f>
        <v>52.120999999999995</v>
      </c>
      <c r="L490" s="10"/>
    </row>
    <row r="491" spans="1:12" ht="15.75" x14ac:dyDescent="0.25">
      <c r="A491" s="14">
        <v>56249</v>
      </c>
      <c r="B491" s="10">
        <f>51.5657 * CHOOSE(CONTROL!$C$9, $D$9, 100%, $F$9) + CHOOSE(CONTROL!$C$27, 0.0021, 0)</f>
        <v>51.567799999999998</v>
      </c>
      <c r="C491" s="10">
        <f>51.1334 * CHOOSE(CONTROL!$C$9, $D$9, 100%, $F$9) + CHOOSE(CONTROL!$C$27, 0.0021, 0)</f>
        <v>51.1355</v>
      </c>
      <c r="D491" s="10">
        <f>51.1334 * CHOOSE(CONTROL!$C$9, $D$9, 100%, $F$9) + CHOOSE(CONTROL!$C$27, 0.0021, 0)</f>
        <v>51.1355</v>
      </c>
      <c r="E491" s="10">
        <f>50.9968 * CHOOSE(CONTROL!$C$9, $D$9, 100%, $F$9) + CHOOSE(CONTROL!$C$27, 0.0021, 0)</f>
        <v>50.998899999999999</v>
      </c>
      <c r="F491" s="10">
        <f>50.9968 * CHOOSE(CONTROL!$C$9, $D$9, 100%, $F$9) + CHOOSE(CONTROL!$C$27, 0.0021, 0)</f>
        <v>50.998899999999999</v>
      </c>
      <c r="G491" s="10">
        <f>51.2682 * CHOOSE(CONTROL!$C$9, $D$9, 100%, $F$9) + CHOOSE(CONTROL!$C$27, 0.0021, 0)</f>
        <v>51.270299999999999</v>
      </c>
      <c r="H491" s="10">
        <f>51.1334 * CHOOSE(CONTROL!$C$9, $D$9, 100%, $F$9) + CHOOSE(CONTROL!$C$27, 0.0021, 0)</f>
        <v>51.1355</v>
      </c>
      <c r="I491" s="10">
        <f>51.1334 * CHOOSE(CONTROL!$C$9, $D$9, 100%, $F$9) + CHOOSE(CONTROL!$C$27, 0.0021, 0)</f>
        <v>51.1355</v>
      </c>
      <c r="J491" s="10">
        <f>51.1334 * CHOOSE(CONTROL!$C$9, $D$9, 100%, $F$9) + CHOOSE(CONTROL!$C$27, 0.0021, 0)</f>
        <v>51.1355</v>
      </c>
      <c r="K491" s="10">
        <f>51.1334 * CHOOSE(CONTROL!$C$9, $D$9, 100%, $F$9) + CHOOSE(CONTROL!$C$27, 0.0021, 0)</f>
        <v>51.1355</v>
      </c>
      <c r="L491" s="10"/>
    </row>
    <row r="492" spans="1:12" ht="15.75" x14ac:dyDescent="0.25">
      <c r="A492" s="14">
        <v>56280</v>
      </c>
      <c r="B492" s="10">
        <f>50.8112 * CHOOSE(CONTROL!$C$9, $D$9, 100%, $F$9) + CHOOSE(CONTROL!$C$27, 0.0021, 0)</f>
        <v>50.813299999999998</v>
      </c>
      <c r="C492" s="10">
        <f>50.3789 * CHOOSE(CONTROL!$C$9, $D$9, 100%, $F$9) + CHOOSE(CONTROL!$C$27, 0.0021, 0)</f>
        <v>50.381</v>
      </c>
      <c r="D492" s="10">
        <f>50.3789 * CHOOSE(CONTROL!$C$9, $D$9, 100%, $F$9) + CHOOSE(CONTROL!$C$27, 0.0021, 0)</f>
        <v>50.381</v>
      </c>
      <c r="E492" s="10">
        <f>50.2423 * CHOOSE(CONTROL!$C$9, $D$9, 100%, $F$9) + CHOOSE(CONTROL!$C$27, 0.0021, 0)</f>
        <v>50.244399999999999</v>
      </c>
      <c r="F492" s="10">
        <f>50.2423 * CHOOSE(CONTROL!$C$9, $D$9, 100%, $F$9) + CHOOSE(CONTROL!$C$27, 0.0021, 0)</f>
        <v>50.244399999999999</v>
      </c>
      <c r="G492" s="10">
        <f>50.5137 * CHOOSE(CONTROL!$C$9, $D$9, 100%, $F$9) + CHOOSE(CONTROL!$C$27, 0.0021, 0)</f>
        <v>50.515799999999999</v>
      </c>
      <c r="H492" s="10">
        <f>50.3789 * CHOOSE(CONTROL!$C$9, $D$9, 100%, $F$9) + CHOOSE(CONTROL!$C$27, 0.0021, 0)</f>
        <v>50.381</v>
      </c>
      <c r="I492" s="10">
        <f>50.3789 * CHOOSE(CONTROL!$C$9, $D$9, 100%, $F$9) + CHOOSE(CONTROL!$C$27, 0.0021, 0)</f>
        <v>50.381</v>
      </c>
      <c r="J492" s="10">
        <f>50.3789 * CHOOSE(CONTROL!$C$9, $D$9, 100%, $F$9) + CHOOSE(CONTROL!$C$27, 0.0021, 0)</f>
        <v>50.381</v>
      </c>
      <c r="K492" s="10">
        <f>50.3789 * CHOOSE(CONTROL!$C$9, $D$9, 100%, $F$9) + CHOOSE(CONTROL!$C$27, 0.0021, 0)</f>
        <v>50.381</v>
      </c>
      <c r="L492" s="10"/>
    </row>
    <row r="493" spans="1:12" ht="15.75" x14ac:dyDescent="0.25">
      <c r="A493" s="14">
        <v>56308</v>
      </c>
      <c r="B493" s="10">
        <f>49.4388 * CHOOSE(CONTROL!$C$9, $D$9, 100%, $F$9) + CHOOSE(CONTROL!$C$27, 0.0021, 0)</f>
        <v>49.440899999999999</v>
      </c>
      <c r="C493" s="10">
        <f>49.0066 * CHOOSE(CONTROL!$C$9, $D$9, 100%, $F$9) + CHOOSE(CONTROL!$C$27, 0.0021, 0)</f>
        <v>49.008699999999997</v>
      </c>
      <c r="D493" s="10">
        <f>49.0066 * CHOOSE(CONTROL!$C$9, $D$9, 100%, $F$9) + CHOOSE(CONTROL!$C$27, 0.0021, 0)</f>
        <v>49.008699999999997</v>
      </c>
      <c r="E493" s="10">
        <f>48.8699 * CHOOSE(CONTROL!$C$9, $D$9, 100%, $F$9) + CHOOSE(CONTROL!$C$27, 0.0021, 0)</f>
        <v>48.872</v>
      </c>
      <c r="F493" s="10">
        <f>48.8699 * CHOOSE(CONTROL!$C$9, $D$9, 100%, $F$9) + CHOOSE(CONTROL!$C$27, 0.0021, 0)</f>
        <v>48.872</v>
      </c>
      <c r="G493" s="10">
        <f>49.1413 * CHOOSE(CONTROL!$C$9, $D$9, 100%, $F$9) + CHOOSE(CONTROL!$C$27, 0.0021, 0)</f>
        <v>49.1434</v>
      </c>
      <c r="H493" s="10">
        <f>49.0066 * CHOOSE(CONTROL!$C$9, $D$9, 100%, $F$9) + CHOOSE(CONTROL!$C$27, 0.0021, 0)</f>
        <v>49.008699999999997</v>
      </c>
      <c r="I493" s="10">
        <f>49.0066 * CHOOSE(CONTROL!$C$9, $D$9, 100%, $F$9) + CHOOSE(CONTROL!$C$27, 0.0021, 0)</f>
        <v>49.008699999999997</v>
      </c>
      <c r="J493" s="10">
        <f>49.0066 * CHOOSE(CONTROL!$C$9, $D$9, 100%, $F$9) + CHOOSE(CONTROL!$C$27, 0.0021, 0)</f>
        <v>49.008699999999997</v>
      </c>
      <c r="K493" s="10">
        <f>49.0066 * CHOOSE(CONTROL!$C$9, $D$9, 100%, $F$9) + CHOOSE(CONTROL!$C$27, 0.0021, 0)</f>
        <v>49.008699999999997</v>
      </c>
      <c r="L493" s="10"/>
    </row>
    <row r="494" spans="1:12" ht="15.75" x14ac:dyDescent="0.25">
      <c r="A494" s="14">
        <v>56339</v>
      </c>
      <c r="B494" s="10">
        <f>48.8723 * CHOOSE(CONTROL!$C$9, $D$9, 100%, $F$9) + CHOOSE(CONTROL!$C$27, 0.0021, 0)</f>
        <v>48.874400000000001</v>
      </c>
      <c r="C494" s="10">
        <f>48.4401 * CHOOSE(CONTROL!$C$9, $D$9, 100%, $F$9) + CHOOSE(CONTROL!$C$27, 0.0021, 0)</f>
        <v>48.4422</v>
      </c>
      <c r="D494" s="10">
        <f>48.4401 * CHOOSE(CONTROL!$C$9, $D$9, 100%, $F$9) + CHOOSE(CONTROL!$C$27, 0.0021, 0)</f>
        <v>48.4422</v>
      </c>
      <c r="E494" s="10">
        <f>48.3034 * CHOOSE(CONTROL!$C$9, $D$9, 100%, $F$9) + CHOOSE(CONTROL!$C$27, 0.0021, 0)</f>
        <v>48.305500000000002</v>
      </c>
      <c r="F494" s="10">
        <f>48.3034 * CHOOSE(CONTROL!$C$9, $D$9, 100%, $F$9) + CHOOSE(CONTROL!$C$27, 0.0021, 0)</f>
        <v>48.305500000000002</v>
      </c>
      <c r="G494" s="10">
        <f>48.5748 * CHOOSE(CONTROL!$C$9, $D$9, 100%, $F$9) + CHOOSE(CONTROL!$C$27, 0.0021, 0)</f>
        <v>48.576900000000002</v>
      </c>
      <c r="H494" s="10">
        <f>48.4401 * CHOOSE(CONTROL!$C$9, $D$9, 100%, $F$9) + CHOOSE(CONTROL!$C$27, 0.0021, 0)</f>
        <v>48.4422</v>
      </c>
      <c r="I494" s="10">
        <f>48.4401 * CHOOSE(CONTROL!$C$9, $D$9, 100%, $F$9) + CHOOSE(CONTROL!$C$27, 0.0021, 0)</f>
        <v>48.4422</v>
      </c>
      <c r="J494" s="10">
        <f>48.4401 * CHOOSE(CONTROL!$C$9, $D$9, 100%, $F$9) + CHOOSE(CONTROL!$C$27, 0.0021, 0)</f>
        <v>48.4422</v>
      </c>
      <c r="K494" s="10">
        <f>48.4401 * CHOOSE(CONTROL!$C$9, $D$9, 100%, $F$9) + CHOOSE(CONTROL!$C$27, 0.0021, 0)</f>
        <v>48.4422</v>
      </c>
      <c r="L494" s="10"/>
    </row>
    <row r="495" spans="1:12" ht="15.75" x14ac:dyDescent="0.25">
      <c r="A495" s="14">
        <v>56369</v>
      </c>
      <c r="B495" s="10">
        <f>48.1959 * CHOOSE(CONTROL!$C$9, $D$9, 100%, $F$9) + CHOOSE(CONTROL!$C$27, 0.0021, 0)</f>
        <v>48.198</v>
      </c>
      <c r="C495" s="10">
        <f>47.7636 * CHOOSE(CONTROL!$C$9, $D$9, 100%, $F$9) + CHOOSE(CONTROL!$C$27, 0.0021, 0)</f>
        <v>47.765699999999995</v>
      </c>
      <c r="D495" s="10">
        <f>47.7636 * CHOOSE(CONTROL!$C$9, $D$9, 100%, $F$9) + CHOOSE(CONTROL!$C$27, 0.0021, 0)</f>
        <v>47.765699999999995</v>
      </c>
      <c r="E495" s="10">
        <f>47.627 * CHOOSE(CONTROL!$C$9, $D$9, 100%, $F$9) + CHOOSE(CONTROL!$C$27, 0.0021, 0)</f>
        <v>47.629100000000001</v>
      </c>
      <c r="F495" s="10">
        <f>47.627 * CHOOSE(CONTROL!$C$9, $D$9, 100%, $F$9) + CHOOSE(CONTROL!$C$27, 0.0021, 0)</f>
        <v>47.629100000000001</v>
      </c>
      <c r="G495" s="10">
        <f>47.8983 * CHOOSE(CONTROL!$C$9, $D$9, 100%, $F$9) + CHOOSE(CONTROL!$C$27, 0.0021, 0)</f>
        <v>47.900399999999998</v>
      </c>
      <c r="H495" s="10">
        <f>47.7636 * CHOOSE(CONTROL!$C$9, $D$9, 100%, $F$9) + CHOOSE(CONTROL!$C$27, 0.0021, 0)</f>
        <v>47.765699999999995</v>
      </c>
      <c r="I495" s="10">
        <f>47.7636 * CHOOSE(CONTROL!$C$9, $D$9, 100%, $F$9) + CHOOSE(CONTROL!$C$27, 0.0021, 0)</f>
        <v>47.765699999999995</v>
      </c>
      <c r="J495" s="10">
        <f>47.7636 * CHOOSE(CONTROL!$C$9, $D$9, 100%, $F$9) + CHOOSE(CONTROL!$C$27, 0.0021, 0)</f>
        <v>47.765699999999995</v>
      </c>
      <c r="K495" s="10">
        <f>47.7636 * CHOOSE(CONTROL!$C$9, $D$9, 100%, $F$9) + CHOOSE(CONTROL!$C$27, 0.0021, 0)</f>
        <v>47.765699999999995</v>
      </c>
      <c r="L495" s="10"/>
    </row>
    <row r="496" spans="1:12" ht="15.75" x14ac:dyDescent="0.25">
      <c r="A496" s="14">
        <v>56400</v>
      </c>
      <c r="B496" s="10">
        <f>49.1599 * CHOOSE(CONTROL!$C$9, $D$9, 100%, $F$9) + CHOOSE(CONTROL!$C$27, 0.0021, 0)</f>
        <v>49.161999999999999</v>
      </c>
      <c r="C496" s="10">
        <f>48.7276 * CHOOSE(CONTROL!$C$9, $D$9, 100%, $F$9) + CHOOSE(CONTROL!$C$27, 0.0021, 0)</f>
        <v>48.729700000000001</v>
      </c>
      <c r="D496" s="10">
        <f>48.7276 * CHOOSE(CONTROL!$C$9, $D$9, 100%, $F$9) + CHOOSE(CONTROL!$C$27, 0.0021, 0)</f>
        <v>48.729700000000001</v>
      </c>
      <c r="E496" s="10">
        <f>48.591 * CHOOSE(CONTROL!$C$9, $D$9, 100%, $F$9) + CHOOSE(CONTROL!$C$27, 0.0021, 0)</f>
        <v>48.5931</v>
      </c>
      <c r="F496" s="10">
        <f>48.591 * CHOOSE(CONTROL!$C$9, $D$9, 100%, $F$9) + CHOOSE(CONTROL!$C$27, 0.0021, 0)</f>
        <v>48.5931</v>
      </c>
      <c r="G496" s="10">
        <f>48.8623 * CHOOSE(CONTROL!$C$9, $D$9, 100%, $F$9) + CHOOSE(CONTROL!$C$27, 0.0021, 0)</f>
        <v>48.864399999999996</v>
      </c>
      <c r="H496" s="10">
        <f>48.7276 * CHOOSE(CONTROL!$C$9, $D$9, 100%, $F$9) + CHOOSE(CONTROL!$C$27, 0.0021, 0)</f>
        <v>48.729700000000001</v>
      </c>
      <c r="I496" s="10">
        <f>48.7276 * CHOOSE(CONTROL!$C$9, $D$9, 100%, $F$9) + CHOOSE(CONTROL!$C$27, 0.0021, 0)</f>
        <v>48.729700000000001</v>
      </c>
      <c r="J496" s="10">
        <f>48.7276 * CHOOSE(CONTROL!$C$9, $D$9, 100%, $F$9) + CHOOSE(CONTROL!$C$27, 0.0021, 0)</f>
        <v>48.729700000000001</v>
      </c>
      <c r="K496" s="10">
        <f>48.7276 * CHOOSE(CONTROL!$C$9, $D$9, 100%, $F$9) + CHOOSE(CONTROL!$C$27, 0.0021, 0)</f>
        <v>48.729700000000001</v>
      </c>
      <c r="L496" s="10"/>
    </row>
    <row r="497" spans="1:12" ht="15.75" x14ac:dyDescent="0.25">
      <c r="A497" s="14">
        <v>56430</v>
      </c>
      <c r="B497" s="10">
        <f>49.7373 * CHOOSE(CONTROL!$C$9, $D$9, 100%, $F$9) + CHOOSE(CONTROL!$C$27, 0.0021, 0)</f>
        <v>49.739399999999996</v>
      </c>
      <c r="C497" s="10">
        <f>49.305 * CHOOSE(CONTROL!$C$9, $D$9, 100%, $F$9) + CHOOSE(CONTROL!$C$27, 0.0021, 0)</f>
        <v>49.307099999999998</v>
      </c>
      <c r="D497" s="10">
        <f>49.305 * CHOOSE(CONTROL!$C$9, $D$9, 100%, $F$9) + CHOOSE(CONTROL!$C$27, 0.0021, 0)</f>
        <v>49.307099999999998</v>
      </c>
      <c r="E497" s="10">
        <f>49.1684 * CHOOSE(CONTROL!$C$9, $D$9, 100%, $F$9) + CHOOSE(CONTROL!$C$27, 0.0021, 0)</f>
        <v>49.170499999999997</v>
      </c>
      <c r="F497" s="10">
        <f>49.1684 * CHOOSE(CONTROL!$C$9, $D$9, 100%, $F$9) + CHOOSE(CONTROL!$C$27, 0.0021, 0)</f>
        <v>49.170499999999997</v>
      </c>
      <c r="G497" s="10">
        <f>49.4397 * CHOOSE(CONTROL!$C$9, $D$9, 100%, $F$9) + CHOOSE(CONTROL!$C$27, 0.0021, 0)</f>
        <v>49.441800000000001</v>
      </c>
      <c r="H497" s="10">
        <f>49.305 * CHOOSE(CONTROL!$C$9, $D$9, 100%, $F$9) + CHOOSE(CONTROL!$C$27, 0.0021, 0)</f>
        <v>49.307099999999998</v>
      </c>
      <c r="I497" s="10">
        <f>49.305 * CHOOSE(CONTROL!$C$9, $D$9, 100%, $F$9) + CHOOSE(CONTROL!$C$27, 0.0021, 0)</f>
        <v>49.307099999999998</v>
      </c>
      <c r="J497" s="10">
        <f>49.305 * CHOOSE(CONTROL!$C$9, $D$9, 100%, $F$9) + CHOOSE(CONTROL!$C$27, 0.0021, 0)</f>
        <v>49.307099999999998</v>
      </c>
      <c r="K497" s="10">
        <f>49.305 * CHOOSE(CONTROL!$C$9, $D$9, 100%, $F$9) + CHOOSE(CONTROL!$C$27, 0.0021, 0)</f>
        <v>49.307099999999998</v>
      </c>
      <c r="L497" s="10"/>
    </row>
    <row r="498" spans="1:12" ht="15.75" x14ac:dyDescent="0.25">
      <c r="A498" s="14">
        <v>56461</v>
      </c>
      <c r="B498" s="10">
        <f>50.6898 * CHOOSE(CONTROL!$C$9, $D$9, 100%, $F$9) + CHOOSE(CONTROL!$C$27, 0.0021, 0)</f>
        <v>50.691899999999997</v>
      </c>
      <c r="C498" s="10">
        <f>50.2575 * CHOOSE(CONTROL!$C$9, $D$9, 100%, $F$9) + CHOOSE(CONTROL!$C$27, 0.0021, 0)</f>
        <v>50.259599999999999</v>
      </c>
      <c r="D498" s="10">
        <f>50.2575 * CHOOSE(CONTROL!$C$9, $D$9, 100%, $F$9) + CHOOSE(CONTROL!$C$27, 0.0021, 0)</f>
        <v>50.259599999999999</v>
      </c>
      <c r="E498" s="10">
        <f>50.1208 * CHOOSE(CONTROL!$C$9, $D$9, 100%, $F$9) + CHOOSE(CONTROL!$C$27, 0.0021, 0)</f>
        <v>50.122900000000001</v>
      </c>
      <c r="F498" s="10">
        <f>50.1208 * CHOOSE(CONTROL!$C$9, $D$9, 100%, $F$9) + CHOOSE(CONTROL!$C$27, 0.0021, 0)</f>
        <v>50.122900000000001</v>
      </c>
      <c r="G498" s="10">
        <f>50.3922 * CHOOSE(CONTROL!$C$9, $D$9, 100%, $F$9) + CHOOSE(CONTROL!$C$27, 0.0021, 0)</f>
        <v>50.394300000000001</v>
      </c>
      <c r="H498" s="10">
        <f>50.2575 * CHOOSE(CONTROL!$C$9, $D$9, 100%, $F$9) + CHOOSE(CONTROL!$C$27, 0.0021, 0)</f>
        <v>50.259599999999999</v>
      </c>
      <c r="I498" s="10">
        <f>50.2575 * CHOOSE(CONTROL!$C$9, $D$9, 100%, $F$9) + CHOOSE(CONTROL!$C$27, 0.0021, 0)</f>
        <v>50.259599999999999</v>
      </c>
      <c r="J498" s="10">
        <f>50.2575 * CHOOSE(CONTROL!$C$9, $D$9, 100%, $F$9) + CHOOSE(CONTROL!$C$27, 0.0021, 0)</f>
        <v>50.259599999999999</v>
      </c>
      <c r="K498" s="10">
        <f>50.2575 * CHOOSE(CONTROL!$C$9, $D$9, 100%, $F$9) + CHOOSE(CONTROL!$C$27, 0.0021, 0)</f>
        <v>50.259599999999999</v>
      </c>
      <c r="L498" s="10"/>
    </row>
    <row r="499" spans="1:12" ht="15.75" x14ac:dyDescent="0.25">
      <c r="A499" s="14">
        <v>56492</v>
      </c>
      <c r="B499" s="10">
        <f>50.9805 * CHOOSE(CONTROL!$C$9, $D$9, 100%, $F$9) + CHOOSE(CONTROL!$C$27, 0.0021, 0)</f>
        <v>50.982599999999998</v>
      </c>
      <c r="C499" s="10">
        <f>50.5482 * CHOOSE(CONTROL!$C$9, $D$9, 100%, $F$9) + CHOOSE(CONTROL!$C$27, 0.0021, 0)</f>
        <v>50.5503</v>
      </c>
      <c r="D499" s="10">
        <f>50.5482 * CHOOSE(CONTROL!$C$9, $D$9, 100%, $F$9) + CHOOSE(CONTROL!$C$27, 0.0021, 0)</f>
        <v>50.5503</v>
      </c>
      <c r="E499" s="10">
        <f>50.4116 * CHOOSE(CONTROL!$C$9, $D$9, 100%, $F$9) + CHOOSE(CONTROL!$C$27, 0.0021, 0)</f>
        <v>50.413699999999999</v>
      </c>
      <c r="F499" s="10">
        <f>50.4116 * CHOOSE(CONTROL!$C$9, $D$9, 100%, $F$9) + CHOOSE(CONTROL!$C$27, 0.0021, 0)</f>
        <v>50.413699999999999</v>
      </c>
      <c r="G499" s="10">
        <f>50.683 * CHOOSE(CONTROL!$C$9, $D$9, 100%, $F$9) + CHOOSE(CONTROL!$C$27, 0.0021, 0)</f>
        <v>50.685099999999998</v>
      </c>
      <c r="H499" s="10">
        <f>50.5482 * CHOOSE(CONTROL!$C$9, $D$9, 100%, $F$9) + CHOOSE(CONTROL!$C$27, 0.0021, 0)</f>
        <v>50.5503</v>
      </c>
      <c r="I499" s="10">
        <f>50.5482 * CHOOSE(CONTROL!$C$9, $D$9, 100%, $F$9) + CHOOSE(CONTROL!$C$27, 0.0021, 0)</f>
        <v>50.5503</v>
      </c>
      <c r="J499" s="10">
        <f>50.5482 * CHOOSE(CONTROL!$C$9, $D$9, 100%, $F$9) + CHOOSE(CONTROL!$C$27, 0.0021, 0)</f>
        <v>50.5503</v>
      </c>
      <c r="K499" s="10">
        <f>50.5482 * CHOOSE(CONTROL!$C$9, $D$9, 100%, $F$9) + CHOOSE(CONTROL!$C$27, 0.0021, 0)</f>
        <v>50.5503</v>
      </c>
      <c r="L499" s="10"/>
    </row>
    <row r="500" spans="1:12" ht="15.75" x14ac:dyDescent="0.25">
      <c r="A500" s="14">
        <v>56522</v>
      </c>
      <c r="B500" s="10">
        <f>51.9706 * CHOOSE(CONTROL!$C$9, $D$9, 100%, $F$9) + CHOOSE(CONTROL!$C$27, 0.0021, 0)</f>
        <v>51.972699999999996</v>
      </c>
      <c r="C500" s="10">
        <f>51.5383 * CHOOSE(CONTROL!$C$9, $D$9, 100%, $F$9) + CHOOSE(CONTROL!$C$27, 0.0021, 0)</f>
        <v>51.540399999999998</v>
      </c>
      <c r="D500" s="10">
        <f>51.5383 * CHOOSE(CONTROL!$C$9, $D$9, 100%, $F$9) + CHOOSE(CONTROL!$C$27, 0.0021, 0)</f>
        <v>51.540399999999998</v>
      </c>
      <c r="E500" s="10">
        <f>51.4016 * CHOOSE(CONTROL!$C$9, $D$9, 100%, $F$9) + CHOOSE(CONTROL!$C$27, 0.0021, 0)</f>
        <v>51.403700000000001</v>
      </c>
      <c r="F500" s="10">
        <f>51.4016 * CHOOSE(CONTROL!$C$9, $D$9, 100%, $F$9) + CHOOSE(CONTROL!$C$27, 0.0021, 0)</f>
        <v>51.403700000000001</v>
      </c>
      <c r="G500" s="10">
        <f>51.673 * CHOOSE(CONTROL!$C$9, $D$9, 100%, $F$9) + CHOOSE(CONTROL!$C$27, 0.0021, 0)</f>
        <v>51.6751</v>
      </c>
      <c r="H500" s="10">
        <f>51.5383 * CHOOSE(CONTROL!$C$9, $D$9, 100%, $F$9) + CHOOSE(CONTROL!$C$27, 0.0021, 0)</f>
        <v>51.540399999999998</v>
      </c>
      <c r="I500" s="10">
        <f>51.5383 * CHOOSE(CONTROL!$C$9, $D$9, 100%, $F$9) + CHOOSE(CONTROL!$C$27, 0.0021, 0)</f>
        <v>51.540399999999998</v>
      </c>
      <c r="J500" s="10">
        <f>51.5383 * CHOOSE(CONTROL!$C$9, $D$9, 100%, $F$9) + CHOOSE(CONTROL!$C$27, 0.0021, 0)</f>
        <v>51.540399999999998</v>
      </c>
      <c r="K500" s="10">
        <f>51.5383 * CHOOSE(CONTROL!$C$9, $D$9, 100%, $F$9) + CHOOSE(CONTROL!$C$27, 0.0021, 0)</f>
        <v>51.540399999999998</v>
      </c>
      <c r="L500" s="10"/>
    </row>
    <row r="501" spans="1:12" ht="15.75" x14ac:dyDescent="0.25">
      <c r="A501" s="14">
        <v>56553</v>
      </c>
      <c r="B501" s="10">
        <f>53.2238 * CHOOSE(CONTROL!$C$9, $D$9, 100%, $F$9) + CHOOSE(CONTROL!$C$27, 0.0021, 0)</f>
        <v>53.225899999999996</v>
      </c>
      <c r="C501" s="10">
        <f>52.7916 * CHOOSE(CONTROL!$C$9, $D$9, 100%, $F$9) + CHOOSE(CONTROL!$C$27, 0.0021, 0)</f>
        <v>52.793700000000001</v>
      </c>
      <c r="D501" s="10">
        <f>52.7916 * CHOOSE(CONTROL!$C$9, $D$9, 100%, $F$9) + CHOOSE(CONTROL!$C$27, 0.0021, 0)</f>
        <v>52.793700000000001</v>
      </c>
      <c r="E501" s="10">
        <f>52.6549 * CHOOSE(CONTROL!$C$9, $D$9, 100%, $F$9) + CHOOSE(CONTROL!$C$27, 0.0021, 0)</f>
        <v>52.656999999999996</v>
      </c>
      <c r="F501" s="10">
        <f>52.6549 * CHOOSE(CONTROL!$C$9, $D$9, 100%, $F$9) + CHOOSE(CONTROL!$C$27, 0.0021, 0)</f>
        <v>52.656999999999996</v>
      </c>
      <c r="G501" s="10">
        <f>52.9263 * CHOOSE(CONTROL!$C$9, $D$9, 100%, $F$9) + CHOOSE(CONTROL!$C$27, 0.0021, 0)</f>
        <v>52.928399999999996</v>
      </c>
      <c r="H501" s="10">
        <f>52.7916 * CHOOSE(CONTROL!$C$9, $D$9, 100%, $F$9) + CHOOSE(CONTROL!$C$27, 0.0021, 0)</f>
        <v>52.793700000000001</v>
      </c>
      <c r="I501" s="10">
        <f>52.7916 * CHOOSE(CONTROL!$C$9, $D$9, 100%, $F$9) + CHOOSE(CONTROL!$C$27, 0.0021, 0)</f>
        <v>52.793700000000001</v>
      </c>
      <c r="J501" s="10">
        <f>52.7916 * CHOOSE(CONTROL!$C$9, $D$9, 100%, $F$9) + CHOOSE(CONTROL!$C$27, 0.0021, 0)</f>
        <v>52.793700000000001</v>
      </c>
      <c r="K501" s="10">
        <f>52.7916 * CHOOSE(CONTROL!$C$9, $D$9, 100%, $F$9) + CHOOSE(CONTROL!$C$27, 0.0021, 0)</f>
        <v>52.793700000000001</v>
      </c>
      <c r="L501" s="10"/>
    </row>
    <row r="502" spans="1:12" ht="15.75" x14ac:dyDescent="0.25">
      <c r="A502" s="14">
        <v>56583</v>
      </c>
      <c r="B502" s="10">
        <f>53.3415 * CHOOSE(CONTROL!$C$9, $D$9, 100%, $F$9) + CHOOSE(CONTROL!$C$27, 0.0021, 0)</f>
        <v>53.343600000000002</v>
      </c>
      <c r="C502" s="10">
        <f>52.9092 * CHOOSE(CONTROL!$C$9, $D$9, 100%, $F$9) + CHOOSE(CONTROL!$C$27, 0.0021, 0)</f>
        <v>52.911299999999997</v>
      </c>
      <c r="D502" s="10">
        <f>52.9092 * CHOOSE(CONTROL!$C$9, $D$9, 100%, $F$9) + CHOOSE(CONTROL!$C$27, 0.0021, 0)</f>
        <v>52.911299999999997</v>
      </c>
      <c r="E502" s="10">
        <f>52.7726 * CHOOSE(CONTROL!$C$9, $D$9, 100%, $F$9) + CHOOSE(CONTROL!$C$27, 0.0021, 0)</f>
        <v>52.774699999999996</v>
      </c>
      <c r="F502" s="10">
        <f>52.7726 * CHOOSE(CONTROL!$C$9, $D$9, 100%, $F$9) + CHOOSE(CONTROL!$C$27, 0.0021, 0)</f>
        <v>52.774699999999996</v>
      </c>
      <c r="G502" s="10">
        <f>53.0439 * CHOOSE(CONTROL!$C$9, $D$9, 100%, $F$9) + CHOOSE(CONTROL!$C$27, 0.0021, 0)</f>
        <v>53.045999999999999</v>
      </c>
      <c r="H502" s="10">
        <f>52.9092 * CHOOSE(CONTROL!$C$9, $D$9, 100%, $F$9) + CHOOSE(CONTROL!$C$27, 0.0021, 0)</f>
        <v>52.911299999999997</v>
      </c>
      <c r="I502" s="10">
        <f>52.9092 * CHOOSE(CONTROL!$C$9, $D$9, 100%, $F$9) + CHOOSE(CONTROL!$C$27, 0.0021, 0)</f>
        <v>52.911299999999997</v>
      </c>
      <c r="J502" s="10">
        <f>52.9092 * CHOOSE(CONTROL!$C$9, $D$9, 100%, $F$9) + CHOOSE(CONTROL!$C$27, 0.0021, 0)</f>
        <v>52.911299999999997</v>
      </c>
      <c r="K502" s="10">
        <f>52.9092 * CHOOSE(CONTROL!$C$9, $D$9, 100%, $F$9) + CHOOSE(CONTROL!$C$27, 0.0021, 0)</f>
        <v>52.911299999999997</v>
      </c>
      <c r="L502" s="10"/>
    </row>
    <row r="503" spans="1:12" ht="15.75" x14ac:dyDescent="0.25">
      <c r="A503" s="14">
        <v>56614</v>
      </c>
      <c r="B503" s="10">
        <f>52.3405 * CHOOSE(CONTROL!$C$9, $D$9, 100%, $F$9) + CHOOSE(CONTROL!$C$27, 0.0021, 0)</f>
        <v>52.342599999999997</v>
      </c>
      <c r="C503" s="10">
        <f>51.9083 * CHOOSE(CONTROL!$C$9, $D$9, 100%, $F$9) + CHOOSE(CONTROL!$C$27, 0.0021, 0)</f>
        <v>51.910399999999996</v>
      </c>
      <c r="D503" s="10">
        <f>51.9083 * CHOOSE(CONTROL!$C$9, $D$9, 100%, $F$9) + CHOOSE(CONTROL!$C$27, 0.0021, 0)</f>
        <v>51.910399999999996</v>
      </c>
      <c r="E503" s="10">
        <f>51.7716 * CHOOSE(CONTROL!$C$9, $D$9, 100%, $F$9) + CHOOSE(CONTROL!$C$27, 0.0021, 0)</f>
        <v>51.773699999999998</v>
      </c>
      <c r="F503" s="10">
        <f>51.7716 * CHOOSE(CONTROL!$C$9, $D$9, 100%, $F$9) + CHOOSE(CONTROL!$C$27, 0.0021, 0)</f>
        <v>51.773699999999998</v>
      </c>
      <c r="G503" s="10">
        <f>52.043 * CHOOSE(CONTROL!$C$9, $D$9, 100%, $F$9) + CHOOSE(CONTROL!$C$27, 0.0021, 0)</f>
        <v>52.045099999999998</v>
      </c>
      <c r="H503" s="10">
        <f>51.9083 * CHOOSE(CONTROL!$C$9, $D$9, 100%, $F$9) + CHOOSE(CONTROL!$C$27, 0.0021, 0)</f>
        <v>51.910399999999996</v>
      </c>
      <c r="I503" s="10">
        <f>51.9083 * CHOOSE(CONTROL!$C$9, $D$9, 100%, $F$9) + CHOOSE(CONTROL!$C$27, 0.0021, 0)</f>
        <v>51.910399999999996</v>
      </c>
      <c r="J503" s="10">
        <f>51.9083 * CHOOSE(CONTROL!$C$9, $D$9, 100%, $F$9) + CHOOSE(CONTROL!$C$27, 0.0021, 0)</f>
        <v>51.910399999999996</v>
      </c>
      <c r="K503" s="10">
        <f>51.9083 * CHOOSE(CONTROL!$C$9, $D$9, 100%, $F$9) + CHOOSE(CONTROL!$C$27, 0.0021, 0)</f>
        <v>51.910399999999996</v>
      </c>
      <c r="L503" s="10"/>
    </row>
    <row r="504" spans="1:12" ht="15.75" x14ac:dyDescent="0.25">
      <c r="A504" s="13">
        <v>56645</v>
      </c>
      <c r="B504" s="10">
        <f>51.5742 * CHOOSE(CONTROL!$C$9, $D$9, 100%, $F$9) + CHOOSE(CONTROL!$C$27, 0.0021, 0)</f>
        <v>51.576299999999996</v>
      </c>
      <c r="C504" s="10">
        <f>51.1419 * CHOOSE(CONTROL!$C$9, $D$9, 100%, $F$9) + CHOOSE(CONTROL!$C$27, 0.0021, 0)</f>
        <v>51.143999999999998</v>
      </c>
      <c r="D504" s="10">
        <f>51.1419 * CHOOSE(CONTROL!$C$9, $D$9, 100%, $F$9) + CHOOSE(CONTROL!$C$27, 0.0021, 0)</f>
        <v>51.143999999999998</v>
      </c>
      <c r="E504" s="10">
        <f>51.0052 * CHOOSE(CONTROL!$C$9, $D$9, 100%, $F$9) + CHOOSE(CONTROL!$C$27, 0.0021, 0)</f>
        <v>51.007300000000001</v>
      </c>
      <c r="F504" s="10">
        <f>51.0052 * CHOOSE(CONTROL!$C$9, $D$9, 100%, $F$9) + CHOOSE(CONTROL!$C$27, 0.0021, 0)</f>
        <v>51.007300000000001</v>
      </c>
      <c r="G504" s="10">
        <f>51.2766 * CHOOSE(CONTROL!$C$9, $D$9, 100%, $F$9) + CHOOSE(CONTROL!$C$27, 0.0021, 0)</f>
        <v>51.278700000000001</v>
      </c>
      <c r="H504" s="10">
        <f>51.1419 * CHOOSE(CONTROL!$C$9, $D$9, 100%, $F$9) + CHOOSE(CONTROL!$C$27, 0.0021, 0)</f>
        <v>51.143999999999998</v>
      </c>
      <c r="I504" s="10">
        <f>51.1419 * CHOOSE(CONTROL!$C$9, $D$9, 100%, $F$9) + CHOOSE(CONTROL!$C$27, 0.0021, 0)</f>
        <v>51.143999999999998</v>
      </c>
      <c r="J504" s="10">
        <f>51.1419 * CHOOSE(CONTROL!$C$9, $D$9, 100%, $F$9) + CHOOSE(CONTROL!$C$27, 0.0021, 0)</f>
        <v>51.143999999999998</v>
      </c>
      <c r="K504" s="10">
        <f>51.1419 * CHOOSE(CONTROL!$C$9, $D$9, 100%, $F$9) + CHOOSE(CONTROL!$C$27, 0.0021, 0)</f>
        <v>51.143999999999998</v>
      </c>
      <c r="L504" s="10"/>
    </row>
    <row r="505" spans="1:12" ht="15.75" x14ac:dyDescent="0.25">
      <c r="A505" s="13">
        <v>56673</v>
      </c>
      <c r="B505" s="10">
        <f>50.1802 * CHOOSE(CONTROL!$C$9, $D$9, 100%, $F$9) + CHOOSE(CONTROL!$C$27, 0.0021, 0)</f>
        <v>50.182299999999998</v>
      </c>
      <c r="C505" s="10">
        <f>49.7479 * CHOOSE(CONTROL!$C$9, $D$9, 100%, $F$9) + CHOOSE(CONTROL!$C$27, 0.0021, 0)</f>
        <v>49.75</v>
      </c>
      <c r="D505" s="10">
        <f>49.7479 * CHOOSE(CONTROL!$C$9, $D$9, 100%, $F$9) + CHOOSE(CONTROL!$C$27, 0.0021, 0)</f>
        <v>49.75</v>
      </c>
      <c r="E505" s="10">
        <f>49.6113 * CHOOSE(CONTROL!$C$9, $D$9, 100%, $F$9) + CHOOSE(CONTROL!$C$27, 0.0021, 0)</f>
        <v>49.613399999999999</v>
      </c>
      <c r="F505" s="10">
        <f>49.6113 * CHOOSE(CONTROL!$C$9, $D$9, 100%, $F$9) + CHOOSE(CONTROL!$C$27, 0.0021, 0)</f>
        <v>49.613399999999999</v>
      </c>
      <c r="G505" s="10">
        <f>49.8827 * CHOOSE(CONTROL!$C$9, $D$9, 100%, $F$9) + CHOOSE(CONTROL!$C$27, 0.0021, 0)</f>
        <v>49.884799999999998</v>
      </c>
      <c r="H505" s="10">
        <f>49.7479 * CHOOSE(CONTROL!$C$9, $D$9, 100%, $F$9) + CHOOSE(CONTROL!$C$27, 0.0021, 0)</f>
        <v>49.75</v>
      </c>
      <c r="I505" s="10">
        <f>49.7479 * CHOOSE(CONTROL!$C$9, $D$9, 100%, $F$9) + CHOOSE(CONTROL!$C$27, 0.0021, 0)</f>
        <v>49.75</v>
      </c>
      <c r="J505" s="10">
        <f>49.7479 * CHOOSE(CONTROL!$C$9, $D$9, 100%, $F$9) + CHOOSE(CONTROL!$C$27, 0.0021, 0)</f>
        <v>49.75</v>
      </c>
      <c r="K505" s="10">
        <f>49.7479 * CHOOSE(CONTROL!$C$9, $D$9, 100%, $F$9) + CHOOSE(CONTROL!$C$27, 0.0021, 0)</f>
        <v>49.75</v>
      </c>
      <c r="L505" s="10"/>
    </row>
    <row r="506" spans="1:12" ht="15.75" x14ac:dyDescent="0.25">
      <c r="A506" s="13">
        <v>56704</v>
      </c>
      <c r="B506" s="10">
        <f>49.6048 * CHOOSE(CONTROL!$C$9, $D$9, 100%, $F$9) + CHOOSE(CONTROL!$C$27, 0.0021, 0)</f>
        <v>49.606899999999996</v>
      </c>
      <c r="C506" s="10">
        <f>49.1725 * CHOOSE(CONTROL!$C$9, $D$9, 100%, $F$9) + CHOOSE(CONTROL!$C$27, 0.0021, 0)</f>
        <v>49.174599999999998</v>
      </c>
      <c r="D506" s="10">
        <f>49.1725 * CHOOSE(CONTROL!$C$9, $D$9, 100%, $F$9) + CHOOSE(CONTROL!$C$27, 0.0021, 0)</f>
        <v>49.174599999999998</v>
      </c>
      <c r="E506" s="10">
        <f>49.0359 * CHOOSE(CONTROL!$C$9, $D$9, 100%, $F$9) + CHOOSE(CONTROL!$C$27, 0.0021, 0)</f>
        <v>49.037999999999997</v>
      </c>
      <c r="F506" s="10">
        <f>49.0359 * CHOOSE(CONTROL!$C$9, $D$9, 100%, $F$9) + CHOOSE(CONTROL!$C$27, 0.0021, 0)</f>
        <v>49.037999999999997</v>
      </c>
      <c r="G506" s="10">
        <f>49.3072 * CHOOSE(CONTROL!$C$9, $D$9, 100%, $F$9) + CHOOSE(CONTROL!$C$27, 0.0021, 0)</f>
        <v>49.3093</v>
      </c>
      <c r="H506" s="10">
        <f>49.1725 * CHOOSE(CONTROL!$C$9, $D$9, 100%, $F$9) + CHOOSE(CONTROL!$C$27, 0.0021, 0)</f>
        <v>49.174599999999998</v>
      </c>
      <c r="I506" s="10">
        <f>49.1725 * CHOOSE(CONTROL!$C$9, $D$9, 100%, $F$9) + CHOOSE(CONTROL!$C$27, 0.0021, 0)</f>
        <v>49.174599999999998</v>
      </c>
      <c r="J506" s="10">
        <f>49.1725 * CHOOSE(CONTROL!$C$9, $D$9, 100%, $F$9) + CHOOSE(CONTROL!$C$27, 0.0021, 0)</f>
        <v>49.174599999999998</v>
      </c>
      <c r="K506" s="10">
        <f>49.1725 * CHOOSE(CONTROL!$C$9, $D$9, 100%, $F$9) + CHOOSE(CONTROL!$C$27, 0.0021, 0)</f>
        <v>49.174599999999998</v>
      </c>
      <c r="L506" s="10"/>
    </row>
    <row r="507" spans="1:12" ht="15.75" x14ac:dyDescent="0.25">
      <c r="A507" s="13">
        <v>56734</v>
      </c>
      <c r="B507" s="10">
        <f>48.9177 * CHOOSE(CONTROL!$C$9, $D$9, 100%, $F$9) + CHOOSE(CONTROL!$C$27, 0.0021, 0)</f>
        <v>48.919800000000002</v>
      </c>
      <c r="C507" s="10">
        <f>48.4855 * CHOOSE(CONTROL!$C$9, $D$9, 100%, $F$9) + CHOOSE(CONTROL!$C$27, 0.0021, 0)</f>
        <v>48.4876</v>
      </c>
      <c r="D507" s="10">
        <f>48.4855 * CHOOSE(CONTROL!$C$9, $D$9, 100%, $F$9) + CHOOSE(CONTROL!$C$27, 0.0021, 0)</f>
        <v>48.4876</v>
      </c>
      <c r="E507" s="10">
        <f>48.3488 * CHOOSE(CONTROL!$C$9, $D$9, 100%, $F$9) + CHOOSE(CONTROL!$C$27, 0.0021, 0)</f>
        <v>48.350899999999996</v>
      </c>
      <c r="F507" s="10">
        <f>48.3488 * CHOOSE(CONTROL!$C$9, $D$9, 100%, $F$9) + CHOOSE(CONTROL!$C$27, 0.0021, 0)</f>
        <v>48.350899999999996</v>
      </c>
      <c r="G507" s="10">
        <f>48.6202 * CHOOSE(CONTROL!$C$9, $D$9, 100%, $F$9) + CHOOSE(CONTROL!$C$27, 0.0021, 0)</f>
        <v>48.622299999999996</v>
      </c>
      <c r="H507" s="10">
        <f>48.4855 * CHOOSE(CONTROL!$C$9, $D$9, 100%, $F$9) + CHOOSE(CONTROL!$C$27, 0.0021, 0)</f>
        <v>48.4876</v>
      </c>
      <c r="I507" s="10">
        <f>48.4855 * CHOOSE(CONTROL!$C$9, $D$9, 100%, $F$9) + CHOOSE(CONTROL!$C$27, 0.0021, 0)</f>
        <v>48.4876</v>
      </c>
      <c r="J507" s="10">
        <f>48.4855 * CHOOSE(CONTROL!$C$9, $D$9, 100%, $F$9) + CHOOSE(CONTROL!$C$27, 0.0021, 0)</f>
        <v>48.4876</v>
      </c>
      <c r="K507" s="10">
        <f>48.4855 * CHOOSE(CONTROL!$C$9, $D$9, 100%, $F$9) + CHOOSE(CONTROL!$C$27, 0.0021, 0)</f>
        <v>48.4876</v>
      </c>
      <c r="L507" s="10"/>
    </row>
    <row r="508" spans="1:12" ht="15.75" x14ac:dyDescent="0.25">
      <c r="A508" s="13">
        <v>56765</v>
      </c>
      <c r="B508" s="10">
        <f>49.8969 * CHOOSE(CONTROL!$C$9, $D$9, 100%, $F$9) + CHOOSE(CONTROL!$C$27, 0.0021, 0)</f>
        <v>49.899000000000001</v>
      </c>
      <c r="C508" s="10">
        <f>49.4646 * CHOOSE(CONTROL!$C$9, $D$9, 100%, $F$9) + CHOOSE(CONTROL!$C$27, 0.0021, 0)</f>
        <v>49.466699999999996</v>
      </c>
      <c r="D508" s="10">
        <f>49.4646 * CHOOSE(CONTROL!$C$9, $D$9, 100%, $F$9) + CHOOSE(CONTROL!$C$27, 0.0021, 0)</f>
        <v>49.466699999999996</v>
      </c>
      <c r="E508" s="10">
        <f>49.328 * CHOOSE(CONTROL!$C$9, $D$9, 100%, $F$9) + CHOOSE(CONTROL!$C$27, 0.0021, 0)</f>
        <v>49.330100000000002</v>
      </c>
      <c r="F508" s="10">
        <f>49.328 * CHOOSE(CONTROL!$C$9, $D$9, 100%, $F$9) + CHOOSE(CONTROL!$C$27, 0.0021, 0)</f>
        <v>49.330100000000002</v>
      </c>
      <c r="G508" s="10">
        <f>49.5993 * CHOOSE(CONTROL!$C$9, $D$9, 100%, $F$9) + CHOOSE(CONTROL!$C$27, 0.0021, 0)</f>
        <v>49.601399999999998</v>
      </c>
      <c r="H508" s="10">
        <f>49.4646 * CHOOSE(CONTROL!$C$9, $D$9, 100%, $F$9) + CHOOSE(CONTROL!$C$27, 0.0021, 0)</f>
        <v>49.466699999999996</v>
      </c>
      <c r="I508" s="10">
        <f>49.4646 * CHOOSE(CONTROL!$C$9, $D$9, 100%, $F$9) + CHOOSE(CONTROL!$C$27, 0.0021, 0)</f>
        <v>49.466699999999996</v>
      </c>
      <c r="J508" s="10">
        <f>49.4646 * CHOOSE(CONTROL!$C$9, $D$9, 100%, $F$9) + CHOOSE(CONTROL!$C$27, 0.0021, 0)</f>
        <v>49.466699999999996</v>
      </c>
      <c r="K508" s="10">
        <f>49.4646 * CHOOSE(CONTROL!$C$9, $D$9, 100%, $F$9) + CHOOSE(CONTROL!$C$27, 0.0021, 0)</f>
        <v>49.466699999999996</v>
      </c>
      <c r="L508" s="10"/>
    </row>
    <row r="509" spans="1:12" ht="15.75" x14ac:dyDescent="0.25">
      <c r="A509" s="13">
        <v>56795</v>
      </c>
      <c r="B509" s="10">
        <f>50.4833 * CHOOSE(CONTROL!$C$9, $D$9, 100%, $F$9) + CHOOSE(CONTROL!$C$27, 0.0021, 0)</f>
        <v>50.485399999999998</v>
      </c>
      <c r="C509" s="10">
        <f>50.0511 * CHOOSE(CONTROL!$C$9, $D$9, 100%, $F$9) + CHOOSE(CONTROL!$C$27, 0.0021, 0)</f>
        <v>50.053199999999997</v>
      </c>
      <c r="D509" s="10">
        <f>50.0511 * CHOOSE(CONTROL!$C$9, $D$9, 100%, $F$9) + CHOOSE(CONTROL!$C$27, 0.0021, 0)</f>
        <v>50.053199999999997</v>
      </c>
      <c r="E509" s="10">
        <f>49.9144 * CHOOSE(CONTROL!$C$9, $D$9, 100%, $F$9) + CHOOSE(CONTROL!$C$27, 0.0021, 0)</f>
        <v>49.916499999999999</v>
      </c>
      <c r="F509" s="10">
        <f>49.9144 * CHOOSE(CONTROL!$C$9, $D$9, 100%, $F$9) + CHOOSE(CONTROL!$C$27, 0.0021, 0)</f>
        <v>49.916499999999999</v>
      </c>
      <c r="G509" s="10">
        <f>50.1858 * CHOOSE(CONTROL!$C$9, $D$9, 100%, $F$9) + CHOOSE(CONTROL!$C$27, 0.0021, 0)</f>
        <v>50.187899999999999</v>
      </c>
      <c r="H509" s="10">
        <f>50.0511 * CHOOSE(CONTROL!$C$9, $D$9, 100%, $F$9) + CHOOSE(CONTROL!$C$27, 0.0021, 0)</f>
        <v>50.053199999999997</v>
      </c>
      <c r="I509" s="10">
        <f>50.0511 * CHOOSE(CONTROL!$C$9, $D$9, 100%, $F$9) + CHOOSE(CONTROL!$C$27, 0.0021, 0)</f>
        <v>50.053199999999997</v>
      </c>
      <c r="J509" s="10">
        <f>50.0511 * CHOOSE(CONTROL!$C$9, $D$9, 100%, $F$9) + CHOOSE(CONTROL!$C$27, 0.0021, 0)</f>
        <v>50.053199999999997</v>
      </c>
      <c r="K509" s="10">
        <f>50.0511 * CHOOSE(CONTROL!$C$9, $D$9, 100%, $F$9) + CHOOSE(CONTROL!$C$27, 0.0021, 0)</f>
        <v>50.053199999999997</v>
      </c>
      <c r="L509" s="10"/>
    </row>
    <row r="510" spans="1:12" ht="15.75" x14ac:dyDescent="0.25">
      <c r="A510" s="13">
        <v>56826</v>
      </c>
      <c r="B510" s="10">
        <f>51.4508 * CHOOSE(CONTROL!$C$9, $D$9, 100%, $F$9) + CHOOSE(CONTROL!$C$27, 0.0021, 0)</f>
        <v>51.4529</v>
      </c>
      <c r="C510" s="10">
        <f>51.0186 * CHOOSE(CONTROL!$C$9, $D$9, 100%, $F$9) + CHOOSE(CONTROL!$C$27, 0.0021, 0)</f>
        <v>51.020699999999998</v>
      </c>
      <c r="D510" s="10">
        <f>51.0186 * CHOOSE(CONTROL!$C$9, $D$9, 100%, $F$9) + CHOOSE(CONTROL!$C$27, 0.0021, 0)</f>
        <v>51.020699999999998</v>
      </c>
      <c r="E510" s="10">
        <f>50.8819 * CHOOSE(CONTROL!$C$9, $D$9, 100%, $F$9) + CHOOSE(CONTROL!$C$27, 0.0021, 0)</f>
        <v>50.884</v>
      </c>
      <c r="F510" s="10">
        <f>50.8819 * CHOOSE(CONTROL!$C$9, $D$9, 100%, $F$9) + CHOOSE(CONTROL!$C$27, 0.0021, 0)</f>
        <v>50.884</v>
      </c>
      <c r="G510" s="10">
        <f>51.1533 * CHOOSE(CONTROL!$C$9, $D$9, 100%, $F$9) + CHOOSE(CONTROL!$C$27, 0.0021, 0)</f>
        <v>51.1554</v>
      </c>
      <c r="H510" s="10">
        <f>51.0186 * CHOOSE(CONTROL!$C$9, $D$9, 100%, $F$9) + CHOOSE(CONTROL!$C$27, 0.0021, 0)</f>
        <v>51.020699999999998</v>
      </c>
      <c r="I510" s="10">
        <f>51.0186 * CHOOSE(CONTROL!$C$9, $D$9, 100%, $F$9) + CHOOSE(CONTROL!$C$27, 0.0021, 0)</f>
        <v>51.020699999999998</v>
      </c>
      <c r="J510" s="10">
        <f>51.0186 * CHOOSE(CONTROL!$C$9, $D$9, 100%, $F$9) + CHOOSE(CONTROL!$C$27, 0.0021, 0)</f>
        <v>51.020699999999998</v>
      </c>
      <c r="K510" s="10">
        <f>51.0186 * CHOOSE(CONTROL!$C$9, $D$9, 100%, $F$9) + CHOOSE(CONTROL!$C$27, 0.0021, 0)</f>
        <v>51.020699999999998</v>
      </c>
      <c r="L510" s="10"/>
    </row>
    <row r="511" spans="1:12" ht="15.75" x14ac:dyDescent="0.25">
      <c r="A511" s="13">
        <v>56857</v>
      </c>
      <c r="B511" s="10">
        <f>51.7461 * CHOOSE(CONTROL!$C$9, $D$9, 100%, $F$9) + CHOOSE(CONTROL!$C$27, 0.0021, 0)</f>
        <v>51.748199999999997</v>
      </c>
      <c r="C511" s="10">
        <f>51.3139 * CHOOSE(CONTROL!$C$9, $D$9, 100%, $F$9) + CHOOSE(CONTROL!$C$27, 0.0021, 0)</f>
        <v>51.315999999999995</v>
      </c>
      <c r="D511" s="10">
        <f>51.3139 * CHOOSE(CONTROL!$C$9, $D$9, 100%, $F$9) + CHOOSE(CONTROL!$C$27, 0.0021, 0)</f>
        <v>51.315999999999995</v>
      </c>
      <c r="E511" s="10">
        <f>51.1772 * CHOOSE(CONTROL!$C$9, $D$9, 100%, $F$9) + CHOOSE(CONTROL!$C$27, 0.0021, 0)</f>
        <v>51.179299999999998</v>
      </c>
      <c r="F511" s="10">
        <f>51.1772 * CHOOSE(CONTROL!$C$9, $D$9, 100%, $F$9) + CHOOSE(CONTROL!$C$27, 0.0021, 0)</f>
        <v>51.179299999999998</v>
      </c>
      <c r="G511" s="10">
        <f>51.4486 * CHOOSE(CONTROL!$C$9, $D$9, 100%, $F$9) + CHOOSE(CONTROL!$C$27, 0.0021, 0)</f>
        <v>51.450699999999998</v>
      </c>
      <c r="H511" s="10">
        <f>51.3139 * CHOOSE(CONTROL!$C$9, $D$9, 100%, $F$9) + CHOOSE(CONTROL!$C$27, 0.0021, 0)</f>
        <v>51.315999999999995</v>
      </c>
      <c r="I511" s="10">
        <f>51.3139 * CHOOSE(CONTROL!$C$9, $D$9, 100%, $F$9) + CHOOSE(CONTROL!$C$27, 0.0021, 0)</f>
        <v>51.315999999999995</v>
      </c>
      <c r="J511" s="10">
        <f>51.3139 * CHOOSE(CONTROL!$C$9, $D$9, 100%, $F$9) + CHOOSE(CONTROL!$C$27, 0.0021, 0)</f>
        <v>51.315999999999995</v>
      </c>
      <c r="K511" s="10">
        <f>51.3139 * CHOOSE(CONTROL!$C$9, $D$9, 100%, $F$9) + CHOOSE(CONTROL!$C$27, 0.0021, 0)</f>
        <v>51.315999999999995</v>
      </c>
      <c r="L511" s="10"/>
    </row>
    <row r="512" spans="1:12" ht="15.75" x14ac:dyDescent="0.25">
      <c r="A512" s="13">
        <v>56887</v>
      </c>
      <c r="B512" s="10">
        <f>52.7517 * CHOOSE(CONTROL!$C$9, $D$9, 100%, $F$9) + CHOOSE(CONTROL!$C$27, 0.0021, 0)</f>
        <v>52.753799999999998</v>
      </c>
      <c r="C512" s="10">
        <f>52.3195 * CHOOSE(CONTROL!$C$9, $D$9, 100%, $F$9) + CHOOSE(CONTROL!$C$27, 0.0021, 0)</f>
        <v>52.321599999999997</v>
      </c>
      <c r="D512" s="10">
        <f>52.3195 * CHOOSE(CONTROL!$C$9, $D$9, 100%, $F$9) + CHOOSE(CONTROL!$C$27, 0.0021, 0)</f>
        <v>52.321599999999997</v>
      </c>
      <c r="E512" s="10">
        <f>52.1828 * CHOOSE(CONTROL!$C$9, $D$9, 100%, $F$9) + CHOOSE(CONTROL!$C$27, 0.0021, 0)</f>
        <v>52.184899999999999</v>
      </c>
      <c r="F512" s="10">
        <f>52.1828 * CHOOSE(CONTROL!$C$9, $D$9, 100%, $F$9) + CHOOSE(CONTROL!$C$27, 0.0021, 0)</f>
        <v>52.184899999999999</v>
      </c>
      <c r="G512" s="10">
        <f>52.4542 * CHOOSE(CONTROL!$C$9, $D$9, 100%, $F$9) + CHOOSE(CONTROL!$C$27, 0.0021, 0)</f>
        <v>52.456299999999999</v>
      </c>
      <c r="H512" s="10">
        <f>52.3195 * CHOOSE(CONTROL!$C$9, $D$9, 100%, $F$9) + CHOOSE(CONTROL!$C$27, 0.0021, 0)</f>
        <v>52.321599999999997</v>
      </c>
      <c r="I512" s="10">
        <f>52.3195 * CHOOSE(CONTROL!$C$9, $D$9, 100%, $F$9) + CHOOSE(CONTROL!$C$27, 0.0021, 0)</f>
        <v>52.321599999999997</v>
      </c>
      <c r="J512" s="10">
        <f>52.3195 * CHOOSE(CONTROL!$C$9, $D$9, 100%, $F$9) + CHOOSE(CONTROL!$C$27, 0.0021, 0)</f>
        <v>52.321599999999997</v>
      </c>
      <c r="K512" s="10">
        <f>52.3195 * CHOOSE(CONTROL!$C$9, $D$9, 100%, $F$9) + CHOOSE(CONTROL!$C$27, 0.0021, 0)</f>
        <v>52.321599999999997</v>
      </c>
      <c r="L512" s="10"/>
    </row>
    <row r="513" spans="1:12" ht="15.75" x14ac:dyDescent="0.25">
      <c r="A513" s="13">
        <v>56918</v>
      </c>
      <c r="B513" s="10">
        <f>54.0247 * CHOOSE(CONTROL!$C$9, $D$9, 100%, $F$9) + CHOOSE(CONTROL!$C$27, 0.0021, 0)</f>
        <v>54.026800000000001</v>
      </c>
      <c r="C513" s="10">
        <f>53.5925 * CHOOSE(CONTROL!$C$9, $D$9, 100%, $F$9) + CHOOSE(CONTROL!$C$27, 0.0021, 0)</f>
        <v>53.5946</v>
      </c>
      <c r="D513" s="10">
        <f>53.5925 * CHOOSE(CONTROL!$C$9, $D$9, 100%, $F$9) + CHOOSE(CONTROL!$C$27, 0.0021, 0)</f>
        <v>53.5946</v>
      </c>
      <c r="E513" s="10">
        <f>53.4558 * CHOOSE(CONTROL!$C$9, $D$9, 100%, $F$9) + CHOOSE(CONTROL!$C$27, 0.0021, 0)</f>
        <v>53.457900000000002</v>
      </c>
      <c r="F513" s="10">
        <f>53.4558 * CHOOSE(CONTROL!$C$9, $D$9, 100%, $F$9) + CHOOSE(CONTROL!$C$27, 0.0021, 0)</f>
        <v>53.457900000000002</v>
      </c>
      <c r="G513" s="10">
        <f>53.7272 * CHOOSE(CONTROL!$C$9, $D$9, 100%, $F$9) + CHOOSE(CONTROL!$C$27, 0.0021, 0)</f>
        <v>53.729300000000002</v>
      </c>
      <c r="H513" s="10">
        <f>53.5925 * CHOOSE(CONTROL!$C$9, $D$9, 100%, $F$9) + CHOOSE(CONTROL!$C$27, 0.0021, 0)</f>
        <v>53.5946</v>
      </c>
      <c r="I513" s="10">
        <f>53.5925 * CHOOSE(CONTROL!$C$9, $D$9, 100%, $F$9) + CHOOSE(CONTROL!$C$27, 0.0021, 0)</f>
        <v>53.5946</v>
      </c>
      <c r="J513" s="10">
        <f>53.5925 * CHOOSE(CONTROL!$C$9, $D$9, 100%, $F$9) + CHOOSE(CONTROL!$C$27, 0.0021, 0)</f>
        <v>53.5946</v>
      </c>
      <c r="K513" s="10">
        <f>53.5925 * CHOOSE(CONTROL!$C$9, $D$9, 100%, $F$9) + CHOOSE(CONTROL!$C$27, 0.0021, 0)</f>
        <v>53.5946</v>
      </c>
      <c r="L513" s="10"/>
    </row>
    <row r="514" spans="1:12" ht="15.75" x14ac:dyDescent="0.25">
      <c r="A514" s="13">
        <v>56948</v>
      </c>
      <c r="B514" s="10">
        <f>54.1442 * CHOOSE(CONTROL!$C$9, $D$9, 100%, $F$9) + CHOOSE(CONTROL!$C$27, 0.0021, 0)</f>
        <v>54.146299999999997</v>
      </c>
      <c r="C514" s="10">
        <f>53.712 * CHOOSE(CONTROL!$C$9, $D$9, 100%, $F$9) + CHOOSE(CONTROL!$C$27, 0.0021, 0)</f>
        <v>53.714100000000002</v>
      </c>
      <c r="D514" s="10">
        <f>53.712 * CHOOSE(CONTROL!$C$9, $D$9, 100%, $F$9) + CHOOSE(CONTROL!$C$27, 0.0021, 0)</f>
        <v>53.714100000000002</v>
      </c>
      <c r="E514" s="10">
        <f>53.5753 * CHOOSE(CONTROL!$C$9, $D$9, 100%, $F$9) + CHOOSE(CONTROL!$C$27, 0.0021, 0)</f>
        <v>53.577399999999997</v>
      </c>
      <c r="F514" s="10">
        <f>53.5753 * CHOOSE(CONTROL!$C$9, $D$9, 100%, $F$9) + CHOOSE(CONTROL!$C$27, 0.0021, 0)</f>
        <v>53.577399999999997</v>
      </c>
      <c r="G514" s="10">
        <f>53.8467 * CHOOSE(CONTROL!$C$9, $D$9, 100%, $F$9) + CHOOSE(CONTROL!$C$27, 0.0021, 0)</f>
        <v>53.848799999999997</v>
      </c>
      <c r="H514" s="10">
        <f>53.712 * CHOOSE(CONTROL!$C$9, $D$9, 100%, $F$9) + CHOOSE(CONTROL!$C$27, 0.0021, 0)</f>
        <v>53.714100000000002</v>
      </c>
      <c r="I514" s="10">
        <f>53.712 * CHOOSE(CONTROL!$C$9, $D$9, 100%, $F$9) + CHOOSE(CONTROL!$C$27, 0.0021, 0)</f>
        <v>53.714100000000002</v>
      </c>
      <c r="J514" s="10">
        <f>53.712 * CHOOSE(CONTROL!$C$9, $D$9, 100%, $F$9) + CHOOSE(CONTROL!$C$27, 0.0021, 0)</f>
        <v>53.714100000000002</v>
      </c>
      <c r="K514" s="10">
        <f>53.712 * CHOOSE(CONTROL!$C$9, $D$9, 100%, $F$9) + CHOOSE(CONTROL!$C$27, 0.0021, 0)</f>
        <v>53.714100000000002</v>
      </c>
      <c r="L514" s="10"/>
    </row>
    <row r="515" spans="1:12" ht="15.75" x14ac:dyDescent="0.25">
      <c r="A515" s="13">
        <v>56979</v>
      </c>
      <c r="B515" s="10">
        <f>53.1275 * CHOOSE(CONTROL!$C$9, $D$9, 100%, $F$9) + CHOOSE(CONTROL!$C$27, 0.0021, 0)</f>
        <v>53.129599999999996</v>
      </c>
      <c r="C515" s="10">
        <f>52.6953 * CHOOSE(CONTROL!$C$9, $D$9, 100%, $F$9) + CHOOSE(CONTROL!$C$27, 0.0021, 0)</f>
        <v>52.697400000000002</v>
      </c>
      <c r="D515" s="10">
        <f>52.6953 * CHOOSE(CONTROL!$C$9, $D$9, 100%, $F$9) + CHOOSE(CONTROL!$C$27, 0.0021, 0)</f>
        <v>52.697400000000002</v>
      </c>
      <c r="E515" s="10">
        <f>52.5586 * CHOOSE(CONTROL!$C$9, $D$9, 100%, $F$9) + CHOOSE(CONTROL!$C$27, 0.0021, 0)</f>
        <v>52.560699999999997</v>
      </c>
      <c r="F515" s="10">
        <f>52.5586 * CHOOSE(CONTROL!$C$9, $D$9, 100%, $F$9) + CHOOSE(CONTROL!$C$27, 0.0021, 0)</f>
        <v>52.560699999999997</v>
      </c>
      <c r="G515" s="10">
        <f>52.83 * CHOOSE(CONTROL!$C$9, $D$9, 100%, $F$9) + CHOOSE(CONTROL!$C$27, 0.0021, 0)</f>
        <v>52.832099999999997</v>
      </c>
      <c r="H515" s="10">
        <f>52.6953 * CHOOSE(CONTROL!$C$9, $D$9, 100%, $F$9) + CHOOSE(CONTROL!$C$27, 0.0021, 0)</f>
        <v>52.697400000000002</v>
      </c>
      <c r="I515" s="10">
        <f>52.6953 * CHOOSE(CONTROL!$C$9, $D$9, 100%, $F$9) + CHOOSE(CONTROL!$C$27, 0.0021, 0)</f>
        <v>52.697400000000002</v>
      </c>
      <c r="J515" s="10">
        <f>52.6953 * CHOOSE(CONTROL!$C$9, $D$9, 100%, $F$9) + CHOOSE(CONTROL!$C$27, 0.0021, 0)</f>
        <v>52.697400000000002</v>
      </c>
      <c r="K515" s="10">
        <f>52.6953 * CHOOSE(CONTROL!$C$9, $D$9, 100%, $F$9) + CHOOSE(CONTROL!$C$27, 0.0021, 0)</f>
        <v>52.697400000000002</v>
      </c>
      <c r="L515" s="10"/>
    </row>
    <row r="516" spans="1:12" ht="15.75" x14ac:dyDescent="0.25">
      <c r="A516" s="13">
        <v>57010</v>
      </c>
      <c r="B516" s="10">
        <f>52.3491 * CHOOSE(CONTROL!$C$9, $D$9, 100%, $F$9) + CHOOSE(CONTROL!$C$27, 0.0021, 0)</f>
        <v>52.351199999999999</v>
      </c>
      <c r="C516" s="10">
        <f>51.9169 * CHOOSE(CONTROL!$C$9, $D$9, 100%, $F$9) + CHOOSE(CONTROL!$C$27, 0.0021, 0)</f>
        <v>51.918999999999997</v>
      </c>
      <c r="D516" s="10">
        <f>51.9169 * CHOOSE(CONTROL!$C$9, $D$9, 100%, $F$9) + CHOOSE(CONTROL!$C$27, 0.0021, 0)</f>
        <v>51.918999999999997</v>
      </c>
      <c r="E516" s="10">
        <f>51.7802 * CHOOSE(CONTROL!$C$9, $D$9, 100%, $F$9) + CHOOSE(CONTROL!$C$27, 0.0021, 0)</f>
        <v>51.782299999999999</v>
      </c>
      <c r="F516" s="10">
        <f>51.7802 * CHOOSE(CONTROL!$C$9, $D$9, 100%, $F$9) + CHOOSE(CONTROL!$C$27, 0.0021, 0)</f>
        <v>51.782299999999999</v>
      </c>
      <c r="G516" s="10">
        <f>52.0516 * CHOOSE(CONTROL!$C$9, $D$9, 100%, $F$9) + CHOOSE(CONTROL!$C$27, 0.0021, 0)</f>
        <v>52.053699999999999</v>
      </c>
      <c r="H516" s="10">
        <f>51.9169 * CHOOSE(CONTROL!$C$9, $D$9, 100%, $F$9) + CHOOSE(CONTROL!$C$27, 0.0021, 0)</f>
        <v>51.918999999999997</v>
      </c>
      <c r="I516" s="10">
        <f>51.9169 * CHOOSE(CONTROL!$C$9, $D$9, 100%, $F$9) + CHOOSE(CONTROL!$C$27, 0.0021, 0)</f>
        <v>51.918999999999997</v>
      </c>
      <c r="J516" s="10">
        <f>51.9169 * CHOOSE(CONTROL!$C$9, $D$9, 100%, $F$9) + CHOOSE(CONTROL!$C$27, 0.0021, 0)</f>
        <v>51.918999999999997</v>
      </c>
      <c r="K516" s="10">
        <f>51.9169 * CHOOSE(CONTROL!$C$9, $D$9, 100%, $F$9) + CHOOSE(CONTROL!$C$27, 0.0021, 0)</f>
        <v>51.918999999999997</v>
      </c>
      <c r="L516" s="10"/>
    </row>
    <row r="517" spans="1:12" ht="15.75" x14ac:dyDescent="0.25">
      <c r="A517" s="13">
        <v>57038</v>
      </c>
      <c r="B517" s="10">
        <f>50.9332 * CHOOSE(CONTROL!$C$9, $D$9, 100%, $F$9) + CHOOSE(CONTROL!$C$27, 0.0021, 0)</f>
        <v>50.935299999999998</v>
      </c>
      <c r="C517" s="10">
        <f>50.501 * CHOOSE(CONTROL!$C$9, $D$9, 100%, $F$9) + CHOOSE(CONTROL!$C$27, 0.0021, 0)</f>
        <v>50.503099999999996</v>
      </c>
      <c r="D517" s="10">
        <f>50.501 * CHOOSE(CONTROL!$C$9, $D$9, 100%, $F$9) + CHOOSE(CONTROL!$C$27, 0.0021, 0)</f>
        <v>50.503099999999996</v>
      </c>
      <c r="E517" s="10">
        <f>50.3643 * CHOOSE(CONTROL!$C$9, $D$9, 100%, $F$9) + CHOOSE(CONTROL!$C$27, 0.0021, 0)</f>
        <v>50.366399999999999</v>
      </c>
      <c r="F517" s="10">
        <f>50.3643 * CHOOSE(CONTROL!$C$9, $D$9, 100%, $F$9) + CHOOSE(CONTROL!$C$27, 0.0021, 0)</f>
        <v>50.366399999999999</v>
      </c>
      <c r="G517" s="10">
        <f>50.6357 * CHOOSE(CONTROL!$C$9, $D$9, 100%, $F$9) + CHOOSE(CONTROL!$C$27, 0.0021, 0)</f>
        <v>50.637799999999999</v>
      </c>
      <c r="H517" s="10">
        <f>50.501 * CHOOSE(CONTROL!$C$9, $D$9, 100%, $F$9) + CHOOSE(CONTROL!$C$27, 0.0021, 0)</f>
        <v>50.503099999999996</v>
      </c>
      <c r="I517" s="10">
        <f>50.501 * CHOOSE(CONTROL!$C$9, $D$9, 100%, $F$9) + CHOOSE(CONTROL!$C$27, 0.0021, 0)</f>
        <v>50.503099999999996</v>
      </c>
      <c r="J517" s="10">
        <f>50.501 * CHOOSE(CONTROL!$C$9, $D$9, 100%, $F$9) + CHOOSE(CONTROL!$C$27, 0.0021, 0)</f>
        <v>50.503099999999996</v>
      </c>
      <c r="K517" s="10">
        <f>50.501 * CHOOSE(CONTROL!$C$9, $D$9, 100%, $F$9) + CHOOSE(CONTROL!$C$27, 0.0021, 0)</f>
        <v>50.503099999999996</v>
      </c>
      <c r="L517" s="10"/>
    </row>
    <row r="518" spans="1:12" ht="15.75" x14ac:dyDescent="0.25">
      <c r="A518" s="13">
        <v>57070</v>
      </c>
      <c r="B518" s="10">
        <f>50.3488 * CHOOSE(CONTROL!$C$9, $D$9, 100%, $F$9) + CHOOSE(CONTROL!$C$27, 0.0021, 0)</f>
        <v>50.350899999999996</v>
      </c>
      <c r="C518" s="10">
        <f>49.9165 * CHOOSE(CONTROL!$C$9, $D$9, 100%, $F$9) + CHOOSE(CONTROL!$C$27, 0.0021, 0)</f>
        <v>49.918599999999998</v>
      </c>
      <c r="D518" s="10">
        <f>49.9165 * CHOOSE(CONTROL!$C$9, $D$9, 100%, $F$9) + CHOOSE(CONTROL!$C$27, 0.0021, 0)</f>
        <v>49.918599999999998</v>
      </c>
      <c r="E518" s="10">
        <f>49.7799 * CHOOSE(CONTROL!$C$9, $D$9, 100%, $F$9) + CHOOSE(CONTROL!$C$27, 0.0021, 0)</f>
        <v>49.781999999999996</v>
      </c>
      <c r="F518" s="10">
        <f>49.7799 * CHOOSE(CONTROL!$C$9, $D$9, 100%, $F$9) + CHOOSE(CONTROL!$C$27, 0.0021, 0)</f>
        <v>49.781999999999996</v>
      </c>
      <c r="G518" s="10">
        <f>50.0512 * CHOOSE(CONTROL!$C$9, $D$9, 100%, $F$9) + CHOOSE(CONTROL!$C$27, 0.0021, 0)</f>
        <v>50.0533</v>
      </c>
      <c r="H518" s="10">
        <f>49.9165 * CHOOSE(CONTROL!$C$9, $D$9, 100%, $F$9) + CHOOSE(CONTROL!$C$27, 0.0021, 0)</f>
        <v>49.918599999999998</v>
      </c>
      <c r="I518" s="10">
        <f>49.9165 * CHOOSE(CONTROL!$C$9, $D$9, 100%, $F$9) + CHOOSE(CONTROL!$C$27, 0.0021, 0)</f>
        <v>49.918599999999998</v>
      </c>
      <c r="J518" s="10">
        <f>49.9165 * CHOOSE(CONTROL!$C$9, $D$9, 100%, $F$9) + CHOOSE(CONTROL!$C$27, 0.0021, 0)</f>
        <v>49.918599999999998</v>
      </c>
      <c r="K518" s="10">
        <f>49.9165 * CHOOSE(CONTROL!$C$9, $D$9, 100%, $F$9) + CHOOSE(CONTROL!$C$27, 0.0021, 0)</f>
        <v>49.918599999999998</v>
      </c>
      <c r="L518" s="10"/>
    </row>
    <row r="519" spans="1:12" ht="15.75" x14ac:dyDescent="0.25">
      <c r="A519" s="13">
        <v>57100</v>
      </c>
      <c r="B519" s="10">
        <f>49.6509 * CHOOSE(CONTROL!$C$9, $D$9, 100%, $F$9) + CHOOSE(CONTROL!$C$27, 0.0021, 0)</f>
        <v>49.652999999999999</v>
      </c>
      <c r="C519" s="10">
        <f>49.2186 * CHOOSE(CONTROL!$C$9, $D$9, 100%, $F$9) + CHOOSE(CONTROL!$C$27, 0.0021, 0)</f>
        <v>49.220700000000001</v>
      </c>
      <c r="D519" s="10">
        <f>49.2186 * CHOOSE(CONTROL!$C$9, $D$9, 100%, $F$9) + CHOOSE(CONTROL!$C$27, 0.0021, 0)</f>
        <v>49.220700000000001</v>
      </c>
      <c r="E519" s="10">
        <f>49.082 * CHOOSE(CONTROL!$C$9, $D$9, 100%, $F$9) + CHOOSE(CONTROL!$C$27, 0.0021, 0)</f>
        <v>49.084099999999999</v>
      </c>
      <c r="F519" s="10">
        <f>49.082 * CHOOSE(CONTROL!$C$9, $D$9, 100%, $F$9) + CHOOSE(CONTROL!$C$27, 0.0021, 0)</f>
        <v>49.084099999999999</v>
      </c>
      <c r="G519" s="10">
        <f>49.3534 * CHOOSE(CONTROL!$C$9, $D$9, 100%, $F$9) + CHOOSE(CONTROL!$C$27, 0.0021, 0)</f>
        <v>49.355499999999999</v>
      </c>
      <c r="H519" s="10">
        <f>49.2186 * CHOOSE(CONTROL!$C$9, $D$9, 100%, $F$9) + CHOOSE(CONTROL!$C$27, 0.0021, 0)</f>
        <v>49.220700000000001</v>
      </c>
      <c r="I519" s="10">
        <f>49.2186 * CHOOSE(CONTROL!$C$9, $D$9, 100%, $F$9) + CHOOSE(CONTROL!$C$27, 0.0021, 0)</f>
        <v>49.220700000000001</v>
      </c>
      <c r="J519" s="10">
        <f>49.2186 * CHOOSE(CONTROL!$C$9, $D$9, 100%, $F$9) + CHOOSE(CONTROL!$C$27, 0.0021, 0)</f>
        <v>49.220700000000001</v>
      </c>
      <c r="K519" s="10">
        <f>49.2186 * CHOOSE(CONTROL!$C$9, $D$9, 100%, $F$9) + CHOOSE(CONTROL!$C$27, 0.0021, 0)</f>
        <v>49.220700000000001</v>
      </c>
      <c r="L519" s="10"/>
    </row>
    <row r="520" spans="1:12" ht="15.75" x14ac:dyDescent="0.25">
      <c r="A520" s="13">
        <v>57131</v>
      </c>
      <c r="B520" s="10">
        <f>50.6454 * CHOOSE(CONTROL!$C$9, $D$9, 100%, $F$9) + CHOOSE(CONTROL!$C$27, 0.0021, 0)</f>
        <v>50.647500000000001</v>
      </c>
      <c r="C520" s="10">
        <f>50.2132 * CHOOSE(CONTROL!$C$9, $D$9, 100%, $F$9) + CHOOSE(CONTROL!$C$27, 0.0021, 0)</f>
        <v>50.215299999999999</v>
      </c>
      <c r="D520" s="10">
        <f>50.2132 * CHOOSE(CONTROL!$C$9, $D$9, 100%, $F$9) + CHOOSE(CONTROL!$C$27, 0.0021, 0)</f>
        <v>50.215299999999999</v>
      </c>
      <c r="E520" s="10">
        <f>50.0765 * CHOOSE(CONTROL!$C$9, $D$9, 100%, $F$9) + CHOOSE(CONTROL!$C$27, 0.0021, 0)</f>
        <v>50.078600000000002</v>
      </c>
      <c r="F520" s="10">
        <f>50.0765 * CHOOSE(CONTROL!$C$9, $D$9, 100%, $F$9) + CHOOSE(CONTROL!$C$27, 0.0021, 0)</f>
        <v>50.078600000000002</v>
      </c>
      <c r="G520" s="10">
        <f>50.3479 * CHOOSE(CONTROL!$C$9, $D$9, 100%, $F$9) + CHOOSE(CONTROL!$C$27, 0.0021, 0)</f>
        <v>50.35</v>
      </c>
      <c r="H520" s="10">
        <f>50.2132 * CHOOSE(CONTROL!$C$9, $D$9, 100%, $F$9) + CHOOSE(CONTROL!$C$27, 0.0021, 0)</f>
        <v>50.215299999999999</v>
      </c>
      <c r="I520" s="10">
        <f>50.2132 * CHOOSE(CONTROL!$C$9, $D$9, 100%, $F$9) + CHOOSE(CONTROL!$C$27, 0.0021, 0)</f>
        <v>50.215299999999999</v>
      </c>
      <c r="J520" s="10">
        <f>50.2132 * CHOOSE(CONTROL!$C$9, $D$9, 100%, $F$9) + CHOOSE(CONTROL!$C$27, 0.0021, 0)</f>
        <v>50.215299999999999</v>
      </c>
      <c r="K520" s="10">
        <f>50.2132 * CHOOSE(CONTROL!$C$9, $D$9, 100%, $F$9) + CHOOSE(CONTROL!$C$27, 0.0021, 0)</f>
        <v>50.215299999999999</v>
      </c>
      <c r="L520" s="10"/>
    </row>
    <row r="521" spans="1:12" ht="15.75" x14ac:dyDescent="0.25">
      <c r="A521" s="13">
        <v>57161</v>
      </c>
      <c r="B521" s="10">
        <f>51.2411 * CHOOSE(CONTROL!$C$9, $D$9, 100%, $F$9) + CHOOSE(CONTROL!$C$27, 0.0021, 0)</f>
        <v>51.243200000000002</v>
      </c>
      <c r="C521" s="10">
        <f>50.8089 * CHOOSE(CONTROL!$C$9, $D$9, 100%, $F$9) + CHOOSE(CONTROL!$C$27, 0.0021, 0)</f>
        <v>50.811</v>
      </c>
      <c r="D521" s="10">
        <f>50.8089 * CHOOSE(CONTROL!$C$9, $D$9, 100%, $F$9) + CHOOSE(CONTROL!$C$27, 0.0021, 0)</f>
        <v>50.811</v>
      </c>
      <c r="E521" s="10">
        <f>50.6722 * CHOOSE(CONTROL!$C$9, $D$9, 100%, $F$9) + CHOOSE(CONTROL!$C$27, 0.0021, 0)</f>
        <v>50.674299999999995</v>
      </c>
      <c r="F521" s="10">
        <f>50.6722 * CHOOSE(CONTROL!$C$9, $D$9, 100%, $F$9) + CHOOSE(CONTROL!$C$27, 0.0021, 0)</f>
        <v>50.674299999999995</v>
      </c>
      <c r="G521" s="10">
        <f>50.9436 * CHOOSE(CONTROL!$C$9, $D$9, 100%, $F$9) + CHOOSE(CONTROL!$C$27, 0.0021, 0)</f>
        <v>50.945700000000002</v>
      </c>
      <c r="H521" s="10">
        <f>50.8089 * CHOOSE(CONTROL!$C$9, $D$9, 100%, $F$9) + CHOOSE(CONTROL!$C$27, 0.0021, 0)</f>
        <v>50.811</v>
      </c>
      <c r="I521" s="10">
        <f>50.8089 * CHOOSE(CONTROL!$C$9, $D$9, 100%, $F$9) + CHOOSE(CONTROL!$C$27, 0.0021, 0)</f>
        <v>50.811</v>
      </c>
      <c r="J521" s="10">
        <f>50.8089 * CHOOSE(CONTROL!$C$9, $D$9, 100%, $F$9) + CHOOSE(CONTROL!$C$27, 0.0021, 0)</f>
        <v>50.811</v>
      </c>
      <c r="K521" s="10">
        <f>50.8089 * CHOOSE(CONTROL!$C$9, $D$9, 100%, $F$9) + CHOOSE(CONTROL!$C$27, 0.0021, 0)</f>
        <v>50.811</v>
      </c>
      <c r="L521" s="10"/>
    </row>
    <row r="522" spans="1:12" ht="15.75" x14ac:dyDescent="0.25">
      <c r="A522" s="13">
        <v>57192</v>
      </c>
      <c r="B522" s="10">
        <f>52.2238 * CHOOSE(CONTROL!$C$9, $D$9, 100%, $F$9) + CHOOSE(CONTROL!$C$27, 0.0021, 0)</f>
        <v>52.225899999999996</v>
      </c>
      <c r="C522" s="10">
        <f>51.7916 * CHOOSE(CONTROL!$C$9, $D$9, 100%, $F$9) + CHOOSE(CONTROL!$C$27, 0.0021, 0)</f>
        <v>51.793700000000001</v>
      </c>
      <c r="D522" s="10">
        <f>51.7916 * CHOOSE(CONTROL!$C$9, $D$9, 100%, $F$9) + CHOOSE(CONTROL!$C$27, 0.0021, 0)</f>
        <v>51.793700000000001</v>
      </c>
      <c r="E522" s="10">
        <f>51.6549 * CHOOSE(CONTROL!$C$9, $D$9, 100%, $F$9) + CHOOSE(CONTROL!$C$27, 0.0021, 0)</f>
        <v>51.656999999999996</v>
      </c>
      <c r="F522" s="10">
        <f>51.6549 * CHOOSE(CONTROL!$C$9, $D$9, 100%, $F$9) + CHOOSE(CONTROL!$C$27, 0.0021, 0)</f>
        <v>51.656999999999996</v>
      </c>
      <c r="G522" s="10">
        <f>51.9263 * CHOOSE(CONTROL!$C$9, $D$9, 100%, $F$9) + CHOOSE(CONTROL!$C$27, 0.0021, 0)</f>
        <v>51.928399999999996</v>
      </c>
      <c r="H522" s="10">
        <f>51.7916 * CHOOSE(CONTROL!$C$9, $D$9, 100%, $F$9) + CHOOSE(CONTROL!$C$27, 0.0021, 0)</f>
        <v>51.793700000000001</v>
      </c>
      <c r="I522" s="10">
        <f>51.7916 * CHOOSE(CONTROL!$C$9, $D$9, 100%, $F$9) + CHOOSE(CONTROL!$C$27, 0.0021, 0)</f>
        <v>51.793700000000001</v>
      </c>
      <c r="J522" s="10">
        <f>51.7916 * CHOOSE(CONTROL!$C$9, $D$9, 100%, $F$9) + CHOOSE(CONTROL!$C$27, 0.0021, 0)</f>
        <v>51.793700000000001</v>
      </c>
      <c r="K522" s="10">
        <f>51.7916 * CHOOSE(CONTROL!$C$9, $D$9, 100%, $F$9) + CHOOSE(CONTROL!$C$27, 0.0021, 0)</f>
        <v>51.793700000000001</v>
      </c>
      <c r="L522" s="10"/>
    </row>
    <row r="523" spans="1:12" ht="15.75" x14ac:dyDescent="0.25">
      <c r="A523" s="13">
        <v>57223</v>
      </c>
      <c r="B523" s="10">
        <f>52.5238 * CHOOSE(CONTROL!$C$9, $D$9, 100%, $F$9) + CHOOSE(CONTROL!$C$27, 0.0021, 0)</f>
        <v>52.5259</v>
      </c>
      <c r="C523" s="10">
        <f>52.0915 * CHOOSE(CONTROL!$C$9, $D$9, 100%, $F$9) + CHOOSE(CONTROL!$C$27, 0.0021, 0)</f>
        <v>52.093600000000002</v>
      </c>
      <c r="D523" s="10">
        <f>52.0915 * CHOOSE(CONTROL!$C$9, $D$9, 100%, $F$9) + CHOOSE(CONTROL!$C$27, 0.0021, 0)</f>
        <v>52.093600000000002</v>
      </c>
      <c r="E523" s="10">
        <f>51.9548 * CHOOSE(CONTROL!$C$9, $D$9, 100%, $F$9) + CHOOSE(CONTROL!$C$27, 0.0021, 0)</f>
        <v>51.956899999999997</v>
      </c>
      <c r="F523" s="10">
        <f>51.9548 * CHOOSE(CONTROL!$C$9, $D$9, 100%, $F$9) + CHOOSE(CONTROL!$C$27, 0.0021, 0)</f>
        <v>51.956899999999997</v>
      </c>
      <c r="G523" s="10">
        <f>52.2262 * CHOOSE(CONTROL!$C$9, $D$9, 100%, $F$9) + CHOOSE(CONTROL!$C$27, 0.0021, 0)</f>
        <v>52.228299999999997</v>
      </c>
      <c r="H523" s="10">
        <f>52.0915 * CHOOSE(CONTROL!$C$9, $D$9, 100%, $F$9) + CHOOSE(CONTROL!$C$27, 0.0021, 0)</f>
        <v>52.093600000000002</v>
      </c>
      <c r="I523" s="10">
        <f>52.0915 * CHOOSE(CONTROL!$C$9, $D$9, 100%, $F$9) + CHOOSE(CONTROL!$C$27, 0.0021, 0)</f>
        <v>52.093600000000002</v>
      </c>
      <c r="J523" s="10">
        <f>52.0915 * CHOOSE(CONTROL!$C$9, $D$9, 100%, $F$9) + CHOOSE(CONTROL!$C$27, 0.0021, 0)</f>
        <v>52.093600000000002</v>
      </c>
      <c r="K523" s="10">
        <f>52.0915 * CHOOSE(CONTROL!$C$9, $D$9, 100%, $F$9) + CHOOSE(CONTROL!$C$27, 0.0021, 0)</f>
        <v>52.093600000000002</v>
      </c>
      <c r="L523" s="10"/>
    </row>
    <row r="524" spans="1:12" ht="15.75" x14ac:dyDescent="0.25">
      <c r="A524" s="13">
        <v>57253</v>
      </c>
      <c r="B524" s="10">
        <f>53.5452 * CHOOSE(CONTROL!$C$9, $D$9, 100%, $F$9) + CHOOSE(CONTROL!$C$27, 0.0021, 0)</f>
        <v>53.5473</v>
      </c>
      <c r="C524" s="10">
        <f>53.113 * CHOOSE(CONTROL!$C$9, $D$9, 100%, $F$9) + CHOOSE(CONTROL!$C$27, 0.0021, 0)</f>
        <v>53.115099999999998</v>
      </c>
      <c r="D524" s="10">
        <f>53.113 * CHOOSE(CONTROL!$C$9, $D$9, 100%, $F$9) + CHOOSE(CONTROL!$C$27, 0.0021, 0)</f>
        <v>53.115099999999998</v>
      </c>
      <c r="E524" s="10">
        <f>52.9763 * CHOOSE(CONTROL!$C$9, $D$9, 100%, $F$9) + CHOOSE(CONTROL!$C$27, 0.0021, 0)</f>
        <v>52.978400000000001</v>
      </c>
      <c r="F524" s="10">
        <f>52.9763 * CHOOSE(CONTROL!$C$9, $D$9, 100%, $F$9) + CHOOSE(CONTROL!$C$27, 0.0021, 0)</f>
        <v>52.978400000000001</v>
      </c>
      <c r="G524" s="10">
        <f>53.2477 * CHOOSE(CONTROL!$C$9, $D$9, 100%, $F$9) + CHOOSE(CONTROL!$C$27, 0.0021, 0)</f>
        <v>53.2498</v>
      </c>
      <c r="H524" s="10">
        <f>53.113 * CHOOSE(CONTROL!$C$9, $D$9, 100%, $F$9) + CHOOSE(CONTROL!$C$27, 0.0021, 0)</f>
        <v>53.115099999999998</v>
      </c>
      <c r="I524" s="10">
        <f>53.113 * CHOOSE(CONTROL!$C$9, $D$9, 100%, $F$9) + CHOOSE(CONTROL!$C$27, 0.0021, 0)</f>
        <v>53.115099999999998</v>
      </c>
      <c r="J524" s="10">
        <f>53.113 * CHOOSE(CONTROL!$C$9, $D$9, 100%, $F$9) + CHOOSE(CONTROL!$C$27, 0.0021, 0)</f>
        <v>53.115099999999998</v>
      </c>
      <c r="K524" s="10">
        <f>53.113 * CHOOSE(CONTROL!$C$9, $D$9, 100%, $F$9) + CHOOSE(CONTROL!$C$27, 0.0021, 0)</f>
        <v>53.115099999999998</v>
      </c>
      <c r="L524" s="10"/>
    </row>
    <row r="525" spans="1:12" ht="15.75" x14ac:dyDescent="0.25">
      <c r="A525" s="13">
        <v>57284</v>
      </c>
      <c r="B525" s="10">
        <f>54.8382 * CHOOSE(CONTROL!$C$9, $D$9, 100%, $F$9) + CHOOSE(CONTROL!$C$27, 0.0021, 0)</f>
        <v>54.840299999999999</v>
      </c>
      <c r="C525" s="10">
        <f>54.4059 * CHOOSE(CONTROL!$C$9, $D$9, 100%, $F$9) + CHOOSE(CONTROL!$C$27, 0.0021, 0)</f>
        <v>54.408000000000001</v>
      </c>
      <c r="D525" s="10">
        <f>54.4059 * CHOOSE(CONTROL!$C$9, $D$9, 100%, $F$9) + CHOOSE(CONTROL!$C$27, 0.0021, 0)</f>
        <v>54.408000000000001</v>
      </c>
      <c r="E525" s="10">
        <f>54.2693 * CHOOSE(CONTROL!$C$9, $D$9, 100%, $F$9) + CHOOSE(CONTROL!$C$27, 0.0021, 0)</f>
        <v>54.2714</v>
      </c>
      <c r="F525" s="10">
        <f>54.2693 * CHOOSE(CONTROL!$C$9, $D$9, 100%, $F$9) + CHOOSE(CONTROL!$C$27, 0.0021, 0)</f>
        <v>54.2714</v>
      </c>
      <c r="G525" s="10">
        <f>54.5407 * CHOOSE(CONTROL!$C$9, $D$9, 100%, $F$9) + CHOOSE(CONTROL!$C$27, 0.0021, 0)</f>
        <v>54.5428</v>
      </c>
      <c r="H525" s="10">
        <f>54.4059 * CHOOSE(CONTROL!$C$9, $D$9, 100%, $F$9) + CHOOSE(CONTROL!$C$27, 0.0021, 0)</f>
        <v>54.408000000000001</v>
      </c>
      <c r="I525" s="10">
        <f>54.4059 * CHOOSE(CONTROL!$C$9, $D$9, 100%, $F$9) + CHOOSE(CONTROL!$C$27, 0.0021, 0)</f>
        <v>54.408000000000001</v>
      </c>
      <c r="J525" s="10">
        <f>54.4059 * CHOOSE(CONTROL!$C$9, $D$9, 100%, $F$9) + CHOOSE(CONTROL!$C$27, 0.0021, 0)</f>
        <v>54.408000000000001</v>
      </c>
      <c r="K525" s="10">
        <f>54.4059 * CHOOSE(CONTROL!$C$9, $D$9, 100%, $F$9) + CHOOSE(CONTROL!$C$27, 0.0021, 0)</f>
        <v>54.408000000000001</v>
      </c>
      <c r="L525" s="10"/>
    </row>
    <row r="526" spans="1:12" ht="15.75" x14ac:dyDescent="0.25">
      <c r="A526" s="13">
        <v>57314</v>
      </c>
      <c r="B526" s="10">
        <f>54.9596 * CHOOSE(CONTROL!$C$9, $D$9, 100%, $F$9) + CHOOSE(CONTROL!$C$27, 0.0021, 0)</f>
        <v>54.9617</v>
      </c>
      <c r="C526" s="10">
        <f>54.5273 * CHOOSE(CONTROL!$C$9, $D$9, 100%, $F$9) + CHOOSE(CONTROL!$C$27, 0.0021, 0)</f>
        <v>54.529399999999995</v>
      </c>
      <c r="D526" s="10">
        <f>54.5273 * CHOOSE(CONTROL!$C$9, $D$9, 100%, $F$9) + CHOOSE(CONTROL!$C$27, 0.0021, 0)</f>
        <v>54.529399999999995</v>
      </c>
      <c r="E526" s="10">
        <f>54.3907 * CHOOSE(CONTROL!$C$9, $D$9, 100%, $F$9) + CHOOSE(CONTROL!$C$27, 0.0021, 0)</f>
        <v>54.392800000000001</v>
      </c>
      <c r="F526" s="10">
        <f>54.3907 * CHOOSE(CONTROL!$C$9, $D$9, 100%, $F$9) + CHOOSE(CONTROL!$C$27, 0.0021, 0)</f>
        <v>54.392800000000001</v>
      </c>
      <c r="G526" s="10">
        <f>54.662 * CHOOSE(CONTROL!$C$9, $D$9, 100%, $F$9) + CHOOSE(CONTROL!$C$27, 0.0021, 0)</f>
        <v>54.664099999999998</v>
      </c>
      <c r="H526" s="10">
        <f>54.5273 * CHOOSE(CONTROL!$C$9, $D$9, 100%, $F$9) + CHOOSE(CONTROL!$C$27, 0.0021, 0)</f>
        <v>54.529399999999995</v>
      </c>
      <c r="I526" s="10">
        <f>54.5273 * CHOOSE(CONTROL!$C$9, $D$9, 100%, $F$9) + CHOOSE(CONTROL!$C$27, 0.0021, 0)</f>
        <v>54.529399999999995</v>
      </c>
      <c r="J526" s="10">
        <f>54.5273 * CHOOSE(CONTROL!$C$9, $D$9, 100%, $F$9) + CHOOSE(CONTROL!$C$27, 0.0021, 0)</f>
        <v>54.529399999999995</v>
      </c>
      <c r="K526" s="10">
        <f>54.5273 * CHOOSE(CONTROL!$C$9, $D$9, 100%, $F$9) + CHOOSE(CONTROL!$C$27, 0.0021, 0)</f>
        <v>54.529399999999995</v>
      </c>
      <c r="L526" s="10"/>
    </row>
    <row r="527" spans="1:12" ht="15.75" x14ac:dyDescent="0.25">
      <c r="A527" s="13">
        <v>57345</v>
      </c>
      <c r="B527" s="10">
        <f>53.9269 * CHOOSE(CONTROL!$C$9, $D$9, 100%, $F$9) + CHOOSE(CONTROL!$C$27, 0.0021, 0)</f>
        <v>53.929000000000002</v>
      </c>
      <c r="C527" s="10">
        <f>53.4946 * CHOOSE(CONTROL!$C$9, $D$9, 100%, $F$9) + CHOOSE(CONTROL!$C$27, 0.0021, 0)</f>
        <v>53.496699999999997</v>
      </c>
      <c r="D527" s="10">
        <f>53.4946 * CHOOSE(CONTROL!$C$9, $D$9, 100%, $F$9) + CHOOSE(CONTROL!$C$27, 0.0021, 0)</f>
        <v>53.496699999999997</v>
      </c>
      <c r="E527" s="10">
        <f>53.358 * CHOOSE(CONTROL!$C$9, $D$9, 100%, $F$9) + CHOOSE(CONTROL!$C$27, 0.0021, 0)</f>
        <v>53.360099999999996</v>
      </c>
      <c r="F527" s="10">
        <f>53.358 * CHOOSE(CONTROL!$C$9, $D$9, 100%, $F$9) + CHOOSE(CONTROL!$C$27, 0.0021, 0)</f>
        <v>53.360099999999996</v>
      </c>
      <c r="G527" s="10">
        <f>53.6294 * CHOOSE(CONTROL!$C$9, $D$9, 100%, $F$9) + CHOOSE(CONTROL!$C$27, 0.0021, 0)</f>
        <v>53.631499999999996</v>
      </c>
      <c r="H527" s="10">
        <f>53.4946 * CHOOSE(CONTROL!$C$9, $D$9, 100%, $F$9) + CHOOSE(CONTROL!$C$27, 0.0021, 0)</f>
        <v>53.496699999999997</v>
      </c>
      <c r="I527" s="10">
        <f>53.4946 * CHOOSE(CONTROL!$C$9, $D$9, 100%, $F$9) + CHOOSE(CONTROL!$C$27, 0.0021, 0)</f>
        <v>53.496699999999997</v>
      </c>
      <c r="J527" s="10">
        <f>53.4946 * CHOOSE(CONTROL!$C$9, $D$9, 100%, $F$9) + CHOOSE(CONTROL!$C$27, 0.0021, 0)</f>
        <v>53.496699999999997</v>
      </c>
      <c r="K527" s="10">
        <f>53.4946 * CHOOSE(CONTROL!$C$9, $D$9, 100%, $F$9) + CHOOSE(CONTROL!$C$27, 0.0021, 0)</f>
        <v>53.496699999999997</v>
      </c>
      <c r="L527" s="10"/>
    </row>
    <row r="528" spans="1:12" ht="15.75" x14ac:dyDescent="0.25">
      <c r="A528" s="13">
        <v>57376</v>
      </c>
      <c r="B528" s="10">
        <f>53.1362 * CHOOSE(CONTROL!$C$9, $D$9, 100%, $F$9) + CHOOSE(CONTROL!$C$27, 0.0021, 0)</f>
        <v>53.138300000000001</v>
      </c>
      <c r="C528" s="10">
        <f>52.704 * CHOOSE(CONTROL!$C$9, $D$9, 100%, $F$9) + CHOOSE(CONTROL!$C$27, 0.0021, 0)</f>
        <v>52.706099999999999</v>
      </c>
      <c r="D528" s="10">
        <f>52.704 * CHOOSE(CONTROL!$C$9, $D$9, 100%, $F$9) + CHOOSE(CONTROL!$C$27, 0.0021, 0)</f>
        <v>52.706099999999999</v>
      </c>
      <c r="E528" s="10">
        <f>52.5673 * CHOOSE(CONTROL!$C$9, $D$9, 100%, $F$9) + CHOOSE(CONTROL!$C$27, 0.0021, 0)</f>
        <v>52.569400000000002</v>
      </c>
      <c r="F528" s="10">
        <f>52.5673 * CHOOSE(CONTROL!$C$9, $D$9, 100%, $F$9) + CHOOSE(CONTROL!$C$27, 0.0021, 0)</f>
        <v>52.569400000000002</v>
      </c>
      <c r="G528" s="10">
        <f>52.8387 * CHOOSE(CONTROL!$C$9, $D$9, 100%, $F$9) + CHOOSE(CONTROL!$C$27, 0.0021, 0)</f>
        <v>52.840800000000002</v>
      </c>
      <c r="H528" s="10">
        <f>52.704 * CHOOSE(CONTROL!$C$9, $D$9, 100%, $F$9) + CHOOSE(CONTROL!$C$27, 0.0021, 0)</f>
        <v>52.706099999999999</v>
      </c>
      <c r="I528" s="10">
        <f>52.704 * CHOOSE(CONTROL!$C$9, $D$9, 100%, $F$9) + CHOOSE(CONTROL!$C$27, 0.0021, 0)</f>
        <v>52.706099999999999</v>
      </c>
      <c r="J528" s="10">
        <f>52.704 * CHOOSE(CONTROL!$C$9, $D$9, 100%, $F$9) + CHOOSE(CONTROL!$C$27, 0.0021, 0)</f>
        <v>52.706099999999999</v>
      </c>
      <c r="K528" s="10">
        <f>52.704 * CHOOSE(CONTROL!$C$9, $D$9, 100%, $F$9) + CHOOSE(CONTROL!$C$27, 0.0021, 0)</f>
        <v>52.706099999999999</v>
      </c>
      <c r="L528" s="10"/>
    </row>
    <row r="529" spans="1:12" ht="15.75" x14ac:dyDescent="0.25">
      <c r="A529" s="13">
        <v>57404</v>
      </c>
      <c r="B529" s="10">
        <f>51.6981 * CHOOSE(CONTROL!$C$9, $D$9, 100%, $F$9) + CHOOSE(CONTROL!$C$27, 0.0021, 0)</f>
        <v>51.700199999999995</v>
      </c>
      <c r="C529" s="10">
        <f>51.2659 * CHOOSE(CONTROL!$C$9, $D$9, 100%, $F$9) + CHOOSE(CONTROL!$C$27, 0.0021, 0)</f>
        <v>51.268000000000001</v>
      </c>
      <c r="D529" s="10">
        <f>51.2659 * CHOOSE(CONTROL!$C$9, $D$9, 100%, $F$9) + CHOOSE(CONTROL!$C$27, 0.0021, 0)</f>
        <v>51.268000000000001</v>
      </c>
      <c r="E529" s="10">
        <f>51.1292 * CHOOSE(CONTROL!$C$9, $D$9, 100%, $F$9) + CHOOSE(CONTROL!$C$27, 0.0021, 0)</f>
        <v>51.131299999999996</v>
      </c>
      <c r="F529" s="10">
        <f>51.1292 * CHOOSE(CONTROL!$C$9, $D$9, 100%, $F$9) + CHOOSE(CONTROL!$C$27, 0.0021, 0)</f>
        <v>51.131299999999996</v>
      </c>
      <c r="G529" s="10">
        <f>51.4006 * CHOOSE(CONTROL!$C$9, $D$9, 100%, $F$9) + CHOOSE(CONTROL!$C$27, 0.0021, 0)</f>
        <v>51.402699999999996</v>
      </c>
      <c r="H529" s="10">
        <f>51.2659 * CHOOSE(CONTROL!$C$9, $D$9, 100%, $F$9) + CHOOSE(CONTROL!$C$27, 0.0021, 0)</f>
        <v>51.268000000000001</v>
      </c>
      <c r="I529" s="10">
        <f>51.2659 * CHOOSE(CONTROL!$C$9, $D$9, 100%, $F$9) + CHOOSE(CONTROL!$C$27, 0.0021, 0)</f>
        <v>51.268000000000001</v>
      </c>
      <c r="J529" s="10">
        <f>51.2659 * CHOOSE(CONTROL!$C$9, $D$9, 100%, $F$9) + CHOOSE(CONTROL!$C$27, 0.0021, 0)</f>
        <v>51.268000000000001</v>
      </c>
      <c r="K529" s="10">
        <f>51.2659 * CHOOSE(CONTROL!$C$9, $D$9, 100%, $F$9) + CHOOSE(CONTROL!$C$27, 0.0021, 0)</f>
        <v>51.268000000000001</v>
      </c>
      <c r="L529" s="10"/>
    </row>
    <row r="530" spans="1:12" ht="15.75" x14ac:dyDescent="0.25">
      <c r="A530" s="13">
        <v>57435</v>
      </c>
      <c r="B530" s="10">
        <f>51.1044 * CHOOSE(CONTROL!$C$9, $D$9, 100%, $F$9) + CHOOSE(CONTROL!$C$27, 0.0021, 0)</f>
        <v>51.106499999999997</v>
      </c>
      <c r="C530" s="10">
        <f>50.6722 * CHOOSE(CONTROL!$C$9, $D$9, 100%, $F$9) + CHOOSE(CONTROL!$C$27, 0.0021, 0)</f>
        <v>50.674299999999995</v>
      </c>
      <c r="D530" s="10">
        <f>50.6722 * CHOOSE(CONTROL!$C$9, $D$9, 100%, $F$9) + CHOOSE(CONTROL!$C$27, 0.0021, 0)</f>
        <v>50.674299999999995</v>
      </c>
      <c r="E530" s="10">
        <f>50.5355 * CHOOSE(CONTROL!$C$9, $D$9, 100%, $F$9) + CHOOSE(CONTROL!$C$27, 0.0021, 0)</f>
        <v>50.537599999999998</v>
      </c>
      <c r="F530" s="10">
        <f>50.5355 * CHOOSE(CONTROL!$C$9, $D$9, 100%, $F$9) + CHOOSE(CONTROL!$C$27, 0.0021, 0)</f>
        <v>50.537599999999998</v>
      </c>
      <c r="G530" s="10">
        <f>50.8069 * CHOOSE(CONTROL!$C$9, $D$9, 100%, $F$9) + CHOOSE(CONTROL!$C$27, 0.0021, 0)</f>
        <v>50.808999999999997</v>
      </c>
      <c r="H530" s="10">
        <f>50.6722 * CHOOSE(CONTROL!$C$9, $D$9, 100%, $F$9) + CHOOSE(CONTROL!$C$27, 0.0021, 0)</f>
        <v>50.674299999999995</v>
      </c>
      <c r="I530" s="10">
        <f>50.6722 * CHOOSE(CONTROL!$C$9, $D$9, 100%, $F$9) + CHOOSE(CONTROL!$C$27, 0.0021, 0)</f>
        <v>50.674299999999995</v>
      </c>
      <c r="J530" s="10">
        <f>50.6722 * CHOOSE(CONTROL!$C$9, $D$9, 100%, $F$9) + CHOOSE(CONTROL!$C$27, 0.0021, 0)</f>
        <v>50.674299999999995</v>
      </c>
      <c r="K530" s="10">
        <f>50.6722 * CHOOSE(CONTROL!$C$9, $D$9, 100%, $F$9) + CHOOSE(CONTROL!$C$27, 0.0021, 0)</f>
        <v>50.674299999999995</v>
      </c>
      <c r="L530" s="10"/>
    </row>
    <row r="531" spans="1:12" ht="15.75" x14ac:dyDescent="0.25">
      <c r="A531" s="13">
        <v>57465</v>
      </c>
      <c r="B531" s="10">
        <f>50.3956 * CHOOSE(CONTROL!$C$9, $D$9, 100%, $F$9) + CHOOSE(CONTROL!$C$27, 0.0021, 0)</f>
        <v>50.3977</v>
      </c>
      <c r="C531" s="10">
        <f>49.9633 * CHOOSE(CONTROL!$C$9, $D$9, 100%, $F$9) + CHOOSE(CONTROL!$C$27, 0.0021, 0)</f>
        <v>49.965399999999995</v>
      </c>
      <c r="D531" s="10">
        <f>49.9633 * CHOOSE(CONTROL!$C$9, $D$9, 100%, $F$9) + CHOOSE(CONTROL!$C$27, 0.0021, 0)</f>
        <v>49.965399999999995</v>
      </c>
      <c r="E531" s="10">
        <f>49.8267 * CHOOSE(CONTROL!$C$9, $D$9, 100%, $F$9) + CHOOSE(CONTROL!$C$27, 0.0021, 0)</f>
        <v>49.828800000000001</v>
      </c>
      <c r="F531" s="10">
        <f>49.8267 * CHOOSE(CONTROL!$C$9, $D$9, 100%, $F$9) + CHOOSE(CONTROL!$C$27, 0.0021, 0)</f>
        <v>49.828800000000001</v>
      </c>
      <c r="G531" s="10">
        <f>50.0981 * CHOOSE(CONTROL!$C$9, $D$9, 100%, $F$9) + CHOOSE(CONTROL!$C$27, 0.0021, 0)</f>
        <v>50.100200000000001</v>
      </c>
      <c r="H531" s="10">
        <f>49.9633 * CHOOSE(CONTROL!$C$9, $D$9, 100%, $F$9) + CHOOSE(CONTROL!$C$27, 0.0021, 0)</f>
        <v>49.965399999999995</v>
      </c>
      <c r="I531" s="10">
        <f>49.9633 * CHOOSE(CONTROL!$C$9, $D$9, 100%, $F$9) + CHOOSE(CONTROL!$C$27, 0.0021, 0)</f>
        <v>49.965399999999995</v>
      </c>
      <c r="J531" s="10">
        <f>49.9633 * CHOOSE(CONTROL!$C$9, $D$9, 100%, $F$9) + CHOOSE(CONTROL!$C$27, 0.0021, 0)</f>
        <v>49.965399999999995</v>
      </c>
      <c r="K531" s="10">
        <f>49.9633 * CHOOSE(CONTROL!$C$9, $D$9, 100%, $F$9) + CHOOSE(CONTROL!$C$27, 0.0021, 0)</f>
        <v>49.965399999999995</v>
      </c>
      <c r="L531" s="10"/>
    </row>
    <row r="532" spans="1:12" ht="15.75" x14ac:dyDescent="0.25">
      <c r="A532" s="13">
        <v>57496</v>
      </c>
      <c r="B532" s="10">
        <f>51.4058 * CHOOSE(CONTROL!$C$9, $D$9, 100%, $F$9) + CHOOSE(CONTROL!$C$27, 0.0021, 0)</f>
        <v>51.407899999999998</v>
      </c>
      <c r="C532" s="10">
        <f>50.9735 * CHOOSE(CONTROL!$C$9, $D$9, 100%, $F$9) + CHOOSE(CONTROL!$C$27, 0.0021, 0)</f>
        <v>50.9756</v>
      </c>
      <c r="D532" s="10">
        <f>50.9735 * CHOOSE(CONTROL!$C$9, $D$9, 100%, $F$9) + CHOOSE(CONTROL!$C$27, 0.0021, 0)</f>
        <v>50.9756</v>
      </c>
      <c r="E532" s="10">
        <f>50.8369 * CHOOSE(CONTROL!$C$9, $D$9, 100%, $F$9) + CHOOSE(CONTROL!$C$27, 0.0021, 0)</f>
        <v>50.838999999999999</v>
      </c>
      <c r="F532" s="10">
        <f>50.8369 * CHOOSE(CONTROL!$C$9, $D$9, 100%, $F$9) + CHOOSE(CONTROL!$C$27, 0.0021, 0)</f>
        <v>50.838999999999999</v>
      </c>
      <c r="G532" s="10">
        <f>51.1083 * CHOOSE(CONTROL!$C$9, $D$9, 100%, $F$9) + CHOOSE(CONTROL!$C$27, 0.0021, 0)</f>
        <v>51.110399999999998</v>
      </c>
      <c r="H532" s="10">
        <f>50.9735 * CHOOSE(CONTROL!$C$9, $D$9, 100%, $F$9) + CHOOSE(CONTROL!$C$27, 0.0021, 0)</f>
        <v>50.9756</v>
      </c>
      <c r="I532" s="10">
        <f>50.9735 * CHOOSE(CONTROL!$C$9, $D$9, 100%, $F$9) + CHOOSE(CONTROL!$C$27, 0.0021, 0)</f>
        <v>50.9756</v>
      </c>
      <c r="J532" s="10">
        <f>50.9735 * CHOOSE(CONTROL!$C$9, $D$9, 100%, $F$9) + CHOOSE(CONTROL!$C$27, 0.0021, 0)</f>
        <v>50.9756</v>
      </c>
      <c r="K532" s="10">
        <f>50.9735 * CHOOSE(CONTROL!$C$9, $D$9, 100%, $F$9) + CHOOSE(CONTROL!$C$27, 0.0021, 0)</f>
        <v>50.9756</v>
      </c>
      <c r="L532" s="10"/>
    </row>
    <row r="533" spans="1:12" ht="15.75" x14ac:dyDescent="0.25">
      <c r="A533" s="13">
        <v>57526</v>
      </c>
      <c r="B533" s="10">
        <f>52.0108 * CHOOSE(CONTROL!$C$9, $D$9, 100%, $F$9) + CHOOSE(CONTROL!$C$27, 0.0021, 0)</f>
        <v>52.012900000000002</v>
      </c>
      <c r="C533" s="10">
        <f>51.5786 * CHOOSE(CONTROL!$C$9, $D$9, 100%, $F$9) + CHOOSE(CONTROL!$C$27, 0.0021, 0)</f>
        <v>51.5807</v>
      </c>
      <c r="D533" s="10">
        <f>51.5786 * CHOOSE(CONTROL!$C$9, $D$9, 100%, $F$9) + CHOOSE(CONTROL!$C$27, 0.0021, 0)</f>
        <v>51.5807</v>
      </c>
      <c r="E533" s="10">
        <f>51.4419 * CHOOSE(CONTROL!$C$9, $D$9, 100%, $F$9) + CHOOSE(CONTROL!$C$27, 0.0021, 0)</f>
        <v>51.443999999999996</v>
      </c>
      <c r="F533" s="10">
        <f>51.4419 * CHOOSE(CONTROL!$C$9, $D$9, 100%, $F$9) + CHOOSE(CONTROL!$C$27, 0.0021, 0)</f>
        <v>51.443999999999996</v>
      </c>
      <c r="G533" s="10">
        <f>51.7133 * CHOOSE(CONTROL!$C$9, $D$9, 100%, $F$9) + CHOOSE(CONTROL!$C$27, 0.0021, 0)</f>
        <v>51.715399999999995</v>
      </c>
      <c r="H533" s="10">
        <f>51.5786 * CHOOSE(CONTROL!$C$9, $D$9, 100%, $F$9) + CHOOSE(CONTROL!$C$27, 0.0021, 0)</f>
        <v>51.5807</v>
      </c>
      <c r="I533" s="10">
        <f>51.5786 * CHOOSE(CONTROL!$C$9, $D$9, 100%, $F$9) + CHOOSE(CONTROL!$C$27, 0.0021, 0)</f>
        <v>51.5807</v>
      </c>
      <c r="J533" s="10">
        <f>51.5786 * CHOOSE(CONTROL!$C$9, $D$9, 100%, $F$9) + CHOOSE(CONTROL!$C$27, 0.0021, 0)</f>
        <v>51.5807</v>
      </c>
      <c r="K533" s="10">
        <f>51.5786 * CHOOSE(CONTROL!$C$9, $D$9, 100%, $F$9) + CHOOSE(CONTROL!$C$27, 0.0021, 0)</f>
        <v>51.5807</v>
      </c>
      <c r="L533" s="10"/>
    </row>
    <row r="534" spans="1:12" ht="15.75" x14ac:dyDescent="0.25">
      <c r="A534" s="13">
        <v>57557</v>
      </c>
      <c r="B534" s="10">
        <f>53.009 * CHOOSE(CONTROL!$C$9, $D$9, 100%, $F$9) + CHOOSE(CONTROL!$C$27, 0.0021, 0)</f>
        <v>53.011099999999999</v>
      </c>
      <c r="C534" s="10">
        <f>52.5767 * CHOOSE(CONTROL!$C$9, $D$9, 100%, $F$9) + CHOOSE(CONTROL!$C$27, 0.0021, 0)</f>
        <v>52.578800000000001</v>
      </c>
      <c r="D534" s="10">
        <f>52.5767 * CHOOSE(CONTROL!$C$9, $D$9, 100%, $F$9) + CHOOSE(CONTROL!$C$27, 0.0021, 0)</f>
        <v>52.578800000000001</v>
      </c>
      <c r="E534" s="10">
        <f>52.4401 * CHOOSE(CONTROL!$C$9, $D$9, 100%, $F$9) + CHOOSE(CONTROL!$C$27, 0.0021, 0)</f>
        <v>52.4422</v>
      </c>
      <c r="F534" s="10">
        <f>52.4401 * CHOOSE(CONTROL!$C$9, $D$9, 100%, $F$9) + CHOOSE(CONTROL!$C$27, 0.0021, 0)</f>
        <v>52.4422</v>
      </c>
      <c r="G534" s="10">
        <f>52.7114 * CHOOSE(CONTROL!$C$9, $D$9, 100%, $F$9) + CHOOSE(CONTROL!$C$27, 0.0021, 0)</f>
        <v>52.713499999999996</v>
      </c>
      <c r="H534" s="10">
        <f>52.5767 * CHOOSE(CONTROL!$C$9, $D$9, 100%, $F$9) + CHOOSE(CONTROL!$C$27, 0.0021, 0)</f>
        <v>52.578800000000001</v>
      </c>
      <c r="I534" s="10">
        <f>52.5767 * CHOOSE(CONTROL!$C$9, $D$9, 100%, $F$9) + CHOOSE(CONTROL!$C$27, 0.0021, 0)</f>
        <v>52.578800000000001</v>
      </c>
      <c r="J534" s="10">
        <f>52.5767 * CHOOSE(CONTROL!$C$9, $D$9, 100%, $F$9) + CHOOSE(CONTROL!$C$27, 0.0021, 0)</f>
        <v>52.578800000000001</v>
      </c>
      <c r="K534" s="10">
        <f>52.5767 * CHOOSE(CONTROL!$C$9, $D$9, 100%, $F$9) + CHOOSE(CONTROL!$C$27, 0.0021, 0)</f>
        <v>52.578800000000001</v>
      </c>
      <c r="L534" s="10"/>
    </row>
    <row r="535" spans="1:12" ht="15.75" x14ac:dyDescent="0.25">
      <c r="A535" s="13">
        <v>57588</v>
      </c>
      <c r="B535" s="10">
        <f>53.3136 * CHOOSE(CONTROL!$C$9, $D$9, 100%, $F$9) + CHOOSE(CONTROL!$C$27, 0.0021, 0)</f>
        <v>53.3157</v>
      </c>
      <c r="C535" s="10">
        <f>52.8814 * CHOOSE(CONTROL!$C$9, $D$9, 100%, $F$9) + CHOOSE(CONTROL!$C$27, 0.0021, 0)</f>
        <v>52.883499999999998</v>
      </c>
      <c r="D535" s="10">
        <f>52.8814 * CHOOSE(CONTROL!$C$9, $D$9, 100%, $F$9) + CHOOSE(CONTROL!$C$27, 0.0021, 0)</f>
        <v>52.883499999999998</v>
      </c>
      <c r="E535" s="10">
        <f>52.7447 * CHOOSE(CONTROL!$C$9, $D$9, 100%, $F$9) + CHOOSE(CONTROL!$C$27, 0.0021, 0)</f>
        <v>52.7468</v>
      </c>
      <c r="F535" s="10">
        <f>52.7447 * CHOOSE(CONTROL!$C$9, $D$9, 100%, $F$9) + CHOOSE(CONTROL!$C$27, 0.0021, 0)</f>
        <v>52.7468</v>
      </c>
      <c r="G535" s="10">
        <f>53.0161 * CHOOSE(CONTROL!$C$9, $D$9, 100%, $F$9) + CHOOSE(CONTROL!$C$27, 0.0021, 0)</f>
        <v>53.0182</v>
      </c>
      <c r="H535" s="10">
        <f>52.8814 * CHOOSE(CONTROL!$C$9, $D$9, 100%, $F$9) + CHOOSE(CONTROL!$C$27, 0.0021, 0)</f>
        <v>52.883499999999998</v>
      </c>
      <c r="I535" s="10">
        <f>52.8814 * CHOOSE(CONTROL!$C$9, $D$9, 100%, $F$9) + CHOOSE(CONTROL!$C$27, 0.0021, 0)</f>
        <v>52.883499999999998</v>
      </c>
      <c r="J535" s="10">
        <f>52.8814 * CHOOSE(CONTROL!$C$9, $D$9, 100%, $F$9) + CHOOSE(CONTROL!$C$27, 0.0021, 0)</f>
        <v>52.883499999999998</v>
      </c>
      <c r="K535" s="10">
        <f>52.8814 * CHOOSE(CONTROL!$C$9, $D$9, 100%, $F$9) + CHOOSE(CONTROL!$C$27, 0.0021, 0)</f>
        <v>52.883499999999998</v>
      </c>
      <c r="L535" s="10"/>
    </row>
    <row r="536" spans="1:12" ht="15.75" x14ac:dyDescent="0.25">
      <c r="A536" s="13">
        <v>57618</v>
      </c>
      <c r="B536" s="10">
        <f>54.3512 * CHOOSE(CONTROL!$C$9, $D$9, 100%, $F$9) + CHOOSE(CONTROL!$C$27, 0.0021, 0)</f>
        <v>54.353299999999997</v>
      </c>
      <c r="C536" s="10">
        <f>53.9189 * CHOOSE(CONTROL!$C$9, $D$9, 100%, $F$9) + CHOOSE(CONTROL!$C$27, 0.0021, 0)</f>
        <v>53.920999999999999</v>
      </c>
      <c r="D536" s="10">
        <f>53.9189 * CHOOSE(CONTROL!$C$9, $D$9, 100%, $F$9) + CHOOSE(CONTROL!$C$27, 0.0021, 0)</f>
        <v>53.920999999999999</v>
      </c>
      <c r="E536" s="10">
        <f>53.7823 * CHOOSE(CONTROL!$C$9, $D$9, 100%, $F$9) + CHOOSE(CONTROL!$C$27, 0.0021, 0)</f>
        <v>53.784399999999998</v>
      </c>
      <c r="F536" s="10">
        <f>53.7823 * CHOOSE(CONTROL!$C$9, $D$9, 100%, $F$9) + CHOOSE(CONTROL!$C$27, 0.0021, 0)</f>
        <v>53.784399999999998</v>
      </c>
      <c r="G536" s="10">
        <f>54.0536 * CHOOSE(CONTROL!$C$9, $D$9, 100%, $F$9) + CHOOSE(CONTROL!$C$27, 0.0021, 0)</f>
        <v>54.055700000000002</v>
      </c>
      <c r="H536" s="10">
        <f>53.9189 * CHOOSE(CONTROL!$C$9, $D$9, 100%, $F$9) + CHOOSE(CONTROL!$C$27, 0.0021, 0)</f>
        <v>53.920999999999999</v>
      </c>
      <c r="I536" s="10">
        <f>53.9189 * CHOOSE(CONTROL!$C$9, $D$9, 100%, $F$9) + CHOOSE(CONTROL!$C$27, 0.0021, 0)</f>
        <v>53.920999999999999</v>
      </c>
      <c r="J536" s="10">
        <f>53.9189 * CHOOSE(CONTROL!$C$9, $D$9, 100%, $F$9) + CHOOSE(CONTROL!$C$27, 0.0021, 0)</f>
        <v>53.920999999999999</v>
      </c>
      <c r="K536" s="10">
        <f>53.9189 * CHOOSE(CONTROL!$C$9, $D$9, 100%, $F$9) + CHOOSE(CONTROL!$C$27, 0.0021, 0)</f>
        <v>53.920999999999999</v>
      </c>
      <c r="L536" s="10"/>
    </row>
    <row r="537" spans="1:12" ht="15.75" x14ac:dyDescent="0.25">
      <c r="A537" s="13">
        <v>57649</v>
      </c>
      <c r="B537" s="10">
        <f>55.6645 * CHOOSE(CONTROL!$C$9, $D$9, 100%, $F$9) + CHOOSE(CONTROL!$C$27, 0.0021, 0)</f>
        <v>55.666599999999995</v>
      </c>
      <c r="C537" s="10">
        <f>55.2322 * CHOOSE(CONTROL!$C$9, $D$9, 100%, $F$9) + CHOOSE(CONTROL!$C$27, 0.0021, 0)</f>
        <v>55.234299999999998</v>
      </c>
      <c r="D537" s="10">
        <f>55.2322 * CHOOSE(CONTROL!$C$9, $D$9, 100%, $F$9) + CHOOSE(CONTROL!$C$27, 0.0021, 0)</f>
        <v>55.234299999999998</v>
      </c>
      <c r="E537" s="10">
        <f>55.0956 * CHOOSE(CONTROL!$C$9, $D$9, 100%, $F$9) + CHOOSE(CONTROL!$C$27, 0.0021, 0)</f>
        <v>55.097699999999996</v>
      </c>
      <c r="F537" s="10">
        <f>55.0956 * CHOOSE(CONTROL!$C$9, $D$9, 100%, $F$9) + CHOOSE(CONTROL!$C$27, 0.0021, 0)</f>
        <v>55.097699999999996</v>
      </c>
      <c r="G537" s="10">
        <f>55.3669 * CHOOSE(CONTROL!$C$9, $D$9, 100%, $F$9) + CHOOSE(CONTROL!$C$27, 0.0021, 0)</f>
        <v>55.369</v>
      </c>
      <c r="H537" s="10">
        <f>55.2322 * CHOOSE(CONTROL!$C$9, $D$9, 100%, $F$9) + CHOOSE(CONTROL!$C$27, 0.0021, 0)</f>
        <v>55.234299999999998</v>
      </c>
      <c r="I537" s="10">
        <f>55.2322 * CHOOSE(CONTROL!$C$9, $D$9, 100%, $F$9) + CHOOSE(CONTROL!$C$27, 0.0021, 0)</f>
        <v>55.234299999999998</v>
      </c>
      <c r="J537" s="10">
        <f>55.2322 * CHOOSE(CONTROL!$C$9, $D$9, 100%, $F$9) + CHOOSE(CONTROL!$C$27, 0.0021, 0)</f>
        <v>55.234299999999998</v>
      </c>
      <c r="K537" s="10">
        <f>55.2322 * CHOOSE(CONTROL!$C$9, $D$9, 100%, $F$9) + CHOOSE(CONTROL!$C$27, 0.0021, 0)</f>
        <v>55.234299999999998</v>
      </c>
      <c r="L537" s="10"/>
    </row>
    <row r="538" spans="1:12" ht="15.75" x14ac:dyDescent="0.25">
      <c r="A538" s="13">
        <v>57679</v>
      </c>
      <c r="B538" s="10">
        <f>55.7878 * CHOOSE(CONTROL!$C$9, $D$9, 100%, $F$9) + CHOOSE(CONTROL!$C$27, 0.0021, 0)</f>
        <v>55.789899999999996</v>
      </c>
      <c r="C538" s="10">
        <f>55.3555 * CHOOSE(CONTROL!$C$9, $D$9, 100%, $F$9) + CHOOSE(CONTROL!$C$27, 0.0021, 0)</f>
        <v>55.357599999999998</v>
      </c>
      <c r="D538" s="10">
        <f>55.3555 * CHOOSE(CONTROL!$C$9, $D$9, 100%, $F$9) + CHOOSE(CONTROL!$C$27, 0.0021, 0)</f>
        <v>55.357599999999998</v>
      </c>
      <c r="E538" s="10">
        <f>55.2189 * CHOOSE(CONTROL!$C$9, $D$9, 100%, $F$9) + CHOOSE(CONTROL!$C$27, 0.0021, 0)</f>
        <v>55.220999999999997</v>
      </c>
      <c r="F538" s="10">
        <f>55.2189 * CHOOSE(CONTROL!$C$9, $D$9, 100%, $F$9) + CHOOSE(CONTROL!$C$27, 0.0021, 0)</f>
        <v>55.220999999999997</v>
      </c>
      <c r="G538" s="10">
        <f>55.4902 * CHOOSE(CONTROL!$C$9, $D$9, 100%, $F$9) + CHOOSE(CONTROL!$C$27, 0.0021, 0)</f>
        <v>55.4923</v>
      </c>
      <c r="H538" s="10">
        <f>55.3555 * CHOOSE(CONTROL!$C$9, $D$9, 100%, $F$9) + CHOOSE(CONTROL!$C$27, 0.0021, 0)</f>
        <v>55.357599999999998</v>
      </c>
      <c r="I538" s="10">
        <f>55.3555 * CHOOSE(CONTROL!$C$9, $D$9, 100%, $F$9) + CHOOSE(CONTROL!$C$27, 0.0021, 0)</f>
        <v>55.357599999999998</v>
      </c>
      <c r="J538" s="10">
        <f>55.3555 * CHOOSE(CONTROL!$C$9, $D$9, 100%, $F$9) + CHOOSE(CONTROL!$C$27, 0.0021, 0)</f>
        <v>55.357599999999998</v>
      </c>
      <c r="K538" s="10">
        <f>55.3555 * CHOOSE(CONTROL!$C$9, $D$9, 100%, $F$9) + CHOOSE(CONTROL!$C$27, 0.0021, 0)</f>
        <v>55.357599999999998</v>
      </c>
      <c r="L538" s="10"/>
    </row>
    <row r="539" spans="1:12" ht="15.75" x14ac:dyDescent="0.25">
      <c r="A539" s="13">
        <v>57710</v>
      </c>
      <c r="B539" s="10">
        <f>54.7388 * CHOOSE(CONTROL!$C$9, $D$9, 100%, $F$9) + CHOOSE(CONTROL!$C$27, 0.0021, 0)</f>
        <v>54.740899999999996</v>
      </c>
      <c r="C539" s="10">
        <f>54.3066 * CHOOSE(CONTROL!$C$9, $D$9, 100%, $F$9) + CHOOSE(CONTROL!$C$27, 0.0021, 0)</f>
        <v>54.308700000000002</v>
      </c>
      <c r="D539" s="10">
        <f>54.3066 * CHOOSE(CONTROL!$C$9, $D$9, 100%, $F$9) + CHOOSE(CONTROL!$C$27, 0.0021, 0)</f>
        <v>54.308700000000002</v>
      </c>
      <c r="E539" s="10">
        <f>54.1699 * CHOOSE(CONTROL!$C$9, $D$9, 100%, $F$9) + CHOOSE(CONTROL!$C$27, 0.0021, 0)</f>
        <v>54.171999999999997</v>
      </c>
      <c r="F539" s="10">
        <f>54.1699 * CHOOSE(CONTROL!$C$9, $D$9, 100%, $F$9) + CHOOSE(CONTROL!$C$27, 0.0021, 0)</f>
        <v>54.171999999999997</v>
      </c>
      <c r="G539" s="10">
        <f>54.4413 * CHOOSE(CONTROL!$C$9, $D$9, 100%, $F$9) + CHOOSE(CONTROL!$C$27, 0.0021, 0)</f>
        <v>54.443399999999997</v>
      </c>
      <c r="H539" s="10">
        <f>54.3066 * CHOOSE(CONTROL!$C$9, $D$9, 100%, $F$9) + CHOOSE(CONTROL!$C$27, 0.0021, 0)</f>
        <v>54.308700000000002</v>
      </c>
      <c r="I539" s="10">
        <f>54.3066 * CHOOSE(CONTROL!$C$9, $D$9, 100%, $F$9) + CHOOSE(CONTROL!$C$27, 0.0021, 0)</f>
        <v>54.308700000000002</v>
      </c>
      <c r="J539" s="10">
        <f>54.3066 * CHOOSE(CONTROL!$C$9, $D$9, 100%, $F$9) + CHOOSE(CONTROL!$C$27, 0.0021, 0)</f>
        <v>54.308700000000002</v>
      </c>
      <c r="K539" s="10">
        <f>54.3066 * CHOOSE(CONTROL!$C$9, $D$9, 100%, $F$9) + CHOOSE(CONTROL!$C$27, 0.0021, 0)</f>
        <v>54.308700000000002</v>
      </c>
      <c r="L539" s="10"/>
    </row>
    <row r="540" spans="1:12" ht="15.75" x14ac:dyDescent="0.25">
      <c r="A540" s="13">
        <v>57741</v>
      </c>
      <c r="B540" s="10">
        <f>53.9358 * CHOOSE(CONTROL!$C$9, $D$9, 100%, $F$9) + CHOOSE(CONTROL!$C$27, 0.0021, 0)</f>
        <v>53.937899999999999</v>
      </c>
      <c r="C540" s="10">
        <f>53.5035 * CHOOSE(CONTROL!$C$9, $D$9, 100%, $F$9) + CHOOSE(CONTROL!$C$27, 0.0021, 0)</f>
        <v>53.505600000000001</v>
      </c>
      <c r="D540" s="10">
        <f>53.5035 * CHOOSE(CONTROL!$C$9, $D$9, 100%, $F$9) + CHOOSE(CONTROL!$C$27, 0.0021, 0)</f>
        <v>53.505600000000001</v>
      </c>
      <c r="E540" s="10">
        <f>53.3669 * CHOOSE(CONTROL!$C$9, $D$9, 100%, $F$9) + CHOOSE(CONTROL!$C$27, 0.0021, 0)</f>
        <v>53.369</v>
      </c>
      <c r="F540" s="10">
        <f>53.3669 * CHOOSE(CONTROL!$C$9, $D$9, 100%, $F$9) + CHOOSE(CONTROL!$C$27, 0.0021, 0)</f>
        <v>53.369</v>
      </c>
      <c r="G540" s="10">
        <f>53.6382 * CHOOSE(CONTROL!$C$9, $D$9, 100%, $F$9) + CHOOSE(CONTROL!$C$27, 0.0021, 0)</f>
        <v>53.640299999999996</v>
      </c>
      <c r="H540" s="10">
        <f>53.5035 * CHOOSE(CONTROL!$C$9, $D$9, 100%, $F$9) + CHOOSE(CONTROL!$C$27, 0.0021, 0)</f>
        <v>53.505600000000001</v>
      </c>
      <c r="I540" s="10">
        <f>53.5035 * CHOOSE(CONTROL!$C$9, $D$9, 100%, $F$9) + CHOOSE(CONTROL!$C$27, 0.0021, 0)</f>
        <v>53.505600000000001</v>
      </c>
      <c r="J540" s="10">
        <f>53.5035 * CHOOSE(CONTROL!$C$9, $D$9, 100%, $F$9) + CHOOSE(CONTROL!$C$27, 0.0021, 0)</f>
        <v>53.505600000000001</v>
      </c>
      <c r="K540" s="10">
        <f>53.5035 * CHOOSE(CONTROL!$C$9, $D$9, 100%, $F$9) + CHOOSE(CONTROL!$C$27, 0.0021, 0)</f>
        <v>53.505600000000001</v>
      </c>
      <c r="L540" s="10"/>
    </row>
    <row r="541" spans="1:12" ht="15.75" x14ac:dyDescent="0.25">
      <c r="A541" s="13">
        <v>57769</v>
      </c>
      <c r="B541" s="10">
        <f>52.475 * CHOOSE(CONTROL!$C$9, $D$9, 100%, $F$9) + CHOOSE(CONTROL!$C$27, 0.0021, 0)</f>
        <v>52.4771</v>
      </c>
      <c r="C541" s="10">
        <f>52.0428 * CHOOSE(CONTROL!$C$9, $D$9, 100%, $F$9) + CHOOSE(CONTROL!$C$27, 0.0021, 0)</f>
        <v>52.044899999999998</v>
      </c>
      <c r="D541" s="10">
        <f>52.0428 * CHOOSE(CONTROL!$C$9, $D$9, 100%, $F$9) + CHOOSE(CONTROL!$C$27, 0.0021, 0)</f>
        <v>52.044899999999998</v>
      </c>
      <c r="E541" s="10">
        <f>51.9061 * CHOOSE(CONTROL!$C$9, $D$9, 100%, $F$9) + CHOOSE(CONTROL!$C$27, 0.0021, 0)</f>
        <v>51.908200000000001</v>
      </c>
      <c r="F541" s="10">
        <f>51.9061 * CHOOSE(CONTROL!$C$9, $D$9, 100%, $F$9) + CHOOSE(CONTROL!$C$27, 0.0021, 0)</f>
        <v>51.908200000000001</v>
      </c>
      <c r="G541" s="10">
        <f>52.1775 * CHOOSE(CONTROL!$C$9, $D$9, 100%, $F$9) + CHOOSE(CONTROL!$C$27, 0.0021, 0)</f>
        <v>52.179600000000001</v>
      </c>
      <c r="H541" s="10">
        <f>52.0428 * CHOOSE(CONTROL!$C$9, $D$9, 100%, $F$9) + CHOOSE(CONTROL!$C$27, 0.0021, 0)</f>
        <v>52.044899999999998</v>
      </c>
      <c r="I541" s="10">
        <f>52.0428 * CHOOSE(CONTROL!$C$9, $D$9, 100%, $F$9) + CHOOSE(CONTROL!$C$27, 0.0021, 0)</f>
        <v>52.044899999999998</v>
      </c>
      <c r="J541" s="10">
        <f>52.0428 * CHOOSE(CONTROL!$C$9, $D$9, 100%, $F$9) + CHOOSE(CONTROL!$C$27, 0.0021, 0)</f>
        <v>52.044899999999998</v>
      </c>
      <c r="K541" s="10">
        <f>52.0428 * CHOOSE(CONTROL!$C$9, $D$9, 100%, $F$9) + CHOOSE(CONTROL!$C$27, 0.0021, 0)</f>
        <v>52.044899999999998</v>
      </c>
      <c r="L541" s="10"/>
    </row>
    <row r="542" spans="1:12" ht="15.75" x14ac:dyDescent="0.25">
      <c r="A542" s="13">
        <v>57800</v>
      </c>
      <c r="B542" s="10">
        <f>51.872 * CHOOSE(CONTROL!$C$9, $D$9, 100%, $F$9) + CHOOSE(CONTROL!$C$27, 0.0021, 0)</f>
        <v>51.874099999999999</v>
      </c>
      <c r="C542" s="10">
        <f>51.4398 * CHOOSE(CONTROL!$C$9, $D$9, 100%, $F$9) + CHOOSE(CONTROL!$C$27, 0.0021, 0)</f>
        <v>51.441899999999997</v>
      </c>
      <c r="D542" s="10">
        <f>51.4398 * CHOOSE(CONTROL!$C$9, $D$9, 100%, $F$9) + CHOOSE(CONTROL!$C$27, 0.0021, 0)</f>
        <v>51.441899999999997</v>
      </c>
      <c r="E542" s="10">
        <f>51.3031 * CHOOSE(CONTROL!$C$9, $D$9, 100%, $F$9) + CHOOSE(CONTROL!$C$27, 0.0021, 0)</f>
        <v>51.305199999999999</v>
      </c>
      <c r="F542" s="10">
        <f>51.3031 * CHOOSE(CONTROL!$C$9, $D$9, 100%, $F$9) + CHOOSE(CONTROL!$C$27, 0.0021, 0)</f>
        <v>51.305199999999999</v>
      </c>
      <c r="G542" s="10">
        <f>51.5745 * CHOOSE(CONTROL!$C$9, $D$9, 100%, $F$9) + CHOOSE(CONTROL!$C$27, 0.0021, 0)</f>
        <v>51.576599999999999</v>
      </c>
      <c r="H542" s="10">
        <f>51.4398 * CHOOSE(CONTROL!$C$9, $D$9, 100%, $F$9) + CHOOSE(CONTROL!$C$27, 0.0021, 0)</f>
        <v>51.441899999999997</v>
      </c>
      <c r="I542" s="10">
        <f>51.4398 * CHOOSE(CONTROL!$C$9, $D$9, 100%, $F$9) + CHOOSE(CONTROL!$C$27, 0.0021, 0)</f>
        <v>51.441899999999997</v>
      </c>
      <c r="J542" s="10">
        <f>51.4398 * CHOOSE(CONTROL!$C$9, $D$9, 100%, $F$9) + CHOOSE(CONTROL!$C$27, 0.0021, 0)</f>
        <v>51.441899999999997</v>
      </c>
      <c r="K542" s="10">
        <f>51.4398 * CHOOSE(CONTROL!$C$9, $D$9, 100%, $F$9) + CHOOSE(CONTROL!$C$27, 0.0021, 0)</f>
        <v>51.441899999999997</v>
      </c>
      <c r="L542" s="10"/>
    </row>
    <row r="543" spans="1:12" ht="15.75" x14ac:dyDescent="0.25">
      <c r="A543" s="13">
        <v>57830</v>
      </c>
      <c r="B543" s="10">
        <f>51.152 * CHOOSE(CONTROL!$C$9, $D$9, 100%, $F$9) + CHOOSE(CONTROL!$C$27, 0.0021, 0)</f>
        <v>51.1541</v>
      </c>
      <c r="C543" s="10">
        <f>50.7198 * CHOOSE(CONTROL!$C$9, $D$9, 100%, $F$9) + CHOOSE(CONTROL!$C$27, 0.0021, 0)</f>
        <v>50.721899999999998</v>
      </c>
      <c r="D543" s="10">
        <f>50.7198 * CHOOSE(CONTROL!$C$9, $D$9, 100%, $F$9) + CHOOSE(CONTROL!$C$27, 0.0021, 0)</f>
        <v>50.721899999999998</v>
      </c>
      <c r="E543" s="10">
        <f>50.5831 * CHOOSE(CONTROL!$C$9, $D$9, 100%, $F$9) + CHOOSE(CONTROL!$C$27, 0.0021, 0)</f>
        <v>50.5852</v>
      </c>
      <c r="F543" s="10">
        <f>50.5831 * CHOOSE(CONTROL!$C$9, $D$9, 100%, $F$9) + CHOOSE(CONTROL!$C$27, 0.0021, 0)</f>
        <v>50.5852</v>
      </c>
      <c r="G543" s="10">
        <f>50.8545 * CHOOSE(CONTROL!$C$9, $D$9, 100%, $F$9) + CHOOSE(CONTROL!$C$27, 0.0021, 0)</f>
        <v>50.8566</v>
      </c>
      <c r="H543" s="10">
        <f>50.7198 * CHOOSE(CONTROL!$C$9, $D$9, 100%, $F$9) + CHOOSE(CONTROL!$C$27, 0.0021, 0)</f>
        <v>50.721899999999998</v>
      </c>
      <c r="I543" s="10">
        <f>50.7198 * CHOOSE(CONTROL!$C$9, $D$9, 100%, $F$9) + CHOOSE(CONTROL!$C$27, 0.0021, 0)</f>
        <v>50.721899999999998</v>
      </c>
      <c r="J543" s="10">
        <f>50.7198 * CHOOSE(CONTROL!$C$9, $D$9, 100%, $F$9) + CHOOSE(CONTROL!$C$27, 0.0021, 0)</f>
        <v>50.721899999999998</v>
      </c>
      <c r="K543" s="10">
        <f>50.7198 * CHOOSE(CONTROL!$C$9, $D$9, 100%, $F$9) + CHOOSE(CONTROL!$C$27, 0.0021, 0)</f>
        <v>50.721899999999998</v>
      </c>
      <c r="L543" s="10"/>
    </row>
    <row r="544" spans="1:12" ht="15.75" x14ac:dyDescent="0.25">
      <c r="A544" s="13">
        <v>57861</v>
      </c>
      <c r="B544" s="10">
        <f>52.1781 * CHOOSE(CONTROL!$C$9, $D$9, 100%, $F$9) + CHOOSE(CONTROL!$C$27, 0.0021, 0)</f>
        <v>52.180199999999999</v>
      </c>
      <c r="C544" s="10">
        <f>51.7458 * CHOOSE(CONTROL!$C$9, $D$9, 100%, $F$9) + CHOOSE(CONTROL!$C$27, 0.0021, 0)</f>
        <v>51.747900000000001</v>
      </c>
      <c r="D544" s="10">
        <f>51.7458 * CHOOSE(CONTROL!$C$9, $D$9, 100%, $F$9) + CHOOSE(CONTROL!$C$27, 0.0021, 0)</f>
        <v>51.747900000000001</v>
      </c>
      <c r="E544" s="10">
        <f>51.6092 * CHOOSE(CONTROL!$C$9, $D$9, 100%, $F$9) + CHOOSE(CONTROL!$C$27, 0.0021, 0)</f>
        <v>51.6113</v>
      </c>
      <c r="F544" s="10">
        <f>51.6092 * CHOOSE(CONTROL!$C$9, $D$9, 100%, $F$9) + CHOOSE(CONTROL!$C$27, 0.0021, 0)</f>
        <v>51.6113</v>
      </c>
      <c r="G544" s="10">
        <f>51.8806 * CHOOSE(CONTROL!$C$9, $D$9, 100%, $F$9) + CHOOSE(CONTROL!$C$27, 0.0021, 0)</f>
        <v>51.8827</v>
      </c>
      <c r="H544" s="10">
        <f>51.7458 * CHOOSE(CONTROL!$C$9, $D$9, 100%, $F$9) + CHOOSE(CONTROL!$C$27, 0.0021, 0)</f>
        <v>51.747900000000001</v>
      </c>
      <c r="I544" s="10">
        <f>51.7458 * CHOOSE(CONTROL!$C$9, $D$9, 100%, $F$9) + CHOOSE(CONTROL!$C$27, 0.0021, 0)</f>
        <v>51.747900000000001</v>
      </c>
      <c r="J544" s="10">
        <f>51.7458 * CHOOSE(CONTROL!$C$9, $D$9, 100%, $F$9) + CHOOSE(CONTROL!$C$27, 0.0021, 0)</f>
        <v>51.747900000000001</v>
      </c>
      <c r="K544" s="10">
        <f>51.7458 * CHOOSE(CONTROL!$C$9, $D$9, 100%, $F$9) + CHOOSE(CONTROL!$C$27, 0.0021, 0)</f>
        <v>51.747900000000001</v>
      </c>
      <c r="L544" s="10"/>
    </row>
    <row r="545" spans="1:12" ht="15.75" x14ac:dyDescent="0.25">
      <c r="A545" s="13">
        <v>57891</v>
      </c>
      <c r="B545" s="10">
        <f>52.7927 * CHOOSE(CONTROL!$C$9, $D$9, 100%, $F$9) + CHOOSE(CONTROL!$C$27, 0.0021, 0)</f>
        <v>52.794800000000002</v>
      </c>
      <c r="C545" s="10">
        <f>52.3604 * CHOOSE(CONTROL!$C$9, $D$9, 100%, $F$9) + CHOOSE(CONTROL!$C$27, 0.0021, 0)</f>
        <v>52.362499999999997</v>
      </c>
      <c r="D545" s="10">
        <f>52.3604 * CHOOSE(CONTROL!$C$9, $D$9, 100%, $F$9) + CHOOSE(CONTROL!$C$27, 0.0021, 0)</f>
        <v>52.362499999999997</v>
      </c>
      <c r="E545" s="10">
        <f>52.2238 * CHOOSE(CONTROL!$C$9, $D$9, 100%, $F$9) + CHOOSE(CONTROL!$C$27, 0.0021, 0)</f>
        <v>52.225899999999996</v>
      </c>
      <c r="F545" s="10">
        <f>52.2238 * CHOOSE(CONTROL!$C$9, $D$9, 100%, $F$9) + CHOOSE(CONTROL!$C$27, 0.0021, 0)</f>
        <v>52.225899999999996</v>
      </c>
      <c r="G545" s="10">
        <f>52.4951 * CHOOSE(CONTROL!$C$9, $D$9, 100%, $F$9) + CHOOSE(CONTROL!$C$27, 0.0021, 0)</f>
        <v>52.497199999999999</v>
      </c>
      <c r="H545" s="10">
        <f>52.3604 * CHOOSE(CONTROL!$C$9, $D$9, 100%, $F$9) + CHOOSE(CONTROL!$C$27, 0.0021, 0)</f>
        <v>52.362499999999997</v>
      </c>
      <c r="I545" s="10">
        <f>52.3604 * CHOOSE(CONTROL!$C$9, $D$9, 100%, $F$9) + CHOOSE(CONTROL!$C$27, 0.0021, 0)</f>
        <v>52.362499999999997</v>
      </c>
      <c r="J545" s="10">
        <f>52.3604 * CHOOSE(CONTROL!$C$9, $D$9, 100%, $F$9) + CHOOSE(CONTROL!$C$27, 0.0021, 0)</f>
        <v>52.362499999999997</v>
      </c>
      <c r="K545" s="10">
        <f>52.3604 * CHOOSE(CONTROL!$C$9, $D$9, 100%, $F$9) + CHOOSE(CONTROL!$C$27, 0.0021, 0)</f>
        <v>52.362499999999997</v>
      </c>
      <c r="L545" s="10"/>
    </row>
    <row r="546" spans="1:12" ht="15.75" x14ac:dyDescent="0.25">
      <c r="A546" s="13">
        <v>57922</v>
      </c>
      <c r="B546" s="10">
        <f>53.8065 * CHOOSE(CONTROL!$C$9, $D$9, 100%, $F$9) + CHOOSE(CONTROL!$C$27, 0.0021, 0)</f>
        <v>53.808599999999998</v>
      </c>
      <c r="C546" s="10">
        <f>53.3742 * CHOOSE(CONTROL!$C$9, $D$9, 100%, $F$9) + CHOOSE(CONTROL!$C$27, 0.0021, 0)</f>
        <v>53.376300000000001</v>
      </c>
      <c r="D546" s="10">
        <f>53.3742 * CHOOSE(CONTROL!$C$9, $D$9, 100%, $F$9) + CHOOSE(CONTROL!$C$27, 0.0021, 0)</f>
        <v>53.376300000000001</v>
      </c>
      <c r="E546" s="10">
        <f>53.2376 * CHOOSE(CONTROL!$C$9, $D$9, 100%, $F$9) + CHOOSE(CONTROL!$C$27, 0.0021, 0)</f>
        <v>53.239699999999999</v>
      </c>
      <c r="F546" s="10">
        <f>53.2376 * CHOOSE(CONTROL!$C$9, $D$9, 100%, $F$9) + CHOOSE(CONTROL!$C$27, 0.0021, 0)</f>
        <v>53.239699999999999</v>
      </c>
      <c r="G546" s="10">
        <f>53.509 * CHOOSE(CONTROL!$C$9, $D$9, 100%, $F$9) + CHOOSE(CONTROL!$C$27, 0.0021, 0)</f>
        <v>53.511099999999999</v>
      </c>
      <c r="H546" s="10">
        <f>53.3742 * CHOOSE(CONTROL!$C$9, $D$9, 100%, $F$9) + CHOOSE(CONTROL!$C$27, 0.0021, 0)</f>
        <v>53.376300000000001</v>
      </c>
      <c r="I546" s="10">
        <f>53.3742 * CHOOSE(CONTROL!$C$9, $D$9, 100%, $F$9) + CHOOSE(CONTROL!$C$27, 0.0021, 0)</f>
        <v>53.376300000000001</v>
      </c>
      <c r="J546" s="10">
        <f>53.3742 * CHOOSE(CONTROL!$C$9, $D$9, 100%, $F$9) + CHOOSE(CONTROL!$C$27, 0.0021, 0)</f>
        <v>53.376300000000001</v>
      </c>
      <c r="K546" s="10">
        <f>53.3742 * CHOOSE(CONTROL!$C$9, $D$9, 100%, $F$9) + CHOOSE(CONTROL!$C$27, 0.0021, 0)</f>
        <v>53.376300000000001</v>
      </c>
      <c r="L546" s="10"/>
    </row>
    <row r="547" spans="1:12" ht="15.75" x14ac:dyDescent="0.25">
      <c r="A547" s="13">
        <v>57953</v>
      </c>
      <c r="B547" s="10">
        <f>54.1159 * CHOOSE(CONTROL!$C$9, $D$9, 100%, $F$9) + CHOOSE(CONTROL!$C$27, 0.0021, 0)</f>
        <v>54.118000000000002</v>
      </c>
      <c r="C547" s="10">
        <f>53.6837 * CHOOSE(CONTROL!$C$9, $D$9, 100%, $F$9) + CHOOSE(CONTROL!$C$27, 0.0021, 0)</f>
        <v>53.6858</v>
      </c>
      <c r="D547" s="10">
        <f>53.6837 * CHOOSE(CONTROL!$C$9, $D$9, 100%, $F$9) + CHOOSE(CONTROL!$C$27, 0.0021, 0)</f>
        <v>53.6858</v>
      </c>
      <c r="E547" s="10">
        <f>53.547 * CHOOSE(CONTROL!$C$9, $D$9, 100%, $F$9) + CHOOSE(CONTROL!$C$27, 0.0021, 0)</f>
        <v>53.549099999999996</v>
      </c>
      <c r="F547" s="10">
        <f>53.547 * CHOOSE(CONTROL!$C$9, $D$9, 100%, $F$9) + CHOOSE(CONTROL!$C$27, 0.0021, 0)</f>
        <v>53.549099999999996</v>
      </c>
      <c r="G547" s="10">
        <f>53.8184 * CHOOSE(CONTROL!$C$9, $D$9, 100%, $F$9) + CHOOSE(CONTROL!$C$27, 0.0021, 0)</f>
        <v>53.820499999999996</v>
      </c>
      <c r="H547" s="10">
        <f>53.6837 * CHOOSE(CONTROL!$C$9, $D$9, 100%, $F$9) + CHOOSE(CONTROL!$C$27, 0.0021, 0)</f>
        <v>53.6858</v>
      </c>
      <c r="I547" s="10">
        <f>53.6837 * CHOOSE(CONTROL!$C$9, $D$9, 100%, $F$9) + CHOOSE(CONTROL!$C$27, 0.0021, 0)</f>
        <v>53.6858</v>
      </c>
      <c r="J547" s="10">
        <f>53.6837 * CHOOSE(CONTROL!$C$9, $D$9, 100%, $F$9) + CHOOSE(CONTROL!$C$27, 0.0021, 0)</f>
        <v>53.6858</v>
      </c>
      <c r="K547" s="10">
        <f>53.6837 * CHOOSE(CONTROL!$C$9, $D$9, 100%, $F$9) + CHOOSE(CONTROL!$C$27, 0.0021, 0)</f>
        <v>53.6858</v>
      </c>
      <c r="L547" s="10"/>
    </row>
    <row r="548" spans="1:12" ht="15.75" x14ac:dyDescent="0.25">
      <c r="A548" s="13">
        <v>57983</v>
      </c>
      <c r="B548" s="10">
        <f>55.1698 * CHOOSE(CONTROL!$C$9, $D$9, 100%, $F$9) + CHOOSE(CONTROL!$C$27, 0.0021, 0)</f>
        <v>55.171900000000001</v>
      </c>
      <c r="C548" s="10">
        <f>54.7375 * CHOOSE(CONTROL!$C$9, $D$9, 100%, $F$9) + CHOOSE(CONTROL!$C$27, 0.0021, 0)</f>
        <v>54.739599999999996</v>
      </c>
      <c r="D548" s="10">
        <f>54.7375 * CHOOSE(CONTROL!$C$9, $D$9, 100%, $F$9) + CHOOSE(CONTROL!$C$27, 0.0021, 0)</f>
        <v>54.739599999999996</v>
      </c>
      <c r="E548" s="10">
        <f>54.6009 * CHOOSE(CONTROL!$C$9, $D$9, 100%, $F$9) + CHOOSE(CONTROL!$C$27, 0.0021, 0)</f>
        <v>54.603000000000002</v>
      </c>
      <c r="F548" s="10">
        <f>54.6009 * CHOOSE(CONTROL!$C$9, $D$9, 100%, $F$9) + CHOOSE(CONTROL!$C$27, 0.0021, 0)</f>
        <v>54.603000000000002</v>
      </c>
      <c r="G548" s="10">
        <f>54.8722 * CHOOSE(CONTROL!$C$9, $D$9, 100%, $F$9) + CHOOSE(CONTROL!$C$27, 0.0021, 0)</f>
        <v>54.874299999999998</v>
      </c>
      <c r="H548" s="10">
        <f>54.7375 * CHOOSE(CONTROL!$C$9, $D$9, 100%, $F$9) + CHOOSE(CONTROL!$C$27, 0.0021, 0)</f>
        <v>54.739599999999996</v>
      </c>
      <c r="I548" s="10">
        <f>54.7375 * CHOOSE(CONTROL!$C$9, $D$9, 100%, $F$9) + CHOOSE(CONTROL!$C$27, 0.0021, 0)</f>
        <v>54.739599999999996</v>
      </c>
      <c r="J548" s="10">
        <f>54.7375 * CHOOSE(CONTROL!$C$9, $D$9, 100%, $F$9) + CHOOSE(CONTROL!$C$27, 0.0021, 0)</f>
        <v>54.739599999999996</v>
      </c>
      <c r="K548" s="10">
        <f>54.7375 * CHOOSE(CONTROL!$C$9, $D$9, 100%, $F$9) + CHOOSE(CONTROL!$C$27, 0.0021, 0)</f>
        <v>54.739599999999996</v>
      </c>
      <c r="L548" s="10"/>
    </row>
    <row r="549" spans="1:12" ht="15.75" x14ac:dyDescent="0.25">
      <c r="A549" s="13">
        <v>58014</v>
      </c>
      <c r="B549" s="10">
        <f>56.5037 * CHOOSE(CONTROL!$C$9, $D$9, 100%, $F$9) + CHOOSE(CONTROL!$C$27, 0.0021, 0)</f>
        <v>56.505800000000001</v>
      </c>
      <c r="C549" s="10">
        <f>56.0715 * CHOOSE(CONTROL!$C$9, $D$9, 100%, $F$9) + CHOOSE(CONTROL!$C$27, 0.0021, 0)</f>
        <v>56.073599999999999</v>
      </c>
      <c r="D549" s="10">
        <f>56.0715 * CHOOSE(CONTROL!$C$9, $D$9, 100%, $F$9) + CHOOSE(CONTROL!$C$27, 0.0021, 0)</f>
        <v>56.073599999999999</v>
      </c>
      <c r="E549" s="10">
        <f>55.9348 * CHOOSE(CONTROL!$C$9, $D$9, 100%, $F$9) + CHOOSE(CONTROL!$C$27, 0.0021, 0)</f>
        <v>55.936900000000001</v>
      </c>
      <c r="F549" s="10">
        <f>55.9348 * CHOOSE(CONTROL!$C$9, $D$9, 100%, $F$9) + CHOOSE(CONTROL!$C$27, 0.0021, 0)</f>
        <v>55.936900000000001</v>
      </c>
      <c r="G549" s="10">
        <f>56.2062 * CHOOSE(CONTROL!$C$9, $D$9, 100%, $F$9) + CHOOSE(CONTROL!$C$27, 0.0021, 0)</f>
        <v>56.208300000000001</v>
      </c>
      <c r="H549" s="10">
        <f>56.0715 * CHOOSE(CONTROL!$C$9, $D$9, 100%, $F$9) + CHOOSE(CONTROL!$C$27, 0.0021, 0)</f>
        <v>56.073599999999999</v>
      </c>
      <c r="I549" s="10">
        <f>56.0715 * CHOOSE(CONTROL!$C$9, $D$9, 100%, $F$9) + CHOOSE(CONTROL!$C$27, 0.0021, 0)</f>
        <v>56.073599999999999</v>
      </c>
      <c r="J549" s="10">
        <f>56.0715 * CHOOSE(CONTROL!$C$9, $D$9, 100%, $F$9) + CHOOSE(CONTROL!$C$27, 0.0021, 0)</f>
        <v>56.073599999999999</v>
      </c>
      <c r="K549" s="10">
        <f>56.0715 * CHOOSE(CONTROL!$C$9, $D$9, 100%, $F$9) + CHOOSE(CONTROL!$C$27, 0.0021, 0)</f>
        <v>56.073599999999999</v>
      </c>
      <c r="L549" s="10"/>
    </row>
    <row r="550" spans="1:12" ht="15.75" x14ac:dyDescent="0.25">
      <c r="A550" s="13">
        <v>58044</v>
      </c>
      <c r="B550" s="10">
        <f>56.629 * CHOOSE(CONTROL!$C$9, $D$9, 100%, $F$9) + CHOOSE(CONTROL!$C$27, 0.0021, 0)</f>
        <v>56.631099999999996</v>
      </c>
      <c r="C550" s="10">
        <f>56.1967 * CHOOSE(CONTROL!$C$9, $D$9, 100%, $F$9) + CHOOSE(CONTROL!$C$27, 0.0021, 0)</f>
        <v>56.198799999999999</v>
      </c>
      <c r="D550" s="10">
        <f>56.1967 * CHOOSE(CONTROL!$C$9, $D$9, 100%, $F$9) + CHOOSE(CONTROL!$C$27, 0.0021, 0)</f>
        <v>56.198799999999999</v>
      </c>
      <c r="E550" s="10">
        <f>56.0601 * CHOOSE(CONTROL!$C$9, $D$9, 100%, $F$9) + CHOOSE(CONTROL!$C$27, 0.0021, 0)</f>
        <v>56.062199999999997</v>
      </c>
      <c r="F550" s="10">
        <f>56.0601 * CHOOSE(CONTROL!$C$9, $D$9, 100%, $F$9) + CHOOSE(CONTROL!$C$27, 0.0021, 0)</f>
        <v>56.062199999999997</v>
      </c>
      <c r="G550" s="10">
        <f>56.3314 * CHOOSE(CONTROL!$C$9, $D$9, 100%, $F$9) + CHOOSE(CONTROL!$C$27, 0.0021, 0)</f>
        <v>56.333500000000001</v>
      </c>
      <c r="H550" s="10">
        <f>56.1967 * CHOOSE(CONTROL!$C$9, $D$9, 100%, $F$9) + CHOOSE(CONTROL!$C$27, 0.0021, 0)</f>
        <v>56.198799999999999</v>
      </c>
      <c r="I550" s="10">
        <f>56.1967 * CHOOSE(CONTROL!$C$9, $D$9, 100%, $F$9) + CHOOSE(CONTROL!$C$27, 0.0021, 0)</f>
        <v>56.198799999999999</v>
      </c>
      <c r="J550" s="10">
        <f>56.1967 * CHOOSE(CONTROL!$C$9, $D$9, 100%, $F$9) + CHOOSE(CONTROL!$C$27, 0.0021, 0)</f>
        <v>56.198799999999999</v>
      </c>
      <c r="K550" s="10">
        <f>56.1967 * CHOOSE(CONTROL!$C$9, $D$9, 100%, $F$9) + CHOOSE(CONTROL!$C$27, 0.0021, 0)</f>
        <v>56.198799999999999</v>
      </c>
      <c r="L550" s="10"/>
    </row>
    <row r="551" spans="1:12" ht="15.75" x14ac:dyDescent="0.25">
      <c r="A551" s="13">
        <v>58075</v>
      </c>
      <c r="B551" s="10">
        <f>55.5636 * CHOOSE(CONTROL!$C$9, $D$9, 100%, $F$9) + CHOOSE(CONTROL!$C$27, 0.0021, 0)</f>
        <v>55.5657</v>
      </c>
      <c r="C551" s="10">
        <f>55.1313 * CHOOSE(CONTROL!$C$9, $D$9, 100%, $F$9) + CHOOSE(CONTROL!$C$27, 0.0021, 0)</f>
        <v>55.133400000000002</v>
      </c>
      <c r="D551" s="10">
        <f>55.1313 * CHOOSE(CONTROL!$C$9, $D$9, 100%, $F$9) + CHOOSE(CONTROL!$C$27, 0.0021, 0)</f>
        <v>55.133400000000002</v>
      </c>
      <c r="E551" s="10">
        <f>54.9947 * CHOOSE(CONTROL!$C$9, $D$9, 100%, $F$9) + CHOOSE(CONTROL!$C$27, 0.0021, 0)</f>
        <v>54.9968</v>
      </c>
      <c r="F551" s="10">
        <f>54.9947 * CHOOSE(CONTROL!$C$9, $D$9, 100%, $F$9) + CHOOSE(CONTROL!$C$27, 0.0021, 0)</f>
        <v>54.9968</v>
      </c>
      <c r="G551" s="10">
        <f>55.266 * CHOOSE(CONTROL!$C$9, $D$9, 100%, $F$9) + CHOOSE(CONTROL!$C$27, 0.0021, 0)</f>
        <v>55.268099999999997</v>
      </c>
      <c r="H551" s="10">
        <f>55.1313 * CHOOSE(CONTROL!$C$9, $D$9, 100%, $F$9) + CHOOSE(CONTROL!$C$27, 0.0021, 0)</f>
        <v>55.133400000000002</v>
      </c>
      <c r="I551" s="10">
        <f>55.1313 * CHOOSE(CONTROL!$C$9, $D$9, 100%, $F$9) + CHOOSE(CONTROL!$C$27, 0.0021, 0)</f>
        <v>55.133400000000002</v>
      </c>
      <c r="J551" s="10">
        <f>55.1313 * CHOOSE(CONTROL!$C$9, $D$9, 100%, $F$9) + CHOOSE(CONTROL!$C$27, 0.0021, 0)</f>
        <v>55.133400000000002</v>
      </c>
      <c r="K551" s="10">
        <f>55.1313 * CHOOSE(CONTROL!$C$9, $D$9, 100%, $F$9) + CHOOSE(CONTROL!$C$27, 0.0021, 0)</f>
        <v>55.133400000000002</v>
      </c>
      <c r="L551" s="10"/>
    </row>
    <row r="552" spans="1:12" ht="15.75" x14ac:dyDescent="0.25">
      <c r="A552" s="13">
        <v>58106</v>
      </c>
      <c r="B552" s="10">
        <f>54.7478 * CHOOSE(CONTROL!$C$9, $D$9, 100%, $F$9) + CHOOSE(CONTROL!$C$27, 0.0021, 0)</f>
        <v>54.749899999999997</v>
      </c>
      <c r="C552" s="10">
        <f>54.3156 * CHOOSE(CONTROL!$C$9, $D$9, 100%, $F$9) + CHOOSE(CONTROL!$C$27, 0.0021, 0)</f>
        <v>54.317700000000002</v>
      </c>
      <c r="D552" s="10">
        <f>54.3156 * CHOOSE(CONTROL!$C$9, $D$9, 100%, $F$9) + CHOOSE(CONTROL!$C$27, 0.0021, 0)</f>
        <v>54.317700000000002</v>
      </c>
      <c r="E552" s="10">
        <f>54.1789 * CHOOSE(CONTROL!$C$9, $D$9, 100%, $F$9) + CHOOSE(CONTROL!$C$27, 0.0021, 0)</f>
        <v>54.180999999999997</v>
      </c>
      <c r="F552" s="10">
        <f>54.1789 * CHOOSE(CONTROL!$C$9, $D$9, 100%, $F$9) + CHOOSE(CONTROL!$C$27, 0.0021, 0)</f>
        <v>54.180999999999997</v>
      </c>
      <c r="G552" s="10">
        <f>54.4503 * CHOOSE(CONTROL!$C$9, $D$9, 100%, $F$9) + CHOOSE(CONTROL!$C$27, 0.0021, 0)</f>
        <v>54.452399999999997</v>
      </c>
      <c r="H552" s="10">
        <f>54.3156 * CHOOSE(CONTROL!$C$9, $D$9, 100%, $F$9) + CHOOSE(CONTROL!$C$27, 0.0021, 0)</f>
        <v>54.317700000000002</v>
      </c>
      <c r="I552" s="10">
        <f>54.3156 * CHOOSE(CONTROL!$C$9, $D$9, 100%, $F$9) + CHOOSE(CONTROL!$C$27, 0.0021, 0)</f>
        <v>54.317700000000002</v>
      </c>
      <c r="J552" s="10">
        <f>54.3156 * CHOOSE(CONTROL!$C$9, $D$9, 100%, $F$9) + CHOOSE(CONTROL!$C$27, 0.0021, 0)</f>
        <v>54.317700000000002</v>
      </c>
      <c r="K552" s="10">
        <f>54.3156 * CHOOSE(CONTROL!$C$9, $D$9, 100%, $F$9) + CHOOSE(CONTROL!$C$27, 0.0021, 0)</f>
        <v>54.317700000000002</v>
      </c>
      <c r="L552" s="10"/>
    </row>
    <row r="553" spans="1:12" ht="15.75" x14ac:dyDescent="0.25">
      <c r="A553" s="13">
        <v>58134</v>
      </c>
      <c r="B553" s="10">
        <f>53.2641 * CHOOSE(CONTROL!$C$9, $D$9, 100%, $F$9) + CHOOSE(CONTROL!$C$27, 0.0021, 0)</f>
        <v>53.266199999999998</v>
      </c>
      <c r="C553" s="10">
        <f>52.8319 * CHOOSE(CONTROL!$C$9, $D$9, 100%, $F$9) + CHOOSE(CONTROL!$C$27, 0.0021, 0)</f>
        <v>52.833999999999996</v>
      </c>
      <c r="D553" s="10">
        <f>52.8319 * CHOOSE(CONTROL!$C$9, $D$9, 100%, $F$9) + CHOOSE(CONTROL!$C$27, 0.0021, 0)</f>
        <v>52.833999999999996</v>
      </c>
      <c r="E553" s="10">
        <f>52.6952 * CHOOSE(CONTROL!$C$9, $D$9, 100%, $F$9) + CHOOSE(CONTROL!$C$27, 0.0021, 0)</f>
        <v>52.697299999999998</v>
      </c>
      <c r="F553" s="10">
        <f>52.6952 * CHOOSE(CONTROL!$C$9, $D$9, 100%, $F$9) + CHOOSE(CONTROL!$C$27, 0.0021, 0)</f>
        <v>52.697299999999998</v>
      </c>
      <c r="G553" s="10">
        <f>52.9666 * CHOOSE(CONTROL!$C$9, $D$9, 100%, $F$9) + CHOOSE(CONTROL!$C$27, 0.0021, 0)</f>
        <v>52.968699999999998</v>
      </c>
      <c r="H553" s="10">
        <f>52.8319 * CHOOSE(CONTROL!$C$9, $D$9, 100%, $F$9) + CHOOSE(CONTROL!$C$27, 0.0021, 0)</f>
        <v>52.833999999999996</v>
      </c>
      <c r="I553" s="10">
        <f>52.8319 * CHOOSE(CONTROL!$C$9, $D$9, 100%, $F$9) + CHOOSE(CONTROL!$C$27, 0.0021, 0)</f>
        <v>52.833999999999996</v>
      </c>
      <c r="J553" s="10">
        <f>52.8319 * CHOOSE(CONTROL!$C$9, $D$9, 100%, $F$9) + CHOOSE(CONTROL!$C$27, 0.0021, 0)</f>
        <v>52.833999999999996</v>
      </c>
      <c r="K553" s="10">
        <f>52.8319 * CHOOSE(CONTROL!$C$9, $D$9, 100%, $F$9) + CHOOSE(CONTROL!$C$27, 0.0021, 0)</f>
        <v>52.833999999999996</v>
      </c>
      <c r="L553" s="10"/>
    </row>
    <row r="554" spans="1:12" ht="15.75" x14ac:dyDescent="0.25">
      <c r="A554" s="13">
        <v>58165</v>
      </c>
      <c r="B554" s="10">
        <f>52.6516 * CHOOSE(CONTROL!$C$9, $D$9, 100%, $F$9) + CHOOSE(CONTROL!$C$27, 0.0021, 0)</f>
        <v>52.653700000000001</v>
      </c>
      <c r="C554" s="10">
        <f>52.2194 * CHOOSE(CONTROL!$C$9, $D$9, 100%, $F$9) + CHOOSE(CONTROL!$C$27, 0.0021, 0)</f>
        <v>52.221499999999999</v>
      </c>
      <c r="D554" s="10">
        <f>52.2194 * CHOOSE(CONTROL!$C$9, $D$9, 100%, $F$9) + CHOOSE(CONTROL!$C$27, 0.0021, 0)</f>
        <v>52.221499999999999</v>
      </c>
      <c r="E554" s="10">
        <f>52.0827 * CHOOSE(CONTROL!$C$9, $D$9, 100%, $F$9) + CHOOSE(CONTROL!$C$27, 0.0021, 0)</f>
        <v>52.084800000000001</v>
      </c>
      <c r="F554" s="10">
        <f>52.0827 * CHOOSE(CONTROL!$C$9, $D$9, 100%, $F$9) + CHOOSE(CONTROL!$C$27, 0.0021, 0)</f>
        <v>52.084800000000001</v>
      </c>
      <c r="G554" s="10">
        <f>52.3541 * CHOOSE(CONTROL!$C$9, $D$9, 100%, $F$9) + CHOOSE(CONTROL!$C$27, 0.0021, 0)</f>
        <v>52.356200000000001</v>
      </c>
      <c r="H554" s="10">
        <f>52.2194 * CHOOSE(CONTROL!$C$9, $D$9, 100%, $F$9) + CHOOSE(CONTROL!$C$27, 0.0021, 0)</f>
        <v>52.221499999999999</v>
      </c>
      <c r="I554" s="10">
        <f>52.2194 * CHOOSE(CONTROL!$C$9, $D$9, 100%, $F$9) + CHOOSE(CONTROL!$C$27, 0.0021, 0)</f>
        <v>52.221499999999999</v>
      </c>
      <c r="J554" s="10">
        <f>52.2194 * CHOOSE(CONTROL!$C$9, $D$9, 100%, $F$9) + CHOOSE(CONTROL!$C$27, 0.0021, 0)</f>
        <v>52.221499999999999</v>
      </c>
      <c r="K554" s="10">
        <f>52.2194 * CHOOSE(CONTROL!$C$9, $D$9, 100%, $F$9) + CHOOSE(CONTROL!$C$27, 0.0021, 0)</f>
        <v>52.221499999999999</v>
      </c>
      <c r="L554" s="10"/>
    </row>
    <row r="555" spans="1:12" ht="15.75" x14ac:dyDescent="0.25">
      <c r="A555" s="13">
        <v>58195</v>
      </c>
      <c r="B555" s="10">
        <f>51.9203 * CHOOSE(CONTROL!$C$9, $D$9, 100%, $F$9) + CHOOSE(CONTROL!$C$27, 0.0021, 0)</f>
        <v>51.922399999999996</v>
      </c>
      <c r="C555" s="10">
        <f>51.4881 * CHOOSE(CONTROL!$C$9, $D$9, 100%, $F$9) + CHOOSE(CONTROL!$C$27, 0.0021, 0)</f>
        <v>51.490200000000002</v>
      </c>
      <c r="D555" s="10">
        <f>51.4881 * CHOOSE(CONTROL!$C$9, $D$9, 100%, $F$9) + CHOOSE(CONTROL!$C$27, 0.0021, 0)</f>
        <v>51.490200000000002</v>
      </c>
      <c r="E555" s="10">
        <f>51.3514 * CHOOSE(CONTROL!$C$9, $D$9, 100%, $F$9) + CHOOSE(CONTROL!$C$27, 0.0021, 0)</f>
        <v>51.353499999999997</v>
      </c>
      <c r="F555" s="10">
        <f>51.3514 * CHOOSE(CONTROL!$C$9, $D$9, 100%, $F$9) + CHOOSE(CONTROL!$C$27, 0.0021, 0)</f>
        <v>51.353499999999997</v>
      </c>
      <c r="G555" s="10">
        <f>51.6228 * CHOOSE(CONTROL!$C$9, $D$9, 100%, $F$9) + CHOOSE(CONTROL!$C$27, 0.0021, 0)</f>
        <v>51.624899999999997</v>
      </c>
      <c r="H555" s="10">
        <f>51.4881 * CHOOSE(CONTROL!$C$9, $D$9, 100%, $F$9) + CHOOSE(CONTROL!$C$27, 0.0021, 0)</f>
        <v>51.490200000000002</v>
      </c>
      <c r="I555" s="10">
        <f>51.4881 * CHOOSE(CONTROL!$C$9, $D$9, 100%, $F$9) + CHOOSE(CONTROL!$C$27, 0.0021, 0)</f>
        <v>51.490200000000002</v>
      </c>
      <c r="J555" s="10">
        <f>51.4881 * CHOOSE(CONTROL!$C$9, $D$9, 100%, $F$9) + CHOOSE(CONTROL!$C$27, 0.0021, 0)</f>
        <v>51.490200000000002</v>
      </c>
      <c r="K555" s="10">
        <f>51.4881 * CHOOSE(CONTROL!$C$9, $D$9, 100%, $F$9) + CHOOSE(CONTROL!$C$27, 0.0021, 0)</f>
        <v>51.490200000000002</v>
      </c>
      <c r="L555" s="10"/>
    </row>
    <row r="556" spans="1:12" ht="15.75" x14ac:dyDescent="0.25">
      <c r="A556" s="13">
        <v>58226</v>
      </c>
      <c r="B556" s="10">
        <f>52.9625 * CHOOSE(CONTROL!$C$9, $D$9, 100%, $F$9) + CHOOSE(CONTROL!$C$27, 0.0021, 0)</f>
        <v>52.964599999999997</v>
      </c>
      <c r="C556" s="10">
        <f>52.5303 * CHOOSE(CONTROL!$C$9, $D$9, 100%, $F$9) + CHOOSE(CONTROL!$C$27, 0.0021, 0)</f>
        <v>52.532399999999996</v>
      </c>
      <c r="D556" s="10">
        <f>52.5303 * CHOOSE(CONTROL!$C$9, $D$9, 100%, $F$9) + CHOOSE(CONTROL!$C$27, 0.0021, 0)</f>
        <v>52.532399999999996</v>
      </c>
      <c r="E556" s="10">
        <f>52.3936 * CHOOSE(CONTROL!$C$9, $D$9, 100%, $F$9) + CHOOSE(CONTROL!$C$27, 0.0021, 0)</f>
        <v>52.395699999999998</v>
      </c>
      <c r="F556" s="10">
        <f>52.3936 * CHOOSE(CONTROL!$C$9, $D$9, 100%, $F$9) + CHOOSE(CONTROL!$C$27, 0.0021, 0)</f>
        <v>52.395699999999998</v>
      </c>
      <c r="G556" s="10">
        <f>52.665 * CHOOSE(CONTROL!$C$9, $D$9, 100%, $F$9) + CHOOSE(CONTROL!$C$27, 0.0021, 0)</f>
        <v>52.667099999999998</v>
      </c>
      <c r="H556" s="10">
        <f>52.5303 * CHOOSE(CONTROL!$C$9, $D$9, 100%, $F$9) + CHOOSE(CONTROL!$C$27, 0.0021, 0)</f>
        <v>52.532399999999996</v>
      </c>
      <c r="I556" s="10">
        <f>52.5303 * CHOOSE(CONTROL!$C$9, $D$9, 100%, $F$9) + CHOOSE(CONTROL!$C$27, 0.0021, 0)</f>
        <v>52.532399999999996</v>
      </c>
      <c r="J556" s="10">
        <f>52.5303 * CHOOSE(CONTROL!$C$9, $D$9, 100%, $F$9) + CHOOSE(CONTROL!$C$27, 0.0021, 0)</f>
        <v>52.532399999999996</v>
      </c>
      <c r="K556" s="10">
        <f>52.5303 * CHOOSE(CONTROL!$C$9, $D$9, 100%, $F$9) + CHOOSE(CONTROL!$C$27, 0.0021, 0)</f>
        <v>52.532399999999996</v>
      </c>
      <c r="L556" s="10"/>
    </row>
    <row r="557" spans="1:12" ht="15.75" x14ac:dyDescent="0.25">
      <c r="A557" s="13">
        <v>58256</v>
      </c>
      <c r="B557" s="10">
        <f>53.5868 * CHOOSE(CONTROL!$C$9, $D$9, 100%, $F$9) + CHOOSE(CONTROL!$C$27, 0.0021, 0)</f>
        <v>53.588899999999995</v>
      </c>
      <c r="C557" s="10">
        <f>53.1545 * CHOOSE(CONTROL!$C$9, $D$9, 100%, $F$9) + CHOOSE(CONTROL!$C$27, 0.0021, 0)</f>
        <v>53.156599999999997</v>
      </c>
      <c r="D557" s="10">
        <f>53.1545 * CHOOSE(CONTROL!$C$9, $D$9, 100%, $F$9) + CHOOSE(CONTROL!$C$27, 0.0021, 0)</f>
        <v>53.156599999999997</v>
      </c>
      <c r="E557" s="10">
        <f>53.0179 * CHOOSE(CONTROL!$C$9, $D$9, 100%, $F$9) + CHOOSE(CONTROL!$C$27, 0.0021, 0)</f>
        <v>53.019999999999996</v>
      </c>
      <c r="F557" s="10">
        <f>53.0179 * CHOOSE(CONTROL!$C$9, $D$9, 100%, $F$9) + CHOOSE(CONTROL!$C$27, 0.0021, 0)</f>
        <v>53.019999999999996</v>
      </c>
      <c r="G557" s="10">
        <f>53.2893 * CHOOSE(CONTROL!$C$9, $D$9, 100%, $F$9) + CHOOSE(CONTROL!$C$27, 0.0021, 0)</f>
        <v>53.291399999999996</v>
      </c>
      <c r="H557" s="10">
        <f>53.1545 * CHOOSE(CONTROL!$C$9, $D$9, 100%, $F$9) + CHOOSE(CONTROL!$C$27, 0.0021, 0)</f>
        <v>53.156599999999997</v>
      </c>
      <c r="I557" s="10">
        <f>53.1545 * CHOOSE(CONTROL!$C$9, $D$9, 100%, $F$9) + CHOOSE(CONTROL!$C$27, 0.0021, 0)</f>
        <v>53.156599999999997</v>
      </c>
      <c r="J557" s="10">
        <f>53.1545 * CHOOSE(CONTROL!$C$9, $D$9, 100%, $F$9) + CHOOSE(CONTROL!$C$27, 0.0021, 0)</f>
        <v>53.156599999999997</v>
      </c>
      <c r="K557" s="10">
        <f>53.1545 * CHOOSE(CONTROL!$C$9, $D$9, 100%, $F$9) + CHOOSE(CONTROL!$C$27, 0.0021, 0)</f>
        <v>53.156599999999997</v>
      </c>
      <c r="L557" s="10"/>
    </row>
    <row r="558" spans="1:12" ht="15.75" x14ac:dyDescent="0.25">
      <c r="A558" s="13">
        <v>58287</v>
      </c>
      <c r="B558" s="10">
        <f>54.6166 * CHOOSE(CONTROL!$C$9, $D$9, 100%, $F$9) + CHOOSE(CONTROL!$C$27, 0.0021, 0)</f>
        <v>54.618699999999997</v>
      </c>
      <c r="C558" s="10">
        <f>54.1843 * CHOOSE(CONTROL!$C$9, $D$9, 100%, $F$9) + CHOOSE(CONTROL!$C$27, 0.0021, 0)</f>
        <v>54.186399999999999</v>
      </c>
      <c r="D558" s="10">
        <f>54.1843 * CHOOSE(CONTROL!$C$9, $D$9, 100%, $F$9) + CHOOSE(CONTROL!$C$27, 0.0021, 0)</f>
        <v>54.186399999999999</v>
      </c>
      <c r="E558" s="10">
        <f>54.0476 * CHOOSE(CONTROL!$C$9, $D$9, 100%, $F$9) + CHOOSE(CONTROL!$C$27, 0.0021, 0)</f>
        <v>54.049700000000001</v>
      </c>
      <c r="F558" s="10">
        <f>54.0476 * CHOOSE(CONTROL!$C$9, $D$9, 100%, $F$9) + CHOOSE(CONTROL!$C$27, 0.0021, 0)</f>
        <v>54.049700000000001</v>
      </c>
      <c r="G558" s="10">
        <f>54.319 * CHOOSE(CONTROL!$C$9, $D$9, 100%, $F$9) + CHOOSE(CONTROL!$C$27, 0.0021, 0)</f>
        <v>54.321100000000001</v>
      </c>
      <c r="H558" s="10">
        <f>54.1843 * CHOOSE(CONTROL!$C$9, $D$9, 100%, $F$9) + CHOOSE(CONTROL!$C$27, 0.0021, 0)</f>
        <v>54.186399999999999</v>
      </c>
      <c r="I558" s="10">
        <f>54.1843 * CHOOSE(CONTROL!$C$9, $D$9, 100%, $F$9) + CHOOSE(CONTROL!$C$27, 0.0021, 0)</f>
        <v>54.186399999999999</v>
      </c>
      <c r="J558" s="10">
        <f>54.1843 * CHOOSE(CONTROL!$C$9, $D$9, 100%, $F$9) + CHOOSE(CONTROL!$C$27, 0.0021, 0)</f>
        <v>54.186399999999999</v>
      </c>
      <c r="K558" s="10">
        <f>54.1843 * CHOOSE(CONTROL!$C$9, $D$9, 100%, $F$9) + CHOOSE(CONTROL!$C$27, 0.0021, 0)</f>
        <v>54.186399999999999</v>
      </c>
      <c r="L558" s="10"/>
    </row>
    <row r="559" spans="1:12" ht="15.75" x14ac:dyDescent="0.25">
      <c r="A559" s="13">
        <v>58318</v>
      </c>
      <c r="B559" s="10">
        <f>54.9309 * CHOOSE(CONTROL!$C$9, $D$9, 100%, $F$9) + CHOOSE(CONTROL!$C$27, 0.0021, 0)</f>
        <v>54.933</v>
      </c>
      <c r="C559" s="10">
        <f>54.4986 * CHOOSE(CONTROL!$C$9, $D$9, 100%, $F$9) + CHOOSE(CONTROL!$C$27, 0.0021, 0)</f>
        <v>54.500700000000002</v>
      </c>
      <c r="D559" s="10">
        <f>54.4986 * CHOOSE(CONTROL!$C$9, $D$9, 100%, $F$9) + CHOOSE(CONTROL!$C$27, 0.0021, 0)</f>
        <v>54.500700000000002</v>
      </c>
      <c r="E559" s="10">
        <f>54.362 * CHOOSE(CONTROL!$C$9, $D$9, 100%, $F$9) + CHOOSE(CONTROL!$C$27, 0.0021, 0)</f>
        <v>54.364100000000001</v>
      </c>
      <c r="F559" s="10">
        <f>54.362 * CHOOSE(CONTROL!$C$9, $D$9, 100%, $F$9) + CHOOSE(CONTROL!$C$27, 0.0021, 0)</f>
        <v>54.364100000000001</v>
      </c>
      <c r="G559" s="10">
        <f>54.6333 * CHOOSE(CONTROL!$C$9, $D$9, 100%, $F$9) + CHOOSE(CONTROL!$C$27, 0.0021, 0)</f>
        <v>54.635399999999997</v>
      </c>
      <c r="H559" s="10">
        <f>54.4986 * CHOOSE(CONTROL!$C$9, $D$9, 100%, $F$9) + CHOOSE(CONTROL!$C$27, 0.0021, 0)</f>
        <v>54.500700000000002</v>
      </c>
      <c r="I559" s="10">
        <f>54.4986 * CHOOSE(CONTROL!$C$9, $D$9, 100%, $F$9) + CHOOSE(CONTROL!$C$27, 0.0021, 0)</f>
        <v>54.500700000000002</v>
      </c>
      <c r="J559" s="10">
        <f>54.4986 * CHOOSE(CONTROL!$C$9, $D$9, 100%, $F$9) + CHOOSE(CONTROL!$C$27, 0.0021, 0)</f>
        <v>54.500700000000002</v>
      </c>
      <c r="K559" s="10">
        <f>54.4986 * CHOOSE(CONTROL!$C$9, $D$9, 100%, $F$9) + CHOOSE(CONTROL!$C$27, 0.0021, 0)</f>
        <v>54.500700000000002</v>
      </c>
      <c r="L559" s="10"/>
    </row>
    <row r="560" spans="1:12" ht="15.75" x14ac:dyDescent="0.25">
      <c r="A560" s="13">
        <v>58348</v>
      </c>
      <c r="B560" s="10">
        <f>56.0013 * CHOOSE(CONTROL!$C$9, $D$9, 100%, $F$9) + CHOOSE(CONTROL!$C$27, 0.0021, 0)</f>
        <v>56.003399999999999</v>
      </c>
      <c r="C560" s="10">
        <f>55.569 * CHOOSE(CONTROL!$C$9, $D$9, 100%, $F$9) + CHOOSE(CONTROL!$C$27, 0.0021, 0)</f>
        <v>55.571100000000001</v>
      </c>
      <c r="D560" s="10">
        <f>55.569 * CHOOSE(CONTROL!$C$9, $D$9, 100%, $F$9) + CHOOSE(CONTROL!$C$27, 0.0021, 0)</f>
        <v>55.571100000000001</v>
      </c>
      <c r="E560" s="10">
        <f>55.4324 * CHOOSE(CONTROL!$C$9, $D$9, 100%, $F$9) + CHOOSE(CONTROL!$C$27, 0.0021, 0)</f>
        <v>55.4345</v>
      </c>
      <c r="F560" s="10">
        <f>55.4324 * CHOOSE(CONTROL!$C$9, $D$9, 100%, $F$9) + CHOOSE(CONTROL!$C$27, 0.0021, 0)</f>
        <v>55.4345</v>
      </c>
      <c r="G560" s="10">
        <f>55.7037 * CHOOSE(CONTROL!$C$9, $D$9, 100%, $F$9) + CHOOSE(CONTROL!$C$27, 0.0021, 0)</f>
        <v>55.705799999999996</v>
      </c>
      <c r="H560" s="10">
        <f>55.569 * CHOOSE(CONTROL!$C$9, $D$9, 100%, $F$9) + CHOOSE(CONTROL!$C$27, 0.0021, 0)</f>
        <v>55.571100000000001</v>
      </c>
      <c r="I560" s="10">
        <f>55.569 * CHOOSE(CONTROL!$C$9, $D$9, 100%, $F$9) + CHOOSE(CONTROL!$C$27, 0.0021, 0)</f>
        <v>55.571100000000001</v>
      </c>
      <c r="J560" s="10">
        <f>55.569 * CHOOSE(CONTROL!$C$9, $D$9, 100%, $F$9) + CHOOSE(CONTROL!$C$27, 0.0021, 0)</f>
        <v>55.571100000000001</v>
      </c>
      <c r="K560" s="10">
        <f>55.569 * CHOOSE(CONTROL!$C$9, $D$9, 100%, $F$9) + CHOOSE(CONTROL!$C$27, 0.0021, 0)</f>
        <v>55.571100000000001</v>
      </c>
      <c r="L560" s="10"/>
    </row>
    <row r="561" spans="1:12" ht="15.75" x14ac:dyDescent="0.25">
      <c r="A561" s="13">
        <v>58379</v>
      </c>
      <c r="B561" s="10">
        <f>57.3562 * CHOOSE(CONTROL!$C$9, $D$9, 100%, $F$9) + CHOOSE(CONTROL!$C$27, 0.0021, 0)</f>
        <v>57.3583</v>
      </c>
      <c r="C561" s="10">
        <f>56.924 * CHOOSE(CONTROL!$C$9, $D$9, 100%, $F$9) + CHOOSE(CONTROL!$C$27, 0.0021, 0)</f>
        <v>56.926099999999998</v>
      </c>
      <c r="D561" s="10">
        <f>56.924 * CHOOSE(CONTROL!$C$9, $D$9, 100%, $F$9) + CHOOSE(CONTROL!$C$27, 0.0021, 0)</f>
        <v>56.926099999999998</v>
      </c>
      <c r="E561" s="10">
        <f>56.7873 * CHOOSE(CONTROL!$C$9, $D$9, 100%, $F$9) + CHOOSE(CONTROL!$C$27, 0.0021, 0)</f>
        <v>56.789400000000001</v>
      </c>
      <c r="F561" s="10">
        <f>56.7873 * CHOOSE(CONTROL!$C$9, $D$9, 100%, $F$9) + CHOOSE(CONTROL!$C$27, 0.0021, 0)</f>
        <v>56.789400000000001</v>
      </c>
      <c r="G561" s="10">
        <f>57.0587 * CHOOSE(CONTROL!$C$9, $D$9, 100%, $F$9) + CHOOSE(CONTROL!$C$27, 0.0021, 0)</f>
        <v>57.0608</v>
      </c>
      <c r="H561" s="10">
        <f>56.924 * CHOOSE(CONTROL!$C$9, $D$9, 100%, $F$9) + CHOOSE(CONTROL!$C$27, 0.0021, 0)</f>
        <v>56.926099999999998</v>
      </c>
      <c r="I561" s="10">
        <f>56.924 * CHOOSE(CONTROL!$C$9, $D$9, 100%, $F$9) + CHOOSE(CONTROL!$C$27, 0.0021, 0)</f>
        <v>56.926099999999998</v>
      </c>
      <c r="J561" s="10">
        <f>56.924 * CHOOSE(CONTROL!$C$9, $D$9, 100%, $F$9) + CHOOSE(CONTROL!$C$27, 0.0021, 0)</f>
        <v>56.926099999999998</v>
      </c>
      <c r="K561" s="10">
        <f>56.924 * CHOOSE(CONTROL!$C$9, $D$9, 100%, $F$9) + CHOOSE(CONTROL!$C$27, 0.0021, 0)</f>
        <v>56.926099999999998</v>
      </c>
      <c r="L561" s="10"/>
    </row>
    <row r="562" spans="1:12" ht="15.75" x14ac:dyDescent="0.25">
      <c r="A562" s="13">
        <v>58409</v>
      </c>
      <c r="B562" s="10">
        <f>57.4834 * CHOOSE(CONTROL!$C$9, $D$9, 100%, $F$9) + CHOOSE(CONTROL!$C$27, 0.0021, 0)</f>
        <v>57.485500000000002</v>
      </c>
      <c r="C562" s="10">
        <f>57.0512 * CHOOSE(CONTROL!$C$9, $D$9, 100%, $F$9) + CHOOSE(CONTROL!$C$27, 0.0021, 0)</f>
        <v>57.0533</v>
      </c>
      <c r="D562" s="10">
        <f>57.0512 * CHOOSE(CONTROL!$C$9, $D$9, 100%, $F$9) + CHOOSE(CONTROL!$C$27, 0.0021, 0)</f>
        <v>57.0533</v>
      </c>
      <c r="E562" s="10">
        <f>56.9145 * CHOOSE(CONTROL!$C$9, $D$9, 100%, $F$9) + CHOOSE(CONTROL!$C$27, 0.0021, 0)</f>
        <v>56.916599999999995</v>
      </c>
      <c r="F562" s="10">
        <f>56.9145 * CHOOSE(CONTROL!$C$9, $D$9, 100%, $F$9) + CHOOSE(CONTROL!$C$27, 0.0021, 0)</f>
        <v>56.916599999999995</v>
      </c>
      <c r="G562" s="10">
        <f>57.1859 * CHOOSE(CONTROL!$C$9, $D$9, 100%, $F$9) + CHOOSE(CONTROL!$C$27, 0.0021, 0)</f>
        <v>57.187999999999995</v>
      </c>
      <c r="H562" s="10">
        <f>57.0512 * CHOOSE(CONTROL!$C$9, $D$9, 100%, $F$9) + CHOOSE(CONTROL!$C$27, 0.0021, 0)</f>
        <v>57.0533</v>
      </c>
      <c r="I562" s="10">
        <f>57.0512 * CHOOSE(CONTROL!$C$9, $D$9, 100%, $F$9) + CHOOSE(CONTROL!$C$27, 0.0021, 0)</f>
        <v>57.0533</v>
      </c>
      <c r="J562" s="10">
        <f>57.0512 * CHOOSE(CONTROL!$C$9, $D$9, 100%, $F$9) + CHOOSE(CONTROL!$C$27, 0.0021, 0)</f>
        <v>57.0533</v>
      </c>
      <c r="K562" s="10">
        <f>57.0512 * CHOOSE(CONTROL!$C$9, $D$9, 100%, $F$9) + CHOOSE(CONTROL!$C$27, 0.0021, 0)</f>
        <v>57.0533</v>
      </c>
      <c r="L562" s="10"/>
    </row>
    <row r="563" spans="1:12" ht="15.75" x14ac:dyDescent="0.25">
      <c r="A563" s="13">
        <v>58440</v>
      </c>
      <c r="B563" s="10">
        <f>56.4012 * CHOOSE(CONTROL!$C$9, $D$9, 100%, $F$9) + CHOOSE(CONTROL!$C$27, 0.0021, 0)</f>
        <v>56.403300000000002</v>
      </c>
      <c r="C563" s="10">
        <f>55.969 * CHOOSE(CONTROL!$C$9, $D$9, 100%, $F$9) + CHOOSE(CONTROL!$C$27, 0.0021, 0)</f>
        <v>55.9711</v>
      </c>
      <c r="D563" s="10">
        <f>55.969 * CHOOSE(CONTROL!$C$9, $D$9, 100%, $F$9) + CHOOSE(CONTROL!$C$27, 0.0021, 0)</f>
        <v>55.9711</v>
      </c>
      <c r="E563" s="10">
        <f>55.8323 * CHOOSE(CONTROL!$C$9, $D$9, 100%, $F$9) + CHOOSE(CONTROL!$C$27, 0.0021, 0)</f>
        <v>55.834399999999995</v>
      </c>
      <c r="F563" s="10">
        <f>55.8323 * CHOOSE(CONTROL!$C$9, $D$9, 100%, $F$9) + CHOOSE(CONTROL!$C$27, 0.0021, 0)</f>
        <v>55.834399999999995</v>
      </c>
      <c r="G563" s="10">
        <f>56.1037 * CHOOSE(CONTROL!$C$9, $D$9, 100%, $F$9) + CHOOSE(CONTROL!$C$27, 0.0021, 0)</f>
        <v>56.105800000000002</v>
      </c>
      <c r="H563" s="10">
        <f>55.969 * CHOOSE(CONTROL!$C$9, $D$9, 100%, $F$9) + CHOOSE(CONTROL!$C$27, 0.0021, 0)</f>
        <v>55.9711</v>
      </c>
      <c r="I563" s="10">
        <f>55.969 * CHOOSE(CONTROL!$C$9, $D$9, 100%, $F$9) + CHOOSE(CONTROL!$C$27, 0.0021, 0)</f>
        <v>55.9711</v>
      </c>
      <c r="J563" s="10">
        <f>55.969 * CHOOSE(CONTROL!$C$9, $D$9, 100%, $F$9) + CHOOSE(CONTROL!$C$27, 0.0021, 0)</f>
        <v>55.9711</v>
      </c>
      <c r="K563" s="10">
        <f>55.969 * CHOOSE(CONTROL!$C$9, $D$9, 100%, $F$9) + CHOOSE(CONTROL!$C$27, 0.0021, 0)</f>
        <v>55.9711</v>
      </c>
      <c r="L563" s="10"/>
    </row>
    <row r="564" spans="1:12" ht="15.75" x14ac:dyDescent="0.25">
      <c r="A564" s="13">
        <v>58471</v>
      </c>
      <c r="B564" s="10">
        <f>55.5727 * CHOOSE(CONTROL!$C$9, $D$9, 100%, $F$9) + CHOOSE(CONTROL!$C$27, 0.0021, 0)</f>
        <v>55.574799999999996</v>
      </c>
      <c r="C564" s="10">
        <f>55.1405 * CHOOSE(CONTROL!$C$9, $D$9, 100%, $F$9) + CHOOSE(CONTROL!$C$27, 0.0021, 0)</f>
        <v>55.142600000000002</v>
      </c>
      <c r="D564" s="10">
        <f>55.1405 * CHOOSE(CONTROL!$C$9, $D$9, 100%, $F$9) + CHOOSE(CONTROL!$C$27, 0.0021, 0)</f>
        <v>55.142600000000002</v>
      </c>
      <c r="E564" s="10">
        <f>55.0038 * CHOOSE(CONTROL!$C$9, $D$9, 100%, $F$9) + CHOOSE(CONTROL!$C$27, 0.0021, 0)</f>
        <v>55.005899999999997</v>
      </c>
      <c r="F564" s="10">
        <f>55.0038 * CHOOSE(CONTROL!$C$9, $D$9, 100%, $F$9) + CHOOSE(CONTROL!$C$27, 0.0021, 0)</f>
        <v>55.005899999999997</v>
      </c>
      <c r="G564" s="10">
        <f>55.2752 * CHOOSE(CONTROL!$C$9, $D$9, 100%, $F$9) + CHOOSE(CONTROL!$C$27, 0.0021, 0)</f>
        <v>55.277299999999997</v>
      </c>
      <c r="H564" s="10">
        <f>55.1405 * CHOOSE(CONTROL!$C$9, $D$9, 100%, $F$9) + CHOOSE(CONTROL!$C$27, 0.0021, 0)</f>
        <v>55.142600000000002</v>
      </c>
      <c r="I564" s="10">
        <f>55.1405 * CHOOSE(CONTROL!$C$9, $D$9, 100%, $F$9) + CHOOSE(CONTROL!$C$27, 0.0021, 0)</f>
        <v>55.142600000000002</v>
      </c>
      <c r="J564" s="10">
        <f>55.1405 * CHOOSE(CONTROL!$C$9, $D$9, 100%, $F$9) + CHOOSE(CONTROL!$C$27, 0.0021, 0)</f>
        <v>55.142600000000002</v>
      </c>
      <c r="K564" s="10">
        <f>55.1405 * CHOOSE(CONTROL!$C$9, $D$9, 100%, $F$9) + CHOOSE(CONTROL!$C$27, 0.0021, 0)</f>
        <v>55.142600000000002</v>
      </c>
      <c r="L564" s="10"/>
    </row>
    <row r="565" spans="1:12" ht="15.75" x14ac:dyDescent="0.25">
      <c r="A565" s="13">
        <v>58499</v>
      </c>
      <c r="B565" s="10">
        <f>54.0656 * CHOOSE(CONTROL!$C$9, $D$9, 100%, $F$9) + CHOOSE(CONTROL!$C$27, 0.0021, 0)</f>
        <v>54.067700000000002</v>
      </c>
      <c r="C565" s="10">
        <f>53.6334 * CHOOSE(CONTROL!$C$9, $D$9, 100%, $F$9) + CHOOSE(CONTROL!$C$27, 0.0021, 0)</f>
        <v>53.6355</v>
      </c>
      <c r="D565" s="10">
        <f>53.6334 * CHOOSE(CONTROL!$C$9, $D$9, 100%, $F$9) + CHOOSE(CONTROL!$C$27, 0.0021, 0)</f>
        <v>53.6355</v>
      </c>
      <c r="E565" s="10">
        <f>53.4967 * CHOOSE(CONTROL!$C$9, $D$9, 100%, $F$9) + CHOOSE(CONTROL!$C$27, 0.0021, 0)</f>
        <v>53.498799999999996</v>
      </c>
      <c r="F565" s="10">
        <f>53.4967 * CHOOSE(CONTROL!$C$9, $D$9, 100%, $F$9) + CHOOSE(CONTROL!$C$27, 0.0021, 0)</f>
        <v>53.498799999999996</v>
      </c>
      <c r="G565" s="10">
        <f>53.7681 * CHOOSE(CONTROL!$C$9, $D$9, 100%, $F$9) + CHOOSE(CONTROL!$C$27, 0.0021, 0)</f>
        <v>53.770199999999996</v>
      </c>
      <c r="H565" s="10">
        <f>53.6334 * CHOOSE(CONTROL!$C$9, $D$9, 100%, $F$9) + CHOOSE(CONTROL!$C$27, 0.0021, 0)</f>
        <v>53.6355</v>
      </c>
      <c r="I565" s="10">
        <f>53.6334 * CHOOSE(CONTROL!$C$9, $D$9, 100%, $F$9) + CHOOSE(CONTROL!$C$27, 0.0021, 0)</f>
        <v>53.6355</v>
      </c>
      <c r="J565" s="10">
        <f>53.6334 * CHOOSE(CONTROL!$C$9, $D$9, 100%, $F$9) + CHOOSE(CONTROL!$C$27, 0.0021, 0)</f>
        <v>53.6355</v>
      </c>
      <c r="K565" s="10">
        <f>53.6334 * CHOOSE(CONTROL!$C$9, $D$9, 100%, $F$9) + CHOOSE(CONTROL!$C$27, 0.0021, 0)</f>
        <v>53.6355</v>
      </c>
      <c r="L565" s="10"/>
    </row>
    <row r="566" spans="1:12" ht="15.75" x14ac:dyDescent="0.25">
      <c r="A566" s="13">
        <v>58531</v>
      </c>
      <c r="B566" s="10">
        <f>53.4435 * CHOOSE(CONTROL!$C$9, $D$9, 100%, $F$9) + CHOOSE(CONTROL!$C$27, 0.0021, 0)</f>
        <v>53.445599999999999</v>
      </c>
      <c r="C566" s="10">
        <f>53.0113 * CHOOSE(CONTROL!$C$9, $D$9, 100%, $F$9) + CHOOSE(CONTROL!$C$27, 0.0021, 0)</f>
        <v>53.013399999999997</v>
      </c>
      <c r="D566" s="10">
        <f>53.0113 * CHOOSE(CONTROL!$C$9, $D$9, 100%, $F$9) + CHOOSE(CONTROL!$C$27, 0.0021, 0)</f>
        <v>53.013399999999997</v>
      </c>
      <c r="E566" s="10">
        <f>52.8746 * CHOOSE(CONTROL!$C$9, $D$9, 100%, $F$9) + CHOOSE(CONTROL!$C$27, 0.0021, 0)</f>
        <v>52.8767</v>
      </c>
      <c r="F566" s="10">
        <f>52.8746 * CHOOSE(CONTROL!$C$9, $D$9, 100%, $F$9) + CHOOSE(CONTROL!$C$27, 0.0021, 0)</f>
        <v>52.8767</v>
      </c>
      <c r="G566" s="10">
        <f>53.146 * CHOOSE(CONTROL!$C$9, $D$9, 100%, $F$9) + CHOOSE(CONTROL!$C$27, 0.0021, 0)</f>
        <v>53.148099999999999</v>
      </c>
      <c r="H566" s="10">
        <f>53.0113 * CHOOSE(CONTROL!$C$9, $D$9, 100%, $F$9) + CHOOSE(CONTROL!$C$27, 0.0021, 0)</f>
        <v>53.013399999999997</v>
      </c>
      <c r="I566" s="10">
        <f>53.0113 * CHOOSE(CONTROL!$C$9, $D$9, 100%, $F$9) + CHOOSE(CONTROL!$C$27, 0.0021, 0)</f>
        <v>53.013399999999997</v>
      </c>
      <c r="J566" s="10">
        <f>53.0113 * CHOOSE(CONTROL!$C$9, $D$9, 100%, $F$9) + CHOOSE(CONTROL!$C$27, 0.0021, 0)</f>
        <v>53.013399999999997</v>
      </c>
      <c r="K566" s="10">
        <f>53.0113 * CHOOSE(CONTROL!$C$9, $D$9, 100%, $F$9) + CHOOSE(CONTROL!$C$27, 0.0021, 0)</f>
        <v>53.013399999999997</v>
      </c>
      <c r="L566" s="10"/>
    </row>
    <row r="567" spans="1:12" ht="15.75" x14ac:dyDescent="0.25">
      <c r="A567" s="13">
        <v>58561</v>
      </c>
      <c r="B567" s="10">
        <f>52.7007 * CHOOSE(CONTROL!$C$9, $D$9, 100%, $F$9) + CHOOSE(CONTROL!$C$27, 0.0021, 0)</f>
        <v>52.702799999999996</v>
      </c>
      <c r="C567" s="10">
        <f>52.2685 * CHOOSE(CONTROL!$C$9, $D$9, 100%, $F$9) + CHOOSE(CONTROL!$C$27, 0.0021, 0)</f>
        <v>52.270600000000002</v>
      </c>
      <c r="D567" s="10">
        <f>52.2685 * CHOOSE(CONTROL!$C$9, $D$9, 100%, $F$9) + CHOOSE(CONTROL!$C$27, 0.0021, 0)</f>
        <v>52.270600000000002</v>
      </c>
      <c r="E567" s="10">
        <f>52.1318 * CHOOSE(CONTROL!$C$9, $D$9, 100%, $F$9) + CHOOSE(CONTROL!$C$27, 0.0021, 0)</f>
        <v>52.133899999999997</v>
      </c>
      <c r="F567" s="10">
        <f>52.1318 * CHOOSE(CONTROL!$C$9, $D$9, 100%, $F$9) + CHOOSE(CONTROL!$C$27, 0.0021, 0)</f>
        <v>52.133899999999997</v>
      </c>
      <c r="G567" s="10">
        <f>52.4032 * CHOOSE(CONTROL!$C$9, $D$9, 100%, $F$9) + CHOOSE(CONTROL!$C$27, 0.0021, 0)</f>
        <v>52.405299999999997</v>
      </c>
      <c r="H567" s="10">
        <f>52.2685 * CHOOSE(CONTROL!$C$9, $D$9, 100%, $F$9) + CHOOSE(CONTROL!$C$27, 0.0021, 0)</f>
        <v>52.270600000000002</v>
      </c>
      <c r="I567" s="10">
        <f>52.2685 * CHOOSE(CONTROL!$C$9, $D$9, 100%, $F$9) + CHOOSE(CONTROL!$C$27, 0.0021, 0)</f>
        <v>52.270600000000002</v>
      </c>
      <c r="J567" s="10">
        <f>52.2685 * CHOOSE(CONTROL!$C$9, $D$9, 100%, $F$9) + CHOOSE(CONTROL!$C$27, 0.0021, 0)</f>
        <v>52.270600000000002</v>
      </c>
      <c r="K567" s="10">
        <f>52.2685 * CHOOSE(CONTROL!$C$9, $D$9, 100%, $F$9) + CHOOSE(CONTROL!$C$27, 0.0021, 0)</f>
        <v>52.270600000000002</v>
      </c>
      <c r="L567" s="10"/>
    </row>
    <row r="568" spans="1:12" ht="15.75" x14ac:dyDescent="0.25">
      <c r="A568" s="13">
        <v>58592</v>
      </c>
      <c r="B568" s="10">
        <f>53.7593 * CHOOSE(CONTROL!$C$9, $D$9, 100%, $F$9) + CHOOSE(CONTROL!$C$27, 0.0021, 0)</f>
        <v>53.761400000000002</v>
      </c>
      <c r="C568" s="10">
        <f>53.3271 * CHOOSE(CONTROL!$C$9, $D$9, 100%, $F$9) + CHOOSE(CONTROL!$C$27, 0.0021, 0)</f>
        <v>53.3292</v>
      </c>
      <c r="D568" s="10">
        <f>53.3271 * CHOOSE(CONTROL!$C$9, $D$9, 100%, $F$9) + CHOOSE(CONTROL!$C$27, 0.0021, 0)</f>
        <v>53.3292</v>
      </c>
      <c r="E568" s="10">
        <f>53.1904 * CHOOSE(CONTROL!$C$9, $D$9, 100%, $F$9) + CHOOSE(CONTROL!$C$27, 0.0021, 0)</f>
        <v>53.192499999999995</v>
      </c>
      <c r="F568" s="10">
        <f>53.1904 * CHOOSE(CONTROL!$C$9, $D$9, 100%, $F$9) + CHOOSE(CONTROL!$C$27, 0.0021, 0)</f>
        <v>53.192499999999995</v>
      </c>
      <c r="G568" s="10">
        <f>53.4618 * CHOOSE(CONTROL!$C$9, $D$9, 100%, $F$9) + CHOOSE(CONTROL!$C$27, 0.0021, 0)</f>
        <v>53.463899999999995</v>
      </c>
      <c r="H568" s="10">
        <f>53.3271 * CHOOSE(CONTROL!$C$9, $D$9, 100%, $F$9) + CHOOSE(CONTROL!$C$27, 0.0021, 0)</f>
        <v>53.3292</v>
      </c>
      <c r="I568" s="10">
        <f>53.3271 * CHOOSE(CONTROL!$C$9, $D$9, 100%, $F$9) + CHOOSE(CONTROL!$C$27, 0.0021, 0)</f>
        <v>53.3292</v>
      </c>
      <c r="J568" s="10">
        <f>53.3271 * CHOOSE(CONTROL!$C$9, $D$9, 100%, $F$9) + CHOOSE(CONTROL!$C$27, 0.0021, 0)</f>
        <v>53.3292</v>
      </c>
      <c r="K568" s="10">
        <f>53.3271 * CHOOSE(CONTROL!$C$9, $D$9, 100%, $F$9) + CHOOSE(CONTROL!$C$27, 0.0021, 0)</f>
        <v>53.3292</v>
      </c>
      <c r="L568" s="10"/>
    </row>
    <row r="569" spans="1:12" ht="15.75" x14ac:dyDescent="0.25">
      <c r="A569" s="13">
        <v>58622</v>
      </c>
      <c r="B569" s="10">
        <f>54.3934 * CHOOSE(CONTROL!$C$9, $D$9, 100%, $F$9) + CHOOSE(CONTROL!$C$27, 0.0021, 0)</f>
        <v>54.395499999999998</v>
      </c>
      <c r="C569" s="10">
        <f>53.9611 * CHOOSE(CONTROL!$C$9, $D$9, 100%, $F$9) + CHOOSE(CONTROL!$C$27, 0.0021, 0)</f>
        <v>53.963200000000001</v>
      </c>
      <c r="D569" s="10">
        <f>53.9611 * CHOOSE(CONTROL!$C$9, $D$9, 100%, $F$9) + CHOOSE(CONTROL!$C$27, 0.0021, 0)</f>
        <v>53.963200000000001</v>
      </c>
      <c r="E569" s="10">
        <f>53.8245 * CHOOSE(CONTROL!$C$9, $D$9, 100%, $F$9) + CHOOSE(CONTROL!$C$27, 0.0021, 0)</f>
        <v>53.826599999999999</v>
      </c>
      <c r="F569" s="10">
        <f>53.8245 * CHOOSE(CONTROL!$C$9, $D$9, 100%, $F$9) + CHOOSE(CONTROL!$C$27, 0.0021, 0)</f>
        <v>53.826599999999999</v>
      </c>
      <c r="G569" s="10">
        <f>54.0959 * CHOOSE(CONTROL!$C$9, $D$9, 100%, $F$9) + CHOOSE(CONTROL!$C$27, 0.0021, 0)</f>
        <v>54.097999999999999</v>
      </c>
      <c r="H569" s="10">
        <f>53.9611 * CHOOSE(CONTROL!$C$9, $D$9, 100%, $F$9) + CHOOSE(CONTROL!$C$27, 0.0021, 0)</f>
        <v>53.963200000000001</v>
      </c>
      <c r="I569" s="10">
        <f>53.9611 * CHOOSE(CONTROL!$C$9, $D$9, 100%, $F$9) + CHOOSE(CONTROL!$C$27, 0.0021, 0)</f>
        <v>53.963200000000001</v>
      </c>
      <c r="J569" s="10">
        <f>53.9611 * CHOOSE(CONTROL!$C$9, $D$9, 100%, $F$9) + CHOOSE(CONTROL!$C$27, 0.0021, 0)</f>
        <v>53.963200000000001</v>
      </c>
      <c r="K569" s="10">
        <f>53.9611 * CHOOSE(CONTROL!$C$9, $D$9, 100%, $F$9) + CHOOSE(CONTROL!$C$27, 0.0021, 0)</f>
        <v>53.963200000000001</v>
      </c>
      <c r="L569" s="10"/>
    </row>
    <row r="570" spans="1:12" ht="15.75" x14ac:dyDescent="0.25">
      <c r="A570" s="13">
        <v>58653</v>
      </c>
      <c r="B570" s="10">
        <f>55.4393 * CHOOSE(CONTROL!$C$9, $D$9, 100%, $F$9) + CHOOSE(CONTROL!$C$27, 0.0021, 0)</f>
        <v>55.441400000000002</v>
      </c>
      <c r="C570" s="10">
        <f>55.0071 * CHOOSE(CONTROL!$C$9, $D$9, 100%, $F$9) + CHOOSE(CONTROL!$C$27, 0.0021, 0)</f>
        <v>55.0092</v>
      </c>
      <c r="D570" s="10">
        <f>55.0071 * CHOOSE(CONTROL!$C$9, $D$9, 100%, $F$9) + CHOOSE(CONTROL!$C$27, 0.0021, 0)</f>
        <v>55.0092</v>
      </c>
      <c r="E570" s="10">
        <f>54.8704 * CHOOSE(CONTROL!$C$9, $D$9, 100%, $F$9) + CHOOSE(CONTROL!$C$27, 0.0021, 0)</f>
        <v>54.872499999999995</v>
      </c>
      <c r="F570" s="10">
        <f>54.8704 * CHOOSE(CONTROL!$C$9, $D$9, 100%, $F$9) + CHOOSE(CONTROL!$C$27, 0.0021, 0)</f>
        <v>54.872499999999995</v>
      </c>
      <c r="G570" s="10">
        <f>55.1418 * CHOOSE(CONTROL!$C$9, $D$9, 100%, $F$9) + CHOOSE(CONTROL!$C$27, 0.0021, 0)</f>
        <v>55.143900000000002</v>
      </c>
      <c r="H570" s="10">
        <f>55.0071 * CHOOSE(CONTROL!$C$9, $D$9, 100%, $F$9) + CHOOSE(CONTROL!$C$27, 0.0021, 0)</f>
        <v>55.0092</v>
      </c>
      <c r="I570" s="10">
        <f>55.0071 * CHOOSE(CONTROL!$C$9, $D$9, 100%, $F$9) + CHOOSE(CONTROL!$C$27, 0.0021, 0)</f>
        <v>55.0092</v>
      </c>
      <c r="J570" s="10">
        <f>55.0071 * CHOOSE(CONTROL!$C$9, $D$9, 100%, $F$9) + CHOOSE(CONTROL!$C$27, 0.0021, 0)</f>
        <v>55.0092</v>
      </c>
      <c r="K570" s="10">
        <f>55.0071 * CHOOSE(CONTROL!$C$9, $D$9, 100%, $F$9) + CHOOSE(CONTROL!$C$27, 0.0021, 0)</f>
        <v>55.0092</v>
      </c>
      <c r="L570" s="10"/>
    </row>
    <row r="571" spans="1:12" ht="15.75" x14ac:dyDescent="0.25">
      <c r="A571" s="13">
        <v>58684</v>
      </c>
      <c r="B571" s="10">
        <f>55.7586 * CHOOSE(CONTROL!$C$9, $D$9, 100%, $F$9) + CHOOSE(CONTROL!$C$27, 0.0021, 0)</f>
        <v>55.7607</v>
      </c>
      <c r="C571" s="10">
        <f>55.3264 * CHOOSE(CONTROL!$C$9, $D$9, 100%, $F$9) + CHOOSE(CONTROL!$C$27, 0.0021, 0)</f>
        <v>55.328499999999998</v>
      </c>
      <c r="D571" s="10">
        <f>55.3264 * CHOOSE(CONTROL!$C$9, $D$9, 100%, $F$9) + CHOOSE(CONTROL!$C$27, 0.0021, 0)</f>
        <v>55.328499999999998</v>
      </c>
      <c r="E571" s="10">
        <f>55.1897 * CHOOSE(CONTROL!$C$9, $D$9, 100%, $F$9) + CHOOSE(CONTROL!$C$27, 0.0021, 0)</f>
        <v>55.191800000000001</v>
      </c>
      <c r="F571" s="10">
        <f>55.1897 * CHOOSE(CONTROL!$C$9, $D$9, 100%, $F$9) + CHOOSE(CONTROL!$C$27, 0.0021, 0)</f>
        <v>55.191800000000001</v>
      </c>
      <c r="G571" s="10">
        <f>55.4611 * CHOOSE(CONTROL!$C$9, $D$9, 100%, $F$9) + CHOOSE(CONTROL!$C$27, 0.0021, 0)</f>
        <v>55.463200000000001</v>
      </c>
      <c r="H571" s="10">
        <f>55.3264 * CHOOSE(CONTROL!$C$9, $D$9, 100%, $F$9) + CHOOSE(CONTROL!$C$27, 0.0021, 0)</f>
        <v>55.328499999999998</v>
      </c>
      <c r="I571" s="10">
        <f>55.3264 * CHOOSE(CONTROL!$C$9, $D$9, 100%, $F$9) + CHOOSE(CONTROL!$C$27, 0.0021, 0)</f>
        <v>55.328499999999998</v>
      </c>
      <c r="J571" s="10">
        <f>55.3264 * CHOOSE(CONTROL!$C$9, $D$9, 100%, $F$9) + CHOOSE(CONTROL!$C$27, 0.0021, 0)</f>
        <v>55.328499999999998</v>
      </c>
      <c r="K571" s="10">
        <f>55.3264 * CHOOSE(CONTROL!$C$9, $D$9, 100%, $F$9) + CHOOSE(CONTROL!$C$27, 0.0021, 0)</f>
        <v>55.328499999999998</v>
      </c>
      <c r="L571" s="10"/>
    </row>
    <row r="572" spans="1:12" ht="15.75" x14ac:dyDescent="0.25">
      <c r="A572" s="13">
        <v>58714</v>
      </c>
      <c r="B572" s="10">
        <f>56.8458 * CHOOSE(CONTROL!$C$9, $D$9, 100%, $F$9) + CHOOSE(CONTROL!$C$27, 0.0021, 0)</f>
        <v>56.847899999999996</v>
      </c>
      <c r="C572" s="10">
        <f>56.4136 * CHOOSE(CONTROL!$C$9, $D$9, 100%, $F$9) + CHOOSE(CONTROL!$C$27, 0.0021, 0)</f>
        <v>56.415700000000001</v>
      </c>
      <c r="D572" s="10">
        <f>56.4136 * CHOOSE(CONTROL!$C$9, $D$9, 100%, $F$9) + CHOOSE(CONTROL!$C$27, 0.0021, 0)</f>
        <v>56.415700000000001</v>
      </c>
      <c r="E572" s="10">
        <f>56.2769 * CHOOSE(CONTROL!$C$9, $D$9, 100%, $F$9) + CHOOSE(CONTROL!$C$27, 0.0021, 0)</f>
        <v>56.278999999999996</v>
      </c>
      <c r="F572" s="10">
        <f>56.2769 * CHOOSE(CONTROL!$C$9, $D$9, 100%, $F$9) + CHOOSE(CONTROL!$C$27, 0.0021, 0)</f>
        <v>56.278999999999996</v>
      </c>
      <c r="G572" s="10">
        <f>56.5483 * CHOOSE(CONTROL!$C$9, $D$9, 100%, $F$9) + CHOOSE(CONTROL!$C$27, 0.0021, 0)</f>
        <v>56.550399999999996</v>
      </c>
      <c r="H572" s="10">
        <f>56.4136 * CHOOSE(CONTROL!$C$9, $D$9, 100%, $F$9) + CHOOSE(CONTROL!$C$27, 0.0021, 0)</f>
        <v>56.415700000000001</v>
      </c>
      <c r="I572" s="10">
        <f>56.4136 * CHOOSE(CONTROL!$C$9, $D$9, 100%, $F$9) + CHOOSE(CONTROL!$C$27, 0.0021, 0)</f>
        <v>56.415700000000001</v>
      </c>
      <c r="J572" s="10">
        <f>56.4136 * CHOOSE(CONTROL!$C$9, $D$9, 100%, $F$9) + CHOOSE(CONTROL!$C$27, 0.0021, 0)</f>
        <v>56.415700000000001</v>
      </c>
      <c r="K572" s="10">
        <f>56.4136 * CHOOSE(CONTROL!$C$9, $D$9, 100%, $F$9) + CHOOSE(CONTROL!$C$27, 0.0021, 0)</f>
        <v>56.415700000000001</v>
      </c>
      <c r="L572" s="10"/>
    </row>
    <row r="573" spans="1:12" ht="15.75" x14ac:dyDescent="0.25">
      <c r="A573" s="13">
        <v>58745</v>
      </c>
      <c r="B573" s="10">
        <f>58.2221 * CHOOSE(CONTROL!$C$9, $D$9, 100%, $F$9) + CHOOSE(CONTROL!$C$27, 0.0021, 0)</f>
        <v>58.224199999999996</v>
      </c>
      <c r="C573" s="10">
        <f>57.7898 * CHOOSE(CONTROL!$C$9, $D$9, 100%, $F$9) + CHOOSE(CONTROL!$C$27, 0.0021, 0)</f>
        <v>57.791899999999998</v>
      </c>
      <c r="D573" s="10">
        <f>57.7898 * CHOOSE(CONTROL!$C$9, $D$9, 100%, $F$9) + CHOOSE(CONTROL!$C$27, 0.0021, 0)</f>
        <v>57.791899999999998</v>
      </c>
      <c r="E573" s="10">
        <f>57.6532 * CHOOSE(CONTROL!$C$9, $D$9, 100%, $F$9) + CHOOSE(CONTROL!$C$27, 0.0021, 0)</f>
        <v>57.655299999999997</v>
      </c>
      <c r="F573" s="10">
        <f>57.6532 * CHOOSE(CONTROL!$C$9, $D$9, 100%, $F$9) + CHOOSE(CONTROL!$C$27, 0.0021, 0)</f>
        <v>57.655299999999997</v>
      </c>
      <c r="G573" s="10">
        <f>57.9246 * CHOOSE(CONTROL!$C$9, $D$9, 100%, $F$9) + CHOOSE(CONTROL!$C$27, 0.0021, 0)</f>
        <v>57.926699999999997</v>
      </c>
      <c r="H573" s="10">
        <f>57.7898 * CHOOSE(CONTROL!$C$9, $D$9, 100%, $F$9) + CHOOSE(CONTROL!$C$27, 0.0021, 0)</f>
        <v>57.791899999999998</v>
      </c>
      <c r="I573" s="10">
        <f>57.7898 * CHOOSE(CONTROL!$C$9, $D$9, 100%, $F$9) + CHOOSE(CONTROL!$C$27, 0.0021, 0)</f>
        <v>57.791899999999998</v>
      </c>
      <c r="J573" s="10">
        <f>57.7898 * CHOOSE(CONTROL!$C$9, $D$9, 100%, $F$9) + CHOOSE(CONTROL!$C$27, 0.0021, 0)</f>
        <v>57.791899999999998</v>
      </c>
      <c r="K573" s="10">
        <f>57.7898 * CHOOSE(CONTROL!$C$9, $D$9, 100%, $F$9) + CHOOSE(CONTROL!$C$27, 0.0021, 0)</f>
        <v>57.791899999999998</v>
      </c>
      <c r="L573" s="10"/>
    </row>
    <row r="574" spans="1:12" ht="15.75" x14ac:dyDescent="0.25">
      <c r="A574" s="13">
        <v>58775</v>
      </c>
      <c r="B574" s="10">
        <f>58.3513 * CHOOSE(CONTROL!$C$9, $D$9, 100%, $F$9) + CHOOSE(CONTROL!$C$27, 0.0021, 0)</f>
        <v>58.353400000000001</v>
      </c>
      <c r="C574" s="10">
        <f>57.919 * CHOOSE(CONTROL!$C$9, $D$9, 100%, $F$9) + CHOOSE(CONTROL!$C$27, 0.0021, 0)</f>
        <v>57.921099999999996</v>
      </c>
      <c r="D574" s="10">
        <f>57.919 * CHOOSE(CONTROL!$C$9, $D$9, 100%, $F$9) + CHOOSE(CONTROL!$C$27, 0.0021, 0)</f>
        <v>57.921099999999996</v>
      </c>
      <c r="E574" s="10">
        <f>57.7824 * CHOOSE(CONTROL!$C$9, $D$9, 100%, $F$9) + CHOOSE(CONTROL!$C$27, 0.0021, 0)</f>
        <v>57.784500000000001</v>
      </c>
      <c r="F574" s="10">
        <f>57.7824 * CHOOSE(CONTROL!$C$9, $D$9, 100%, $F$9) + CHOOSE(CONTROL!$C$27, 0.0021, 0)</f>
        <v>57.784500000000001</v>
      </c>
      <c r="G574" s="10">
        <f>58.0538 * CHOOSE(CONTROL!$C$9, $D$9, 100%, $F$9) + CHOOSE(CONTROL!$C$27, 0.0021, 0)</f>
        <v>58.055900000000001</v>
      </c>
      <c r="H574" s="10">
        <f>57.919 * CHOOSE(CONTROL!$C$9, $D$9, 100%, $F$9) + CHOOSE(CONTROL!$C$27, 0.0021, 0)</f>
        <v>57.921099999999996</v>
      </c>
      <c r="I574" s="10">
        <f>57.919 * CHOOSE(CONTROL!$C$9, $D$9, 100%, $F$9) + CHOOSE(CONTROL!$C$27, 0.0021, 0)</f>
        <v>57.921099999999996</v>
      </c>
      <c r="J574" s="10">
        <f>57.919 * CHOOSE(CONTROL!$C$9, $D$9, 100%, $F$9) + CHOOSE(CONTROL!$C$27, 0.0021, 0)</f>
        <v>57.921099999999996</v>
      </c>
      <c r="K574" s="10">
        <f>57.919 * CHOOSE(CONTROL!$C$9, $D$9, 100%, $F$9) + CHOOSE(CONTROL!$C$27, 0.0021, 0)</f>
        <v>57.921099999999996</v>
      </c>
      <c r="L574" s="10"/>
    </row>
    <row r="575" spans="1:12" ht="15.75" x14ac:dyDescent="0.25">
      <c r="A575" s="13">
        <v>58806</v>
      </c>
      <c r="B575" s="10">
        <f>57.2521 * CHOOSE(CONTROL!$C$9, $D$9, 100%, $F$9) + CHOOSE(CONTROL!$C$27, 0.0021, 0)</f>
        <v>57.254199999999997</v>
      </c>
      <c r="C575" s="10">
        <f>56.8199 * CHOOSE(CONTROL!$C$9, $D$9, 100%, $F$9) + CHOOSE(CONTROL!$C$27, 0.0021, 0)</f>
        <v>56.821999999999996</v>
      </c>
      <c r="D575" s="10">
        <f>56.8199 * CHOOSE(CONTROL!$C$9, $D$9, 100%, $F$9) + CHOOSE(CONTROL!$C$27, 0.0021, 0)</f>
        <v>56.821999999999996</v>
      </c>
      <c r="E575" s="10">
        <f>56.6832 * CHOOSE(CONTROL!$C$9, $D$9, 100%, $F$9) + CHOOSE(CONTROL!$C$27, 0.0021, 0)</f>
        <v>56.685299999999998</v>
      </c>
      <c r="F575" s="10">
        <f>56.6832 * CHOOSE(CONTROL!$C$9, $D$9, 100%, $F$9) + CHOOSE(CONTROL!$C$27, 0.0021, 0)</f>
        <v>56.685299999999998</v>
      </c>
      <c r="G575" s="10">
        <f>56.9546 * CHOOSE(CONTROL!$C$9, $D$9, 100%, $F$9) + CHOOSE(CONTROL!$C$27, 0.0021, 0)</f>
        <v>56.956699999999998</v>
      </c>
      <c r="H575" s="10">
        <f>56.8199 * CHOOSE(CONTROL!$C$9, $D$9, 100%, $F$9) + CHOOSE(CONTROL!$C$27, 0.0021, 0)</f>
        <v>56.821999999999996</v>
      </c>
      <c r="I575" s="10">
        <f>56.8199 * CHOOSE(CONTROL!$C$9, $D$9, 100%, $F$9) + CHOOSE(CONTROL!$C$27, 0.0021, 0)</f>
        <v>56.821999999999996</v>
      </c>
      <c r="J575" s="10">
        <f>56.8199 * CHOOSE(CONTROL!$C$9, $D$9, 100%, $F$9) + CHOOSE(CONTROL!$C$27, 0.0021, 0)</f>
        <v>56.821999999999996</v>
      </c>
      <c r="K575" s="10">
        <f>56.8199 * CHOOSE(CONTROL!$C$9, $D$9, 100%, $F$9) + CHOOSE(CONTROL!$C$27, 0.0021, 0)</f>
        <v>56.821999999999996</v>
      </c>
      <c r="L575" s="10"/>
    </row>
    <row r="576" spans="1:12" ht="15.75" x14ac:dyDescent="0.25">
      <c r="A576" s="13">
        <v>58837</v>
      </c>
      <c r="B576" s="10">
        <f>56.4105 * CHOOSE(CONTROL!$C$9, $D$9, 100%, $F$9) + CHOOSE(CONTROL!$C$27, 0.0021, 0)</f>
        <v>56.412599999999998</v>
      </c>
      <c r="C576" s="10">
        <f>55.9783 * CHOOSE(CONTROL!$C$9, $D$9, 100%, $F$9) + CHOOSE(CONTROL!$C$27, 0.0021, 0)</f>
        <v>55.980399999999996</v>
      </c>
      <c r="D576" s="10">
        <f>55.9783 * CHOOSE(CONTROL!$C$9, $D$9, 100%, $F$9) + CHOOSE(CONTROL!$C$27, 0.0021, 0)</f>
        <v>55.980399999999996</v>
      </c>
      <c r="E576" s="10">
        <f>55.8416 * CHOOSE(CONTROL!$C$9, $D$9, 100%, $F$9) + CHOOSE(CONTROL!$C$27, 0.0021, 0)</f>
        <v>55.843699999999998</v>
      </c>
      <c r="F576" s="10">
        <f>55.8416 * CHOOSE(CONTROL!$C$9, $D$9, 100%, $F$9) + CHOOSE(CONTROL!$C$27, 0.0021, 0)</f>
        <v>55.843699999999998</v>
      </c>
      <c r="G576" s="10">
        <f>56.113 * CHOOSE(CONTROL!$C$9, $D$9, 100%, $F$9) + CHOOSE(CONTROL!$C$27, 0.0021, 0)</f>
        <v>56.115099999999998</v>
      </c>
      <c r="H576" s="10">
        <f>55.9783 * CHOOSE(CONTROL!$C$9, $D$9, 100%, $F$9) + CHOOSE(CONTROL!$C$27, 0.0021, 0)</f>
        <v>55.980399999999996</v>
      </c>
      <c r="I576" s="10">
        <f>55.9783 * CHOOSE(CONTROL!$C$9, $D$9, 100%, $F$9) + CHOOSE(CONTROL!$C$27, 0.0021, 0)</f>
        <v>55.980399999999996</v>
      </c>
      <c r="J576" s="10">
        <f>55.9783 * CHOOSE(CONTROL!$C$9, $D$9, 100%, $F$9) + CHOOSE(CONTROL!$C$27, 0.0021, 0)</f>
        <v>55.980399999999996</v>
      </c>
      <c r="K576" s="10">
        <f>55.9783 * CHOOSE(CONTROL!$C$9, $D$9, 100%, $F$9) + CHOOSE(CONTROL!$C$27, 0.0021, 0)</f>
        <v>55.980399999999996</v>
      </c>
      <c r="L576" s="10"/>
    </row>
    <row r="577" spans="1:12" ht="15.75" x14ac:dyDescent="0.25">
      <c r="A577" s="13">
        <v>58865</v>
      </c>
      <c r="B577" s="10">
        <f>54.8798 * CHOOSE(CONTROL!$C$9, $D$9, 100%, $F$9) + CHOOSE(CONTROL!$C$27, 0.0021, 0)</f>
        <v>54.881900000000002</v>
      </c>
      <c r="C577" s="10">
        <f>54.4475 * CHOOSE(CONTROL!$C$9, $D$9, 100%, $F$9) + CHOOSE(CONTROL!$C$27, 0.0021, 0)</f>
        <v>54.449599999999997</v>
      </c>
      <c r="D577" s="10">
        <f>54.4475 * CHOOSE(CONTROL!$C$9, $D$9, 100%, $F$9) + CHOOSE(CONTROL!$C$27, 0.0021, 0)</f>
        <v>54.449599999999997</v>
      </c>
      <c r="E577" s="10">
        <f>54.3109 * CHOOSE(CONTROL!$C$9, $D$9, 100%, $F$9) + CHOOSE(CONTROL!$C$27, 0.0021, 0)</f>
        <v>54.312999999999995</v>
      </c>
      <c r="F577" s="10">
        <f>54.3109 * CHOOSE(CONTROL!$C$9, $D$9, 100%, $F$9) + CHOOSE(CONTROL!$C$27, 0.0021, 0)</f>
        <v>54.312999999999995</v>
      </c>
      <c r="G577" s="10">
        <f>54.5823 * CHOOSE(CONTROL!$C$9, $D$9, 100%, $F$9) + CHOOSE(CONTROL!$C$27, 0.0021, 0)</f>
        <v>54.584399999999995</v>
      </c>
      <c r="H577" s="10">
        <f>54.4475 * CHOOSE(CONTROL!$C$9, $D$9, 100%, $F$9) + CHOOSE(CONTROL!$C$27, 0.0021, 0)</f>
        <v>54.449599999999997</v>
      </c>
      <c r="I577" s="10">
        <f>54.4475 * CHOOSE(CONTROL!$C$9, $D$9, 100%, $F$9) + CHOOSE(CONTROL!$C$27, 0.0021, 0)</f>
        <v>54.449599999999997</v>
      </c>
      <c r="J577" s="10">
        <f>54.4475 * CHOOSE(CONTROL!$C$9, $D$9, 100%, $F$9) + CHOOSE(CONTROL!$C$27, 0.0021, 0)</f>
        <v>54.449599999999997</v>
      </c>
      <c r="K577" s="10">
        <f>54.4475 * CHOOSE(CONTROL!$C$9, $D$9, 100%, $F$9) + CHOOSE(CONTROL!$C$27, 0.0021, 0)</f>
        <v>54.449599999999997</v>
      </c>
      <c r="L577" s="10"/>
    </row>
    <row r="578" spans="1:12" ht="15.75" x14ac:dyDescent="0.25">
      <c r="A578" s="13">
        <v>58893</v>
      </c>
      <c r="B578" s="10">
        <f>54.2479 * CHOOSE(CONTROL!$C$9, $D$9, 100%, $F$9) + CHOOSE(CONTROL!$C$27, 0.0021, 0)</f>
        <v>54.25</v>
      </c>
      <c r="C578" s="10">
        <f>53.8156 * CHOOSE(CONTROL!$C$9, $D$9, 100%, $F$9) + CHOOSE(CONTROL!$C$27, 0.0021, 0)</f>
        <v>53.817700000000002</v>
      </c>
      <c r="D578" s="10">
        <f>53.8156 * CHOOSE(CONTROL!$C$9, $D$9, 100%, $F$9) + CHOOSE(CONTROL!$C$27, 0.0021, 0)</f>
        <v>53.817700000000002</v>
      </c>
      <c r="E578" s="10">
        <f>53.679 * CHOOSE(CONTROL!$C$9, $D$9, 100%, $F$9) + CHOOSE(CONTROL!$C$27, 0.0021, 0)</f>
        <v>53.681100000000001</v>
      </c>
      <c r="F578" s="10">
        <f>53.679 * CHOOSE(CONTROL!$C$9, $D$9, 100%, $F$9) + CHOOSE(CONTROL!$C$27, 0.0021, 0)</f>
        <v>53.681100000000001</v>
      </c>
      <c r="G578" s="10">
        <f>53.9504 * CHOOSE(CONTROL!$C$9, $D$9, 100%, $F$9) + CHOOSE(CONTROL!$C$27, 0.0021, 0)</f>
        <v>53.952500000000001</v>
      </c>
      <c r="H578" s="10">
        <f>53.8156 * CHOOSE(CONTROL!$C$9, $D$9, 100%, $F$9) + CHOOSE(CONTROL!$C$27, 0.0021, 0)</f>
        <v>53.817700000000002</v>
      </c>
      <c r="I578" s="10">
        <f>53.8156 * CHOOSE(CONTROL!$C$9, $D$9, 100%, $F$9) + CHOOSE(CONTROL!$C$27, 0.0021, 0)</f>
        <v>53.817700000000002</v>
      </c>
      <c r="J578" s="10">
        <f>53.8156 * CHOOSE(CONTROL!$C$9, $D$9, 100%, $F$9) + CHOOSE(CONTROL!$C$27, 0.0021, 0)</f>
        <v>53.817700000000002</v>
      </c>
      <c r="K578" s="10">
        <f>53.8156 * CHOOSE(CONTROL!$C$9, $D$9, 100%, $F$9) + CHOOSE(CONTROL!$C$27, 0.0021, 0)</f>
        <v>53.817700000000002</v>
      </c>
      <c r="L578" s="10"/>
    </row>
    <row r="579" spans="1:12" ht="15.75" x14ac:dyDescent="0.25">
      <c r="A579" s="13">
        <v>58926</v>
      </c>
      <c r="B579" s="10">
        <f>53.4934 * CHOOSE(CONTROL!$C$9, $D$9, 100%, $F$9) + CHOOSE(CONTROL!$C$27, 0.0021, 0)</f>
        <v>53.4955</v>
      </c>
      <c r="C579" s="10">
        <f>53.0611 * CHOOSE(CONTROL!$C$9, $D$9, 100%, $F$9) + CHOOSE(CONTROL!$C$27, 0.0021, 0)</f>
        <v>53.063200000000002</v>
      </c>
      <c r="D579" s="10">
        <f>53.0611 * CHOOSE(CONTROL!$C$9, $D$9, 100%, $F$9) + CHOOSE(CONTROL!$C$27, 0.0021, 0)</f>
        <v>53.063200000000002</v>
      </c>
      <c r="E579" s="10">
        <f>52.9245 * CHOOSE(CONTROL!$C$9, $D$9, 100%, $F$9) + CHOOSE(CONTROL!$C$27, 0.0021, 0)</f>
        <v>52.926600000000001</v>
      </c>
      <c r="F579" s="10">
        <f>52.9245 * CHOOSE(CONTROL!$C$9, $D$9, 100%, $F$9) + CHOOSE(CONTROL!$C$27, 0.0021, 0)</f>
        <v>52.926600000000001</v>
      </c>
      <c r="G579" s="10">
        <f>53.1959 * CHOOSE(CONTROL!$C$9, $D$9, 100%, $F$9) + CHOOSE(CONTROL!$C$27, 0.0021, 0)</f>
        <v>53.198</v>
      </c>
      <c r="H579" s="10">
        <f>53.0611 * CHOOSE(CONTROL!$C$9, $D$9, 100%, $F$9) + CHOOSE(CONTROL!$C$27, 0.0021, 0)</f>
        <v>53.063200000000002</v>
      </c>
      <c r="I579" s="10">
        <f>53.0611 * CHOOSE(CONTROL!$C$9, $D$9, 100%, $F$9) + CHOOSE(CONTROL!$C$27, 0.0021, 0)</f>
        <v>53.063200000000002</v>
      </c>
      <c r="J579" s="10">
        <f>53.0611 * CHOOSE(CONTROL!$C$9, $D$9, 100%, $F$9) + CHOOSE(CONTROL!$C$27, 0.0021, 0)</f>
        <v>53.063200000000002</v>
      </c>
      <c r="K579" s="10">
        <f>53.0611 * CHOOSE(CONTROL!$C$9, $D$9, 100%, $F$9) + CHOOSE(CONTROL!$C$27, 0.0021, 0)</f>
        <v>53.063200000000002</v>
      </c>
      <c r="L579" s="10"/>
    </row>
    <row r="580" spans="1:12" ht="15.75" x14ac:dyDescent="0.25">
      <c r="A580" s="13">
        <v>58957</v>
      </c>
      <c r="B580" s="10">
        <f>54.5686 * CHOOSE(CONTROL!$C$9, $D$9, 100%, $F$9) + CHOOSE(CONTROL!$C$27, 0.0021, 0)</f>
        <v>54.570700000000002</v>
      </c>
      <c r="C580" s="10">
        <f>54.1364 * CHOOSE(CONTROL!$C$9, $D$9, 100%, $F$9) + CHOOSE(CONTROL!$C$27, 0.0021, 0)</f>
        <v>54.138500000000001</v>
      </c>
      <c r="D580" s="10">
        <f>54.1364 * CHOOSE(CONTROL!$C$9, $D$9, 100%, $F$9) + CHOOSE(CONTROL!$C$27, 0.0021, 0)</f>
        <v>54.138500000000001</v>
      </c>
      <c r="E580" s="10">
        <f>53.9997 * CHOOSE(CONTROL!$C$9, $D$9, 100%, $F$9) + CHOOSE(CONTROL!$C$27, 0.0021, 0)</f>
        <v>54.001799999999996</v>
      </c>
      <c r="F580" s="10">
        <f>53.9997 * CHOOSE(CONTROL!$C$9, $D$9, 100%, $F$9) + CHOOSE(CONTROL!$C$27, 0.0021, 0)</f>
        <v>54.001799999999996</v>
      </c>
      <c r="G580" s="10">
        <f>54.2711 * CHOOSE(CONTROL!$C$9, $D$9, 100%, $F$9) + CHOOSE(CONTROL!$C$27, 0.0021, 0)</f>
        <v>54.273199999999996</v>
      </c>
      <c r="H580" s="10">
        <f>54.1364 * CHOOSE(CONTROL!$C$9, $D$9, 100%, $F$9) + CHOOSE(CONTROL!$C$27, 0.0021, 0)</f>
        <v>54.138500000000001</v>
      </c>
      <c r="I580" s="10">
        <f>54.1364 * CHOOSE(CONTROL!$C$9, $D$9, 100%, $F$9) + CHOOSE(CONTROL!$C$27, 0.0021, 0)</f>
        <v>54.138500000000001</v>
      </c>
      <c r="J580" s="10">
        <f>54.1364 * CHOOSE(CONTROL!$C$9, $D$9, 100%, $F$9) + CHOOSE(CONTROL!$C$27, 0.0021, 0)</f>
        <v>54.138500000000001</v>
      </c>
      <c r="K580" s="10">
        <f>54.1364 * CHOOSE(CONTROL!$C$9, $D$9, 100%, $F$9) + CHOOSE(CONTROL!$C$27, 0.0021, 0)</f>
        <v>54.138500000000001</v>
      </c>
      <c r="L580" s="10"/>
    </row>
    <row r="581" spans="1:12" ht="15.75" x14ac:dyDescent="0.25">
      <c r="A581" s="13">
        <v>58987</v>
      </c>
      <c r="B581" s="10">
        <f>55.2127 * CHOOSE(CONTROL!$C$9, $D$9, 100%, $F$9) + CHOOSE(CONTROL!$C$27, 0.0021, 0)</f>
        <v>55.214799999999997</v>
      </c>
      <c r="C581" s="10">
        <f>54.7804 * CHOOSE(CONTROL!$C$9, $D$9, 100%, $F$9) + CHOOSE(CONTROL!$C$27, 0.0021, 0)</f>
        <v>54.782499999999999</v>
      </c>
      <c r="D581" s="10">
        <f>54.7804 * CHOOSE(CONTROL!$C$9, $D$9, 100%, $F$9) + CHOOSE(CONTROL!$C$27, 0.0021, 0)</f>
        <v>54.782499999999999</v>
      </c>
      <c r="E581" s="10">
        <f>54.6438 * CHOOSE(CONTROL!$C$9, $D$9, 100%, $F$9) + CHOOSE(CONTROL!$C$27, 0.0021, 0)</f>
        <v>54.645899999999997</v>
      </c>
      <c r="F581" s="10">
        <f>54.6438 * CHOOSE(CONTROL!$C$9, $D$9, 100%, $F$9) + CHOOSE(CONTROL!$C$27, 0.0021, 0)</f>
        <v>54.645899999999997</v>
      </c>
      <c r="G581" s="10">
        <f>54.9151 * CHOOSE(CONTROL!$C$9, $D$9, 100%, $F$9) + CHOOSE(CONTROL!$C$27, 0.0021, 0)</f>
        <v>54.917200000000001</v>
      </c>
      <c r="H581" s="10">
        <f>54.7804 * CHOOSE(CONTROL!$C$9, $D$9, 100%, $F$9) + CHOOSE(CONTROL!$C$27, 0.0021, 0)</f>
        <v>54.782499999999999</v>
      </c>
      <c r="I581" s="10">
        <f>54.7804 * CHOOSE(CONTROL!$C$9, $D$9, 100%, $F$9) + CHOOSE(CONTROL!$C$27, 0.0021, 0)</f>
        <v>54.782499999999999</v>
      </c>
      <c r="J581" s="10">
        <f>54.7804 * CHOOSE(CONTROL!$C$9, $D$9, 100%, $F$9) + CHOOSE(CONTROL!$C$27, 0.0021, 0)</f>
        <v>54.782499999999999</v>
      </c>
      <c r="K581" s="10">
        <f>54.7804 * CHOOSE(CONTROL!$C$9, $D$9, 100%, $F$9) + CHOOSE(CONTROL!$C$27, 0.0021, 0)</f>
        <v>54.782499999999999</v>
      </c>
      <c r="L581" s="10"/>
    </row>
    <row r="582" spans="1:12" ht="15.75" x14ac:dyDescent="0.25">
      <c r="A582" s="13">
        <v>59018</v>
      </c>
      <c r="B582" s="10">
        <f>56.2751 * CHOOSE(CONTROL!$C$9, $D$9, 100%, $F$9) + CHOOSE(CONTROL!$C$27, 0.0021, 0)</f>
        <v>56.277200000000001</v>
      </c>
      <c r="C582" s="10">
        <f>55.8428 * CHOOSE(CONTROL!$C$9, $D$9, 100%, $F$9) + CHOOSE(CONTROL!$C$27, 0.0021, 0)</f>
        <v>55.844899999999996</v>
      </c>
      <c r="D582" s="10">
        <f>55.8428 * CHOOSE(CONTROL!$C$9, $D$9, 100%, $F$9) + CHOOSE(CONTROL!$C$27, 0.0021, 0)</f>
        <v>55.844899999999996</v>
      </c>
      <c r="E582" s="10">
        <f>55.7062 * CHOOSE(CONTROL!$C$9, $D$9, 100%, $F$9) + CHOOSE(CONTROL!$C$27, 0.0021, 0)</f>
        <v>55.708300000000001</v>
      </c>
      <c r="F582" s="10">
        <f>55.7062 * CHOOSE(CONTROL!$C$9, $D$9, 100%, $F$9) + CHOOSE(CONTROL!$C$27, 0.0021, 0)</f>
        <v>55.708300000000001</v>
      </c>
      <c r="G582" s="10">
        <f>55.9775 * CHOOSE(CONTROL!$C$9, $D$9, 100%, $F$9) + CHOOSE(CONTROL!$C$27, 0.0021, 0)</f>
        <v>55.979599999999998</v>
      </c>
      <c r="H582" s="10">
        <f>55.8428 * CHOOSE(CONTROL!$C$9, $D$9, 100%, $F$9) + CHOOSE(CONTROL!$C$27, 0.0021, 0)</f>
        <v>55.844899999999996</v>
      </c>
      <c r="I582" s="10">
        <f>55.8428 * CHOOSE(CONTROL!$C$9, $D$9, 100%, $F$9) + CHOOSE(CONTROL!$C$27, 0.0021, 0)</f>
        <v>55.844899999999996</v>
      </c>
      <c r="J582" s="10">
        <f>55.8428 * CHOOSE(CONTROL!$C$9, $D$9, 100%, $F$9) + CHOOSE(CONTROL!$C$27, 0.0021, 0)</f>
        <v>55.844899999999996</v>
      </c>
      <c r="K582" s="10">
        <f>55.8428 * CHOOSE(CONTROL!$C$9, $D$9, 100%, $F$9) + CHOOSE(CONTROL!$C$27, 0.0021, 0)</f>
        <v>55.844899999999996</v>
      </c>
      <c r="L582" s="10"/>
    </row>
    <row r="583" spans="1:12" ht="15.75" x14ac:dyDescent="0.25">
      <c r="A583" s="13">
        <v>59049</v>
      </c>
      <c r="B583" s="10">
        <f>56.5994 * CHOOSE(CONTROL!$C$9, $D$9, 100%, $F$9) + CHOOSE(CONTROL!$C$27, 0.0021, 0)</f>
        <v>56.601500000000001</v>
      </c>
      <c r="C583" s="10">
        <f>56.1671 * CHOOSE(CONTROL!$C$9, $D$9, 100%, $F$9) + CHOOSE(CONTROL!$C$27, 0.0021, 0)</f>
        <v>56.169199999999996</v>
      </c>
      <c r="D583" s="10">
        <f>56.1671 * CHOOSE(CONTROL!$C$9, $D$9, 100%, $F$9) + CHOOSE(CONTROL!$C$27, 0.0021, 0)</f>
        <v>56.169199999999996</v>
      </c>
      <c r="E583" s="10">
        <f>56.0305 * CHOOSE(CONTROL!$C$9, $D$9, 100%, $F$9) + CHOOSE(CONTROL!$C$27, 0.0021, 0)</f>
        <v>56.032600000000002</v>
      </c>
      <c r="F583" s="10">
        <f>56.0305 * CHOOSE(CONTROL!$C$9, $D$9, 100%, $F$9) + CHOOSE(CONTROL!$C$27, 0.0021, 0)</f>
        <v>56.032600000000002</v>
      </c>
      <c r="G583" s="10">
        <f>56.3018 * CHOOSE(CONTROL!$C$9, $D$9, 100%, $F$9) + CHOOSE(CONTROL!$C$27, 0.0021, 0)</f>
        <v>56.303899999999999</v>
      </c>
      <c r="H583" s="10">
        <f>56.1671 * CHOOSE(CONTROL!$C$9, $D$9, 100%, $F$9) + CHOOSE(CONTROL!$C$27, 0.0021, 0)</f>
        <v>56.169199999999996</v>
      </c>
      <c r="I583" s="10">
        <f>56.1671 * CHOOSE(CONTROL!$C$9, $D$9, 100%, $F$9) + CHOOSE(CONTROL!$C$27, 0.0021, 0)</f>
        <v>56.169199999999996</v>
      </c>
      <c r="J583" s="10">
        <f>56.1671 * CHOOSE(CONTROL!$C$9, $D$9, 100%, $F$9) + CHOOSE(CONTROL!$C$27, 0.0021, 0)</f>
        <v>56.169199999999996</v>
      </c>
      <c r="K583" s="10">
        <f>56.1671 * CHOOSE(CONTROL!$C$9, $D$9, 100%, $F$9) + CHOOSE(CONTROL!$C$27, 0.0021, 0)</f>
        <v>56.169199999999996</v>
      </c>
      <c r="L583" s="10"/>
    </row>
    <row r="584" spans="1:12" ht="15.75" x14ac:dyDescent="0.25">
      <c r="A584" s="13">
        <v>59079</v>
      </c>
      <c r="B584" s="10">
        <f>57.7037 * CHOOSE(CONTROL!$C$9, $D$9, 100%, $F$9) + CHOOSE(CONTROL!$C$27, 0.0021, 0)</f>
        <v>57.705799999999996</v>
      </c>
      <c r="C584" s="10">
        <f>57.2714 * CHOOSE(CONTROL!$C$9, $D$9, 100%, $F$9) + CHOOSE(CONTROL!$C$27, 0.0021, 0)</f>
        <v>57.273499999999999</v>
      </c>
      <c r="D584" s="10">
        <f>57.2714 * CHOOSE(CONTROL!$C$9, $D$9, 100%, $F$9) + CHOOSE(CONTROL!$C$27, 0.0021, 0)</f>
        <v>57.273499999999999</v>
      </c>
      <c r="E584" s="10">
        <f>57.1348 * CHOOSE(CONTROL!$C$9, $D$9, 100%, $F$9) + CHOOSE(CONTROL!$C$27, 0.0021, 0)</f>
        <v>57.136899999999997</v>
      </c>
      <c r="F584" s="10">
        <f>57.1348 * CHOOSE(CONTROL!$C$9, $D$9, 100%, $F$9) + CHOOSE(CONTROL!$C$27, 0.0021, 0)</f>
        <v>57.136899999999997</v>
      </c>
      <c r="G584" s="10">
        <f>57.4062 * CHOOSE(CONTROL!$C$9, $D$9, 100%, $F$9) + CHOOSE(CONTROL!$C$27, 0.0021, 0)</f>
        <v>57.408299999999997</v>
      </c>
      <c r="H584" s="10">
        <f>57.2714 * CHOOSE(CONTROL!$C$9, $D$9, 100%, $F$9) + CHOOSE(CONTROL!$C$27, 0.0021, 0)</f>
        <v>57.273499999999999</v>
      </c>
      <c r="I584" s="10">
        <f>57.2714 * CHOOSE(CONTROL!$C$9, $D$9, 100%, $F$9) + CHOOSE(CONTROL!$C$27, 0.0021, 0)</f>
        <v>57.273499999999999</v>
      </c>
      <c r="J584" s="10">
        <f>57.2714 * CHOOSE(CONTROL!$C$9, $D$9, 100%, $F$9) + CHOOSE(CONTROL!$C$27, 0.0021, 0)</f>
        <v>57.273499999999999</v>
      </c>
      <c r="K584" s="10">
        <f>57.2714 * CHOOSE(CONTROL!$C$9, $D$9, 100%, $F$9) + CHOOSE(CONTROL!$C$27, 0.0021, 0)</f>
        <v>57.273499999999999</v>
      </c>
      <c r="L584" s="10"/>
    </row>
    <row r="585" spans="1:12" ht="15.75" x14ac:dyDescent="0.25">
      <c r="A585" s="13">
        <v>59110</v>
      </c>
      <c r="B585" s="10">
        <f>59.1016 * CHOOSE(CONTROL!$C$9, $D$9, 100%, $F$9) + CHOOSE(CONTROL!$C$27, 0.0021, 0)</f>
        <v>59.103699999999996</v>
      </c>
      <c r="C585" s="10">
        <f>58.6693 * CHOOSE(CONTROL!$C$9, $D$9, 100%, $F$9) + CHOOSE(CONTROL!$C$27, 0.0021, 0)</f>
        <v>58.671399999999998</v>
      </c>
      <c r="D585" s="10">
        <f>58.6693 * CHOOSE(CONTROL!$C$9, $D$9, 100%, $F$9) + CHOOSE(CONTROL!$C$27, 0.0021, 0)</f>
        <v>58.671399999999998</v>
      </c>
      <c r="E585" s="10">
        <f>58.5327 * CHOOSE(CONTROL!$C$9, $D$9, 100%, $F$9) + CHOOSE(CONTROL!$C$27, 0.0021, 0)</f>
        <v>58.534799999999997</v>
      </c>
      <c r="F585" s="10">
        <f>58.5327 * CHOOSE(CONTROL!$C$9, $D$9, 100%, $F$9) + CHOOSE(CONTROL!$C$27, 0.0021, 0)</f>
        <v>58.534799999999997</v>
      </c>
      <c r="G585" s="10">
        <f>58.8041 * CHOOSE(CONTROL!$C$9, $D$9, 100%, $F$9) + CHOOSE(CONTROL!$C$27, 0.0021, 0)</f>
        <v>58.806199999999997</v>
      </c>
      <c r="H585" s="10">
        <f>58.6693 * CHOOSE(CONTROL!$C$9, $D$9, 100%, $F$9) + CHOOSE(CONTROL!$C$27, 0.0021, 0)</f>
        <v>58.671399999999998</v>
      </c>
      <c r="I585" s="10">
        <f>58.6693 * CHOOSE(CONTROL!$C$9, $D$9, 100%, $F$9) + CHOOSE(CONTROL!$C$27, 0.0021, 0)</f>
        <v>58.671399999999998</v>
      </c>
      <c r="J585" s="10">
        <f>58.6693 * CHOOSE(CONTROL!$C$9, $D$9, 100%, $F$9) + CHOOSE(CONTROL!$C$27, 0.0021, 0)</f>
        <v>58.671399999999998</v>
      </c>
      <c r="K585" s="10">
        <f>58.6693 * CHOOSE(CONTROL!$C$9, $D$9, 100%, $F$9) + CHOOSE(CONTROL!$C$27, 0.0021, 0)</f>
        <v>58.671399999999998</v>
      </c>
      <c r="L585" s="10"/>
    </row>
    <row r="586" spans="1:12" ht="15.75" x14ac:dyDescent="0.25">
      <c r="A586" s="13">
        <v>59140</v>
      </c>
      <c r="B586" s="10">
        <f>59.2328 * CHOOSE(CONTROL!$C$9, $D$9, 100%, $F$9) + CHOOSE(CONTROL!$C$27, 0.0021, 0)</f>
        <v>59.234899999999996</v>
      </c>
      <c r="C586" s="10">
        <f>58.8006 * CHOOSE(CONTROL!$C$9, $D$9, 100%, $F$9) + CHOOSE(CONTROL!$C$27, 0.0021, 0)</f>
        <v>58.802700000000002</v>
      </c>
      <c r="D586" s="10">
        <f>58.8006 * CHOOSE(CONTROL!$C$9, $D$9, 100%, $F$9) + CHOOSE(CONTROL!$C$27, 0.0021, 0)</f>
        <v>58.802700000000002</v>
      </c>
      <c r="E586" s="10">
        <f>58.6639 * CHOOSE(CONTROL!$C$9, $D$9, 100%, $F$9) + CHOOSE(CONTROL!$C$27, 0.0021, 0)</f>
        <v>58.665999999999997</v>
      </c>
      <c r="F586" s="10">
        <f>58.6639 * CHOOSE(CONTROL!$C$9, $D$9, 100%, $F$9) + CHOOSE(CONTROL!$C$27, 0.0021, 0)</f>
        <v>58.665999999999997</v>
      </c>
      <c r="G586" s="10">
        <f>58.9353 * CHOOSE(CONTROL!$C$9, $D$9, 100%, $F$9) + CHOOSE(CONTROL!$C$27, 0.0021, 0)</f>
        <v>58.937399999999997</v>
      </c>
      <c r="H586" s="10">
        <f>58.8006 * CHOOSE(CONTROL!$C$9, $D$9, 100%, $F$9) + CHOOSE(CONTROL!$C$27, 0.0021, 0)</f>
        <v>58.802700000000002</v>
      </c>
      <c r="I586" s="10">
        <f>58.8006 * CHOOSE(CONTROL!$C$9, $D$9, 100%, $F$9) + CHOOSE(CONTROL!$C$27, 0.0021, 0)</f>
        <v>58.802700000000002</v>
      </c>
      <c r="J586" s="10">
        <f>58.8006 * CHOOSE(CONTROL!$C$9, $D$9, 100%, $F$9) + CHOOSE(CONTROL!$C$27, 0.0021, 0)</f>
        <v>58.802700000000002</v>
      </c>
      <c r="K586" s="10">
        <f>58.8006 * CHOOSE(CONTROL!$C$9, $D$9, 100%, $F$9) + CHOOSE(CONTROL!$C$27, 0.0021, 0)</f>
        <v>58.802700000000002</v>
      </c>
      <c r="L586" s="10"/>
    </row>
    <row r="587" spans="1:12" ht="15.75" x14ac:dyDescent="0.25">
      <c r="A587" s="13">
        <v>59171</v>
      </c>
      <c r="B587" s="10">
        <f>58.1163 * CHOOSE(CONTROL!$C$9, $D$9, 100%, $F$9) + CHOOSE(CONTROL!$C$27, 0.0021, 0)</f>
        <v>58.118400000000001</v>
      </c>
      <c r="C587" s="10">
        <f>57.6841 * CHOOSE(CONTROL!$C$9, $D$9, 100%, $F$9) + CHOOSE(CONTROL!$C$27, 0.0021, 0)</f>
        <v>57.686199999999999</v>
      </c>
      <c r="D587" s="10">
        <f>57.6841 * CHOOSE(CONTROL!$C$9, $D$9, 100%, $F$9) + CHOOSE(CONTROL!$C$27, 0.0021, 0)</f>
        <v>57.686199999999999</v>
      </c>
      <c r="E587" s="10">
        <f>57.5474 * CHOOSE(CONTROL!$C$9, $D$9, 100%, $F$9) + CHOOSE(CONTROL!$C$27, 0.0021, 0)</f>
        <v>57.549500000000002</v>
      </c>
      <c r="F587" s="10">
        <f>57.5474 * CHOOSE(CONTROL!$C$9, $D$9, 100%, $F$9) + CHOOSE(CONTROL!$C$27, 0.0021, 0)</f>
        <v>57.549500000000002</v>
      </c>
      <c r="G587" s="10">
        <f>57.8188 * CHOOSE(CONTROL!$C$9, $D$9, 100%, $F$9) + CHOOSE(CONTROL!$C$27, 0.0021, 0)</f>
        <v>57.820900000000002</v>
      </c>
      <c r="H587" s="10">
        <f>57.6841 * CHOOSE(CONTROL!$C$9, $D$9, 100%, $F$9) + CHOOSE(CONTROL!$C$27, 0.0021, 0)</f>
        <v>57.686199999999999</v>
      </c>
      <c r="I587" s="10">
        <f>57.6841 * CHOOSE(CONTROL!$C$9, $D$9, 100%, $F$9) + CHOOSE(CONTROL!$C$27, 0.0021, 0)</f>
        <v>57.686199999999999</v>
      </c>
      <c r="J587" s="10">
        <f>57.6841 * CHOOSE(CONTROL!$C$9, $D$9, 100%, $F$9) + CHOOSE(CONTROL!$C$27, 0.0021, 0)</f>
        <v>57.686199999999999</v>
      </c>
      <c r="K587" s="10">
        <f>57.6841 * CHOOSE(CONTROL!$C$9, $D$9, 100%, $F$9) + CHOOSE(CONTROL!$C$27, 0.0021, 0)</f>
        <v>57.686199999999999</v>
      </c>
      <c r="L587" s="10"/>
    </row>
    <row r="588" spans="1:12" ht="15.75" x14ac:dyDescent="0.25">
      <c r="A588" s="13">
        <v>59202</v>
      </c>
      <c r="B588" s="10">
        <f>57.2615 * CHOOSE(CONTROL!$C$9, $D$9, 100%, $F$9) + CHOOSE(CONTROL!$C$27, 0.0021, 0)</f>
        <v>57.263599999999997</v>
      </c>
      <c r="C588" s="10">
        <f>56.8293 * CHOOSE(CONTROL!$C$9, $D$9, 100%, $F$9) + CHOOSE(CONTROL!$C$27, 0.0021, 0)</f>
        <v>56.831400000000002</v>
      </c>
      <c r="D588" s="10">
        <f>56.8293 * CHOOSE(CONTROL!$C$9, $D$9, 100%, $F$9) + CHOOSE(CONTROL!$C$27, 0.0021, 0)</f>
        <v>56.831400000000002</v>
      </c>
      <c r="E588" s="10">
        <f>56.6926 * CHOOSE(CONTROL!$C$9, $D$9, 100%, $F$9) + CHOOSE(CONTROL!$C$27, 0.0021, 0)</f>
        <v>56.694699999999997</v>
      </c>
      <c r="F588" s="10">
        <f>56.6926 * CHOOSE(CONTROL!$C$9, $D$9, 100%, $F$9) + CHOOSE(CONTROL!$C$27, 0.0021, 0)</f>
        <v>56.694699999999997</v>
      </c>
      <c r="G588" s="10">
        <f>56.964 * CHOOSE(CONTROL!$C$9, $D$9, 100%, $F$9) + CHOOSE(CONTROL!$C$27, 0.0021, 0)</f>
        <v>56.966099999999997</v>
      </c>
      <c r="H588" s="10">
        <f>56.8293 * CHOOSE(CONTROL!$C$9, $D$9, 100%, $F$9) + CHOOSE(CONTROL!$C$27, 0.0021, 0)</f>
        <v>56.831400000000002</v>
      </c>
      <c r="I588" s="10">
        <f>56.8293 * CHOOSE(CONTROL!$C$9, $D$9, 100%, $F$9) + CHOOSE(CONTROL!$C$27, 0.0021, 0)</f>
        <v>56.831400000000002</v>
      </c>
      <c r="J588" s="10">
        <f>56.8293 * CHOOSE(CONTROL!$C$9, $D$9, 100%, $F$9) + CHOOSE(CONTROL!$C$27, 0.0021, 0)</f>
        <v>56.831400000000002</v>
      </c>
      <c r="K588" s="10">
        <f>56.8293 * CHOOSE(CONTROL!$C$9, $D$9, 100%, $F$9) + CHOOSE(CONTROL!$C$27, 0.0021, 0)</f>
        <v>56.831400000000002</v>
      </c>
      <c r="L588" s="10"/>
    </row>
    <row r="589" spans="1:12" ht="15.75" x14ac:dyDescent="0.25">
      <c r="A589" s="13">
        <v>59230</v>
      </c>
      <c r="B589" s="10">
        <f>55.7067 * CHOOSE(CONTROL!$C$9, $D$9, 100%, $F$9) + CHOOSE(CONTROL!$C$27, 0.0021, 0)</f>
        <v>55.708799999999997</v>
      </c>
      <c r="C589" s="10">
        <f>55.2745 * CHOOSE(CONTROL!$C$9, $D$9, 100%, $F$9) + CHOOSE(CONTROL!$C$27, 0.0021, 0)</f>
        <v>55.276600000000002</v>
      </c>
      <c r="D589" s="10">
        <f>55.2745 * CHOOSE(CONTROL!$C$9, $D$9, 100%, $F$9) + CHOOSE(CONTROL!$C$27, 0.0021, 0)</f>
        <v>55.276600000000002</v>
      </c>
      <c r="E589" s="10">
        <f>55.1378 * CHOOSE(CONTROL!$C$9, $D$9, 100%, $F$9) + CHOOSE(CONTROL!$C$27, 0.0021, 0)</f>
        <v>55.139899999999997</v>
      </c>
      <c r="F589" s="10">
        <f>55.1378 * CHOOSE(CONTROL!$C$9, $D$9, 100%, $F$9) + CHOOSE(CONTROL!$C$27, 0.0021, 0)</f>
        <v>55.139899999999997</v>
      </c>
      <c r="G589" s="10">
        <f>55.4092 * CHOOSE(CONTROL!$C$9, $D$9, 100%, $F$9) + CHOOSE(CONTROL!$C$27, 0.0021, 0)</f>
        <v>55.411299999999997</v>
      </c>
      <c r="H589" s="10">
        <f>55.2745 * CHOOSE(CONTROL!$C$9, $D$9, 100%, $F$9) + CHOOSE(CONTROL!$C$27, 0.0021, 0)</f>
        <v>55.276600000000002</v>
      </c>
      <c r="I589" s="10">
        <f>55.2745 * CHOOSE(CONTROL!$C$9, $D$9, 100%, $F$9) + CHOOSE(CONTROL!$C$27, 0.0021, 0)</f>
        <v>55.276600000000002</v>
      </c>
      <c r="J589" s="10">
        <f>55.2745 * CHOOSE(CONTROL!$C$9, $D$9, 100%, $F$9) + CHOOSE(CONTROL!$C$27, 0.0021, 0)</f>
        <v>55.276600000000002</v>
      </c>
      <c r="K589" s="10">
        <f>55.2745 * CHOOSE(CONTROL!$C$9, $D$9, 100%, $F$9) + CHOOSE(CONTROL!$C$27, 0.0021, 0)</f>
        <v>55.276600000000002</v>
      </c>
      <c r="L589" s="10"/>
    </row>
    <row r="590" spans="1:12" ht="15.75" x14ac:dyDescent="0.25">
      <c r="A590" s="13">
        <v>59261</v>
      </c>
      <c r="B590" s="10">
        <f>55.0649 * CHOOSE(CONTROL!$C$9, $D$9, 100%, $F$9) + CHOOSE(CONTROL!$C$27, 0.0021, 0)</f>
        <v>55.067</v>
      </c>
      <c r="C590" s="10">
        <f>54.6326 * CHOOSE(CONTROL!$C$9, $D$9, 100%, $F$9) + CHOOSE(CONTROL!$C$27, 0.0021, 0)</f>
        <v>54.634699999999995</v>
      </c>
      <c r="D590" s="10">
        <f>54.6326 * CHOOSE(CONTROL!$C$9, $D$9, 100%, $F$9) + CHOOSE(CONTROL!$C$27, 0.0021, 0)</f>
        <v>54.634699999999995</v>
      </c>
      <c r="E590" s="10">
        <f>54.496 * CHOOSE(CONTROL!$C$9, $D$9, 100%, $F$9) + CHOOSE(CONTROL!$C$27, 0.0021, 0)</f>
        <v>54.498100000000001</v>
      </c>
      <c r="F590" s="10">
        <f>54.496 * CHOOSE(CONTROL!$C$9, $D$9, 100%, $F$9) + CHOOSE(CONTROL!$C$27, 0.0021, 0)</f>
        <v>54.498100000000001</v>
      </c>
      <c r="G590" s="10">
        <f>54.7674 * CHOOSE(CONTROL!$C$9, $D$9, 100%, $F$9) + CHOOSE(CONTROL!$C$27, 0.0021, 0)</f>
        <v>54.769500000000001</v>
      </c>
      <c r="H590" s="10">
        <f>54.6326 * CHOOSE(CONTROL!$C$9, $D$9, 100%, $F$9) + CHOOSE(CONTROL!$C$27, 0.0021, 0)</f>
        <v>54.634699999999995</v>
      </c>
      <c r="I590" s="10">
        <f>54.6326 * CHOOSE(CONTROL!$C$9, $D$9, 100%, $F$9) + CHOOSE(CONTROL!$C$27, 0.0021, 0)</f>
        <v>54.634699999999995</v>
      </c>
      <c r="J590" s="10">
        <f>54.6326 * CHOOSE(CONTROL!$C$9, $D$9, 100%, $F$9) + CHOOSE(CONTROL!$C$27, 0.0021, 0)</f>
        <v>54.634699999999995</v>
      </c>
      <c r="K590" s="10">
        <f>54.6326 * CHOOSE(CONTROL!$C$9, $D$9, 100%, $F$9) + CHOOSE(CONTROL!$C$27, 0.0021, 0)</f>
        <v>54.634699999999995</v>
      </c>
      <c r="L590" s="10"/>
    </row>
    <row r="591" spans="1:12" ht="15.75" x14ac:dyDescent="0.25">
      <c r="A591" s="13">
        <v>59291</v>
      </c>
      <c r="B591" s="10">
        <f>54.2985 * CHOOSE(CONTROL!$C$9, $D$9, 100%, $F$9) + CHOOSE(CONTROL!$C$27, 0.0021, 0)</f>
        <v>54.300599999999996</v>
      </c>
      <c r="C591" s="10">
        <f>53.8663 * CHOOSE(CONTROL!$C$9, $D$9, 100%, $F$9) + CHOOSE(CONTROL!$C$27, 0.0021, 0)</f>
        <v>53.868400000000001</v>
      </c>
      <c r="D591" s="10">
        <f>53.8663 * CHOOSE(CONTROL!$C$9, $D$9, 100%, $F$9) + CHOOSE(CONTROL!$C$27, 0.0021, 0)</f>
        <v>53.868400000000001</v>
      </c>
      <c r="E591" s="10">
        <f>53.7296 * CHOOSE(CONTROL!$C$9, $D$9, 100%, $F$9) + CHOOSE(CONTROL!$C$27, 0.0021, 0)</f>
        <v>53.731699999999996</v>
      </c>
      <c r="F591" s="10">
        <f>53.7296 * CHOOSE(CONTROL!$C$9, $D$9, 100%, $F$9) + CHOOSE(CONTROL!$C$27, 0.0021, 0)</f>
        <v>53.731699999999996</v>
      </c>
      <c r="G591" s="10">
        <f>54.001 * CHOOSE(CONTROL!$C$9, $D$9, 100%, $F$9) + CHOOSE(CONTROL!$C$27, 0.0021, 0)</f>
        <v>54.003099999999996</v>
      </c>
      <c r="H591" s="10">
        <f>53.8663 * CHOOSE(CONTROL!$C$9, $D$9, 100%, $F$9) + CHOOSE(CONTROL!$C$27, 0.0021, 0)</f>
        <v>53.868400000000001</v>
      </c>
      <c r="I591" s="10">
        <f>53.8663 * CHOOSE(CONTROL!$C$9, $D$9, 100%, $F$9) + CHOOSE(CONTROL!$C$27, 0.0021, 0)</f>
        <v>53.868400000000001</v>
      </c>
      <c r="J591" s="10">
        <f>53.8663 * CHOOSE(CONTROL!$C$9, $D$9, 100%, $F$9) + CHOOSE(CONTROL!$C$27, 0.0021, 0)</f>
        <v>53.868400000000001</v>
      </c>
      <c r="K591" s="10">
        <f>53.8663 * CHOOSE(CONTROL!$C$9, $D$9, 100%, $F$9) + CHOOSE(CONTROL!$C$27, 0.0021, 0)</f>
        <v>53.868400000000001</v>
      </c>
      <c r="L591" s="10"/>
    </row>
    <row r="592" spans="1:12" ht="15.75" x14ac:dyDescent="0.25">
      <c r="A592" s="13">
        <v>59322</v>
      </c>
      <c r="B592" s="10">
        <f>55.3907 * CHOOSE(CONTROL!$C$9, $D$9, 100%, $F$9) + CHOOSE(CONTROL!$C$27, 0.0021, 0)</f>
        <v>55.392800000000001</v>
      </c>
      <c r="C592" s="10">
        <f>54.9584 * CHOOSE(CONTROL!$C$9, $D$9, 100%, $F$9) + CHOOSE(CONTROL!$C$27, 0.0021, 0)</f>
        <v>54.960499999999996</v>
      </c>
      <c r="D592" s="10">
        <f>54.9584 * CHOOSE(CONTROL!$C$9, $D$9, 100%, $F$9) + CHOOSE(CONTROL!$C$27, 0.0021, 0)</f>
        <v>54.960499999999996</v>
      </c>
      <c r="E592" s="10">
        <f>54.8218 * CHOOSE(CONTROL!$C$9, $D$9, 100%, $F$9) + CHOOSE(CONTROL!$C$27, 0.0021, 0)</f>
        <v>54.823900000000002</v>
      </c>
      <c r="F592" s="10">
        <f>54.8218 * CHOOSE(CONTROL!$C$9, $D$9, 100%, $F$9) + CHOOSE(CONTROL!$C$27, 0.0021, 0)</f>
        <v>54.823900000000002</v>
      </c>
      <c r="G592" s="10">
        <f>55.0931 * CHOOSE(CONTROL!$C$9, $D$9, 100%, $F$9) + CHOOSE(CONTROL!$C$27, 0.0021, 0)</f>
        <v>55.095199999999998</v>
      </c>
      <c r="H592" s="10">
        <f>54.9584 * CHOOSE(CONTROL!$C$9, $D$9, 100%, $F$9) + CHOOSE(CONTROL!$C$27, 0.0021, 0)</f>
        <v>54.960499999999996</v>
      </c>
      <c r="I592" s="10">
        <f>54.9584 * CHOOSE(CONTROL!$C$9, $D$9, 100%, $F$9) + CHOOSE(CONTROL!$C$27, 0.0021, 0)</f>
        <v>54.960499999999996</v>
      </c>
      <c r="J592" s="10">
        <f>54.9584 * CHOOSE(CONTROL!$C$9, $D$9, 100%, $F$9) + CHOOSE(CONTROL!$C$27, 0.0021, 0)</f>
        <v>54.960499999999996</v>
      </c>
      <c r="K592" s="10">
        <f>54.9584 * CHOOSE(CONTROL!$C$9, $D$9, 100%, $F$9) + CHOOSE(CONTROL!$C$27, 0.0021, 0)</f>
        <v>54.960499999999996</v>
      </c>
      <c r="L592" s="10"/>
    </row>
    <row r="593" spans="1:12" ht="15.75" x14ac:dyDescent="0.25">
      <c r="A593" s="13">
        <v>59352</v>
      </c>
      <c r="B593" s="10">
        <f>56.0448 * CHOOSE(CONTROL!$C$9, $D$9, 100%, $F$9) + CHOOSE(CONTROL!$C$27, 0.0021, 0)</f>
        <v>56.046900000000001</v>
      </c>
      <c r="C593" s="10">
        <f>55.6126 * CHOOSE(CONTROL!$C$9, $D$9, 100%, $F$9) + CHOOSE(CONTROL!$C$27, 0.0021, 0)</f>
        <v>55.614699999999999</v>
      </c>
      <c r="D593" s="10">
        <f>55.6126 * CHOOSE(CONTROL!$C$9, $D$9, 100%, $F$9) + CHOOSE(CONTROL!$C$27, 0.0021, 0)</f>
        <v>55.614699999999999</v>
      </c>
      <c r="E593" s="10">
        <f>55.4759 * CHOOSE(CONTROL!$C$9, $D$9, 100%, $F$9) + CHOOSE(CONTROL!$C$27, 0.0021, 0)</f>
        <v>55.478000000000002</v>
      </c>
      <c r="F593" s="10">
        <f>55.4759 * CHOOSE(CONTROL!$C$9, $D$9, 100%, $F$9) + CHOOSE(CONTROL!$C$27, 0.0021, 0)</f>
        <v>55.478000000000002</v>
      </c>
      <c r="G593" s="10">
        <f>55.7473 * CHOOSE(CONTROL!$C$9, $D$9, 100%, $F$9) + CHOOSE(CONTROL!$C$27, 0.0021, 0)</f>
        <v>55.749400000000001</v>
      </c>
      <c r="H593" s="10">
        <f>55.6126 * CHOOSE(CONTROL!$C$9, $D$9, 100%, $F$9) + CHOOSE(CONTROL!$C$27, 0.0021, 0)</f>
        <v>55.614699999999999</v>
      </c>
      <c r="I593" s="10">
        <f>55.6126 * CHOOSE(CONTROL!$C$9, $D$9, 100%, $F$9) + CHOOSE(CONTROL!$C$27, 0.0021, 0)</f>
        <v>55.614699999999999</v>
      </c>
      <c r="J593" s="10">
        <f>55.6126 * CHOOSE(CONTROL!$C$9, $D$9, 100%, $F$9) + CHOOSE(CONTROL!$C$27, 0.0021, 0)</f>
        <v>55.614699999999999</v>
      </c>
      <c r="K593" s="10">
        <f>55.6126 * CHOOSE(CONTROL!$C$9, $D$9, 100%, $F$9) + CHOOSE(CONTROL!$C$27, 0.0021, 0)</f>
        <v>55.614699999999999</v>
      </c>
      <c r="L593" s="10"/>
    </row>
    <row r="594" spans="1:12" ht="15.75" x14ac:dyDescent="0.25">
      <c r="A594" s="13">
        <v>59383</v>
      </c>
      <c r="B594" s="10">
        <f>57.124 * CHOOSE(CONTROL!$C$9, $D$9, 100%, $F$9) + CHOOSE(CONTROL!$C$27, 0.0021, 0)</f>
        <v>57.126100000000001</v>
      </c>
      <c r="C594" s="10">
        <f>56.6917 * CHOOSE(CONTROL!$C$9, $D$9, 100%, $F$9) + CHOOSE(CONTROL!$C$27, 0.0021, 0)</f>
        <v>56.693799999999996</v>
      </c>
      <c r="D594" s="10">
        <f>56.6917 * CHOOSE(CONTROL!$C$9, $D$9, 100%, $F$9) + CHOOSE(CONTROL!$C$27, 0.0021, 0)</f>
        <v>56.693799999999996</v>
      </c>
      <c r="E594" s="10">
        <f>56.555 * CHOOSE(CONTROL!$C$9, $D$9, 100%, $F$9) + CHOOSE(CONTROL!$C$27, 0.0021, 0)</f>
        <v>56.557099999999998</v>
      </c>
      <c r="F594" s="10">
        <f>56.555 * CHOOSE(CONTROL!$C$9, $D$9, 100%, $F$9) + CHOOSE(CONTROL!$C$27, 0.0021, 0)</f>
        <v>56.557099999999998</v>
      </c>
      <c r="G594" s="10">
        <f>56.8264 * CHOOSE(CONTROL!$C$9, $D$9, 100%, $F$9) + CHOOSE(CONTROL!$C$27, 0.0021, 0)</f>
        <v>56.828499999999998</v>
      </c>
      <c r="H594" s="10">
        <f>56.6917 * CHOOSE(CONTROL!$C$9, $D$9, 100%, $F$9) + CHOOSE(CONTROL!$C$27, 0.0021, 0)</f>
        <v>56.693799999999996</v>
      </c>
      <c r="I594" s="10">
        <f>56.6917 * CHOOSE(CONTROL!$C$9, $D$9, 100%, $F$9) + CHOOSE(CONTROL!$C$27, 0.0021, 0)</f>
        <v>56.693799999999996</v>
      </c>
      <c r="J594" s="10">
        <f>56.6917 * CHOOSE(CONTROL!$C$9, $D$9, 100%, $F$9) + CHOOSE(CONTROL!$C$27, 0.0021, 0)</f>
        <v>56.693799999999996</v>
      </c>
      <c r="K594" s="10">
        <f>56.6917 * CHOOSE(CONTROL!$C$9, $D$9, 100%, $F$9) + CHOOSE(CONTROL!$C$27, 0.0021, 0)</f>
        <v>56.693799999999996</v>
      </c>
      <c r="L594" s="10"/>
    </row>
    <row r="595" spans="1:12" ht="15.75" x14ac:dyDescent="0.25">
      <c r="A595" s="13">
        <v>59414</v>
      </c>
      <c r="B595" s="10">
        <f>57.4533 * CHOOSE(CONTROL!$C$9, $D$9, 100%, $F$9) + CHOOSE(CONTROL!$C$27, 0.0021, 0)</f>
        <v>57.455399999999997</v>
      </c>
      <c r="C595" s="10">
        <f>57.0211 * CHOOSE(CONTROL!$C$9, $D$9, 100%, $F$9) + CHOOSE(CONTROL!$C$27, 0.0021, 0)</f>
        <v>57.023199999999996</v>
      </c>
      <c r="D595" s="10">
        <f>57.0211 * CHOOSE(CONTROL!$C$9, $D$9, 100%, $F$9) + CHOOSE(CONTROL!$C$27, 0.0021, 0)</f>
        <v>57.023199999999996</v>
      </c>
      <c r="E595" s="10">
        <f>56.8844 * CHOOSE(CONTROL!$C$9, $D$9, 100%, $F$9) + CHOOSE(CONTROL!$C$27, 0.0021, 0)</f>
        <v>56.886499999999998</v>
      </c>
      <c r="F595" s="10">
        <f>56.8844 * CHOOSE(CONTROL!$C$9, $D$9, 100%, $F$9) + CHOOSE(CONTROL!$C$27, 0.0021, 0)</f>
        <v>56.886499999999998</v>
      </c>
      <c r="G595" s="10">
        <f>57.1558 * CHOOSE(CONTROL!$C$9, $D$9, 100%, $F$9) + CHOOSE(CONTROL!$C$27, 0.0021, 0)</f>
        <v>57.157899999999998</v>
      </c>
      <c r="H595" s="10">
        <f>57.0211 * CHOOSE(CONTROL!$C$9, $D$9, 100%, $F$9) + CHOOSE(CONTROL!$C$27, 0.0021, 0)</f>
        <v>57.023199999999996</v>
      </c>
      <c r="I595" s="10">
        <f>57.0211 * CHOOSE(CONTROL!$C$9, $D$9, 100%, $F$9) + CHOOSE(CONTROL!$C$27, 0.0021, 0)</f>
        <v>57.023199999999996</v>
      </c>
      <c r="J595" s="10">
        <f>57.0211 * CHOOSE(CONTROL!$C$9, $D$9, 100%, $F$9) + CHOOSE(CONTROL!$C$27, 0.0021, 0)</f>
        <v>57.023199999999996</v>
      </c>
      <c r="K595" s="10">
        <f>57.0211 * CHOOSE(CONTROL!$C$9, $D$9, 100%, $F$9) + CHOOSE(CONTROL!$C$27, 0.0021, 0)</f>
        <v>57.023199999999996</v>
      </c>
      <c r="L595" s="10"/>
    </row>
    <row r="596" spans="1:12" ht="15.75" x14ac:dyDescent="0.25">
      <c r="A596" s="13">
        <v>59444</v>
      </c>
      <c r="B596" s="10">
        <f>58.575 * CHOOSE(CONTROL!$C$9, $D$9, 100%, $F$9) + CHOOSE(CONTROL!$C$27, 0.0021, 0)</f>
        <v>58.577100000000002</v>
      </c>
      <c r="C596" s="10">
        <f>58.1428 * CHOOSE(CONTROL!$C$9, $D$9, 100%, $F$9) + CHOOSE(CONTROL!$C$27, 0.0021, 0)</f>
        <v>58.1449</v>
      </c>
      <c r="D596" s="10">
        <f>58.1428 * CHOOSE(CONTROL!$C$9, $D$9, 100%, $F$9) + CHOOSE(CONTROL!$C$27, 0.0021, 0)</f>
        <v>58.1449</v>
      </c>
      <c r="E596" s="10">
        <f>58.0061 * CHOOSE(CONTROL!$C$9, $D$9, 100%, $F$9) + CHOOSE(CONTROL!$C$27, 0.0021, 0)</f>
        <v>58.008200000000002</v>
      </c>
      <c r="F596" s="10">
        <f>58.0061 * CHOOSE(CONTROL!$C$9, $D$9, 100%, $F$9) + CHOOSE(CONTROL!$C$27, 0.0021, 0)</f>
        <v>58.008200000000002</v>
      </c>
      <c r="G596" s="10">
        <f>58.2775 * CHOOSE(CONTROL!$C$9, $D$9, 100%, $F$9) + CHOOSE(CONTROL!$C$27, 0.0021, 0)</f>
        <v>58.279600000000002</v>
      </c>
      <c r="H596" s="10">
        <f>58.1428 * CHOOSE(CONTROL!$C$9, $D$9, 100%, $F$9) + CHOOSE(CONTROL!$C$27, 0.0021, 0)</f>
        <v>58.1449</v>
      </c>
      <c r="I596" s="10">
        <f>58.1428 * CHOOSE(CONTROL!$C$9, $D$9, 100%, $F$9) + CHOOSE(CONTROL!$C$27, 0.0021, 0)</f>
        <v>58.1449</v>
      </c>
      <c r="J596" s="10">
        <f>58.1428 * CHOOSE(CONTROL!$C$9, $D$9, 100%, $F$9) + CHOOSE(CONTROL!$C$27, 0.0021, 0)</f>
        <v>58.1449</v>
      </c>
      <c r="K596" s="10">
        <f>58.1428 * CHOOSE(CONTROL!$C$9, $D$9, 100%, $F$9) + CHOOSE(CONTROL!$C$27, 0.0021, 0)</f>
        <v>58.1449</v>
      </c>
      <c r="L596" s="10"/>
    </row>
    <row r="597" spans="1:12" ht="15.75" x14ac:dyDescent="0.25">
      <c r="A597" s="13">
        <v>59475</v>
      </c>
      <c r="B597" s="10">
        <f>59.9949 * CHOOSE(CONTROL!$C$9, $D$9, 100%, $F$9) + CHOOSE(CONTROL!$C$27, 0.0021, 0)</f>
        <v>59.997</v>
      </c>
      <c r="C597" s="10">
        <f>59.5627 * CHOOSE(CONTROL!$C$9, $D$9, 100%, $F$9) + CHOOSE(CONTROL!$C$27, 0.0021, 0)</f>
        <v>59.564799999999998</v>
      </c>
      <c r="D597" s="10">
        <f>59.5627 * CHOOSE(CONTROL!$C$9, $D$9, 100%, $F$9) + CHOOSE(CONTROL!$C$27, 0.0021, 0)</f>
        <v>59.564799999999998</v>
      </c>
      <c r="E597" s="10">
        <f>59.426 * CHOOSE(CONTROL!$C$9, $D$9, 100%, $F$9) + CHOOSE(CONTROL!$C$27, 0.0021, 0)</f>
        <v>59.428100000000001</v>
      </c>
      <c r="F597" s="10">
        <f>59.426 * CHOOSE(CONTROL!$C$9, $D$9, 100%, $F$9) + CHOOSE(CONTROL!$C$27, 0.0021, 0)</f>
        <v>59.428100000000001</v>
      </c>
      <c r="G597" s="10">
        <f>59.6974 * CHOOSE(CONTROL!$C$9, $D$9, 100%, $F$9) + CHOOSE(CONTROL!$C$27, 0.0021, 0)</f>
        <v>59.6995</v>
      </c>
      <c r="H597" s="10">
        <f>59.5627 * CHOOSE(CONTROL!$C$9, $D$9, 100%, $F$9) + CHOOSE(CONTROL!$C$27, 0.0021, 0)</f>
        <v>59.564799999999998</v>
      </c>
      <c r="I597" s="10">
        <f>59.5627 * CHOOSE(CONTROL!$C$9, $D$9, 100%, $F$9) + CHOOSE(CONTROL!$C$27, 0.0021, 0)</f>
        <v>59.564799999999998</v>
      </c>
      <c r="J597" s="10">
        <f>59.5627 * CHOOSE(CONTROL!$C$9, $D$9, 100%, $F$9) + CHOOSE(CONTROL!$C$27, 0.0021, 0)</f>
        <v>59.564799999999998</v>
      </c>
      <c r="K597" s="10">
        <f>59.5627 * CHOOSE(CONTROL!$C$9, $D$9, 100%, $F$9) + CHOOSE(CONTROL!$C$27, 0.0021, 0)</f>
        <v>59.564799999999998</v>
      </c>
      <c r="L597" s="10"/>
    </row>
    <row r="598" spans="1:12" ht="15.75" x14ac:dyDescent="0.25">
      <c r="A598" s="13">
        <v>59505</v>
      </c>
      <c r="B598" s="10">
        <f>60.1282 * CHOOSE(CONTROL!$C$9, $D$9, 100%, $F$9) + CHOOSE(CONTROL!$C$27, 0.0021, 0)</f>
        <v>60.130299999999998</v>
      </c>
      <c r="C598" s="10">
        <f>59.696 * CHOOSE(CONTROL!$C$9, $D$9, 100%, $F$9) + CHOOSE(CONTROL!$C$27, 0.0021, 0)</f>
        <v>59.698099999999997</v>
      </c>
      <c r="D598" s="10">
        <f>59.696 * CHOOSE(CONTROL!$C$9, $D$9, 100%, $F$9) + CHOOSE(CONTROL!$C$27, 0.0021, 0)</f>
        <v>59.698099999999997</v>
      </c>
      <c r="E598" s="10">
        <f>59.5593 * CHOOSE(CONTROL!$C$9, $D$9, 100%, $F$9) + CHOOSE(CONTROL!$C$27, 0.0021, 0)</f>
        <v>59.561399999999999</v>
      </c>
      <c r="F598" s="10">
        <f>59.5593 * CHOOSE(CONTROL!$C$9, $D$9, 100%, $F$9) + CHOOSE(CONTROL!$C$27, 0.0021, 0)</f>
        <v>59.561399999999999</v>
      </c>
      <c r="G598" s="10">
        <f>59.8307 * CHOOSE(CONTROL!$C$9, $D$9, 100%, $F$9) + CHOOSE(CONTROL!$C$27, 0.0021, 0)</f>
        <v>59.832799999999999</v>
      </c>
      <c r="H598" s="10">
        <f>59.696 * CHOOSE(CONTROL!$C$9, $D$9, 100%, $F$9) + CHOOSE(CONTROL!$C$27, 0.0021, 0)</f>
        <v>59.698099999999997</v>
      </c>
      <c r="I598" s="10">
        <f>59.696 * CHOOSE(CONTROL!$C$9, $D$9, 100%, $F$9) + CHOOSE(CONTROL!$C$27, 0.0021, 0)</f>
        <v>59.698099999999997</v>
      </c>
      <c r="J598" s="10">
        <f>59.696 * CHOOSE(CONTROL!$C$9, $D$9, 100%, $F$9) + CHOOSE(CONTROL!$C$27, 0.0021, 0)</f>
        <v>59.698099999999997</v>
      </c>
      <c r="K598" s="10">
        <f>59.696 * CHOOSE(CONTROL!$C$9, $D$9, 100%, $F$9) + CHOOSE(CONTROL!$C$27, 0.0021, 0)</f>
        <v>59.698099999999997</v>
      </c>
      <c r="L598" s="10"/>
    </row>
    <row r="599" spans="1:12" ht="15.75" x14ac:dyDescent="0.25">
      <c r="A599" s="13">
        <v>59536</v>
      </c>
      <c r="B599" s="10">
        <f>58.9942 * CHOOSE(CONTROL!$C$9, $D$9, 100%, $F$9) + CHOOSE(CONTROL!$C$27, 0.0021, 0)</f>
        <v>58.996299999999998</v>
      </c>
      <c r="C599" s="10">
        <f>58.5619 * CHOOSE(CONTROL!$C$9, $D$9, 100%, $F$9) + CHOOSE(CONTROL!$C$27, 0.0021, 0)</f>
        <v>58.564</v>
      </c>
      <c r="D599" s="10">
        <f>58.5619 * CHOOSE(CONTROL!$C$9, $D$9, 100%, $F$9) + CHOOSE(CONTROL!$C$27, 0.0021, 0)</f>
        <v>58.564</v>
      </c>
      <c r="E599" s="10">
        <f>58.4253 * CHOOSE(CONTROL!$C$9, $D$9, 100%, $F$9) + CHOOSE(CONTROL!$C$27, 0.0021, 0)</f>
        <v>58.427399999999999</v>
      </c>
      <c r="F599" s="10">
        <f>58.4253 * CHOOSE(CONTROL!$C$9, $D$9, 100%, $F$9) + CHOOSE(CONTROL!$C$27, 0.0021, 0)</f>
        <v>58.427399999999999</v>
      </c>
      <c r="G599" s="10">
        <f>58.6966 * CHOOSE(CONTROL!$C$9, $D$9, 100%, $F$9) + CHOOSE(CONTROL!$C$27, 0.0021, 0)</f>
        <v>58.698699999999995</v>
      </c>
      <c r="H599" s="10">
        <f>58.5619 * CHOOSE(CONTROL!$C$9, $D$9, 100%, $F$9) + CHOOSE(CONTROL!$C$27, 0.0021, 0)</f>
        <v>58.564</v>
      </c>
      <c r="I599" s="10">
        <f>58.5619 * CHOOSE(CONTROL!$C$9, $D$9, 100%, $F$9) + CHOOSE(CONTROL!$C$27, 0.0021, 0)</f>
        <v>58.564</v>
      </c>
      <c r="J599" s="10">
        <f>58.5619 * CHOOSE(CONTROL!$C$9, $D$9, 100%, $F$9) + CHOOSE(CONTROL!$C$27, 0.0021, 0)</f>
        <v>58.564</v>
      </c>
      <c r="K599" s="10">
        <f>58.5619 * CHOOSE(CONTROL!$C$9, $D$9, 100%, $F$9) + CHOOSE(CONTROL!$C$27, 0.0021, 0)</f>
        <v>58.564</v>
      </c>
      <c r="L599" s="10"/>
    </row>
    <row r="600" spans="1:12" ht="15.75" x14ac:dyDescent="0.25">
      <c r="A600" s="13">
        <v>59567</v>
      </c>
      <c r="B600" s="10">
        <f>58.1259 * CHOOSE(CONTROL!$C$9, $D$9, 100%, $F$9) + CHOOSE(CONTROL!$C$27, 0.0021, 0)</f>
        <v>58.128</v>
      </c>
      <c r="C600" s="10">
        <f>57.6937 * CHOOSE(CONTROL!$C$9, $D$9, 100%, $F$9) + CHOOSE(CONTROL!$C$27, 0.0021, 0)</f>
        <v>57.695799999999998</v>
      </c>
      <c r="D600" s="10">
        <f>57.6937 * CHOOSE(CONTROL!$C$9, $D$9, 100%, $F$9) + CHOOSE(CONTROL!$C$27, 0.0021, 0)</f>
        <v>57.695799999999998</v>
      </c>
      <c r="E600" s="10">
        <f>57.557 * CHOOSE(CONTROL!$C$9, $D$9, 100%, $F$9) + CHOOSE(CONTROL!$C$27, 0.0021, 0)</f>
        <v>57.559100000000001</v>
      </c>
      <c r="F600" s="10">
        <f>57.557 * CHOOSE(CONTROL!$C$9, $D$9, 100%, $F$9) + CHOOSE(CONTROL!$C$27, 0.0021, 0)</f>
        <v>57.559100000000001</v>
      </c>
      <c r="G600" s="10">
        <f>57.8284 * CHOOSE(CONTROL!$C$9, $D$9, 100%, $F$9) + CHOOSE(CONTROL!$C$27, 0.0021, 0)</f>
        <v>57.830500000000001</v>
      </c>
      <c r="H600" s="10">
        <f>57.6937 * CHOOSE(CONTROL!$C$9, $D$9, 100%, $F$9) + CHOOSE(CONTROL!$C$27, 0.0021, 0)</f>
        <v>57.695799999999998</v>
      </c>
      <c r="I600" s="10">
        <f>57.6937 * CHOOSE(CONTROL!$C$9, $D$9, 100%, $F$9) + CHOOSE(CONTROL!$C$27, 0.0021, 0)</f>
        <v>57.695799999999998</v>
      </c>
      <c r="J600" s="10">
        <f>57.6937 * CHOOSE(CONTROL!$C$9, $D$9, 100%, $F$9) + CHOOSE(CONTROL!$C$27, 0.0021, 0)</f>
        <v>57.695799999999998</v>
      </c>
      <c r="K600" s="10">
        <f>57.6937 * CHOOSE(CONTROL!$C$9, $D$9, 100%, $F$9) + CHOOSE(CONTROL!$C$27, 0.0021, 0)</f>
        <v>57.695799999999998</v>
      </c>
      <c r="L600" s="10"/>
    </row>
    <row r="601" spans="1:12" ht="15.75" x14ac:dyDescent="0.25">
      <c r="A601" s="13">
        <v>59595</v>
      </c>
      <c r="B601" s="10">
        <f>56.5467 * CHOOSE(CONTROL!$C$9, $D$9, 100%, $F$9) + CHOOSE(CONTROL!$C$27, 0.0021, 0)</f>
        <v>56.5488</v>
      </c>
      <c r="C601" s="10">
        <f>56.1144 * CHOOSE(CONTROL!$C$9, $D$9, 100%, $F$9) + CHOOSE(CONTROL!$C$27, 0.0021, 0)</f>
        <v>56.116500000000002</v>
      </c>
      <c r="D601" s="10">
        <f>56.1144 * CHOOSE(CONTROL!$C$9, $D$9, 100%, $F$9) + CHOOSE(CONTROL!$C$27, 0.0021, 0)</f>
        <v>56.116500000000002</v>
      </c>
      <c r="E601" s="10">
        <f>55.9777 * CHOOSE(CONTROL!$C$9, $D$9, 100%, $F$9) + CHOOSE(CONTROL!$C$27, 0.0021, 0)</f>
        <v>55.979799999999997</v>
      </c>
      <c r="F601" s="10">
        <f>55.9777 * CHOOSE(CONTROL!$C$9, $D$9, 100%, $F$9) + CHOOSE(CONTROL!$C$27, 0.0021, 0)</f>
        <v>55.979799999999997</v>
      </c>
      <c r="G601" s="10">
        <f>56.2491 * CHOOSE(CONTROL!$C$9, $D$9, 100%, $F$9) + CHOOSE(CONTROL!$C$27, 0.0021, 0)</f>
        <v>56.251199999999997</v>
      </c>
      <c r="H601" s="10">
        <f>56.1144 * CHOOSE(CONTROL!$C$9, $D$9, 100%, $F$9) + CHOOSE(CONTROL!$C$27, 0.0021, 0)</f>
        <v>56.116500000000002</v>
      </c>
      <c r="I601" s="10">
        <f>56.1144 * CHOOSE(CONTROL!$C$9, $D$9, 100%, $F$9) + CHOOSE(CONTROL!$C$27, 0.0021, 0)</f>
        <v>56.116500000000002</v>
      </c>
      <c r="J601" s="10">
        <f>56.1144 * CHOOSE(CONTROL!$C$9, $D$9, 100%, $F$9) + CHOOSE(CONTROL!$C$27, 0.0021, 0)</f>
        <v>56.116500000000002</v>
      </c>
      <c r="K601" s="10">
        <f>56.1144 * CHOOSE(CONTROL!$C$9, $D$9, 100%, $F$9) + CHOOSE(CONTROL!$C$27, 0.0021, 0)</f>
        <v>56.116500000000002</v>
      </c>
      <c r="L601" s="10"/>
    </row>
    <row r="602" spans="1:12" ht="15.75" x14ac:dyDescent="0.25">
      <c r="A602" s="13">
        <v>59626</v>
      </c>
      <c r="B602" s="10">
        <f>55.8947 * CHOOSE(CONTROL!$C$9, $D$9, 100%, $F$9) + CHOOSE(CONTROL!$C$27, 0.0021, 0)</f>
        <v>55.896799999999999</v>
      </c>
      <c r="C602" s="10">
        <f>55.4625 * CHOOSE(CONTROL!$C$9, $D$9, 100%, $F$9) + CHOOSE(CONTROL!$C$27, 0.0021, 0)</f>
        <v>55.464599999999997</v>
      </c>
      <c r="D602" s="10">
        <f>55.4625 * CHOOSE(CONTROL!$C$9, $D$9, 100%, $F$9) + CHOOSE(CONTROL!$C$27, 0.0021, 0)</f>
        <v>55.464599999999997</v>
      </c>
      <c r="E602" s="10">
        <f>55.3258 * CHOOSE(CONTROL!$C$9, $D$9, 100%, $F$9) + CHOOSE(CONTROL!$C$27, 0.0021, 0)</f>
        <v>55.3279</v>
      </c>
      <c r="F602" s="10">
        <f>55.3258 * CHOOSE(CONTROL!$C$9, $D$9, 100%, $F$9) + CHOOSE(CONTROL!$C$27, 0.0021, 0)</f>
        <v>55.3279</v>
      </c>
      <c r="G602" s="10">
        <f>55.5972 * CHOOSE(CONTROL!$C$9, $D$9, 100%, $F$9) + CHOOSE(CONTROL!$C$27, 0.0021, 0)</f>
        <v>55.599299999999999</v>
      </c>
      <c r="H602" s="10">
        <f>55.4625 * CHOOSE(CONTROL!$C$9, $D$9, 100%, $F$9) + CHOOSE(CONTROL!$C$27, 0.0021, 0)</f>
        <v>55.464599999999997</v>
      </c>
      <c r="I602" s="10">
        <f>55.4625 * CHOOSE(CONTROL!$C$9, $D$9, 100%, $F$9) + CHOOSE(CONTROL!$C$27, 0.0021, 0)</f>
        <v>55.464599999999997</v>
      </c>
      <c r="J602" s="10">
        <f>55.4625 * CHOOSE(CONTROL!$C$9, $D$9, 100%, $F$9) + CHOOSE(CONTROL!$C$27, 0.0021, 0)</f>
        <v>55.464599999999997</v>
      </c>
      <c r="K602" s="10">
        <f>55.4625 * CHOOSE(CONTROL!$C$9, $D$9, 100%, $F$9) + CHOOSE(CONTROL!$C$27, 0.0021, 0)</f>
        <v>55.464599999999997</v>
      </c>
      <c r="L602" s="10"/>
    </row>
    <row r="603" spans="1:12" ht="15.75" x14ac:dyDescent="0.25">
      <c r="A603" s="13">
        <v>59656</v>
      </c>
      <c r="B603" s="10">
        <f>55.1163 * CHOOSE(CONTROL!$C$9, $D$9, 100%, $F$9) + CHOOSE(CONTROL!$C$27, 0.0021, 0)</f>
        <v>55.118400000000001</v>
      </c>
      <c r="C603" s="10">
        <f>54.6841 * CHOOSE(CONTROL!$C$9, $D$9, 100%, $F$9) + CHOOSE(CONTROL!$C$27, 0.0021, 0)</f>
        <v>54.686199999999999</v>
      </c>
      <c r="D603" s="10">
        <f>54.6841 * CHOOSE(CONTROL!$C$9, $D$9, 100%, $F$9) + CHOOSE(CONTROL!$C$27, 0.0021, 0)</f>
        <v>54.686199999999999</v>
      </c>
      <c r="E603" s="10">
        <f>54.5474 * CHOOSE(CONTROL!$C$9, $D$9, 100%, $F$9) + CHOOSE(CONTROL!$C$27, 0.0021, 0)</f>
        <v>54.549500000000002</v>
      </c>
      <c r="F603" s="10">
        <f>54.5474 * CHOOSE(CONTROL!$C$9, $D$9, 100%, $F$9) + CHOOSE(CONTROL!$C$27, 0.0021, 0)</f>
        <v>54.549500000000002</v>
      </c>
      <c r="G603" s="10">
        <f>54.8188 * CHOOSE(CONTROL!$C$9, $D$9, 100%, $F$9) + CHOOSE(CONTROL!$C$27, 0.0021, 0)</f>
        <v>54.820900000000002</v>
      </c>
      <c r="H603" s="10">
        <f>54.6841 * CHOOSE(CONTROL!$C$9, $D$9, 100%, $F$9) + CHOOSE(CONTROL!$C$27, 0.0021, 0)</f>
        <v>54.686199999999999</v>
      </c>
      <c r="I603" s="10">
        <f>54.6841 * CHOOSE(CONTROL!$C$9, $D$9, 100%, $F$9) + CHOOSE(CONTROL!$C$27, 0.0021, 0)</f>
        <v>54.686199999999999</v>
      </c>
      <c r="J603" s="10">
        <f>54.6841 * CHOOSE(CONTROL!$C$9, $D$9, 100%, $F$9) + CHOOSE(CONTROL!$C$27, 0.0021, 0)</f>
        <v>54.686199999999999</v>
      </c>
      <c r="K603" s="10">
        <f>54.6841 * CHOOSE(CONTROL!$C$9, $D$9, 100%, $F$9) + CHOOSE(CONTROL!$C$27, 0.0021, 0)</f>
        <v>54.686199999999999</v>
      </c>
      <c r="L603" s="10"/>
    </row>
    <row r="604" spans="1:12" ht="15.75" x14ac:dyDescent="0.25">
      <c r="A604" s="13">
        <v>59687</v>
      </c>
      <c r="B604" s="10">
        <f>56.2256 * CHOOSE(CONTROL!$C$9, $D$9, 100%, $F$9) + CHOOSE(CONTROL!$C$27, 0.0021, 0)</f>
        <v>56.227699999999999</v>
      </c>
      <c r="C604" s="10">
        <f>55.7934 * CHOOSE(CONTROL!$C$9, $D$9, 100%, $F$9) + CHOOSE(CONTROL!$C$27, 0.0021, 0)</f>
        <v>55.795499999999997</v>
      </c>
      <c r="D604" s="10">
        <f>55.7934 * CHOOSE(CONTROL!$C$9, $D$9, 100%, $F$9) + CHOOSE(CONTROL!$C$27, 0.0021, 0)</f>
        <v>55.795499999999997</v>
      </c>
      <c r="E604" s="10">
        <f>55.6567 * CHOOSE(CONTROL!$C$9, $D$9, 100%, $F$9) + CHOOSE(CONTROL!$C$27, 0.0021, 0)</f>
        <v>55.658799999999999</v>
      </c>
      <c r="F604" s="10">
        <f>55.6567 * CHOOSE(CONTROL!$C$9, $D$9, 100%, $F$9) + CHOOSE(CONTROL!$C$27, 0.0021, 0)</f>
        <v>55.658799999999999</v>
      </c>
      <c r="G604" s="10">
        <f>55.9281 * CHOOSE(CONTROL!$C$9, $D$9, 100%, $F$9) + CHOOSE(CONTROL!$C$27, 0.0021, 0)</f>
        <v>55.930199999999999</v>
      </c>
      <c r="H604" s="10">
        <f>55.7934 * CHOOSE(CONTROL!$C$9, $D$9, 100%, $F$9) + CHOOSE(CONTROL!$C$27, 0.0021, 0)</f>
        <v>55.795499999999997</v>
      </c>
      <c r="I604" s="10">
        <f>55.7934 * CHOOSE(CONTROL!$C$9, $D$9, 100%, $F$9) + CHOOSE(CONTROL!$C$27, 0.0021, 0)</f>
        <v>55.795499999999997</v>
      </c>
      <c r="J604" s="10">
        <f>55.7934 * CHOOSE(CONTROL!$C$9, $D$9, 100%, $F$9) + CHOOSE(CONTROL!$C$27, 0.0021, 0)</f>
        <v>55.795499999999997</v>
      </c>
      <c r="K604" s="10">
        <f>55.7934 * CHOOSE(CONTROL!$C$9, $D$9, 100%, $F$9) + CHOOSE(CONTROL!$C$27, 0.0021, 0)</f>
        <v>55.795499999999997</v>
      </c>
      <c r="L604" s="10"/>
    </row>
    <row r="605" spans="1:12" ht="15.75" x14ac:dyDescent="0.25">
      <c r="A605" s="13">
        <v>59717</v>
      </c>
      <c r="B605" s="10">
        <f>56.8901 * CHOOSE(CONTROL!$C$9, $D$9, 100%, $F$9) + CHOOSE(CONTROL!$C$27, 0.0021, 0)</f>
        <v>56.892199999999995</v>
      </c>
      <c r="C605" s="10">
        <f>56.4578 * CHOOSE(CONTROL!$C$9, $D$9, 100%, $F$9) + CHOOSE(CONTROL!$C$27, 0.0021, 0)</f>
        <v>56.459899999999998</v>
      </c>
      <c r="D605" s="10">
        <f>56.4578 * CHOOSE(CONTROL!$C$9, $D$9, 100%, $F$9) + CHOOSE(CONTROL!$C$27, 0.0021, 0)</f>
        <v>56.459899999999998</v>
      </c>
      <c r="E605" s="10">
        <f>56.3212 * CHOOSE(CONTROL!$C$9, $D$9, 100%, $F$9) + CHOOSE(CONTROL!$C$27, 0.0021, 0)</f>
        <v>56.323299999999996</v>
      </c>
      <c r="F605" s="10">
        <f>56.3212 * CHOOSE(CONTROL!$C$9, $D$9, 100%, $F$9) + CHOOSE(CONTROL!$C$27, 0.0021, 0)</f>
        <v>56.323299999999996</v>
      </c>
      <c r="G605" s="10">
        <f>56.5926 * CHOOSE(CONTROL!$C$9, $D$9, 100%, $F$9) + CHOOSE(CONTROL!$C$27, 0.0021, 0)</f>
        <v>56.594699999999996</v>
      </c>
      <c r="H605" s="10">
        <f>56.4578 * CHOOSE(CONTROL!$C$9, $D$9, 100%, $F$9) + CHOOSE(CONTROL!$C$27, 0.0021, 0)</f>
        <v>56.459899999999998</v>
      </c>
      <c r="I605" s="10">
        <f>56.4578 * CHOOSE(CONTROL!$C$9, $D$9, 100%, $F$9) + CHOOSE(CONTROL!$C$27, 0.0021, 0)</f>
        <v>56.459899999999998</v>
      </c>
      <c r="J605" s="10">
        <f>56.4578 * CHOOSE(CONTROL!$C$9, $D$9, 100%, $F$9) + CHOOSE(CONTROL!$C$27, 0.0021, 0)</f>
        <v>56.459899999999998</v>
      </c>
      <c r="K605" s="10">
        <f>56.4578 * CHOOSE(CONTROL!$C$9, $D$9, 100%, $F$9) + CHOOSE(CONTROL!$C$27, 0.0021, 0)</f>
        <v>56.459899999999998</v>
      </c>
      <c r="L605" s="10"/>
    </row>
    <row r="606" spans="1:12" ht="15.75" x14ac:dyDescent="0.25">
      <c r="A606" s="13">
        <v>59748</v>
      </c>
      <c r="B606" s="10">
        <f>57.9862 * CHOOSE(CONTROL!$C$9, $D$9, 100%, $F$9) + CHOOSE(CONTROL!$C$27, 0.0021, 0)</f>
        <v>57.988299999999995</v>
      </c>
      <c r="C606" s="10">
        <f>57.5539 * CHOOSE(CONTROL!$C$9, $D$9, 100%, $F$9) + CHOOSE(CONTROL!$C$27, 0.0021, 0)</f>
        <v>57.555999999999997</v>
      </c>
      <c r="D606" s="10">
        <f>57.5539 * CHOOSE(CONTROL!$C$9, $D$9, 100%, $F$9) + CHOOSE(CONTROL!$C$27, 0.0021, 0)</f>
        <v>57.555999999999997</v>
      </c>
      <c r="E606" s="10">
        <f>57.4173 * CHOOSE(CONTROL!$C$9, $D$9, 100%, $F$9) + CHOOSE(CONTROL!$C$27, 0.0021, 0)</f>
        <v>57.419399999999996</v>
      </c>
      <c r="F606" s="10">
        <f>57.4173 * CHOOSE(CONTROL!$C$9, $D$9, 100%, $F$9) + CHOOSE(CONTROL!$C$27, 0.0021, 0)</f>
        <v>57.419399999999996</v>
      </c>
      <c r="G606" s="10">
        <f>57.6886 * CHOOSE(CONTROL!$C$9, $D$9, 100%, $F$9) + CHOOSE(CONTROL!$C$27, 0.0021, 0)</f>
        <v>57.6907</v>
      </c>
      <c r="H606" s="10">
        <f>57.5539 * CHOOSE(CONTROL!$C$9, $D$9, 100%, $F$9) + CHOOSE(CONTROL!$C$27, 0.0021, 0)</f>
        <v>57.555999999999997</v>
      </c>
      <c r="I606" s="10">
        <f>57.5539 * CHOOSE(CONTROL!$C$9, $D$9, 100%, $F$9) + CHOOSE(CONTROL!$C$27, 0.0021, 0)</f>
        <v>57.555999999999997</v>
      </c>
      <c r="J606" s="10">
        <f>57.5539 * CHOOSE(CONTROL!$C$9, $D$9, 100%, $F$9) + CHOOSE(CONTROL!$C$27, 0.0021, 0)</f>
        <v>57.555999999999997</v>
      </c>
      <c r="K606" s="10">
        <f>57.5539 * CHOOSE(CONTROL!$C$9, $D$9, 100%, $F$9) + CHOOSE(CONTROL!$C$27, 0.0021, 0)</f>
        <v>57.555999999999997</v>
      </c>
      <c r="L606" s="10"/>
    </row>
    <row r="607" spans="1:12" ht="15.75" x14ac:dyDescent="0.25">
      <c r="A607" s="13">
        <v>59779</v>
      </c>
      <c r="B607" s="10">
        <f>58.3207 * CHOOSE(CONTROL!$C$9, $D$9, 100%, $F$9) + CHOOSE(CONTROL!$C$27, 0.0021, 0)</f>
        <v>58.322800000000001</v>
      </c>
      <c r="C607" s="10">
        <f>57.8885 * CHOOSE(CONTROL!$C$9, $D$9, 100%, $F$9) + CHOOSE(CONTROL!$C$27, 0.0021, 0)</f>
        <v>57.890599999999999</v>
      </c>
      <c r="D607" s="10">
        <f>57.8885 * CHOOSE(CONTROL!$C$9, $D$9, 100%, $F$9) + CHOOSE(CONTROL!$C$27, 0.0021, 0)</f>
        <v>57.890599999999999</v>
      </c>
      <c r="E607" s="10">
        <f>57.7518 * CHOOSE(CONTROL!$C$9, $D$9, 100%, $F$9) + CHOOSE(CONTROL!$C$27, 0.0021, 0)</f>
        <v>57.753900000000002</v>
      </c>
      <c r="F607" s="10">
        <f>57.7518 * CHOOSE(CONTROL!$C$9, $D$9, 100%, $F$9) + CHOOSE(CONTROL!$C$27, 0.0021, 0)</f>
        <v>57.753900000000002</v>
      </c>
      <c r="G607" s="10">
        <f>58.0232 * CHOOSE(CONTROL!$C$9, $D$9, 100%, $F$9) + CHOOSE(CONTROL!$C$27, 0.0021, 0)</f>
        <v>58.025300000000001</v>
      </c>
      <c r="H607" s="10">
        <f>57.8885 * CHOOSE(CONTROL!$C$9, $D$9, 100%, $F$9) + CHOOSE(CONTROL!$C$27, 0.0021, 0)</f>
        <v>57.890599999999999</v>
      </c>
      <c r="I607" s="10">
        <f>57.8885 * CHOOSE(CONTROL!$C$9, $D$9, 100%, $F$9) + CHOOSE(CONTROL!$C$27, 0.0021, 0)</f>
        <v>57.890599999999999</v>
      </c>
      <c r="J607" s="10">
        <f>57.8885 * CHOOSE(CONTROL!$C$9, $D$9, 100%, $F$9) + CHOOSE(CONTROL!$C$27, 0.0021, 0)</f>
        <v>57.890599999999999</v>
      </c>
      <c r="K607" s="10">
        <f>57.8885 * CHOOSE(CONTROL!$C$9, $D$9, 100%, $F$9) + CHOOSE(CONTROL!$C$27, 0.0021, 0)</f>
        <v>57.890599999999999</v>
      </c>
      <c r="L607" s="10"/>
    </row>
    <row r="608" spans="1:12" ht="15.75" x14ac:dyDescent="0.25">
      <c r="A608" s="13">
        <v>59809</v>
      </c>
      <c r="B608" s="10">
        <f>59.4601 * CHOOSE(CONTROL!$C$9, $D$9, 100%, $F$9) + CHOOSE(CONTROL!$C$27, 0.0021, 0)</f>
        <v>59.462199999999996</v>
      </c>
      <c r="C608" s="10">
        <f>59.0278 * CHOOSE(CONTROL!$C$9, $D$9, 100%, $F$9) + CHOOSE(CONTROL!$C$27, 0.0021, 0)</f>
        <v>59.029899999999998</v>
      </c>
      <c r="D608" s="10">
        <f>59.0278 * CHOOSE(CONTROL!$C$9, $D$9, 100%, $F$9) + CHOOSE(CONTROL!$C$27, 0.0021, 0)</f>
        <v>59.029899999999998</v>
      </c>
      <c r="E608" s="10">
        <f>58.8912 * CHOOSE(CONTROL!$C$9, $D$9, 100%, $F$9) + CHOOSE(CONTROL!$C$27, 0.0021, 0)</f>
        <v>58.893299999999996</v>
      </c>
      <c r="F608" s="10">
        <f>58.8912 * CHOOSE(CONTROL!$C$9, $D$9, 100%, $F$9) + CHOOSE(CONTROL!$C$27, 0.0021, 0)</f>
        <v>58.893299999999996</v>
      </c>
      <c r="G608" s="10">
        <f>59.1625 * CHOOSE(CONTROL!$C$9, $D$9, 100%, $F$9) + CHOOSE(CONTROL!$C$27, 0.0021, 0)</f>
        <v>59.1646</v>
      </c>
      <c r="H608" s="10">
        <f>59.0278 * CHOOSE(CONTROL!$C$9, $D$9, 100%, $F$9) + CHOOSE(CONTROL!$C$27, 0.0021, 0)</f>
        <v>59.029899999999998</v>
      </c>
      <c r="I608" s="10">
        <f>59.0278 * CHOOSE(CONTROL!$C$9, $D$9, 100%, $F$9) + CHOOSE(CONTROL!$C$27, 0.0021, 0)</f>
        <v>59.029899999999998</v>
      </c>
      <c r="J608" s="10">
        <f>59.0278 * CHOOSE(CONTROL!$C$9, $D$9, 100%, $F$9) + CHOOSE(CONTROL!$C$27, 0.0021, 0)</f>
        <v>59.029899999999998</v>
      </c>
      <c r="K608" s="10">
        <f>59.0278 * CHOOSE(CONTROL!$C$9, $D$9, 100%, $F$9) + CHOOSE(CONTROL!$C$27, 0.0021, 0)</f>
        <v>59.029899999999998</v>
      </c>
      <c r="L608" s="10"/>
    </row>
    <row r="609" spans="1:12" ht="15.75" x14ac:dyDescent="0.25">
      <c r="A609" s="13">
        <v>59840</v>
      </c>
      <c r="B609" s="10">
        <f>60.9023 * CHOOSE(CONTROL!$C$9, $D$9, 100%, $F$9) + CHOOSE(CONTROL!$C$27, 0.0021, 0)</f>
        <v>60.904399999999995</v>
      </c>
      <c r="C609" s="10">
        <f>60.47 * CHOOSE(CONTROL!$C$9, $D$9, 100%, $F$9) + CHOOSE(CONTROL!$C$27, 0.0021, 0)</f>
        <v>60.472099999999998</v>
      </c>
      <c r="D609" s="10">
        <f>60.47 * CHOOSE(CONTROL!$C$9, $D$9, 100%, $F$9) + CHOOSE(CONTROL!$C$27, 0.0021, 0)</f>
        <v>60.472099999999998</v>
      </c>
      <c r="E609" s="10">
        <f>60.3334 * CHOOSE(CONTROL!$C$9, $D$9, 100%, $F$9) + CHOOSE(CONTROL!$C$27, 0.0021, 0)</f>
        <v>60.335499999999996</v>
      </c>
      <c r="F609" s="10">
        <f>60.3334 * CHOOSE(CONTROL!$C$9, $D$9, 100%, $F$9) + CHOOSE(CONTROL!$C$27, 0.0021, 0)</f>
        <v>60.335499999999996</v>
      </c>
      <c r="G609" s="10">
        <f>60.6047 * CHOOSE(CONTROL!$C$9, $D$9, 100%, $F$9) + CHOOSE(CONTROL!$C$27, 0.0021, 0)</f>
        <v>60.6068</v>
      </c>
      <c r="H609" s="10">
        <f>60.47 * CHOOSE(CONTROL!$C$9, $D$9, 100%, $F$9) + CHOOSE(CONTROL!$C$27, 0.0021, 0)</f>
        <v>60.472099999999998</v>
      </c>
      <c r="I609" s="10">
        <f>60.47 * CHOOSE(CONTROL!$C$9, $D$9, 100%, $F$9) + CHOOSE(CONTROL!$C$27, 0.0021, 0)</f>
        <v>60.472099999999998</v>
      </c>
      <c r="J609" s="10">
        <f>60.47 * CHOOSE(CONTROL!$C$9, $D$9, 100%, $F$9) + CHOOSE(CONTROL!$C$27, 0.0021, 0)</f>
        <v>60.472099999999998</v>
      </c>
      <c r="K609" s="10">
        <f>60.47 * CHOOSE(CONTROL!$C$9, $D$9, 100%, $F$9) + CHOOSE(CONTROL!$C$27, 0.0021, 0)</f>
        <v>60.472099999999998</v>
      </c>
      <c r="L609" s="10"/>
    </row>
    <row r="610" spans="1:12" ht="15.75" x14ac:dyDescent="0.25">
      <c r="A610" s="13">
        <v>59870</v>
      </c>
      <c r="B610" s="10">
        <f>61.0377 * CHOOSE(CONTROL!$C$9, $D$9, 100%, $F$9) + CHOOSE(CONTROL!$C$27, 0.0021, 0)</f>
        <v>61.0398</v>
      </c>
      <c r="C610" s="10">
        <f>60.6054 * CHOOSE(CONTROL!$C$9, $D$9, 100%, $F$9) + CHOOSE(CONTROL!$C$27, 0.0021, 0)</f>
        <v>60.607500000000002</v>
      </c>
      <c r="D610" s="10">
        <f>60.6054 * CHOOSE(CONTROL!$C$9, $D$9, 100%, $F$9) + CHOOSE(CONTROL!$C$27, 0.0021, 0)</f>
        <v>60.607500000000002</v>
      </c>
      <c r="E610" s="10">
        <f>60.4688 * CHOOSE(CONTROL!$C$9, $D$9, 100%, $F$9) + CHOOSE(CONTROL!$C$27, 0.0021, 0)</f>
        <v>60.4709</v>
      </c>
      <c r="F610" s="10">
        <f>60.4688 * CHOOSE(CONTROL!$C$9, $D$9, 100%, $F$9) + CHOOSE(CONTROL!$C$27, 0.0021, 0)</f>
        <v>60.4709</v>
      </c>
      <c r="G610" s="10">
        <f>60.7401 * CHOOSE(CONTROL!$C$9, $D$9, 100%, $F$9) + CHOOSE(CONTROL!$C$27, 0.0021, 0)</f>
        <v>60.742199999999997</v>
      </c>
      <c r="H610" s="10">
        <f>60.6054 * CHOOSE(CONTROL!$C$9, $D$9, 100%, $F$9) + CHOOSE(CONTROL!$C$27, 0.0021, 0)</f>
        <v>60.607500000000002</v>
      </c>
      <c r="I610" s="10">
        <f>60.6054 * CHOOSE(CONTROL!$C$9, $D$9, 100%, $F$9) + CHOOSE(CONTROL!$C$27, 0.0021, 0)</f>
        <v>60.607500000000002</v>
      </c>
      <c r="J610" s="10">
        <f>60.6054 * CHOOSE(CONTROL!$C$9, $D$9, 100%, $F$9) + CHOOSE(CONTROL!$C$27, 0.0021, 0)</f>
        <v>60.607500000000002</v>
      </c>
      <c r="K610" s="10">
        <f>60.6054 * CHOOSE(CONTROL!$C$9, $D$9, 100%, $F$9) + CHOOSE(CONTROL!$C$27, 0.0021, 0)</f>
        <v>60.607500000000002</v>
      </c>
      <c r="L610" s="10"/>
    </row>
    <row r="611" spans="1:12" ht="15.75" x14ac:dyDescent="0.25">
      <c r="A611" s="13">
        <v>59901</v>
      </c>
      <c r="B611" s="10">
        <f>59.8858 * CHOOSE(CONTROL!$C$9, $D$9, 100%, $F$9) + CHOOSE(CONTROL!$C$27, 0.0021, 0)</f>
        <v>59.887900000000002</v>
      </c>
      <c r="C611" s="10">
        <f>59.4536 * CHOOSE(CONTROL!$C$9, $D$9, 100%, $F$9) + CHOOSE(CONTROL!$C$27, 0.0021, 0)</f>
        <v>59.4557</v>
      </c>
      <c r="D611" s="10">
        <f>59.4536 * CHOOSE(CONTROL!$C$9, $D$9, 100%, $F$9) + CHOOSE(CONTROL!$C$27, 0.0021, 0)</f>
        <v>59.4557</v>
      </c>
      <c r="E611" s="10">
        <f>59.3169 * CHOOSE(CONTROL!$C$9, $D$9, 100%, $F$9) + CHOOSE(CONTROL!$C$27, 0.0021, 0)</f>
        <v>59.318999999999996</v>
      </c>
      <c r="F611" s="10">
        <f>59.3169 * CHOOSE(CONTROL!$C$9, $D$9, 100%, $F$9) + CHOOSE(CONTROL!$C$27, 0.0021, 0)</f>
        <v>59.318999999999996</v>
      </c>
      <c r="G611" s="10">
        <f>59.5883 * CHOOSE(CONTROL!$C$9, $D$9, 100%, $F$9) + CHOOSE(CONTROL!$C$27, 0.0021, 0)</f>
        <v>59.590399999999995</v>
      </c>
      <c r="H611" s="10">
        <f>59.4536 * CHOOSE(CONTROL!$C$9, $D$9, 100%, $F$9) + CHOOSE(CONTROL!$C$27, 0.0021, 0)</f>
        <v>59.4557</v>
      </c>
      <c r="I611" s="10">
        <f>59.4536 * CHOOSE(CONTROL!$C$9, $D$9, 100%, $F$9) + CHOOSE(CONTROL!$C$27, 0.0021, 0)</f>
        <v>59.4557</v>
      </c>
      <c r="J611" s="10">
        <f>59.4536 * CHOOSE(CONTROL!$C$9, $D$9, 100%, $F$9) + CHOOSE(CONTROL!$C$27, 0.0021, 0)</f>
        <v>59.4557</v>
      </c>
      <c r="K611" s="10">
        <f>59.4536 * CHOOSE(CONTROL!$C$9, $D$9, 100%, $F$9) + CHOOSE(CONTROL!$C$27, 0.0021, 0)</f>
        <v>59.4557</v>
      </c>
      <c r="L611" s="10"/>
    </row>
    <row r="612" spans="1:12" ht="15.75" x14ac:dyDescent="0.25">
      <c r="A612" s="13">
        <v>59932</v>
      </c>
      <c r="B612" s="10">
        <f>59.0039 * CHOOSE(CONTROL!$C$9, $D$9, 100%, $F$9) + CHOOSE(CONTROL!$C$27, 0.0021, 0)</f>
        <v>59.006</v>
      </c>
      <c r="C612" s="10">
        <f>58.5717 * CHOOSE(CONTROL!$C$9, $D$9, 100%, $F$9) + CHOOSE(CONTROL!$C$27, 0.0021, 0)</f>
        <v>58.573799999999999</v>
      </c>
      <c r="D612" s="10">
        <f>58.5717 * CHOOSE(CONTROL!$C$9, $D$9, 100%, $F$9) + CHOOSE(CONTROL!$C$27, 0.0021, 0)</f>
        <v>58.573799999999999</v>
      </c>
      <c r="E612" s="10">
        <f>58.435 * CHOOSE(CONTROL!$C$9, $D$9, 100%, $F$9) + CHOOSE(CONTROL!$C$27, 0.0021, 0)</f>
        <v>58.437100000000001</v>
      </c>
      <c r="F612" s="10">
        <f>58.435 * CHOOSE(CONTROL!$C$9, $D$9, 100%, $F$9) + CHOOSE(CONTROL!$C$27, 0.0021, 0)</f>
        <v>58.437100000000001</v>
      </c>
      <c r="G612" s="10">
        <f>58.7064 * CHOOSE(CONTROL!$C$9, $D$9, 100%, $F$9) + CHOOSE(CONTROL!$C$27, 0.0021, 0)</f>
        <v>58.708500000000001</v>
      </c>
      <c r="H612" s="10">
        <f>58.5717 * CHOOSE(CONTROL!$C$9, $D$9, 100%, $F$9) + CHOOSE(CONTROL!$C$27, 0.0021, 0)</f>
        <v>58.573799999999999</v>
      </c>
      <c r="I612" s="10">
        <f>58.5717 * CHOOSE(CONTROL!$C$9, $D$9, 100%, $F$9) + CHOOSE(CONTROL!$C$27, 0.0021, 0)</f>
        <v>58.573799999999999</v>
      </c>
      <c r="J612" s="10">
        <f>58.5717 * CHOOSE(CONTROL!$C$9, $D$9, 100%, $F$9) + CHOOSE(CONTROL!$C$27, 0.0021, 0)</f>
        <v>58.573799999999999</v>
      </c>
      <c r="K612" s="10">
        <f>58.5717 * CHOOSE(CONTROL!$C$9, $D$9, 100%, $F$9) + CHOOSE(CONTROL!$C$27, 0.0021, 0)</f>
        <v>58.573799999999999</v>
      </c>
      <c r="L612" s="10"/>
    </row>
    <row r="613" spans="1:12" ht="15.75" x14ac:dyDescent="0.25">
      <c r="A613" s="13">
        <v>59961</v>
      </c>
      <c r="B613" s="10">
        <f>57.3998 * CHOOSE(CONTROL!$C$9, $D$9, 100%, $F$9) + CHOOSE(CONTROL!$C$27, 0.0021, 0)</f>
        <v>57.401899999999998</v>
      </c>
      <c r="C613" s="10">
        <f>56.9675 * CHOOSE(CONTROL!$C$9, $D$9, 100%, $F$9) + CHOOSE(CONTROL!$C$27, 0.0021, 0)</f>
        <v>56.9696</v>
      </c>
      <c r="D613" s="10">
        <f>56.9675 * CHOOSE(CONTROL!$C$9, $D$9, 100%, $F$9) + CHOOSE(CONTROL!$C$27, 0.0021, 0)</f>
        <v>56.9696</v>
      </c>
      <c r="E613" s="10">
        <f>56.8309 * CHOOSE(CONTROL!$C$9, $D$9, 100%, $F$9) + CHOOSE(CONTROL!$C$27, 0.0021, 0)</f>
        <v>56.832999999999998</v>
      </c>
      <c r="F613" s="10">
        <f>56.8309 * CHOOSE(CONTROL!$C$9, $D$9, 100%, $F$9) + CHOOSE(CONTROL!$C$27, 0.0021, 0)</f>
        <v>56.832999999999998</v>
      </c>
      <c r="G613" s="10">
        <f>57.1023 * CHOOSE(CONTROL!$C$9, $D$9, 100%, $F$9) + CHOOSE(CONTROL!$C$27, 0.0021, 0)</f>
        <v>57.104399999999998</v>
      </c>
      <c r="H613" s="10">
        <f>56.9675 * CHOOSE(CONTROL!$C$9, $D$9, 100%, $F$9) + CHOOSE(CONTROL!$C$27, 0.0021, 0)</f>
        <v>56.9696</v>
      </c>
      <c r="I613" s="10">
        <f>56.9675 * CHOOSE(CONTROL!$C$9, $D$9, 100%, $F$9) + CHOOSE(CONTROL!$C$27, 0.0021, 0)</f>
        <v>56.9696</v>
      </c>
      <c r="J613" s="10">
        <f>56.9675 * CHOOSE(CONTROL!$C$9, $D$9, 100%, $F$9) + CHOOSE(CONTROL!$C$27, 0.0021, 0)</f>
        <v>56.9696</v>
      </c>
      <c r="K613" s="10">
        <f>56.9675 * CHOOSE(CONTROL!$C$9, $D$9, 100%, $F$9) + CHOOSE(CONTROL!$C$27, 0.0021, 0)</f>
        <v>56.9696</v>
      </c>
      <c r="L613" s="10"/>
    </row>
    <row r="614" spans="1:12" ht="15.75" x14ac:dyDescent="0.25">
      <c r="A614" s="13">
        <v>59992</v>
      </c>
      <c r="B614" s="10">
        <f>56.7376 * CHOOSE(CONTROL!$C$9, $D$9, 100%, $F$9) + CHOOSE(CONTROL!$C$27, 0.0021, 0)</f>
        <v>56.739699999999999</v>
      </c>
      <c r="C614" s="10">
        <f>56.3054 * CHOOSE(CONTROL!$C$9, $D$9, 100%, $F$9) + CHOOSE(CONTROL!$C$27, 0.0021, 0)</f>
        <v>56.307499999999997</v>
      </c>
      <c r="D614" s="10">
        <f>56.3054 * CHOOSE(CONTROL!$C$9, $D$9, 100%, $F$9) + CHOOSE(CONTROL!$C$27, 0.0021, 0)</f>
        <v>56.307499999999997</v>
      </c>
      <c r="E614" s="10">
        <f>56.1687 * CHOOSE(CONTROL!$C$9, $D$9, 100%, $F$9) + CHOOSE(CONTROL!$C$27, 0.0021, 0)</f>
        <v>56.1708</v>
      </c>
      <c r="F614" s="10">
        <f>56.1687 * CHOOSE(CONTROL!$C$9, $D$9, 100%, $F$9) + CHOOSE(CONTROL!$C$27, 0.0021, 0)</f>
        <v>56.1708</v>
      </c>
      <c r="G614" s="10">
        <f>56.4401 * CHOOSE(CONTROL!$C$9, $D$9, 100%, $F$9) + CHOOSE(CONTROL!$C$27, 0.0021, 0)</f>
        <v>56.4422</v>
      </c>
      <c r="H614" s="10">
        <f>56.3054 * CHOOSE(CONTROL!$C$9, $D$9, 100%, $F$9) + CHOOSE(CONTROL!$C$27, 0.0021, 0)</f>
        <v>56.307499999999997</v>
      </c>
      <c r="I614" s="10">
        <f>56.3054 * CHOOSE(CONTROL!$C$9, $D$9, 100%, $F$9) + CHOOSE(CONTROL!$C$27, 0.0021, 0)</f>
        <v>56.307499999999997</v>
      </c>
      <c r="J614" s="10">
        <f>56.3054 * CHOOSE(CONTROL!$C$9, $D$9, 100%, $F$9) + CHOOSE(CONTROL!$C$27, 0.0021, 0)</f>
        <v>56.307499999999997</v>
      </c>
      <c r="K614" s="10">
        <f>56.3054 * CHOOSE(CONTROL!$C$9, $D$9, 100%, $F$9) + CHOOSE(CONTROL!$C$27, 0.0021, 0)</f>
        <v>56.307499999999997</v>
      </c>
      <c r="L614" s="10"/>
    </row>
    <row r="615" spans="1:12" ht="15.75" x14ac:dyDescent="0.25">
      <c r="A615" s="13">
        <v>60022</v>
      </c>
      <c r="B615" s="10">
        <f>55.947 * CHOOSE(CONTROL!$C$9, $D$9, 100%, $F$9) + CHOOSE(CONTROL!$C$27, 0.0021, 0)</f>
        <v>55.949100000000001</v>
      </c>
      <c r="C615" s="10">
        <f>55.5147 * CHOOSE(CONTROL!$C$9, $D$9, 100%, $F$9) + CHOOSE(CONTROL!$C$27, 0.0021, 0)</f>
        <v>55.516799999999996</v>
      </c>
      <c r="D615" s="10">
        <f>55.5147 * CHOOSE(CONTROL!$C$9, $D$9, 100%, $F$9) + CHOOSE(CONTROL!$C$27, 0.0021, 0)</f>
        <v>55.516799999999996</v>
      </c>
      <c r="E615" s="10">
        <f>55.3781 * CHOOSE(CONTROL!$C$9, $D$9, 100%, $F$9) + CHOOSE(CONTROL!$C$27, 0.0021, 0)</f>
        <v>55.380200000000002</v>
      </c>
      <c r="F615" s="10">
        <f>55.3781 * CHOOSE(CONTROL!$C$9, $D$9, 100%, $F$9) + CHOOSE(CONTROL!$C$27, 0.0021, 0)</f>
        <v>55.380200000000002</v>
      </c>
      <c r="G615" s="10">
        <f>55.6494 * CHOOSE(CONTROL!$C$9, $D$9, 100%, $F$9) + CHOOSE(CONTROL!$C$27, 0.0021, 0)</f>
        <v>55.651499999999999</v>
      </c>
      <c r="H615" s="10">
        <f>55.5147 * CHOOSE(CONTROL!$C$9, $D$9, 100%, $F$9) + CHOOSE(CONTROL!$C$27, 0.0021, 0)</f>
        <v>55.516799999999996</v>
      </c>
      <c r="I615" s="10">
        <f>55.5147 * CHOOSE(CONTROL!$C$9, $D$9, 100%, $F$9) + CHOOSE(CONTROL!$C$27, 0.0021, 0)</f>
        <v>55.516799999999996</v>
      </c>
      <c r="J615" s="10">
        <f>55.5147 * CHOOSE(CONTROL!$C$9, $D$9, 100%, $F$9) + CHOOSE(CONTROL!$C$27, 0.0021, 0)</f>
        <v>55.516799999999996</v>
      </c>
      <c r="K615" s="10">
        <f>55.5147 * CHOOSE(CONTROL!$C$9, $D$9, 100%, $F$9) + CHOOSE(CONTROL!$C$27, 0.0021, 0)</f>
        <v>55.516799999999996</v>
      </c>
      <c r="L615" s="10"/>
    </row>
    <row r="616" spans="1:12" ht="15.75" x14ac:dyDescent="0.25">
      <c r="A616" s="13">
        <v>60053</v>
      </c>
      <c r="B616" s="10">
        <f>57.0737 * CHOOSE(CONTROL!$C$9, $D$9, 100%, $F$9) + CHOOSE(CONTROL!$C$27, 0.0021, 0)</f>
        <v>57.075800000000001</v>
      </c>
      <c r="C616" s="10">
        <f>56.6415 * CHOOSE(CONTROL!$C$9, $D$9, 100%, $F$9) + CHOOSE(CONTROL!$C$27, 0.0021, 0)</f>
        <v>56.643599999999999</v>
      </c>
      <c r="D616" s="10">
        <f>56.6415 * CHOOSE(CONTROL!$C$9, $D$9, 100%, $F$9) + CHOOSE(CONTROL!$C$27, 0.0021, 0)</f>
        <v>56.643599999999999</v>
      </c>
      <c r="E616" s="10">
        <f>56.5048 * CHOOSE(CONTROL!$C$9, $D$9, 100%, $F$9) + CHOOSE(CONTROL!$C$27, 0.0021, 0)</f>
        <v>56.506900000000002</v>
      </c>
      <c r="F616" s="10">
        <f>56.5048 * CHOOSE(CONTROL!$C$9, $D$9, 100%, $F$9) + CHOOSE(CONTROL!$C$27, 0.0021, 0)</f>
        <v>56.506900000000002</v>
      </c>
      <c r="G616" s="10">
        <f>56.7762 * CHOOSE(CONTROL!$C$9, $D$9, 100%, $F$9) + CHOOSE(CONTROL!$C$27, 0.0021, 0)</f>
        <v>56.778300000000002</v>
      </c>
      <c r="H616" s="10">
        <f>56.6415 * CHOOSE(CONTROL!$C$9, $D$9, 100%, $F$9) + CHOOSE(CONTROL!$C$27, 0.0021, 0)</f>
        <v>56.643599999999999</v>
      </c>
      <c r="I616" s="10">
        <f>56.6415 * CHOOSE(CONTROL!$C$9, $D$9, 100%, $F$9) + CHOOSE(CONTROL!$C$27, 0.0021, 0)</f>
        <v>56.643599999999999</v>
      </c>
      <c r="J616" s="10">
        <f>56.6415 * CHOOSE(CONTROL!$C$9, $D$9, 100%, $F$9) + CHOOSE(CONTROL!$C$27, 0.0021, 0)</f>
        <v>56.643599999999999</v>
      </c>
      <c r="K616" s="10">
        <f>56.6415 * CHOOSE(CONTROL!$C$9, $D$9, 100%, $F$9) + CHOOSE(CONTROL!$C$27, 0.0021, 0)</f>
        <v>56.643599999999999</v>
      </c>
      <c r="L616" s="10"/>
    </row>
    <row r="617" spans="1:12" ht="15.75" x14ac:dyDescent="0.25">
      <c r="A617" s="13">
        <v>60083</v>
      </c>
      <c r="B617" s="10">
        <f>57.7486 * CHOOSE(CONTROL!$C$9, $D$9, 100%, $F$9) + CHOOSE(CONTROL!$C$27, 0.0021, 0)</f>
        <v>57.750700000000002</v>
      </c>
      <c r="C617" s="10">
        <f>57.3164 * CHOOSE(CONTROL!$C$9, $D$9, 100%, $F$9) + CHOOSE(CONTROL!$C$27, 0.0021, 0)</f>
        <v>57.3185</v>
      </c>
      <c r="D617" s="10">
        <f>57.3164 * CHOOSE(CONTROL!$C$9, $D$9, 100%, $F$9) + CHOOSE(CONTROL!$C$27, 0.0021, 0)</f>
        <v>57.3185</v>
      </c>
      <c r="E617" s="10">
        <f>57.1797 * CHOOSE(CONTROL!$C$9, $D$9, 100%, $F$9) + CHOOSE(CONTROL!$C$27, 0.0021, 0)</f>
        <v>57.181799999999996</v>
      </c>
      <c r="F617" s="10">
        <f>57.1797 * CHOOSE(CONTROL!$C$9, $D$9, 100%, $F$9) + CHOOSE(CONTROL!$C$27, 0.0021, 0)</f>
        <v>57.181799999999996</v>
      </c>
      <c r="G617" s="10">
        <f>57.4511 * CHOOSE(CONTROL!$C$9, $D$9, 100%, $F$9) + CHOOSE(CONTROL!$C$27, 0.0021, 0)</f>
        <v>57.453199999999995</v>
      </c>
      <c r="H617" s="10">
        <f>57.3164 * CHOOSE(CONTROL!$C$9, $D$9, 100%, $F$9) + CHOOSE(CONTROL!$C$27, 0.0021, 0)</f>
        <v>57.3185</v>
      </c>
      <c r="I617" s="10">
        <f>57.3164 * CHOOSE(CONTROL!$C$9, $D$9, 100%, $F$9) + CHOOSE(CONTROL!$C$27, 0.0021, 0)</f>
        <v>57.3185</v>
      </c>
      <c r="J617" s="10">
        <f>57.3164 * CHOOSE(CONTROL!$C$9, $D$9, 100%, $F$9) + CHOOSE(CONTROL!$C$27, 0.0021, 0)</f>
        <v>57.3185</v>
      </c>
      <c r="K617" s="10">
        <f>57.3164 * CHOOSE(CONTROL!$C$9, $D$9, 100%, $F$9) + CHOOSE(CONTROL!$C$27, 0.0021, 0)</f>
        <v>57.3185</v>
      </c>
      <c r="L617" s="10"/>
    </row>
    <row r="618" spans="1:12" ht="15.75" x14ac:dyDescent="0.25">
      <c r="A618" s="13">
        <v>60114</v>
      </c>
      <c r="B618" s="10">
        <f>58.862 * CHOOSE(CONTROL!$C$9, $D$9, 100%, $F$9) + CHOOSE(CONTROL!$C$27, 0.0021, 0)</f>
        <v>58.864100000000001</v>
      </c>
      <c r="C618" s="10">
        <f>58.4297 * CHOOSE(CONTROL!$C$9, $D$9, 100%, $F$9) + CHOOSE(CONTROL!$C$27, 0.0021, 0)</f>
        <v>58.431799999999996</v>
      </c>
      <c r="D618" s="10">
        <f>58.4297 * CHOOSE(CONTROL!$C$9, $D$9, 100%, $F$9) + CHOOSE(CONTROL!$C$27, 0.0021, 0)</f>
        <v>58.431799999999996</v>
      </c>
      <c r="E618" s="10">
        <f>58.293 * CHOOSE(CONTROL!$C$9, $D$9, 100%, $F$9) + CHOOSE(CONTROL!$C$27, 0.0021, 0)</f>
        <v>58.295099999999998</v>
      </c>
      <c r="F618" s="10">
        <f>58.293 * CHOOSE(CONTROL!$C$9, $D$9, 100%, $F$9) + CHOOSE(CONTROL!$C$27, 0.0021, 0)</f>
        <v>58.295099999999998</v>
      </c>
      <c r="G618" s="10">
        <f>58.5644 * CHOOSE(CONTROL!$C$9, $D$9, 100%, $F$9) + CHOOSE(CONTROL!$C$27, 0.0021, 0)</f>
        <v>58.566499999999998</v>
      </c>
      <c r="H618" s="10">
        <f>58.4297 * CHOOSE(CONTROL!$C$9, $D$9, 100%, $F$9) + CHOOSE(CONTROL!$C$27, 0.0021, 0)</f>
        <v>58.431799999999996</v>
      </c>
      <c r="I618" s="10">
        <f>58.4297 * CHOOSE(CONTROL!$C$9, $D$9, 100%, $F$9) + CHOOSE(CONTROL!$C$27, 0.0021, 0)</f>
        <v>58.431799999999996</v>
      </c>
      <c r="J618" s="10">
        <f>58.4297 * CHOOSE(CONTROL!$C$9, $D$9, 100%, $F$9) + CHOOSE(CONTROL!$C$27, 0.0021, 0)</f>
        <v>58.431799999999996</v>
      </c>
      <c r="K618" s="10">
        <f>58.4297 * CHOOSE(CONTROL!$C$9, $D$9, 100%, $F$9) + CHOOSE(CONTROL!$C$27, 0.0021, 0)</f>
        <v>58.431799999999996</v>
      </c>
      <c r="L618" s="10"/>
    </row>
    <row r="619" spans="1:12" ht="15.75" x14ac:dyDescent="0.25">
      <c r="A619" s="13">
        <v>60145</v>
      </c>
      <c r="B619" s="10">
        <f>59.2018 * CHOOSE(CONTROL!$C$9, $D$9, 100%, $F$9) + CHOOSE(CONTROL!$C$27, 0.0021, 0)</f>
        <v>59.203899999999997</v>
      </c>
      <c r="C619" s="10">
        <f>58.7695 * CHOOSE(CONTROL!$C$9, $D$9, 100%, $F$9) + CHOOSE(CONTROL!$C$27, 0.0021, 0)</f>
        <v>58.771599999999999</v>
      </c>
      <c r="D619" s="10">
        <f>58.7695 * CHOOSE(CONTROL!$C$9, $D$9, 100%, $F$9) + CHOOSE(CONTROL!$C$27, 0.0021, 0)</f>
        <v>58.771599999999999</v>
      </c>
      <c r="E619" s="10">
        <f>58.6329 * CHOOSE(CONTROL!$C$9, $D$9, 100%, $F$9) + CHOOSE(CONTROL!$C$27, 0.0021, 0)</f>
        <v>58.634999999999998</v>
      </c>
      <c r="F619" s="10">
        <f>58.6329 * CHOOSE(CONTROL!$C$9, $D$9, 100%, $F$9) + CHOOSE(CONTROL!$C$27, 0.0021, 0)</f>
        <v>58.634999999999998</v>
      </c>
      <c r="G619" s="10">
        <f>58.9042 * CHOOSE(CONTROL!$C$9, $D$9, 100%, $F$9) + CHOOSE(CONTROL!$C$27, 0.0021, 0)</f>
        <v>58.906300000000002</v>
      </c>
      <c r="H619" s="10">
        <f>58.7695 * CHOOSE(CONTROL!$C$9, $D$9, 100%, $F$9) + CHOOSE(CONTROL!$C$27, 0.0021, 0)</f>
        <v>58.771599999999999</v>
      </c>
      <c r="I619" s="10">
        <f>58.7695 * CHOOSE(CONTROL!$C$9, $D$9, 100%, $F$9) + CHOOSE(CONTROL!$C$27, 0.0021, 0)</f>
        <v>58.771599999999999</v>
      </c>
      <c r="J619" s="10">
        <f>58.7695 * CHOOSE(CONTROL!$C$9, $D$9, 100%, $F$9) + CHOOSE(CONTROL!$C$27, 0.0021, 0)</f>
        <v>58.771599999999999</v>
      </c>
      <c r="K619" s="10">
        <f>58.7695 * CHOOSE(CONTROL!$C$9, $D$9, 100%, $F$9) + CHOOSE(CONTROL!$C$27, 0.0021, 0)</f>
        <v>58.771599999999999</v>
      </c>
      <c r="L619" s="10"/>
    </row>
    <row r="620" spans="1:12" ht="15.75" x14ac:dyDescent="0.25">
      <c r="A620" s="13">
        <v>60175</v>
      </c>
      <c r="B620" s="10">
        <f>60.359 * CHOOSE(CONTROL!$C$9, $D$9, 100%, $F$9) + CHOOSE(CONTROL!$C$27, 0.0021, 0)</f>
        <v>60.3611</v>
      </c>
      <c r="C620" s="10">
        <f>59.9268 * CHOOSE(CONTROL!$C$9, $D$9, 100%, $F$9) + CHOOSE(CONTROL!$C$27, 0.0021, 0)</f>
        <v>59.928899999999999</v>
      </c>
      <c r="D620" s="10">
        <f>59.9268 * CHOOSE(CONTROL!$C$9, $D$9, 100%, $F$9) + CHOOSE(CONTROL!$C$27, 0.0021, 0)</f>
        <v>59.928899999999999</v>
      </c>
      <c r="E620" s="10">
        <f>59.7901 * CHOOSE(CONTROL!$C$9, $D$9, 100%, $F$9) + CHOOSE(CONTROL!$C$27, 0.0021, 0)</f>
        <v>59.792200000000001</v>
      </c>
      <c r="F620" s="10">
        <f>59.7901 * CHOOSE(CONTROL!$C$9, $D$9, 100%, $F$9) + CHOOSE(CONTROL!$C$27, 0.0021, 0)</f>
        <v>59.792200000000001</v>
      </c>
      <c r="G620" s="10">
        <f>60.0615 * CHOOSE(CONTROL!$C$9, $D$9, 100%, $F$9) + CHOOSE(CONTROL!$C$27, 0.0021, 0)</f>
        <v>60.063600000000001</v>
      </c>
      <c r="H620" s="10">
        <f>59.9268 * CHOOSE(CONTROL!$C$9, $D$9, 100%, $F$9) + CHOOSE(CONTROL!$C$27, 0.0021, 0)</f>
        <v>59.928899999999999</v>
      </c>
      <c r="I620" s="10">
        <f>59.9268 * CHOOSE(CONTROL!$C$9, $D$9, 100%, $F$9) + CHOOSE(CONTROL!$C$27, 0.0021, 0)</f>
        <v>59.928899999999999</v>
      </c>
      <c r="J620" s="10">
        <f>59.9268 * CHOOSE(CONTROL!$C$9, $D$9, 100%, $F$9) + CHOOSE(CONTROL!$C$27, 0.0021, 0)</f>
        <v>59.928899999999999</v>
      </c>
      <c r="K620" s="10">
        <f>59.9268 * CHOOSE(CONTROL!$C$9, $D$9, 100%, $F$9) + CHOOSE(CONTROL!$C$27, 0.0021, 0)</f>
        <v>59.928899999999999</v>
      </c>
      <c r="L620" s="10"/>
    </row>
    <row r="621" spans="1:12" ht="15.75" x14ac:dyDescent="0.25">
      <c r="A621" s="13">
        <v>60206</v>
      </c>
      <c r="B621" s="10">
        <f>61.8239 * CHOOSE(CONTROL!$C$9, $D$9, 100%, $F$9) + CHOOSE(CONTROL!$C$27, 0.0021, 0)</f>
        <v>61.826000000000001</v>
      </c>
      <c r="C621" s="10">
        <f>61.3917 * CHOOSE(CONTROL!$C$9, $D$9, 100%, $F$9) + CHOOSE(CONTROL!$C$27, 0.0021, 0)</f>
        <v>61.393799999999999</v>
      </c>
      <c r="D621" s="10">
        <f>61.3917 * CHOOSE(CONTROL!$C$9, $D$9, 100%, $F$9) + CHOOSE(CONTROL!$C$27, 0.0021, 0)</f>
        <v>61.393799999999999</v>
      </c>
      <c r="E621" s="10">
        <f>61.255 * CHOOSE(CONTROL!$C$9, $D$9, 100%, $F$9) + CHOOSE(CONTROL!$C$27, 0.0021, 0)</f>
        <v>61.257100000000001</v>
      </c>
      <c r="F621" s="10">
        <f>61.255 * CHOOSE(CONTROL!$C$9, $D$9, 100%, $F$9) + CHOOSE(CONTROL!$C$27, 0.0021, 0)</f>
        <v>61.257100000000001</v>
      </c>
      <c r="G621" s="10">
        <f>61.5264 * CHOOSE(CONTROL!$C$9, $D$9, 100%, $F$9) + CHOOSE(CONTROL!$C$27, 0.0021, 0)</f>
        <v>61.528500000000001</v>
      </c>
      <c r="H621" s="10">
        <f>61.3917 * CHOOSE(CONTROL!$C$9, $D$9, 100%, $F$9) + CHOOSE(CONTROL!$C$27, 0.0021, 0)</f>
        <v>61.393799999999999</v>
      </c>
      <c r="I621" s="10">
        <f>61.3917 * CHOOSE(CONTROL!$C$9, $D$9, 100%, $F$9) + CHOOSE(CONTROL!$C$27, 0.0021, 0)</f>
        <v>61.393799999999999</v>
      </c>
      <c r="J621" s="10">
        <f>61.3917 * CHOOSE(CONTROL!$C$9, $D$9, 100%, $F$9) + CHOOSE(CONTROL!$C$27, 0.0021, 0)</f>
        <v>61.393799999999999</v>
      </c>
      <c r="K621" s="10">
        <f>61.3917 * CHOOSE(CONTROL!$C$9, $D$9, 100%, $F$9) + CHOOSE(CONTROL!$C$27, 0.0021, 0)</f>
        <v>61.393799999999999</v>
      </c>
      <c r="L621" s="10"/>
    </row>
    <row r="622" spans="1:12" ht="15.75" x14ac:dyDescent="0.25">
      <c r="A622" s="13">
        <v>60236</v>
      </c>
      <c r="B622" s="10">
        <f>61.9614 * CHOOSE(CONTROL!$C$9, $D$9, 100%, $F$9) + CHOOSE(CONTROL!$C$27, 0.0021, 0)</f>
        <v>61.963499999999996</v>
      </c>
      <c r="C622" s="10">
        <f>61.5292 * CHOOSE(CONTROL!$C$9, $D$9, 100%, $F$9) + CHOOSE(CONTROL!$C$27, 0.0021, 0)</f>
        <v>61.531300000000002</v>
      </c>
      <c r="D622" s="10">
        <f>61.5292 * CHOOSE(CONTROL!$C$9, $D$9, 100%, $F$9) + CHOOSE(CONTROL!$C$27, 0.0021, 0)</f>
        <v>61.531300000000002</v>
      </c>
      <c r="E622" s="10">
        <f>61.3925 * CHOOSE(CONTROL!$C$9, $D$9, 100%, $F$9) + CHOOSE(CONTROL!$C$27, 0.0021, 0)</f>
        <v>61.394599999999997</v>
      </c>
      <c r="F622" s="10">
        <f>61.3925 * CHOOSE(CONTROL!$C$9, $D$9, 100%, $F$9) + CHOOSE(CONTROL!$C$27, 0.0021, 0)</f>
        <v>61.394599999999997</v>
      </c>
      <c r="G622" s="10">
        <f>61.6639 * CHOOSE(CONTROL!$C$9, $D$9, 100%, $F$9) + CHOOSE(CONTROL!$C$27, 0.0021, 0)</f>
        <v>61.665999999999997</v>
      </c>
      <c r="H622" s="10">
        <f>61.5292 * CHOOSE(CONTROL!$C$9, $D$9, 100%, $F$9) + CHOOSE(CONTROL!$C$27, 0.0021, 0)</f>
        <v>61.531300000000002</v>
      </c>
      <c r="I622" s="10">
        <f>61.5292 * CHOOSE(CONTROL!$C$9, $D$9, 100%, $F$9) + CHOOSE(CONTROL!$C$27, 0.0021, 0)</f>
        <v>61.531300000000002</v>
      </c>
      <c r="J622" s="10">
        <f>61.5292 * CHOOSE(CONTROL!$C$9, $D$9, 100%, $F$9) + CHOOSE(CONTROL!$C$27, 0.0021, 0)</f>
        <v>61.531300000000002</v>
      </c>
      <c r="K622" s="10">
        <f>61.5292 * CHOOSE(CONTROL!$C$9, $D$9, 100%, $F$9) + CHOOSE(CONTROL!$C$27, 0.0021, 0)</f>
        <v>61.531300000000002</v>
      </c>
      <c r="L622" s="10"/>
    </row>
    <row r="623" spans="1:12" ht="15.75" x14ac:dyDescent="0.25">
      <c r="A623" s="13">
        <v>60267</v>
      </c>
      <c r="B623" s="10">
        <f>60.7915 * CHOOSE(CONTROL!$C$9, $D$9, 100%, $F$9) + CHOOSE(CONTROL!$C$27, 0.0021, 0)</f>
        <v>60.793599999999998</v>
      </c>
      <c r="C623" s="10">
        <f>60.3592 * CHOOSE(CONTROL!$C$9, $D$9, 100%, $F$9) + CHOOSE(CONTROL!$C$27, 0.0021, 0)</f>
        <v>60.3613</v>
      </c>
      <c r="D623" s="10">
        <f>60.3592 * CHOOSE(CONTROL!$C$9, $D$9, 100%, $F$9) + CHOOSE(CONTROL!$C$27, 0.0021, 0)</f>
        <v>60.3613</v>
      </c>
      <c r="E623" s="10">
        <f>60.2226 * CHOOSE(CONTROL!$C$9, $D$9, 100%, $F$9) + CHOOSE(CONTROL!$C$27, 0.0021, 0)</f>
        <v>60.224699999999999</v>
      </c>
      <c r="F623" s="10">
        <f>60.2226 * CHOOSE(CONTROL!$C$9, $D$9, 100%, $F$9) + CHOOSE(CONTROL!$C$27, 0.0021, 0)</f>
        <v>60.224699999999999</v>
      </c>
      <c r="G623" s="10">
        <f>60.4939 * CHOOSE(CONTROL!$C$9, $D$9, 100%, $F$9) + CHOOSE(CONTROL!$C$27, 0.0021, 0)</f>
        <v>60.495999999999995</v>
      </c>
      <c r="H623" s="10">
        <f>60.3592 * CHOOSE(CONTROL!$C$9, $D$9, 100%, $F$9) + CHOOSE(CONTROL!$C$27, 0.0021, 0)</f>
        <v>60.3613</v>
      </c>
      <c r="I623" s="10">
        <f>60.3592 * CHOOSE(CONTROL!$C$9, $D$9, 100%, $F$9) + CHOOSE(CONTROL!$C$27, 0.0021, 0)</f>
        <v>60.3613</v>
      </c>
      <c r="J623" s="10">
        <f>60.3592 * CHOOSE(CONTROL!$C$9, $D$9, 100%, $F$9) + CHOOSE(CONTROL!$C$27, 0.0021, 0)</f>
        <v>60.3613</v>
      </c>
      <c r="K623" s="10">
        <f>60.3592 * CHOOSE(CONTROL!$C$9, $D$9, 100%, $F$9) + CHOOSE(CONTROL!$C$27, 0.0021, 0)</f>
        <v>60.3613</v>
      </c>
      <c r="L623" s="10"/>
    </row>
    <row r="624" spans="1:12" ht="15.75" x14ac:dyDescent="0.25">
      <c r="A624" s="13">
        <v>60298</v>
      </c>
      <c r="B624" s="10">
        <f>59.8957 * CHOOSE(CONTROL!$C$9, $D$9, 100%, $F$9) + CHOOSE(CONTROL!$C$27, 0.0021, 0)</f>
        <v>59.897799999999997</v>
      </c>
      <c r="C624" s="10">
        <f>59.4634 * CHOOSE(CONTROL!$C$9, $D$9, 100%, $F$9) + CHOOSE(CONTROL!$C$27, 0.0021, 0)</f>
        <v>59.465499999999999</v>
      </c>
      <c r="D624" s="10">
        <f>59.4634 * CHOOSE(CONTROL!$C$9, $D$9, 100%, $F$9) + CHOOSE(CONTROL!$C$27, 0.0021, 0)</f>
        <v>59.465499999999999</v>
      </c>
      <c r="E624" s="10">
        <f>59.3268 * CHOOSE(CONTROL!$C$9, $D$9, 100%, $F$9) + CHOOSE(CONTROL!$C$27, 0.0021, 0)</f>
        <v>59.328899999999997</v>
      </c>
      <c r="F624" s="10">
        <f>59.3268 * CHOOSE(CONTROL!$C$9, $D$9, 100%, $F$9) + CHOOSE(CONTROL!$C$27, 0.0021, 0)</f>
        <v>59.328899999999997</v>
      </c>
      <c r="G624" s="10">
        <f>59.5982 * CHOOSE(CONTROL!$C$9, $D$9, 100%, $F$9) + CHOOSE(CONTROL!$C$27, 0.0021, 0)</f>
        <v>59.600299999999997</v>
      </c>
      <c r="H624" s="10">
        <f>59.4634 * CHOOSE(CONTROL!$C$9, $D$9, 100%, $F$9) + CHOOSE(CONTROL!$C$27, 0.0021, 0)</f>
        <v>59.465499999999999</v>
      </c>
      <c r="I624" s="10">
        <f>59.4634 * CHOOSE(CONTROL!$C$9, $D$9, 100%, $F$9) + CHOOSE(CONTROL!$C$27, 0.0021, 0)</f>
        <v>59.465499999999999</v>
      </c>
      <c r="J624" s="10">
        <f>59.4634 * CHOOSE(CONTROL!$C$9, $D$9, 100%, $F$9) + CHOOSE(CONTROL!$C$27, 0.0021, 0)</f>
        <v>59.465499999999999</v>
      </c>
      <c r="K624" s="10">
        <f>59.4634 * CHOOSE(CONTROL!$C$9, $D$9, 100%, $F$9) + CHOOSE(CONTROL!$C$27, 0.0021, 0)</f>
        <v>59.465499999999999</v>
      </c>
      <c r="L624" s="10"/>
    </row>
    <row r="625" spans="1:12" ht="15.75" x14ac:dyDescent="0.25">
      <c r="A625" s="13">
        <v>60326</v>
      </c>
      <c r="B625" s="10">
        <f>58.2664 * CHOOSE(CONTROL!$C$9, $D$9, 100%, $F$9) + CHOOSE(CONTROL!$C$27, 0.0021, 0)</f>
        <v>58.268499999999996</v>
      </c>
      <c r="C625" s="10">
        <f>57.8341 * CHOOSE(CONTROL!$C$9, $D$9, 100%, $F$9) + CHOOSE(CONTROL!$C$27, 0.0021, 0)</f>
        <v>57.836199999999998</v>
      </c>
      <c r="D625" s="10">
        <f>57.8341 * CHOOSE(CONTROL!$C$9, $D$9, 100%, $F$9) + CHOOSE(CONTROL!$C$27, 0.0021, 0)</f>
        <v>57.836199999999998</v>
      </c>
      <c r="E625" s="10">
        <f>57.6974 * CHOOSE(CONTROL!$C$9, $D$9, 100%, $F$9) + CHOOSE(CONTROL!$C$27, 0.0021, 0)</f>
        <v>57.6995</v>
      </c>
      <c r="F625" s="10">
        <f>57.6974 * CHOOSE(CONTROL!$C$9, $D$9, 100%, $F$9) + CHOOSE(CONTROL!$C$27, 0.0021, 0)</f>
        <v>57.6995</v>
      </c>
      <c r="G625" s="10">
        <f>57.9688 * CHOOSE(CONTROL!$C$9, $D$9, 100%, $F$9) + CHOOSE(CONTROL!$C$27, 0.0021, 0)</f>
        <v>57.9709</v>
      </c>
      <c r="H625" s="10">
        <f>57.8341 * CHOOSE(CONTROL!$C$9, $D$9, 100%, $F$9) + CHOOSE(CONTROL!$C$27, 0.0021, 0)</f>
        <v>57.836199999999998</v>
      </c>
      <c r="I625" s="10">
        <f>57.8341 * CHOOSE(CONTROL!$C$9, $D$9, 100%, $F$9) + CHOOSE(CONTROL!$C$27, 0.0021, 0)</f>
        <v>57.836199999999998</v>
      </c>
      <c r="J625" s="10">
        <f>57.8341 * CHOOSE(CONTROL!$C$9, $D$9, 100%, $F$9) + CHOOSE(CONTROL!$C$27, 0.0021, 0)</f>
        <v>57.836199999999998</v>
      </c>
      <c r="K625" s="10">
        <f>57.8341 * CHOOSE(CONTROL!$C$9, $D$9, 100%, $F$9) + CHOOSE(CONTROL!$C$27, 0.0021, 0)</f>
        <v>57.836199999999998</v>
      </c>
      <c r="L625" s="10"/>
    </row>
    <row r="626" spans="1:12" ht="15.75" x14ac:dyDescent="0.25">
      <c r="A626" s="13">
        <v>60357</v>
      </c>
      <c r="B626" s="10">
        <f>57.5938 * CHOOSE(CONTROL!$C$9, $D$9, 100%, $F$9) + CHOOSE(CONTROL!$C$27, 0.0021, 0)</f>
        <v>57.5959</v>
      </c>
      <c r="C626" s="10">
        <f>57.1615 * CHOOSE(CONTROL!$C$9, $D$9, 100%, $F$9) + CHOOSE(CONTROL!$C$27, 0.0021, 0)</f>
        <v>57.163599999999995</v>
      </c>
      <c r="D626" s="10">
        <f>57.1615 * CHOOSE(CONTROL!$C$9, $D$9, 100%, $F$9) + CHOOSE(CONTROL!$C$27, 0.0021, 0)</f>
        <v>57.163599999999995</v>
      </c>
      <c r="E626" s="10">
        <f>57.0249 * CHOOSE(CONTROL!$C$9, $D$9, 100%, $F$9) + CHOOSE(CONTROL!$C$27, 0.0021, 0)</f>
        <v>57.027000000000001</v>
      </c>
      <c r="F626" s="10">
        <f>57.0249 * CHOOSE(CONTROL!$C$9, $D$9, 100%, $F$9) + CHOOSE(CONTROL!$C$27, 0.0021, 0)</f>
        <v>57.027000000000001</v>
      </c>
      <c r="G626" s="10">
        <f>57.2962 * CHOOSE(CONTROL!$C$9, $D$9, 100%, $F$9) + CHOOSE(CONTROL!$C$27, 0.0021, 0)</f>
        <v>57.298299999999998</v>
      </c>
      <c r="H626" s="10">
        <f>57.1615 * CHOOSE(CONTROL!$C$9, $D$9, 100%, $F$9) + CHOOSE(CONTROL!$C$27, 0.0021, 0)</f>
        <v>57.163599999999995</v>
      </c>
      <c r="I626" s="10">
        <f>57.1615 * CHOOSE(CONTROL!$C$9, $D$9, 100%, $F$9) + CHOOSE(CONTROL!$C$27, 0.0021, 0)</f>
        <v>57.163599999999995</v>
      </c>
      <c r="J626" s="10">
        <f>57.1615 * CHOOSE(CONTROL!$C$9, $D$9, 100%, $F$9) + CHOOSE(CONTROL!$C$27, 0.0021, 0)</f>
        <v>57.163599999999995</v>
      </c>
      <c r="K626" s="10">
        <f>57.1615 * CHOOSE(CONTROL!$C$9, $D$9, 100%, $F$9) + CHOOSE(CONTROL!$C$27, 0.0021, 0)</f>
        <v>57.163599999999995</v>
      </c>
      <c r="L626" s="10"/>
    </row>
    <row r="627" spans="1:12" ht="15.75" x14ac:dyDescent="0.25">
      <c r="A627" s="13">
        <v>60387</v>
      </c>
      <c r="B627" s="10">
        <f>56.7907 * CHOOSE(CONTROL!$C$9, $D$9, 100%, $F$9) + CHOOSE(CONTROL!$C$27, 0.0021, 0)</f>
        <v>56.7928</v>
      </c>
      <c r="C627" s="10">
        <f>56.3584 * CHOOSE(CONTROL!$C$9, $D$9, 100%, $F$9) + CHOOSE(CONTROL!$C$27, 0.0021, 0)</f>
        <v>56.360500000000002</v>
      </c>
      <c r="D627" s="10">
        <f>56.3584 * CHOOSE(CONTROL!$C$9, $D$9, 100%, $F$9) + CHOOSE(CONTROL!$C$27, 0.0021, 0)</f>
        <v>56.360500000000002</v>
      </c>
      <c r="E627" s="10">
        <f>56.2218 * CHOOSE(CONTROL!$C$9, $D$9, 100%, $F$9) + CHOOSE(CONTROL!$C$27, 0.0021, 0)</f>
        <v>56.2239</v>
      </c>
      <c r="F627" s="10">
        <f>56.2218 * CHOOSE(CONTROL!$C$9, $D$9, 100%, $F$9) + CHOOSE(CONTROL!$C$27, 0.0021, 0)</f>
        <v>56.2239</v>
      </c>
      <c r="G627" s="10">
        <f>56.4932 * CHOOSE(CONTROL!$C$9, $D$9, 100%, $F$9) + CHOOSE(CONTROL!$C$27, 0.0021, 0)</f>
        <v>56.4953</v>
      </c>
      <c r="H627" s="10">
        <f>56.3584 * CHOOSE(CONTROL!$C$9, $D$9, 100%, $F$9) + CHOOSE(CONTROL!$C$27, 0.0021, 0)</f>
        <v>56.360500000000002</v>
      </c>
      <c r="I627" s="10">
        <f>56.3584 * CHOOSE(CONTROL!$C$9, $D$9, 100%, $F$9) + CHOOSE(CONTROL!$C$27, 0.0021, 0)</f>
        <v>56.360500000000002</v>
      </c>
      <c r="J627" s="10">
        <f>56.3584 * CHOOSE(CONTROL!$C$9, $D$9, 100%, $F$9) + CHOOSE(CONTROL!$C$27, 0.0021, 0)</f>
        <v>56.360500000000002</v>
      </c>
      <c r="K627" s="10">
        <f>56.3584 * CHOOSE(CONTROL!$C$9, $D$9, 100%, $F$9) + CHOOSE(CONTROL!$C$27, 0.0021, 0)</f>
        <v>56.360500000000002</v>
      </c>
      <c r="L627" s="10"/>
    </row>
    <row r="628" spans="1:12" ht="15.75" x14ac:dyDescent="0.25">
      <c r="A628" s="13">
        <v>60418</v>
      </c>
      <c r="B628" s="10">
        <f>57.9352 * CHOOSE(CONTROL!$C$9, $D$9, 100%, $F$9) + CHOOSE(CONTROL!$C$27, 0.0021, 0)</f>
        <v>57.9373</v>
      </c>
      <c r="C628" s="10">
        <f>57.5029 * CHOOSE(CONTROL!$C$9, $D$9, 100%, $F$9) + CHOOSE(CONTROL!$C$27, 0.0021, 0)</f>
        <v>57.504999999999995</v>
      </c>
      <c r="D628" s="10">
        <f>57.5029 * CHOOSE(CONTROL!$C$9, $D$9, 100%, $F$9) + CHOOSE(CONTROL!$C$27, 0.0021, 0)</f>
        <v>57.504999999999995</v>
      </c>
      <c r="E628" s="10">
        <f>57.3663 * CHOOSE(CONTROL!$C$9, $D$9, 100%, $F$9) + CHOOSE(CONTROL!$C$27, 0.0021, 0)</f>
        <v>57.368400000000001</v>
      </c>
      <c r="F628" s="10">
        <f>57.3663 * CHOOSE(CONTROL!$C$9, $D$9, 100%, $F$9) + CHOOSE(CONTROL!$C$27, 0.0021, 0)</f>
        <v>57.368400000000001</v>
      </c>
      <c r="G628" s="10">
        <f>57.6376 * CHOOSE(CONTROL!$C$9, $D$9, 100%, $F$9) + CHOOSE(CONTROL!$C$27, 0.0021, 0)</f>
        <v>57.639699999999998</v>
      </c>
      <c r="H628" s="10">
        <f>57.5029 * CHOOSE(CONTROL!$C$9, $D$9, 100%, $F$9) + CHOOSE(CONTROL!$C$27, 0.0021, 0)</f>
        <v>57.504999999999995</v>
      </c>
      <c r="I628" s="10">
        <f>57.5029 * CHOOSE(CONTROL!$C$9, $D$9, 100%, $F$9) + CHOOSE(CONTROL!$C$27, 0.0021, 0)</f>
        <v>57.504999999999995</v>
      </c>
      <c r="J628" s="10">
        <f>57.5029 * CHOOSE(CONTROL!$C$9, $D$9, 100%, $F$9) + CHOOSE(CONTROL!$C$27, 0.0021, 0)</f>
        <v>57.504999999999995</v>
      </c>
      <c r="K628" s="10">
        <f>57.5029 * CHOOSE(CONTROL!$C$9, $D$9, 100%, $F$9) + CHOOSE(CONTROL!$C$27, 0.0021, 0)</f>
        <v>57.504999999999995</v>
      </c>
      <c r="L628" s="10"/>
    </row>
    <row r="629" spans="1:12" ht="15.75" x14ac:dyDescent="0.25">
      <c r="A629" s="13">
        <v>60448</v>
      </c>
      <c r="B629" s="10">
        <f>58.6207 * CHOOSE(CONTROL!$C$9, $D$9, 100%, $F$9) + CHOOSE(CONTROL!$C$27, 0.0021, 0)</f>
        <v>58.622799999999998</v>
      </c>
      <c r="C629" s="10">
        <f>58.1884 * CHOOSE(CONTROL!$C$9, $D$9, 100%, $F$9) + CHOOSE(CONTROL!$C$27, 0.0021, 0)</f>
        <v>58.1905</v>
      </c>
      <c r="D629" s="10">
        <f>58.1884 * CHOOSE(CONTROL!$C$9, $D$9, 100%, $F$9) + CHOOSE(CONTROL!$C$27, 0.0021, 0)</f>
        <v>58.1905</v>
      </c>
      <c r="E629" s="10">
        <f>58.0518 * CHOOSE(CONTROL!$C$9, $D$9, 100%, $F$9) + CHOOSE(CONTROL!$C$27, 0.0021, 0)</f>
        <v>58.053899999999999</v>
      </c>
      <c r="F629" s="10">
        <f>58.0518 * CHOOSE(CONTROL!$C$9, $D$9, 100%, $F$9) + CHOOSE(CONTROL!$C$27, 0.0021, 0)</f>
        <v>58.053899999999999</v>
      </c>
      <c r="G629" s="10">
        <f>58.3232 * CHOOSE(CONTROL!$C$9, $D$9, 100%, $F$9) + CHOOSE(CONTROL!$C$27, 0.0021, 0)</f>
        <v>58.325299999999999</v>
      </c>
      <c r="H629" s="10">
        <f>58.1884 * CHOOSE(CONTROL!$C$9, $D$9, 100%, $F$9) + CHOOSE(CONTROL!$C$27, 0.0021, 0)</f>
        <v>58.1905</v>
      </c>
      <c r="I629" s="10">
        <f>58.1884 * CHOOSE(CONTROL!$C$9, $D$9, 100%, $F$9) + CHOOSE(CONTROL!$C$27, 0.0021, 0)</f>
        <v>58.1905</v>
      </c>
      <c r="J629" s="10">
        <f>58.1884 * CHOOSE(CONTROL!$C$9, $D$9, 100%, $F$9) + CHOOSE(CONTROL!$C$27, 0.0021, 0)</f>
        <v>58.1905</v>
      </c>
      <c r="K629" s="10">
        <f>58.1884 * CHOOSE(CONTROL!$C$9, $D$9, 100%, $F$9) + CHOOSE(CONTROL!$C$27, 0.0021, 0)</f>
        <v>58.1905</v>
      </c>
      <c r="L629" s="10"/>
    </row>
    <row r="630" spans="1:12" ht="15.75" x14ac:dyDescent="0.25">
      <c r="A630" s="13">
        <v>60479</v>
      </c>
      <c r="B630" s="10">
        <f>59.7515 * CHOOSE(CONTROL!$C$9, $D$9, 100%, $F$9) + CHOOSE(CONTROL!$C$27, 0.0021, 0)</f>
        <v>59.753599999999999</v>
      </c>
      <c r="C630" s="10">
        <f>59.3193 * CHOOSE(CONTROL!$C$9, $D$9, 100%, $F$9) + CHOOSE(CONTROL!$C$27, 0.0021, 0)</f>
        <v>59.321399999999997</v>
      </c>
      <c r="D630" s="10">
        <f>59.3193 * CHOOSE(CONTROL!$C$9, $D$9, 100%, $F$9) + CHOOSE(CONTROL!$C$27, 0.0021, 0)</f>
        <v>59.321399999999997</v>
      </c>
      <c r="E630" s="10">
        <f>59.1826 * CHOOSE(CONTROL!$C$9, $D$9, 100%, $F$9) + CHOOSE(CONTROL!$C$27, 0.0021, 0)</f>
        <v>59.184699999999999</v>
      </c>
      <c r="F630" s="10">
        <f>59.1826 * CHOOSE(CONTROL!$C$9, $D$9, 100%, $F$9) + CHOOSE(CONTROL!$C$27, 0.0021, 0)</f>
        <v>59.184699999999999</v>
      </c>
      <c r="G630" s="10">
        <f>59.454 * CHOOSE(CONTROL!$C$9, $D$9, 100%, $F$9) + CHOOSE(CONTROL!$C$27, 0.0021, 0)</f>
        <v>59.456099999999999</v>
      </c>
      <c r="H630" s="10">
        <f>59.3193 * CHOOSE(CONTROL!$C$9, $D$9, 100%, $F$9) + CHOOSE(CONTROL!$C$27, 0.0021, 0)</f>
        <v>59.321399999999997</v>
      </c>
      <c r="I630" s="10">
        <f>59.3193 * CHOOSE(CONTROL!$C$9, $D$9, 100%, $F$9) + CHOOSE(CONTROL!$C$27, 0.0021, 0)</f>
        <v>59.321399999999997</v>
      </c>
      <c r="J630" s="10">
        <f>59.3193 * CHOOSE(CONTROL!$C$9, $D$9, 100%, $F$9) + CHOOSE(CONTROL!$C$27, 0.0021, 0)</f>
        <v>59.321399999999997</v>
      </c>
      <c r="K630" s="10">
        <f>59.3193 * CHOOSE(CONTROL!$C$9, $D$9, 100%, $F$9) + CHOOSE(CONTROL!$C$27, 0.0021, 0)</f>
        <v>59.321399999999997</v>
      </c>
      <c r="L630" s="10"/>
    </row>
    <row r="631" spans="1:12" ht="15.75" x14ac:dyDescent="0.25">
      <c r="A631" s="13">
        <v>60510</v>
      </c>
      <c r="B631" s="10">
        <f>60.0967 * CHOOSE(CONTROL!$C$9, $D$9, 100%, $F$9) + CHOOSE(CONTROL!$C$27, 0.0021, 0)</f>
        <v>60.098799999999997</v>
      </c>
      <c r="C631" s="10">
        <f>59.6644 * CHOOSE(CONTROL!$C$9, $D$9, 100%, $F$9) + CHOOSE(CONTROL!$C$27, 0.0021, 0)</f>
        <v>59.666499999999999</v>
      </c>
      <c r="D631" s="10">
        <f>59.6644 * CHOOSE(CONTROL!$C$9, $D$9, 100%, $F$9) + CHOOSE(CONTROL!$C$27, 0.0021, 0)</f>
        <v>59.666499999999999</v>
      </c>
      <c r="E631" s="10">
        <f>59.5278 * CHOOSE(CONTROL!$C$9, $D$9, 100%, $F$9) + CHOOSE(CONTROL!$C$27, 0.0021, 0)</f>
        <v>59.529899999999998</v>
      </c>
      <c r="F631" s="10">
        <f>59.5278 * CHOOSE(CONTROL!$C$9, $D$9, 100%, $F$9) + CHOOSE(CONTROL!$C$27, 0.0021, 0)</f>
        <v>59.529899999999998</v>
      </c>
      <c r="G631" s="10">
        <f>59.7991 * CHOOSE(CONTROL!$C$9, $D$9, 100%, $F$9) + CHOOSE(CONTROL!$C$27, 0.0021, 0)</f>
        <v>59.801200000000001</v>
      </c>
      <c r="H631" s="10">
        <f>59.6644 * CHOOSE(CONTROL!$C$9, $D$9, 100%, $F$9) + CHOOSE(CONTROL!$C$27, 0.0021, 0)</f>
        <v>59.666499999999999</v>
      </c>
      <c r="I631" s="10">
        <f>59.6644 * CHOOSE(CONTROL!$C$9, $D$9, 100%, $F$9) + CHOOSE(CONTROL!$C$27, 0.0021, 0)</f>
        <v>59.666499999999999</v>
      </c>
      <c r="J631" s="10">
        <f>59.6644 * CHOOSE(CONTROL!$C$9, $D$9, 100%, $F$9) + CHOOSE(CONTROL!$C$27, 0.0021, 0)</f>
        <v>59.666499999999999</v>
      </c>
      <c r="K631" s="10">
        <f>59.6644 * CHOOSE(CONTROL!$C$9, $D$9, 100%, $F$9) + CHOOSE(CONTROL!$C$27, 0.0021, 0)</f>
        <v>59.666499999999999</v>
      </c>
      <c r="L631" s="10"/>
    </row>
    <row r="632" spans="1:12" ht="15.75" x14ac:dyDescent="0.25">
      <c r="A632" s="13">
        <v>60540</v>
      </c>
      <c r="B632" s="10">
        <f>61.2721 * CHOOSE(CONTROL!$C$9, $D$9, 100%, $F$9) + CHOOSE(CONTROL!$C$27, 0.0021, 0)</f>
        <v>61.2742</v>
      </c>
      <c r="C632" s="10">
        <f>60.8399 * CHOOSE(CONTROL!$C$9, $D$9, 100%, $F$9) + CHOOSE(CONTROL!$C$27, 0.0021, 0)</f>
        <v>60.841999999999999</v>
      </c>
      <c r="D632" s="10">
        <f>60.8399 * CHOOSE(CONTROL!$C$9, $D$9, 100%, $F$9) + CHOOSE(CONTROL!$C$27, 0.0021, 0)</f>
        <v>60.841999999999999</v>
      </c>
      <c r="E632" s="10">
        <f>60.7032 * CHOOSE(CONTROL!$C$9, $D$9, 100%, $F$9) + CHOOSE(CONTROL!$C$27, 0.0021, 0)</f>
        <v>60.705300000000001</v>
      </c>
      <c r="F632" s="10">
        <f>60.7032 * CHOOSE(CONTROL!$C$9, $D$9, 100%, $F$9) + CHOOSE(CONTROL!$C$27, 0.0021, 0)</f>
        <v>60.705300000000001</v>
      </c>
      <c r="G632" s="10">
        <f>60.9746 * CHOOSE(CONTROL!$C$9, $D$9, 100%, $F$9) + CHOOSE(CONTROL!$C$27, 0.0021, 0)</f>
        <v>60.976700000000001</v>
      </c>
      <c r="H632" s="10">
        <f>60.8399 * CHOOSE(CONTROL!$C$9, $D$9, 100%, $F$9) + CHOOSE(CONTROL!$C$27, 0.0021, 0)</f>
        <v>60.841999999999999</v>
      </c>
      <c r="I632" s="10">
        <f>60.8399 * CHOOSE(CONTROL!$C$9, $D$9, 100%, $F$9) + CHOOSE(CONTROL!$C$27, 0.0021, 0)</f>
        <v>60.841999999999999</v>
      </c>
      <c r="J632" s="10">
        <f>60.8399 * CHOOSE(CONTROL!$C$9, $D$9, 100%, $F$9) + CHOOSE(CONTROL!$C$27, 0.0021, 0)</f>
        <v>60.841999999999999</v>
      </c>
      <c r="K632" s="10">
        <f>60.8399 * CHOOSE(CONTROL!$C$9, $D$9, 100%, $F$9) + CHOOSE(CONTROL!$C$27, 0.0021, 0)</f>
        <v>60.841999999999999</v>
      </c>
      <c r="L632" s="10"/>
    </row>
    <row r="633" spans="1:12" ht="15.75" x14ac:dyDescent="0.25">
      <c r="A633" s="13">
        <v>60571</v>
      </c>
      <c r="B633" s="10">
        <f>62.76 * CHOOSE(CONTROL!$C$9, $D$9, 100%, $F$9) + CHOOSE(CONTROL!$C$27, 0.0021, 0)</f>
        <v>62.762099999999997</v>
      </c>
      <c r="C633" s="10">
        <f>62.3278 * CHOOSE(CONTROL!$C$9, $D$9, 100%, $F$9) + CHOOSE(CONTROL!$C$27, 0.0021, 0)</f>
        <v>62.329900000000002</v>
      </c>
      <c r="D633" s="10">
        <f>62.3278 * CHOOSE(CONTROL!$C$9, $D$9, 100%, $F$9) + CHOOSE(CONTROL!$C$27, 0.0021, 0)</f>
        <v>62.329900000000002</v>
      </c>
      <c r="E633" s="10">
        <f>62.1911 * CHOOSE(CONTROL!$C$9, $D$9, 100%, $F$9) + CHOOSE(CONTROL!$C$27, 0.0021, 0)</f>
        <v>62.193199999999997</v>
      </c>
      <c r="F633" s="10">
        <f>62.1911 * CHOOSE(CONTROL!$C$9, $D$9, 100%, $F$9) + CHOOSE(CONTROL!$C$27, 0.0021, 0)</f>
        <v>62.193199999999997</v>
      </c>
      <c r="G633" s="10">
        <f>62.4625 * CHOOSE(CONTROL!$C$9, $D$9, 100%, $F$9) + CHOOSE(CONTROL!$C$27, 0.0021, 0)</f>
        <v>62.464599999999997</v>
      </c>
      <c r="H633" s="10">
        <f>62.3278 * CHOOSE(CONTROL!$C$9, $D$9, 100%, $F$9) + CHOOSE(CONTROL!$C$27, 0.0021, 0)</f>
        <v>62.329900000000002</v>
      </c>
      <c r="I633" s="10">
        <f>62.3278 * CHOOSE(CONTROL!$C$9, $D$9, 100%, $F$9) + CHOOSE(CONTROL!$C$27, 0.0021, 0)</f>
        <v>62.329900000000002</v>
      </c>
      <c r="J633" s="10">
        <f>62.3278 * CHOOSE(CONTROL!$C$9, $D$9, 100%, $F$9) + CHOOSE(CONTROL!$C$27, 0.0021, 0)</f>
        <v>62.329900000000002</v>
      </c>
      <c r="K633" s="10">
        <f>62.3278 * CHOOSE(CONTROL!$C$9, $D$9, 100%, $F$9) + CHOOSE(CONTROL!$C$27, 0.0021, 0)</f>
        <v>62.329900000000002</v>
      </c>
      <c r="L633" s="10"/>
    </row>
    <row r="634" spans="1:12" ht="15.75" x14ac:dyDescent="0.25">
      <c r="A634" s="13">
        <v>60601</v>
      </c>
      <c r="B634" s="10">
        <f>62.8997 * CHOOSE(CONTROL!$C$9, $D$9, 100%, $F$9) + CHOOSE(CONTROL!$C$27, 0.0021, 0)</f>
        <v>62.901800000000001</v>
      </c>
      <c r="C634" s="10">
        <f>62.4675 * CHOOSE(CONTROL!$C$9, $D$9, 100%, $F$9) + CHOOSE(CONTROL!$C$27, 0.0021, 0)</f>
        <v>62.4696</v>
      </c>
      <c r="D634" s="10">
        <f>62.4675 * CHOOSE(CONTROL!$C$9, $D$9, 100%, $F$9) + CHOOSE(CONTROL!$C$27, 0.0021, 0)</f>
        <v>62.4696</v>
      </c>
      <c r="E634" s="10">
        <f>62.3308 * CHOOSE(CONTROL!$C$9, $D$9, 100%, $F$9) + CHOOSE(CONTROL!$C$27, 0.0021, 0)</f>
        <v>62.332900000000002</v>
      </c>
      <c r="F634" s="10">
        <f>62.3308 * CHOOSE(CONTROL!$C$9, $D$9, 100%, $F$9) + CHOOSE(CONTROL!$C$27, 0.0021, 0)</f>
        <v>62.332900000000002</v>
      </c>
      <c r="G634" s="10">
        <f>62.6022 * CHOOSE(CONTROL!$C$9, $D$9, 100%, $F$9) + CHOOSE(CONTROL!$C$27, 0.0021, 0)</f>
        <v>62.604300000000002</v>
      </c>
      <c r="H634" s="10">
        <f>62.4675 * CHOOSE(CONTROL!$C$9, $D$9, 100%, $F$9) + CHOOSE(CONTROL!$C$27, 0.0021, 0)</f>
        <v>62.4696</v>
      </c>
      <c r="I634" s="10">
        <f>62.4675 * CHOOSE(CONTROL!$C$9, $D$9, 100%, $F$9) + CHOOSE(CONTROL!$C$27, 0.0021, 0)</f>
        <v>62.4696</v>
      </c>
      <c r="J634" s="10">
        <f>62.4675 * CHOOSE(CONTROL!$C$9, $D$9, 100%, $F$9) + CHOOSE(CONTROL!$C$27, 0.0021, 0)</f>
        <v>62.4696</v>
      </c>
      <c r="K634" s="10">
        <f>62.4675 * CHOOSE(CONTROL!$C$9, $D$9, 100%, $F$9) + CHOOSE(CONTROL!$C$27, 0.0021, 0)</f>
        <v>62.4696</v>
      </c>
      <c r="L634" s="10"/>
    </row>
    <row r="635" spans="1:12" ht="15.75" x14ac:dyDescent="0.25">
      <c r="A635" s="13">
        <v>60632</v>
      </c>
      <c r="B635" s="10">
        <f>61.7114 * CHOOSE(CONTROL!$C$9, $D$9, 100%, $F$9) + CHOOSE(CONTROL!$C$27, 0.0021, 0)</f>
        <v>61.713499999999996</v>
      </c>
      <c r="C635" s="10">
        <f>61.2791 * CHOOSE(CONTROL!$C$9, $D$9, 100%, $F$9) + CHOOSE(CONTROL!$C$27, 0.0021, 0)</f>
        <v>61.281199999999998</v>
      </c>
      <c r="D635" s="10">
        <f>61.2791 * CHOOSE(CONTROL!$C$9, $D$9, 100%, $F$9) + CHOOSE(CONTROL!$C$27, 0.0021, 0)</f>
        <v>61.281199999999998</v>
      </c>
      <c r="E635" s="10">
        <f>61.1424 * CHOOSE(CONTROL!$C$9, $D$9, 100%, $F$9) + CHOOSE(CONTROL!$C$27, 0.0021, 0)</f>
        <v>61.144500000000001</v>
      </c>
      <c r="F635" s="10">
        <f>61.1424 * CHOOSE(CONTROL!$C$9, $D$9, 100%, $F$9) + CHOOSE(CONTROL!$C$27, 0.0021, 0)</f>
        <v>61.144500000000001</v>
      </c>
      <c r="G635" s="10">
        <f>61.4138 * CHOOSE(CONTROL!$C$9, $D$9, 100%, $F$9) + CHOOSE(CONTROL!$C$27, 0.0021, 0)</f>
        <v>61.415900000000001</v>
      </c>
      <c r="H635" s="10">
        <f>61.2791 * CHOOSE(CONTROL!$C$9, $D$9, 100%, $F$9) + CHOOSE(CONTROL!$C$27, 0.0021, 0)</f>
        <v>61.281199999999998</v>
      </c>
      <c r="I635" s="10">
        <f>61.2791 * CHOOSE(CONTROL!$C$9, $D$9, 100%, $F$9) + CHOOSE(CONTROL!$C$27, 0.0021, 0)</f>
        <v>61.281199999999998</v>
      </c>
      <c r="J635" s="10">
        <f>61.2791 * CHOOSE(CONTROL!$C$9, $D$9, 100%, $F$9) + CHOOSE(CONTROL!$C$27, 0.0021, 0)</f>
        <v>61.281199999999998</v>
      </c>
      <c r="K635" s="10">
        <f>61.2791 * CHOOSE(CONTROL!$C$9, $D$9, 100%, $F$9) + CHOOSE(CONTROL!$C$27, 0.0021, 0)</f>
        <v>61.281199999999998</v>
      </c>
      <c r="L635" s="10"/>
    </row>
    <row r="636" spans="1:12" ht="15.75" x14ac:dyDescent="0.25">
      <c r="A636" s="13">
        <v>60663</v>
      </c>
      <c r="B636" s="10">
        <f>60.8015 * CHOOSE(CONTROL!$C$9, $D$9, 100%, $F$9) + CHOOSE(CONTROL!$C$27, 0.0021, 0)</f>
        <v>60.803599999999996</v>
      </c>
      <c r="C636" s="10">
        <f>60.3693 * CHOOSE(CONTROL!$C$9, $D$9, 100%, $F$9) + CHOOSE(CONTROL!$C$27, 0.0021, 0)</f>
        <v>60.371400000000001</v>
      </c>
      <c r="D636" s="10">
        <f>60.3693 * CHOOSE(CONTROL!$C$9, $D$9, 100%, $F$9) + CHOOSE(CONTROL!$C$27, 0.0021, 0)</f>
        <v>60.371400000000001</v>
      </c>
      <c r="E636" s="10">
        <f>60.2326 * CHOOSE(CONTROL!$C$9, $D$9, 100%, $F$9) + CHOOSE(CONTROL!$C$27, 0.0021, 0)</f>
        <v>60.234699999999997</v>
      </c>
      <c r="F636" s="10">
        <f>60.2326 * CHOOSE(CONTROL!$C$9, $D$9, 100%, $F$9) + CHOOSE(CONTROL!$C$27, 0.0021, 0)</f>
        <v>60.234699999999997</v>
      </c>
      <c r="G636" s="10">
        <f>60.504 * CHOOSE(CONTROL!$C$9, $D$9, 100%, $F$9) + CHOOSE(CONTROL!$C$27, 0.0021, 0)</f>
        <v>60.506099999999996</v>
      </c>
      <c r="H636" s="10">
        <f>60.3693 * CHOOSE(CONTROL!$C$9, $D$9, 100%, $F$9) + CHOOSE(CONTROL!$C$27, 0.0021, 0)</f>
        <v>60.371400000000001</v>
      </c>
      <c r="I636" s="10">
        <f>60.3693 * CHOOSE(CONTROL!$C$9, $D$9, 100%, $F$9) + CHOOSE(CONTROL!$C$27, 0.0021, 0)</f>
        <v>60.371400000000001</v>
      </c>
      <c r="J636" s="10">
        <f>60.3693 * CHOOSE(CONTROL!$C$9, $D$9, 100%, $F$9) + CHOOSE(CONTROL!$C$27, 0.0021, 0)</f>
        <v>60.371400000000001</v>
      </c>
      <c r="K636" s="10">
        <f>60.3693 * CHOOSE(CONTROL!$C$9, $D$9, 100%, $F$9) + CHOOSE(CONTROL!$C$27, 0.0021, 0)</f>
        <v>60.371400000000001</v>
      </c>
      <c r="L636" s="10"/>
    </row>
    <row r="637" spans="1:12" ht="15.75" x14ac:dyDescent="0.25">
      <c r="A637" s="13">
        <v>60691</v>
      </c>
      <c r="B637" s="10">
        <f>59.1465 * CHOOSE(CONTROL!$C$9, $D$9, 100%, $F$9) + CHOOSE(CONTROL!$C$27, 0.0021, 0)</f>
        <v>59.148600000000002</v>
      </c>
      <c r="C637" s="10">
        <f>58.7143 * CHOOSE(CONTROL!$C$9, $D$9, 100%, $F$9) + CHOOSE(CONTROL!$C$27, 0.0021, 0)</f>
        <v>58.7164</v>
      </c>
      <c r="D637" s="10">
        <f>58.7143 * CHOOSE(CONTROL!$C$9, $D$9, 100%, $F$9) + CHOOSE(CONTROL!$C$27, 0.0021, 0)</f>
        <v>58.7164</v>
      </c>
      <c r="E637" s="10">
        <f>58.5776 * CHOOSE(CONTROL!$C$9, $D$9, 100%, $F$9) + CHOOSE(CONTROL!$C$27, 0.0021, 0)</f>
        <v>58.579699999999995</v>
      </c>
      <c r="F637" s="10">
        <f>58.5776 * CHOOSE(CONTROL!$C$9, $D$9, 100%, $F$9) + CHOOSE(CONTROL!$C$27, 0.0021, 0)</f>
        <v>58.579699999999995</v>
      </c>
      <c r="G637" s="10">
        <f>58.849 * CHOOSE(CONTROL!$C$9, $D$9, 100%, $F$9) + CHOOSE(CONTROL!$C$27, 0.0021, 0)</f>
        <v>58.851099999999995</v>
      </c>
      <c r="H637" s="10">
        <f>58.7143 * CHOOSE(CONTROL!$C$9, $D$9, 100%, $F$9) + CHOOSE(CONTROL!$C$27, 0.0021, 0)</f>
        <v>58.7164</v>
      </c>
      <c r="I637" s="10">
        <f>58.7143 * CHOOSE(CONTROL!$C$9, $D$9, 100%, $F$9) + CHOOSE(CONTROL!$C$27, 0.0021, 0)</f>
        <v>58.7164</v>
      </c>
      <c r="J637" s="10">
        <f>58.7143 * CHOOSE(CONTROL!$C$9, $D$9, 100%, $F$9) + CHOOSE(CONTROL!$C$27, 0.0021, 0)</f>
        <v>58.7164</v>
      </c>
      <c r="K637" s="10">
        <f>58.7143 * CHOOSE(CONTROL!$C$9, $D$9, 100%, $F$9) + CHOOSE(CONTROL!$C$27, 0.0021, 0)</f>
        <v>58.7164</v>
      </c>
      <c r="L637" s="10"/>
    </row>
    <row r="638" spans="1:12" ht="15.75" x14ac:dyDescent="0.25">
      <c r="A638" s="13">
        <v>60722</v>
      </c>
      <c r="B638" s="10">
        <f>58.4634 * CHOOSE(CONTROL!$C$9, $D$9, 100%, $F$9) + CHOOSE(CONTROL!$C$27, 0.0021, 0)</f>
        <v>58.465499999999999</v>
      </c>
      <c r="C638" s="10">
        <f>58.0311 * CHOOSE(CONTROL!$C$9, $D$9, 100%, $F$9) + CHOOSE(CONTROL!$C$27, 0.0021, 0)</f>
        <v>58.033200000000001</v>
      </c>
      <c r="D638" s="10">
        <f>58.0311 * CHOOSE(CONTROL!$C$9, $D$9, 100%, $F$9) + CHOOSE(CONTROL!$C$27, 0.0021, 0)</f>
        <v>58.033200000000001</v>
      </c>
      <c r="E638" s="10">
        <f>57.8945 * CHOOSE(CONTROL!$C$9, $D$9, 100%, $F$9) + CHOOSE(CONTROL!$C$27, 0.0021, 0)</f>
        <v>57.896599999999999</v>
      </c>
      <c r="F638" s="10">
        <f>57.8945 * CHOOSE(CONTROL!$C$9, $D$9, 100%, $F$9) + CHOOSE(CONTROL!$C$27, 0.0021, 0)</f>
        <v>57.896599999999999</v>
      </c>
      <c r="G638" s="10">
        <f>58.1659 * CHOOSE(CONTROL!$C$9, $D$9, 100%, $F$9) + CHOOSE(CONTROL!$C$27, 0.0021, 0)</f>
        <v>58.167999999999999</v>
      </c>
      <c r="H638" s="10">
        <f>58.0311 * CHOOSE(CONTROL!$C$9, $D$9, 100%, $F$9) + CHOOSE(CONTROL!$C$27, 0.0021, 0)</f>
        <v>58.033200000000001</v>
      </c>
      <c r="I638" s="10">
        <f>58.0311 * CHOOSE(CONTROL!$C$9, $D$9, 100%, $F$9) + CHOOSE(CONTROL!$C$27, 0.0021, 0)</f>
        <v>58.033200000000001</v>
      </c>
      <c r="J638" s="10">
        <f>58.0311 * CHOOSE(CONTROL!$C$9, $D$9, 100%, $F$9) + CHOOSE(CONTROL!$C$27, 0.0021, 0)</f>
        <v>58.033200000000001</v>
      </c>
      <c r="K638" s="10">
        <f>58.0311 * CHOOSE(CONTROL!$C$9, $D$9, 100%, $F$9) + CHOOSE(CONTROL!$C$27, 0.0021, 0)</f>
        <v>58.033200000000001</v>
      </c>
      <c r="L638" s="10"/>
    </row>
    <row r="639" spans="1:12" ht="15.75" x14ac:dyDescent="0.25">
      <c r="A639" s="13">
        <v>60752</v>
      </c>
      <c r="B639" s="10">
        <f>57.6477 * CHOOSE(CONTROL!$C$9, $D$9, 100%, $F$9) + CHOOSE(CONTROL!$C$27, 0.0021, 0)</f>
        <v>57.649799999999999</v>
      </c>
      <c r="C639" s="10">
        <f>57.2154 * CHOOSE(CONTROL!$C$9, $D$9, 100%, $F$9) + CHOOSE(CONTROL!$C$27, 0.0021, 0)</f>
        <v>57.217500000000001</v>
      </c>
      <c r="D639" s="10">
        <f>57.2154 * CHOOSE(CONTROL!$C$9, $D$9, 100%, $F$9) + CHOOSE(CONTROL!$C$27, 0.0021, 0)</f>
        <v>57.217500000000001</v>
      </c>
      <c r="E639" s="10">
        <f>57.0788 * CHOOSE(CONTROL!$C$9, $D$9, 100%, $F$9) + CHOOSE(CONTROL!$C$27, 0.0021, 0)</f>
        <v>57.0809</v>
      </c>
      <c r="F639" s="10">
        <f>57.0788 * CHOOSE(CONTROL!$C$9, $D$9, 100%, $F$9) + CHOOSE(CONTROL!$C$27, 0.0021, 0)</f>
        <v>57.0809</v>
      </c>
      <c r="G639" s="10">
        <f>57.3501 * CHOOSE(CONTROL!$C$9, $D$9, 100%, $F$9) + CHOOSE(CONTROL!$C$27, 0.0021, 0)</f>
        <v>57.352199999999996</v>
      </c>
      <c r="H639" s="10">
        <f>57.2154 * CHOOSE(CONTROL!$C$9, $D$9, 100%, $F$9) + CHOOSE(CONTROL!$C$27, 0.0021, 0)</f>
        <v>57.217500000000001</v>
      </c>
      <c r="I639" s="10">
        <f>57.2154 * CHOOSE(CONTROL!$C$9, $D$9, 100%, $F$9) + CHOOSE(CONTROL!$C$27, 0.0021, 0)</f>
        <v>57.217500000000001</v>
      </c>
      <c r="J639" s="10">
        <f>57.2154 * CHOOSE(CONTROL!$C$9, $D$9, 100%, $F$9) + CHOOSE(CONTROL!$C$27, 0.0021, 0)</f>
        <v>57.217500000000001</v>
      </c>
      <c r="K639" s="10">
        <f>57.2154 * CHOOSE(CONTROL!$C$9, $D$9, 100%, $F$9) + CHOOSE(CONTROL!$C$27, 0.0021, 0)</f>
        <v>57.217500000000001</v>
      </c>
      <c r="L639" s="10"/>
    </row>
    <row r="640" spans="1:12" ht="15.75" x14ac:dyDescent="0.25">
      <c r="A640" s="13">
        <v>60783</v>
      </c>
      <c r="B640" s="10">
        <f>58.8102 * CHOOSE(CONTROL!$C$9, $D$9, 100%, $F$9) + CHOOSE(CONTROL!$C$27, 0.0021, 0)</f>
        <v>58.8123</v>
      </c>
      <c r="C640" s="10">
        <f>58.3779 * CHOOSE(CONTROL!$C$9, $D$9, 100%, $F$9) + CHOOSE(CONTROL!$C$27, 0.0021, 0)</f>
        <v>58.379999999999995</v>
      </c>
      <c r="D640" s="10">
        <f>58.3779 * CHOOSE(CONTROL!$C$9, $D$9, 100%, $F$9) + CHOOSE(CONTROL!$C$27, 0.0021, 0)</f>
        <v>58.379999999999995</v>
      </c>
      <c r="E640" s="10">
        <f>58.2413 * CHOOSE(CONTROL!$C$9, $D$9, 100%, $F$9) + CHOOSE(CONTROL!$C$27, 0.0021, 0)</f>
        <v>58.243400000000001</v>
      </c>
      <c r="F640" s="10">
        <f>58.2413 * CHOOSE(CONTROL!$C$9, $D$9, 100%, $F$9) + CHOOSE(CONTROL!$C$27, 0.0021, 0)</f>
        <v>58.243400000000001</v>
      </c>
      <c r="G640" s="10">
        <f>58.5126 * CHOOSE(CONTROL!$C$9, $D$9, 100%, $F$9) + CHOOSE(CONTROL!$C$27, 0.0021, 0)</f>
        <v>58.514699999999998</v>
      </c>
      <c r="H640" s="10">
        <f>58.3779 * CHOOSE(CONTROL!$C$9, $D$9, 100%, $F$9) + CHOOSE(CONTROL!$C$27, 0.0021, 0)</f>
        <v>58.379999999999995</v>
      </c>
      <c r="I640" s="10">
        <f>58.3779 * CHOOSE(CONTROL!$C$9, $D$9, 100%, $F$9) + CHOOSE(CONTROL!$C$27, 0.0021, 0)</f>
        <v>58.379999999999995</v>
      </c>
      <c r="J640" s="10">
        <f>58.3779 * CHOOSE(CONTROL!$C$9, $D$9, 100%, $F$9) + CHOOSE(CONTROL!$C$27, 0.0021, 0)</f>
        <v>58.379999999999995</v>
      </c>
      <c r="K640" s="10">
        <f>58.3779 * CHOOSE(CONTROL!$C$9, $D$9, 100%, $F$9) + CHOOSE(CONTROL!$C$27, 0.0021, 0)</f>
        <v>58.379999999999995</v>
      </c>
      <c r="L640" s="10"/>
    </row>
    <row r="641" spans="1:12" ht="15.75" x14ac:dyDescent="0.25">
      <c r="A641" s="13">
        <v>60813</v>
      </c>
      <c r="B641" s="10">
        <f>59.5064 * CHOOSE(CONTROL!$C$9, $D$9, 100%, $F$9) + CHOOSE(CONTROL!$C$27, 0.0021, 0)</f>
        <v>59.508499999999998</v>
      </c>
      <c r="C641" s="10">
        <f>59.0742 * CHOOSE(CONTROL!$C$9, $D$9, 100%, $F$9) + CHOOSE(CONTROL!$C$27, 0.0021, 0)</f>
        <v>59.076299999999996</v>
      </c>
      <c r="D641" s="10">
        <f>59.0742 * CHOOSE(CONTROL!$C$9, $D$9, 100%, $F$9) + CHOOSE(CONTROL!$C$27, 0.0021, 0)</f>
        <v>59.076299999999996</v>
      </c>
      <c r="E641" s="10">
        <f>58.9375 * CHOOSE(CONTROL!$C$9, $D$9, 100%, $F$9) + CHOOSE(CONTROL!$C$27, 0.0021, 0)</f>
        <v>58.939599999999999</v>
      </c>
      <c r="F641" s="10">
        <f>58.9375 * CHOOSE(CONTROL!$C$9, $D$9, 100%, $F$9) + CHOOSE(CONTROL!$C$27, 0.0021, 0)</f>
        <v>58.939599999999999</v>
      </c>
      <c r="G641" s="10">
        <f>59.2089 * CHOOSE(CONTROL!$C$9, $D$9, 100%, $F$9) + CHOOSE(CONTROL!$C$27, 0.0021, 0)</f>
        <v>59.210999999999999</v>
      </c>
      <c r="H641" s="10">
        <f>59.0742 * CHOOSE(CONTROL!$C$9, $D$9, 100%, $F$9) + CHOOSE(CONTROL!$C$27, 0.0021, 0)</f>
        <v>59.076299999999996</v>
      </c>
      <c r="I641" s="10">
        <f>59.0742 * CHOOSE(CONTROL!$C$9, $D$9, 100%, $F$9) + CHOOSE(CONTROL!$C$27, 0.0021, 0)</f>
        <v>59.076299999999996</v>
      </c>
      <c r="J641" s="10">
        <f>59.0742 * CHOOSE(CONTROL!$C$9, $D$9, 100%, $F$9) + CHOOSE(CONTROL!$C$27, 0.0021, 0)</f>
        <v>59.076299999999996</v>
      </c>
      <c r="K641" s="10">
        <f>59.0742 * CHOOSE(CONTROL!$C$9, $D$9, 100%, $F$9) + CHOOSE(CONTROL!$C$27, 0.0021, 0)</f>
        <v>59.076299999999996</v>
      </c>
      <c r="L641" s="10"/>
    </row>
    <row r="642" spans="1:12" ht="15.75" x14ac:dyDescent="0.25">
      <c r="A642" s="13">
        <v>60844</v>
      </c>
      <c r="B642" s="10">
        <f>60.655 * CHOOSE(CONTROL!$C$9, $D$9, 100%, $F$9) + CHOOSE(CONTROL!$C$27, 0.0021, 0)</f>
        <v>60.6571</v>
      </c>
      <c r="C642" s="10">
        <f>60.2228 * CHOOSE(CONTROL!$C$9, $D$9, 100%, $F$9) + CHOOSE(CONTROL!$C$27, 0.0021, 0)</f>
        <v>60.224899999999998</v>
      </c>
      <c r="D642" s="10">
        <f>60.2228 * CHOOSE(CONTROL!$C$9, $D$9, 100%, $F$9) + CHOOSE(CONTROL!$C$27, 0.0021, 0)</f>
        <v>60.224899999999998</v>
      </c>
      <c r="E642" s="10">
        <f>60.0861 * CHOOSE(CONTROL!$C$9, $D$9, 100%, $F$9) + CHOOSE(CONTROL!$C$27, 0.0021, 0)</f>
        <v>60.088200000000001</v>
      </c>
      <c r="F642" s="10">
        <f>60.0861 * CHOOSE(CONTROL!$C$9, $D$9, 100%, $F$9) + CHOOSE(CONTROL!$C$27, 0.0021, 0)</f>
        <v>60.088200000000001</v>
      </c>
      <c r="G642" s="10">
        <f>60.3575 * CHOOSE(CONTROL!$C$9, $D$9, 100%, $F$9) + CHOOSE(CONTROL!$C$27, 0.0021, 0)</f>
        <v>60.3596</v>
      </c>
      <c r="H642" s="10">
        <f>60.2228 * CHOOSE(CONTROL!$C$9, $D$9, 100%, $F$9) + CHOOSE(CONTROL!$C$27, 0.0021, 0)</f>
        <v>60.224899999999998</v>
      </c>
      <c r="I642" s="10">
        <f>60.2228 * CHOOSE(CONTROL!$C$9, $D$9, 100%, $F$9) + CHOOSE(CONTROL!$C$27, 0.0021, 0)</f>
        <v>60.224899999999998</v>
      </c>
      <c r="J642" s="10">
        <f>60.2228 * CHOOSE(CONTROL!$C$9, $D$9, 100%, $F$9) + CHOOSE(CONTROL!$C$27, 0.0021, 0)</f>
        <v>60.224899999999998</v>
      </c>
      <c r="K642" s="10">
        <f>60.2228 * CHOOSE(CONTROL!$C$9, $D$9, 100%, $F$9) + CHOOSE(CONTROL!$C$27, 0.0021, 0)</f>
        <v>60.224899999999998</v>
      </c>
      <c r="L642" s="10"/>
    </row>
    <row r="643" spans="1:12" ht="15.75" x14ac:dyDescent="0.25">
      <c r="A643" s="13">
        <v>60875</v>
      </c>
      <c r="B643" s="10">
        <f>61.0056 * CHOOSE(CONTROL!$C$9, $D$9, 100%, $F$9) + CHOOSE(CONTROL!$C$27, 0.0021, 0)</f>
        <v>61.0077</v>
      </c>
      <c r="C643" s="10">
        <f>60.5734 * CHOOSE(CONTROL!$C$9, $D$9, 100%, $F$9) + CHOOSE(CONTROL!$C$27, 0.0021, 0)</f>
        <v>60.575499999999998</v>
      </c>
      <c r="D643" s="10">
        <f>60.5734 * CHOOSE(CONTROL!$C$9, $D$9, 100%, $F$9) + CHOOSE(CONTROL!$C$27, 0.0021, 0)</f>
        <v>60.575499999999998</v>
      </c>
      <c r="E643" s="10">
        <f>60.4367 * CHOOSE(CONTROL!$C$9, $D$9, 100%, $F$9) + CHOOSE(CONTROL!$C$27, 0.0021, 0)</f>
        <v>60.438800000000001</v>
      </c>
      <c r="F643" s="10">
        <f>60.4367 * CHOOSE(CONTROL!$C$9, $D$9, 100%, $F$9) + CHOOSE(CONTROL!$C$27, 0.0021, 0)</f>
        <v>60.438800000000001</v>
      </c>
      <c r="G643" s="10">
        <f>60.7081 * CHOOSE(CONTROL!$C$9, $D$9, 100%, $F$9) + CHOOSE(CONTROL!$C$27, 0.0021, 0)</f>
        <v>60.7102</v>
      </c>
      <c r="H643" s="10">
        <f>60.5734 * CHOOSE(CONTROL!$C$9, $D$9, 100%, $F$9) + CHOOSE(CONTROL!$C$27, 0.0021, 0)</f>
        <v>60.575499999999998</v>
      </c>
      <c r="I643" s="10">
        <f>60.5734 * CHOOSE(CONTROL!$C$9, $D$9, 100%, $F$9) + CHOOSE(CONTROL!$C$27, 0.0021, 0)</f>
        <v>60.575499999999998</v>
      </c>
      <c r="J643" s="10">
        <f>60.5734 * CHOOSE(CONTROL!$C$9, $D$9, 100%, $F$9) + CHOOSE(CONTROL!$C$27, 0.0021, 0)</f>
        <v>60.575499999999998</v>
      </c>
      <c r="K643" s="10">
        <f>60.5734 * CHOOSE(CONTROL!$C$9, $D$9, 100%, $F$9) + CHOOSE(CONTROL!$C$27, 0.0021, 0)</f>
        <v>60.575499999999998</v>
      </c>
      <c r="L643" s="10"/>
    </row>
    <row r="644" spans="1:12" ht="15.75" x14ac:dyDescent="0.25">
      <c r="A644" s="13">
        <v>60905</v>
      </c>
      <c r="B644" s="10">
        <f>62.1996 * CHOOSE(CONTROL!$C$9, $D$9, 100%, $F$9) + CHOOSE(CONTROL!$C$27, 0.0021, 0)</f>
        <v>62.201699999999995</v>
      </c>
      <c r="C644" s="10">
        <f>61.7673 * CHOOSE(CONTROL!$C$9, $D$9, 100%, $F$9) + CHOOSE(CONTROL!$C$27, 0.0021, 0)</f>
        <v>61.769399999999997</v>
      </c>
      <c r="D644" s="10">
        <f>61.7673 * CHOOSE(CONTROL!$C$9, $D$9, 100%, $F$9) + CHOOSE(CONTROL!$C$27, 0.0021, 0)</f>
        <v>61.769399999999997</v>
      </c>
      <c r="E644" s="10">
        <f>61.6307 * CHOOSE(CONTROL!$C$9, $D$9, 100%, $F$9) + CHOOSE(CONTROL!$C$27, 0.0021, 0)</f>
        <v>61.632799999999996</v>
      </c>
      <c r="F644" s="10">
        <f>61.6307 * CHOOSE(CONTROL!$C$9, $D$9, 100%, $F$9) + CHOOSE(CONTROL!$C$27, 0.0021, 0)</f>
        <v>61.632799999999996</v>
      </c>
      <c r="G644" s="10">
        <f>61.902 * CHOOSE(CONTROL!$C$9, $D$9, 100%, $F$9) + CHOOSE(CONTROL!$C$27, 0.0021, 0)</f>
        <v>61.9041</v>
      </c>
      <c r="H644" s="10">
        <f>61.7673 * CHOOSE(CONTROL!$C$9, $D$9, 100%, $F$9) + CHOOSE(CONTROL!$C$27, 0.0021, 0)</f>
        <v>61.769399999999997</v>
      </c>
      <c r="I644" s="10">
        <f>61.7673 * CHOOSE(CONTROL!$C$9, $D$9, 100%, $F$9) + CHOOSE(CONTROL!$C$27, 0.0021, 0)</f>
        <v>61.769399999999997</v>
      </c>
      <c r="J644" s="10">
        <f>61.7673 * CHOOSE(CONTROL!$C$9, $D$9, 100%, $F$9) + CHOOSE(CONTROL!$C$27, 0.0021, 0)</f>
        <v>61.769399999999997</v>
      </c>
      <c r="K644" s="10">
        <f>61.7673 * CHOOSE(CONTROL!$C$9, $D$9, 100%, $F$9) + CHOOSE(CONTROL!$C$27, 0.0021, 0)</f>
        <v>61.769399999999997</v>
      </c>
      <c r="L644" s="10"/>
    </row>
    <row r="645" spans="1:12" ht="15.75" x14ac:dyDescent="0.25">
      <c r="A645" s="13">
        <v>60936</v>
      </c>
      <c r="B645" s="10">
        <f>63.7109 * CHOOSE(CONTROL!$C$9, $D$9, 100%, $F$9) + CHOOSE(CONTROL!$C$27, 0.0021, 0)</f>
        <v>63.713000000000001</v>
      </c>
      <c r="C645" s="10">
        <f>63.2786 * CHOOSE(CONTROL!$C$9, $D$9, 100%, $F$9) + CHOOSE(CONTROL!$C$27, 0.0021, 0)</f>
        <v>63.280699999999996</v>
      </c>
      <c r="D645" s="10">
        <f>63.2786 * CHOOSE(CONTROL!$C$9, $D$9, 100%, $F$9) + CHOOSE(CONTROL!$C$27, 0.0021, 0)</f>
        <v>63.280699999999996</v>
      </c>
      <c r="E645" s="10">
        <f>63.142 * CHOOSE(CONTROL!$C$9, $D$9, 100%, $F$9) + CHOOSE(CONTROL!$C$27, 0.0021, 0)</f>
        <v>63.144100000000002</v>
      </c>
      <c r="F645" s="10">
        <f>63.142 * CHOOSE(CONTROL!$C$9, $D$9, 100%, $F$9) + CHOOSE(CONTROL!$C$27, 0.0021, 0)</f>
        <v>63.144100000000002</v>
      </c>
      <c r="G645" s="10">
        <f>63.4134 * CHOOSE(CONTROL!$C$9, $D$9, 100%, $F$9) + CHOOSE(CONTROL!$C$27, 0.0021, 0)</f>
        <v>63.415500000000002</v>
      </c>
      <c r="H645" s="10">
        <f>63.2786 * CHOOSE(CONTROL!$C$9, $D$9, 100%, $F$9) + CHOOSE(CONTROL!$C$27, 0.0021, 0)</f>
        <v>63.280699999999996</v>
      </c>
      <c r="I645" s="10">
        <f>63.2786 * CHOOSE(CONTROL!$C$9, $D$9, 100%, $F$9) + CHOOSE(CONTROL!$C$27, 0.0021, 0)</f>
        <v>63.280699999999996</v>
      </c>
      <c r="J645" s="10">
        <f>63.2786 * CHOOSE(CONTROL!$C$9, $D$9, 100%, $F$9) + CHOOSE(CONTROL!$C$27, 0.0021, 0)</f>
        <v>63.280699999999996</v>
      </c>
      <c r="K645" s="10">
        <f>63.2786 * CHOOSE(CONTROL!$C$9, $D$9, 100%, $F$9) + CHOOSE(CONTROL!$C$27, 0.0021, 0)</f>
        <v>63.280699999999996</v>
      </c>
      <c r="L645" s="10"/>
    </row>
    <row r="646" spans="1:12" ht="15.75" x14ac:dyDescent="0.25">
      <c r="A646" s="13">
        <v>60966</v>
      </c>
      <c r="B646" s="10">
        <f>63.8528 * CHOOSE(CONTROL!$C$9, $D$9, 100%, $F$9) + CHOOSE(CONTROL!$C$27, 0.0021, 0)</f>
        <v>63.854900000000001</v>
      </c>
      <c r="C646" s="10">
        <f>63.4205 * CHOOSE(CONTROL!$C$9, $D$9, 100%, $F$9) + CHOOSE(CONTROL!$C$27, 0.0021, 0)</f>
        <v>63.422599999999996</v>
      </c>
      <c r="D646" s="10">
        <f>63.4205 * CHOOSE(CONTROL!$C$9, $D$9, 100%, $F$9) + CHOOSE(CONTROL!$C$27, 0.0021, 0)</f>
        <v>63.422599999999996</v>
      </c>
      <c r="E646" s="10">
        <f>63.2839 * CHOOSE(CONTROL!$C$9, $D$9, 100%, $F$9) + CHOOSE(CONTROL!$C$27, 0.0021, 0)</f>
        <v>63.286000000000001</v>
      </c>
      <c r="F646" s="10">
        <f>63.2839 * CHOOSE(CONTROL!$C$9, $D$9, 100%, $F$9) + CHOOSE(CONTROL!$C$27, 0.0021, 0)</f>
        <v>63.286000000000001</v>
      </c>
      <c r="G646" s="10">
        <f>63.5552 * CHOOSE(CONTROL!$C$9, $D$9, 100%, $F$9) + CHOOSE(CONTROL!$C$27, 0.0021, 0)</f>
        <v>63.557299999999998</v>
      </c>
      <c r="H646" s="10">
        <f>63.4205 * CHOOSE(CONTROL!$C$9, $D$9, 100%, $F$9) + CHOOSE(CONTROL!$C$27, 0.0021, 0)</f>
        <v>63.422599999999996</v>
      </c>
      <c r="I646" s="10">
        <f>63.4205 * CHOOSE(CONTROL!$C$9, $D$9, 100%, $F$9) + CHOOSE(CONTROL!$C$27, 0.0021, 0)</f>
        <v>63.422599999999996</v>
      </c>
      <c r="J646" s="10">
        <f>63.4205 * CHOOSE(CONTROL!$C$9, $D$9, 100%, $F$9) + CHOOSE(CONTROL!$C$27, 0.0021, 0)</f>
        <v>63.422599999999996</v>
      </c>
      <c r="K646" s="10">
        <f>63.4205 * CHOOSE(CONTROL!$C$9, $D$9, 100%, $F$9) + CHOOSE(CONTROL!$C$27, 0.0021, 0)</f>
        <v>63.422599999999996</v>
      </c>
      <c r="L646" s="10"/>
    </row>
    <row r="647" spans="1:12" ht="15.75" x14ac:dyDescent="0.25">
      <c r="A647" s="13">
        <v>60997</v>
      </c>
      <c r="B647" s="10">
        <f>62.6457 * CHOOSE(CONTROL!$C$9, $D$9, 100%, $F$9) + CHOOSE(CONTROL!$C$27, 0.0021, 0)</f>
        <v>62.647799999999997</v>
      </c>
      <c r="C647" s="10">
        <f>62.2135 * CHOOSE(CONTROL!$C$9, $D$9, 100%, $F$9) + CHOOSE(CONTROL!$C$27, 0.0021, 0)</f>
        <v>62.215600000000002</v>
      </c>
      <c r="D647" s="10">
        <f>62.2135 * CHOOSE(CONTROL!$C$9, $D$9, 100%, $F$9) + CHOOSE(CONTROL!$C$27, 0.0021, 0)</f>
        <v>62.215600000000002</v>
      </c>
      <c r="E647" s="10">
        <f>62.0768 * CHOOSE(CONTROL!$C$9, $D$9, 100%, $F$9) + CHOOSE(CONTROL!$C$27, 0.0021, 0)</f>
        <v>62.078899999999997</v>
      </c>
      <c r="F647" s="10">
        <f>62.0768 * CHOOSE(CONTROL!$C$9, $D$9, 100%, $F$9) + CHOOSE(CONTROL!$C$27, 0.0021, 0)</f>
        <v>62.078899999999997</v>
      </c>
      <c r="G647" s="10">
        <f>62.3482 * CHOOSE(CONTROL!$C$9, $D$9, 100%, $F$9) + CHOOSE(CONTROL!$C$27, 0.0021, 0)</f>
        <v>62.350299999999997</v>
      </c>
      <c r="H647" s="10">
        <f>62.2135 * CHOOSE(CONTROL!$C$9, $D$9, 100%, $F$9) + CHOOSE(CONTROL!$C$27, 0.0021, 0)</f>
        <v>62.215600000000002</v>
      </c>
      <c r="I647" s="10">
        <f>62.2135 * CHOOSE(CONTROL!$C$9, $D$9, 100%, $F$9) + CHOOSE(CONTROL!$C$27, 0.0021, 0)</f>
        <v>62.215600000000002</v>
      </c>
      <c r="J647" s="10">
        <f>62.2135 * CHOOSE(CONTROL!$C$9, $D$9, 100%, $F$9) + CHOOSE(CONTROL!$C$27, 0.0021, 0)</f>
        <v>62.215600000000002</v>
      </c>
      <c r="K647" s="10">
        <f>62.2135 * CHOOSE(CONTROL!$C$9, $D$9, 100%, $F$9) + CHOOSE(CONTROL!$C$27, 0.0021, 0)</f>
        <v>62.215600000000002</v>
      </c>
      <c r="L647" s="10"/>
    </row>
    <row r="648" spans="1:12" ht="15.75" x14ac:dyDescent="0.25">
      <c r="A648" s="13">
        <v>61028</v>
      </c>
      <c r="B648" s="10">
        <f>61.7216 * CHOOSE(CONTROL!$C$9, $D$9, 100%, $F$9) + CHOOSE(CONTROL!$C$27, 0.0021, 0)</f>
        <v>61.723700000000001</v>
      </c>
      <c r="C648" s="10">
        <f>61.2893 * CHOOSE(CONTROL!$C$9, $D$9, 100%, $F$9) + CHOOSE(CONTROL!$C$27, 0.0021, 0)</f>
        <v>61.291399999999996</v>
      </c>
      <c r="D648" s="10">
        <f>61.2893 * CHOOSE(CONTROL!$C$9, $D$9, 100%, $F$9) + CHOOSE(CONTROL!$C$27, 0.0021, 0)</f>
        <v>61.291399999999996</v>
      </c>
      <c r="E648" s="10">
        <f>61.1526 * CHOOSE(CONTROL!$C$9, $D$9, 100%, $F$9) + CHOOSE(CONTROL!$C$27, 0.0021, 0)</f>
        <v>61.154699999999998</v>
      </c>
      <c r="F648" s="10">
        <f>61.1526 * CHOOSE(CONTROL!$C$9, $D$9, 100%, $F$9) + CHOOSE(CONTROL!$C$27, 0.0021, 0)</f>
        <v>61.154699999999998</v>
      </c>
      <c r="G648" s="10">
        <f>61.424 * CHOOSE(CONTROL!$C$9, $D$9, 100%, $F$9) + CHOOSE(CONTROL!$C$27, 0.0021, 0)</f>
        <v>61.426099999999998</v>
      </c>
      <c r="H648" s="10">
        <f>61.2893 * CHOOSE(CONTROL!$C$9, $D$9, 100%, $F$9) + CHOOSE(CONTROL!$C$27, 0.0021, 0)</f>
        <v>61.291399999999996</v>
      </c>
      <c r="I648" s="10">
        <f>61.2893 * CHOOSE(CONTROL!$C$9, $D$9, 100%, $F$9) + CHOOSE(CONTROL!$C$27, 0.0021, 0)</f>
        <v>61.291399999999996</v>
      </c>
      <c r="J648" s="10">
        <f>61.2893 * CHOOSE(CONTROL!$C$9, $D$9, 100%, $F$9) + CHOOSE(CONTROL!$C$27, 0.0021, 0)</f>
        <v>61.291399999999996</v>
      </c>
      <c r="K648" s="10">
        <f>61.2893 * CHOOSE(CONTROL!$C$9, $D$9, 100%, $F$9) + CHOOSE(CONTROL!$C$27, 0.0021, 0)</f>
        <v>61.291399999999996</v>
      </c>
      <c r="L648" s="10"/>
    </row>
    <row r="649" spans="1:12" ht="15.75" x14ac:dyDescent="0.25">
      <c r="A649" s="13">
        <v>61056</v>
      </c>
      <c r="B649" s="10">
        <f>60.0406 * CHOOSE(CONTROL!$C$9, $D$9, 100%, $F$9) + CHOOSE(CONTROL!$C$27, 0.0021, 0)</f>
        <v>60.042699999999996</v>
      </c>
      <c r="C649" s="10">
        <f>59.6083 * CHOOSE(CONTROL!$C$9, $D$9, 100%, $F$9) + CHOOSE(CONTROL!$C$27, 0.0021, 0)</f>
        <v>59.610399999999998</v>
      </c>
      <c r="D649" s="10">
        <f>59.6083 * CHOOSE(CONTROL!$C$9, $D$9, 100%, $F$9) + CHOOSE(CONTROL!$C$27, 0.0021, 0)</f>
        <v>59.610399999999998</v>
      </c>
      <c r="E649" s="10">
        <f>59.4717 * CHOOSE(CONTROL!$C$9, $D$9, 100%, $F$9) + CHOOSE(CONTROL!$C$27, 0.0021, 0)</f>
        <v>59.473799999999997</v>
      </c>
      <c r="F649" s="10">
        <f>59.4717 * CHOOSE(CONTROL!$C$9, $D$9, 100%, $F$9) + CHOOSE(CONTROL!$C$27, 0.0021, 0)</f>
        <v>59.473799999999997</v>
      </c>
      <c r="G649" s="10">
        <f>59.743 * CHOOSE(CONTROL!$C$9, $D$9, 100%, $F$9) + CHOOSE(CONTROL!$C$27, 0.0021, 0)</f>
        <v>59.745100000000001</v>
      </c>
      <c r="H649" s="10">
        <f>59.6083 * CHOOSE(CONTROL!$C$9, $D$9, 100%, $F$9) + CHOOSE(CONTROL!$C$27, 0.0021, 0)</f>
        <v>59.610399999999998</v>
      </c>
      <c r="I649" s="10">
        <f>59.6083 * CHOOSE(CONTROL!$C$9, $D$9, 100%, $F$9) + CHOOSE(CONTROL!$C$27, 0.0021, 0)</f>
        <v>59.610399999999998</v>
      </c>
      <c r="J649" s="10">
        <f>59.6083 * CHOOSE(CONTROL!$C$9, $D$9, 100%, $F$9) + CHOOSE(CONTROL!$C$27, 0.0021, 0)</f>
        <v>59.610399999999998</v>
      </c>
      <c r="K649" s="10">
        <f>59.6083 * CHOOSE(CONTROL!$C$9, $D$9, 100%, $F$9) + CHOOSE(CONTROL!$C$27, 0.0021, 0)</f>
        <v>59.610399999999998</v>
      </c>
      <c r="L649" s="10"/>
    </row>
    <row r="650" spans="1:12" ht="15.75" x14ac:dyDescent="0.25">
      <c r="A650" s="13">
        <v>61087</v>
      </c>
      <c r="B650" s="10">
        <f>59.3467 * CHOOSE(CONTROL!$C$9, $D$9, 100%, $F$9) + CHOOSE(CONTROL!$C$27, 0.0021, 0)</f>
        <v>59.348799999999997</v>
      </c>
      <c r="C650" s="10">
        <f>58.9144 * CHOOSE(CONTROL!$C$9, $D$9, 100%, $F$9) + CHOOSE(CONTROL!$C$27, 0.0021, 0)</f>
        <v>58.916499999999999</v>
      </c>
      <c r="D650" s="10">
        <f>58.9144 * CHOOSE(CONTROL!$C$9, $D$9, 100%, $F$9) + CHOOSE(CONTROL!$C$27, 0.0021, 0)</f>
        <v>58.916499999999999</v>
      </c>
      <c r="E650" s="10">
        <f>58.7778 * CHOOSE(CONTROL!$C$9, $D$9, 100%, $F$9) + CHOOSE(CONTROL!$C$27, 0.0021, 0)</f>
        <v>58.779899999999998</v>
      </c>
      <c r="F650" s="10">
        <f>58.7778 * CHOOSE(CONTROL!$C$9, $D$9, 100%, $F$9) + CHOOSE(CONTROL!$C$27, 0.0021, 0)</f>
        <v>58.779899999999998</v>
      </c>
      <c r="G650" s="10">
        <f>59.0491 * CHOOSE(CONTROL!$C$9, $D$9, 100%, $F$9) + CHOOSE(CONTROL!$C$27, 0.0021, 0)</f>
        <v>59.051200000000001</v>
      </c>
      <c r="H650" s="10">
        <f>58.9144 * CHOOSE(CONTROL!$C$9, $D$9, 100%, $F$9) + CHOOSE(CONTROL!$C$27, 0.0021, 0)</f>
        <v>58.916499999999999</v>
      </c>
      <c r="I650" s="10">
        <f>58.9144 * CHOOSE(CONTROL!$C$9, $D$9, 100%, $F$9) + CHOOSE(CONTROL!$C$27, 0.0021, 0)</f>
        <v>58.916499999999999</v>
      </c>
      <c r="J650" s="10">
        <f>58.9144 * CHOOSE(CONTROL!$C$9, $D$9, 100%, $F$9) + CHOOSE(CONTROL!$C$27, 0.0021, 0)</f>
        <v>58.916499999999999</v>
      </c>
      <c r="K650" s="10">
        <f>58.9144 * CHOOSE(CONTROL!$C$9, $D$9, 100%, $F$9) + CHOOSE(CONTROL!$C$27, 0.0021, 0)</f>
        <v>58.916499999999999</v>
      </c>
      <c r="L650" s="10"/>
    </row>
    <row r="651" spans="1:12" ht="15.75" x14ac:dyDescent="0.25">
      <c r="A651" s="13">
        <v>61117</v>
      </c>
      <c r="B651" s="10">
        <f>58.5181 * CHOOSE(CONTROL!$C$9, $D$9, 100%, $F$9) + CHOOSE(CONTROL!$C$27, 0.0021, 0)</f>
        <v>58.520199999999996</v>
      </c>
      <c r="C651" s="10">
        <f>58.0859 * CHOOSE(CONTROL!$C$9, $D$9, 100%, $F$9) + CHOOSE(CONTROL!$C$27, 0.0021, 0)</f>
        <v>58.088000000000001</v>
      </c>
      <c r="D651" s="10">
        <f>58.0859 * CHOOSE(CONTROL!$C$9, $D$9, 100%, $F$9) + CHOOSE(CONTROL!$C$27, 0.0021, 0)</f>
        <v>58.088000000000001</v>
      </c>
      <c r="E651" s="10">
        <f>57.9492 * CHOOSE(CONTROL!$C$9, $D$9, 100%, $F$9) + CHOOSE(CONTROL!$C$27, 0.0021, 0)</f>
        <v>57.951299999999996</v>
      </c>
      <c r="F651" s="10">
        <f>57.9492 * CHOOSE(CONTROL!$C$9, $D$9, 100%, $F$9) + CHOOSE(CONTROL!$C$27, 0.0021, 0)</f>
        <v>57.951299999999996</v>
      </c>
      <c r="G651" s="10">
        <f>58.2206 * CHOOSE(CONTROL!$C$9, $D$9, 100%, $F$9) + CHOOSE(CONTROL!$C$27, 0.0021, 0)</f>
        <v>58.222699999999996</v>
      </c>
      <c r="H651" s="10">
        <f>58.0859 * CHOOSE(CONTROL!$C$9, $D$9, 100%, $F$9) + CHOOSE(CONTROL!$C$27, 0.0021, 0)</f>
        <v>58.088000000000001</v>
      </c>
      <c r="I651" s="10">
        <f>58.0859 * CHOOSE(CONTROL!$C$9, $D$9, 100%, $F$9) + CHOOSE(CONTROL!$C$27, 0.0021, 0)</f>
        <v>58.088000000000001</v>
      </c>
      <c r="J651" s="10">
        <f>58.0859 * CHOOSE(CONTROL!$C$9, $D$9, 100%, $F$9) + CHOOSE(CONTROL!$C$27, 0.0021, 0)</f>
        <v>58.088000000000001</v>
      </c>
      <c r="K651" s="10">
        <f>58.0859 * CHOOSE(CONTROL!$C$9, $D$9, 100%, $F$9) + CHOOSE(CONTROL!$C$27, 0.0021, 0)</f>
        <v>58.088000000000001</v>
      </c>
      <c r="L651" s="10"/>
    </row>
    <row r="652" spans="1:12" ht="15.75" x14ac:dyDescent="0.25">
      <c r="A652" s="13">
        <v>61148</v>
      </c>
      <c r="B652" s="10">
        <f>59.6989 * CHOOSE(CONTROL!$C$9, $D$9, 100%, $F$9) + CHOOSE(CONTROL!$C$27, 0.0021, 0)</f>
        <v>59.701000000000001</v>
      </c>
      <c r="C652" s="10">
        <f>59.2666 * CHOOSE(CONTROL!$C$9, $D$9, 100%, $F$9) + CHOOSE(CONTROL!$C$27, 0.0021, 0)</f>
        <v>59.268699999999995</v>
      </c>
      <c r="D652" s="10">
        <f>59.2666 * CHOOSE(CONTROL!$C$9, $D$9, 100%, $F$9) + CHOOSE(CONTROL!$C$27, 0.0021, 0)</f>
        <v>59.268699999999995</v>
      </c>
      <c r="E652" s="10">
        <f>59.13 * CHOOSE(CONTROL!$C$9, $D$9, 100%, $F$9) + CHOOSE(CONTROL!$C$27, 0.0021, 0)</f>
        <v>59.132100000000001</v>
      </c>
      <c r="F652" s="10">
        <f>59.13 * CHOOSE(CONTROL!$C$9, $D$9, 100%, $F$9) + CHOOSE(CONTROL!$C$27, 0.0021, 0)</f>
        <v>59.132100000000001</v>
      </c>
      <c r="G652" s="10">
        <f>59.4014 * CHOOSE(CONTROL!$C$9, $D$9, 100%, $F$9) + CHOOSE(CONTROL!$C$27, 0.0021, 0)</f>
        <v>59.403500000000001</v>
      </c>
      <c r="H652" s="10">
        <f>59.2666 * CHOOSE(CONTROL!$C$9, $D$9, 100%, $F$9) + CHOOSE(CONTROL!$C$27, 0.0021, 0)</f>
        <v>59.268699999999995</v>
      </c>
      <c r="I652" s="10">
        <f>59.2666 * CHOOSE(CONTROL!$C$9, $D$9, 100%, $F$9) + CHOOSE(CONTROL!$C$27, 0.0021, 0)</f>
        <v>59.268699999999995</v>
      </c>
      <c r="J652" s="10">
        <f>59.2666 * CHOOSE(CONTROL!$C$9, $D$9, 100%, $F$9) + CHOOSE(CONTROL!$C$27, 0.0021, 0)</f>
        <v>59.268699999999995</v>
      </c>
      <c r="K652" s="10">
        <f>59.2666 * CHOOSE(CONTROL!$C$9, $D$9, 100%, $F$9) + CHOOSE(CONTROL!$C$27, 0.0021, 0)</f>
        <v>59.268699999999995</v>
      </c>
      <c r="L652" s="10"/>
    </row>
    <row r="653" spans="1:12" ht="15.75" x14ac:dyDescent="0.25">
      <c r="A653" s="13">
        <v>61178</v>
      </c>
      <c r="B653" s="10">
        <f>60.4061 * CHOOSE(CONTROL!$C$9, $D$9, 100%, $F$9) + CHOOSE(CONTROL!$C$27, 0.0021, 0)</f>
        <v>60.408200000000001</v>
      </c>
      <c r="C653" s="10">
        <f>59.9739 * CHOOSE(CONTROL!$C$9, $D$9, 100%, $F$9) + CHOOSE(CONTROL!$C$27, 0.0021, 0)</f>
        <v>59.975999999999999</v>
      </c>
      <c r="D653" s="10">
        <f>59.9739 * CHOOSE(CONTROL!$C$9, $D$9, 100%, $F$9) + CHOOSE(CONTROL!$C$27, 0.0021, 0)</f>
        <v>59.975999999999999</v>
      </c>
      <c r="E653" s="10">
        <f>59.8372 * CHOOSE(CONTROL!$C$9, $D$9, 100%, $F$9) + CHOOSE(CONTROL!$C$27, 0.0021, 0)</f>
        <v>59.839300000000001</v>
      </c>
      <c r="F653" s="10">
        <f>59.8372 * CHOOSE(CONTROL!$C$9, $D$9, 100%, $F$9) + CHOOSE(CONTROL!$C$27, 0.0021, 0)</f>
        <v>59.839300000000001</v>
      </c>
      <c r="G653" s="10">
        <f>60.1086 * CHOOSE(CONTROL!$C$9, $D$9, 100%, $F$9) + CHOOSE(CONTROL!$C$27, 0.0021, 0)</f>
        <v>60.110700000000001</v>
      </c>
      <c r="H653" s="10">
        <f>59.9739 * CHOOSE(CONTROL!$C$9, $D$9, 100%, $F$9) + CHOOSE(CONTROL!$C$27, 0.0021, 0)</f>
        <v>59.975999999999999</v>
      </c>
      <c r="I653" s="10">
        <f>59.9739 * CHOOSE(CONTROL!$C$9, $D$9, 100%, $F$9) + CHOOSE(CONTROL!$C$27, 0.0021, 0)</f>
        <v>59.975999999999999</v>
      </c>
      <c r="J653" s="10">
        <f>59.9739 * CHOOSE(CONTROL!$C$9, $D$9, 100%, $F$9) + CHOOSE(CONTROL!$C$27, 0.0021, 0)</f>
        <v>59.975999999999999</v>
      </c>
      <c r="K653" s="10">
        <f>59.9739 * CHOOSE(CONTROL!$C$9, $D$9, 100%, $F$9) + CHOOSE(CONTROL!$C$27, 0.0021, 0)</f>
        <v>59.975999999999999</v>
      </c>
      <c r="L653" s="10"/>
    </row>
    <row r="654" spans="1:12" ht="15.75" x14ac:dyDescent="0.25">
      <c r="A654" s="13">
        <v>61209</v>
      </c>
      <c r="B654" s="10">
        <f>61.5728 * CHOOSE(CONTROL!$C$9, $D$9, 100%, $F$9) + CHOOSE(CONTROL!$C$27, 0.0021, 0)</f>
        <v>61.5749</v>
      </c>
      <c r="C654" s="10">
        <f>61.1406 * CHOOSE(CONTROL!$C$9, $D$9, 100%, $F$9) + CHOOSE(CONTROL!$C$27, 0.0021, 0)</f>
        <v>61.142699999999998</v>
      </c>
      <c r="D654" s="10">
        <f>61.1406 * CHOOSE(CONTROL!$C$9, $D$9, 100%, $F$9) + CHOOSE(CONTROL!$C$27, 0.0021, 0)</f>
        <v>61.142699999999998</v>
      </c>
      <c r="E654" s="10">
        <f>61.0039 * CHOOSE(CONTROL!$C$9, $D$9, 100%, $F$9) + CHOOSE(CONTROL!$C$27, 0.0021, 0)</f>
        <v>61.006</v>
      </c>
      <c r="F654" s="10">
        <f>61.0039 * CHOOSE(CONTROL!$C$9, $D$9, 100%, $F$9) + CHOOSE(CONTROL!$C$27, 0.0021, 0)</f>
        <v>61.006</v>
      </c>
      <c r="G654" s="10">
        <f>61.2753 * CHOOSE(CONTROL!$C$9, $D$9, 100%, $F$9) + CHOOSE(CONTROL!$C$27, 0.0021, 0)</f>
        <v>61.2774</v>
      </c>
      <c r="H654" s="10">
        <f>61.1406 * CHOOSE(CONTROL!$C$9, $D$9, 100%, $F$9) + CHOOSE(CONTROL!$C$27, 0.0021, 0)</f>
        <v>61.142699999999998</v>
      </c>
      <c r="I654" s="10">
        <f>61.1406 * CHOOSE(CONTROL!$C$9, $D$9, 100%, $F$9) + CHOOSE(CONTROL!$C$27, 0.0021, 0)</f>
        <v>61.142699999999998</v>
      </c>
      <c r="J654" s="10">
        <f>61.1406 * CHOOSE(CONTROL!$C$9, $D$9, 100%, $F$9) + CHOOSE(CONTROL!$C$27, 0.0021, 0)</f>
        <v>61.142699999999998</v>
      </c>
      <c r="K654" s="10">
        <f>61.1406 * CHOOSE(CONTROL!$C$9, $D$9, 100%, $F$9) + CHOOSE(CONTROL!$C$27, 0.0021, 0)</f>
        <v>61.142699999999998</v>
      </c>
      <c r="L654" s="10"/>
    </row>
    <row r="655" spans="1:12" ht="15.75" x14ac:dyDescent="0.25">
      <c r="A655" s="13">
        <v>61240</v>
      </c>
      <c r="B655" s="10">
        <f>61.9289 * CHOOSE(CONTROL!$C$9, $D$9, 100%, $F$9) + CHOOSE(CONTROL!$C$27, 0.0021, 0)</f>
        <v>61.930999999999997</v>
      </c>
      <c r="C655" s="10">
        <f>61.4967 * CHOOSE(CONTROL!$C$9, $D$9, 100%, $F$9) + CHOOSE(CONTROL!$C$27, 0.0021, 0)</f>
        <v>61.498799999999996</v>
      </c>
      <c r="D655" s="10">
        <f>61.4967 * CHOOSE(CONTROL!$C$9, $D$9, 100%, $F$9) + CHOOSE(CONTROL!$C$27, 0.0021, 0)</f>
        <v>61.498799999999996</v>
      </c>
      <c r="E655" s="10">
        <f>61.36 * CHOOSE(CONTROL!$C$9, $D$9, 100%, $F$9) + CHOOSE(CONTROL!$C$27, 0.0021, 0)</f>
        <v>61.362099999999998</v>
      </c>
      <c r="F655" s="10">
        <f>61.36 * CHOOSE(CONTROL!$C$9, $D$9, 100%, $F$9) + CHOOSE(CONTROL!$C$27, 0.0021, 0)</f>
        <v>61.362099999999998</v>
      </c>
      <c r="G655" s="10">
        <f>61.6314 * CHOOSE(CONTROL!$C$9, $D$9, 100%, $F$9) + CHOOSE(CONTROL!$C$27, 0.0021, 0)</f>
        <v>61.633499999999998</v>
      </c>
      <c r="H655" s="10">
        <f>61.4967 * CHOOSE(CONTROL!$C$9, $D$9, 100%, $F$9) + CHOOSE(CONTROL!$C$27, 0.0021, 0)</f>
        <v>61.498799999999996</v>
      </c>
      <c r="I655" s="10">
        <f>61.4967 * CHOOSE(CONTROL!$C$9, $D$9, 100%, $F$9) + CHOOSE(CONTROL!$C$27, 0.0021, 0)</f>
        <v>61.498799999999996</v>
      </c>
      <c r="J655" s="10">
        <f>61.4967 * CHOOSE(CONTROL!$C$9, $D$9, 100%, $F$9) + CHOOSE(CONTROL!$C$27, 0.0021, 0)</f>
        <v>61.498799999999996</v>
      </c>
      <c r="K655" s="10">
        <f>61.4967 * CHOOSE(CONTROL!$C$9, $D$9, 100%, $F$9) + CHOOSE(CONTROL!$C$27, 0.0021, 0)</f>
        <v>61.498799999999996</v>
      </c>
      <c r="L655" s="10"/>
    </row>
    <row r="656" spans="1:12" ht="15.75" x14ac:dyDescent="0.25">
      <c r="A656" s="13">
        <v>61270</v>
      </c>
      <c r="B656" s="10">
        <f>63.1416 * CHOOSE(CONTROL!$C$9, $D$9, 100%, $F$9) + CHOOSE(CONTROL!$C$27, 0.0021, 0)</f>
        <v>63.143699999999995</v>
      </c>
      <c r="C656" s="10">
        <f>62.7094 * CHOOSE(CONTROL!$C$9, $D$9, 100%, $F$9) + CHOOSE(CONTROL!$C$27, 0.0021, 0)</f>
        <v>62.711500000000001</v>
      </c>
      <c r="D656" s="10">
        <f>62.7094 * CHOOSE(CONTROL!$C$9, $D$9, 100%, $F$9) + CHOOSE(CONTROL!$C$27, 0.0021, 0)</f>
        <v>62.711500000000001</v>
      </c>
      <c r="E656" s="10">
        <f>62.5727 * CHOOSE(CONTROL!$C$9, $D$9, 100%, $F$9) + CHOOSE(CONTROL!$C$27, 0.0021, 0)</f>
        <v>62.574799999999996</v>
      </c>
      <c r="F656" s="10">
        <f>62.5727 * CHOOSE(CONTROL!$C$9, $D$9, 100%, $F$9) + CHOOSE(CONTROL!$C$27, 0.0021, 0)</f>
        <v>62.574799999999996</v>
      </c>
      <c r="G656" s="10">
        <f>62.8441 * CHOOSE(CONTROL!$C$9, $D$9, 100%, $F$9) + CHOOSE(CONTROL!$C$27, 0.0021, 0)</f>
        <v>62.846199999999996</v>
      </c>
      <c r="H656" s="10">
        <f>62.7094 * CHOOSE(CONTROL!$C$9, $D$9, 100%, $F$9) + CHOOSE(CONTROL!$C$27, 0.0021, 0)</f>
        <v>62.711500000000001</v>
      </c>
      <c r="I656" s="10">
        <f>62.7094 * CHOOSE(CONTROL!$C$9, $D$9, 100%, $F$9) + CHOOSE(CONTROL!$C$27, 0.0021, 0)</f>
        <v>62.711500000000001</v>
      </c>
      <c r="J656" s="10">
        <f>62.7094 * CHOOSE(CONTROL!$C$9, $D$9, 100%, $F$9) + CHOOSE(CONTROL!$C$27, 0.0021, 0)</f>
        <v>62.711500000000001</v>
      </c>
      <c r="K656" s="10">
        <f>62.7094 * CHOOSE(CONTROL!$C$9, $D$9, 100%, $F$9) + CHOOSE(CONTROL!$C$27, 0.0021, 0)</f>
        <v>62.711500000000001</v>
      </c>
      <c r="L656" s="10"/>
    </row>
    <row r="657" spans="1:12" ht="15.75" x14ac:dyDescent="0.25">
      <c r="A657" s="13">
        <v>61301</v>
      </c>
      <c r="B657" s="10">
        <f>64.6767 * CHOOSE(CONTROL!$C$9, $D$9, 100%, $F$9) + CHOOSE(CONTROL!$C$27, 0.0021, 0)</f>
        <v>64.678799999999995</v>
      </c>
      <c r="C657" s="10">
        <f>64.2444 * CHOOSE(CONTROL!$C$9, $D$9, 100%, $F$9) + CHOOSE(CONTROL!$C$27, 0.0021, 0)</f>
        <v>64.246499999999997</v>
      </c>
      <c r="D657" s="10">
        <f>64.2444 * CHOOSE(CONTROL!$C$9, $D$9, 100%, $F$9) + CHOOSE(CONTROL!$C$27, 0.0021, 0)</f>
        <v>64.246499999999997</v>
      </c>
      <c r="E657" s="10">
        <f>64.1078 * CHOOSE(CONTROL!$C$9, $D$9, 100%, $F$9) + CHOOSE(CONTROL!$C$27, 0.0021, 0)</f>
        <v>64.109899999999996</v>
      </c>
      <c r="F657" s="10">
        <f>64.1078 * CHOOSE(CONTROL!$C$9, $D$9, 100%, $F$9) + CHOOSE(CONTROL!$C$27, 0.0021, 0)</f>
        <v>64.109899999999996</v>
      </c>
      <c r="G657" s="10">
        <f>64.3792 * CHOOSE(CONTROL!$C$9, $D$9, 100%, $F$9) + CHOOSE(CONTROL!$C$27, 0.0021, 0)</f>
        <v>64.381299999999996</v>
      </c>
      <c r="H657" s="10">
        <f>64.2444 * CHOOSE(CONTROL!$C$9, $D$9, 100%, $F$9) + CHOOSE(CONTROL!$C$27, 0.0021, 0)</f>
        <v>64.246499999999997</v>
      </c>
      <c r="I657" s="10">
        <f>64.2444 * CHOOSE(CONTROL!$C$9, $D$9, 100%, $F$9) + CHOOSE(CONTROL!$C$27, 0.0021, 0)</f>
        <v>64.246499999999997</v>
      </c>
      <c r="J657" s="10">
        <f>64.2444 * CHOOSE(CONTROL!$C$9, $D$9, 100%, $F$9) + CHOOSE(CONTROL!$C$27, 0.0021, 0)</f>
        <v>64.246499999999997</v>
      </c>
      <c r="K657" s="10">
        <f>64.2444 * CHOOSE(CONTROL!$C$9, $D$9, 100%, $F$9) + CHOOSE(CONTROL!$C$27, 0.0021, 0)</f>
        <v>64.246499999999997</v>
      </c>
      <c r="L657" s="10"/>
    </row>
    <row r="658" spans="1:12" ht="15.75" x14ac:dyDescent="0.25">
      <c r="A658" s="13">
        <v>61331</v>
      </c>
      <c r="B658" s="10">
        <f>64.8208 * CHOOSE(CONTROL!$C$9, $D$9, 100%, $F$9) + CHOOSE(CONTROL!$C$27, 0.0021, 0)</f>
        <v>64.822900000000004</v>
      </c>
      <c r="C658" s="10">
        <f>64.3886 * CHOOSE(CONTROL!$C$9, $D$9, 100%, $F$9) + CHOOSE(CONTROL!$C$27, 0.0021, 0)</f>
        <v>64.390699999999995</v>
      </c>
      <c r="D658" s="10">
        <f>64.3886 * CHOOSE(CONTROL!$C$9, $D$9, 100%, $F$9) + CHOOSE(CONTROL!$C$27, 0.0021, 0)</f>
        <v>64.390699999999995</v>
      </c>
      <c r="E658" s="10">
        <f>64.2519 * CHOOSE(CONTROL!$C$9, $D$9, 100%, $F$9) + CHOOSE(CONTROL!$C$27, 0.0021, 0)</f>
        <v>64.254000000000005</v>
      </c>
      <c r="F658" s="10">
        <f>64.2519 * CHOOSE(CONTROL!$C$9, $D$9, 100%, $F$9) + CHOOSE(CONTROL!$C$27, 0.0021, 0)</f>
        <v>64.254000000000005</v>
      </c>
      <c r="G658" s="10">
        <f>64.5233 * CHOOSE(CONTROL!$C$9, $D$9, 100%, $F$9) + CHOOSE(CONTROL!$C$27, 0.0021, 0)</f>
        <v>64.525400000000005</v>
      </c>
      <c r="H658" s="10">
        <f>64.3886 * CHOOSE(CONTROL!$C$9, $D$9, 100%, $F$9) + CHOOSE(CONTROL!$C$27, 0.0021, 0)</f>
        <v>64.390699999999995</v>
      </c>
      <c r="I658" s="10">
        <f>64.3886 * CHOOSE(CONTROL!$C$9, $D$9, 100%, $F$9) + CHOOSE(CONTROL!$C$27, 0.0021, 0)</f>
        <v>64.390699999999995</v>
      </c>
      <c r="J658" s="10">
        <f>64.3886 * CHOOSE(CONTROL!$C$9, $D$9, 100%, $F$9) + CHOOSE(CONTROL!$C$27, 0.0021, 0)</f>
        <v>64.390699999999995</v>
      </c>
      <c r="K658" s="10">
        <f>64.3886 * CHOOSE(CONTROL!$C$9, $D$9, 100%, $F$9) + CHOOSE(CONTROL!$C$27, 0.0021, 0)</f>
        <v>64.390699999999995</v>
      </c>
      <c r="L658" s="10"/>
    </row>
    <row r="659" spans="1:12" ht="15.75" x14ac:dyDescent="0.25">
      <c r="A659" s="13">
        <v>61362</v>
      </c>
      <c r="B659" s="10">
        <f>63.5948 * CHOOSE(CONTROL!$C$9, $D$9, 100%, $F$9) + CHOOSE(CONTROL!$C$27, 0.0021, 0)</f>
        <v>63.596899999999998</v>
      </c>
      <c r="C659" s="10">
        <f>63.1625 * CHOOSE(CONTROL!$C$9, $D$9, 100%, $F$9) + CHOOSE(CONTROL!$C$27, 0.0021, 0)</f>
        <v>63.1646</v>
      </c>
      <c r="D659" s="10">
        <f>63.1625 * CHOOSE(CONTROL!$C$9, $D$9, 100%, $F$9) + CHOOSE(CONTROL!$C$27, 0.0021, 0)</f>
        <v>63.1646</v>
      </c>
      <c r="E659" s="10">
        <f>63.0259 * CHOOSE(CONTROL!$C$9, $D$9, 100%, $F$9) + CHOOSE(CONTROL!$C$27, 0.0021, 0)</f>
        <v>63.027999999999999</v>
      </c>
      <c r="F659" s="10">
        <f>63.0259 * CHOOSE(CONTROL!$C$9, $D$9, 100%, $F$9) + CHOOSE(CONTROL!$C$27, 0.0021, 0)</f>
        <v>63.027999999999999</v>
      </c>
      <c r="G659" s="10">
        <f>63.2972 * CHOOSE(CONTROL!$C$9, $D$9, 100%, $F$9) + CHOOSE(CONTROL!$C$27, 0.0021, 0)</f>
        <v>63.299299999999995</v>
      </c>
      <c r="H659" s="10">
        <f>63.1625 * CHOOSE(CONTROL!$C$9, $D$9, 100%, $F$9) + CHOOSE(CONTROL!$C$27, 0.0021, 0)</f>
        <v>63.1646</v>
      </c>
      <c r="I659" s="10">
        <f>63.1625 * CHOOSE(CONTROL!$C$9, $D$9, 100%, $F$9) + CHOOSE(CONTROL!$C$27, 0.0021, 0)</f>
        <v>63.1646</v>
      </c>
      <c r="J659" s="10">
        <f>63.1625 * CHOOSE(CONTROL!$C$9, $D$9, 100%, $F$9) + CHOOSE(CONTROL!$C$27, 0.0021, 0)</f>
        <v>63.1646</v>
      </c>
      <c r="K659" s="10">
        <f>63.1625 * CHOOSE(CONTROL!$C$9, $D$9, 100%, $F$9) + CHOOSE(CONTROL!$C$27, 0.0021, 0)</f>
        <v>63.1646</v>
      </c>
      <c r="L659" s="10"/>
    </row>
    <row r="660" spans="1:12" ht="15.75" x14ac:dyDescent="0.25">
      <c r="A660" s="13">
        <v>61393</v>
      </c>
      <c r="B660" s="10">
        <f>62.6561 * CHOOSE(CONTROL!$C$9, $D$9, 100%, $F$9) + CHOOSE(CONTROL!$C$27, 0.0021, 0)</f>
        <v>62.658200000000001</v>
      </c>
      <c r="C660" s="10">
        <f>62.2238 * CHOOSE(CONTROL!$C$9, $D$9, 100%, $F$9) + CHOOSE(CONTROL!$C$27, 0.0021, 0)</f>
        <v>62.225899999999996</v>
      </c>
      <c r="D660" s="10">
        <f>62.2238 * CHOOSE(CONTROL!$C$9, $D$9, 100%, $F$9) + CHOOSE(CONTROL!$C$27, 0.0021, 0)</f>
        <v>62.225899999999996</v>
      </c>
      <c r="E660" s="10">
        <f>62.0872 * CHOOSE(CONTROL!$C$9, $D$9, 100%, $F$9) + CHOOSE(CONTROL!$C$27, 0.0021, 0)</f>
        <v>62.089300000000001</v>
      </c>
      <c r="F660" s="10">
        <f>62.0872 * CHOOSE(CONTROL!$C$9, $D$9, 100%, $F$9) + CHOOSE(CONTROL!$C$27, 0.0021, 0)</f>
        <v>62.089300000000001</v>
      </c>
      <c r="G660" s="10">
        <f>62.3585 * CHOOSE(CONTROL!$C$9, $D$9, 100%, $F$9) + CHOOSE(CONTROL!$C$27, 0.0021, 0)</f>
        <v>62.360599999999998</v>
      </c>
      <c r="H660" s="10">
        <f>62.2238 * CHOOSE(CONTROL!$C$9, $D$9, 100%, $F$9) + CHOOSE(CONTROL!$C$27, 0.0021, 0)</f>
        <v>62.225899999999996</v>
      </c>
      <c r="I660" s="10">
        <f>62.2238 * CHOOSE(CONTROL!$C$9, $D$9, 100%, $F$9) + CHOOSE(CONTROL!$C$27, 0.0021, 0)</f>
        <v>62.225899999999996</v>
      </c>
      <c r="J660" s="10">
        <f>62.2238 * CHOOSE(CONTROL!$C$9, $D$9, 100%, $F$9) + CHOOSE(CONTROL!$C$27, 0.0021, 0)</f>
        <v>62.225899999999996</v>
      </c>
      <c r="K660" s="10">
        <f>62.2238 * CHOOSE(CONTROL!$C$9, $D$9, 100%, $F$9) + CHOOSE(CONTROL!$C$27, 0.0021, 0)</f>
        <v>62.225899999999996</v>
      </c>
      <c r="L660" s="10"/>
    </row>
    <row r="661" spans="1:12" ht="15.75" x14ac:dyDescent="0.25">
      <c r="A661" s="13">
        <v>61422</v>
      </c>
      <c r="B661" s="10">
        <f>60.9487 * CHOOSE(CONTROL!$C$9, $D$9, 100%, $F$9) + CHOOSE(CONTROL!$C$27, 0.0021, 0)</f>
        <v>60.950800000000001</v>
      </c>
      <c r="C661" s="10">
        <f>60.5164 * CHOOSE(CONTROL!$C$9, $D$9, 100%, $F$9) + CHOOSE(CONTROL!$C$27, 0.0021, 0)</f>
        <v>60.518499999999996</v>
      </c>
      <c r="D661" s="10">
        <f>60.5164 * CHOOSE(CONTROL!$C$9, $D$9, 100%, $F$9) + CHOOSE(CONTROL!$C$27, 0.0021, 0)</f>
        <v>60.518499999999996</v>
      </c>
      <c r="E661" s="10">
        <f>60.3798 * CHOOSE(CONTROL!$C$9, $D$9, 100%, $F$9) + CHOOSE(CONTROL!$C$27, 0.0021, 0)</f>
        <v>60.381900000000002</v>
      </c>
      <c r="F661" s="10">
        <f>60.3798 * CHOOSE(CONTROL!$C$9, $D$9, 100%, $F$9) + CHOOSE(CONTROL!$C$27, 0.0021, 0)</f>
        <v>60.381900000000002</v>
      </c>
      <c r="G661" s="10">
        <f>60.6511 * CHOOSE(CONTROL!$C$9, $D$9, 100%, $F$9) + CHOOSE(CONTROL!$C$27, 0.0021, 0)</f>
        <v>60.653199999999998</v>
      </c>
      <c r="H661" s="10">
        <f>60.5164 * CHOOSE(CONTROL!$C$9, $D$9, 100%, $F$9) + CHOOSE(CONTROL!$C$27, 0.0021, 0)</f>
        <v>60.518499999999996</v>
      </c>
      <c r="I661" s="10">
        <f>60.5164 * CHOOSE(CONTROL!$C$9, $D$9, 100%, $F$9) + CHOOSE(CONTROL!$C$27, 0.0021, 0)</f>
        <v>60.518499999999996</v>
      </c>
      <c r="J661" s="10">
        <f>60.5164 * CHOOSE(CONTROL!$C$9, $D$9, 100%, $F$9) + CHOOSE(CONTROL!$C$27, 0.0021, 0)</f>
        <v>60.518499999999996</v>
      </c>
      <c r="K661" s="10">
        <f>60.5164 * CHOOSE(CONTROL!$C$9, $D$9, 100%, $F$9) + CHOOSE(CONTROL!$C$27, 0.0021, 0)</f>
        <v>60.518499999999996</v>
      </c>
      <c r="L661" s="10"/>
    </row>
    <row r="662" spans="1:12" ht="15.75" x14ac:dyDescent="0.25">
      <c r="A662" s="13">
        <v>61453</v>
      </c>
      <c r="B662" s="10">
        <f>60.2438 * CHOOSE(CONTROL!$C$9, $D$9, 100%, $F$9) + CHOOSE(CONTROL!$C$27, 0.0021, 0)</f>
        <v>60.245899999999999</v>
      </c>
      <c r="C662" s="10">
        <f>59.8116 * CHOOSE(CONTROL!$C$9, $D$9, 100%, $F$9) + CHOOSE(CONTROL!$C$27, 0.0021, 0)</f>
        <v>59.813699999999997</v>
      </c>
      <c r="D662" s="10">
        <f>59.8116 * CHOOSE(CONTROL!$C$9, $D$9, 100%, $F$9) + CHOOSE(CONTROL!$C$27, 0.0021, 0)</f>
        <v>59.813699999999997</v>
      </c>
      <c r="E662" s="10">
        <f>59.6749 * CHOOSE(CONTROL!$C$9, $D$9, 100%, $F$9) + CHOOSE(CONTROL!$C$27, 0.0021, 0)</f>
        <v>59.677</v>
      </c>
      <c r="F662" s="10">
        <f>59.6749 * CHOOSE(CONTROL!$C$9, $D$9, 100%, $F$9) + CHOOSE(CONTROL!$C$27, 0.0021, 0)</f>
        <v>59.677</v>
      </c>
      <c r="G662" s="10">
        <f>59.9463 * CHOOSE(CONTROL!$C$9, $D$9, 100%, $F$9) + CHOOSE(CONTROL!$C$27, 0.0021, 0)</f>
        <v>59.948399999999999</v>
      </c>
      <c r="H662" s="10">
        <f>59.8116 * CHOOSE(CONTROL!$C$9, $D$9, 100%, $F$9) + CHOOSE(CONTROL!$C$27, 0.0021, 0)</f>
        <v>59.813699999999997</v>
      </c>
      <c r="I662" s="10">
        <f>59.8116 * CHOOSE(CONTROL!$C$9, $D$9, 100%, $F$9) + CHOOSE(CONTROL!$C$27, 0.0021, 0)</f>
        <v>59.813699999999997</v>
      </c>
      <c r="J662" s="10">
        <f>59.8116 * CHOOSE(CONTROL!$C$9, $D$9, 100%, $F$9) + CHOOSE(CONTROL!$C$27, 0.0021, 0)</f>
        <v>59.813699999999997</v>
      </c>
      <c r="K662" s="10">
        <f>59.8116 * CHOOSE(CONTROL!$C$9, $D$9, 100%, $F$9) + CHOOSE(CONTROL!$C$27, 0.0021, 0)</f>
        <v>59.813699999999997</v>
      </c>
      <c r="L662" s="10"/>
    </row>
    <row r="663" spans="1:12" ht="15.75" x14ac:dyDescent="0.25">
      <c r="A663" s="13">
        <v>61483</v>
      </c>
      <c r="B663" s="10">
        <f>59.4023 * CHOOSE(CONTROL!$C$9, $D$9, 100%, $F$9) + CHOOSE(CONTROL!$C$27, 0.0021, 0)</f>
        <v>59.404399999999995</v>
      </c>
      <c r="C663" s="10">
        <f>58.97 * CHOOSE(CONTROL!$C$9, $D$9, 100%, $F$9) + CHOOSE(CONTROL!$C$27, 0.0021, 0)</f>
        <v>58.972099999999998</v>
      </c>
      <c r="D663" s="10">
        <f>58.97 * CHOOSE(CONTROL!$C$9, $D$9, 100%, $F$9) + CHOOSE(CONTROL!$C$27, 0.0021, 0)</f>
        <v>58.972099999999998</v>
      </c>
      <c r="E663" s="10">
        <f>58.8334 * CHOOSE(CONTROL!$C$9, $D$9, 100%, $F$9) + CHOOSE(CONTROL!$C$27, 0.0021, 0)</f>
        <v>58.835499999999996</v>
      </c>
      <c r="F663" s="10">
        <f>58.8334 * CHOOSE(CONTROL!$C$9, $D$9, 100%, $F$9) + CHOOSE(CONTROL!$C$27, 0.0021, 0)</f>
        <v>58.835499999999996</v>
      </c>
      <c r="G663" s="10">
        <f>59.1047 * CHOOSE(CONTROL!$C$9, $D$9, 100%, $F$9) + CHOOSE(CONTROL!$C$27, 0.0021, 0)</f>
        <v>59.1068</v>
      </c>
      <c r="H663" s="10">
        <f>58.97 * CHOOSE(CONTROL!$C$9, $D$9, 100%, $F$9) + CHOOSE(CONTROL!$C$27, 0.0021, 0)</f>
        <v>58.972099999999998</v>
      </c>
      <c r="I663" s="10">
        <f>58.97 * CHOOSE(CONTROL!$C$9, $D$9, 100%, $F$9) + CHOOSE(CONTROL!$C$27, 0.0021, 0)</f>
        <v>58.972099999999998</v>
      </c>
      <c r="J663" s="10">
        <f>58.97 * CHOOSE(CONTROL!$C$9, $D$9, 100%, $F$9) + CHOOSE(CONTROL!$C$27, 0.0021, 0)</f>
        <v>58.972099999999998</v>
      </c>
      <c r="K663" s="10">
        <f>58.97 * CHOOSE(CONTROL!$C$9, $D$9, 100%, $F$9) + CHOOSE(CONTROL!$C$27, 0.0021, 0)</f>
        <v>58.972099999999998</v>
      </c>
      <c r="L663" s="10"/>
    </row>
    <row r="664" spans="1:12" ht="15.75" x14ac:dyDescent="0.25">
      <c r="A664" s="13">
        <v>61514</v>
      </c>
      <c r="B664" s="10">
        <f>60.6016 * CHOOSE(CONTROL!$C$9, $D$9, 100%, $F$9) + CHOOSE(CONTROL!$C$27, 0.0021, 0)</f>
        <v>60.603699999999996</v>
      </c>
      <c r="C664" s="10">
        <f>60.1694 * CHOOSE(CONTROL!$C$9, $D$9, 100%, $F$9) + CHOOSE(CONTROL!$C$27, 0.0021, 0)</f>
        <v>60.171500000000002</v>
      </c>
      <c r="D664" s="10">
        <f>60.1694 * CHOOSE(CONTROL!$C$9, $D$9, 100%, $F$9) + CHOOSE(CONTROL!$C$27, 0.0021, 0)</f>
        <v>60.171500000000002</v>
      </c>
      <c r="E664" s="10">
        <f>60.0327 * CHOOSE(CONTROL!$C$9, $D$9, 100%, $F$9) + CHOOSE(CONTROL!$C$27, 0.0021, 0)</f>
        <v>60.034799999999997</v>
      </c>
      <c r="F664" s="10">
        <f>60.0327 * CHOOSE(CONTROL!$C$9, $D$9, 100%, $F$9) + CHOOSE(CONTROL!$C$27, 0.0021, 0)</f>
        <v>60.034799999999997</v>
      </c>
      <c r="G664" s="10">
        <f>60.3041 * CHOOSE(CONTROL!$C$9, $D$9, 100%, $F$9) + CHOOSE(CONTROL!$C$27, 0.0021, 0)</f>
        <v>60.306199999999997</v>
      </c>
      <c r="H664" s="10">
        <f>60.1694 * CHOOSE(CONTROL!$C$9, $D$9, 100%, $F$9) + CHOOSE(CONTROL!$C$27, 0.0021, 0)</f>
        <v>60.171500000000002</v>
      </c>
      <c r="I664" s="10">
        <f>60.1694 * CHOOSE(CONTROL!$C$9, $D$9, 100%, $F$9) + CHOOSE(CONTROL!$C$27, 0.0021, 0)</f>
        <v>60.171500000000002</v>
      </c>
      <c r="J664" s="10">
        <f>60.1694 * CHOOSE(CONTROL!$C$9, $D$9, 100%, $F$9) + CHOOSE(CONTROL!$C$27, 0.0021, 0)</f>
        <v>60.171500000000002</v>
      </c>
      <c r="K664" s="10">
        <f>60.1694 * CHOOSE(CONTROL!$C$9, $D$9, 100%, $F$9) + CHOOSE(CONTROL!$C$27, 0.0021, 0)</f>
        <v>60.171500000000002</v>
      </c>
      <c r="L664" s="10"/>
    </row>
    <row r="665" spans="1:12" ht="15.75" x14ac:dyDescent="0.25">
      <c r="A665" s="13">
        <v>61544</v>
      </c>
      <c r="B665" s="10">
        <f>61.32 * CHOOSE(CONTROL!$C$9, $D$9, 100%, $F$9) + CHOOSE(CONTROL!$C$27, 0.0021, 0)</f>
        <v>61.322099999999999</v>
      </c>
      <c r="C665" s="10">
        <f>60.8877 * CHOOSE(CONTROL!$C$9, $D$9, 100%, $F$9) + CHOOSE(CONTROL!$C$27, 0.0021, 0)</f>
        <v>60.889800000000001</v>
      </c>
      <c r="D665" s="10">
        <f>60.8877 * CHOOSE(CONTROL!$C$9, $D$9, 100%, $F$9) + CHOOSE(CONTROL!$C$27, 0.0021, 0)</f>
        <v>60.889800000000001</v>
      </c>
      <c r="E665" s="10">
        <f>60.7511 * CHOOSE(CONTROL!$C$9, $D$9, 100%, $F$9) + CHOOSE(CONTROL!$C$27, 0.0021, 0)</f>
        <v>60.7532</v>
      </c>
      <c r="F665" s="10">
        <f>60.7511 * CHOOSE(CONTROL!$C$9, $D$9, 100%, $F$9) + CHOOSE(CONTROL!$C$27, 0.0021, 0)</f>
        <v>60.7532</v>
      </c>
      <c r="G665" s="10">
        <f>61.0224 * CHOOSE(CONTROL!$C$9, $D$9, 100%, $F$9) + CHOOSE(CONTROL!$C$27, 0.0021, 0)</f>
        <v>61.024499999999996</v>
      </c>
      <c r="H665" s="10">
        <f>60.8877 * CHOOSE(CONTROL!$C$9, $D$9, 100%, $F$9) + CHOOSE(CONTROL!$C$27, 0.0021, 0)</f>
        <v>60.889800000000001</v>
      </c>
      <c r="I665" s="10">
        <f>60.8877 * CHOOSE(CONTROL!$C$9, $D$9, 100%, $F$9) + CHOOSE(CONTROL!$C$27, 0.0021, 0)</f>
        <v>60.889800000000001</v>
      </c>
      <c r="J665" s="10">
        <f>60.8877 * CHOOSE(CONTROL!$C$9, $D$9, 100%, $F$9) + CHOOSE(CONTROL!$C$27, 0.0021, 0)</f>
        <v>60.889800000000001</v>
      </c>
      <c r="K665" s="10">
        <f>60.8877 * CHOOSE(CONTROL!$C$9, $D$9, 100%, $F$9) + CHOOSE(CONTROL!$C$27, 0.0021, 0)</f>
        <v>60.889800000000001</v>
      </c>
      <c r="L665" s="10"/>
    </row>
    <row r="666" spans="1:12" ht="15.75" x14ac:dyDescent="0.25">
      <c r="A666" s="13">
        <v>61575</v>
      </c>
      <c r="B666" s="10">
        <f>62.505 * CHOOSE(CONTROL!$C$9, $D$9, 100%, $F$9) + CHOOSE(CONTROL!$C$27, 0.0021, 0)</f>
        <v>62.507100000000001</v>
      </c>
      <c r="C666" s="10">
        <f>62.0727 * CHOOSE(CONTROL!$C$9, $D$9, 100%, $F$9) + CHOOSE(CONTROL!$C$27, 0.0021, 0)</f>
        <v>62.074799999999996</v>
      </c>
      <c r="D666" s="10">
        <f>62.0727 * CHOOSE(CONTROL!$C$9, $D$9, 100%, $F$9) + CHOOSE(CONTROL!$C$27, 0.0021, 0)</f>
        <v>62.074799999999996</v>
      </c>
      <c r="E666" s="10">
        <f>61.9361 * CHOOSE(CONTROL!$C$9, $D$9, 100%, $F$9) + CHOOSE(CONTROL!$C$27, 0.0021, 0)</f>
        <v>61.938200000000002</v>
      </c>
      <c r="F666" s="10">
        <f>61.9361 * CHOOSE(CONTROL!$C$9, $D$9, 100%, $F$9) + CHOOSE(CONTROL!$C$27, 0.0021, 0)</f>
        <v>61.938200000000002</v>
      </c>
      <c r="G666" s="10">
        <f>62.2074 * CHOOSE(CONTROL!$C$9, $D$9, 100%, $F$9) + CHOOSE(CONTROL!$C$27, 0.0021, 0)</f>
        <v>62.209499999999998</v>
      </c>
      <c r="H666" s="10">
        <f>62.0727 * CHOOSE(CONTROL!$C$9, $D$9, 100%, $F$9) + CHOOSE(CONTROL!$C$27, 0.0021, 0)</f>
        <v>62.074799999999996</v>
      </c>
      <c r="I666" s="10">
        <f>62.0727 * CHOOSE(CONTROL!$C$9, $D$9, 100%, $F$9) + CHOOSE(CONTROL!$C$27, 0.0021, 0)</f>
        <v>62.074799999999996</v>
      </c>
      <c r="J666" s="10">
        <f>62.0727 * CHOOSE(CONTROL!$C$9, $D$9, 100%, $F$9) + CHOOSE(CONTROL!$C$27, 0.0021, 0)</f>
        <v>62.074799999999996</v>
      </c>
      <c r="K666" s="10">
        <f>62.0727 * CHOOSE(CONTROL!$C$9, $D$9, 100%, $F$9) + CHOOSE(CONTROL!$C$27, 0.0021, 0)</f>
        <v>62.074799999999996</v>
      </c>
      <c r="L666" s="10"/>
    </row>
    <row r="667" spans="1:12" ht="15.75" x14ac:dyDescent="0.25">
      <c r="A667" s="13">
        <v>61606</v>
      </c>
      <c r="B667" s="10">
        <f>62.8667 * CHOOSE(CONTROL!$C$9, $D$9, 100%, $F$9) + CHOOSE(CONTROL!$C$27, 0.0021, 0)</f>
        <v>62.8688</v>
      </c>
      <c r="C667" s="10">
        <f>62.4344 * CHOOSE(CONTROL!$C$9, $D$9, 100%, $F$9) + CHOOSE(CONTROL!$C$27, 0.0021, 0)</f>
        <v>62.436499999999995</v>
      </c>
      <c r="D667" s="10">
        <f>62.4344 * CHOOSE(CONTROL!$C$9, $D$9, 100%, $F$9) + CHOOSE(CONTROL!$C$27, 0.0021, 0)</f>
        <v>62.436499999999995</v>
      </c>
      <c r="E667" s="10">
        <f>62.2978 * CHOOSE(CONTROL!$C$9, $D$9, 100%, $F$9) + CHOOSE(CONTROL!$C$27, 0.0021, 0)</f>
        <v>62.299900000000001</v>
      </c>
      <c r="F667" s="10">
        <f>62.2978 * CHOOSE(CONTROL!$C$9, $D$9, 100%, $F$9) + CHOOSE(CONTROL!$C$27, 0.0021, 0)</f>
        <v>62.299900000000001</v>
      </c>
      <c r="G667" s="10">
        <f>62.5692 * CHOOSE(CONTROL!$C$9, $D$9, 100%, $F$9) + CHOOSE(CONTROL!$C$27, 0.0021, 0)</f>
        <v>62.571300000000001</v>
      </c>
      <c r="H667" s="10">
        <f>62.4344 * CHOOSE(CONTROL!$C$9, $D$9, 100%, $F$9) + CHOOSE(CONTROL!$C$27, 0.0021, 0)</f>
        <v>62.436499999999995</v>
      </c>
      <c r="I667" s="10">
        <f>62.4344 * CHOOSE(CONTROL!$C$9, $D$9, 100%, $F$9) + CHOOSE(CONTROL!$C$27, 0.0021, 0)</f>
        <v>62.436499999999995</v>
      </c>
      <c r="J667" s="10">
        <f>62.4344 * CHOOSE(CONTROL!$C$9, $D$9, 100%, $F$9) + CHOOSE(CONTROL!$C$27, 0.0021, 0)</f>
        <v>62.436499999999995</v>
      </c>
      <c r="K667" s="10">
        <f>62.4344 * CHOOSE(CONTROL!$C$9, $D$9, 100%, $F$9) + CHOOSE(CONTROL!$C$27, 0.0021, 0)</f>
        <v>62.436499999999995</v>
      </c>
      <c r="L667" s="10"/>
    </row>
    <row r="668" spans="1:12" ht="15.75" x14ac:dyDescent="0.25">
      <c r="A668" s="13">
        <v>61636</v>
      </c>
      <c r="B668" s="10">
        <f>64.0985 * CHOOSE(CONTROL!$C$9, $D$9, 100%, $F$9) + CHOOSE(CONTROL!$C$27, 0.0021, 0)</f>
        <v>64.1006</v>
      </c>
      <c r="C668" s="10">
        <f>63.6662 * CHOOSE(CONTROL!$C$9, $D$9, 100%, $F$9) + CHOOSE(CONTROL!$C$27, 0.0021, 0)</f>
        <v>63.668300000000002</v>
      </c>
      <c r="D668" s="10">
        <f>63.6662 * CHOOSE(CONTROL!$C$9, $D$9, 100%, $F$9) + CHOOSE(CONTROL!$C$27, 0.0021, 0)</f>
        <v>63.668300000000002</v>
      </c>
      <c r="E668" s="10">
        <f>63.5296 * CHOOSE(CONTROL!$C$9, $D$9, 100%, $F$9) + CHOOSE(CONTROL!$C$27, 0.0021, 0)</f>
        <v>63.531700000000001</v>
      </c>
      <c r="F668" s="10">
        <f>63.5296 * CHOOSE(CONTROL!$C$9, $D$9, 100%, $F$9) + CHOOSE(CONTROL!$C$27, 0.0021, 0)</f>
        <v>63.531700000000001</v>
      </c>
      <c r="G668" s="10">
        <f>63.8009 * CHOOSE(CONTROL!$C$9, $D$9, 100%, $F$9) + CHOOSE(CONTROL!$C$27, 0.0021, 0)</f>
        <v>63.802999999999997</v>
      </c>
      <c r="H668" s="10">
        <f>63.6662 * CHOOSE(CONTROL!$C$9, $D$9, 100%, $F$9) + CHOOSE(CONTROL!$C$27, 0.0021, 0)</f>
        <v>63.668300000000002</v>
      </c>
      <c r="I668" s="10">
        <f>63.6662 * CHOOSE(CONTROL!$C$9, $D$9, 100%, $F$9) + CHOOSE(CONTROL!$C$27, 0.0021, 0)</f>
        <v>63.668300000000002</v>
      </c>
      <c r="J668" s="10">
        <f>63.6662 * CHOOSE(CONTROL!$C$9, $D$9, 100%, $F$9) + CHOOSE(CONTROL!$C$27, 0.0021, 0)</f>
        <v>63.668300000000002</v>
      </c>
      <c r="K668" s="10">
        <f>63.6662 * CHOOSE(CONTROL!$C$9, $D$9, 100%, $F$9) + CHOOSE(CONTROL!$C$27, 0.0021, 0)</f>
        <v>63.668300000000002</v>
      </c>
      <c r="L668" s="10"/>
    </row>
    <row r="669" spans="1:12" ht="15.75" x14ac:dyDescent="0.25">
      <c r="A669" s="13">
        <v>61667</v>
      </c>
      <c r="B669" s="10">
        <f>65.6577 * CHOOSE(CONTROL!$C$9, $D$9, 100%, $F$9) + CHOOSE(CONTROL!$C$27, 0.0021, 0)</f>
        <v>65.659800000000004</v>
      </c>
      <c r="C669" s="10">
        <f>65.2254 * CHOOSE(CONTROL!$C$9, $D$9, 100%, $F$9) + CHOOSE(CONTROL!$C$27, 0.0021, 0)</f>
        <v>65.227499999999992</v>
      </c>
      <c r="D669" s="10">
        <f>65.2254 * CHOOSE(CONTROL!$C$9, $D$9, 100%, $F$9) + CHOOSE(CONTROL!$C$27, 0.0021, 0)</f>
        <v>65.227499999999992</v>
      </c>
      <c r="E669" s="10">
        <f>65.0888 * CHOOSE(CONTROL!$C$9, $D$9, 100%, $F$9) + CHOOSE(CONTROL!$C$27, 0.0021, 0)</f>
        <v>65.090900000000005</v>
      </c>
      <c r="F669" s="10">
        <f>65.0888 * CHOOSE(CONTROL!$C$9, $D$9, 100%, $F$9) + CHOOSE(CONTROL!$C$27, 0.0021, 0)</f>
        <v>65.090900000000005</v>
      </c>
      <c r="G669" s="10">
        <f>65.3601 * CHOOSE(CONTROL!$C$9, $D$9, 100%, $F$9) + CHOOSE(CONTROL!$C$27, 0.0021, 0)</f>
        <v>65.362200000000001</v>
      </c>
      <c r="H669" s="10">
        <f>65.2254 * CHOOSE(CONTROL!$C$9, $D$9, 100%, $F$9) + CHOOSE(CONTROL!$C$27, 0.0021, 0)</f>
        <v>65.227499999999992</v>
      </c>
      <c r="I669" s="10">
        <f>65.2254 * CHOOSE(CONTROL!$C$9, $D$9, 100%, $F$9) + CHOOSE(CONTROL!$C$27, 0.0021, 0)</f>
        <v>65.227499999999992</v>
      </c>
      <c r="J669" s="10">
        <f>65.2254 * CHOOSE(CONTROL!$C$9, $D$9, 100%, $F$9) + CHOOSE(CONTROL!$C$27, 0.0021, 0)</f>
        <v>65.227499999999992</v>
      </c>
      <c r="K669" s="10">
        <f>65.2254 * CHOOSE(CONTROL!$C$9, $D$9, 100%, $F$9) + CHOOSE(CONTROL!$C$27, 0.0021, 0)</f>
        <v>65.227499999999992</v>
      </c>
      <c r="L669" s="10"/>
    </row>
    <row r="670" spans="1:12" ht="15.75" x14ac:dyDescent="0.25">
      <c r="A670" s="13">
        <v>61697</v>
      </c>
      <c r="B670" s="10">
        <f>65.8041 * CHOOSE(CONTROL!$C$9, $D$9, 100%, $F$9) + CHOOSE(CONTROL!$C$27, 0.0021, 0)</f>
        <v>65.806200000000004</v>
      </c>
      <c r="C670" s="10">
        <f>65.3718 * CHOOSE(CONTROL!$C$9, $D$9, 100%, $F$9) + CHOOSE(CONTROL!$C$27, 0.0021, 0)</f>
        <v>65.373899999999992</v>
      </c>
      <c r="D670" s="10">
        <f>65.3718 * CHOOSE(CONTROL!$C$9, $D$9, 100%, $F$9) + CHOOSE(CONTROL!$C$27, 0.0021, 0)</f>
        <v>65.373899999999992</v>
      </c>
      <c r="E670" s="10">
        <f>65.2351 * CHOOSE(CONTROL!$C$9, $D$9, 100%, $F$9) + CHOOSE(CONTROL!$C$27, 0.0021, 0)</f>
        <v>65.237200000000001</v>
      </c>
      <c r="F670" s="10">
        <f>65.2351 * CHOOSE(CONTROL!$C$9, $D$9, 100%, $F$9) + CHOOSE(CONTROL!$C$27, 0.0021, 0)</f>
        <v>65.237200000000001</v>
      </c>
      <c r="G670" s="10">
        <f>65.5065 * CHOOSE(CONTROL!$C$9, $D$9, 100%, $F$9) + CHOOSE(CONTROL!$C$27, 0.0021, 0)</f>
        <v>65.508600000000001</v>
      </c>
      <c r="H670" s="10">
        <f>65.3718 * CHOOSE(CONTROL!$C$9, $D$9, 100%, $F$9) + CHOOSE(CONTROL!$C$27, 0.0021, 0)</f>
        <v>65.373899999999992</v>
      </c>
      <c r="I670" s="10">
        <f>65.3718 * CHOOSE(CONTROL!$C$9, $D$9, 100%, $F$9) + CHOOSE(CONTROL!$C$27, 0.0021, 0)</f>
        <v>65.373899999999992</v>
      </c>
      <c r="J670" s="10">
        <f>65.3718 * CHOOSE(CONTROL!$C$9, $D$9, 100%, $F$9) + CHOOSE(CONTROL!$C$27, 0.0021, 0)</f>
        <v>65.373899999999992</v>
      </c>
      <c r="K670" s="10">
        <f>65.3718 * CHOOSE(CONTROL!$C$9, $D$9, 100%, $F$9) + CHOOSE(CONTROL!$C$27, 0.0021, 0)</f>
        <v>65.373899999999992</v>
      </c>
      <c r="L670" s="10"/>
    </row>
    <row r="671" spans="1:12" ht="15.75" x14ac:dyDescent="0.25">
      <c r="A671" s="13">
        <v>61728</v>
      </c>
      <c r="B671" s="10">
        <f>64.5587 * CHOOSE(CONTROL!$C$9, $D$9, 100%, $F$9) + CHOOSE(CONTROL!$C$27, 0.0021, 0)</f>
        <v>64.5608</v>
      </c>
      <c r="C671" s="10">
        <f>64.1265 * CHOOSE(CONTROL!$C$9, $D$9, 100%, $F$9) + CHOOSE(CONTROL!$C$27, 0.0021, 0)</f>
        <v>64.128599999999992</v>
      </c>
      <c r="D671" s="10">
        <f>64.1265 * CHOOSE(CONTROL!$C$9, $D$9, 100%, $F$9) + CHOOSE(CONTROL!$C$27, 0.0021, 0)</f>
        <v>64.128599999999992</v>
      </c>
      <c r="E671" s="10">
        <f>63.9898 * CHOOSE(CONTROL!$C$9, $D$9, 100%, $F$9) + CHOOSE(CONTROL!$C$27, 0.0021, 0)</f>
        <v>63.991900000000001</v>
      </c>
      <c r="F671" s="10">
        <f>63.9898 * CHOOSE(CONTROL!$C$9, $D$9, 100%, $F$9) + CHOOSE(CONTROL!$C$27, 0.0021, 0)</f>
        <v>63.991900000000001</v>
      </c>
      <c r="G671" s="10">
        <f>64.2612 * CHOOSE(CONTROL!$C$9, $D$9, 100%, $F$9) + CHOOSE(CONTROL!$C$27, 0.0021, 0)</f>
        <v>64.263300000000001</v>
      </c>
      <c r="H671" s="10">
        <f>64.1265 * CHOOSE(CONTROL!$C$9, $D$9, 100%, $F$9) + CHOOSE(CONTROL!$C$27, 0.0021, 0)</f>
        <v>64.128599999999992</v>
      </c>
      <c r="I671" s="10">
        <f>64.1265 * CHOOSE(CONTROL!$C$9, $D$9, 100%, $F$9) + CHOOSE(CONTROL!$C$27, 0.0021, 0)</f>
        <v>64.128599999999992</v>
      </c>
      <c r="J671" s="10">
        <f>64.1265 * CHOOSE(CONTROL!$C$9, $D$9, 100%, $F$9) + CHOOSE(CONTROL!$C$27, 0.0021, 0)</f>
        <v>64.128599999999992</v>
      </c>
      <c r="K671" s="10">
        <f>64.1265 * CHOOSE(CONTROL!$C$9, $D$9, 100%, $F$9) + CHOOSE(CONTROL!$C$27, 0.0021, 0)</f>
        <v>64.128599999999992</v>
      </c>
      <c r="L671" s="10"/>
    </row>
    <row r="672" spans="1:12" ht="15.75" x14ac:dyDescent="0.25">
      <c r="A672" s="13">
        <v>61759</v>
      </c>
      <c r="B672" s="10">
        <f>63.6053 * CHOOSE(CONTROL!$C$9, $D$9, 100%, $F$9) + CHOOSE(CONTROL!$C$27, 0.0021, 0)</f>
        <v>63.607399999999998</v>
      </c>
      <c r="C672" s="10">
        <f>63.173 * CHOOSE(CONTROL!$C$9, $D$9, 100%, $F$9) + CHOOSE(CONTROL!$C$27, 0.0021, 0)</f>
        <v>63.1751</v>
      </c>
      <c r="D672" s="10">
        <f>63.173 * CHOOSE(CONTROL!$C$9, $D$9, 100%, $F$9) + CHOOSE(CONTROL!$C$27, 0.0021, 0)</f>
        <v>63.1751</v>
      </c>
      <c r="E672" s="10">
        <f>63.0364 * CHOOSE(CONTROL!$C$9, $D$9, 100%, $F$9) + CHOOSE(CONTROL!$C$27, 0.0021, 0)</f>
        <v>63.038499999999999</v>
      </c>
      <c r="F672" s="10">
        <f>63.0364 * CHOOSE(CONTROL!$C$9, $D$9, 100%, $F$9) + CHOOSE(CONTROL!$C$27, 0.0021, 0)</f>
        <v>63.038499999999999</v>
      </c>
      <c r="G672" s="10">
        <f>63.3078 * CHOOSE(CONTROL!$C$9, $D$9, 100%, $F$9) + CHOOSE(CONTROL!$C$27, 0.0021, 0)</f>
        <v>63.309899999999999</v>
      </c>
      <c r="H672" s="10">
        <f>63.173 * CHOOSE(CONTROL!$C$9, $D$9, 100%, $F$9) + CHOOSE(CONTROL!$C$27, 0.0021, 0)</f>
        <v>63.1751</v>
      </c>
      <c r="I672" s="10">
        <f>63.173 * CHOOSE(CONTROL!$C$9, $D$9, 100%, $F$9) + CHOOSE(CONTROL!$C$27, 0.0021, 0)</f>
        <v>63.1751</v>
      </c>
      <c r="J672" s="10">
        <f>63.173 * CHOOSE(CONTROL!$C$9, $D$9, 100%, $F$9) + CHOOSE(CONTROL!$C$27, 0.0021, 0)</f>
        <v>63.1751</v>
      </c>
      <c r="K672" s="10">
        <f>63.173 * CHOOSE(CONTROL!$C$9, $D$9, 100%, $F$9) + CHOOSE(CONTROL!$C$27, 0.0021, 0)</f>
        <v>63.1751</v>
      </c>
      <c r="L672" s="10"/>
    </row>
    <row r="673" spans="1:12" ht="15.75" x14ac:dyDescent="0.25">
      <c r="A673" s="13">
        <v>61787</v>
      </c>
      <c r="B673" s="10">
        <f>61.871 * CHOOSE(CONTROL!$C$9, $D$9, 100%, $F$9) + CHOOSE(CONTROL!$C$27, 0.0021, 0)</f>
        <v>61.873100000000001</v>
      </c>
      <c r="C673" s="10">
        <f>61.4388 * CHOOSE(CONTROL!$C$9, $D$9, 100%, $F$9) + CHOOSE(CONTROL!$C$27, 0.0021, 0)</f>
        <v>61.440899999999999</v>
      </c>
      <c r="D673" s="10">
        <f>61.4388 * CHOOSE(CONTROL!$C$9, $D$9, 100%, $F$9) + CHOOSE(CONTROL!$C$27, 0.0021, 0)</f>
        <v>61.440899999999999</v>
      </c>
      <c r="E673" s="10">
        <f>61.3021 * CHOOSE(CONTROL!$C$9, $D$9, 100%, $F$9) + CHOOSE(CONTROL!$C$27, 0.0021, 0)</f>
        <v>61.304200000000002</v>
      </c>
      <c r="F673" s="10">
        <f>61.3021 * CHOOSE(CONTROL!$C$9, $D$9, 100%, $F$9) + CHOOSE(CONTROL!$C$27, 0.0021, 0)</f>
        <v>61.304200000000002</v>
      </c>
      <c r="G673" s="10">
        <f>61.5735 * CHOOSE(CONTROL!$C$9, $D$9, 100%, $F$9) + CHOOSE(CONTROL!$C$27, 0.0021, 0)</f>
        <v>61.575600000000001</v>
      </c>
      <c r="H673" s="10">
        <f>61.4388 * CHOOSE(CONTROL!$C$9, $D$9, 100%, $F$9) + CHOOSE(CONTROL!$C$27, 0.0021, 0)</f>
        <v>61.440899999999999</v>
      </c>
      <c r="I673" s="10">
        <f>61.4388 * CHOOSE(CONTROL!$C$9, $D$9, 100%, $F$9) + CHOOSE(CONTROL!$C$27, 0.0021, 0)</f>
        <v>61.440899999999999</v>
      </c>
      <c r="J673" s="10">
        <f>61.4388 * CHOOSE(CONTROL!$C$9, $D$9, 100%, $F$9) + CHOOSE(CONTROL!$C$27, 0.0021, 0)</f>
        <v>61.440899999999999</v>
      </c>
      <c r="K673" s="10">
        <f>61.4388 * CHOOSE(CONTROL!$C$9, $D$9, 100%, $F$9) + CHOOSE(CONTROL!$C$27, 0.0021, 0)</f>
        <v>61.440899999999999</v>
      </c>
      <c r="L673" s="10"/>
    </row>
    <row r="674" spans="1:12" ht="15.75" x14ac:dyDescent="0.25">
      <c r="A674" s="13">
        <v>61818</v>
      </c>
      <c r="B674" s="10">
        <f>61.1551 * CHOOSE(CONTROL!$C$9, $D$9, 100%, $F$9) + CHOOSE(CONTROL!$C$27, 0.0021, 0)</f>
        <v>61.157199999999996</v>
      </c>
      <c r="C674" s="10">
        <f>60.7229 * CHOOSE(CONTROL!$C$9, $D$9, 100%, $F$9) + CHOOSE(CONTROL!$C$27, 0.0021, 0)</f>
        <v>60.725000000000001</v>
      </c>
      <c r="D674" s="10">
        <f>60.7229 * CHOOSE(CONTROL!$C$9, $D$9, 100%, $F$9) + CHOOSE(CONTROL!$C$27, 0.0021, 0)</f>
        <v>60.725000000000001</v>
      </c>
      <c r="E674" s="10">
        <f>60.5862 * CHOOSE(CONTROL!$C$9, $D$9, 100%, $F$9) + CHOOSE(CONTROL!$C$27, 0.0021, 0)</f>
        <v>60.588299999999997</v>
      </c>
      <c r="F674" s="10">
        <f>60.5862 * CHOOSE(CONTROL!$C$9, $D$9, 100%, $F$9) + CHOOSE(CONTROL!$C$27, 0.0021, 0)</f>
        <v>60.588299999999997</v>
      </c>
      <c r="G674" s="10">
        <f>60.8576 * CHOOSE(CONTROL!$C$9, $D$9, 100%, $F$9) + CHOOSE(CONTROL!$C$27, 0.0021, 0)</f>
        <v>60.859699999999997</v>
      </c>
      <c r="H674" s="10">
        <f>60.7229 * CHOOSE(CONTROL!$C$9, $D$9, 100%, $F$9) + CHOOSE(CONTROL!$C$27, 0.0021, 0)</f>
        <v>60.725000000000001</v>
      </c>
      <c r="I674" s="10">
        <f>60.7229 * CHOOSE(CONTROL!$C$9, $D$9, 100%, $F$9) + CHOOSE(CONTROL!$C$27, 0.0021, 0)</f>
        <v>60.725000000000001</v>
      </c>
      <c r="J674" s="10">
        <f>60.7229 * CHOOSE(CONTROL!$C$9, $D$9, 100%, $F$9) + CHOOSE(CONTROL!$C$27, 0.0021, 0)</f>
        <v>60.725000000000001</v>
      </c>
      <c r="K674" s="10">
        <f>60.7229 * CHOOSE(CONTROL!$C$9, $D$9, 100%, $F$9) + CHOOSE(CONTROL!$C$27, 0.0021, 0)</f>
        <v>60.725000000000001</v>
      </c>
      <c r="L674" s="10"/>
    </row>
    <row r="675" spans="1:12" ht="15.75" x14ac:dyDescent="0.25">
      <c r="A675" s="13">
        <v>61848</v>
      </c>
      <c r="B675" s="10">
        <f>60.3003 * CHOOSE(CONTROL!$C$9, $D$9, 100%, $F$9) + CHOOSE(CONTROL!$C$27, 0.0021, 0)</f>
        <v>60.302399999999999</v>
      </c>
      <c r="C675" s="10">
        <f>59.8681 * CHOOSE(CONTROL!$C$9, $D$9, 100%, $F$9) + CHOOSE(CONTROL!$C$27, 0.0021, 0)</f>
        <v>59.870199999999997</v>
      </c>
      <c r="D675" s="10">
        <f>59.8681 * CHOOSE(CONTROL!$C$9, $D$9, 100%, $F$9) + CHOOSE(CONTROL!$C$27, 0.0021, 0)</f>
        <v>59.870199999999997</v>
      </c>
      <c r="E675" s="10">
        <f>59.7314 * CHOOSE(CONTROL!$C$9, $D$9, 100%, $F$9) + CHOOSE(CONTROL!$C$27, 0.0021, 0)</f>
        <v>59.733499999999999</v>
      </c>
      <c r="F675" s="10">
        <f>59.7314 * CHOOSE(CONTROL!$C$9, $D$9, 100%, $F$9) + CHOOSE(CONTROL!$C$27, 0.0021, 0)</f>
        <v>59.733499999999999</v>
      </c>
      <c r="G675" s="10">
        <f>60.0028 * CHOOSE(CONTROL!$C$9, $D$9, 100%, $F$9) + CHOOSE(CONTROL!$C$27, 0.0021, 0)</f>
        <v>60.004899999999999</v>
      </c>
      <c r="H675" s="10">
        <f>59.8681 * CHOOSE(CONTROL!$C$9, $D$9, 100%, $F$9) + CHOOSE(CONTROL!$C$27, 0.0021, 0)</f>
        <v>59.870199999999997</v>
      </c>
      <c r="I675" s="10">
        <f>59.8681 * CHOOSE(CONTROL!$C$9, $D$9, 100%, $F$9) + CHOOSE(CONTROL!$C$27, 0.0021, 0)</f>
        <v>59.870199999999997</v>
      </c>
      <c r="J675" s="10">
        <f>59.8681 * CHOOSE(CONTROL!$C$9, $D$9, 100%, $F$9) + CHOOSE(CONTROL!$C$27, 0.0021, 0)</f>
        <v>59.870199999999997</v>
      </c>
      <c r="K675" s="10">
        <f>59.8681 * CHOOSE(CONTROL!$C$9, $D$9, 100%, $F$9) + CHOOSE(CONTROL!$C$27, 0.0021, 0)</f>
        <v>59.870199999999997</v>
      </c>
      <c r="L675" s="10"/>
    </row>
    <row r="676" spans="1:12" ht="15.75" x14ac:dyDescent="0.25">
      <c r="A676" s="13">
        <v>61879</v>
      </c>
      <c r="B676" s="10">
        <f>61.5185 * CHOOSE(CONTROL!$C$9, $D$9, 100%, $F$9) + CHOOSE(CONTROL!$C$27, 0.0021, 0)</f>
        <v>61.520600000000002</v>
      </c>
      <c r="C676" s="10">
        <f>61.0863 * CHOOSE(CONTROL!$C$9, $D$9, 100%, $F$9) + CHOOSE(CONTROL!$C$27, 0.0021, 0)</f>
        <v>61.0884</v>
      </c>
      <c r="D676" s="10">
        <f>61.0863 * CHOOSE(CONTROL!$C$9, $D$9, 100%, $F$9) + CHOOSE(CONTROL!$C$27, 0.0021, 0)</f>
        <v>61.0884</v>
      </c>
      <c r="E676" s="10">
        <f>60.9496 * CHOOSE(CONTROL!$C$9, $D$9, 100%, $F$9) + CHOOSE(CONTROL!$C$27, 0.0021, 0)</f>
        <v>60.951699999999995</v>
      </c>
      <c r="F676" s="10">
        <f>60.9496 * CHOOSE(CONTROL!$C$9, $D$9, 100%, $F$9) + CHOOSE(CONTROL!$C$27, 0.0021, 0)</f>
        <v>60.951699999999995</v>
      </c>
      <c r="G676" s="10">
        <f>61.221 * CHOOSE(CONTROL!$C$9, $D$9, 100%, $F$9) + CHOOSE(CONTROL!$C$27, 0.0021, 0)</f>
        <v>61.223099999999995</v>
      </c>
      <c r="H676" s="10">
        <f>61.0863 * CHOOSE(CONTROL!$C$9, $D$9, 100%, $F$9) + CHOOSE(CONTROL!$C$27, 0.0021, 0)</f>
        <v>61.0884</v>
      </c>
      <c r="I676" s="10">
        <f>61.0863 * CHOOSE(CONTROL!$C$9, $D$9, 100%, $F$9) + CHOOSE(CONTROL!$C$27, 0.0021, 0)</f>
        <v>61.0884</v>
      </c>
      <c r="J676" s="10">
        <f>61.0863 * CHOOSE(CONTROL!$C$9, $D$9, 100%, $F$9) + CHOOSE(CONTROL!$C$27, 0.0021, 0)</f>
        <v>61.0884</v>
      </c>
      <c r="K676" s="10">
        <f>61.0863 * CHOOSE(CONTROL!$C$9, $D$9, 100%, $F$9) + CHOOSE(CONTROL!$C$27, 0.0021, 0)</f>
        <v>61.0884</v>
      </c>
      <c r="L676" s="10"/>
    </row>
    <row r="677" spans="1:12" ht="15.75" x14ac:dyDescent="0.25">
      <c r="A677" s="13">
        <v>61909</v>
      </c>
      <c r="B677" s="10">
        <f>62.2482 * CHOOSE(CONTROL!$C$9, $D$9, 100%, $F$9) + CHOOSE(CONTROL!$C$27, 0.0021, 0)</f>
        <v>62.250299999999996</v>
      </c>
      <c r="C677" s="10">
        <f>61.8159 * CHOOSE(CONTROL!$C$9, $D$9, 100%, $F$9) + CHOOSE(CONTROL!$C$27, 0.0021, 0)</f>
        <v>61.817999999999998</v>
      </c>
      <c r="D677" s="10">
        <f>61.8159 * CHOOSE(CONTROL!$C$9, $D$9, 100%, $F$9) + CHOOSE(CONTROL!$C$27, 0.0021, 0)</f>
        <v>61.817999999999998</v>
      </c>
      <c r="E677" s="10">
        <f>61.6793 * CHOOSE(CONTROL!$C$9, $D$9, 100%, $F$9) + CHOOSE(CONTROL!$C$27, 0.0021, 0)</f>
        <v>61.681399999999996</v>
      </c>
      <c r="F677" s="10">
        <f>61.6793 * CHOOSE(CONTROL!$C$9, $D$9, 100%, $F$9) + CHOOSE(CONTROL!$C$27, 0.0021, 0)</f>
        <v>61.681399999999996</v>
      </c>
      <c r="G677" s="10">
        <f>61.9506 * CHOOSE(CONTROL!$C$9, $D$9, 100%, $F$9) + CHOOSE(CONTROL!$C$27, 0.0021, 0)</f>
        <v>61.9527</v>
      </c>
      <c r="H677" s="10">
        <f>61.8159 * CHOOSE(CONTROL!$C$9, $D$9, 100%, $F$9) + CHOOSE(CONTROL!$C$27, 0.0021, 0)</f>
        <v>61.817999999999998</v>
      </c>
      <c r="I677" s="10">
        <f>61.8159 * CHOOSE(CONTROL!$C$9, $D$9, 100%, $F$9) + CHOOSE(CONTROL!$C$27, 0.0021, 0)</f>
        <v>61.817999999999998</v>
      </c>
      <c r="J677" s="10">
        <f>61.8159 * CHOOSE(CONTROL!$C$9, $D$9, 100%, $F$9) + CHOOSE(CONTROL!$C$27, 0.0021, 0)</f>
        <v>61.817999999999998</v>
      </c>
      <c r="K677" s="10">
        <f>61.8159 * CHOOSE(CONTROL!$C$9, $D$9, 100%, $F$9) + CHOOSE(CONTROL!$C$27, 0.0021, 0)</f>
        <v>61.817999999999998</v>
      </c>
      <c r="L677" s="10"/>
    </row>
    <row r="678" spans="1:12" ht="15.75" x14ac:dyDescent="0.25">
      <c r="A678" s="13">
        <v>61940</v>
      </c>
      <c r="B678" s="10">
        <f>63.4518 * CHOOSE(CONTROL!$C$9, $D$9, 100%, $F$9) + CHOOSE(CONTROL!$C$27, 0.0021, 0)</f>
        <v>63.453899999999997</v>
      </c>
      <c r="C678" s="10">
        <f>63.0196 * CHOOSE(CONTROL!$C$9, $D$9, 100%, $F$9) + CHOOSE(CONTROL!$C$27, 0.0021, 0)</f>
        <v>63.021699999999996</v>
      </c>
      <c r="D678" s="10">
        <f>63.0196 * CHOOSE(CONTROL!$C$9, $D$9, 100%, $F$9) + CHOOSE(CONTROL!$C$27, 0.0021, 0)</f>
        <v>63.021699999999996</v>
      </c>
      <c r="E678" s="10">
        <f>62.8829 * CHOOSE(CONTROL!$C$9, $D$9, 100%, $F$9) + CHOOSE(CONTROL!$C$27, 0.0021, 0)</f>
        <v>62.884999999999998</v>
      </c>
      <c r="F678" s="10">
        <f>62.8829 * CHOOSE(CONTROL!$C$9, $D$9, 100%, $F$9) + CHOOSE(CONTROL!$C$27, 0.0021, 0)</f>
        <v>62.884999999999998</v>
      </c>
      <c r="G678" s="10">
        <f>63.1543 * CHOOSE(CONTROL!$C$9, $D$9, 100%, $F$9) + CHOOSE(CONTROL!$C$27, 0.0021, 0)</f>
        <v>63.156399999999998</v>
      </c>
      <c r="H678" s="10">
        <f>63.0196 * CHOOSE(CONTROL!$C$9, $D$9, 100%, $F$9) + CHOOSE(CONTROL!$C$27, 0.0021, 0)</f>
        <v>63.021699999999996</v>
      </c>
      <c r="I678" s="10">
        <f>63.0196 * CHOOSE(CONTROL!$C$9, $D$9, 100%, $F$9) + CHOOSE(CONTROL!$C$27, 0.0021, 0)</f>
        <v>63.021699999999996</v>
      </c>
      <c r="J678" s="10">
        <f>63.0196 * CHOOSE(CONTROL!$C$9, $D$9, 100%, $F$9) + CHOOSE(CONTROL!$C$27, 0.0021, 0)</f>
        <v>63.021699999999996</v>
      </c>
      <c r="K678" s="10">
        <f>63.0196 * CHOOSE(CONTROL!$C$9, $D$9, 100%, $F$9) + CHOOSE(CONTROL!$C$27, 0.0021, 0)</f>
        <v>63.021699999999996</v>
      </c>
      <c r="L678" s="10"/>
    </row>
    <row r="679" spans="1:12" ht="15.75" x14ac:dyDescent="0.25">
      <c r="A679" s="13">
        <v>61971</v>
      </c>
      <c r="B679" s="10">
        <f>63.8192 * CHOOSE(CONTROL!$C$9, $D$9, 100%, $F$9) + CHOOSE(CONTROL!$C$27, 0.0021, 0)</f>
        <v>63.821300000000001</v>
      </c>
      <c r="C679" s="10">
        <f>63.387 * CHOOSE(CONTROL!$C$9, $D$9, 100%, $F$9) + CHOOSE(CONTROL!$C$27, 0.0021, 0)</f>
        <v>63.389099999999999</v>
      </c>
      <c r="D679" s="10">
        <f>63.387 * CHOOSE(CONTROL!$C$9, $D$9, 100%, $F$9) + CHOOSE(CONTROL!$C$27, 0.0021, 0)</f>
        <v>63.389099999999999</v>
      </c>
      <c r="E679" s="10">
        <f>63.2503 * CHOOSE(CONTROL!$C$9, $D$9, 100%, $F$9) + CHOOSE(CONTROL!$C$27, 0.0021, 0)</f>
        <v>63.252400000000002</v>
      </c>
      <c r="F679" s="10">
        <f>63.2503 * CHOOSE(CONTROL!$C$9, $D$9, 100%, $F$9) + CHOOSE(CONTROL!$C$27, 0.0021, 0)</f>
        <v>63.252400000000002</v>
      </c>
      <c r="G679" s="10">
        <f>63.5217 * CHOOSE(CONTROL!$C$9, $D$9, 100%, $F$9) + CHOOSE(CONTROL!$C$27, 0.0021, 0)</f>
        <v>63.523800000000001</v>
      </c>
      <c r="H679" s="10">
        <f>63.387 * CHOOSE(CONTROL!$C$9, $D$9, 100%, $F$9) + CHOOSE(CONTROL!$C$27, 0.0021, 0)</f>
        <v>63.389099999999999</v>
      </c>
      <c r="I679" s="10">
        <f>63.387 * CHOOSE(CONTROL!$C$9, $D$9, 100%, $F$9) + CHOOSE(CONTROL!$C$27, 0.0021, 0)</f>
        <v>63.389099999999999</v>
      </c>
      <c r="J679" s="10">
        <f>63.387 * CHOOSE(CONTROL!$C$9, $D$9, 100%, $F$9) + CHOOSE(CONTROL!$C$27, 0.0021, 0)</f>
        <v>63.389099999999999</v>
      </c>
      <c r="K679" s="10">
        <f>63.387 * CHOOSE(CONTROL!$C$9, $D$9, 100%, $F$9) + CHOOSE(CONTROL!$C$27, 0.0021, 0)</f>
        <v>63.389099999999999</v>
      </c>
      <c r="L679" s="10"/>
    </row>
    <row r="680" spans="1:12" ht="15.75" x14ac:dyDescent="0.25">
      <c r="A680" s="13">
        <v>62001</v>
      </c>
      <c r="B680" s="10">
        <f>65.0704 * CHOOSE(CONTROL!$C$9, $D$9, 100%, $F$9) + CHOOSE(CONTROL!$C$27, 0.0021, 0)</f>
        <v>65.072500000000005</v>
      </c>
      <c r="C680" s="10">
        <f>64.6381 * CHOOSE(CONTROL!$C$9, $D$9, 100%, $F$9) + CHOOSE(CONTROL!$C$27, 0.0021, 0)</f>
        <v>64.640199999999993</v>
      </c>
      <c r="D680" s="10">
        <f>64.6381 * CHOOSE(CONTROL!$C$9, $D$9, 100%, $F$9) + CHOOSE(CONTROL!$C$27, 0.0021, 0)</f>
        <v>64.640199999999993</v>
      </c>
      <c r="E680" s="10">
        <f>64.5015 * CHOOSE(CONTROL!$C$9, $D$9, 100%, $F$9) + CHOOSE(CONTROL!$C$27, 0.0021, 0)</f>
        <v>64.503599999999992</v>
      </c>
      <c r="F680" s="10">
        <f>64.5015 * CHOOSE(CONTROL!$C$9, $D$9, 100%, $F$9) + CHOOSE(CONTROL!$C$27, 0.0021, 0)</f>
        <v>64.503599999999992</v>
      </c>
      <c r="G680" s="10">
        <f>64.7728 * CHOOSE(CONTROL!$C$9, $D$9, 100%, $F$9) + CHOOSE(CONTROL!$C$27, 0.0021, 0)</f>
        <v>64.774900000000002</v>
      </c>
      <c r="H680" s="10">
        <f>64.6381 * CHOOSE(CONTROL!$C$9, $D$9, 100%, $F$9) + CHOOSE(CONTROL!$C$27, 0.0021, 0)</f>
        <v>64.640199999999993</v>
      </c>
      <c r="I680" s="10">
        <f>64.6381 * CHOOSE(CONTROL!$C$9, $D$9, 100%, $F$9) + CHOOSE(CONTROL!$C$27, 0.0021, 0)</f>
        <v>64.640199999999993</v>
      </c>
      <c r="J680" s="10">
        <f>64.6381 * CHOOSE(CONTROL!$C$9, $D$9, 100%, $F$9) + CHOOSE(CONTROL!$C$27, 0.0021, 0)</f>
        <v>64.640199999999993</v>
      </c>
      <c r="K680" s="10">
        <f>64.6381 * CHOOSE(CONTROL!$C$9, $D$9, 100%, $F$9) + CHOOSE(CONTROL!$C$27, 0.0021, 0)</f>
        <v>64.640199999999993</v>
      </c>
      <c r="L680" s="10"/>
    </row>
    <row r="681" spans="1:12" ht="15.75" x14ac:dyDescent="0.25">
      <c r="A681" s="13">
        <v>62032</v>
      </c>
      <c r="B681" s="10">
        <f>66.6541 * CHOOSE(CONTROL!$C$9, $D$9, 100%, $F$9) + CHOOSE(CONTROL!$C$27, 0.0021, 0)</f>
        <v>66.656199999999998</v>
      </c>
      <c r="C681" s="10">
        <f>66.2218 * CHOOSE(CONTROL!$C$9, $D$9, 100%, $F$9) + CHOOSE(CONTROL!$C$27, 0.0021, 0)</f>
        <v>66.2239</v>
      </c>
      <c r="D681" s="10">
        <f>66.2218 * CHOOSE(CONTROL!$C$9, $D$9, 100%, $F$9) + CHOOSE(CONTROL!$C$27, 0.0021, 0)</f>
        <v>66.2239</v>
      </c>
      <c r="E681" s="10">
        <f>66.0852 * CHOOSE(CONTROL!$C$9, $D$9, 100%, $F$9) + CHOOSE(CONTROL!$C$27, 0.0021, 0)</f>
        <v>66.087299999999999</v>
      </c>
      <c r="F681" s="10">
        <f>66.0852 * CHOOSE(CONTROL!$C$9, $D$9, 100%, $F$9) + CHOOSE(CONTROL!$C$27, 0.0021, 0)</f>
        <v>66.087299999999999</v>
      </c>
      <c r="G681" s="10">
        <f>66.3566 * CHOOSE(CONTROL!$C$9, $D$9, 100%, $F$9) + CHOOSE(CONTROL!$C$27, 0.0021, 0)</f>
        <v>66.358699999999999</v>
      </c>
      <c r="H681" s="10">
        <f>66.2218 * CHOOSE(CONTROL!$C$9, $D$9, 100%, $F$9) + CHOOSE(CONTROL!$C$27, 0.0021, 0)</f>
        <v>66.2239</v>
      </c>
      <c r="I681" s="10">
        <f>66.2218 * CHOOSE(CONTROL!$C$9, $D$9, 100%, $F$9) + CHOOSE(CONTROL!$C$27, 0.0021, 0)</f>
        <v>66.2239</v>
      </c>
      <c r="J681" s="10">
        <f>66.2218 * CHOOSE(CONTROL!$C$9, $D$9, 100%, $F$9) + CHOOSE(CONTROL!$C$27, 0.0021, 0)</f>
        <v>66.2239</v>
      </c>
      <c r="K681" s="10">
        <f>66.2218 * CHOOSE(CONTROL!$C$9, $D$9, 100%, $F$9) + CHOOSE(CONTROL!$C$27, 0.0021, 0)</f>
        <v>66.2239</v>
      </c>
      <c r="L681" s="10"/>
    </row>
    <row r="682" spans="1:12" ht="15.75" x14ac:dyDescent="0.25">
      <c r="A682" s="13">
        <v>62062</v>
      </c>
      <c r="B682" s="10">
        <f>66.8028 * CHOOSE(CONTROL!$C$9, $D$9, 100%, $F$9) + CHOOSE(CONTROL!$C$27, 0.0021, 0)</f>
        <v>66.804900000000004</v>
      </c>
      <c r="C682" s="10">
        <f>66.3705 * CHOOSE(CONTROL!$C$9, $D$9, 100%, $F$9) + CHOOSE(CONTROL!$C$27, 0.0021, 0)</f>
        <v>66.372600000000006</v>
      </c>
      <c r="D682" s="10">
        <f>66.3705 * CHOOSE(CONTROL!$C$9, $D$9, 100%, $F$9) + CHOOSE(CONTROL!$C$27, 0.0021, 0)</f>
        <v>66.372600000000006</v>
      </c>
      <c r="E682" s="10">
        <f>66.2339 * CHOOSE(CONTROL!$C$9, $D$9, 100%, $F$9) + CHOOSE(CONTROL!$C$27, 0.0021, 0)</f>
        <v>66.236000000000004</v>
      </c>
      <c r="F682" s="10">
        <f>66.2339 * CHOOSE(CONTROL!$C$9, $D$9, 100%, $F$9) + CHOOSE(CONTROL!$C$27, 0.0021, 0)</f>
        <v>66.236000000000004</v>
      </c>
      <c r="G682" s="10">
        <f>66.5052 * CHOOSE(CONTROL!$C$9, $D$9, 100%, $F$9) + CHOOSE(CONTROL!$C$27, 0.0021, 0)</f>
        <v>66.507300000000001</v>
      </c>
      <c r="H682" s="10">
        <f>66.3705 * CHOOSE(CONTROL!$C$9, $D$9, 100%, $F$9) + CHOOSE(CONTROL!$C$27, 0.0021, 0)</f>
        <v>66.372600000000006</v>
      </c>
      <c r="I682" s="10">
        <f>66.3705 * CHOOSE(CONTROL!$C$9, $D$9, 100%, $F$9) + CHOOSE(CONTROL!$C$27, 0.0021, 0)</f>
        <v>66.372600000000006</v>
      </c>
      <c r="J682" s="10">
        <f>66.3705 * CHOOSE(CONTROL!$C$9, $D$9, 100%, $F$9) + CHOOSE(CONTROL!$C$27, 0.0021, 0)</f>
        <v>66.372600000000006</v>
      </c>
      <c r="K682" s="10">
        <f>66.3705 * CHOOSE(CONTROL!$C$9, $D$9, 100%, $F$9) + CHOOSE(CONTROL!$C$27, 0.0021, 0)</f>
        <v>66.372600000000006</v>
      </c>
      <c r="L682" s="10"/>
    </row>
    <row r="683" spans="1:12" ht="15.75" x14ac:dyDescent="0.25">
      <c r="A683" s="13">
        <v>62093</v>
      </c>
      <c r="B683" s="10">
        <f>65.5379 * CHOOSE(CONTROL!$C$9, $D$9, 100%, $F$9) + CHOOSE(CONTROL!$C$27, 0.0021, 0)</f>
        <v>65.539999999999992</v>
      </c>
      <c r="C683" s="10">
        <f>65.1056 * CHOOSE(CONTROL!$C$9, $D$9, 100%, $F$9) + CHOOSE(CONTROL!$C$27, 0.0021, 0)</f>
        <v>65.107699999999994</v>
      </c>
      <c r="D683" s="10">
        <f>65.1056 * CHOOSE(CONTROL!$C$9, $D$9, 100%, $F$9) + CHOOSE(CONTROL!$C$27, 0.0021, 0)</f>
        <v>65.107699999999994</v>
      </c>
      <c r="E683" s="10">
        <f>64.969 * CHOOSE(CONTROL!$C$9, $D$9, 100%, $F$9) + CHOOSE(CONTROL!$C$27, 0.0021, 0)</f>
        <v>64.971099999999993</v>
      </c>
      <c r="F683" s="10">
        <f>64.969 * CHOOSE(CONTROL!$C$9, $D$9, 100%, $F$9) + CHOOSE(CONTROL!$C$27, 0.0021, 0)</f>
        <v>64.971099999999993</v>
      </c>
      <c r="G683" s="10">
        <f>65.2403 * CHOOSE(CONTROL!$C$9, $D$9, 100%, $F$9) + CHOOSE(CONTROL!$C$27, 0.0021, 0)</f>
        <v>65.242400000000004</v>
      </c>
      <c r="H683" s="10">
        <f>65.1056 * CHOOSE(CONTROL!$C$9, $D$9, 100%, $F$9) + CHOOSE(CONTROL!$C$27, 0.0021, 0)</f>
        <v>65.107699999999994</v>
      </c>
      <c r="I683" s="10">
        <f>65.1056 * CHOOSE(CONTROL!$C$9, $D$9, 100%, $F$9) + CHOOSE(CONTROL!$C$27, 0.0021, 0)</f>
        <v>65.107699999999994</v>
      </c>
      <c r="J683" s="10">
        <f>65.1056 * CHOOSE(CONTROL!$C$9, $D$9, 100%, $F$9) + CHOOSE(CONTROL!$C$27, 0.0021, 0)</f>
        <v>65.107699999999994</v>
      </c>
      <c r="K683" s="10">
        <f>65.1056 * CHOOSE(CONTROL!$C$9, $D$9, 100%, $F$9) + CHOOSE(CONTROL!$C$27, 0.0021, 0)</f>
        <v>65.107699999999994</v>
      </c>
      <c r="L683" s="10"/>
    </row>
    <row r="684" spans="1:12" ht="15.75" x14ac:dyDescent="0.25">
      <c r="A684" s="13">
        <v>62124</v>
      </c>
      <c r="B684" s="10">
        <f>64.5694 * CHOOSE(CONTROL!$C$9, $D$9, 100%, $F$9) + CHOOSE(CONTROL!$C$27, 0.0021, 0)</f>
        <v>64.5715</v>
      </c>
      <c r="C684" s="10">
        <f>64.1372 * CHOOSE(CONTROL!$C$9, $D$9, 100%, $F$9) + CHOOSE(CONTROL!$C$27, 0.0021, 0)</f>
        <v>64.139300000000006</v>
      </c>
      <c r="D684" s="10">
        <f>64.1372 * CHOOSE(CONTROL!$C$9, $D$9, 100%, $F$9) + CHOOSE(CONTROL!$C$27, 0.0021, 0)</f>
        <v>64.139300000000006</v>
      </c>
      <c r="E684" s="10">
        <f>64.0005 * CHOOSE(CONTROL!$C$9, $D$9, 100%, $F$9) + CHOOSE(CONTROL!$C$27, 0.0021, 0)</f>
        <v>64.002600000000001</v>
      </c>
      <c r="F684" s="10">
        <f>64.0005 * CHOOSE(CONTROL!$C$9, $D$9, 100%, $F$9) + CHOOSE(CONTROL!$C$27, 0.0021, 0)</f>
        <v>64.002600000000001</v>
      </c>
      <c r="G684" s="10">
        <f>64.2719 * CHOOSE(CONTROL!$C$9, $D$9, 100%, $F$9) + CHOOSE(CONTROL!$C$27, 0.0021, 0)</f>
        <v>64.274000000000001</v>
      </c>
      <c r="H684" s="10">
        <f>64.1372 * CHOOSE(CONTROL!$C$9, $D$9, 100%, $F$9) + CHOOSE(CONTROL!$C$27, 0.0021, 0)</f>
        <v>64.139300000000006</v>
      </c>
      <c r="I684" s="10">
        <f>64.1372 * CHOOSE(CONTROL!$C$9, $D$9, 100%, $F$9) + CHOOSE(CONTROL!$C$27, 0.0021, 0)</f>
        <v>64.139300000000006</v>
      </c>
      <c r="J684" s="10">
        <f>64.1372 * CHOOSE(CONTROL!$C$9, $D$9, 100%, $F$9) + CHOOSE(CONTROL!$C$27, 0.0021, 0)</f>
        <v>64.139300000000006</v>
      </c>
      <c r="K684" s="10">
        <f>64.1372 * CHOOSE(CONTROL!$C$9, $D$9, 100%, $F$9) + CHOOSE(CONTROL!$C$27, 0.0021, 0)</f>
        <v>64.139300000000006</v>
      </c>
      <c r="L684" s="10"/>
    </row>
    <row r="685" spans="1:12" ht="15.75" x14ac:dyDescent="0.25">
      <c r="A685" s="13">
        <v>62152</v>
      </c>
      <c r="B685" s="10">
        <f>62.8079 * CHOOSE(CONTROL!$C$9, $D$9, 100%, $F$9) + CHOOSE(CONTROL!$C$27, 0.0021, 0)</f>
        <v>62.809999999999995</v>
      </c>
      <c r="C685" s="10">
        <f>62.3756 * CHOOSE(CONTROL!$C$9, $D$9, 100%, $F$9) + CHOOSE(CONTROL!$C$27, 0.0021, 0)</f>
        <v>62.377699999999997</v>
      </c>
      <c r="D685" s="10">
        <f>62.3756 * CHOOSE(CONTROL!$C$9, $D$9, 100%, $F$9) + CHOOSE(CONTROL!$C$27, 0.0021, 0)</f>
        <v>62.377699999999997</v>
      </c>
      <c r="E685" s="10">
        <f>62.239 * CHOOSE(CONTROL!$C$9, $D$9, 100%, $F$9) + CHOOSE(CONTROL!$C$27, 0.0021, 0)</f>
        <v>62.241099999999996</v>
      </c>
      <c r="F685" s="10">
        <f>62.239 * CHOOSE(CONTROL!$C$9, $D$9, 100%, $F$9) + CHOOSE(CONTROL!$C$27, 0.0021, 0)</f>
        <v>62.241099999999996</v>
      </c>
      <c r="G685" s="10">
        <f>62.5104 * CHOOSE(CONTROL!$C$9, $D$9, 100%, $F$9) + CHOOSE(CONTROL!$C$27, 0.0021, 0)</f>
        <v>62.512499999999996</v>
      </c>
      <c r="H685" s="10">
        <f>62.3756 * CHOOSE(CONTROL!$C$9, $D$9, 100%, $F$9) + CHOOSE(CONTROL!$C$27, 0.0021, 0)</f>
        <v>62.377699999999997</v>
      </c>
      <c r="I685" s="10">
        <f>62.3756 * CHOOSE(CONTROL!$C$9, $D$9, 100%, $F$9) + CHOOSE(CONTROL!$C$27, 0.0021, 0)</f>
        <v>62.377699999999997</v>
      </c>
      <c r="J685" s="10">
        <f>62.3756 * CHOOSE(CONTROL!$C$9, $D$9, 100%, $F$9) + CHOOSE(CONTROL!$C$27, 0.0021, 0)</f>
        <v>62.377699999999997</v>
      </c>
      <c r="K685" s="10">
        <f>62.3756 * CHOOSE(CONTROL!$C$9, $D$9, 100%, $F$9) + CHOOSE(CONTROL!$C$27, 0.0021, 0)</f>
        <v>62.377699999999997</v>
      </c>
      <c r="L685" s="10"/>
    </row>
    <row r="686" spans="1:12" ht="15.75" x14ac:dyDescent="0.25">
      <c r="A686" s="13">
        <v>62183</v>
      </c>
      <c r="B686" s="10">
        <f>62.0807 * CHOOSE(CONTROL!$C$9, $D$9, 100%, $F$9) + CHOOSE(CONTROL!$C$27, 0.0021, 0)</f>
        <v>62.082799999999999</v>
      </c>
      <c r="C686" s="10">
        <f>61.6485 * CHOOSE(CONTROL!$C$9, $D$9, 100%, $F$9) + CHOOSE(CONTROL!$C$27, 0.0021, 0)</f>
        <v>61.650599999999997</v>
      </c>
      <c r="D686" s="10">
        <f>61.6485 * CHOOSE(CONTROL!$C$9, $D$9, 100%, $F$9) + CHOOSE(CONTROL!$C$27, 0.0021, 0)</f>
        <v>61.650599999999997</v>
      </c>
      <c r="E686" s="10">
        <f>61.5118 * CHOOSE(CONTROL!$C$9, $D$9, 100%, $F$9) + CHOOSE(CONTROL!$C$27, 0.0021, 0)</f>
        <v>61.5139</v>
      </c>
      <c r="F686" s="10">
        <f>61.5118 * CHOOSE(CONTROL!$C$9, $D$9, 100%, $F$9) + CHOOSE(CONTROL!$C$27, 0.0021, 0)</f>
        <v>61.5139</v>
      </c>
      <c r="G686" s="10">
        <f>61.7832 * CHOOSE(CONTROL!$C$9, $D$9, 100%, $F$9) + CHOOSE(CONTROL!$C$27, 0.0021, 0)</f>
        <v>61.785299999999999</v>
      </c>
      <c r="H686" s="10">
        <f>61.6485 * CHOOSE(CONTROL!$C$9, $D$9, 100%, $F$9) + CHOOSE(CONTROL!$C$27, 0.0021, 0)</f>
        <v>61.650599999999997</v>
      </c>
      <c r="I686" s="10">
        <f>61.6485 * CHOOSE(CONTROL!$C$9, $D$9, 100%, $F$9) + CHOOSE(CONTROL!$C$27, 0.0021, 0)</f>
        <v>61.650599999999997</v>
      </c>
      <c r="J686" s="10">
        <f>61.6485 * CHOOSE(CONTROL!$C$9, $D$9, 100%, $F$9) + CHOOSE(CONTROL!$C$27, 0.0021, 0)</f>
        <v>61.650599999999997</v>
      </c>
      <c r="K686" s="10">
        <f>61.6485 * CHOOSE(CONTROL!$C$9, $D$9, 100%, $F$9) + CHOOSE(CONTROL!$C$27, 0.0021, 0)</f>
        <v>61.650599999999997</v>
      </c>
      <c r="L686" s="10"/>
    </row>
    <row r="687" spans="1:12" ht="15.75" x14ac:dyDescent="0.25">
      <c r="A687" s="13">
        <v>62213</v>
      </c>
      <c r="B687" s="10">
        <f>61.2125 * CHOOSE(CONTROL!$C$9, $D$9, 100%, $F$9) + CHOOSE(CONTROL!$C$27, 0.0021, 0)</f>
        <v>61.214599999999997</v>
      </c>
      <c r="C687" s="10">
        <f>60.7802 * CHOOSE(CONTROL!$C$9, $D$9, 100%, $F$9) + CHOOSE(CONTROL!$C$27, 0.0021, 0)</f>
        <v>60.782299999999999</v>
      </c>
      <c r="D687" s="10">
        <f>60.7802 * CHOOSE(CONTROL!$C$9, $D$9, 100%, $F$9) + CHOOSE(CONTROL!$C$27, 0.0021, 0)</f>
        <v>60.782299999999999</v>
      </c>
      <c r="E687" s="10">
        <f>60.6436 * CHOOSE(CONTROL!$C$9, $D$9, 100%, $F$9) + CHOOSE(CONTROL!$C$27, 0.0021, 0)</f>
        <v>60.645699999999998</v>
      </c>
      <c r="F687" s="10">
        <f>60.6436 * CHOOSE(CONTROL!$C$9, $D$9, 100%, $F$9) + CHOOSE(CONTROL!$C$27, 0.0021, 0)</f>
        <v>60.645699999999998</v>
      </c>
      <c r="G687" s="10">
        <f>60.915 * CHOOSE(CONTROL!$C$9, $D$9, 100%, $F$9) + CHOOSE(CONTROL!$C$27, 0.0021, 0)</f>
        <v>60.917099999999998</v>
      </c>
      <c r="H687" s="10">
        <f>60.7802 * CHOOSE(CONTROL!$C$9, $D$9, 100%, $F$9) + CHOOSE(CONTROL!$C$27, 0.0021, 0)</f>
        <v>60.782299999999999</v>
      </c>
      <c r="I687" s="10">
        <f>60.7802 * CHOOSE(CONTROL!$C$9, $D$9, 100%, $F$9) + CHOOSE(CONTROL!$C$27, 0.0021, 0)</f>
        <v>60.782299999999999</v>
      </c>
      <c r="J687" s="10">
        <f>60.7802 * CHOOSE(CONTROL!$C$9, $D$9, 100%, $F$9) + CHOOSE(CONTROL!$C$27, 0.0021, 0)</f>
        <v>60.782299999999999</v>
      </c>
      <c r="K687" s="10">
        <f>60.7802 * CHOOSE(CONTROL!$C$9, $D$9, 100%, $F$9) + CHOOSE(CONTROL!$C$27, 0.0021, 0)</f>
        <v>60.782299999999999</v>
      </c>
      <c r="L687" s="10"/>
    </row>
    <row r="688" spans="1:12" ht="15.75" x14ac:dyDescent="0.25">
      <c r="A688" s="13">
        <v>62244</v>
      </c>
      <c r="B688" s="10">
        <f>62.4498 * CHOOSE(CONTROL!$C$9, $D$9, 100%, $F$9) + CHOOSE(CONTROL!$C$27, 0.0021, 0)</f>
        <v>62.451900000000002</v>
      </c>
      <c r="C688" s="10">
        <f>62.0176 * CHOOSE(CONTROL!$C$9, $D$9, 100%, $F$9) + CHOOSE(CONTROL!$C$27, 0.0021, 0)</f>
        <v>62.0197</v>
      </c>
      <c r="D688" s="10">
        <f>62.0176 * CHOOSE(CONTROL!$C$9, $D$9, 100%, $F$9) + CHOOSE(CONTROL!$C$27, 0.0021, 0)</f>
        <v>62.0197</v>
      </c>
      <c r="E688" s="10">
        <f>61.8809 * CHOOSE(CONTROL!$C$9, $D$9, 100%, $F$9) + CHOOSE(CONTROL!$C$27, 0.0021, 0)</f>
        <v>61.882999999999996</v>
      </c>
      <c r="F688" s="10">
        <f>61.8809 * CHOOSE(CONTROL!$C$9, $D$9, 100%, $F$9) + CHOOSE(CONTROL!$C$27, 0.0021, 0)</f>
        <v>61.882999999999996</v>
      </c>
      <c r="G688" s="10">
        <f>62.1523 * CHOOSE(CONTROL!$C$9, $D$9, 100%, $F$9) + CHOOSE(CONTROL!$C$27, 0.0021, 0)</f>
        <v>62.154399999999995</v>
      </c>
      <c r="H688" s="10">
        <f>62.0176 * CHOOSE(CONTROL!$C$9, $D$9, 100%, $F$9) + CHOOSE(CONTROL!$C$27, 0.0021, 0)</f>
        <v>62.0197</v>
      </c>
      <c r="I688" s="10">
        <f>62.0176 * CHOOSE(CONTROL!$C$9, $D$9, 100%, $F$9) + CHOOSE(CONTROL!$C$27, 0.0021, 0)</f>
        <v>62.0197</v>
      </c>
      <c r="J688" s="10">
        <f>62.0176 * CHOOSE(CONTROL!$C$9, $D$9, 100%, $F$9) + CHOOSE(CONTROL!$C$27, 0.0021, 0)</f>
        <v>62.0197</v>
      </c>
      <c r="K688" s="10">
        <f>62.0176 * CHOOSE(CONTROL!$C$9, $D$9, 100%, $F$9) + CHOOSE(CONTROL!$C$27, 0.0021, 0)</f>
        <v>62.0197</v>
      </c>
      <c r="L688" s="10"/>
    </row>
    <row r="689" spans="1:12" ht="15.75" x14ac:dyDescent="0.25">
      <c r="A689" s="13">
        <v>62274</v>
      </c>
      <c r="B689" s="10">
        <f>63.191 * CHOOSE(CONTROL!$C$9, $D$9, 100%, $F$9) + CHOOSE(CONTROL!$C$27, 0.0021, 0)</f>
        <v>63.193100000000001</v>
      </c>
      <c r="C689" s="10">
        <f>62.7587 * CHOOSE(CONTROL!$C$9, $D$9, 100%, $F$9) + CHOOSE(CONTROL!$C$27, 0.0021, 0)</f>
        <v>62.760799999999996</v>
      </c>
      <c r="D689" s="10">
        <f>62.7587 * CHOOSE(CONTROL!$C$9, $D$9, 100%, $F$9) + CHOOSE(CONTROL!$C$27, 0.0021, 0)</f>
        <v>62.760799999999996</v>
      </c>
      <c r="E689" s="10">
        <f>62.6221 * CHOOSE(CONTROL!$C$9, $D$9, 100%, $F$9) + CHOOSE(CONTROL!$C$27, 0.0021, 0)</f>
        <v>62.624200000000002</v>
      </c>
      <c r="F689" s="10">
        <f>62.6221 * CHOOSE(CONTROL!$C$9, $D$9, 100%, $F$9) + CHOOSE(CONTROL!$C$27, 0.0021, 0)</f>
        <v>62.624200000000002</v>
      </c>
      <c r="G689" s="10">
        <f>62.8934 * CHOOSE(CONTROL!$C$9, $D$9, 100%, $F$9) + CHOOSE(CONTROL!$C$27, 0.0021, 0)</f>
        <v>62.895499999999998</v>
      </c>
      <c r="H689" s="10">
        <f>62.7587 * CHOOSE(CONTROL!$C$9, $D$9, 100%, $F$9) + CHOOSE(CONTROL!$C$27, 0.0021, 0)</f>
        <v>62.760799999999996</v>
      </c>
      <c r="I689" s="10">
        <f>62.7587 * CHOOSE(CONTROL!$C$9, $D$9, 100%, $F$9) + CHOOSE(CONTROL!$C$27, 0.0021, 0)</f>
        <v>62.760799999999996</v>
      </c>
      <c r="J689" s="10">
        <f>62.7587 * CHOOSE(CONTROL!$C$9, $D$9, 100%, $F$9) + CHOOSE(CONTROL!$C$27, 0.0021, 0)</f>
        <v>62.760799999999996</v>
      </c>
      <c r="K689" s="10">
        <f>62.7587 * CHOOSE(CONTROL!$C$9, $D$9, 100%, $F$9) + CHOOSE(CONTROL!$C$27, 0.0021, 0)</f>
        <v>62.760799999999996</v>
      </c>
      <c r="L689" s="10"/>
    </row>
    <row r="690" spans="1:12" ht="15.75" x14ac:dyDescent="0.25">
      <c r="A690" s="13">
        <v>62305</v>
      </c>
      <c r="B690" s="10">
        <f>64.4135 * CHOOSE(CONTROL!$C$9, $D$9, 100%, $F$9) + CHOOSE(CONTROL!$C$27, 0.0021, 0)</f>
        <v>64.415599999999998</v>
      </c>
      <c r="C690" s="10">
        <f>63.9813 * CHOOSE(CONTROL!$C$9, $D$9, 100%, $F$9) + CHOOSE(CONTROL!$C$27, 0.0021, 0)</f>
        <v>63.983399999999996</v>
      </c>
      <c r="D690" s="10">
        <f>63.9813 * CHOOSE(CONTROL!$C$9, $D$9, 100%, $F$9) + CHOOSE(CONTROL!$C$27, 0.0021, 0)</f>
        <v>63.983399999999996</v>
      </c>
      <c r="E690" s="10">
        <f>63.8446 * CHOOSE(CONTROL!$C$9, $D$9, 100%, $F$9) + CHOOSE(CONTROL!$C$27, 0.0021, 0)</f>
        <v>63.846699999999998</v>
      </c>
      <c r="F690" s="10">
        <f>63.8446 * CHOOSE(CONTROL!$C$9, $D$9, 100%, $F$9) + CHOOSE(CONTROL!$C$27, 0.0021, 0)</f>
        <v>63.846699999999998</v>
      </c>
      <c r="G690" s="10">
        <f>64.116 * CHOOSE(CONTROL!$C$9, $D$9, 100%, $F$9) + CHOOSE(CONTROL!$C$27, 0.0021, 0)</f>
        <v>64.118099999999998</v>
      </c>
      <c r="H690" s="10">
        <f>63.9813 * CHOOSE(CONTROL!$C$9, $D$9, 100%, $F$9) + CHOOSE(CONTROL!$C$27, 0.0021, 0)</f>
        <v>63.983399999999996</v>
      </c>
      <c r="I690" s="10">
        <f>63.9813 * CHOOSE(CONTROL!$C$9, $D$9, 100%, $F$9) + CHOOSE(CONTROL!$C$27, 0.0021, 0)</f>
        <v>63.983399999999996</v>
      </c>
      <c r="J690" s="10">
        <f>63.9813 * CHOOSE(CONTROL!$C$9, $D$9, 100%, $F$9) + CHOOSE(CONTROL!$C$27, 0.0021, 0)</f>
        <v>63.983399999999996</v>
      </c>
      <c r="K690" s="10">
        <f>63.9813 * CHOOSE(CONTROL!$C$9, $D$9, 100%, $F$9) + CHOOSE(CONTROL!$C$27, 0.0021, 0)</f>
        <v>63.983399999999996</v>
      </c>
      <c r="L690" s="10"/>
    </row>
    <row r="691" spans="1:12" ht="15.75" x14ac:dyDescent="0.25">
      <c r="A691" s="13">
        <v>62336</v>
      </c>
      <c r="B691" s="10">
        <f>64.7867 * CHOOSE(CONTROL!$C$9, $D$9, 100%, $F$9) + CHOOSE(CONTROL!$C$27, 0.0021, 0)</f>
        <v>64.788799999999995</v>
      </c>
      <c r="C691" s="10">
        <f>64.3545 * CHOOSE(CONTROL!$C$9, $D$9, 100%, $F$9) + CHOOSE(CONTROL!$C$27, 0.0021, 0)</f>
        <v>64.3566</v>
      </c>
      <c r="D691" s="10">
        <f>64.3545 * CHOOSE(CONTROL!$C$9, $D$9, 100%, $F$9) + CHOOSE(CONTROL!$C$27, 0.0021, 0)</f>
        <v>64.3566</v>
      </c>
      <c r="E691" s="10">
        <f>64.2178 * CHOOSE(CONTROL!$C$9, $D$9, 100%, $F$9) + CHOOSE(CONTROL!$C$27, 0.0021, 0)</f>
        <v>64.219899999999996</v>
      </c>
      <c r="F691" s="10">
        <f>64.2178 * CHOOSE(CONTROL!$C$9, $D$9, 100%, $F$9) + CHOOSE(CONTROL!$C$27, 0.0021, 0)</f>
        <v>64.219899999999996</v>
      </c>
      <c r="G691" s="10">
        <f>64.4892 * CHOOSE(CONTROL!$C$9, $D$9, 100%, $F$9) + CHOOSE(CONTROL!$C$27, 0.0021, 0)</f>
        <v>64.491299999999995</v>
      </c>
      <c r="H691" s="10">
        <f>64.3545 * CHOOSE(CONTROL!$C$9, $D$9, 100%, $F$9) + CHOOSE(CONTROL!$C$27, 0.0021, 0)</f>
        <v>64.3566</v>
      </c>
      <c r="I691" s="10">
        <f>64.3545 * CHOOSE(CONTROL!$C$9, $D$9, 100%, $F$9) + CHOOSE(CONTROL!$C$27, 0.0021, 0)</f>
        <v>64.3566</v>
      </c>
      <c r="J691" s="10">
        <f>64.3545 * CHOOSE(CONTROL!$C$9, $D$9, 100%, $F$9) + CHOOSE(CONTROL!$C$27, 0.0021, 0)</f>
        <v>64.3566</v>
      </c>
      <c r="K691" s="10">
        <f>64.3545 * CHOOSE(CONTROL!$C$9, $D$9, 100%, $F$9) + CHOOSE(CONTROL!$C$27, 0.0021, 0)</f>
        <v>64.3566</v>
      </c>
      <c r="L691" s="10"/>
    </row>
    <row r="692" spans="1:12" ht="15.75" x14ac:dyDescent="0.25">
      <c r="A692" s="13">
        <v>62366</v>
      </c>
      <c r="B692" s="10">
        <f>66.0575 * CHOOSE(CONTROL!$C$9, $D$9, 100%, $F$9) + CHOOSE(CONTROL!$C$27, 0.0021, 0)</f>
        <v>66.059600000000003</v>
      </c>
      <c r="C692" s="10">
        <f>65.6253 * CHOOSE(CONTROL!$C$9, $D$9, 100%, $F$9) + CHOOSE(CONTROL!$C$27, 0.0021, 0)</f>
        <v>65.627399999999994</v>
      </c>
      <c r="D692" s="10">
        <f>65.6253 * CHOOSE(CONTROL!$C$9, $D$9, 100%, $F$9) + CHOOSE(CONTROL!$C$27, 0.0021, 0)</f>
        <v>65.627399999999994</v>
      </c>
      <c r="E692" s="10">
        <f>65.4886 * CHOOSE(CONTROL!$C$9, $D$9, 100%, $F$9) + CHOOSE(CONTROL!$C$27, 0.0021, 0)</f>
        <v>65.490700000000004</v>
      </c>
      <c r="F692" s="10">
        <f>65.4886 * CHOOSE(CONTROL!$C$9, $D$9, 100%, $F$9) + CHOOSE(CONTROL!$C$27, 0.0021, 0)</f>
        <v>65.490700000000004</v>
      </c>
      <c r="G692" s="10">
        <f>65.76 * CHOOSE(CONTROL!$C$9, $D$9, 100%, $F$9) + CHOOSE(CONTROL!$C$27, 0.0021, 0)</f>
        <v>65.762100000000004</v>
      </c>
      <c r="H692" s="10">
        <f>65.6253 * CHOOSE(CONTROL!$C$9, $D$9, 100%, $F$9) + CHOOSE(CONTROL!$C$27, 0.0021, 0)</f>
        <v>65.627399999999994</v>
      </c>
      <c r="I692" s="10">
        <f>65.6253 * CHOOSE(CONTROL!$C$9, $D$9, 100%, $F$9) + CHOOSE(CONTROL!$C$27, 0.0021, 0)</f>
        <v>65.627399999999994</v>
      </c>
      <c r="J692" s="10">
        <f>65.6253 * CHOOSE(CONTROL!$C$9, $D$9, 100%, $F$9) + CHOOSE(CONTROL!$C$27, 0.0021, 0)</f>
        <v>65.627399999999994</v>
      </c>
      <c r="K692" s="10">
        <f>65.6253 * CHOOSE(CONTROL!$C$9, $D$9, 100%, $F$9) + CHOOSE(CONTROL!$C$27, 0.0021, 0)</f>
        <v>65.627399999999994</v>
      </c>
      <c r="L692" s="10"/>
    </row>
    <row r="693" spans="1:12" ht="15.75" x14ac:dyDescent="0.25">
      <c r="A693" s="13">
        <v>62397</v>
      </c>
      <c r="B693" s="10">
        <f>67.6662 * CHOOSE(CONTROL!$C$9, $D$9, 100%, $F$9) + CHOOSE(CONTROL!$C$27, 0.0021, 0)</f>
        <v>67.668300000000002</v>
      </c>
      <c r="C693" s="10">
        <f>67.2339 * CHOOSE(CONTROL!$C$9, $D$9, 100%, $F$9) + CHOOSE(CONTROL!$C$27, 0.0021, 0)</f>
        <v>67.236000000000004</v>
      </c>
      <c r="D693" s="10">
        <f>67.2339 * CHOOSE(CONTROL!$C$9, $D$9, 100%, $F$9) + CHOOSE(CONTROL!$C$27, 0.0021, 0)</f>
        <v>67.236000000000004</v>
      </c>
      <c r="E693" s="10">
        <f>67.0973 * CHOOSE(CONTROL!$C$9, $D$9, 100%, $F$9) + CHOOSE(CONTROL!$C$27, 0.0021, 0)</f>
        <v>67.099400000000003</v>
      </c>
      <c r="F693" s="10">
        <f>67.0973 * CHOOSE(CONTROL!$C$9, $D$9, 100%, $F$9) + CHOOSE(CONTROL!$C$27, 0.0021, 0)</f>
        <v>67.099400000000003</v>
      </c>
      <c r="G693" s="10">
        <f>67.3686 * CHOOSE(CONTROL!$C$9, $D$9, 100%, $F$9) + CHOOSE(CONTROL!$C$27, 0.0021, 0)</f>
        <v>67.370699999999999</v>
      </c>
      <c r="H693" s="10">
        <f>67.2339 * CHOOSE(CONTROL!$C$9, $D$9, 100%, $F$9) + CHOOSE(CONTROL!$C$27, 0.0021, 0)</f>
        <v>67.236000000000004</v>
      </c>
      <c r="I693" s="10">
        <f>67.2339 * CHOOSE(CONTROL!$C$9, $D$9, 100%, $F$9) + CHOOSE(CONTROL!$C$27, 0.0021, 0)</f>
        <v>67.236000000000004</v>
      </c>
      <c r="J693" s="10">
        <f>67.2339 * CHOOSE(CONTROL!$C$9, $D$9, 100%, $F$9) + CHOOSE(CONTROL!$C$27, 0.0021, 0)</f>
        <v>67.236000000000004</v>
      </c>
      <c r="K693" s="10">
        <f>67.2339 * CHOOSE(CONTROL!$C$9, $D$9, 100%, $F$9) + CHOOSE(CONTROL!$C$27, 0.0021, 0)</f>
        <v>67.236000000000004</v>
      </c>
      <c r="L693" s="10"/>
    </row>
    <row r="694" spans="1:12" ht="15.75" x14ac:dyDescent="0.25">
      <c r="A694" s="13">
        <v>62427</v>
      </c>
      <c r="B694" s="10">
        <f>67.8172 * CHOOSE(CONTROL!$C$9, $D$9, 100%, $F$9) + CHOOSE(CONTROL!$C$27, 0.0021, 0)</f>
        <v>67.819299999999998</v>
      </c>
      <c r="C694" s="10">
        <f>67.3849 * CHOOSE(CONTROL!$C$9, $D$9, 100%, $F$9) + CHOOSE(CONTROL!$C$27, 0.0021, 0)</f>
        <v>67.387</v>
      </c>
      <c r="D694" s="10">
        <f>67.3849 * CHOOSE(CONTROL!$C$9, $D$9, 100%, $F$9) + CHOOSE(CONTROL!$C$27, 0.0021, 0)</f>
        <v>67.387</v>
      </c>
      <c r="E694" s="10">
        <f>67.2483 * CHOOSE(CONTROL!$C$9, $D$9, 100%, $F$9) + CHOOSE(CONTROL!$C$27, 0.0021, 0)</f>
        <v>67.250399999999999</v>
      </c>
      <c r="F694" s="10">
        <f>67.2483 * CHOOSE(CONTROL!$C$9, $D$9, 100%, $F$9) + CHOOSE(CONTROL!$C$27, 0.0021, 0)</f>
        <v>67.250399999999999</v>
      </c>
      <c r="G694" s="10">
        <f>67.5197 * CHOOSE(CONTROL!$C$9, $D$9, 100%, $F$9) + CHOOSE(CONTROL!$C$27, 0.0021, 0)</f>
        <v>67.521799999999999</v>
      </c>
      <c r="H694" s="10">
        <f>67.3849 * CHOOSE(CONTROL!$C$9, $D$9, 100%, $F$9) + CHOOSE(CONTROL!$C$27, 0.0021, 0)</f>
        <v>67.387</v>
      </c>
      <c r="I694" s="10">
        <f>67.3849 * CHOOSE(CONTROL!$C$9, $D$9, 100%, $F$9) + CHOOSE(CONTROL!$C$27, 0.0021, 0)</f>
        <v>67.387</v>
      </c>
      <c r="J694" s="10">
        <f>67.3849 * CHOOSE(CONTROL!$C$9, $D$9, 100%, $F$9) + CHOOSE(CONTROL!$C$27, 0.0021, 0)</f>
        <v>67.387</v>
      </c>
      <c r="K694" s="10">
        <f>67.3849 * CHOOSE(CONTROL!$C$9, $D$9, 100%, $F$9) + CHOOSE(CONTROL!$C$27, 0.0021, 0)</f>
        <v>67.387</v>
      </c>
      <c r="L694" s="10"/>
    </row>
    <row r="695" spans="1:12" ht="15.75" x14ac:dyDescent="0.25">
      <c r="A695" s="13">
        <v>62458</v>
      </c>
      <c r="B695" s="10">
        <f>66.5324 * CHOOSE(CONTROL!$C$9, $D$9, 100%, $F$9) + CHOOSE(CONTROL!$C$27, 0.0021, 0)</f>
        <v>66.534499999999994</v>
      </c>
      <c r="C695" s="10">
        <f>66.1002 * CHOOSE(CONTROL!$C$9, $D$9, 100%, $F$9) + CHOOSE(CONTROL!$C$27, 0.0021, 0)</f>
        <v>66.1023</v>
      </c>
      <c r="D695" s="10">
        <f>66.1002 * CHOOSE(CONTROL!$C$9, $D$9, 100%, $F$9) + CHOOSE(CONTROL!$C$27, 0.0021, 0)</f>
        <v>66.1023</v>
      </c>
      <c r="E695" s="10">
        <f>65.9635 * CHOOSE(CONTROL!$C$9, $D$9, 100%, $F$9) + CHOOSE(CONTROL!$C$27, 0.0021, 0)</f>
        <v>65.965599999999995</v>
      </c>
      <c r="F695" s="10">
        <f>65.9635 * CHOOSE(CONTROL!$C$9, $D$9, 100%, $F$9) + CHOOSE(CONTROL!$C$27, 0.0021, 0)</f>
        <v>65.965599999999995</v>
      </c>
      <c r="G695" s="10">
        <f>66.2349 * CHOOSE(CONTROL!$C$9, $D$9, 100%, $F$9) + CHOOSE(CONTROL!$C$27, 0.0021, 0)</f>
        <v>66.236999999999995</v>
      </c>
      <c r="H695" s="10">
        <f>66.1002 * CHOOSE(CONTROL!$C$9, $D$9, 100%, $F$9) + CHOOSE(CONTROL!$C$27, 0.0021, 0)</f>
        <v>66.1023</v>
      </c>
      <c r="I695" s="10">
        <f>66.1002 * CHOOSE(CONTROL!$C$9, $D$9, 100%, $F$9) + CHOOSE(CONTROL!$C$27, 0.0021, 0)</f>
        <v>66.1023</v>
      </c>
      <c r="J695" s="10">
        <f>66.1002 * CHOOSE(CONTROL!$C$9, $D$9, 100%, $F$9) + CHOOSE(CONTROL!$C$27, 0.0021, 0)</f>
        <v>66.1023</v>
      </c>
      <c r="K695" s="10">
        <f>66.1002 * CHOOSE(CONTROL!$C$9, $D$9, 100%, $F$9) + CHOOSE(CONTROL!$C$27, 0.0021, 0)</f>
        <v>66.1023</v>
      </c>
      <c r="L695" s="10"/>
    </row>
    <row r="696" spans="1:12" ht="15.75" x14ac:dyDescent="0.25">
      <c r="A696" s="13">
        <v>62489</v>
      </c>
      <c r="B696" s="10">
        <f>65.5487 * CHOOSE(CONTROL!$C$9, $D$9, 100%, $F$9) + CHOOSE(CONTROL!$C$27, 0.0021, 0)</f>
        <v>65.550799999999995</v>
      </c>
      <c r="C696" s="10">
        <f>65.1165 * CHOOSE(CONTROL!$C$9, $D$9, 100%, $F$9) + CHOOSE(CONTROL!$C$27, 0.0021, 0)</f>
        <v>65.118600000000001</v>
      </c>
      <c r="D696" s="10">
        <f>65.1165 * CHOOSE(CONTROL!$C$9, $D$9, 100%, $F$9) + CHOOSE(CONTROL!$C$27, 0.0021, 0)</f>
        <v>65.118600000000001</v>
      </c>
      <c r="E696" s="10">
        <f>64.9798 * CHOOSE(CONTROL!$C$9, $D$9, 100%, $F$9) + CHOOSE(CONTROL!$C$27, 0.0021, 0)</f>
        <v>64.981899999999996</v>
      </c>
      <c r="F696" s="10">
        <f>64.9798 * CHOOSE(CONTROL!$C$9, $D$9, 100%, $F$9) + CHOOSE(CONTROL!$C$27, 0.0021, 0)</f>
        <v>64.981899999999996</v>
      </c>
      <c r="G696" s="10">
        <f>65.2512 * CHOOSE(CONTROL!$C$9, $D$9, 100%, $F$9) + CHOOSE(CONTROL!$C$27, 0.0021, 0)</f>
        <v>65.253299999999996</v>
      </c>
      <c r="H696" s="10">
        <f>65.1165 * CHOOSE(CONTROL!$C$9, $D$9, 100%, $F$9) + CHOOSE(CONTROL!$C$27, 0.0021, 0)</f>
        <v>65.118600000000001</v>
      </c>
      <c r="I696" s="10">
        <f>65.1165 * CHOOSE(CONTROL!$C$9, $D$9, 100%, $F$9) + CHOOSE(CONTROL!$C$27, 0.0021, 0)</f>
        <v>65.118600000000001</v>
      </c>
      <c r="J696" s="10">
        <f>65.1165 * CHOOSE(CONTROL!$C$9, $D$9, 100%, $F$9) + CHOOSE(CONTROL!$C$27, 0.0021, 0)</f>
        <v>65.118600000000001</v>
      </c>
      <c r="K696" s="10">
        <f>65.1165 * CHOOSE(CONTROL!$C$9, $D$9, 100%, $F$9) + CHOOSE(CONTROL!$C$27, 0.0021, 0)</f>
        <v>65.118600000000001</v>
      </c>
      <c r="L696" s="10"/>
    </row>
    <row r="697" spans="1:12" ht="15.75" x14ac:dyDescent="0.25">
      <c r="A697" s="13">
        <v>62517</v>
      </c>
      <c r="B697" s="10">
        <f>63.7595 * CHOOSE(CONTROL!$C$9, $D$9, 100%, $F$9) + CHOOSE(CONTROL!$C$27, 0.0021, 0)</f>
        <v>63.761600000000001</v>
      </c>
      <c r="C697" s="10">
        <f>63.3272 * CHOOSE(CONTROL!$C$9, $D$9, 100%, $F$9) + CHOOSE(CONTROL!$C$27, 0.0021, 0)</f>
        <v>63.329299999999996</v>
      </c>
      <c r="D697" s="10">
        <f>63.3272 * CHOOSE(CONTROL!$C$9, $D$9, 100%, $F$9) + CHOOSE(CONTROL!$C$27, 0.0021, 0)</f>
        <v>63.329299999999996</v>
      </c>
      <c r="E697" s="10">
        <f>63.1906 * CHOOSE(CONTROL!$C$9, $D$9, 100%, $F$9) + CHOOSE(CONTROL!$C$27, 0.0021, 0)</f>
        <v>63.192700000000002</v>
      </c>
      <c r="F697" s="10">
        <f>63.1906 * CHOOSE(CONTROL!$C$9, $D$9, 100%, $F$9) + CHOOSE(CONTROL!$C$27, 0.0021, 0)</f>
        <v>63.192700000000002</v>
      </c>
      <c r="G697" s="10">
        <f>63.462 * CHOOSE(CONTROL!$C$9, $D$9, 100%, $F$9) + CHOOSE(CONTROL!$C$27, 0.0021, 0)</f>
        <v>63.464100000000002</v>
      </c>
      <c r="H697" s="10">
        <f>63.3272 * CHOOSE(CONTROL!$C$9, $D$9, 100%, $F$9) + CHOOSE(CONTROL!$C$27, 0.0021, 0)</f>
        <v>63.329299999999996</v>
      </c>
      <c r="I697" s="10">
        <f>63.3272 * CHOOSE(CONTROL!$C$9, $D$9, 100%, $F$9) + CHOOSE(CONTROL!$C$27, 0.0021, 0)</f>
        <v>63.329299999999996</v>
      </c>
      <c r="J697" s="10">
        <f>63.3272 * CHOOSE(CONTROL!$C$9, $D$9, 100%, $F$9) + CHOOSE(CONTROL!$C$27, 0.0021, 0)</f>
        <v>63.329299999999996</v>
      </c>
      <c r="K697" s="10">
        <f>63.3272 * CHOOSE(CONTROL!$C$9, $D$9, 100%, $F$9) + CHOOSE(CONTROL!$C$27, 0.0021, 0)</f>
        <v>63.329299999999996</v>
      </c>
      <c r="L697" s="10"/>
    </row>
    <row r="698" spans="1:12" ht="15.75" x14ac:dyDescent="0.25">
      <c r="A698" s="13">
        <v>62548</v>
      </c>
      <c r="B698" s="10">
        <f>63.0209 * CHOOSE(CONTROL!$C$9, $D$9, 100%, $F$9) + CHOOSE(CONTROL!$C$27, 0.0021, 0)</f>
        <v>63.022999999999996</v>
      </c>
      <c r="C698" s="10">
        <f>62.5887 * CHOOSE(CONTROL!$C$9, $D$9, 100%, $F$9) + CHOOSE(CONTROL!$C$27, 0.0021, 0)</f>
        <v>62.590800000000002</v>
      </c>
      <c r="D698" s="10">
        <f>62.5887 * CHOOSE(CONTROL!$C$9, $D$9, 100%, $F$9) + CHOOSE(CONTROL!$C$27, 0.0021, 0)</f>
        <v>62.590800000000002</v>
      </c>
      <c r="E698" s="10">
        <f>62.452 * CHOOSE(CONTROL!$C$9, $D$9, 100%, $F$9) + CHOOSE(CONTROL!$C$27, 0.0021, 0)</f>
        <v>62.454099999999997</v>
      </c>
      <c r="F698" s="10">
        <f>62.452 * CHOOSE(CONTROL!$C$9, $D$9, 100%, $F$9) + CHOOSE(CONTROL!$C$27, 0.0021, 0)</f>
        <v>62.454099999999997</v>
      </c>
      <c r="G698" s="10">
        <f>62.7234 * CHOOSE(CONTROL!$C$9, $D$9, 100%, $F$9) + CHOOSE(CONTROL!$C$27, 0.0021, 0)</f>
        <v>62.725499999999997</v>
      </c>
      <c r="H698" s="10">
        <f>62.5887 * CHOOSE(CONTROL!$C$9, $D$9, 100%, $F$9) + CHOOSE(CONTROL!$C$27, 0.0021, 0)</f>
        <v>62.590800000000002</v>
      </c>
      <c r="I698" s="10">
        <f>62.5887 * CHOOSE(CONTROL!$C$9, $D$9, 100%, $F$9) + CHOOSE(CONTROL!$C$27, 0.0021, 0)</f>
        <v>62.590800000000002</v>
      </c>
      <c r="J698" s="10">
        <f>62.5887 * CHOOSE(CONTROL!$C$9, $D$9, 100%, $F$9) + CHOOSE(CONTROL!$C$27, 0.0021, 0)</f>
        <v>62.590800000000002</v>
      </c>
      <c r="K698" s="10">
        <f>62.5887 * CHOOSE(CONTROL!$C$9, $D$9, 100%, $F$9) + CHOOSE(CONTROL!$C$27, 0.0021, 0)</f>
        <v>62.590800000000002</v>
      </c>
      <c r="L698" s="10"/>
    </row>
    <row r="699" spans="1:12" ht="15.75" x14ac:dyDescent="0.25">
      <c r="A699" s="13">
        <v>62578</v>
      </c>
      <c r="B699" s="10">
        <f>62.139 * CHOOSE(CONTROL!$C$9, $D$9, 100%, $F$9) + CHOOSE(CONTROL!$C$27, 0.0021, 0)</f>
        <v>62.141100000000002</v>
      </c>
      <c r="C699" s="10">
        <f>61.7068 * CHOOSE(CONTROL!$C$9, $D$9, 100%, $F$9) + CHOOSE(CONTROL!$C$27, 0.0021, 0)</f>
        <v>61.7089</v>
      </c>
      <c r="D699" s="10">
        <f>61.7068 * CHOOSE(CONTROL!$C$9, $D$9, 100%, $F$9) + CHOOSE(CONTROL!$C$27, 0.0021, 0)</f>
        <v>61.7089</v>
      </c>
      <c r="E699" s="10">
        <f>61.5701 * CHOOSE(CONTROL!$C$9, $D$9, 100%, $F$9) + CHOOSE(CONTROL!$C$27, 0.0021, 0)</f>
        <v>61.572199999999995</v>
      </c>
      <c r="F699" s="10">
        <f>61.5701 * CHOOSE(CONTROL!$C$9, $D$9, 100%, $F$9) + CHOOSE(CONTROL!$C$27, 0.0021, 0)</f>
        <v>61.572199999999995</v>
      </c>
      <c r="G699" s="10">
        <f>61.8415 * CHOOSE(CONTROL!$C$9, $D$9, 100%, $F$9) + CHOOSE(CONTROL!$C$27, 0.0021, 0)</f>
        <v>61.843600000000002</v>
      </c>
      <c r="H699" s="10">
        <f>61.7068 * CHOOSE(CONTROL!$C$9, $D$9, 100%, $F$9) + CHOOSE(CONTROL!$C$27, 0.0021, 0)</f>
        <v>61.7089</v>
      </c>
      <c r="I699" s="10">
        <f>61.7068 * CHOOSE(CONTROL!$C$9, $D$9, 100%, $F$9) + CHOOSE(CONTROL!$C$27, 0.0021, 0)</f>
        <v>61.7089</v>
      </c>
      <c r="J699" s="10">
        <f>61.7068 * CHOOSE(CONTROL!$C$9, $D$9, 100%, $F$9) + CHOOSE(CONTROL!$C$27, 0.0021, 0)</f>
        <v>61.7089</v>
      </c>
      <c r="K699" s="10">
        <f>61.7068 * CHOOSE(CONTROL!$C$9, $D$9, 100%, $F$9) + CHOOSE(CONTROL!$C$27, 0.0021, 0)</f>
        <v>61.7089</v>
      </c>
      <c r="L699" s="10"/>
    </row>
    <row r="700" spans="1:12" ht="15.75" x14ac:dyDescent="0.25">
      <c r="A700" s="13">
        <v>62609</v>
      </c>
      <c r="B700" s="10">
        <f>63.3958 * CHOOSE(CONTROL!$C$9, $D$9, 100%, $F$9) + CHOOSE(CONTROL!$C$27, 0.0021, 0)</f>
        <v>63.3979</v>
      </c>
      <c r="C700" s="10">
        <f>62.9636 * CHOOSE(CONTROL!$C$9, $D$9, 100%, $F$9) + CHOOSE(CONTROL!$C$27, 0.0021, 0)</f>
        <v>62.965699999999998</v>
      </c>
      <c r="D700" s="10">
        <f>62.9636 * CHOOSE(CONTROL!$C$9, $D$9, 100%, $F$9) + CHOOSE(CONTROL!$C$27, 0.0021, 0)</f>
        <v>62.965699999999998</v>
      </c>
      <c r="E700" s="10">
        <f>62.8269 * CHOOSE(CONTROL!$C$9, $D$9, 100%, $F$9) + CHOOSE(CONTROL!$C$27, 0.0021, 0)</f>
        <v>62.829000000000001</v>
      </c>
      <c r="F700" s="10">
        <f>62.8269 * CHOOSE(CONTROL!$C$9, $D$9, 100%, $F$9) + CHOOSE(CONTROL!$C$27, 0.0021, 0)</f>
        <v>62.829000000000001</v>
      </c>
      <c r="G700" s="10">
        <f>63.0983 * CHOOSE(CONTROL!$C$9, $D$9, 100%, $F$9) + CHOOSE(CONTROL!$C$27, 0.0021, 0)</f>
        <v>63.1004</v>
      </c>
      <c r="H700" s="10">
        <f>62.9636 * CHOOSE(CONTROL!$C$9, $D$9, 100%, $F$9) + CHOOSE(CONTROL!$C$27, 0.0021, 0)</f>
        <v>62.965699999999998</v>
      </c>
      <c r="I700" s="10">
        <f>62.9636 * CHOOSE(CONTROL!$C$9, $D$9, 100%, $F$9) + CHOOSE(CONTROL!$C$27, 0.0021, 0)</f>
        <v>62.965699999999998</v>
      </c>
      <c r="J700" s="10">
        <f>62.9636 * CHOOSE(CONTROL!$C$9, $D$9, 100%, $F$9) + CHOOSE(CONTROL!$C$27, 0.0021, 0)</f>
        <v>62.965699999999998</v>
      </c>
      <c r="K700" s="10">
        <f>62.9636 * CHOOSE(CONTROL!$C$9, $D$9, 100%, $F$9) + CHOOSE(CONTROL!$C$27, 0.0021, 0)</f>
        <v>62.965699999999998</v>
      </c>
      <c r="L700" s="10"/>
    </row>
    <row r="701" spans="1:12" ht="15.75" x14ac:dyDescent="0.25">
      <c r="A701" s="13">
        <v>62639</v>
      </c>
      <c r="B701" s="10">
        <f>64.1486 * CHOOSE(CONTROL!$C$9, $D$9, 100%, $F$9) + CHOOSE(CONTROL!$C$27, 0.0021, 0)</f>
        <v>64.150700000000001</v>
      </c>
      <c r="C701" s="10">
        <f>63.7163 * CHOOSE(CONTROL!$C$9, $D$9, 100%, $F$9) + CHOOSE(CONTROL!$C$27, 0.0021, 0)</f>
        <v>63.718399999999995</v>
      </c>
      <c r="D701" s="10">
        <f>63.7163 * CHOOSE(CONTROL!$C$9, $D$9, 100%, $F$9) + CHOOSE(CONTROL!$C$27, 0.0021, 0)</f>
        <v>63.718399999999995</v>
      </c>
      <c r="E701" s="10">
        <f>63.5797 * CHOOSE(CONTROL!$C$9, $D$9, 100%, $F$9) + CHOOSE(CONTROL!$C$27, 0.0021, 0)</f>
        <v>63.581800000000001</v>
      </c>
      <c r="F701" s="10">
        <f>63.5797 * CHOOSE(CONTROL!$C$9, $D$9, 100%, $F$9) + CHOOSE(CONTROL!$C$27, 0.0021, 0)</f>
        <v>63.581800000000001</v>
      </c>
      <c r="G701" s="10">
        <f>63.8511 * CHOOSE(CONTROL!$C$9, $D$9, 100%, $F$9) + CHOOSE(CONTROL!$C$27, 0.0021, 0)</f>
        <v>63.853200000000001</v>
      </c>
      <c r="H701" s="10">
        <f>63.7163 * CHOOSE(CONTROL!$C$9, $D$9, 100%, $F$9) + CHOOSE(CONTROL!$C$27, 0.0021, 0)</f>
        <v>63.718399999999995</v>
      </c>
      <c r="I701" s="10">
        <f>63.7163 * CHOOSE(CONTROL!$C$9, $D$9, 100%, $F$9) + CHOOSE(CONTROL!$C$27, 0.0021, 0)</f>
        <v>63.718399999999995</v>
      </c>
      <c r="J701" s="10">
        <f>63.7163 * CHOOSE(CONTROL!$C$9, $D$9, 100%, $F$9) + CHOOSE(CONTROL!$C$27, 0.0021, 0)</f>
        <v>63.718399999999995</v>
      </c>
      <c r="K701" s="10">
        <f>63.7163 * CHOOSE(CONTROL!$C$9, $D$9, 100%, $F$9) + CHOOSE(CONTROL!$C$27, 0.0021, 0)</f>
        <v>63.718399999999995</v>
      </c>
      <c r="L701" s="10"/>
    </row>
    <row r="702" spans="1:12" ht="15.75" x14ac:dyDescent="0.25">
      <c r="A702" s="13">
        <v>62670</v>
      </c>
      <c r="B702" s="10">
        <f>65.3904 * CHOOSE(CONTROL!$C$9, $D$9, 100%, $F$9) + CHOOSE(CONTROL!$C$27, 0.0021, 0)</f>
        <v>65.392499999999998</v>
      </c>
      <c r="C702" s="10">
        <f>64.9581 * CHOOSE(CONTROL!$C$9, $D$9, 100%, $F$9) + CHOOSE(CONTROL!$C$27, 0.0021, 0)</f>
        <v>64.9602</v>
      </c>
      <c r="D702" s="10">
        <f>64.9581 * CHOOSE(CONTROL!$C$9, $D$9, 100%, $F$9) + CHOOSE(CONTROL!$C$27, 0.0021, 0)</f>
        <v>64.9602</v>
      </c>
      <c r="E702" s="10">
        <f>64.8215 * CHOOSE(CONTROL!$C$9, $D$9, 100%, $F$9) + CHOOSE(CONTROL!$C$27, 0.0021, 0)</f>
        <v>64.823599999999999</v>
      </c>
      <c r="F702" s="10">
        <f>64.8215 * CHOOSE(CONTROL!$C$9, $D$9, 100%, $F$9) + CHOOSE(CONTROL!$C$27, 0.0021, 0)</f>
        <v>64.823599999999999</v>
      </c>
      <c r="G702" s="10">
        <f>65.0929 * CHOOSE(CONTROL!$C$9, $D$9, 100%, $F$9) + CHOOSE(CONTROL!$C$27, 0.0021, 0)</f>
        <v>65.094999999999999</v>
      </c>
      <c r="H702" s="10">
        <f>64.9581 * CHOOSE(CONTROL!$C$9, $D$9, 100%, $F$9) + CHOOSE(CONTROL!$C$27, 0.0021, 0)</f>
        <v>64.9602</v>
      </c>
      <c r="I702" s="10">
        <f>64.9581 * CHOOSE(CONTROL!$C$9, $D$9, 100%, $F$9) + CHOOSE(CONTROL!$C$27, 0.0021, 0)</f>
        <v>64.9602</v>
      </c>
      <c r="J702" s="10">
        <f>64.9581 * CHOOSE(CONTROL!$C$9, $D$9, 100%, $F$9) + CHOOSE(CONTROL!$C$27, 0.0021, 0)</f>
        <v>64.9602</v>
      </c>
      <c r="K702" s="10">
        <f>64.9581 * CHOOSE(CONTROL!$C$9, $D$9, 100%, $F$9) + CHOOSE(CONTROL!$C$27, 0.0021, 0)</f>
        <v>64.9602</v>
      </c>
      <c r="L702" s="10"/>
    </row>
    <row r="703" spans="1:12" ht="15.75" x14ac:dyDescent="0.25">
      <c r="A703" s="13">
        <v>62701</v>
      </c>
      <c r="B703" s="10">
        <f>65.7694 * CHOOSE(CONTROL!$C$9, $D$9, 100%, $F$9) + CHOOSE(CONTROL!$C$27, 0.0021, 0)</f>
        <v>65.771500000000003</v>
      </c>
      <c r="C703" s="10">
        <f>65.3372 * CHOOSE(CONTROL!$C$9, $D$9, 100%, $F$9) + CHOOSE(CONTROL!$C$27, 0.0021, 0)</f>
        <v>65.339299999999994</v>
      </c>
      <c r="D703" s="10">
        <f>65.3372 * CHOOSE(CONTROL!$C$9, $D$9, 100%, $F$9) + CHOOSE(CONTROL!$C$27, 0.0021, 0)</f>
        <v>65.339299999999994</v>
      </c>
      <c r="E703" s="10">
        <f>65.2005 * CHOOSE(CONTROL!$C$9, $D$9, 100%, $F$9) + CHOOSE(CONTROL!$C$27, 0.0021, 0)</f>
        <v>65.202600000000004</v>
      </c>
      <c r="F703" s="10">
        <f>65.2005 * CHOOSE(CONTROL!$C$9, $D$9, 100%, $F$9) + CHOOSE(CONTROL!$C$27, 0.0021, 0)</f>
        <v>65.202600000000004</v>
      </c>
      <c r="G703" s="10">
        <f>65.4719 * CHOOSE(CONTROL!$C$9, $D$9, 100%, $F$9) + CHOOSE(CONTROL!$C$27, 0.0021, 0)</f>
        <v>65.474000000000004</v>
      </c>
      <c r="H703" s="10">
        <f>65.3372 * CHOOSE(CONTROL!$C$9, $D$9, 100%, $F$9) + CHOOSE(CONTROL!$C$27, 0.0021, 0)</f>
        <v>65.339299999999994</v>
      </c>
      <c r="I703" s="10">
        <f>65.3372 * CHOOSE(CONTROL!$C$9, $D$9, 100%, $F$9) + CHOOSE(CONTROL!$C$27, 0.0021, 0)</f>
        <v>65.339299999999994</v>
      </c>
      <c r="J703" s="10">
        <f>65.3372 * CHOOSE(CONTROL!$C$9, $D$9, 100%, $F$9) + CHOOSE(CONTROL!$C$27, 0.0021, 0)</f>
        <v>65.339299999999994</v>
      </c>
      <c r="K703" s="10">
        <f>65.3372 * CHOOSE(CONTROL!$C$9, $D$9, 100%, $F$9) + CHOOSE(CONTROL!$C$27, 0.0021, 0)</f>
        <v>65.339299999999994</v>
      </c>
      <c r="L703" s="10"/>
    </row>
    <row r="704" spans="1:12" ht="15.75" x14ac:dyDescent="0.25">
      <c r="A704" s="13">
        <v>62731</v>
      </c>
      <c r="B704" s="10">
        <f>67.0602 * CHOOSE(CONTROL!$C$9, $D$9, 100%, $F$9) + CHOOSE(CONTROL!$C$27, 0.0021, 0)</f>
        <v>67.062299999999993</v>
      </c>
      <c r="C704" s="10">
        <f>66.628 * CHOOSE(CONTROL!$C$9, $D$9, 100%, $F$9) + CHOOSE(CONTROL!$C$27, 0.0021, 0)</f>
        <v>66.630099999999999</v>
      </c>
      <c r="D704" s="10">
        <f>66.628 * CHOOSE(CONTROL!$C$9, $D$9, 100%, $F$9) + CHOOSE(CONTROL!$C$27, 0.0021, 0)</f>
        <v>66.630099999999999</v>
      </c>
      <c r="E704" s="10">
        <f>66.4913 * CHOOSE(CONTROL!$C$9, $D$9, 100%, $F$9) + CHOOSE(CONTROL!$C$27, 0.0021, 0)</f>
        <v>66.493399999999994</v>
      </c>
      <c r="F704" s="10">
        <f>66.4913 * CHOOSE(CONTROL!$C$9, $D$9, 100%, $F$9) + CHOOSE(CONTROL!$C$27, 0.0021, 0)</f>
        <v>66.493399999999994</v>
      </c>
      <c r="G704" s="10">
        <f>66.7627 * CHOOSE(CONTROL!$C$9, $D$9, 100%, $F$9) + CHOOSE(CONTROL!$C$27, 0.0021, 0)</f>
        <v>66.764799999999994</v>
      </c>
      <c r="H704" s="10">
        <f>66.628 * CHOOSE(CONTROL!$C$9, $D$9, 100%, $F$9) + CHOOSE(CONTROL!$C$27, 0.0021, 0)</f>
        <v>66.630099999999999</v>
      </c>
      <c r="I704" s="10">
        <f>66.628 * CHOOSE(CONTROL!$C$9, $D$9, 100%, $F$9) + CHOOSE(CONTROL!$C$27, 0.0021, 0)</f>
        <v>66.630099999999999</v>
      </c>
      <c r="J704" s="10">
        <f>66.628 * CHOOSE(CONTROL!$C$9, $D$9, 100%, $F$9) + CHOOSE(CONTROL!$C$27, 0.0021, 0)</f>
        <v>66.630099999999999</v>
      </c>
      <c r="K704" s="10">
        <f>66.628 * CHOOSE(CONTROL!$C$9, $D$9, 100%, $F$9) + CHOOSE(CONTROL!$C$27, 0.0021, 0)</f>
        <v>66.630099999999999</v>
      </c>
      <c r="L704" s="10"/>
    </row>
    <row r="705" spans="1:12" ht="15.75" x14ac:dyDescent="0.25">
      <c r="A705" s="13">
        <v>62762</v>
      </c>
      <c r="B705" s="10">
        <f>68.6942 * CHOOSE(CONTROL!$C$9, $D$9, 100%, $F$9) + CHOOSE(CONTROL!$C$27, 0.0021, 0)</f>
        <v>68.696299999999994</v>
      </c>
      <c r="C705" s="10">
        <f>68.2619 * CHOOSE(CONTROL!$C$9, $D$9, 100%, $F$9) + CHOOSE(CONTROL!$C$27, 0.0021, 0)</f>
        <v>68.263999999999996</v>
      </c>
      <c r="D705" s="10">
        <f>68.2619 * CHOOSE(CONTROL!$C$9, $D$9, 100%, $F$9) + CHOOSE(CONTROL!$C$27, 0.0021, 0)</f>
        <v>68.263999999999996</v>
      </c>
      <c r="E705" s="10">
        <f>68.1253 * CHOOSE(CONTROL!$C$9, $D$9, 100%, $F$9) + CHOOSE(CONTROL!$C$27, 0.0021, 0)</f>
        <v>68.127399999999994</v>
      </c>
      <c r="F705" s="10">
        <f>68.1253 * CHOOSE(CONTROL!$C$9, $D$9, 100%, $F$9) + CHOOSE(CONTROL!$C$27, 0.0021, 0)</f>
        <v>68.127399999999994</v>
      </c>
      <c r="G705" s="10">
        <f>68.3966 * CHOOSE(CONTROL!$C$9, $D$9, 100%, $F$9) + CHOOSE(CONTROL!$C$27, 0.0021, 0)</f>
        <v>68.398700000000005</v>
      </c>
      <c r="H705" s="10">
        <f>68.2619 * CHOOSE(CONTROL!$C$9, $D$9, 100%, $F$9) + CHOOSE(CONTROL!$C$27, 0.0021, 0)</f>
        <v>68.263999999999996</v>
      </c>
      <c r="I705" s="10">
        <f>68.2619 * CHOOSE(CONTROL!$C$9, $D$9, 100%, $F$9) + CHOOSE(CONTROL!$C$27, 0.0021, 0)</f>
        <v>68.263999999999996</v>
      </c>
      <c r="J705" s="10">
        <f>68.2619 * CHOOSE(CONTROL!$C$9, $D$9, 100%, $F$9) + CHOOSE(CONTROL!$C$27, 0.0021, 0)</f>
        <v>68.263999999999996</v>
      </c>
      <c r="K705" s="10">
        <f>68.2619 * CHOOSE(CONTROL!$C$9, $D$9, 100%, $F$9) + CHOOSE(CONTROL!$C$27, 0.0021, 0)</f>
        <v>68.263999999999996</v>
      </c>
      <c r="L705" s="10"/>
    </row>
    <row r="706" spans="1:12" ht="15.75" x14ac:dyDescent="0.25">
      <c r="A706" s="13">
        <v>62792</v>
      </c>
      <c r="B706" s="10">
        <f>68.8476 * CHOOSE(CONTROL!$C$9, $D$9, 100%, $F$9) + CHOOSE(CONTROL!$C$27, 0.0021, 0)</f>
        <v>68.849699999999999</v>
      </c>
      <c r="C706" s="10">
        <f>68.4153 * CHOOSE(CONTROL!$C$9, $D$9, 100%, $F$9) + CHOOSE(CONTROL!$C$27, 0.0021, 0)</f>
        <v>68.417400000000001</v>
      </c>
      <c r="D706" s="10">
        <f>68.4153 * CHOOSE(CONTROL!$C$9, $D$9, 100%, $F$9) + CHOOSE(CONTROL!$C$27, 0.0021, 0)</f>
        <v>68.417400000000001</v>
      </c>
      <c r="E706" s="10">
        <f>68.2787 * CHOOSE(CONTROL!$C$9, $D$9, 100%, $F$9) + CHOOSE(CONTROL!$C$27, 0.0021, 0)</f>
        <v>68.280799999999999</v>
      </c>
      <c r="F706" s="10">
        <f>68.2787 * CHOOSE(CONTROL!$C$9, $D$9, 100%, $F$9) + CHOOSE(CONTROL!$C$27, 0.0021, 0)</f>
        <v>68.280799999999999</v>
      </c>
      <c r="G706" s="10">
        <f>68.55 * CHOOSE(CONTROL!$C$9, $D$9, 100%, $F$9) + CHOOSE(CONTROL!$C$27, 0.0021, 0)</f>
        <v>68.552099999999996</v>
      </c>
      <c r="H706" s="10">
        <f>68.4153 * CHOOSE(CONTROL!$C$9, $D$9, 100%, $F$9) + CHOOSE(CONTROL!$C$27, 0.0021, 0)</f>
        <v>68.417400000000001</v>
      </c>
      <c r="I706" s="10">
        <f>68.4153 * CHOOSE(CONTROL!$C$9, $D$9, 100%, $F$9) + CHOOSE(CONTROL!$C$27, 0.0021, 0)</f>
        <v>68.417400000000001</v>
      </c>
      <c r="J706" s="10">
        <f>68.4153 * CHOOSE(CONTROL!$C$9, $D$9, 100%, $F$9) + CHOOSE(CONTROL!$C$27, 0.0021, 0)</f>
        <v>68.417400000000001</v>
      </c>
      <c r="K706" s="10">
        <f>68.4153 * CHOOSE(CONTROL!$C$9, $D$9, 100%, $F$9) + CHOOSE(CONTROL!$C$27, 0.0021, 0)</f>
        <v>68.417400000000001</v>
      </c>
      <c r="L706" s="10"/>
    </row>
    <row r="707" spans="1:12" ht="15.75" x14ac:dyDescent="0.25">
      <c r="A707" s="13">
        <v>62823</v>
      </c>
      <c r="B707" s="10">
        <f>67.5426 * CHOOSE(CONTROL!$C$9, $D$9, 100%, $F$9) + CHOOSE(CONTROL!$C$27, 0.0021, 0)</f>
        <v>67.544699999999992</v>
      </c>
      <c r="C707" s="10">
        <f>67.1103 * CHOOSE(CONTROL!$C$9, $D$9, 100%, $F$9) + CHOOSE(CONTROL!$C$27, 0.0021, 0)</f>
        <v>67.112399999999994</v>
      </c>
      <c r="D707" s="10">
        <f>67.1103 * CHOOSE(CONTROL!$C$9, $D$9, 100%, $F$9) + CHOOSE(CONTROL!$C$27, 0.0021, 0)</f>
        <v>67.112399999999994</v>
      </c>
      <c r="E707" s="10">
        <f>66.9737 * CHOOSE(CONTROL!$C$9, $D$9, 100%, $F$9) + CHOOSE(CONTROL!$C$27, 0.0021, 0)</f>
        <v>66.975799999999992</v>
      </c>
      <c r="F707" s="10">
        <f>66.9737 * CHOOSE(CONTROL!$C$9, $D$9, 100%, $F$9) + CHOOSE(CONTROL!$C$27, 0.0021, 0)</f>
        <v>66.975799999999992</v>
      </c>
      <c r="G707" s="10">
        <f>67.245 * CHOOSE(CONTROL!$C$9, $D$9, 100%, $F$9) + CHOOSE(CONTROL!$C$27, 0.0021, 0)</f>
        <v>67.247100000000003</v>
      </c>
      <c r="H707" s="10">
        <f>67.1103 * CHOOSE(CONTROL!$C$9, $D$9, 100%, $F$9) + CHOOSE(CONTROL!$C$27, 0.0021, 0)</f>
        <v>67.112399999999994</v>
      </c>
      <c r="I707" s="10">
        <f>67.1103 * CHOOSE(CONTROL!$C$9, $D$9, 100%, $F$9) + CHOOSE(CONTROL!$C$27, 0.0021, 0)</f>
        <v>67.112399999999994</v>
      </c>
      <c r="J707" s="10">
        <f>67.1103 * CHOOSE(CONTROL!$C$9, $D$9, 100%, $F$9) + CHOOSE(CONTROL!$C$27, 0.0021, 0)</f>
        <v>67.112399999999994</v>
      </c>
      <c r="K707" s="10">
        <f>67.1103 * CHOOSE(CONTROL!$C$9, $D$9, 100%, $F$9) + CHOOSE(CONTROL!$C$27, 0.0021, 0)</f>
        <v>67.112399999999994</v>
      </c>
      <c r="L707" s="10"/>
    </row>
    <row r="708" spans="1:12" ht="15.75" x14ac:dyDescent="0.25">
      <c r="A708" s="13">
        <v>62854</v>
      </c>
      <c r="B708" s="10">
        <f>66.5434 * CHOOSE(CONTROL!$C$9, $D$9, 100%, $F$9) + CHOOSE(CONTROL!$C$27, 0.0021, 0)</f>
        <v>66.545500000000004</v>
      </c>
      <c r="C708" s="10">
        <f>66.1112 * CHOOSE(CONTROL!$C$9, $D$9, 100%, $F$9) + CHOOSE(CONTROL!$C$27, 0.0021, 0)</f>
        <v>66.113299999999995</v>
      </c>
      <c r="D708" s="10">
        <f>66.1112 * CHOOSE(CONTROL!$C$9, $D$9, 100%, $F$9) + CHOOSE(CONTROL!$C$27, 0.0021, 0)</f>
        <v>66.113299999999995</v>
      </c>
      <c r="E708" s="10">
        <f>65.9745 * CHOOSE(CONTROL!$C$9, $D$9, 100%, $F$9) + CHOOSE(CONTROL!$C$27, 0.0021, 0)</f>
        <v>65.976600000000005</v>
      </c>
      <c r="F708" s="10">
        <f>65.9745 * CHOOSE(CONTROL!$C$9, $D$9, 100%, $F$9) + CHOOSE(CONTROL!$C$27, 0.0021, 0)</f>
        <v>65.976600000000005</v>
      </c>
      <c r="G708" s="10">
        <f>66.2459 * CHOOSE(CONTROL!$C$9, $D$9, 100%, $F$9) + CHOOSE(CONTROL!$C$27, 0.0021, 0)</f>
        <v>66.248000000000005</v>
      </c>
      <c r="H708" s="10">
        <f>66.1112 * CHOOSE(CONTROL!$C$9, $D$9, 100%, $F$9) + CHOOSE(CONTROL!$C$27, 0.0021, 0)</f>
        <v>66.113299999999995</v>
      </c>
      <c r="I708" s="10">
        <f>66.1112 * CHOOSE(CONTROL!$C$9, $D$9, 100%, $F$9) + CHOOSE(CONTROL!$C$27, 0.0021, 0)</f>
        <v>66.113299999999995</v>
      </c>
      <c r="J708" s="10">
        <f>66.1112 * CHOOSE(CONTROL!$C$9, $D$9, 100%, $F$9) + CHOOSE(CONTROL!$C$27, 0.0021, 0)</f>
        <v>66.113299999999995</v>
      </c>
      <c r="K708" s="10">
        <f>66.1112 * CHOOSE(CONTROL!$C$9, $D$9, 100%, $F$9) + CHOOSE(CONTROL!$C$27, 0.0021, 0)</f>
        <v>66.113299999999995</v>
      </c>
      <c r="L708" s="10"/>
    </row>
    <row r="709" spans="1:12" ht="15.75" x14ac:dyDescent="0.25">
      <c r="A709" s="13">
        <v>62883</v>
      </c>
      <c r="B709" s="10">
        <f>64.7261 * CHOOSE(CONTROL!$C$9, $D$9, 100%, $F$9) + CHOOSE(CONTROL!$C$27, 0.0021, 0)</f>
        <v>64.728200000000001</v>
      </c>
      <c r="C709" s="10">
        <f>64.2938 * CHOOSE(CONTROL!$C$9, $D$9, 100%, $F$9) + CHOOSE(CONTROL!$C$27, 0.0021, 0)</f>
        <v>64.295900000000003</v>
      </c>
      <c r="D709" s="10">
        <f>64.2938 * CHOOSE(CONTROL!$C$9, $D$9, 100%, $F$9) + CHOOSE(CONTROL!$C$27, 0.0021, 0)</f>
        <v>64.295900000000003</v>
      </c>
      <c r="E709" s="10">
        <f>64.1572 * CHOOSE(CONTROL!$C$9, $D$9, 100%, $F$9) + CHOOSE(CONTROL!$C$27, 0.0021, 0)</f>
        <v>64.159300000000002</v>
      </c>
      <c r="F709" s="10">
        <f>64.1572 * CHOOSE(CONTROL!$C$9, $D$9, 100%, $F$9) + CHOOSE(CONTROL!$C$27, 0.0021, 0)</f>
        <v>64.159300000000002</v>
      </c>
      <c r="G709" s="10">
        <f>64.4285 * CHOOSE(CONTROL!$C$9, $D$9, 100%, $F$9) + CHOOSE(CONTROL!$C$27, 0.0021, 0)</f>
        <v>64.430599999999998</v>
      </c>
      <c r="H709" s="10">
        <f>64.2938 * CHOOSE(CONTROL!$C$9, $D$9, 100%, $F$9) + CHOOSE(CONTROL!$C$27, 0.0021, 0)</f>
        <v>64.295900000000003</v>
      </c>
      <c r="I709" s="10">
        <f>64.2938 * CHOOSE(CONTROL!$C$9, $D$9, 100%, $F$9) + CHOOSE(CONTROL!$C$27, 0.0021, 0)</f>
        <v>64.295900000000003</v>
      </c>
      <c r="J709" s="10">
        <f>64.2938 * CHOOSE(CONTROL!$C$9, $D$9, 100%, $F$9) + CHOOSE(CONTROL!$C$27, 0.0021, 0)</f>
        <v>64.295900000000003</v>
      </c>
      <c r="K709" s="10">
        <f>64.2938 * CHOOSE(CONTROL!$C$9, $D$9, 100%, $F$9) + CHOOSE(CONTROL!$C$27, 0.0021, 0)</f>
        <v>64.295900000000003</v>
      </c>
      <c r="L709" s="10"/>
    </row>
    <row r="710" spans="1:12" ht="15.75" x14ac:dyDescent="0.25">
      <c r="A710" s="13">
        <v>62914</v>
      </c>
      <c r="B710" s="10">
        <f>63.9759 * CHOOSE(CONTROL!$C$9, $D$9, 100%, $F$9) + CHOOSE(CONTROL!$C$27, 0.0021, 0)</f>
        <v>63.978000000000002</v>
      </c>
      <c r="C710" s="10">
        <f>63.5436 * CHOOSE(CONTROL!$C$9, $D$9, 100%, $F$9) + CHOOSE(CONTROL!$C$27, 0.0021, 0)</f>
        <v>63.545699999999997</v>
      </c>
      <c r="D710" s="10">
        <f>63.5436 * CHOOSE(CONTROL!$C$9, $D$9, 100%, $F$9) + CHOOSE(CONTROL!$C$27, 0.0021, 0)</f>
        <v>63.545699999999997</v>
      </c>
      <c r="E710" s="10">
        <f>63.407 * CHOOSE(CONTROL!$C$9, $D$9, 100%, $F$9) + CHOOSE(CONTROL!$C$27, 0.0021, 0)</f>
        <v>63.409099999999995</v>
      </c>
      <c r="F710" s="10">
        <f>63.407 * CHOOSE(CONTROL!$C$9, $D$9, 100%, $F$9) + CHOOSE(CONTROL!$C$27, 0.0021, 0)</f>
        <v>63.409099999999995</v>
      </c>
      <c r="G710" s="10">
        <f>63.6783 * CHOOSE(CONTROL!$C$9, $D$9, 100%, $F$9) + CHOOSE(CONTROL!$C$27, 0.0021, 0)</f>
        <v>63.680399999999999</v>
      </c>
      <c r="H710" s="10">
        <f>63.5436 * CHOOSE(CONTROL!$C$9, $D$9, 100%, $F$9) + CHOOSE(CONTROL!$C$27, 0.0021, 0)</f>
        <v>63.545699999999997</v>
      </c>
      <c r="I710" s="10">
        <f>63.5436 * CHOOSE(CONTROL!$C$9, $D$9, 100%, $F$9) + CHOOSE(CONTROL!$C$27, 0.0021, 0)</f>
        <v>63.545699999999997</v>
      </c>
      <c r="J710" s="10">
        <f>63.5436 * CHOOSE(CONTROL!$C$9, $D$9, 100%, $F$9) + CHOOSE(CONTROL!$C$27, 0.0021, 0)</f>
        <v>63.545699999999997</v>
      </c>
      <c r="K710" s="10">
        <f>63.5436 * CHOOSE(CONTROL!$C$9, $D$9, 100%, $F$9) + CHOOSE(CONTROL!$C$27, 0.0021, 0)</f>
        <v>63.545699999999997</v>
      </c>
      <c r="L710" s="10"/>
    </row>
    <row r="711" spans="1:12" ht="15.75" x14ac:dyDescent="0.25">
      <c r="A711" s="13">
        <v>62944</v>
      </c>
      <c r="B711" s="10">
        <f>63.0801 * CHOOSE(CONTROL!$C$9, $D$9, 100%, $F$9) + CHOOSE(CONTROL!$C$27, 0.0021, 0)</f>
        <v>63.0822</v>
      </c>
      <c r="C711" s="10">
        <f>62.6478 * CHOOSE(CONTROL!$C$9, $D$9, 100%, $F$9) + CHOOSE(CONTROL!$C$27, 0.0021, 0)</f>
        <v>62.649899999999995</v>
      </c>
      <c r="D711" s="10">
        <f>62.6478 * CHOOSE(CONTROL!$C$9, $D$9, 100%, $F$9) + CHOOSE(CONTROL!$C$27, 0.0021, 0)</f>
        <v>62.649899999999995</v>
      </c>
      <c r="E711" s="10">
        <f>62.5112 * CHOOSE(CONTROL!$C$9, $D$9, 100%, $F$9) + CHOOSE(CONTROL!$C$27, 0.0021, 0)</f>
        <v>62.513300000000001</v>
      </c>
      <c r="F711" s="10">
        <f>62.5112 * CHOOSE(CONTROL!$C$9, $D$9, 100%, $F$9) + CHOOSE(CONTROL!$C$27, 0.0021, 0)</f>
        <v>62.513300000000001</v>
      </c>
      <c r="G711" s="10">
        <f>62.7826 * CHOOSE(CONTROL!$C$9, $D$9, 100%, $F$9) + CHOOSE(CONTROL!$C$27, 0.0021, 0)</f>
        <v>62.784700000000001</v>
      </c>
      <c r="H711" s="10">
        <f>62.6478 * CHOOSE(CONTROL!$C$9, $D$9, 100%, $F$9) + CHOOSE(CONTROL!$C$27, 0.0021, 0)</f>
        <v>62.649899999999995</v>
      </c>
      <c r="I711" s="10">
        <f>62.6478 * CHOOSE(CONTROL!$C$9, $D$9, 100%, $F$9) + CHOOSE(CONTROL!$C$27, 0.0021, 0)</f>
        <v>62.649899999999995</v>
      </c>
      <c r="J711" s="10">
        <f>62.6478 * CHOOSE(CONTROL!$C$9, $D$9, 100%, $F$9) + CHOOSE(CONTROL!$C$27, 0.0021, 0)</f>
        <v>62.649899999999995</v>
      </c>
      <c r="K711" s="10">
        <f>62.6478 * CHOOSE(CONTROL!$C$9, $D$9, 100%, $F$9) + CHOOSE(CONTROL!$C$27, 0.0021, 0)</f>
        <v>62.649899999999995</v>
      </c>
      <c r="L711" s="10"/>
    </row>
    <row r="712" spans="1:12" ht="15.75" x14ac:dyDescent="0.25">
      <c r="A712" s="13">
        <v>62975</v>
      </c>
      <c r="B712" s="10">
        <f>64.3567 * CHOOSE(CONTROL!$C$9, $D$9, 100%, $F$9) + CHOOSE(CONTROL!$C$27, 0.0021, 0)</f>
        <v>64.358800000000002</v>
      </c>
      <c r="C712" s="10">
        <f>63.9244 * CHOOSE(CONTROL!$C$9, $D$9, 100%, $F$9) + CHOOSE(CONTROL!$C$27, 0.0021, 0)</f>
        <v>63.926499999999997</v>
      </c>
      <c r="D712" s="10">
        <f>63.9244 * CHOOSE(CONTROL!$C$9, $D$9, 100%, $F$9) + CHOOSE(CONTROL!$C$27, 0.0021, 0)</f>
        <v>63.926499999999997</v>
      </c>
      <c r="E712" s="10">
        <f>63.7878 * CHOOSE(CONTROL!$C$9, $D$9, 100%, $F$9) + CHOOSE(CONTROL!$C$27, 0.0021, 0)</f>
        <v>63.789899999999996</v>
      </c>
      <c r="F712" s="10">
        <f>63.7878 * CHOOSE(CONTROL!$C$9, $D$9, 100%, $F$9) + CHOOSE(CONTROL!$C$27, 0.0021, 0)</f>
        <v>63.789899999999996</v>
      </c>
      <c r="G712" s="10">
        <f>64.0591 * CHOOSE(CONTROL!$C$9, $D$9, 100%, $F$9) + CHOOSE(CONTROL!$C$27, 0.0021, 0)</f>
        <v>64.061199999999999</v>
      </c>
      <c r="H712" s="10">
        <f>63.9244 * CHOOSE(CONTROL!$C$9, $D$9, 100%, $F$9) + CHOOSE(CONTROL!$C$27, 0.0021, 0)</f>
        <v>63.926499999999997</v>
      </c>
      <c r="I712" s="10">
        <f>63.9244 * CHOOSE(CONTROL!$C$9, $D$9, 100%, $F$9) + CHOOSE(CONTROL!$C$27, 0.0021, 0)</f>
        <v>63.926499999999997</v>
      </c>
      <c r="J712" s="10">
        <f>63.9244 * CHOOSE(CONTROL!$C$9, $D$9, 100%, $F$9) + CHOOSE(CONTROL!$C$27, 0.0021, 0)</f>
        <v>63.926499999999997</v>
      </c>
      <c r="K712" s="10">
        <f>63.9244 * CHOOSE(CONTROL!$C$9, $D$9, 100%, $F$9) + CHOOSE(CONTROL!$C$27, 0.0021, 0)</f>
        <v>63.926499999999997</v>
      </c>
      <c r="L712" s="10"/>
    </row>
    <row r="713" spans="1:12" ht="15.75" x14ac:dyDescent="0.25">
      <c r="A713" s="13">
        <v>63005</v>
      </c>
      <c r="B713" s="10">
        <f>65.1213 * CHOOSE(CONTROL!$C$9, $D$9, 100%, $F$9) + CHOOSE(CONTROL!$C$27, 0.0021, 0)</f>
        <v>65.123400000000004</v>
      </c>
      <c r="C713" s="10">
        <f>64.689 * CHOOSE(CONTROL!$C$9, $D$9, 100%, $F$9) + CHOOSE(CONTROL!$C$27, 0.0021, 0)</f>
        <v>64.691099999999992</v>
      </c>
      <c r="D713" s="10">
        <f>64.689 * CHOOSE(CONTROL!$C$9, $D$9, 100%, $F$9) + CHOOSE(CONTROL!$C$27, 0.0021, 0)</f>
        <v>64.691099999999992</v>
      </c>
      <c r="E713" s="10">
        <f>64.5524 * CHOOSE(CONTROL!$C$9, $D$9, 100%, $F$9) + CHOOSE(CONTROL!$C$27, 0.0021, 0)</f>
        <v>64.554500000000004</v>
      </c>
      <c r="F713" s="10">
        <f>64.5524 * CHOOSE(CONTROL!$C$9, $D$9, 100%, $F$9) + CHOOSE(CONTROL!$C$27, 0.0021, 0)</f>
        <v>64.554500000000004</v>
      </c>
      <c r="G713" s="10">
        <f>64.8237 * CHOOSE(CONTROL!$C$9, $D$9, 100%, $F$9) + CHOOSE(CONTROL!$C$27, 0.0021, 0)</f>
        <v>64.825800000000001</v>
      </c>
      <c r="H713" s="10">
        <f>64.689 * CHOOSE(CONTROL!$C$9, $D$9, 100%, $F$9) + CHOOSE(CONTROL!$C$27, 0.0021, 0)</f>
        <v>64.691099999999992</v>
      </c>
      <c r="I713" s="10">
        <f>64.689 * CHOOSE(CONTROL!$C$9, $D$9, 100%, $F$9) + CHOOSE(CONTROL!$C$27, 0.0021, 0)</f>
        <v>64.691099999999992</v>
      </c>
      <c r="J713" s="10">
        <f>64.689 * CHOOSE(CONTROL!$C$9, $D$9, 100%, $F$9) + CHOOSE(CONTROL!$C$27, 0.0021, 0)</f>
        <v>64.691099999999992</v>
      </c>
      <c r="K713" s="10">
        <f>64.689 * CHOOSE(CONTROL!$C$9, $D$9, 100%, $F$9) + CHOOSE(CONTROL!$C$27, 0.0021, 0)</f>
        <v>64.691099999999992</v>
      </c>
      <c r="L713" s="10"/>
    </row>
    <row r="714" spans="1:12" ht="15.75" x14ac:dyDescent="0.25">
      <c r="A714" s="13">
        <v>63036</v>
      </c>
      <c r="B714" s="10">
        <f>66.3826 * CHOOSE(CONTROL!$C$9, $D$9, 100%, $F$9) + CHOOSE(CONTROL!$C$27, 0.0021, 0)</f>
        <v>66.384699999999995</v>
      </c>
      <c r="C714" s="10">
        <f>65.9504 * CHOOSE(CONTROL!$C$9, $D$9, 100%, $F$9) + CHOOSE(CONTROL!$C$27, 0.0021, 0)</f>
        <v>65.952500000000001</v>
      </c>
      <c r="D714" s="10">
        <f>65.9504 * CHOOSE(CONTROL!$C$9, $D$9, 100%, $F$9) + CHOOSE(CONTROL!$C$27, 0.0021, 0)</f>
        <v>65.952500000000001</v>
      </c>
      <c r="E714" s="10">
        <f>65.8137 * CHOOSE(CONTROL!$C$9, $D$9, 100%, $F$9) + CHOOSE(CONTROL!$C$27, 0.0021, 0)</f>
        <v>65.815799999999996</v>
      </c>
      <c r="F714" s="10">
        <f>65.8137 * CHOOSE(CONTROL!$C$9, $D$9, 100%, $F$9) + CHOOSE(CONTROL!$C$27, 0.0021, 0)</f>
        <v>65.815799999999996</v>
      </c>
      <c r="G714" s="10">
        <f>66.0851 * CHOOSE(CONTROL!$C$9, $D$9, 100%, $F$9) + CHOOSE(CONTROL!$C$27, 0.0021, 0)</f>
        <v>66.087199999999996</v>
      </c>
      <c r="H714" s="10">
        <f>65.9504 * CHOOSE(CONTROL!$C$9, $D$9, 100%, $F$9) + CHOOSE(CONTROL!$C$27, 0.0021, 0)</f>
        <v>65.952500000000001</v>
      </c>
      <c r="I714" s="10">
        <f>65.9504 * CHOOSE(CONTROL!$C$9, $D$9, 100%, $F$9) + CHOOSE(CONTROL!$C$27, 0.0021, 0)</f>
        <v>65.952500000000001</v>
      </c>
      <c r="J714" s="10">
        <f>65.9504 * CHOOSE(CONTROL!$C$9, $D$9, 100%, $F$9) + CHOOSE(CONTROL!$C$27, 0.0021, 0)</f>
        <v>65.952500000000001</v>
      </c>
      <c r="K714" s="10">
        <f>65.9504 * CHOOSE(CONTROL!$C$9, $D$9, 100%, $F$9) + CHOOSE(CONTROL!$C$27, 0.0021, 0)</f>
        <v>65.952500000000001</v>
      </c>
      <c r="L714" s="10"/>
    </row>
    <row r="715" spans="1:12" ht="15.75" x14ac:dyDescent="0.25">
      <c r="A715" s="13">
        <v>63067</v>
      </c>
      <c r="B715" s="10">
        <f>66.7676 * CHOOSE(CONTROL!$C$9, $D$9, 100%, $F$9) + CHOOSE(CONTROL!$C$27, 0.0021, 0)</f>
        <v>66.7697</v>
      </c>
      <c r="C715" s="10">
        <f>66.3354 * CHOOSE(CONTROL!$C$9, $D$9, 100%, $F$9) + CHOOSE(CONTROL!$C$27, 0.0021, 0)</f>
        <v>66.337500000000006</v>
      </c>
      <c r="D715" s="10">
        <f>66.3354 * CHOOSE(CONTROL!$C$9, $D$9, 100%, $F$9) + CHOOSE(CONTROL!$C$27, 0.0021, 0)</f>
        <v>66.337500000000006</v>
      </c>
      <c r="E715" s="10">
        <f>66.1987 * CHOOSE(CONTROL!$C$9, $D$9, 100%, $F$9) + CHOOSE(CONTROL!$C$27, 0.0021, 0)</f>
        <v>66.200800000000001</v>
      </c>
      <c r="F715" s="10">
        <f>66.1987 * CHOOSE(CONTROL!$C$9, $D$9, 100%, $F$9) + CHOOSE(CONTROL!$C$27, 0.0021, 0)</f>
        <v>66.200800000000001</v>
      </c>
      <c r="G715" s="10">
        <f>66.4701 * CHOOSE(CONTROL!$C$9, $D$9, 100%, $F$9) + CHOOSE(CONTROL!$C$27, 0.0021, 0)</f>
        <v>66.472200000000001</v>
      </c>
      <c r="H715" s="10">
        <f>66.3354 * CHOOSE(CONTROL!$C$9, $D$9, 100%, $F$9) + CHOOSE(CONTROL!$C$27, 0.0021, 0)</f>
        <v>66.337500000000006</v>
      </c>
      <c r="I715" s="10">
        <f>66.3354 * CHOOSE(CONTROL!$C$9, $D$9, 100%, $F$9) + CHOOSE(CONTROL!$C$27, 0.0021, 0)</f>
        <v>66.337500000000006</v>
      </c>
      <c r="J715" s="10">
        <f>66.3354 * CHOOSE(CONTROL!$C$9, $D$9, 100%, $F$9) + CHOOSE(CONTROL!$C$27, 0.0021, 0)</f>
        <v>66.337500000000006</v>
      </c>
      <c r="K715" s="10">
        <f>66.3354 * CHOOSE(CONTROL!$C$9, $D$9, 100%, $F$9) + CHOOSE(CONTROL!$C$27, 0.0021, 0)</f>
        <v>66.337500000000006</v>
      </c>
      <c r="L715" s="10"/>
    </row>
    <row r="716" spans="1:12" ht="15.75" x14ac:dyDescent="0.25">
      <c r="A716" s="13">
        <v>63097</v>
      </c>
      <c r="B716" s="10">
        <f>68.0787 * CHOOSE(CONTROL!$C$9, $D$9, 100%, $F$9) + CHOOSE(CONTROL!$C$27, 0.0021, 0)</f>
        <v>68.080799999999996</v>
      </c>
      <c r="C716" s="10">
        <f>67.6465 * CHOOSE(CONTROL!$C$9, $D$9, 100%, $F$9) + CHOOSE(CONTROL!$C$27, 0.0021, 0)</f>
        <v>67.648600000000002</v>
      </c>
      <c r="D716" s="10">
        <f>67.6465 * CHOOSE(CONTROL!$C$9, $D$9, 100%, $F$9) + CHOOSE(CONTROL!$C$27, 0.0021, 0)</f>
        <v>67.648600000000002</v>
      </c>
      <c r="E716" s="10">
        <f>67.5098 * CHOOSE(CONTROL!$C$9, $D$9, 100%, $F$9) + CHOOSE(CONTROL!$C$27, 0.0021, 0)</f>
        <v>67.511899999999997</v>
      </c>
      <c r="F716" s="10">
        <f>67.5098 * CHOOSE(CONTROL!$C$9, $D$9, 100%, $F$9) + CHOOSE(CONTROL!$C$27, 0.0021, 0)</f>
        <v>67.511899999999997</v>
      </c>
      <c r="G716" s="10">
        <f>67.7812 * CHOOSE(CONTROL!$C$9, $D$9, 100%, $F$9) + CHOOSE(CONTROL!$C$27, 0.0021, 0)</f>
        <v>67.783299999999997</v>
      </c>
      <c r="H716" s="10">
        <f>67.6465 * CHOOSE(CONTROL!$C$9, $D$9, 100%, $F$9) + CHOOSE(CONTROL!$C$27, 0.0021, 0)</f>
        <v>67.648600000000002</v>
      </c>
      <c r="I716" s="10">
        <f>67.6465 * CHOOSE(CONTROL!$C$9, $D$9, 100%, $F$9) + CHOOSE(CONTROL!$C$27, 0.0021, 0)</f>
        <v>67.648600000000002</v>
      </c>
      <c r="J716" s="10">
        <f>67.6465 * CHOOSE(CONTROL!$C$9, $D$9, 100%, $F$9) + CHOOSE(CONTROL!$C$27, 0.0021, 0)</f>
        <v>67.648600000000002</v>
      </c>
      <c r="K716" s="10">
        <f>67.6465 * CHOOSE(CONTROL!$C$9, $D$9, 100%, $F$9) + CHOOSE(CONTROL!$C$27, 0.0021, 0)</f>
        <v>67.648600000000002</v>
      </c>
      <c r="L716" s="10"/>
    </row>
    <row r="717" spans="1:12" ht="15.75" x14ac:dyDescent="0.25">
      <c r="A717" s="13">
        <v>63128</v>
      </c>
      <c r="B717" s="10">
        <f>69.7383 * CHOOSE(CONTROL!$C$9, $D$9, 100%, $F$9) + CHOOSE(CONTROL!$C$27, 0.0021, 0)</f>
        <v>69.740399999999994</v>
      </c>
      <c r="C717" s="10">
        <f>69.3061 * CHOOSE(CONTROL!$C$9, $D$9, 100%, $F$9) + CHOOSE(CONTROL!$C$27, 0.0021, 0)</f>
        <v>69.308199999999999</v>
      </c>
      <c r="D717" s="10">
        <f>69.3061 * CHOOSE(CONTROL!$C$9, $D$9, 100%, $F$9) + CHOOSE(CONTROL!$C$27, 0.0021, 0)</f>
        <v>69.308199999999999</v>
      </c>
      <c r="E717" s="10">
        <f>69.1694 * CHOOSE(CONTROL!$C$9, $D$9, 100%, $F$9) + CHOOSE(CONTROL!$C$27, 0.0021, 0)</f>
        <v>69.171499999999995</v>
      </c>
      <c r="F717" s="10">
        <f>69.1694 * CHOOSE(CONTROL!$C$9, $D$9, 100%, $F$9) + CHOOSE(CONTROL!$C$27, 0.0021, 0)</f>
        <v>69.171499999999995</v>
      </c>
      <c r="G717" s="10">
        <f>69.4408 * CHOOSE(CONTROL!$C$9, $D$9, 100%, $F$9) + CHOOSE(CONTROL!$C$27, 0.0021, 0)</f>
        <v>69.442899999999995</v>
      </c>
      <c r="H717" s="10">
        <f>69.3061 * CHOOSE(CONTROL!$C$9, $D$9, 100%, $F$9) + CHOOSE(CONTROL!$C$27, 0.0021, 0)</f>
        <v>69.308199999999999</v>
      </c>
      <c r="I717" s="10">
        <f>69.3061 * CHOOSE(CONTROL!$C$9, $D$9, 100%, $F$9) + CHOOSE(CONTROL!$C$27, 0.0021, 0)</f>
        <v>69.308199999999999</v>
      </c>
      <c r="J717" s="10">
        <f>69.3061 * CHOOSE(CONTROL!$C$9, $D$9, 100%, $F$9) + CHOOSE(CONTROL!$C$27, 0.0021, 0)</f>
        <v>69.308199999999999</v>
      </c>
      <c r="K717" s="10">
        <f>69.3061 * CHOOSE(CONTROL!$C$9, $D$9, 100%, $F$9) + CHOOSE(CONTROL!$C$27, 0.0021, 0)</f>
        <v>69.308199999999999</v>
      </c>
      <c r="L717" s="10"/>
    </row>
    <row r="718" spans="1:12" ht="15.75" x14ac:dyDescent="0.25">
      <c r="A718" s="13">
        <v>63158</v>
      </c>
      <c r="B718" s="10">
        <f>69.8941 * CHOOSE(CONTROL!$C$9, $D$9, 100%, $F$9) + CHOOSE(CONTROL!$C$27, 0.0021, 0)</f>
        <v>69.896199999999993</v>
      </c>
      <c r="C718" s="10">
        <f>69.4619 * CHOOSE(CONTROL!$C$9, $D$9, 100%, $F$9) + CHOOSE(CONTROL!$C$27, 0.0021, 0)</f>
        <v>69.463999999999999</v>
      </c>
      <c r="D718" s="10">
        <f>69.4619 * CHOOSE(CONTROL!$C$9, $D$9, 100%, $F$9) + CHOOSE(CONTROL!$C$27, 0.0021, 0)</f>
        <v>69.463999999999999</v>
      </c>
      <c r="E718" s="10">
        <f>69.3252 * CHOOSE(CONTROL!$C$9, $D$9, 100%, $F$9) + CHOOSE(CONTROL!$C$27, 0.0021, 0)</f>
        <v>69.327299999999994</v>
      </c>
      <c r="F718" s="10">
        <f>69.3252 * CHOOSE(CONTROL!$C$9, $D$9, 100%, $F$9) + CHOOSE(CONTROL!$C$27, 0.0021, 0)</f>
        <v>69.327299999999994</v>
      </c>
      <c r="G718" s="10">
        <f>69.5966 * CHOOSE(CONTROL!$C$9, $D$9, 100%, $F$9) + CHOOSE(CONTROL!$C$27, 0.0021, 0)</f>
        <v>69.598699999999994</v>
      </c>
      <c r="H718" s="10">
        <f>69.4619 * CHOOSE(CONTROL!$C$9, $D$9, 100%, $F$9) + CHOOSE(CONTROL!$C$27, 0.0021, 0)</f>
        <v>69.463999999999999</v>
      </c>
      <c r="I718" s="10">
        <f>69.4619 * CHOOSE(CONTROL!$C$9, $D$9, 100%, $F$9) + CHOOSE(CONTROL!$C$27, 0.0021, 0)</f>
        <v>69.463999999999999</v>
      </c>
      <c r="J718" s="10">
        <f>69.4619 * CHOOSE(CONTROL!$C$9, $D$9, 100%, $F$9) + CHOOSE(CONTROL!$C$27, 0.0021, 0)</f>
        <v>69.463999999999999</v>
      </c>
      <c r="K718" s="10">
        <f>69.4619 * CHOOSE(CONTROL!$C$9, $D$9, 100%, $F$9) + CHOOSE(CONTROL!$C$27, 0.0021, 0)</f>
        <v>69.463999999999999</v>
      </c>
      <c r="L718" s="10"/>
    </row>
    <row r="719" spans="1:12" ht="15.75" x14ac:dyDescent="0.25">
      <c r="A719" s="13">
        <v>63189</v>
      </c>
      <c r="B719" s="10">
        <f>68.5686 * CHOOSE(CONTROL!$C$9, $D$9, 100%, $F$9) + CHOOSE(CONTROL!$C$27, 0.0021, 0)</f>
        <v>68.570700000000002</v>
      </c>
      <c r="C719" s="10">
        <f>68.1364 * CHOOSE(CONTROL!$C$9, $D$9, 100%, $F$9) + CHOOSE(CONTROL!$C$27, 0.0021, 0)</f>
        <v>68.138499999999993</v>
      </c>
      <c r="D719" s="10">
        <f>68.1364 * CHOOSE(CONTROL!$C$9, $D$9, 100%, $F$9) + CHOOSE(CONTROL!$C$27, 0.0021, 0)</f>
        <v>68.138499999999993</v>
      </c>
      <c r="E719" s="10">
        <f>67.9997 * CHOOSE(CONTROL!$C$9, $D$9, 100%, $F$9) + CHOOSE(CONTROL!$C$27, 0.0021, 0)</f>
        <v>68.001800000000003</v>
      </c>
      <c r="F719" s="10">
        <f>67.9997 * CHOOSE(CONTROL!$C$9, $D$9, 100%, $F$9) + CHOOSE(CONTROL!$C$27, 0.0021, 0)</f>
        <v>68.001800000000003</v>
      </c>
      <c r="G719" s="10">
        <f>68.2711 * CHOOSE(CONTROL!$C$9, $D$9, 100%, $F$9) + CHOOSE(CONTROL!$C$27, 0.0021, 0)</f>
        <v>68.273200000000003</v>
      </c>
      <c r="H719" s="10">
        <f>68.1364 * CHOOSE(CONTROL!$C$9, $D$9, 100%, $F$9) + CHOOSE(CONTROL!$C$27, 0.0021, 0)</f>
        <v>68.138499999999993</v>
      </c>
      <c r="I719" s="10">
        <f>68.1364 * CHOOSE(CONTROL!$C$9, $D$9, 100%, $F$9) + CHOOSE(CONTROL!$C$27, 0.0021, 0)</f>
        <v>68.138499999999993</v>
      </c>
      <c r="J719" s="10">
        <f>68.1364 * CHOOSE(CONTROL!$C$9, $D$9, 100%, $F$9) + CHOOSE(CONTROL!$C$27, 0.0021, 0)</f>
        <v>68.138499999999993</v>
      </c>
      <c r="K719" s="10">
        <f>68.1364 * CHOOSE(CONTROL!$C$9, $D$9, 100%, $F$9) + CHOOSE(CONTROL!$C$27, 0.0021, 0)</f>
        <v>68.138499999999993</v>
      </c>
      <c r="L719" s="10"/>
    </row>
    <row r="720" spans="1:12" ht="15.75" x14ac:dyDescent="0.25">
      <c r="A720" s="13">
        <v>63220</v>
      </c>
      <c r="B720" s="10">
        <f>67.5538 * CHOOSE(CONTROL!$C$9, $D$9, 100%, $F$9) + CHOOSE(CONTROL!$C$27, 0.0021, 0)</f>
        <v>67.555899999999994</v>
      </c>
      <c r="C720" s="10">
        <f>67.1215 * CHOOSE(CONTROL!$C$9, $D$9, 100%, $F$9) + CHOOSE(CONTROL!$C$27, 0.0021, 0)</f>
        <v>67.123599999999996</v>
      </c>
      <c r="D720" s="10">
        <f>67.1215 * CHOOSE(CONTROL!$C$9, $D$9, 100%, $F$9) + CHOOSE(CONTROL!$C$27, 0.0021, 0)</f>
        <v>67.123599999999996</v>
      </c>
      <c r="E720" s="10">
        <f>66.9849 * CHOOSE(CONTROL!$C$9, $D$9, 100%, $F$9) + CHOOSE(CONTROL!$C$27, 0.0021, 0)</f>
        <v>66.986999999999995</v>
      </c>
      <c r="F720" s="10">
        <f>66.9849 * CHOOSE(CONTROL!$C$9, $D$9, 100%, $F$9) + CHOOSE(CONTROL!$C$27, 0.0021, 0)</f>
        <v>66.986999999999995</v>
      </c>
      <c r="G720" s="10">
        <f>67.2562 * CHOOSE(CONTROL!$C$9, $D$9, 100%, $F$9) + CHOOSE(CONTROL!$C$27, 0.0021, 0)</f>
        <v>67.258300000000006</v>
      </c>
      <c r="H720" s="10">
        <f>67.1215 * CHOOSE(CONTROL!$C$9, $D$9, 100%, $F$9) + CHOOSE(CONTROL!$C$27, 0.0021, 0)</f>
        <v>67.123599999999996</v>
      </c>
      <c r="I720" s="10">
        <f>67.1215 * CHOOSE(CONTROL!$C$9, $D$9, 100%, $F$9) + CHOOSE(CONTROL!$C$27, 0.0021, 0)</f>
        <v>67.123599999999996</v>
      </c>
      <c r="J720" s="10">
        <f>67.1215 * CHOOSE(CONTROL!$C$9, $D$9, 100%, $F$9) + CHOOSE(CONTROL!$C$27, 0.0021, 0)</f>
        <v>67.123599999999996</v>
      </c>
      <c r="K720" s="10">
        <f>67.1215 * CHOOSE(CONTROL!$C$9, $D$9, 100%, $F$9) + CHOOSE(CONTROL!$C$27, 0.0021, 0)</f>
        <v>67.123599999999996</v>
      </c>
      <c r="L720" s="10"/>
    </row>
    <row r="721" spans="1:12" ht="15.75" x14ac:dyDescent="0.25">
      <c r="A721" s="13">
        <v>63248</v>
      </c>
      <c r="B721" s="10">
        <f>65.7078 * CHOOSE(CONTROL!$C$9, $D$9, 100%, $F$9) + CHOOSE(CONTROL!$C$27, 0.0021, 0)</f>
        <v>65.709900000000005</v>
      </c>
      <c r="C721" s="10">
        <f>65.2756 * CHOOSE(CONTROL!$C$9, $D$9, 100%, $F$9) + CHOOSE(CONTROL!$C$27, 0.0021, 0)</f>
        <v>65.277699999999996</v>
      </c>
      <c r="D721" s="10">
        <f>65.2756 * CHOOSE(CONTROL!$C$9, $D$9, 100%, $F$9) + CHOOSE(CONTROL!$C$27, 0.0021, 0)</f>
        <v>65.277699999999996</v>
      </c>
      <c r="E721" s="10">
        <f>65.1389 * CHOOSE(CONTROL!$C$9, $D$9, 100%, $F$9) + CHOOSE(CONTROL!$C$27, 0.0021, 0)</f>
        <v>65.141000000000005</v>
      </c>
      <c r="F721" s="10">
        <f>65.1389 * CHOOSE(CONTROL!$C$9, $D$9, 100%, $F$9) + CHOOSE(CONTROL!$C$27, 0.0021, 0)</f>
        <v>65.141000000000005</v>
      </c>
      <c r="G721" s="10">
        <f>65.4103 * CHOOSE(CONTROL!$C$9, $D$9, 100%, $F$9) + CHOOSE(CONTROL!$C$27, 0.0021, 0)</f>
        <v>65.412400000000005</v>
      </c>
      <c r="H721" s="10">
        <f>65.2756 * CHOOSE(CONTROL!$C$9, $D$9, 100%, $F$9) + CHOOSE(CONTROL!$C$27, 0.0021, 0)</f>
        <v>65.277699999999996</v>
      </c>
      <c r="I721" s="10">
        <f>65.2756 * CHOOSE(CONTROL!$C$9, $D$9, 100%, $F$9) + CHOOSE(CONTROL!$C$27, 0.0021, 0)</f>
        <v>65.277699999999996</v>
      </c>
      <c r="J721" s="10">
        <f>65.2756 * CHOOSE(CONTROL!$C$9, $D$9, 100%, $F$9) + CHOOSE(CONTROL!$C$27, 0.0021, 0)</f>
        <v>65.277699999999996</v>
      </c>
      <c r="K721" s="10">
        <f>65.2756 * CHOOSE(CONTROL!$C$9, $D$9, 100%, $F$9) + CHOOSE(CONTROL!$C$27, 0.0021, 0)</f>
        <v>65.277699999999996</v>
      </c>
      <c r="L721" s="10"/>
    </row>
    <row r="722" spans="1:12" ht="15.75" x14ac:dyDescent="0.25">
      <c r="A722" s="13">
        <v>63279</v>
      </c>
      <c r="B722" s="10">
        <f>64.9458 * CHOOSE(CONTROL!$C$9, $D$9, 100%, $F$9) + CHOOSE(CONTROL!$C$27, 0.0021, 0)</f>
        <v>64.947900000000004</v>
      </c>
      <c r="C722" s="10">
        <f>64.5136 * CHOOSE(CONTROL!$C$9, $D$9, 100%, $F$9) + CHOOSE(CONTROL!$C$27, 0.0021, 0)</f>
        <v>64.515699999999995</v>
      </c>
      <c r="D722" s="10">
        <f>64.5136 * CHOOSE(CONTROL!$C$9, $D$9, 100%, $F$9) + CHOOSE(CONTROL!$C$27, 0.0021, 0)</f>
        <v>64.515699999999995</v>
      </c>
      <c r="E722" s="10">
        <f>64.3769 * CHOOSE(CONTROL!$C$9, $D$9, 100%, $F$9) + CHOOSE(CONTROL!$C$27, 0.0021, 0)</f>
        <v>64.379000000000005</v>
      </c>
      <c r="F722" s="10">
        <f>64.3769 * CHOOSE(CONTROL!$C$9, $D$9, 100%, $F$9) + CHOOSE(CONTROL!$C$27, 0.0021, 0)</f>
        <v>64.379000000000005</v>
      </c>
      <c r="G722" s="10">
        <f>64.6483 * CHOOSE(CONTROL!$C$9, $D$9, 100%, $F$9) + CHOOSE(CONTROL!$C$27, 0.0021, 0)</f>
        <v>64.650400000000005</v>
      </c>
      <c r="H722" s="10">
        <f>64.5136 * CHOOSE(CONTROL!$C$9, $D$9, 100%, $F$9) + CHOOSE(CONTROL!$C$27, 0.0021, 0)</f>
        <v>64.515699999999995</v>
      </c>
      <c r="I722" s="10">
        <f>64.5136 * CHOOSE(CONTROL!$C$9, $D$9, 100%, $F$9) + CHOOSE(CONTROL!$C$27, 0.0021, 0)</f>
        <v>64.515699999999995</v>
      </c>
      <c r="J722" s="10">
        <f>64.5136 * CHOOSE(CONTROL!$C$9, $D$9, 100%, $F$9) + CHOOSE(CONTROL!$C$27, 0.0021, 0)</f>
        <v>64.515699999999995</v>
      </c>
      <c r="K722" s="10">
        <f>64.5136 * CHOOSE(CONTROL!$C$9, $D$9, 100%, $F$9) + CHOOSE(CONTROL!$C$27, 0.0021, 0)</f>
        <v>64.515699999999995</v>
      </c>
      <c r="L722" s="10"/>
    </row>
    <row r="723" spans="1:12" ht="15.75" x14ac:dyDescent="0.25">
      <c r="A723" s="13">
        <v>63309</v>
      </c>
      <c r="B723" s="10">
        <f>64.036 * CHOOSE(CONTROL!$C$9, $D$9, 100%, $F$9) + CHOOSE(CONTROL!$C$27, 0.0021, 0)</f>
        <v>64.0381</v>
      </c>
      <c r="C723" s="10">
        <f>63.6037 * CHOOSE(CONTROL!$C$9, $D$9, 100%, $F$9) + CHOOSE(CONTROL!$C$27, 0.0021, 0)</f>
        <v>63.605800000000002</v>
      </c>
      <c r="D723" s="10">
        <f>63.6037 * CHOOSE(CONTROL!$C$9, $D$9, 100%, $F$9) + CHOOSE(CONTROL!$C$27, 0.0021, 0)</f>
        <v>63.605800000000002</v>
      </c>
      <c r="E723" s="10">
        <f>63.4671 * CHOOSE(CONTROL!$C$9, $D$9, 100%, $F$9) + CHOOSE(CONTROL!$C$27, 0.0021, 0)</f>
        <v>63.469200000000001</v>
      </c>
      <c r="F723" s="10">
        <f>63.4671 * CHOOSE(CONTROL!$C$9, $D$9, 100%, $F$9) + CHOOSE(CONTROL!$C$27, 0.0021, 0)</f>
        <v>63.469200000000001</v>
      </c>
      <c r="G723" s="10">
        <f>63.7384 * CHOOSE(CONTROL!$C$9, $D$9, 100%, $F$9) + CHOOSE(CONTROL!$C$27, 0.0021, 0)</f>
        <v>63.740499999999997</v>
      </c>
      <c r="H723" s="10">
        <f>63.6037 * CHOOSE(CONTROL!$C$9, $D$9, 100%, $F$9) + CHOOSE(CONTROL!$C$27, 0.0021, 0)</f>
        <v>63.605800000000002</v>
      </c>
      <c r="I723" s="10">
        <f>63.6037 * CHOOSE(CONTROL!$C$9, $D$9, 100%, $F$9) + CHOOSE(CONTROL!$C$27, 0.0021, 0)</f>
        <v>63.605800000000002</v>
      </c>
      <c r="J723" s="10">
        <f>63.6037 * CHOOSE(CONTROL!$C$9, $D$9, 100%, $F$9) + CHOOSE(CONTROL!$C$27, 0.0021, 0)</f>
        <v>63.605800000000002</v>
      </c>
      <c r="K723" s="10">
        <f>63.6037 * CHOOSE(CONTROL!$C$9, $D$9, 100%, $F$9) + CHOOSE(CONTROL!$C$27, 0.0021, 0)</f>
        <v>63.605800000000002</v>
      </c>
      <c r="L723" s="10"/>
    </row>
    <row r="724" spans="1:12" ht="15.75" x14ac:dyDescent="0.25">
      <c r="A724" s="13">
        <v>63340</v>
      </c>
      <c r="B724" s="10">
        <f>65.3326 * CHOOSE(CONTROL!$C$9, $D$9, 100%, $F$9) + CHOOSE(CONTROL!$C$27, 0.0021, 0)</f>
        <v>65.334699999999998</v>
      </c>
      <c r="C724" s="10">
        <f>64.9004 * CHOOSE(CONTROL!$C$9, $D$9, 100%, $F$9) + CHOOSE(CONTROL!$C$27, 0.0021, 0)</f>
        <v>64.902500000000003</v>
      </c>
      <c r="D724" s="10">
        <f>64.9004 * CHOOSE(CONTROL!$C$9, $D$9, 100%, $F$9) + CHOOSE(CONTROL!$C$27, 0.0021, 0)</f>
        <v>64.902500000000003</v>
      </c>
      <c r="E724" s="10">
        <f>64.7637 * CHOOSE(CONTROL!$C$9, $D$9, 100%, $F$9) + CHOOSE(CONTROL!$C$27, 0.0021, 0)</f>
        <v>64.765799999999999</v>
      </c>
      <c r="F724" s="10">
        <f>64.7637 * CHOOSE(CONTROL!$C$9, $D$9, 100%, $F$9) + CHOOSE(CONTROL!$C$27, 0.0021, 0)</f>
        <v>64.765799999999999</v>
      </c>
      <c r="G724" s="10">
        <f>65.0351 * CHOOSE(CONTROL!$C$9, $D$9, 100%, $F$9) + CHOOSE(CONTROL!$C$27, 0.0021, 0)</f>
        <v>65.037199999999999</v>
      </c>
      <c r="H724" s="10">
        <f>64.9004 * CHOOSE(CONTROL!$C$9, $D$9, 100%, $F$9) + CHOOSE(CONTROL!$C$27, 0.0021, 0)</f>
        <v>64.902500000000003</v>
      </c>
      <c r="I724" s="10">
        <f>64.9004 * CHOOSE(CONTROL!$C$9, $D$9, 100%, $F$9) + CHOOSE(CONTROL!$C$27, 0.0021, 0)</f>
        <v>64.902500000000003</v>
      </c>
      <c r="J724" s="10">
        <f>64.9004 * CHOOSE(CONTROL!$C$9, $D$9, 100%, $F$9) + CHOOSE(CONTROL!$C$27, 0.0021, 0)</f>
        <v>64.902500000000003</v>
      </c>
      <c r="K724" s="10">
        <f>64.9004 * CHOOSE(CONTROL!$C$9, $D$9, 100%, $F$9) + CHOOSE(CONTROL!$C$27, 0.0021, 0)</f>
        <v>64.902500000000003</v>
      </c>
      <c r="L724" s="10"/>
    </row>
    <row r="725" spans="1:12" ht="15.75" x14ac:dyDescent="0.25">
      <c r="A725" s="13">
        <v>63370</v>
      </c>
      <c r="B725" s="10">
        <f>66.1093 * CHOOSE(CONTROL!$C$9, $D$9, 100%, $F$9) + CHOOSE(CONTROL!$C$27, 0.0021, 0)</f>
        <v>66.111400000000003</v>
      </c>
      <c r="C725" s="10">
        <f>65.677 * CHOOSE(CONTROL!$C$9, $D$9, 100%, $F$9) + CHOOSE(CONTROL!$C$27, 0.0021, 0)</f>
        <v>65.679100000000005</v>
      </c>
      <c r="D725" s="10">
        <f>65.677 * CHOOSE(CONTROL!$C$9, $D$9, 100%, $F$9) + CHOOSE(CONTROL!$C$27, 0.0021, 0)</f>
        <v>65.679100000000005</v>
      </c>
      <c r="E725" s="10">
        <f>65.5404 * CHOOSE(CONTROL!$C$9, $D$9, 100%, $F$9) + CHOOSE(CONTROL!$C$27, 0.0021, 0)</f>
        <v>65.542500000000004</v>
      </c>
      <c r="F725" s="10">
        <f>65.5404 * CHOOSE(CONTROL!$C$9, $D$9, 100%, $F$9) + CHOOSE(CONTROL!$C$27, 0.0021, 0)</f>
        <v>65.542500000000004</v>
      </c>
      <c r="G725" s="10">
        <f>65.8117 * CHOOSE(CONTROL!$C$9, $D$9, 100%, $F$9) + CHOOSE(CONTROL!$C$27, 0.0021, 0)</f>
        <v>65.813800000000001</v>
      </c>
      <c r="H725" s="10">
        <f>65.677 * CHOOSE(CONTROL!$C$9, $D$9, 100%, $F$9) + CHOOSE(CONTROL!$C$27, 0.0021, 0)</f>
        <v>65.679100000000005</v>
      </c>
      <c r="I725" s="10">
        <f>65.677 * CHOOSE(CONTROL!$C$9, $D$9, 100%, $F$9) + CHOOSE(CONTROL!$C$27, 0.0021, 0)</f>
        <v>65.679100000000005</v>
      </c>
      <c r="J725" s="10">
        <f>65.677 * CHOOSE(CONTROL!$C$9, $D$9, 100%, $F$9) + CHOOSE(CONTROL!$C$27, 0.0021, 0)</f>
        <v>65.679100000000005</v>
      </c>
      <c r="K725" s="10">
        <f>65.677 * CHOOSE(CONTROL!$C$9, $D$9, 100%, $F$9) + CHOOSE(CONTROL!$C$27, 0.0021, 0)</f>
        <v>65.679100000000005</v>
      </c>
      <c r="L725" s="10"/>
    </row>
    <row r="726" spans="1:12" ht="15.75" x14ac:dyDescent="0.25">
      <c r="A726" s="13">
        <v>63401</v>
      </c>
      <c r="B726" s="10">
        <f>67.3904 * CHOOSE(CONTROL!$C$9, $D$9, 100%, $F$9) + CHOOSE(CONTROL!$C$27, 0.0021, 0)</f>
        <v>67.392499999999998</v>
      </c>
      <c r="C726" s="10">
        <f>66.9582 * CHOOSE(CONTROL!$C$9, $D$9, 100%, $F$9) + CHOOSE(CONTROL!$C$27, 0.0021, 0)</f>
        <v>66.960300000000004</v>
      </c>
      <c r="D726" s="10">
        <f>66.9582 * CHOOSE(CONTROL!$C$9, $D$9, 100%, $F$9) + CHOOSE(CONTROL!$C$27, 0.0021, 0)</f>
        <v>66.960300000000004</v>
      </c>
      <c r="E726" s="10">
        <f>66.8215 * CHOOSE(CONTROL!$C$9, $D$9, 100%, $F$9) + CHOOSE(CONTROL!$C$27, 0.0021, 0)</f>
        <v>66.823599999999999</v>
      </c>
      <c r="F726" s="10">
        <f>66.8215 * CHOOSE(CONTROL!$C$9, $D$9, 100%, $F$9) + CHOOSE(CONTROL!$C$27, 0.0021, 0)</f>
        <v>66.823599999999999</v>
      </c>
      <c r="G726" s="10">
        <f>67.0929 * CHOOSE(CONTROL!$C$9, $D$9, 100%, $F$9) + CHOOSE(CONTROL!$C$27, 0.0021, 0)</f>
        <v>67.094999999999999</v>
      </c>
      <c r="H726" s="10">
        <f>66.9582 * CHOOSE(CONTROL!$C$9, $D$9, 100%, $F$9) + CHOOSE(CONTROL!$C$27, 0.0021, 0)</f>
        <v>66.960300000000004</v>
      </c>
      <c r="I726" s="10">
        <f>66.9582 * CHOOSE(CONTROL!$C$9, $D$9, 100%, $F$9) + CHOOSE(CONTROL!$C$27, 0.0021, 0)</f>
        <v>66.960300000000004</v>
      </c>
      <c r="J726" s="10">
        <f>66.9582 * CHOOSE(CONTROL!$C$9, $D$9, 100%, $F$9) + CHOOSE(CONTROL!$C$27, 0.0021, 0)</f>
        <v>66.960300000000004</v>
      </c>
      <c r="K726" s="10">
        <f>66.9582 * CHOOSE(CONTROL!$C$9, $D$9, 100%, $F$9) + CHOOSE(CONTROL!$C$27, 0.0021, 0)</f>
        <v>66.960300000000004</v>
      </c>
      <c r="L726" s="10"/>
    </row>
    <row r="727" spans="1:12" ht="15.75" x14ac:dyDescent="0.25">
      <c r="A727" s="13">
        <v>63432</v>
      </c>
      <c r="B727" s="10">
        <f>67.7815 * CHOOSE(CONTROL!$C$9, $D$9, 100%, $F$9) + CHOOSE(CONTROL!$C$27, 0.0021, 0)</f>
        <v>67.783599999999993</v>
      </c>
      <c r="C727" s="10">
        <f>67.3492 * CHOOSE(CONTROL!$C$9, $D$9, 100%, $F$9) + CHOOSE(CONTROL!$C$27, 0.0021, 0)</f>
        <v>67.351299999999995</v>
      </c>
      <c r="D727" s="10">
        <f>67.3492 * CHOOSE(CONTROL!$C$9, $D$9, 100%, $F$9) + CHOOSE(CONTROL!$C$27, 0.0021, 0)</f>
        <v>67.351299999999995</v>
      </c>
      <c r="E727" s="10">
        <f>67.2126 * CHOOSE(CONTROL!$C$9, $D$9, 100%, $F$9) + CHOOSE(CONTROL!$C$27, 0.0021, 0)</f>
        <v>67.214699999999993</v>
      </c>
      <c r="F727" s="10">
        <f>67.2126 * CHOOSE(CONTROL!$C$9, $D$9, 100%, $F$9) + CHOOSE(CONTROL!$C$27, 0.0021, 0)</f>
        <v>67.214699999999993</v>
      </c>
      <c r="G727" s="10">
        <f>67.4839 * CHOOSE(CONTROL!$C$9, $D$9, 100%, $F$9) + CHOOSE(CONTROL!$C$27, 0.0021, 0)</f>
        <v>67.486000000000004</v>
      </c>
      <c r="H727" s="10">
        <f>67.3492 * CHOOSE(CONTROL!$C$9, $D$9, 100%, $F$9) + CHOOSE(CONTROL!$C$27, 0.0021, 0)</f>
        <v>67.351299999999995</v>
      </c>
      <c r="I727" s="10">
        <f>67.3492 * CHOOSE(CONTROL!$C$9, $D$9, 100%, $F$9) + CHOOSE(CONTROL!$C$27, 0.0021, 0)</f>
        <v>67.351299999999995</v>
      </c>
      <c r="J727" s="10">
        <f>67.3492 * CHOOSE(CONTROL!$C$9, $D$9, 100%, $F$9) + CHOOSE(CONTROL!$C$27, 0.0021, 0)</f>
        <v>67.351299999999995</v>
      </c>
      <c r="K727" s="10">
        <f>67.3492 * CHOOSE(CONTROL!$C$9, $D$9, 100%, $F$9) + CHOOSE(CONTROL!$C$27, 0.0021, 0)</f>
        <v>67.351299999999995</v>
      </c>
      <c r="L727" s="10"/>
    </row>
    <row r="728" spans="1:12" ht="15.75" x14ac:dyDescent="0.25">
      <c r="A728" s="13">
        <v>63462</v>
      </c>
      <c r="B728" s="10">
        <f>69.1132 * CHOOSE(CONTROL!$C$9, $D$9, 100%, $F$9) + CHOOSE(CONTROL!$C$27, 0.0021, 0)</f>
        <v>69.115300000000005</v>
      </c>
      <c r="C728" s="10">
        <f>68.6809 * CHOOSE(CONTROL!$C$9, $D$9, 100%, $F$9) + CHOOSE(CONTROL!$C$27, 0.0021, 0)</f>
        <v>68.682999999999993</v>
      </c>
      <c r="D728" s="10">
        <f>68.6809 * CHOOSE(CONTROL!$C$9, $D$9, 100%, $F$9) + CHOOSE(CONTROL!$C$27, 0.0021, 0)</f>
        <v>68.682999999999993</v>
      </c>
      <c r="E728" s="10">
        <f>68.5443 * CHOOSE(CONTROL!$C$9, $D$9, 100%, $F$9) + CHOOSE(CONTROL!$C$27, 0.0021, 0)</f>
        <v>68.546400000000006</v>
      </c>
      <c r="F728" s="10">
        <f>68.5443 * CHOOSE(CONTROL!$C$9, $D$9, 100%, $F$9) + CHOOSE(CONTROL!$C$27, 0.0021, 0)</f>
        <v>68.546400000000006</v>
      </c>
      <c r="G728" s="10">
        <f>68.8157 * CHOOSE(CONTROL!$C$9, $D$9, 100%, $F$9) + CHOOSE(CONTROL!$C$27, 0.0021, 0)</f>
        <v>68.817800000000005</v>
      </c>
      <c r="H728" s="10">
        <f>68.6809 * CHOOSE(CONTROL!$C$9, $D$9, 100%, $F$9) + CHOOSE(CONTROL!$C$27, 0.0021, 0)</f>
        <v>68.682999999999993</v>
      </c>
      <c r="I728" s="10">
        <f>68.6809 * CHOOSE(CONTROL!$C$9, $D$9, 100%, $F$9) + CHOOSE(CONTROL!$C$27, 0.0021, 0)</f>
        <v>68.682999999999993</v>
      </c>
      <c r="J728" s="10">
        <f>68.6809 * CHOOSE(CONTROL!$C$9, $D$9, 100%, $F$9) + CHOOSE(CONTROL!$C$27, 0.0021, 0)</f>
        <v>68.682999999999993</v>
      </c>
      <c r="K728" s="10">
        <f>68.6809 * CHOOSE(CONTROL!$C$9, $D$9, 100%, $F$9) + CHOOSE(CONTROL!$C$27, 0.0021, 0)</f>
        <v>68.682999999999993</v>
      </c>
      <c r="L728" s="10"/>
    </row>
    <row r="729" spans="1:12" ht="15.75" x14ac:dyDescent="0.25">
      <c r="A729" s="13">
        <v>63493</v>
      </c>
      <c r="B729" s="10">
        <f>70.7989 * CHOOSE(CONTROL!$C$9, $D$9, 100%, $F$9) + CHOOSE(CONTROL!$C$27, 0.0021, 0)</f>
        <v>70.801000000000002</v>
      </c>
      <c r="C729" s="10">
        <f>70.3667 * CHOOSE(CONTROL!$C$9, $D$9, 100%, $F$9) + CHOOSE(CONTROL!$C$27, 0.0021, 0)</f>
        <v>70.368799999999993</v>
      </c>
      <c r="D729" s="10">
        <f>70.3667 * CHOOSE(CONTROL!$C$9, $D$9, 100%, $F$9) + CHOOSE(CONTROL!$C$27, 0.0021, 0)</f>
        <v>70.368799999999993</v>
      </c>
      <c r="E729" s="10">
        <f>70.23 * CHOOSE(CONTROL!$C$9, $D$9, 100%, $F$9) + CHOOSE(CONTROL!$C$27, 0.0021, 0)</f>
        <v>70.232100000000003</v>
      </c>
      <c r="F729" s="10">
        <f>70.23 * CHOOSE(CONTROL!$C$9, $D$9, 100%, $F$9) + CHOOSE(CONTROL!$C$27, 0.0021, 0)</f>
        <v>70.232100000000003</v>
      </c>
      <c r="G729" s="10">
        <f>70.5014 * CHOOSE(CONTROL!$C$9, $D$9, 100%, $F$9) + CHOOSE(CONTROL!$C$27, 0.0021, 0)</f>
        <v>70.503500000000003</v>
      </c>
      <c r="H729" s="10">
        <f>70.3667 * CHOOSE(CONTROL!$C$9, $D$9, 100%, $F$9) + CHOOSE(CONTROL!$C$27, 0.0021, 0)</f>
        <v>70.368799999999993</v>
      </c>
      <c r="I729" s="10">
        <f>70.3667 * CHOOSE(CONTROL!$C$9, $D$9, 100%, $F$9) + CHOOSE(CONTROL!$C$27, 0.0021, 0)</f>
        <v>70.368799999999993</v>
      </c>
      <c r="J729" s="10">
        <f>70.3667 * CHOOSE(CONTROL!$C$9, $D$9, 100%, $F$9) + CHOOSE(CONTROL!$C$27, 0.0021, 0)</f>
        <v>70.368799999999993</v>
      </c>
      <c r="K729" s="10">
        <f>70.3667 * CHOOSE(CONTROL!$C$9, $D$9, 100%, $F$9) + CHOOSE(CONTROL!$C$27, 0.0021, 0)</f>
        <v>70.368799999999993</v>
      </c>
      <c r="L729" s="10"/>
    </row>
    <row r="730" spans="1:12" ht="15.75" x14ac:dyDescent="0.25">
      <c r="A730" s="13">
        <v>63523</v>
      </c>
      <c r="B730" s="10">
        <f>70.9572 * CHOOSE(CONTROL!$C$9, $D$9, 100%, $F$9) + CHOOSE(CONTROL!$C$27, 0.0021, 0)</f>
        <v>70.959299999999999</v>
      </c>
      <c r="C730" s="10">
        <f>70.5249 * CHOOSE(CONTROL!$C$9, $D$9, 100%, $F$9) + CHOOSE(CONTROL!$C$27, 0.0021, 0)</f>
        <v>70.527000000000001</v>
      </c>
      <c r="D730" s="10">
        <f>70.5249 * CHOOSE(CONTROL!$C$9, $D$9, 100%, $F$9) + CHOOSE(CONTROL!$C$27, 0.0021, 0)</f>
        <v>70.527000000000001</v>
      </c>
      <c r="E730" s="10">
        <f>70.3883 * CHOOSE(CONTROL!$C$9, $D$9, 100%, $F$9) + CHOOSE(CONTROL!$C$27, 0.0021, 0)</f>
        <v>70.3904</v>
      </c>
      <c r="F730" s="10">
        <f>70.3883 * CHOOSE(CONTROL!$C$9, $D$9, 100%, $F$9) + CHOOSE(CONTROL!$C$27, 0.0021, 0)</f>
        <v>70.3904</v>
      </c>
      <c r="G730" s="10">
        <f>70.6596 * CHOOSE(CONTROL!$C$9, $D$9, 100%, $F$9) + CHOOSE(CONTROL!$C$27, 0.0021, 0)</f>
        <v>70.661699999999996</v>
      </c>
      <c r="H730" s="10">
        <f>70.5249 * CHOOSE(CONTROL!$C$9, $D$9, 100%, $F$9) + CHOOSE(CONTROL!$C$27, 0.0021, 0)</f>
        <v>70.527000000000001</v>
      </c>
      <c r="I730" s="10">
        <f>70.5249 * CHOOSE(CONTROL!$C$9, $D$9, 100%, $F$9) + CHOOSE(CONTROL!$C$27, 0.0021, 0)</f>
        <v>70.527000000000001</v>
      </c>
      <c r="J730" s="10">
        <f>70.5249 * CHOOSE(CONTROL!$C$9, $D$9, 100%, $F$9) + CHOOSE(CONTROL!$C$27, 0.0021, 0)</f>
        <v>70.527000000000001</v>
      </c>
      <c r="K730" s="10">
        <f>70.5249 * CHOOSE(CONTROL!$C$9, $D$9, 100%, $F$9) + CHOOSE(CONTROL!$C$27, 0.0021, 0)</f>
        <v>70.527000000000001</v>
      </c>
      <c r="L730" s="10"/>
    </row>
    <row r="731" spans="1:12" ht="15.75" x14ac:dyDescent="0.25">
      <c r="A731" s="13">
        <v>63554</v>
      </c>
      <c r="B731" s="10">
        <f>69.6108 * CHOOSE(CONTROL!$C$9, $D$9, 100%, $F$9) + CHOOSE(CONTROL!$C$27, 0.0021, 0)</f>
        <v>69.612899999999996</v>
      </c>
      <c r="C731" s="10">
        <f>69.1786 * CHOOSE(CONTROL!$C$9, $D$9, 100%, $F$9) + CHOOSE(CONTROL!$C$27, 0.0021, 0)</f>
        <v>69.180700000000002</v>
      </c>
      <c r="D731" s="10">
        <f>69.1786 * CHOOSE(CONTROL!$C$9, $D$9, 100%, $F$9) + CHOOSE(CONTROL!$C$27, 0.0021, 0)</f>
        <v>69.180700000000002</v>
      </c>
      <c r="E731" s="10">
        <f>69.0419 * CHOOSE(CONTROL!$C$9, $D$9, 100%, $F$9) + CHOOSE(CONTROL!$C$27, 0.0021, 0)</f>
        <v>69.043999999999997</v>
      </c>
      <c r="F731" s="10">
        <f>69.0419 * CHOOSE(CONTROL!$C$9, $D$9, 100%, $F$9) + CHOOSE(CONTROL!$C$27, 0.0021, 0)</f>
        <v>69.043999999999997</v>
      </c>
      <c r="G731" s="10">
        <f>69.3133 * CHOOSE(CONTROL!$C$9, $D$9, 100%, $F$9) + CHOOSE(CONTROL!$C$27, 0.0021, 0)</f>
        <v>69.315399999999997</v>
      </c>
      <c r="H731" s="10">
        <f>69.1786 * CHOOSE(CONTROL!$C$9, $D$9, 100%, $F$9) + CHOOSE(CONTROL!$C$27, 0.0021, 0)</f>
        <v>69.180700000000002</v>
      </c>
      <c r="I731" s="10">
        <f>69.1786 * CHOOSE(CONTROL!$C$9, $D$9, 100%, $F$9) + CHOOSE(CONTROL!$C$27, 0.0021, 0)</f>
        <v>69.180700000000002</v>
      </c>
      <c r="J731" s="10">
        <f>69.1786 * CHOOSE(CONTROL!$C$9, $D$9, 100%, $F$9) + CHOOSE(CONTROL!$C$27, 0.0021, 0)</f>
        <v>69.180700000000002</v>
      </c>
      <c r="K731" s="10">
        <f>69.1786 * CHOOSE(CONTROL!$C$9, $D$9, 100%, $F$9) + CHOOSE(CONTROL!$C$27, 0.0021, 0)</f>
        <v>69.180700000000002</v>
      </c>
      <c r="L731" s="10"/>
    </row>
    <row r="732" spans="1:12" ht="15.75" x14ac:dyDescent="0.25">
      <c r="A732" s="13">
        <v>63585</v>
      </c>
      <c r="B732" s="10">
        <f>68.58 * CHOOSE(CONTROL!$C$9, $D$9, 100%, $F$9) + CHOOSE(CONTROL!$C$27, 0.0021, 0)</f>
        <v>68.582099999999997</v>
      </c>
      <c r="C732" s="10">
        <f>68.1478 * CHOOSE(CONTROL!$C$9, $D$9, 100%, $F$9) + CHOOSE(CONTROL!$C$27, 0.0021, 0)</f>
        <v>68.149900000000002</v>
      </c>
      <c r="D732" s="10">
        <f>68.1478 * CHOOSE(CONTROL!$C$9, $D$9, 100%, $F$9) + CHOOSE(CONTROL!$C$27, 0.0021, 0)</f>
        <v>68.149900000000002</v>
      </c>
      <c r="E732" s="10">
        <f>68.0111 * CHOOSE(CONTROL!$C$9, $D$9, 100%, $F$9) + CHOOSE(CONTROL!$C$27, 0.0021, 0)</f>
        <v>68.013199999999998</v>
      </c>
      <c r="F732" s="10">
        <f>68.0111 * CHOOSE(CONTROL!$C$9, $D$9, 100%, $F$9) + CHOOSE(CONTROL!$C$27, 0.0021, 0)</f>
        <v>68.013199999999998</v>
      </c>
      <c r="G732" s="10">
        <f>68.2825 * CHOOSE(CONTROL!$C$9, $D$9, 100%, $F$9) + CHOOSE(CONTROL!$C$27, 0.0021, 0)</f>
        <v>68.284599999999998</v>
      </c>
      <c r="H732" s="10">
        <f>68.1478 * CHOOSE(CONTROL!$C$9, $D$9, 100%, $F$9) + CHOOSE(CONTROL!$C$27, 0.0021, 0)</f>
        <v>68.149900000000002</v>
      </c>
      <c r="I732" s="10">
        <f>68.1478 * CHOOSE(CONTROL!$C$9, $D$9, 100%, $F$9) + CHOOSE(CONTROL!$C$27, 0.0021, 0)</f>
        <v>68.149900000000002</v>
      </c>
      <c r="J732" s="10">
        <f>68.1478 * CHOOSE(CONTROL!$C$9, $D$9, 100%, $F$9) + CHOOSE(CONTROL!$C$27, 0.0021, 0)</f>
        <v>68.149900000000002</v>
      </c>
      <c r="K732" s="10">
        <f>68.1478 * CHOOSE(CONTROL!$C$9, $D$9, 100%, $F$9) + CHOOSE(CONTROL!$C$27, 0.0021, 0)</f>
        <v>68.149900000000002</v>
      </c>
      <c r="L732" s="10"/>
    </row>
    <row r="733" spans="1:12" ht="15.75" x14ac:dyDescent="0.25">
      <c r="A733" s="13">
        <v>63613</v>
      </c>
      <c r="B733" s="10">
        <f>66.705 * CHOOSE(CONTROL!$C$9, $D$9, 100%, $F$9) + CHOOSE(CONTROL!$C$27, 0.0021, 0)</f>
        <v>66.707099999999997</v>
      </c>
      <c r="C733" s="10">
        <f>66.2728 * CHOOSE(CONTROL!$C$9, $D$9, 100%, $F$9) + CHOOSE(CONTROL!$C$27, 0.0021, 0)</f>
        <v>66.274900000000002</v>
      </c>
      <c r="D733" s="10">
        <f>66.2728 * CHOOSE(CONTROL!$C$9, $D$9, 100%, $F$9) + CHOOSE(CONTROL!$C$27, 0.0021, 0)</f>
        <v>66.274900000000002</v>
      </c>
      <c r="E733" s="10">
        <f>66.1361 * CHOOSE(CONTROL!$C$9, $D$9, 100%, $F$9) + CHOOSE(CONTROL!$C$27, 0.0021, 0)</f>
        <v>66.138199999999998</v>
      </c>
      <c r="F733" s="10">
        <f>66.1361 * CHOOSE(CONTROL!$C$9, $D$9, 100%, $F$9) + CHOOSE(CONTROL!$C$27, 0.0021, 0)</f>
        <v>66.138199999999998</v>
      </c>
      <c r="G733" s="10">
        <f>66.4075 * CHOOSE(CONTROL!$C$9, $D$9, 100%, $F$9) + CHOOSE(CONTROL!$C$27, 0.0021, 0)</f>
        <v>66.409599999999998</v>
      </c>
      <c r="H733" s="10">
        <f>66.2728 * CHOOSE(CONTROL!$C$9, $D$9, 100%, $F$9) + CHOOSE(CONTROL!$C$27, 0.0021, 0)</f>
        <v>66.274900000000002</v>
      </c>
      <c r="I733" s="10">
        <f>66.2728 * CHOOSE(CONTROL!$C$9, $D$9, 100%, $F$9) + CHOOSE(CONTROL!$C$27, 0.0021, 0)</f>
        <v>66.274900000000002</v>
      </c>
      <c r="J733" s="10">
        <f>66.2728 * CHOOSE(CONTROL!$C$9, $D$9, 100%, $F$9) + CHOOSE(CONTROL!$C$27, 0.0021, 0)</f>
        <v>66.274900000000002</v>
      </c>
      <c r="K733" s="10">
        <f>66.2728 * CHOOSE(CONTROL!$C$9, $D$9, 100%, $F$9) + CHOOSE(CONTROL!$C$27, 0.0021, 0)</f>
        <v>66.274900000000002</v>
      </c>
      <c r="L733" s="10"/>
    </row>
    <row r="734" spans="1:12" ht="15.75" x14ac:dyDescent="0.25">
      <c r="A734" s="13">
        <v>63644</v>
      </c>
      <c r="B734" s="10">
        <f>65.931 * CHOOSE(CONTROL!$C$9, $D$9, 100%, $F$9) + CHOOSE(CONTROL!$C$27, 0.0021, 0)</f>
        <v>65.933099999999996</v>
      </c>
      <c r="C734" s="10">
        <f>65.4988 * CHOOSE(CONTROL!$C$9, $D$9, 100%, $F$9) + CHOOSE(CONTROL!$C$27, 0.0021, 0)</f>
        <v>65.500900000000001</v>
      </c>
      <c r="D734" s="10">
        <f>65.4988 * CHOOSE(CONTROL!$C$9, $D$9, 100%, $F$9) + CHOOSE(CONTROL!$C$27, 0.0021, 0)</f>
        <v>65.500900000000001</v>
      </c>
      <c r="E734" s="10">
        <f>65.3621 * CHOOSE(CONTROL!$C$9, $D$9, 100%, $F$9) + CHOOSE(CONTROL!$C$27, 0.0021, 0)</f>
        <v>65.364199999999997</v>
      </c>
      <c r="F734" s="10">
        <f>65.3621 * CHOOSE(CONTROL!$C$9, $D$9, 100%, $F$9) + CHOOSE(CONTROL!$C$27, 0.0021, 0)</f>
        <v>65.364199999999997</v>
      </c>
      <c r="G734" s="10">
        <f>65.6335 * CHOOSE(CONTROL!$C$9, $D$9, 100%, $F$9) + CHOOSE(CONTROL!$C$27, 0.0021, 0)</f>
        <v>65.635599999999997</v>
      </c>
      <c r="H734" s="10">
        <f>65.4988 * CHOOSE(CONTROL!$C$9, $D$9, 100%, $F$9) + CHOOSE(CONTROL!$C$27, 0.0021, 0)</f>
        <v>65.500900000000001</v>
      </c>
      <c r="I734" s="10">
        <f>65.4988 * CHOOSE(CONTROL!$C$9, $D$9, 100%, $F$9) + CHOOSE(CONTROL!$C$27, 0.0021, 0)</f>
        <v>65.500900000000001</v>
      </c>
      <c r="J734" s="10">
        <f>65.4988 * CHOOSE(CONTROL!$C$9, $D$9, 100%, $F$9) + CHOOSE(CONTROL!$C$27, 0.0021, 0)</f>
        <v>65.500900000000001</v>
      </c>
      <c r="K734" s="10">
        <f>65.4988 * CHOOSE(CONTROL!$C$9, $D$9, 100%, $F$9) + CHOOSE(CONTROL!$C$27, 0.0021, 0)</f>
        <v>65.500900000000001</v>
      </c>
      <c r="L734" s="10"/>
    </row>
    <row r="735" spans="1:12" ht="15.75" x14ac:dyDescent="0.25">
      <c r="A735" s="13">
        <v>63674</v>
      </c>
      <c r="B735" s="10">
        <f>65.0069 * CHOOSE(CONTROL!$C$9, $D$9, 100%, $F$9) + CHOOSE(CONTROL!$C$27, 0.0021, 0)</f>
        <v>65.009</v>
      </c>
      <c r="C735" s="10">
        <f>64.5746 * CHOOSE(CONTROL!$C$9, $D$9, 100%, $F$9) + CHOOSE(CONTROL!$C$27, 0.0021, 0)</f>
        <v>64.576700000000002</v>
      </c>
      <c r="D735" s="10">
        <f>64.5746 * CHOOSE(CONTROL!$C$9, $D$9, 100%, $F$9) + CHOOSE(CONTROL!$C$27, 0.0021, 0)</f>
        <v>64.576700000000002</v>
      </c>
      <c r="E735" s="10">
        <f>64.438 * CHOOSE(CONTROL!$C$9, $D$9, 100%, $F$9) + CHOOSE(CONTROL!$C$27, 0.0021, 0)</f>
        <v>64.440100000000001</v>
      </c>
      <c r="F735" s="10">
        <f>64.438 * CHOOSE(CONTROL!$C$9, $D$9, 100%, $F$9) + CHOOSE(CONTROL!$C$27, 0.0021, 0)</f>
        <v>64.440100000000001</v>
      </c>
      <c r="G735" s="10">
        <f>64.7094 * CHOOSE(CONTROL!$C$9, $D$9, 100%, $F$9) + CHOOSE(CONTROL!$C$27, 0.0021, 0)</f>
        <v>64.711500000000001</v>
      </c>
      <c r="H735" s="10">
        <f>64.5746 * CHOOSE(CONTROL!$C$9, $D$9, 100%, $F$9) + CHOOSE(CONTROL!$C$27, 0.0021, 0)</f>
        <v>64.576700000000002</v>
      </c>
      <c r="I735" s="10">
        <f>64.5746 * CHOOSE(CONTROL!$C$9, $D$9, 100%, $F$9) + CHOOSE(CONTROL!$C$27, 0.0021, 0)</f>
        <v>64.576700000000002</v>
      </c>
      <c r="J735" s="10">
        <f>64.5746 * CHOOSE(CONTROL!$C$9, $D$9, 100%, $F$9) + CHOOSE(CONTROL!$C$27, 0.0021, 0)</f>
        <v>64.576700000000002</v>
      </c>
      <c r="K735" s="10">
        <f>64.5746 * CHOOSE(CONTROL!$C$9, $D$9, 100%, $F$9) + CHOOSE(CONTROL!$C$27, 0.0021, 0)</f>
        <v>64.576700000000002</v>
      </c>
      <c r="L735" s="10"/>
    </row>
    <row r="736" spans="1:12" ht="15.75" x14ac:dyDescent="0.25">
      <c r="A736" s="13">
        <v>63705</v>
      </c>
      <c r="B736" s="10">
        <f>66.3239 * CHOOSE(CONTROL!$C$9, $D$9, 100%, $F$9) + CHOOSE(CONTROL!$C$27, 0.0021, 0)</f>
        <v>66.325999999999993</v>
      </c>
      <c r="C736" s="10">
        <f>65.8917 * CHOOSE(CONTROL!$C$9, $D$9, 100%, $F$9) + CHOOSE(CONTROL!$C$27, 0.0021, 0)</f>
        <v>65.893799999999999</v>
      </c>
      <c r="D736" s="10">
        <f>65.8917 * CHOOSE(CONTROL!$C$9, $D$9, 100%, $F$9) + CHOOSE(CONTROL!$C$27, 0.0021, 0)</f>
        <v>65.893799999999999</v>
      </c>
      <c r="E736" s="10">
        <f>65.755 * CHOOSE(CONTROL!$C$9, $D$9, 100%, $F$9) + CHOOSE(CONTROL!$C$27, 0.0021, 0)</f>
        <v>65.757099999999994</v>
      </c>
      <c r="F736" s="10">
        <f>65.755 * CHOOSE(CONTROL!$C$9, $D$9, 100%, $F$9) + CHOOSE(CONTROL!$C$27, 0.0021, 0)</f>
        <v>65.757099999999994</v>
      </c>
      <c r="G736" s="10">
        <f>66.0264 * CHOOSE(CONTROL!$C$9, $D$9, 100%, $F$9) + CHOOSE(CONTROL!$C$27, 0.0021, 0)</f>
        <v>66.028499999999994</v>
      </c>
      <c r="H736" s="10">
        <f>65.8917 * CHOOSE(CONTROL!$C$9, $D$9, 100%, $F$9) + CHOOSE(CONTROL!$C$27, 0.0021, 0)</f>
        <v>65.893799999999999</v>
      </c>
      <c r="I736" s="10">
        <f>65.8917 * CHOOSE(CONTROL!$C$9, $D$9, 100%, $F$9) + CHOOSE(CONTROL!$C$27, 0.0021, 0)</f>
        <v>65.893799999999999</v>
      </c>
      <c r="J736" s="10">
        <f>65.8917 * CHOOSE(CONTROL!$C$9, $D$9, 100%, $F$9) + CHOOSE(CONTROL!$C$27, 0.0021, 0)</f>
        <v>65.893799999999999</v>
      </c>
      <c r="K736" s="10">
        <f>65.8917 * CHOOSE(CONTROL!$C$9, $D$9, 100%, $F$9) + CHOOSE(CONTROL!$C$27, 0.0021, 0)</f>
        <v>65.893799999999999</v>
      </c>
      <c r="L736" s="10"/>
    </row>
    <row r="737" spans="1:12" ht="15.75" x14ac:dyDescent="0.25">
      <c r="A737" s="13">
        <v>63735</v>
      </c>
      <c r="B737" s="10">
        <f>67.1128 * CHOOSE(CONTROL!$C$9, $D$9, 100%, $F$9) + CHOOSE(CONTROL!$C$27, 0.0021, 0)</f>
        <v>67.114899999999992</v>
      </c>
      <c r="C737" s="10">
        <f>66.6805 * CHOOSE(CONTROL!$C$9, $D$9, 100%, $F$9) + CHOOSE(CONTROL!$C$27, 0.0021, 0)</f>
        <v>66.682599999999994</v>
      </c>
      <c r="D737" s="10">
        <f>66.6805 * CHOOSE(CONTROL!$C$9, $D$9, 100%, $F$9) + CHOOSE(CONTROL!$C$27, 0.0021, 0)</f>
        <v>66.682599999999994</v>
      </c>
      <c r="E737" s="10">
        <f>66.5439 * CHOOSE(CONTROL!$C$9, $D$9, 100%, $F$9) + CHOOSE(CONTROL!$C$27, 0.0021, 0)</f>
        <v>66.545999999999992</v>
      </c>
      <c r="F737" s="10">
        <f>66.5439 * CHOOSE(CONTROL!$C$9, $D$9, 100%, $F$9) + CHOOSE(CONTROL!$C$27, 0.0021, 0)</f>
        <v>66.545999999999992</v>
      </c>
      <c r="G737" s="10">
        <f>66.8152 * CHOOSE(CONTROL!$C$9, $D$9, 100%, $F$9) + CHOOSE(CONTROL!$C$27, 0.0021, 0)</f>
        <v>66.817300000000003</v>
      </c>
      <c r="H737" s="10">
        <f>66.6805 * CHOOSE(CONTROL!$C$9, $D$9, 100%, $F$9) + CHOOSE(CONTROL!$C$27, 0.0021, 0)</f>
        <v>66.682599999999994</v>
      </c>
      <c r="I737" s="10">
        <f>66.6805 * CHOOSE(CONTROL!$C$9, $D$9, 100%, $F$9) + CHOOSE(CONTROL!$C$27, 0.0021, 0)</f>
        <v>66.682599999999994</v>
      </c>
      <c r="J737" s="10">
        <f>66.6805 * CHOOSE(CONTROL!$C$9, $D$9, 100%, $F$9) + CHOOSE(CONTROL!$C$27, 0.0021, 0)</f>
        <v>66.682599999999994</v>
      </c>
      <c r="K737" s="10">
        <f>66.6805 * CHOOSE(CONTROL!$C$9, $D$9, 100%, $F$9) + CHOOSE(CONTROL!$C$27, 0.0021, 0)</f>
        <v>66.682599999999994</v>
      </c>
      <c r="L737" s="10"/>
    </row>
    <row r="738" spans="1:12" ht="15.75" x14ac:dyDescent="0.25">
      <c r="A738" s="13">
        <v>63766</v>
      </c>
      <c r="B738" s="10">
        <f>68.4141 * CHOOSE(CONTROL!$C$9, $D$9, 100%, $F$9) + CHOOSE(CONTROL!$C$27, 0.0021, 0)</f>
        <v>68.416200000000003</v>
      </c>
      <c r="C738" s="10">
        <f>67.9818 * CHOOSE(CONTROL!$C$9, $D$9, 100%, $F$9) + CHOOSE(CONTROL!$C$27, 0.0021, 0)</f>
        <v>67.983900000000006</v>
      </c>
      <c r="D738" s="10">
        <f>67.9818 * CHOOSE(CONTROL!$C$9, $D$9, 100%, $F$9) + CHOOSE(CONTROL!$C$27, 0.0021, 0)</f>
        <v>67.983900000000006</v>
      </c>
      <c r="E738" s="10">
        <f>67.8452 * CHOOSE(CONTROL!$C$9, $D$9, 100%, $F$9) + CHOOSE(CONTROL!$C$27, 0.0021, 0)</f>
        <v>67.847300000000004</v>
      </c>
      <c r="F738" s="10">
        <f>67.8452 * CHOOSE(CONTROL!$C$9, $D$9, 100%, $F$9) + CHOOSE(CONTROL!$C$27, 0.0021, 0)</f>
        <v>67.847300000000004</v>
      </c>
      <c r="G738" s="10">
        <f>68.1166 * CHOOSE(CONTROL!$C$9, $D$9, 100%, $F$9) + CHOOSE(CONTROL!$C$27, 0.0021, 0)</f>
        <v>68.118700000000004</v>
      </c>
      <c r="H738" s="10">
        <f>67.9818 * CHOOSE(CONTROL!$C$9, $D$9, 100%, $F$9) + CHOOSE(CONTROL!$C$27, 0.0021, 0)</f>
        <v>67.983900000000006</v>
      </c>
      <c r="I738" s="10">
        <f>67.9818 * CHOOSE(CONTROL!$C$9, $D$9, 100%, $F$9) + CHOOSE(CONTROL!$C$27, 0.0021, 0)</f>
        <v>67.983900000000006</v>
      </c>
      <c r="J738" s="10">
        <f>67.9818 * CHOOSE(CONTROL!$C$9, $D$9, 100%, $F$9) + CHOOSE(CONTROL!$C$27, 0.0021, 0)</f>
        <v>67.983900000000006</v>
      </c>
      <c r="K738" s="10">
        <f>67.9818 * CHOOSE(CONTROL!$C$9, $D$9, 100%, $F$9) + CHOOSE(CONTROL!$C$27, 0.0021, 0)</f>
        <v>67.983900000000006</v>
      </c>
      <c r="L738" s="10"/>
    </row>
    <row r="739" spans="1:12" ht="15.75" x14ac:dyDescent="0.25">
      <c r="A739" s="13">
        <v>63797</v>
      </c>
      <c r="B739" s="10">
        <f>68.8113 * CHOOSE(CONTROL!$C$9, $D$9, 100%, $F$9) + CHOOSE(CONTROL!$C$27, 0.0021, 0)</f>
        <v>68.813400000000001</v>
      </c>
      <c r="C739" s="10">
        <f>68.379 * CHOOSE(CONTROL!$C$9, $D$9, 100%, $F$9) + CHOOSE(CONTROL!$C$27, 0.0021, 0)</f>
        <v>68.381100000000004</v>
      </c>
      <c r="D739" s="10">
        <f>68.379 * CHOOSE(CONTROL!$C$9, $D$9, 100%, $F$9) + CHOOSE(CONTROL!$C$27, 0.0021, 0)</f>
        <v>68.381100000000004</v>
      </c>
      <c r="E739" s="10">
        <f>68.2424 * CHOOSE(CONTROL!$C$9, $D$9, 100%, $F$9) + CHOOSE(CONTROL!$C$27, 0.0021, 0)</f>
        <v>68.244500000000002</v>
      </c>
      <c r="F739" s="10">
        <f>68.2424 * CHOOSE(CONTROL!$C$9, $D$9, 100%, $F$9) + CHOOSE(CONTROL!$C$27, 0.0021, 0)</f>
        <v>68.244500000000002</v>
      </c>
      <c r="G739" s="10">
        <f>68.5138 * CHOOSE(CONTROL!$C$9, $D$9, 100%, $F$9) + CHOOSE(CONTROL!$C$27, 0.0021, 0)</f>
        <v>68.515900000000002</v>
      </c>
      <c r="H739" s="10">
        <f>68.379 * CHOOSE(CONTROL!$C$9, $D$9, 100%, $F$9) + CHOOSE(CONTROL!$C$27, 0.0021, 0)</f>
        <v>68.381100000000004</v>
      </c>
      <c r="I739" s="10">
        <f>68.379 * CHOOSE(CONTROL!$C$9, $D$9, 100%, $F$9) + CHOOSE(CONTROL!$C$27, 0.0021, 0)</f>
        <v>68.381100000000004</v>
      </c>
      <c r="J739" s="10">
        <f>68.379 * CHOOSE(CONTROL!$C$9, $D$9, 100%, $F$9) + CHOOSE(CONTROL!$C$27, 0.0021, 0)</f>
        <v>68.381100000000004</v>
      </c>
      <c r="K739" s="10">
        <f>68.379 * CHOOSE(CONTROL!$C$9, $D$9, 100%, $F$9) + CHOOSE(CONTROL!$C$27, 0.0021, 0)</f>
        <v>68.381100000000004</v>
      </c>
      <c r="L739" s="10"/>
    </row>
    <row r="740" spans="1:12" ht="15.75" x14ac:dyDescent="0.25">
      <c r="A740" s="13">
        <v>63827</v>
      </c>
      <c r="B740" s="10">
        <f>70.1639 * CHOOSE(CONTROL!$C$9, $D$9, 100%, $F$9) + CHOOSE(CONTROL!$C$27, 0.0021, 0)</f>
        <v>70.165999999999997</v>
      </c>
      <c r="C740" s="10">
        <f>69.7317 * CHOOSE(CONTROL!$C$9, $D$9, 100%, $F$9) + CHOOSE(CONTROL!$C$27, 0.0021, 0)</f>
        <v>69.733800000000002</v>
      </c>
      <c r="D740" s="10">
        <f>69.7317 * CHOOSE(CONTROL!$C$9, $D$9, 100%, $F$9) + CHOOSE(CONTROL!$C$27, 0.0021, 0)</f>
        <v>69.733800000000002</v>
      </c>
      <c r="E740" s="10">
        <f>69.595 * CHOOSE(CONTROL!$C$9, $D$9, 100%, $F$9) + CHOOSE(CONTROL!$C$27, 0.0021, 0)</f>
        <v>69.597099999999998</v>
      </c>
      <c r="F740" s="10">
        <f>69.595 * CHOOSE(CONTROL!$C$9, $D$9, 100%, $F$9) + CHOOSE(CONTROL!$C$27, 0.0021, 0)</f>
        <v>69.597099999999998</v>
      </c>
      <c r="G740" s="10">
        <f>69.8664 * CHOOSE(CONTROL!$C$9, $D$9, 100%, $F$9) + CHOOSE(CONTROL!$C$27, 0.0021, 0)</f>
        <v>69.868499999999997</v>
      </c>
      <c r="H740" s="10">
        <f>69.7317 * CHOOSE(CONTROL!$C$9, $D$9, 100%, $F$9) + CHOOSE(CONTROL!$C$27, 0.0021, 0)</f>
        <v>69.733800000000002</v>
      </c>
      <c r="I740" s="10">
        <f>69.7317 * CHOOSE(CONTROL!$C$9, $D$9, 100%, $F$9) + CHOOSE(CONTROL!$C$27, 0.0021, 0)</f>
        <v>69.733800000000002</v>
      </c>
      <c r="J740" s="10">
        <f>69.7317 * CHOOSE(CONTROL!$C$9, $D$9, 100%, $F$9) + CHOOSE(CONTROL!$C$27, 0.0021, 0)</f>
        <v>69.733800000000002</v>
      </c>
      <c r="K740" s="10">
        <f>69.7317 * CHOOSE(CONTROL!$C$9, $D$9, 100%, $F$9) + CHOOSE(CONTROL!$C$27, 0.0021, 0)</f>
        <v>69.733800000000002</v>
      </c>
      <c r="L740" s="10"/>
    </row>
    <row r="741" spans="1:12" ht="15.75" x14ac:dyDescent="0.25">
      <c r="A741" s="13">
        <v>63858</v>
      </c>
      <c r="B741" s="10">
        <f>71.8762 * CHOOSE(CONTROL!$C$9, $D$9, 100%, $F$9) + CHOOSE(CONTROL!$C$27, 0.0021, 0)</f>
        <v>71.878299999999996</v>
      </c>
      <c r="C741" s="10">
        <f>71.4439 * CHOOSE(CONTROL!$C$9, $D$9, 100%, $F$9) + CHOOSE(CONTROL!$C$27, 0.0021, 0)</f>
        <v>71.445999999999998</v>
      </c>
      <c r="D741" s="10">
        <f>71.4439 * CHOOSE(CONTROL!$C$9, $D$9, 100%, $F$9) + CHOOSE(CONTROL!$C$27, 0.0021, 0)</f>
        <v>71.445999999999998</v>
      </c>
      <c r="E741" s="10">
        <f>71.3073 * CHOOSE(CONTROL!$C$9, $D$9, 100%, $F$9) + CHOOSE(CONTROL!$C$27, 0.0021, 0)</f>
        <v>71.309399999999997</v>
      </c>
      <c r="F741" s="10">
        <f>71.3073 * CHOOSE(CONTROL!$C$9, $D$9, 100%, $F$9) + CHOOSE(CONTROL!$C$27, 0.0021, 0)</f>
        <v>71.309399999999997</v>
      </c>
      <c r="G741" s="10">
        <f>71.5787 * CHOOSE(CONTROL!$C$9, $D$9, 100%, $F$9) + CHOOSE(CONTROL!$C$27, 0.0021, 0)</f>
        <v>71.580799999999996</v>
      </c>
      <c r="H741" s="10">
        <f>71.4439 * CHOOSE(CONTROL!$C$9, $D$9, 100%, $F$9) + CHOOSE(CONTROL!$C$27, 0.0021, 0)</f>
        <v>71.445999999999998</v>
      </c>
      <c r="I741" s="10">
        <f>71.4439 * CHOOSE(CONTROL!$C$9, $D$9, 100%, $F$9) + CHOOSE(CONTROL!$C$27, 0.0021, 0)</f>
        <v>71.445999999999998</v>
      </c>
      <c r="J741" s="10">
        <f>71.4439 * CHOOSE(CONTROL!$C$9, $D$9, 100%, $F$9) + CHOOSE(CONTROL!$C$27, 0.0021, 0)</f>
        <v>71.445999999999998</v>
      </c>
      <c r="K741" s="10">
        <f>71.4439 * CHOOSE(CONTROL!$C$9, $D$9, 100%, $F$9) + CHOOSE(CONTROL!$C$27, 0.0021, 0)</f>
        <v>71.445999999999998</v>
      </c>
      <c r="L741" s="10"/>
    </row>
    <row r="742" spans="1:12" ht="15.75" x14ac:dyDescent="0.25">
      <c r="A742" s="13">
        <v>63888</v>
      </c>
      <c r="B742" s="10">
        <f>72.0369 * CHOOSE(CONTROL!$C$9, $D$9, 100%, $F$9) + CHOOSE(CONTROL!$C$27, 0.0021, 0)</f>
        <v>72.039000000000001</v>
      </c>
      <c r="C742" s="10">
        <f>71.6047 * CHOOSE(CONTROL!$C$9, $D$9, 100%, $F$9) + CHOOSE(CONTROL!$C$27, 0.0021, 0)</f>
        <v>71.606799999999993</v>
      </c>
      <c r="D742" s="10">
        <f>71.6047 * CHOOSE(CONTROL!$C$9, $D$9, 100%, $F$9) + CHOOSE(CONTROL!$C$27, 0.0021, 0)</f>
        <v>71.606799999999993</v>
      </c>
      <c r="E742" s="10">
        <f>71.468 * CHOOSE(CONTROL!$C$9, $D$9, 100%, $F$9) + CHOOSE(CONTROL!$C$27, 0.0021, 0)</f>
        <v>71.470100000000002</v>
      </c>
      <c r="F742" s="10">
        <f>71.468 * CHOOSE(CONTROL!$C$9, $D$9, 100%, $F$9) + CHOOSE(CONTROL!$C$27, 0.0021, 0)</f>
        <v>71.470100000000002</v>
      </c>
      <c r="G742" s="10">
        <f>71.7394 * CHOOSE(CONTROL!$C$9, $D$9, 100%, $F$9) + CHOOSE(CONTROL!$C$27, 0.0021, 0)</f>
        <v>71.741500000000002</v>
      </c>
      <c r="H742" s="10">
        <f>71.6047 * CHOOSE(CONTROL!$C$9, $D$9, 100%, $F$9) + CHOOSE(CONTROL!$C$27, 0.0021, 0)</f>
        <v>71.606799999999993</v>
      </c>
      <c r="I742" s="10">
        <f>71.6047 * CHOOSE(CONTROL!$C$9, $D$9, 100%, $F$9) + CHOOSE(CONTROL!$C$27, 0.0021, 0)</f>
        <v>71.606799999999993</v>
      </c>
      <c r="J742" s="10">
        <f>71.6047 * CHOOSE(CONTROL!$C$9, $D$9, 100%, $F$9) + CHOOSE(CONTROL!$C$27, 0.0021, 0)</f>
        <v>71.606799999999993</v>
      </c>
      <c r="K742" s="10">
        <f>71.6047 * CHOOSE(CONTROL!$C$9, $D$9, 100%, $F$9) + CHOOSE(CONTROL!$C$27, 0.0021, 0)</f>
        <v>71.606799999999993</v>
      </c>
      <c r="L742" s="10"/>
    </row>
    <row r="743" spans="1:12" ht="15.75" x14ac:dyDescent="0.25">
      <c r="A743" s="13">
        <v>63919</v>
      </c>
      <c r="B743" s="10">
        <f>70.6694 * CHOOSE(CONTROL!$C$9, $D$9, 100%, $F$9) + CHOOSE(CONTROL!$C$27, 0.0021, 0)</f>
        <v>70.671499999999995</v>
      </c>
      <c r="C743" s="10">
        <f>70.2371 * CHOOSE(CONTROL!$C$9, $D$9, 100%, $F$9) + CHOOSE(CONTROL!$C$27, 0.0021, 0)</f>
        <v>70.239199999999997</v>
      </c>
      <c r="D743" s="10">
        <f>70.2371 * CHOOSE(CONTROL!$C$9, $D$9, 100%, $F$9) + CHOOSE(CONTROL!$C$27, 0.0021, 0)</f>
        <v>70.239199999999997</v>
      </c>
      <c r="E743" s="10">
        <f>70.1005 * CHOOSE(CONTROL!$C$9, $D$9, 100%, $F$9) + CHOOSE(CONTROL!$C$27, 0.0021, 0)</f>
        <v>70.102599999999995</v>
      </c>
      <c r="F743" s="10">
        <f>70.1005 * CHOOSE(CONTROL!$C$9, $D$9, 100%, $F$9) + CHOOSE(CONTROL!$C$27, 0.0021, 0)</f>
        <v>70.102599999999995</v>
      </c>
      <c r="G743" s="10">
        <f>70.3719 * CHOOSE(CONTROL!$C$9, $D$9, 100%, $F$9) + CHOOSE(CONTROL!$C$27, 0.0021, 0)</f>
        <v>70.373999999999995</v>
      </c>
      <c r="H743" s="10">
        <f>70.2371 * CHOOSE(CONTROL!$C$9, $D$9, 100%, $F$9) + CHOOSE(CONTROL!$C$27, 0.0021, 0)</f>
        <v>70.239199999999997</v>
      </c>
      <c r="I743" s="10">
        <f>70.2371 * CHOOSE(CONTROL!$C$9, $D$9, 100%, $F$9) + CHOOSE(CONTROL!$C$27, 0.0021, 0)</f>
        <v>70.239199999999997</v>
      </c>
      <c r="J743" s="10">
        <f>70.2371 * CHOOSE(CONTROL!$C$9, $D$9, 100%, $F$9) + CHOOSE(CONTROL!$C$27, 0.0021, 0)</f>
        <v>70.239199999999997</v>
      </c>
      <c r="K743" s="10">
        <f>70.2371 * CHOOSE(CONTROL!$C$9, $D$9, 100%, $F$9) + CHOOSE(CONTROL!$C$27, 0.0021, 0)</f>
        <v>70.239199999999997</v>
      </c>
      <c r="L743" s="10"/>
    </row>
    <row r="744" spans="1:12" ht="15.75" x14ac:dyDescent="0.25">
      <c r="A744" s="13">
        <v>63950</v>
      </c>
      <c r="B744" s="10">
        <f>69.6224 * CHOOSE(CONTROL!$C$9, $D$9, 100%, $F$9) + CHOOSE(CONTROL!$C$27, 0.0021, 0)</f>
        <v>69.624499999999998</v>
      </c>
      <c r="C744" s="10">
        <f>69.1901 * CHOOSE(CONTROL!$C$9, $D$9, 100%, $F$9) + CHOOSE(CONTROL!$C$27, 0.0021, 0)</f>
        <v>69.1922</v>
      </c>
      <c r="D744" s="10">
        <f>69.1901 * CHOOSE(CONTROL!$C$9, $D$9, 100%, $F$9) + CHOOSE(CONTROL!$C$27, 0.0021, 0)</f>
        <v>69.1922</v>
      </c>
      <c r="E744" s="10">
        <f>69.0535 * CHOOSE(CONTROL!$C$9, $D$9, 100%, $F$9) + CHOOSE(CONTROL!$C$27, 0.0021, 0)</f>
        <v>69.055599999999998</v>
      </c>
      <c r="F744" s="10">
        <f>69.0535 * CHOOSE(CONTROL!$C$9, $D$9, 100%, $F$9) + CHOOSE(CONTROL!$C$27, 0.0021, 0)</f>
        <v>69.055599999999998</v>
      </c>
      <c r="G744" s="10">
        <f>69.3248 * CHOOSE(CONTROL!$C$9, $D$9, 100%, $F$9) + CHOOSE(CONTROL!$C$27, 0.0021, 0)</f>
        <v>69.326899999999995</v>
      </c>
      <c r="H744" s="10">
        <f>69.1901 * CHOOSE(CONTROL!$C$9, $D$9, 100%, $F$9) + CHOOSE(CONTROL!$C$27, 0.0021, 0)</f>
        <v>69.1922</v>
      </c>
      <c r="I744" s="10">
        <f>69.1901 * CHOOSE(CONTROL!$C$9, $D$9, 100%, $F$9) + CHOOSE(CONTROL!$C$27, 0.0021, 0)</f>
        <v>69.1922</v>
      </c>
      <c r="J744" s="10">
        <f>69.1901 * CHOOSE(CONTROL!$C$9, $D$9, 100%, $F$9) + CHOOSE(CONTROL!$C$27, 0.0021, 0)</f>
        <v>69.1922</v>
      </c>
      <c r="K744" s="10">
        <f>69.1901 * CHOOSE(CONTROL!$C$9, $D$9, 100%, $F$9) + CHOOSE(CONTROL!$C$27, 0.0021, 0)</f>
        <v>69.1922</v>
      </c>
      <c r="L744" s="10"/>
    </row>
    <row r="745" spans="1:12" ht="15.75" x14ac:dyDescent="0.25">
      <c r="A745" s="13">
        <v>63978</v>
      </c>
      <c r="B745" s="10">
        <f>67.7179 * CHOOSE(CONTROL!$C$9, $D$9, 100%, $F$9) + CHOOSE(CONTROL!$C$27, 0.0021, 0)</f>
        <v>67.72</v>
      </c>
      <c r="C745" s="10">
        <f>67.2857 * CHOOSE(CONTROL!$C$9, $D$9, 100%, $F$9) + CHOOSE(CONTROL!$C$27, 0.0021, 0)</f>
        <v>67.287800000000004</v>
      </c>
      <c r="D745" s="10">
        <f>67.2857 * CHOOSE(CONTROL!$C$9, $D$9, 100%, $F$9) + CHOOSE(CONTROL!$C$27, 0.0021, 0)</f>
        <v>67.287800000000004</v>
      </c>
      <c r="E745" s="10">
        <f>67.149 * CHOOSE(CONTROL!$C$9, $D$9, 100%, $F$9) + CHOOSE(CONTROL!$C$27, 0.0021, 0)</f>
        <v>67.1511</v>
      </c>
      <c r="F745" s="10">
        <f>67.149 * CHOOSE(CONTROL!$C$9, $D$9, 100%, $F$9) + CHOOSE(CONTROL!$C$27, 0.0021, 0)</f>
        <v>67.1511</v>
      </c>
      <c r="G745" s="10">
        <f>67.4204 * CHOOSE(CONTROL!$C$9, $D$9, 100%, $F$9) + CHOOSE(CONTROL!$C$27, 0.0021, 0)</f>
        <v>67.422499999999999</v>
      </c>
      <c r="H745" s="10">
        <f>67.2857 * CHOOSE(CONTROL!$C$9, $D$9, 100%, $F$9) + CHOOSE(CONTROL!$C$27, 0.0021, 0)</f>
        <v>67.287800000000004</v>
      </c>
      <c r="I745" s="10">
        <f>67.2857 * CHOOSE(CONTROL!$C$9, $D$9, 100%, $F$9) + CHOOSE(CONTROL!$C$27, 0.0021, 0)</f>
        <v>67.287800000000004</v>
      </c>
      <c r="J745" s="10">
        <f>67.2857 * CHOOSE(CONTROL!$C$9, $D$9, 100%, $F$9) + CHOOSE(CONTROL!$C$27, 0.0021, 0)</f>
        <v>67.287800000000004</v>
      </c>
      <c r="K745" s="10">
        <f>67.2857 * CHOOSE(CONTROL!$C$9, $D$9, 100%, $F$9) + CHOOSE(CONTROL!$C$27, 0.0021, 0)</f>
        <v>67.287800000000004</v>
      </c>
      <c r="L745" s="10"/>
    </row>
    <row r="746" spans="1:12" ht="15.75" x14ac:dyDescent="0.25">
      <c r="A746" s="13">
        <v>64009</v>
      </c>
      <c r="B746" s="10">
        <f>66.9318 * CHOOSE(CONTROL!$C$9, $D$9, 100%, $F$9) + CHOOSE(CONTROL!$C$27, 0.0021, 0)</f>
        <v>66.933899999999994</v>
      </c>
      <c r="C746" s="10">
        <f>66.4995 * CHOOSE(CONTROL!$C$9, $D$9, 100%, $F$9) + CHOOSE(CONTROL!$C$27, 0.0021, 0)</f>
        <v>66.501599999999996</v>
      </c>
      <c r="D746" s="10">
        <f>66.4995 * CHOOSE(CONTROL!$C$9, $D$9, 100%, $F$9) + CHOOSE(CONTROL!$C$27, 0.0021, 0)</f>
        <v>66.501599999999996</v>
      </c>
      <c r="E746" s="10">
        <f>66.3629 * CHOOSE(CONTROL!$C$9, $D$9, 100%, $F$9) + CHOOSE(CONTROL!$C$27, 0.0021, 0)</f>
        <v>66.364999999999995</v>
      </c>
      <c r="F746" s="10">
        <f>66.3629 * CHOOSE(CONTROL!$C$9, $D$9, 100%, $F$9) + CHOOSE(CONTROL!$C$27, 0.0021, 0)</f>
        <v>66.364999999999995</v>
      </c>
      <c r="G746" s="10">
        <f>66.6342 * CHOOSE(CONTROL!$C$9, $D$9, 100%, $F$9) + CHOOSE(CONTROL!$C$27, 0.0021, 0)</f>
        <v>66.636300000000006</v>
      </c>
      <c r="H746" s="10">
        <f>66.4995 * CHOOSE(CONTROL!$C$9, $D$9, 100%, $F$9) + CHOOSE(CONTROL!$C$27, 0.0021, 0)</f>
        <v>66.501599999999996</v>
      </c>
      <c r="I746" s="10">
        <f>66.4995 * CHOOSE(CONTROL!$C$9, $D$9, 100%, $F$9) + CHOOSE(CONTROL!$C$27, 0.0021, 0)</f>
        <v>66.501599999999996</v>
      </c>
      <c r="J746" s="10">
        <f>66.4995 * CHOOSE(CONTROL!$C$9, $D$9, 100%, $F$9) + CHOOSE(CONTROL!$C$27, 0.0021, 0)</f>
        <v>66.501599999999996</v>
      </c>
      <c r="K746" s="10">
        <f>66.4995 * CHOOSE(CONTROL!$C$9, $D$9, 100%, $F$9) + CHOOSE(CONTROL!$C$27, 0.0021, 0)</f>
        <v>66.501599999999996</v>
      </c>
      <c r="L746" s="10"/>
    </row>
    <row r="747" spans="1:12" ht="15.75" x14ac:dyDescent="0.25">
      <c r="A747" s="13">
        <v>64039</v>
      </c>
      <c r="B747" s="10">
        <f>65.9931 * CHOOSE(CONTROL!$C$9, $D$9, 100%, $F$9) + CHOOSE(CONTROL!$C$27, 0.0021, 0)</f>
        <v>65.995199999999997</v>
      </c>
      <c r="C747" s="10">
        <f>65.5608 * CHOOSE(CONTROL!$C$9, $D$9, 100%, $F$9) + CHOOSE(CONTROL!$C$27, 0.0021, 0)</f>
        <v>65.562899999999999</v>
      </c>
      <c r="D747" s="10">
        <f>65.5608 * CHOOSE(CONTROL!$C$9, $D$9, 100%, $F$9) + CHOOSE(CONTROL!$C$27, 0.0021, 0)</f>
        <v>65.562899999999999</v>
      </c>
      <c r="E747" s="10">
        <f>65.4242 * CHOOSE(CONTROL!$C$9, $D$9, 100%, $F$9) + CHOOSE(CONTROL!$C$27, 0.0021, 0)</f>
        <v>65.426299999999998</v>
      </c>
      <c r="F747" s="10">
        <f>65.4242 * CHOOSE(CONTROL!$C$9, $D$9, 100%, $F$9) + CHOOSE(CONTROL!$C$27, 0.0021, 0)</f>
        <v>65.426299999999998</v>
      </c>
      <c r="G747" s="10">
        <f>65.6955 * CHOOSE(CONTROL!$C$9, $D$9, 100%, $F$9) + CHOOSE(CONTROL!$C$27, 0.0021, 0)</f>
        <v>65.697599999999994</v>
      </c>
      <c r="H747" s="10">
        <f>65.5608 * CHOOSE(CONTROL!$C$9, $D$9, 100%, $F$9) + CHOOSE(CONTROL!$C$27, 0.0021, 0)</f>
        <v>65.562899999999999</v>
      </c>
      <c r="I747" s="10">
        <f>65.5608 * CHOOSE(CONTROL!$C$9, $D$9, 100%, $F$9) + CHOOSE(CONTROL!$C$27, 0.0021, 0)</f>
        <v>65.562899999999999</v>
      </c>
      <c r="J747" s="10">
        <f>65.5608 * CHOOSE(CONTROL!$C$9, $D$9, 100%, $F$9) + CHOOSE(CONTROL!$C$27, 0.0021, 0)</f>
        <v>65.562899999999999</v>
      </c>
      <c r="K747" s="10">
        <f>65.5608 * CHOOSE(CONTROL!$C$9, $D$9, 100%, $F$9) + CHOOSE(CONTROL!$C$27, 0.0021, 0)</f>
        <v>65.562899999999999</v>
      </c>
      <c r="L747" s="10"/>
    </row>
    <row r="748" spans="1:12" ht="15.75" x14ac:dyDescent="0.25">
      <c r="A748" s="13">
        <v>64070</v>
      </c>
      <c r="B748" s="10">
        <f>67.3308 * CHOOSE(CONTROL!$C$9, $D$9, 100%, $F$9) + CHOOSE(CONTROL!$C$27, 0.0021, 0)</f>
        <v>67.332899999999995</v>
      </c>
      <c r="C748" s="10">
        <f>66.8986 * CHOOSE(CONTROL!$C$9, $D$9, 100%, $F$9) + CHOOSE(CONTROL!$C$27, 0.0021, 0)</f>
        <v>66.900700000000001</v>
      </c>
      <c r="D748" s="10">
        <f>66.8986 * CHOOSE(CONTROL!$C$9, $D$9, 100%, $F$9) + CHOOSE(CONTROL!$C$27, 0.0021, 0)</f>
        <v>66.900700000000001</v>
      </c>
      <c r="E748" s="10">
        <f>66.7619 * CHOOSE(CONTROL!$C$9, $D$9, 100%, $F$9) + CHOOSE(CONTROL!$C$27, 0.0021, 0)</f>
        <v>66.763999999999996</v>
      </c>
      <c r="F748" s="10">
        <f>66.7619 * CHOOSE(CONTROL!$C$9, $D$9, 100%, $F$9) + CHOOSE(CONTROL!$C$27, 0.0021, 0)</f>
        <v>66.763999999999996</v>
      </c>
      <c r="G748" s="10">
        <f>67.0333 * CHOOSE(CONTROL!$C$9, $D$9, 100%, $F$9) + CHOOSE(CONTROL!$C$27, 0.0021, 0)</f>
        <v>67.035399999999996</v>
      </c>
      <c r="H748" s="10">
        <f>66.8986 * CHOOSE(CONTROL!$C$9, $D$9, 100%, $F$9) + CHOOSE(CONTROL!$C$27, 0.0021, 0)</f>
        <v>66.900700000000001</v>
      </c>
      <c r="I748" s="10">
        <f>66.8986 * CHOOSE(CONTROL!$C$9, $D$9, 100%, $F$9) + CHOOSE(CONTROL!$C$27, 0.0021, 0)</f>
        <v>66.900700000000001</v>
      </c>
      <c r="J748" s="10">
        <f>66.8986 * CHOOSE(CONTROL!$C$9, $D$9, 100%, $F$9) + CHOOSE(CONTROL!$C$27, 0.0021, 0)</f>
        <v>66.900700000000001</v>
      </c>
      <c r="K748" s="10">
        <f>66.8986 * CHOOSE(CONTROL!$C$9, $D$9, 100%, $F$9) + CHOOSE(CONTROL!$C$27, 0.0021, 0)</f>
        <v>66.900700000000001</v>
      </c>
      <c r="L748" s="10"/>
    </row>
    <row r="749" spans="1:12" ht="15.75" x14ac:dyDescent="0.25">
      <c r="A749" s="13">
        <v>64100</v>
      </c>
      <c r="B749" s="10">
        <f>68.1321 * CHOOSE(CONTROL!$C$9, $D$9, 100%, $F$9) + CHOOSE(CONTROL!$C$27, 0.0021, 0)</f>
        <v>68.134199999999993</v>
      </c>
      <c r="C749" s="10">
        <f>67.6998 * CHOOSE(CONTROL!$C$9, $D$9, 100%, $F$9) + CHOOSE(CONTROL!$C$27, 0.0021, 0)</f>
        <v>67.701899999999995</v>
      </c>
      <c r="D749" s="10">
        <f>67.6998 * CHOOSE(CONTROL!$C$9, $D$9, 100%, $F$9) + CHOOSE(CONTROL!$C$27, 0.0021, 0)</f>
        <v>67.701899999999995</v>
      </c>
      <c r="E749" s="10">
        <f>67.5632 * CHOOSE(CONTROL!$C$9, $D$9, 100%, $F$9) + CHOOSE(CONTROL!$C$27, 0.0021, 0)</f>
        <v>67.565299999999993</v>
      </c>
      <c r="F749" s="10">
        <f>67.5632 * CHOOSE(CONTROL!$C$9, $D$9, 100%, $F$9) + CHOOSE(CONTROL!$C$27, 0.0021, 0)</f>
        <v>67.565299999999993</v>
      </c>
      <c r="G749" s="10">
        <f>67.8345 * CHOOSE(CONTROL!$C$9, $D$9, 100%, $F$9) + CHOOSE(CONTROL!$C$27, 0.0021, 0)</f>
        <v>67.836600000000004</v>
      </c>
      <c r="H749" s="10">
        <f>67.6998 * CHOOSE(CONTROL!$C$9, $D$9, 100%, $F$9) + CHOOSE(CONTROL!$C$27, 0.0021, 0)</f>
        <v>67.701899999999995</v>
      </c>
      <c r="I749" s="10">
        <f>67.6998 * CHOOSE(CONTROL!$C$9, $D$9, 100%, $F$9) + CHOOSE(CONTROL!$C$27, 0.0021, 0)</f>
        <v>67.701899999999995</v>
      </c>
      <c r="J749" s="10">
        <f>67.6998 * CHOOSE(CONTROL!$C$9, $D$9, 100%, $F$9) + CHOOSE(CONTROL!$C$27, 0.0021, 0)</f>
        <v>67.701899999999995</v>
      </c>
      <c r="K749" s="10">
        <f>67.6998 * CHOOSE(CONTROL!$C$9, $D$9, 100%, $F$9) + CHOOSE(CONTROL!$C$27, 0.0021, 0)</f>
        <v>67.701899999999995</v>
      </c>
      <c r="L749" s="10"/>
    </row>
    <row r="750" spans="1:12" ht="15.75" x14ac:dyDescent="0.25">
      <c r="A750" s="13">
        <v>64131</v>
      </c>
      <c r="B750" s="10">
        <f>69.4538 * CHOOSE(CONTROL!$C$9, $D$9, 100%, $F$9) + CHOOSE(CONTROL!$C$27, 0.0021, 0)</f>
        <v>69.4559</v>
      </c>
      <c r="C750" s="10">
        <f>69.0216 * CHOOSE(CONTROL!$C$9, $D$9, 100%, $F$9) + CHOOSE(CONTROL!$C$27, 0.0021, 0)</f>
        <v>69.023700000000005</v>
      </c>
      <c r="D750" s="10">
        <f>69.0216 * CHOOSE(CONTROL!$C$9, $D$9, 100%, $F$9) + CHOOSE(CONTROL!$C$27, 0.0021, 0)</f>
        <v>69.023700000000005</v>
      </c>
      <c r="E750" s="10">
        <f>68.8849 * CHOOSE(CONTROL!$C$9, $D$9, 100%, $F$9) + CHOOSE(CONTROL!$C$27, 0.0021, 0)</f>
        <v>68.887</v>
      </c>
      <c r="F750" s="10">
        <f>68.8849 * CHOOSE(CONTROL!$C$9, $D$9, 100%, $F$9) + CHOOSE(CONTROL!$C$27, 0.0021, 0)</f>
        <v>68.887</v>
      </c>
      <c r="G750" s="10">
        <f>69.1563 * CHOOSE(CONTROL!$C$9, $D$9, 100%, $F$9) + CHOOSE(CONTROL!$C$27, 0.0021, 0)</f>
        <v>69.1584</v>
      </c>
      <c r="H750" s="10">
        <f>69.0216 * CHOOSE(CONTROL!$C$9, $D$9, 100%, $F$9) + CHOOSE(CONTROL!$C$27, 0.0021, 0)</f>
        <v>69.023700000000005</v>
      </c>
      <c r="I750" s="10">
        <f>69.0216 * CHOOSE(CONTROL!$C$9, $D$9, 100%, $F$9) + CHOOSE(CONTROL!$C$27, 0.0021, 0)</f>
        <v>69.023700000000005</v>
      </c>
      <c r="J750" s="10">
        <f>69.0216 * CHOOSE(CONTROL!$C$9, $D$9, 100%, $F$9) + CHOOSE(CONTROL!$C$27, 0.0021, 0)</f>
        <v>69.023700000000005</v>
      </c>
      <c r="K750" s="10">
        <f>69.0216 * CHOOSE(CONTROL!$C$9, $D$9, 100%, $F$9) + CHOOSE(CONTROL!$C$27, 0.0021, 0)</f>
        <v>69.023700000000005</v>
      </c>
      <c r="L750" s="10"/>
    </row>
    <row r="751" spans="1:12" ht="15.75" x14ac:dyDescent="0.25">
      <c r="A751" s="13">
        <v>64162</v>
      </c>
      <c r="B751" s="10">
        <f>69.8573 * CHOOSE(CONTROL!$C$9, $D$9, 100%, $F$9) + CHOOSE(CONTROL!$C$27, 0.0021, 0)</f>
        <v>69.859399999999994</v>
      </c>
      <c r="C751" s="10">
        <f>69.425 * CHOOSE(CONTROL!$C$9, $D$9, 100%, $F$9) + CHOOSE(CONTROL!$C$27, 0.0021, 0)</f>
        <v>69.427099999999996</v>
      </c>
      <c r="D751" s="10">
        <f>69.425 * CHOOSE(CONTROL!$C$9, $D$9, 100%, $F$9) + CHOOSE(CONTROL!$C$27, 0.0021, 0)</f>
        <v>69.427099999999996</v>
      </c>
      <c r="E751" s="10">
        <f>69.2884 * CHOOSE(CONTROL!$C$9, $D$9, 100%, $F$9) + CHOOSE(CONTROL!$C$27, 0.0021, 0)</f>
        <v>69.290499999999994</v>
      </c>
      <c r="F751" s="10">
        <f>69.2884 * CHOOSE(CONTROL!$C$9, $D$9, 100%, $F$9) + CHOOSE(CONTROL!$C$27, 0.0021, 0)</f>
        <v>69.290499999999994</v>
      </c>
      <c r="G751" s="10">
        <f>69.5598 * CHOOSE(CONTROL!$C$9, $D$9, 100%, $F$9) + CHOOSE(CONTROL!$C$27, 0.0021, 0)</f>
        <v>69.561899999999994</v>
      </c>
      <c r="H751" s="10">
        <f>69.425 * CHOOSE(CONTROL!$C$9, $D$9, 100%, $F$9) + CHOOSE(CONTROL!$C$27, 0.0021, 0)</f>
        <v>69.427099999999996</v>
      </c>
      <c r="I751" s="10">
        <f>69.425 * CHOOSE(CONTROL!$C$9, $D$9, 100%, $F$9) + CHOOSE(CONTROL!$C$27, 0.0021, 0)</f>
        <v>69.427099999999996</v>
      </c>
      <c r="J751" s="10">
        <f>69.425 * CHOOSE(CONTROL!$C$9, $D$9, 100%, $F$9) + CHOOSE(CONTROL!$C$27, 0.0021, 0)</f>
        <v>69.427099999999996</v>
      </c>
      <c r="K751" s="10">
        <f>69.425 * CHOOSE(CONTROL!$C$9, $D$9, 100%, $F$9) + CHOOSE(CONTROL!$C$27, 0.0021, 0)</f>
        <v>69.427099999999996</v>
      </c>
      <c r="L751" s="10"/>
    </row>
    <row r="752" spans="1:12" ht="15.75" x14ac:dyDescent="0.25">
      <c r="A752" s="13">
        <v>64192</v>
      </c>
      <c r="B752" s="10">
        <f>71.2312 * CHOOSE(CONTROL!$C$9, $D$9, 100%, $F$9) + CHOOSE(CONTROL!$C$27, 0.0021, 0)</f>
        <v>71.2333</v>
      </c>
      <c r="C752" s="10">
        <f>70.799 * CHOOSE(CONTROL!$C$9, $D$9, 100%, $F$9) + CHOOSE(CONTROL!$C$27, 0.0021, 0)</f>
        <v>70.801100000000005</v>
      </c>
      <c r="D752" s="10">
        <f>70.799 * CHOOSE(CONTROL!$C$9, $D$9, 100%, $F$9) + CHOOSE(CONTROL!$C$27, 0.0021, 0)</f>
        <v>70.801100000000005</v>
      </c>
      <c r="E752" s="10">
        <f>70.6623 * CHOOSE(CONTROL!$C$9, $D$9, 100%, $F$9) + CHOOSE(CONTROL!$C$27, 0.0021, 0)</f>
        <v>70.664400000000001</v>
      </c>
      <c r="F752" s="10">
        <f>70.6623 * CHOOSE(CONTROL!$C$9, $D$9, 100%, $F$9) + CHOOSE(CONTROL!$C$27, 0.0021, 0)</f>
        <v>70.664400000000001</v>
      </c>
      <c r="G752" s="10">
        <f>70.9337 * CHOOSE(CONTROL!$C$9, $D$9, 100%, $F$9) + CHOOSE(CONTROL!$C$27, 0.0021, 0)</f>
        <v>70.9358</v>
      </c>
      <c r="H752" s="10">
        <f>70.799 * CHOOSE(CONTROL!$C$9, $D$9, 100%, $F$9) + CHOOSE(CONTROL!$C$27, 0.0021, 0)</f>
        <v>70.801100000000005</v>
      </c>
      <c r="I752" s="10">
        <f>70.799 * CHOOSE(CONTROL!$C$9, $D$9, 100%, $F$9) + CHOOSE(CONTROL!$C$27, 0.0021, 0)</f>
        <v>70.801100000000005</v>
      </c>
      <c r="J752" s="10">
        <f>70.799 * CHOOSE(CONTROL!$C$9, $D$9, 100%, $F$9) + CHOOSE(CONTROL!$C$27, 0.0021, 0)</f>
        <v>70.801100000000005</v>
      </c>
      <c r="K752" s="10">
        <f>70.799 * CHOOSE(CONTROL!$C$9, $D$9, 100%, $F$9) + CHOOSE(CONTROL!$C$27, 0.0021, 0)</f>
        <v>70.801100000000005</v>
      </c>
      <c r="L752" s="10"/>
    </row>
    <row r="753" spans="1:12" ht="15.75" x14ac:dyDescent="0.25">
      <c r="A753" s="13">
        <v>64223</v>
      </c>
      <c r="B753" s="10">
        <f>72.9704 * CHOOSE(CONTROL!$C$9, $D$9, 100%, $F$9) + CHOOSE(CONTROL!$C$27, 0.0021, 0)</f>
        <v>72.972499999999997</v>
      </c>
      <c r="C753" s="10">
        <f>72.5381 * CHOOSE(CONTROL!$C$9, $D$9, 100%, $F$9) + CHOOSE(CONTROL!$C$27, 0.0021, 0)</f>
        <v>72.540199999999999</v>
      </c>
      <c r="D753" s="10">
        <f>72.5381 * CHOOSE(CONTROL!$C$9, $D$9, 100%, $F$9) + CHOOSE(CONTROL!$C$27, 0.0021, 0)</f>
        <v>72.540199999999999</v>
      </c>
      <c r="E753" s="10">
        <f>72.4015 * CHOOSE(CONTROL!$C$9, $D$9, 100%, $F$9) + CHOOSE(CONTROL!$C$27, 0.0021, 0)</f>
        <v>72.403599999999997</v>
      </c>
      <c r="F753" s="10">
        <f>72.4015 * CHOOSE(CONTROL!$C$9, $D$9, 100%, $F$9) + CHOOSE(CONTROL!$C$27, 0.0021, 0)</f>
        <v>72.403599999999997</v>
      </c>
      <c r="G753" s="10">
        <f>72.6729 * CHOOSE(CONTROL!$C$9, $D$9, 100%, $F$9) + CHOOSE(CONTROL!$C$27, 0.0021, 0)</f>
        <v>72.674999999999997</v>
      </c>
      <c r="H753" s="10">
        <f>72.5381 * CHOOSE(CONTROL!$C$9, $D$9, 100%, $F$9) + CHOOSE(CONTROL!$C$27, 0.0021, 0)</f>
        <v>72.540199999999999</v>
      </c>
      <c r="I753" s="10">
        <f>72.5381 * CHOOSE(CONTROL!$C$9, $D$9, 100%, $F$9) + CHOOSE(CONTROL!$C$27, 0.0021, 0)</f>
        <v>72.540199999999999</v>
      </c>
      <c r="J753" s="10">
        <f>72.5381 * CHOOSE(CONTROL!$C$9, $D$9, 100%, $F$9) + CHOOSE(CONTROL!$C$27, 0.0021, 0)</f>
        <v>72.540199999999999</v>
      </c>
      <c r="K753" s="10">
        <f>72.5381 * CHOOSE(CONTROL!$C$9, $D$9, 100%, $F$9) + CHOOSE(CONTROL!$C$27, 0.0021, 0)</f>
        <v>72.540199999999999</v>
      </c>
      <c r="L753" s="10"/>
    </row>
    <row r="754" spans="1:12" ht="15.75" x14ac:dyDescent="0.25">
      <c r="A754" s="13">
        <v>64253</v>
      </c>
      <c r="B754" s="10">
        <f>73.1337 * CHOOSE(CONTROL!$C$9, $D$9, 100%, $F$9) + CHOOSE(CONTROL!$C$27, 0.0021, 0)</f>
        <v>73.135800000000003</v>
      </c>
      <c r="C754" s="10">
        <f>72.7014 * CHOOSE(CONTROL!$C$9, $D$9, 100%, $F$9) + CHOOSE(CONTROL!$C$27, 0.0021, 0)</f>
        <v>72.703500000000005</v>
      </c>
      <c r="D754" s="10">
        <f>72.7014 * CHOOSE(CONTROL!$C$9, $D$9, 100%, $F$9) + CHOOSE(CONTROL!$C$27, 0.0021, 0)</f>
        <v>72.703500000000005</v>
      </c>
      <c r="E754" s="10">
        <f>72.5647 * CHOOSE(CONTROL!$C$9, $D$9, 100%, $F$9) + CHOOSE(CONTROL!$C$27, 0.0021, 0)</f>
        <v>72.566800000000001</v>
      </c>
      <c r="F754" s="10">
        <f>72.5647 * CHOOSE(CONTROL!$C$9, $D$9, 100%, $F$9) + CHOOSE(CONTROL!$C$27, 0.0021, 0)</f>
        <v>72.566800000000001</v>
      </c>
      <c r="G754" s="10">
        <f>72.8361 * CHOOSE(CONTROL!$C$9, $D$9, 100%, $F$9) + CHOOSE(CONTROL!$C$27, 0.0021, 0)</f>
        <v>72.838200000000001</v>
      </c>
      <c r="H754" s="10">
        <f>72.7014 * CHOOSE(CONTROL!$C$9, $D$9, 100%, $F$9) + CHOOSE(CONTROL!$C$27, 0.0021, 0)</f>
        <v>72.703500000000005</v>
      </c>
      <c r="I754" s="10">
        <f>72.7014 * CHOOSE(CONTROL!$C$9, $D$9, 100%, $F$9) + CHOOSE(CONTROL!$C$27, 0.0021, 0)</f>
        <v>72.703500000000005</v>
      </c>
      <c r="J754" s="10">
        <f>72.7014 * CHOOSE(CONTROL!$C$9, $D$9, 100%, $F$9) + CHOOSE(CONTROL!$C$27, 0.0021, 0)</f>
        <v>72.703500000000005</v>
      </c>
      <c r="K754" s="10">
        <f>72.7014 * CHOOSE(CONTROL!$C$9, $D$9, 100%, $F$9) + CHOOSE(CONTROL!$C$27, 0.0021, 0)</f>
        <v>72.703500000000005</v>
      </c>
      <c r="L754" s="10"/>
    </row>
    <row r="755" spans="1:12" ht="15.75" x14ac:dyDescent="0.25">
      <c r="A755" s="13">
        <v>64284</v>
      </c>
      <c r="B755" s="10">
        <f>71.7446 * CHOOSE(CONTROL!$C$9, $D$9, 100%, $F$9) + CHOOSE(CONTROL!$C$27, 0.0021, 0)</f>
        <v>71.746700000000004</v>
      </c>
      <c r="C755" s="10">
        <f>71.3124 * CHOOSE(CONTROL!$C$9, $D$9, 100%, $F$9) + CHOOSE(CONTROL!$C$27, 0.0021, 0)</f>
        <v>71.314499999999995</v>
      </c>
      <c r="D755" s="10">
        <f>71.3124 * CHOOSE(CONTROL!$C$9, $D$9, 100%, $F$9) + CHOOSE(CONTROL!$C$27, 0.0021, 0)</f>
        <v>71.314499999999995</v>
      </c>
      <c r="E755" s="10">
        <f>71.1757 * CHOOSE(CONTROL!$C$9, $D$9, 100%, $F$9) + CHOOSE(CONTROL!$C$27, 0.0021, 0)</f>
        <v>71.177800000000005</v>
      </c>
      <c r="F755" s="10">
        <f>71.1757 * CHOOSE(CONTROL!$C$9, $D$9, 100%, $F$9) + CHOOSE(CONTROL!$C$27, 0.0021, 0)</f>
        <v>71.177800000000005</v>
      </c>
      <c r="G755" s="10">
        <f>71.4471 * CHOOSE(CONTROL!$C$9, $D$9, 100%, $F$9) + CHOOSE(CONTROL!$C$27, 0.0021, 0)</f>
        <v>71.449200000000005</v>
      </c>
      <c r="H755" s="10">
        <f>71.3124 * CHOOSE(CONTROL!$C$9, $D$9, 100%, $F$9) + CHOOSE(CONTROL!$C$27, 0.0021, 0)</f>
        <v>71.314499999999995</v>
      </c>
      <c r="I755" s="10">
        <f>71.3124 * CHOOSE(CONTROL!$C$9, $D$9, 100%, $F$9) + CHOOSE(CONTROL!$C$27, 0.0021, 0)</f>
        <v>71.314499999999995</v>
      </c>
      <c r="J755" s="10">
        <f>71.3124 * CHOOSE(CONTROL!$C$9, $D$9, 100%, $F$9) + CHOOSE(CONTROL!$C$27, 0.0021, 0)</f>
        <v>71.314499999999995</v>
      </c>
      <c r="K755" s="10">
        <f>71.3124 * CHOOSE(CONTROL!$C$9, $D$9, 100%, $F$9) + CHOOSE(CONTROL!$C$27, 0.0021, 0)</f>
        <v>71.314499999999995</v>
      </c>
      <c r="L755" s="10"/>
    </row>
    <row r="756" spans="1:12" ht="15.75" x14ac:dyDescent="0.25">
      <c r="A756" s="13">
        <v>64315</v>
      </c>
      <c r="B756" s="10">
        <f>70.6811 * CHOOSE(CONTROL!$C$9, $D$9, 100%, $F$9) + CHOOSE(CONTROL!$C$27, 0.0021, 0)</f>
        <v>70.683199999999999</v>
      </c>
      <c r="C756" s="10">
        <f>70.2489 * CHOOSE(CONTROL!$C$9, $D$9, 100%, $F$9) + CHOOSE(CONTROL!$C$27, 0.0021, 0)</f>
        <v>70.251000000000005</v>
      </c>
      <c r="D756" s="10">
        <f>70.2489 * CHOOSE(CONTROL!$C$9, $D$9, 100%, $F$9) + CHOOSE(CONTROL!$C$27, 0.0021, 0)</f>
        <v>70.251000000000005</v>
      </c>
      <c r="E756" s="10">
        <f>70.1122 * CHOOSE(CONTROL!$C$9, $D$9, 100%, $F$9) + CHOOSE(CONTROL!$C$27, 0.0021, 0)</f>
        <v>70.1143</v>
      </c>
      <c r="F756" s="10">
        <f>70.1122 * CHOOSE(CONTROL!$C$9, $D$9, 100%, $F$9) + CHOOSE(CONTROL!$C$27, 0.0021, 0)</f>
        <v>70.1143</v>
      </c>
      <c r="G756" s="10">
        <f>70.3836 * CHOOSE(CONTROL!$C$9, $D$9, 100%, $F$9) + CHOOSE(CONTROL!$C$27, 0.0021, 0)</f>
        <v>70.3857</v>
      </c>
      <c r="H756" s="10">
        <f>70.2489 * CHOOSE(CONTROL!$C$9, $D$9, 100%, $F$9) + CHOOSE(CONTROL!$C$27, 0.0021, 0)</f>
        <v>70.251000000000005</v>
      </c>
      <c r="I756" s="10">
        <f>70.2489 * CHOOSE(CONTROL!$C$9, $D$9, 100%, $F$9) + CHOOSE(CONTROL!$C$27, 0.0021, 0)</f>
        <v>70.251000000000005</v>
      </c>
      <c r="J756" s="10">
        <f>70.2489 * CHOOSE(CONTROL!$C$9, $D$9, 100%, $F$9) + CHOOSE(CONTROL!$C$27, 0.0021, 0)</f>
        <v>70.251000000000005</v>
      </c>
      <c r="K756" s="10">
        <f>70.2489 * CHOOSE(CONTROL!$C$9, $D$9, 100%, $F$9) + CHOOSE(CONTROL!$C$27, 0.0021, 0)</f>
        <v>70.251000000000005</v>
      </c>
      <c r="L756" s="10"/>
    </row>
    <row r="757" spans="1:12" ht="15.75" x14ac:dyDescent="0.25">
      <c r="A757" s="13">
        <v>64344</v>
      </c>
      <c r="B757" s="10">
        <f>68.7467 * CHOOSE(CONTROL!$C$9, $D$9, 100%, $F$9) + CHOOSE(CONTROL!$C$27, 0.0021, 0)</f>
        <v>68.748800000000003</v>
      </c>
      <c r="C757" s="10">
        <f>68.3145 * CHOOSE(CONTROL!$C$9, $D$9, 100%, $F$9) + CHOOSE(CONTROL!$C$27, 0.0021, 0)</f>
        <v>68.316599999999994</v>
      </c>
      <c r="D757" s="10">
        <f>68.3145 * CHOOSE(CONTROL!$C$9, $D$9, 100%, $F$9) + CHOOSE(CONTROL!$C$27, 0.0021, 0)</f>
        <v>68.316599999999994</v>
      </c>
      <c r="E757" s="10">
        <f>68.1778 * CHOOSE(CONTROL!$C$9, $D$9, 100%, $F$9) + CHOOSE(CONTROL!$C$27, 0.0021, 0)</f>
        <v>68.179900000000004</v>
      </c>
      <c r="F757" s="10">
        <f>68.1778 * CHOOSE(CONTROL!$C$9, $D$9, 100%, $F$9) + CHOOSE(CONTROL!$C$27, 0.0021, 0)</f>
        <v>68.179900000000004</v>
      </c>
      <c r="G757" s="10">
        <f>68.4492 * CHOOSE(CONTROL!$C$9, $D$9, 100%, $F$9) + CHOOSE(CONTROL!$C$27, 0.0021, 0)</f>
        <v>68.451300000000003</v>
      </c>
      <c r="H757" s="10">
        <f>68.3145 * CHOOSE(CONTROL!$C$9, $D$9, 100%, $F$9) + CHOOSE(CONTROL!$C$27, 0.0021, 0)</f>
        <v>68.316599999999994</v>
      </c>
      <c r="I757" s="10">
        <f>68.3145 * CHOOSE(CONTROL!$C$9, $D$9, 100%, $F$9) + CHOOSE(CONTROL!$C$27, 0.0021, 0)</f>
        <v>68.316599999999994</v>
      </c>
      <c r="J757" s="10">
        <f>68.3145 * CHOOSE(CONTROL!$C$9, $D$9, 100%, $F$9) + CHOOSE(CONTROL!$C$27, 0.0021, 0)</f>
        <v>68.316599999999994</v>
      </c>
      <c r="K757" s="10">
        <f>68.3145 * CHOOSE(CONTROL!$C$9, $D$9, 100%, $F$9) + CHOOSE(CONTROL!$C$27, 0.0021, 0)</f>
        <v>68.316599999999994</v>
      </c>
      <c r="L757" s="10"/>
    </row>
    <row r="758" spans="1:12" ht="15.75" x14ac:dyDescent="0.25">
      <c r="A758" s="13">
        <v>64375</v>
      </c>
      <c r="B758" s="10">
        <f>67.9482 * CHOOSE(CONTROL!$C$9, $D$9, 100%, $F$9) + CHOOSE(CONTROL!$C$27, 0.0021, 0)</f>
        <v>67.950299999999999</v>
      </c>
      <c r="C758" s="10">
        <f>67.516 * CHOOSE(CONTROL!$C$9, $D$9, 100%, $F$9) + CHOOSE(CONTROL!$C$27, 0.0021, 0)</f>
        <v>67.518100000000004</v>
      </c>
      <c r="D758" s="10">
        <f>67.516 * CHOOSE(CONTROL!$C$9, $D$9, 100%, $F$9) + CHOOSE(CONTROL!$C$27, 0.0021, 0)</f>
        <v>67.518100000000004</v>
      </c>
      <c r="E758" s="10">
        <f>67.3793 * CHOOSE(CONTROL!$C$9, $D$9, 100%, $F$9) + CHOOSE(CONTROL!$C$27, 0.0021, 0)</f>
        <v>67.381399999999999</v>
      </c>
      <c r="F758" s="10">
        <f>67.3793 * CHOOSE(CONTROL!$C$9, $D$9, 100%, $F$9) + CHOOSE(CONTROL!$C$27, 0.0021, 0)</f>
        <v>67.381399999999999</v>
      </c>
      <c r="G758" s="10">
        <f>67.6507 * CHOOSE(CONTROL!$C$9, $D$9, 100%, $F$9) + CHOOSE(CONTROL!$C$27, 0.0021, 0)</f>
        <v>67.652799999999999</v>
      </c>
      <c r="H758" s="10">
        <f>67.516 * CHOOSE(CONTROL!$C$9, $D$9, 100%, $F$9) + CHOOSE(CONTROL!$C$27, 0.0021, 0)</f>
        <v>67.518100000000004</v>
      </c>
      <c r="I758" s="10">
        <f>67.516 * CHOOSE(CONTROL!$C$9, $D$9, 100%, $F$9) + CHOOSE(CONTROL!$C$27, 0.0021, 0)</f>
        <v>67.518100000000004</v>
      </c>
      <c r="J758" s="10">
        <f>67.516 * CHOOSE(CONTROL!$C$9, $D$9, 100%, $F$9) + CHOOSE(CONTROL!$C$27, 0.0021, 0)</f>
        <v>67.518100000000004</v>
      </c>
      <c r="K758" s="10">
        <f>67.516 * CHOOSE(CONTROL!$C$9, $D$9, 100%, $F$9) + CHOOSE(CONTROL!$C$27, 0.0021, 0)</f>
        <v>67.518100000000004</v>
      </c>
      <c r="L758" s="10"/>
    </row>
    <row r="759" spans="1:12" ht="15.75" x14ac:dyDescent="0.25">
      <c r="A759" s="13">
        <v>64405</v>
      </c>
      <c r="B759" s="10">
        <f>66.9948 * CHOOSE(CONTROL!$C$9, $D$9, 100%, $F$9) + CHOOSE(CONTROL!$C$27, 0.0021, 0)</f>
        <v>66.996899999999997</v>
      </c>
      <c r="C759" s="10">
        <f>66.5625 * CHOOSE(CONTROL!$C$9, $D$9, 100%, $F$9) + CHOOSE(CONTROL!$C$27, 0.0021, 0)</f>
        <v>66.564599999999999</v>
      </c>
      <c r="D759" s="10">
        <f>66.5625 * CHOOSE(CONTROL!$C$9, $D$9, 100%, $F$9) + CHOOSE(CONTROL!$C$27, 0.0021, 0)</f>
        <v>66.564599999999999</v>
      </c>
      <c r="E759" s="10">
        <f>66.4259 * CHOOSE(CONTROL!$C$9, $D$9, 100%, $F$9) + CHOOSE(CONTROL!$C$27, 0.0021, 0)</f>
        <v>66.427999999999997</v>
      </c>
      <c r="F759" s="10">
        <f>66.4259 * CHOOSE(CONTROL!$C$9, $D$9, 100%, $F$9) + CHOOSE(CONTROL!$C$27, 0.0021, 0)</f>
        <v>66.427999999999997</v>
      </c>
      <c r="G759" s="10">
        <f>66.6972 * CHOOSE(CONTROL!$C$9, $D$9, 100%, $F$9) + CHOOSE(CONTROL!$C$27, 0.0021, 0)</f>
        <v>66.699299999999994</v>
      </c>
      <c r="H759" s="10">
        <f>66.5625 * CHOOSE(CONTROL!$C$9, $D$9, 100%, $F$9) + CHOOSE(CONTROL!$C$27, 0.0021, 0)</f>
        <v>66.564599999999999</v>
      </c>
      <c r="I759" s="10">
        <f>66.5625 * CHOOSE(CONTROL!$C$9, $D$9, 100%, $F$9) + CHOOSE(CONTROL!$C$27, 0.0021, 0)</f>
        <v>66.564599999999999</v>
      </c>
      <c r="J759" s="10">
        <f>66.5625 * CHOOSE(CONTROL!$C$9, $D$9, 100%, $F$9) + CHOOSE(CONTROL!$C$27, 0.0021, 0)</f>
        <v>66.564599999999999</v>
      </c>
      <c r="K759" s="10">
        <f>66.5625 * CHOOSE(CONTROL!$C$9, $D$9, 100%, $F$9) + CHOOSE(CONTROL!$C$27, 0.0021, 0)</f>
        <v>66.564599999999999</v>
      </c>
      <c r="L759" s="10"/>
    </row>
    <row r="760" spans="1:12" ht="15.75" x14ac:dyDescent="0.25">
      <c r="A760" s="13">
        <v>64436</v>
      </c>
      <c r="B760" s="10">
        <f>68.3535 * CHOOSE(CONTROL!$C$9, $D$9, 100%, $F$9) + CHOOSE(CONTROL!$C$27, 0.0021, 0)</f>
        <v>68.355599999999995</v>
      </c>
      <c r="C760" s="10">
        <f>67.9213 * CHOOSE(CONTROL!$C$9, $D$9, 100%, $F$9) + CHOOSE(CONTROL!$C$27, 0.0021, 0)</f>
        <v>67.923400000000001</v>
      </c>
      <c r="D760" s="10">
        <f>67.9213 * CHOOSE(CONTROL!$C$9, $D$9, 100%, $F$9) + CHOOSE(CONTROL!$C$27, 0.0021, 0)</f>
        <v>67.923400000000001</v>
      </c>
      <c r="E760" s="10">
        <f>67.7846 * CHOOSE(CONTROL!$C$9, $D$9, 100%, $F$9) + CHOOSE(CONTROL!$C$27, 0.0021, 0)</f>
        <v>67.786699999999996</v>
      </c>
      <c r="F760" s="10">
        <f>67.7846 * CHOOSE(CONTROL!$C$9, $D$9, 100%, $F$9) + CHOOSE(CONTROL!$C$27, 0.0021, 0)</f>
        <v>67.786699999999996</v>
      </c>
      <c r="G760" s="10">
        <f>68.056 * CHOOSE(CONTROL!$C$9, $D$9, 100%, $F$9) + CHOOSE(CONTROL!$C$27, 0.0021, 0)</f>
        <v>68.058099999999996</v>
      </c>
      <c r="H760" s="10">
        <f>67.9213 * CHOOSE(CONTROL!$C$9, $D$9, 100%, $F$9) + CHOOSE(CONTROL!$C$27, 0.0021, 0)</f>
        <v>67.923400000000001</v>
      </c>
      <c r="I760" s="10">
        <f>67.9213 * CHOOSE(CONTROL!$C$9, $D$9, 100%, $F$9) + CHOOSE(CONTROL!$C$27, 0.0021, 0)</f>
        <v>67.923400000000001</v>
      </c>
      <c r="J760" s="10">
        <f>67.9213 * CHOOSE(CONTROL!$C$9, $D$9, 100%, $F$9) + CHOOSE(CONTROL!$C$27, 0.0021, 0)</f>
        <v>67.923400000000001</v>
      </c>
      <c r="K760" s="10">
        <f>67.9213 * CHOOSE(CONTROL!$C$9, $D$9, 100%, $F$9) + CHOOSE(CONTROL!$C$27, 0.0021, 0)</f>
        <v>67.923400000000001</v>
      </c>
      <c r="L760" s="10"/>
    </row>
    <row r="761" spans="1:12" ht="15.75" x14ac:dyDescent="0.25">
      <c r="A761" s="13">
        <v>64466</v>
      </c>
      <c r="B761" s="10">
        <f>69.1674 * CHOOSE(CONTROL!$C$9, $D$9, 100%, $F$9) + CHOOSE(CONTROL!$C$27, 0.0021, 0)</f>
        <v>69.169499999999999</v>
      </c>
      <c r="C761" s="10">
        <f>68.7351 * CHOOSE(CONTROL!$C$9, $D$9, 100%, $F$9) + CHOOSE(CONTROL!$C$27, 0.0021, 0)</f>
        <v>68.737200000000001</v>
      </c>
      <c r="D761" s="10">
        <f>68.7351 * CHOOSE(CONTROL!$C$9, $D$9, 100%, $F$9) + CHOOSE(CONTROL!$C$27, 0.0021, 0)</f>
        <v>68.737200000000001</v>
      </c>
      <c r="E761" s="10">
        <f>68.5985 * CHOOSE(CONTROL!$C$9, $D$9, 100%, $F$9) + CHOOSE(CONTROL!$C$27, 0.0021, 0)</f>
        <v>68.6006</v>
      </c>
      <c r="F761" s="10">
        <f>68.5985 * CHOOSE(CONTROL!$C$9, $D$9, 100%, $F$9) + CHOOSE(CONTROL!$C$27, 0.0021, 0)</f>
        <v>68.6006</v>
      </c>
      <c r="G761" s="10">
        <f>68.8699 * CHOOSE(CONTROL!$C$9, $D$9, 100%, $F$9) + CHOOSE(CONTROL!$C$27, 0.0021, 0)</f>
        <v>68.872</v>
      </c>
      <c r="H761" s="10">
        <f>68.7351 * CHOOSE(CONTROL!$C$9, $D$9, 100%, $F$9) + CHOOSE(CONTROL!$C$27, 0.0021, 0)</f>
        <v>68.737200000000001</v>
      </c>
      <c r="I761" s="10">
        <f>68.7351 * CHOOSE(CONTROL!$C$9, $D$9, 100%, $F$9) + CHOOSE(CONTROL!$C$27, 0.0021, 0)</f>
        <v>68.737200000000001</v>
      </c>
      <c r="J761" s="10">
        <f>68.7351 * CHOOSE(CONTROL!$C$9, $D$9, 100%, $F$9) + CHOOSE(CONTROL!$C$27, 0.0021, 0)</f>
        <v>68.737200000000001</v>
      </c>
      <c r="K761" s="10">
        <f>68.7351 * CHOOSE(CONTROL!$C$9, $D$9, 100%, $F$9) + CHOOSE(CONTROL!$C$27, 0.0021, 0)</f>
        <v>68.737200000000001</v>
      </c>
      <c r="L761" s="10"/>
    </row>
    <row r="762" spans="1:12" ht="15.75" x14ac:dyDescent="0.25">
      <c r="A762" s="13">
        <v>64497</v>
      </c>
      <c r="B762" s="10">
        <f>70.51 * CHOOSE(CONTROL!$C$9, $D$9, 100%, $F$9) + CHOOSE(CONTROL!$C$27, 0.0021, 0)</f>
        <v>70.512100000000004</v>
      </c>
      <c r="C762" s="10">
        <f>70.0777 * CHOOSE(CONTROL!$C$9, $D$9, 100%, $F$9) + CHOOSE(CONTROL!$C$27, 0.0021, 0)</f>
        <v>70.079799999999992</v>
      </c>
      <c r="D762" s="10">
        <f>70.0777 * CHOOSE(CONTROL!$C$9, $D$9, 100%, $F$9) + CHOOSE(CONTROL!$C$27, 0.0021, 0)</f>
        <v>70.079799999999992</v>
      </c>
      <c r="E762" s="10">
        <f>69.941 * CHOOSE(CONTROL!$C$9, $D$9, 100%, $F$9) + CHOOSE(CONTROL!$C$27, 0.0021, 0)</f>
        <v>69.943100000000001</v>
      </c>
      <c r="F762" s="10">
        <f>69.941 * CHOOSE(CONTROL!$C$9, $D$9, 100%, $F$9) + CHOOSE(CONTROL!$C$27, 0.0021, 0)</f>
        <v>69.943100000000001</v>
      </c>
      <c r="G762" s="10">
        <f>70.2124 * CHOOSE(CONTROL!$C$9, $D$9, 100%, $F$9) + CHOOSE(CONTROL!$C$27, 0.0021, 0)</f>
        <v>70.214500000000001</v>
      </c>
      <c r="H762" s="10">
        <f>70.0777 * CHOOSE(CONTROL!$C$9, $D$9, 100%, $F$9) + CHOOSE(CONTROL!$C$27, 0.0021, 0)</f>
        <v>70.079799999999992</v>
      </c>
      <c r="I762" s="10">
        <f>70.0777 * CHOOSE(CONTROL!$C$9, $D$9, 100%, $F$9) + CHOOSE(CONTROL!$C$27, 0.0021, 0)</f>
        <v>70.079799999999992</v>
      </c>
      <c r="J762" s="10">
        <f>70.0777 * CHOOSE(CONTROL!$C$9, $D$9, 100%, $F$9) + CHOOSE(CONTROL!$C$27, 0.0021, 0)</f>
        <v>70.079799999999992</v>
      </c>
      <c r="K762" s="10">
        <f>70.0777 * CHOOSE(CONTROL!$C$9, $D$9, 100%, $F$9) + CHOOSE(CONTROL!$C$27, 0.0021, 0)</f>
        <v>70.079799999999992</v>
      </c>
      <c r="L762" s="10"/>
    </row>
    <row r="763" spans="1:12" ht="15.75" x14ac:dyDescent="0.25">
      <c r="A763" s="13">
        <v>64528</v>
      </c>
      <c r="B763" s="10">
        <f>70.9197 * CHOOSE(CONTROL!$C$9, $D$9, 100%, $F$9) + CHOOSE(CONTROL!$C$27, 0.0021, 0)</f>
        <v>70.921800000000005</v>
      </c>
      <c r="C763" s="10">
        <f>70.4875 * CHOOSE(CONTROL!$C$9, $D$9, 100%, $F$9) + CHOOSE(CONTROL!$C$27, 0.0021, 0)</f>
        <v>70.489599999999996</v>
      </c>
      <c r="D763" s="10">
        <f>70.4875 * CHOOSE(CONTROL!$C$9, $D$9, 100%, $F$9) + CHOOSE(CONTROL!$C$27, 0.0021, 0)</f>
        <v>70.489599999999996</v>
      </c>
      <c r="E763" s="10">
        <f>70.3508 * CHOOSE(CONTROL!$C$9, $D$9, 100%, $F$9) + CHOOSE(CONTROL!$C$27, 0.0021, 0)</f>
        <v>70.352900000000005</v>
      </c>
      <c r="F763" s="10">
        <f>70.3508 * CHOOSE(CONTROL!$C$9, $D$9, 100%, $F$9) + CHOOSE(CONTROL!$C$27, 0.0021, 0)</f>
        <v>70.352900000000005</v>
      </c>
      <c r="G763" s="10">
        <f>70.6222 * CHOOSE(CONTROL!$C$9, $D$9, 100%, $F$9) + CHOOSE(CONTROL!$C$27, 0.0021, 0)</f>
        <v>70.624300000000005</v>
      </c>
      <c r="H763" s="10">
        <f>70.4875 * CHOOSE(CONTROL!$C$9, $D$9, 100%, $F$9) + CHOOSE(CONTROL!$C$27, 0.0021, 0)</f>
        <v>70.489599999999996</v>
      </c>
      <c r="I763" s="10">
        <f>70.4875 * CHOOSE(CONTROL!$C$9, $D$9, 100%, $F$9) + CHOOSE(CONTROL!$C$27, 0.0021, 0)</f>
        <v>70.489599999999996</v>
      </c>
      <c r="J763" s="10">
        <f>70.4875 * CHOOSE(CONTROL!$C$9, $D$9, 100%, $F$9) + CHOOSE(CONTROL!$C$27, 0.0021, 0)</f>
        <v>70.489599999999996</v>
      </c>
      <c r="K763" s="10">
        <f>70.4875 * CHOOSE(CONTROL!$C$9, $D$9, 100%, $F$9) + CHOOSE(CONTROL!$C$27, 0.0021, 0)</f>
        <v>70.489599999999996</v>
      </c>
      <c r="L763" s="10"/>
    </row>
    <row r="764" spans="1:12" ht="15.75" x14ac:dyDescent="0.25">
      <c r="A764" s="13">
        <v>64558</v>
      </c>
      <c r="B764" s="10">
        <f>72.3153 * CHOOSE(CONTROL!$C$9, $D$9, 100%, $F$9) + CHOOSE(CONTROL!$C$27, 0.0021, 0)</f>
        <v>72.317399999999992</v>
      </c>
      <c r="C764" s="10">
        <f>71.883 * CHOOSE(CONTROL!$C$9, $D$9, 100%, $F$9) + CHOOSE(CONTROL!$C$27, 0.0021, 0)</f>
        <v>71.885099999999994</v>
      </c>
      <c r="D764" s="10">
        <f>71.883 * CHOOSE(CONTROL!$C$9, $D$9, 100%, $F$9) + CHOOSE(CONTROL!$C$27, 0.0021, 0)</f>
        <v>71.885099999999994</v>
      </c>
      <c r="E764" s="10">
        <f>71.7464 * CHOOSE(CONTROL!$C$9, $D$9, 100%, $F$9) + CHOOSE(CONTROL!$C$27, 0.0021, 0)</f>
        <v>71.748499999999993</v>
      </c>
      <c r="F764" s="10">
        <f>71.7464 * CHOOSE(CONTROL!$C$9, $D$9, 100%, $F$9) + CHOOSE(CONTROL!$C$27, 0.0021, 0)</f>
        <v>71.748499999999993</v>
      </c>
      <c r="G764" s="10">
        <f>72.0178 * CHOOSE(CONTROL!$C$9, $D$9, 100%, $F$9) + CHOOSE(CONTROL!$C$27, 0.0021, 0)</f>
        <v>72.019899999999993</v>
      </c>
      <c r="H764" s="10">
        <f>71.883 * CHOOSE(CONTROL!$C$9, $D$9, 100%, $F$9) + CHOOSE(CONTROL!$C$27, 0.0021, 0)</f>
        <v>71.885099999999994</v>
      </c>
      <c r="I764" s="10">
        <f>71.883 * CHOOSE(CONTROL!$C$9, $D$9, 100%, $F$9) + CHOOSE(CONTROL!$C$27, 0.0021, 0)</f>
        <v>71.885099999999994</v>
      </c>
      <c r="J764" s="10">
        <f>71.883 * CHOOSE(CONTROL!$C$9, $D$9, 100%, $F$9) + CHOOSE(CONTROL!$C$27, 0.0021, 0)</f>
        <v>71.885099999999994</v>
      </c>
      <c r="K764" s="10">
        <f>71.883 * CHOOSE(CONTROL!$C$9, $D$9, 100%, $F$9) + CHOOSE(CONTROL!$C$27, 0.0021, 0)</f>
        <v>71.885099999999994</v>
      </c>
      <c r="L764" s="10"/>
    </row>
    <row r="765" spans="1:12" ht="15.75" x14ac:dyDescent="0.25">
      <c r="A765" s="13">
        <v>64589</v>
      </c>
      <c r="B765" s="10">
        <f>74.0818 * CHOOSE(CONTROL!$C$9, $D$9, 100%, $F$9) + CHOOSE(CONTROL!$C$27, 0.0021, 0)</f>
        <v>74.0839</v>
      </c>
      <c r="C765" s="10">
        <f>73.6495 * CHOOSE(CONTROL!$C$9, $D$9, 100%, $F$9) + CHOOSE(CONTROL!$C$27, 0.0021, 0)</f>
        <v>73.651600000000002</v>
      </c>
      <c r="D765" s="10">
        <f>73.6495 * CHOOSE(CONTROL!$C$9, $D$9, 100%, $F$9) + CHOOSE(CONTROL!$C$27, 0.0021, 0)</f>
        <v>73.651600000000002</v>
      </c>
      <c r="E765" s="10">
        <f>73.5129 * CHOOSE(CONTROL!$C$9, $D$9, 100%, $F$9) + CHOOSE(CONTROL!$C$27, 0.0021, 0)</f>
        <v>73.515000000000001</v>
      </c>
      <c r="F765" s="10">
        <f>73.5129 * CHOOSE(CONTROL!$C$9, $D$9, 100%, $F$9) + CHOOSE(CONTROL!$C$27, 0.0021, 0)</f>
        <v>73.515000000000001</v>
      </c>
      <c r="G765" s="10">
        <f>73.7843 * CHOOSE(CONTROL!$C$9, $D$9, 100%, $F$9) + CHOOSE(CONTROL!$C$27, 0.0021, 0)</f>
        <v>73.7864</v>
      </c>
      <c r="H765" s="10">
        <f>73.6495 * CHOOSE(CONTROL!$C$9, $D$9, 100%, $F$9) + CHOOSE(CONTROL!$C$27, 0.0021, 0)</f>
        <v>73.651600000000002</v>
      </c>
      <c r="I765" s="10">
        <f>73.6495 * CHOOSE(CONTROL!$C$9, $D$9, 100%, $F$9) + CHOOSE(CONTROL!$C$27, 0.0021, 0)</f>
        <v>73.651600000000002</v>
      </c>
      <c r="J765" s="10">
        <f>73.6495 * CHOOSE(CONTROL!$C$9, $D$9, 100%, $F$9) + CHOOSE(CONTROL!$C$27, 0.0021, 0)</f>
        <v>73.651600000000002</v>
      </c>
      <c r="K765" s="10">
        <f>73.6495 * CHOOSE(CONTROL!$C$9, $D$9, 100%, $F$9) + CHOOSE(CONTROL!$C$27, 0.0021, 0)</f>
        <v>73.651600000000002</v>
      </c>
      <c r="L765" s="10"/>
    </row>
    <row r="766" spans="1:12" ht="15.75" x14ac:dyDescent="0.25">
      <c r="A766" s="13">
        <v>64619</v>
      </c>
      <c r="B766" s="10">
        <f>74.2476 * CHOOSE(CONTROL!$C$9, $D$9, 100%, $F$9) + CHOOSE(CONTROL!$C$27, 0.0021, 0)</f>
        <v>74.249700000000004</v>
      </c>
      <c r="C766" s="10">
        <f>73.8154 * CHOOSE(CONTROL!$C$9, $D$9, 100%, $F$9) + CHOOSE(CONTROL!$C$27, 0.0021, 0)</f>
        <v>73.817499999999995</v>
      </c>
      <c r="D766" s="10">
        <f>73.8154 * CHOOSE(CONTROL!$C$9, $D$9, 100%, $F$9) + CHOOSE(CONTROL!$C$27, 0.0021, 0)</f>
        <v>73.817499999999995</v>
      </c>
      <c r="E766" s="10">
        <f>73.6787 * CHOOSE(CONTROL!$C$9, $D$9, 100%, $F$9) + CHOOSE(CONTROL!$C$27, 0.0021, 0)</f>
        <v>73.680800000000005</v>
      </c>
      <c r="F766" s="10">
        <f>73.6787 * CHOOSE(CONTROL!$C$9, $D$9, 100%, $F$9) + CHOOSE(CONTROL!$C$27, 0.0021, 0)</f>
        <v>73.680800000000005</v>
      </c>
      <c r="G766" s="10">
        <f>73.9501 * CHOOSE(CONTROL!$C$9, $D$9, 100%, $F$9) + CHOOSE(CONTROL!$C$27, 0.0021, 0)</f>
        <v>73.952200000000005</v>
      </c>
      <c r="H766" s="10">
        <f>73.8154 * CHOOSE(CONTROL!$C$9, $D$9, 100%, $F$9) + CHOOSE(CONTROL!$C$27, 0.0021, 0)</f>
        <v>73.817499999999995</v>
      </c>
      <c r="I766" s="10">
        <f>73.8154 * CHOOSE(CONTROL!$C$9, $D$9, 100%, $F$9) + CHOOSE(CONTROL!$C$27, 0.0021, 0)</f>
        <v>73.817499999999995</v>
      </c>
      <c r="J766" s="10">
        <f>73.8154 * CHOOSE(CONTROL!$C$9, $D$9, 100%, $F$9) + CHOOSE(CONTROL!$C$27, 0.0021, 0)</f>
        <v>73.817499999999995</v>
      </c>
      <c r="K766" s="10">
        <f>73.8154 * CHOOSE(CONTROL!$C$9, $D$9, 100%, $F$9) + CHOOSE(CONTROL!$C$27, 0.0021, 0)</f>
        <v>73.817499999999995</v>
      </c>
      <c r="L766" s="10"/>
    </row>
    <row r="767" spans="1:12" ht="15.75" x14ac:dyDescent="0.25">
      <c r="A767" s="13">
        <v>64650</v>
      </c>
      <c r="B767" s="10">
        <f>72.8368 * CHOOSE(CONTROL!$C$9, $D$9, 100%, $F$9) + CHOOSE(CONTROL!$C$27, 0.0021, 0)</f>
        <v>72.838899999999995</v>
      </c>
      <c r="C767" s="10">
        <f>72.4045 * CHOOSE(CONTROL!$C$9, $D$9, 100%, $F$9) + CHOOSE(CONTROL!$C$27, 0.0021, 0)</f>
        <v>72.406599999999997</v>
      </c>
      <c r="D767" s="10">
        <f>72.4045 * CHOOSE(CONTROL!$C$9, $D$9, 100%, $F$9) + CHOOSE(CONTROL!$C$27, 0.0021, 0)</f>
        <v>72.406599999999997</v>
      </c>
      <c r="E767" s="10">
        <f>72.2678 * CHOOSE(CONTROL!$C$9, $D$9, 100%, $F$9) + CHOOSE(CONTROL!$C$27, 0.0021, 0)</f>
        <v>72.269899999999993</v>
      </c>
      <c r="F767" s="10">
        <f>72.2678 * CHOOSE(CONTROL!$C$9, $D$9, 100%, $F$9) + CHOOSE(CONTROL!$C$27, 0.0021, 0)</f>
        <v>72.269899999999993</v>
      </c>
      <c r="G767" s="10">
        <f>72.5392 * CHOOSE(CONTROL!$C$9, $D$9, 100%, $F$9) + CHOOSE(CONTROL!$C$27, 0.0021, 0)</f>
        <v>72.541299999999993</v>
      </c>
      <c r="H767" s="10">
        <f>72.4045 * CHOOSE(CONTROL!$C$9, $D$9, 100%, $F$9) + CHOOSE(CONTROL!$C$27, 0.0021, 0)</f>
        <v>72.406599999999997</v>
      </c>
      <c r="I767" s="10">
        <f>72.4045 * CHOOSE(CONTROL!$C$9, $D$9, 100%, $F$9) + CHOOSE(CONTROL!$C$27, 0.0021, 0)</f>
        <v>72.406599999999997</v>
      </c>
      <c r="J767" s="10">
        <f>72.4045 * CHOOSE(CONTROL!$C$9, $D$9, 100%, $F$9) + CHOOSE(CONTROL!$C$27, 0.0021, 0)</f>
        <v>72.406599999999997</v>
      </c>
      <c r="K767" s="10">
        <f>72.4045 * CHOOSE(CONTROL!$C$9, $D$9, 100%, $F$9) + CHOOSE(CONTROL!$C$27, 0.0021, 0)</f>
        <v>72.406599999999997</v>
      </c>
      <c r="L767" s="10"/>
    </row>
    <row r="768" spans="1:12" ht="15.75" x14ac:dyDescent="0.25">
      <c r="A768" s="13">
        <v>64681</v>
      </c>
      <c r="B768" s="10">
        <f>71.7565 * CHOOSE(CONTROL!$C$9, $D$9, 100%, $F$9) + CHOOSE(CONTROL!$C$27, 0.0021, 0)</f>
        <v>71.758600000000001</v>
      </c>
      <c r="C768" s="10">
        <f>71.3243 * CHOOSE(CONTROL!$C$9, $D$9, 100%, $F$9) + CHOOSE(CONTROL!$C$27, 0.0021, 0)</f>
        <v>71.326399999999992</v>
      </c>
      <c r="D768" s="10">
        <f>71.3243 * CHOOSE(CONTROL!$C$9, $D$9, 100%, $F$9) + CHOOSE(CONTROL!$C$27, 0.0021, 0)</f>
        <v>71.326399999999992</v>
      </c>
      <c r="E768" s="10">
        <f>71.1876 * CHOOSE(CONTROL!$C$9, $D$9, 100%, $F$9) + CHOOSE(CONTROL!$C$27, 0.0021, 0)</f>
        <v>71.189700000000002</v>
      </c>
      <c r="F768" s="10">
        <f>71.1876 * CHOOSE(CONTROL!$C$9, $D$9, 100%, $F$9) + CHOOSE(CONTROL!$C$27, 0.0021, 0)</f>
        <v>71.189700000000002</v>
      </c>
      <c r="G768" s="10">
        <f>71.459 * CHOOSE(CONTROL!$C$9, $D$9, 100%, $F$9) + CHOOSE(CONTROL!$C$27, 0.0021, 0)</f>
        <v>71.461100000000002</v>
      </c>
      <c r="H768" s="10">
        <f>71.3243 * CHOOSE(CONTROL!$C$9, $D$9, 100%, $F$9) + CHOOSE(CONTROL!$C$27, 0.0021, 0)</f>
        <v>71.326399999999992</v>
      </c>
      <c r="I768" s="10">
        <f>71.3243 * CHOOSE(CONTROL!$C$9, $D$9, 100%, $F$9) + CHOOSE(CONTROL!$C$27, 0.0021, 0)</f>
        <v>71.326399999999992</v>
      </c>
      <c r="J768" s="10">
        <f>71.3243 * CHOOSE(CONTROL!$C$9, $D$9, 100%, $F$9) + CHOOSE(CONTROL!$C$27, 0.0021, 0)</f>
        <v>71.326399999999992</v>
      </c>
      <c r="K768" s="10">
        <f>71.3243 * CHOOSE(CONTROL!$C$9, $D$9, 100%, $F$9) + CHOOSE(CONTROL!$C$27, 0.0021, 0)</f>
        <v>71.326399999999992</v>
      </c>
      <c r="L768" s="10"/>
    </row>
    <row r="769" spans="1:12" ht="15.75" x14ac:dyDescent="0.25">
      <c r="A769" s="13">
        <v>64709</v>
      </c>
      <c r="B769" s="10">
        <f>69.7917 * CHOOSE(CONTROL!$C$9, $D$9, 100%, $F$9) + CHOOSE(CONTROL!$C$27, 0.0021, 0)</f>
        <v>69.793800000000005</v>
      </c>
      <c r="C769" s="10">
        <f>69.3595 * CHOOSE(CONTROL!$C$9, $D$9, 100%, $F$9) + CHOOSE(CONTROL!$C$27, 0.0021, 0)</f>
        <v>69.361599999999996</v>
      </c>
      <c r="D769" s="10">
        <f>69.3595 * CHOOSE(CONTROL!$C$9, $D$9, 100%, $F$9) + CHOOSE(CONTROL!$C$27, 0.0021, 0)</f>
        <v>69.361599999999996</v>
      </c>
      <c r="E769" s="10">
        <f>69.2228 * CHOOSE(CONTROL!$C$9, $D$9, 100%, $F$9) + CHOOSE(CONTROL!$C$27, 0.0021, 0)</f>
        <v>69.224900000000005</v>
      </c>
      <c r="F769" s="10">
        <f>69.2228 * CHOOSE(CONTROL!$C$9, $D$9, 100%, $F$9) + CHOOSE(CONTROL!$C$27, 0.0021, 0)</f>
        <v>69.224900000000005</v>
      </c>
      <c r="G769" s="10">
        <f>69.4942 * CHOOSE(CONTROL!$C$9, $D$9, 100%, $F$9) + CHOOSE(CONTROL!$C$27, 0.0021, 0)</f>
        <v>69.496300000000005</v>
      </c>
      <c r="H769" s="10">
        <f>69.3595 * CHOOSE(CONTROL!$C$9, $D$9, 100%, $F$9) + CHOOSE(CONTROL!$C$27, 0.0021, 0)</f>
        <v>69.361599999999996</v>
      </c>
      <c r="I769" s="10">
        <f>69.3595 * CHOOSE(CONTROL!$C$9, $D$9, 100%, $F$9) + CHOOSE(CONTROL!$C$27, 0.0021, 0)</f>
        <v>69.361599999999996</v>
      </c>
      <c r="J769" s="10">
        <f>69.3595 * CHOOSE(CONTROL!$C$9, $D$9, 100%, $F$9) + CHOOSE(CONTROL!$C$27, 0.0021, 0)</f>
        <v>69.361599999999996</v>
      </c>
      <c r="K769" s="10">
        <f>69.3595 * CHOOSE(CONTROL!$C$9, $D$9, 100%, $F$9) + CHOOSE(CONTROL!$C$27, 0.0021, 0)</f>
        <v>69.361599999999996</v>
      </c>
      <c r="L769" s="10"/>
    </row>
    <row r="770" spans="1:12" ht="15.75" x14ac:dyDescent="0.25">
      <c r="A770" s="13">
        <v>64740</v>
      </c>
      <c r="B770" s="10">
        <f>68.9806 * CHOOSE(CONTROL!$C$9, $D$9, 100%, $F$9) + CHOOSE(CONTROL!$C$27, 0.0021, 0)</f>
        <v>68.982699999999994</v>
      </c>
      <c r="C770" s="10">
        <f>68.5484 * CHOOSE(CONTROL!$C$9, $D$9, 100%, $F$9) + CHOOSE(CONTROL!$C$27, 0.0021, 0)</f>
        <v>68.5505</v>
      </c>
      <c r="D770" s="10">
        <f>68.5484 * CHOOSE(CONTROL!$C$9, $D$9, 100%, $F$9) + CHOOSE(CONTROL!$C$27, 0.0021, 0)</f>
        <v>68.5505</v>
      </c>
      <c r="E770" s="10">
        <f>68.4117 * CHOOSE(CONTROL!$C$9, $D$9, 100%, $F$9) + CHOOSE(CONTROL!$C$27, 0.0021, 0)</f>
        <v>68.413799999999995</v>
      </c>
      <c r="F770" s="10">
        <f>68.4117 * CHOOSE(CONTROL!$C$9, $D$9, 100%, $F$9) + CHOOSE(CONTROL!$C$27, 0.0021, 0)</f>
        <v>68.413799999999995</v>
      </c>
      <c r="G770" s="10">
        <f>68.6831 * CHOOSE(CONTROL!$C$9, $D$9, 100%, $F$9) + CHOOSE(CONTROL!$C$27, 0.0021, 0)</f>
        <v>68.685199999999995</v>
      </c>
      <c r="H770" s="10">
        <f>68.5484 * CHOOSE(CONTROL!$C$9, $D$9, 100%, $F$9) + CHOOSE(CONTROL!$C$27, 0.0021, 0)</f>
        <v>68.5505</v>
      </c>
      <c r="I770" s="10">
        <f>68.5484 * CHOOSE(CONTROL!$C$9, $D$9, 100%, $F$9) + CHOOSE(CONTROL!$C$27, 0.0021, 0)</f>
        <v>68.5505</v>
      </c>
      <c r="J770" s="10">
        <f>68.5484 * CHOOSE(CONTROL!$C$9, $D$9, 100%, $F$9) + CHOOSE(CONTROL!$C$27, 0.0021, 0)</f>
        <v>68.5505</v>
      </c>
      <c r="K770" s="10">
        <f>68.5484 * CHOOSE(CONTROL!$C$9, $D$9, 100%, $F$9) + CHOOSE(CONTROL!$C$27, 0.0021, 0)</f>
        <v>68.5505</v>
      </c>
      <c r="L770" s="10"/>
    </row>
    <row r="771" spans="1:12" ht="15.75" x14ac:dyDescent="0.25">
      <c r="A771" s="13">
        <v>64770</v>
      </c>
      <c r="B771" s="10">
        <f>68.0122 * CHOOSE(CONTROL!$C$9, $D$9, 100%, $F$9) + CHOOSE(CONTROL!$C$27, 0.0021, 0)</f>
        <v>68.014300000000006</v>
      </c>
      <c r="C771" s="10">
        <f>67.58 * CHOOSE(CONTROL!$C$9, $D$9, 100%, $F$9) + CHOOSE(CONTROL!$C$27, 0.0021, 0)</f>
        <v>67.582099999999997</v>
      </c>
      <c r="D771" s="10">
        <f>67.58 * CHOOSE(CONTROL!$C$9, $D$9, 100%, $F$9) + CHOOSE(CONTROL!$C$27, 0.0021, 0)</f>
        <v>67.582099999999997</v>
      </c>
      <c r="E771" s="10">
        <f>67.4433 * CHOOSE(CONTROL!$C$9, $D$9, 100%, $F$9) + CHOOSE(CONTROL!$C$27, 0.0021, 0)</f>
        <v>67.445399999999992</v>
      </c>
      <c r="F771" s="10">
        <f>67.4433 * CHOOSE(CONTROL!$C$9, $D$9, 100%, $F$9) + CHOOSE(CONTROL!$C$27, 0.0021, 0)</f>
        <v>67.445399999999992</v>
      </c>
      <c r="G771" s="10">
        <f>67.7147 * CHOOSE(CONTROL!$C$9, $D$9, 100%, $F$9) + CHOOSE(CONTROL!$C$27, 0.0021, 0)</f>
        <v>67.716799999999992</v>
      </c>
      <c r="H771" s="10">
        <f>67.58 * CHOOSE(CONTROL!$C$9, $D$9, 100%, $F$9) + CHOOSE(CONTROL!$C$27, 0.0021, 0)</f>
        <v>67.582099999999997</v>
      </c>
      <c r="I771" s="10">
        <f>67.58 * CHOOSE(CONTROL!$C$9, $D$9, 100%, $F$9) + CHOOSE(CONTROL!$C$27, 0.0021, 0)</f>
        <v>67.582099999999997</v>
      </c>
      <c r="J771" s="10">
        <f>67.58 * CHOOSE(CONTROL!$C$9, $D$9, 100%, $F$9) + CHOOSE(CONTROL!$C$27, 0.0021, 0)</f>
        <v>67.582099999999997</v>
      </c>
      <c r="K771" s="10">
        <f>67.58 * CHOOSE(CONTROL!$C$9, $D$9, 100%, $F$9) + CHOOSE(CONTROL!$C$27, 0.0021, 0)</f>
        <v>67.582099999999997</v>
      </c>
      <c r="L771" s="10"/>
    </row>
    <row r="772" spans="1:12" ht="15.75" x14ac:dyDescent="0.25">
      <c r="A772" s="13">
        <v>64801</v>
      </c>
      <c r="B772" s="10">
        <f>69.3923 * CHOOSE(CONTROL!$C$9, $D$9, 100%, $F$9) + CHOOSE(CONTROL!$C$27, 0.0021, 0)</f>
        <v>69.394400000000005</v>
      </c>
      <c r="C772" s="10">
        <f>68.9601 * CHOOSE(CONTROL!$C$9, $D$9, 100%, $F$9) + CHOOSE(CONTROL!$C$27, 0.0021, 0)</f>
        <v>68.962199999999996</v>
      </c>
      <c r="D772" s="10">
        <f>68.9601 * CHOOSE(CONTROL!$C$9, $D$9, 100%, $F$9) + CHOOSE(CONTROL!$C$27, 0.0021, 0)</f>
        <v>68.962199999999996</v>
      </c>
      <c r="E772" s="10">
        <f>68.8234 * CHOOSE(CONTROL!$C$9, $D$9, 100%, $F$9) + CHOOSE(CONTROL!$C$27, 0.0021, 0)</f>
        <v>68.825500000000005</v>
      </c>
      <c r="F772" s="10">
        <f>68.8234 * CHOOSE(CONTROL!$C$9, $D$9, 100%, $F$9) + CHOOSE(CONTROL!$C$27, 0.0021, 0)</f>
        <v>68.825500000000005</v>
      </c>
      <c r="G772" s="10">
        <f>69.0948 * CHOOSE(CONTROL!$C$9, $D$9, 100%, $F$9) + CHOOSE(CONTROL!$C$27, 0.0021, 0)</f>
        <v>69.096900000000005</v>
      </c>
      <c r="H772" s="10">
        <f>68.9601 * CHOOSE(CONTROL!$C$9, $D$9, 100%, $F$9) + CHOOSE(CONTROL!$C$27, 0.0021, 0)</f>
        <v>68.962199999999996</v>
      </c>
      <c r="I772" s="10">
        <f>68.9601 * CHOOSE(CONTROL!$C$9, $D$9, 100%, $F$9) + CHOOSE(CONTROL!$C$27, 0.0021, 0)</f>
        <v>68.962199999999996</v>
      </c>
      <c r="J772" s="10">
        <f>68.9601 * CHOOSE(CONTROL!$C$9, $D$9, 100%, $F$9) + CHOOSE(CONTROL!$C$27, 0.0021, 0)</f>
        <v>68.962199999999996</v>
      </c>
      <c r="K772" s="10">
        <f>68.9601 * CHOOSE(CONTROL!$C$9, $D$9, 100%, $F$9) + CHOOSE(CONTROL!$C$27, 0.0021, 0)</f>
        <v>68.962199999999996</v>
      </c>
      <c r="L772" s="10"/>
    </row>
    <row r="773" spans="1:12" ht="15.75" x14ac:dyDescent="0.25">
      <c r="A773" s="13">
        <v>64831</v>
      </c>
      <c r="B773" s="10">
        <f>70.219 * CHOOSE(CONTROL!$C$9, $D$9, 100%, $F$9) + CHOOSE(CONTROL!$C$27, 0.0021, 0)</f>
        <v>70.221099999999993</v>
      </c>
      <c r="C773" s="10">
        <f>69.7868 * CHOOSE(CONTROL!$C$9, $D$9, 100%, $F$9) + CHOOSE(CONTROL!$C$27, 0.0021, 0)</f>
        <v>69.788899999999998</v>
      </c>
      <c r="D773" s="10">
        <f>69.7868 * CHOOSE(CONTROL!$C$9, $D$9, 100%, $F$9) + CHOOSE(CONTROL!$C$27, 0.0021, 0)</f>
        <v>69.788899999999998</v>
      </c>
      <c r="E773" s="10">
        <f>69.6501 * CHOOSE(CONTROL!$C$9, $D$9, 100%, $F$9) + CHOOSE(CONTROL!$C$27, 0.0021, 0)</f>
        <v>69.652199999999993</v>
      </c>
      <c r="F773" s="10">
        <f>69.6501 * CHOOSE(CONTROL!$C$9, $D$9, 100%, $F$9) + CHOOSE(CONTROL!$C$27, 0.0021, 0)</f>
        <v>69.652199999999993</v>
      </c>
      <c r="G773" s="10">
        <f>69.9215 * CHOOSE(CONTROL!$C$9, $D$9, 100%, $F$9) + CHOOSE(CONTROL!$C$27, 0.0021, 0)</f>
        <v>69.923599999999993</v>
      </c>
      <c r="H773" s="10">
        <f>69.7868 * CHOOSE(CONTROL!$C$9, $D$9, 100%, $F$9) + CHOOSE(CONTROL!$C$27, 0.0021, 0)</f>
        <v>69.788899999999998</v>
      </c>
      <c r="I773" s="10">
        <f>69.7868 * CHOOSE(CONTROL!$C$9, $D$9, 100%, $F$9) + CHOOSE(CONTROL!$C$27, 0.0021, 0)</f>
        <v>69.788899999999998</v>
      </c>
      <c r="J773" s="10">
        <f>69.7868 * CHOOSE(CONTROL!$C$9, $D$9, 100%, $F$9) + CHOOSE(CONTROL!$C$27, 0.0021, 0)</f>
        <v>69.788899999999998</v>
      </c>
      <c r="K773" s="10">
        <f>69.7868 * CHOOSE(CONTROL!$C$9, $D$9, 100%, $F$9) + CHOOSE(CONTROL!$C$27, 0.0021, 0)</f>
        <v>69.788899999999998</v>
      </c>
      <c r="L773" s="10"/>
    </row>
    <row r="774" spans="1:12" ht="15.75" x14ac:dyDescent="0.25">
      <c r="A774" s="13">
        <v>64862</v>
      </c>
      <c r="B774" s="10">
        <f>71.5827 * CHOOSE(CONTROL!$C$9, $D$9, 100%, $F$9) + CHOOSE(CONTROL!$C$27, 0.0021, 0)</f>
        <v>71.584800000000001</v>
      </c>
      <c r="C774" s="10">
        <f>71.1504 * CHOOSE(CONTROL!$C$9, $D$9, 100%, $F$9) + CHOOSE(CONTROL!$C$27, 0.0021, 0)</f>
        <v>71.152500000000003</v>
      </c>
      <c r="D774" s="10">
        <f>71.1504 * CHOOSE(CONTROL!$C$9, $D$9, 100%, $F$9) + CHOOSE(CONTROL!$C$27, 0.0021, 0)</f>
        <v>71.152500000000003</v>
      </c>
      <c r="E774" s="10">
        <f>71.0138 * CHOOSE(CONTROL!$C$9, $D$9, 100%, $F$9) + CHOOSE(CONTROL!$C$27, 0.0021, 0)</f>
        <v>71.015900000000002</v>
      </c>
      <c r="F774" s="10">
        <f>71.0138 * CHOOSE(CONTROL!$C$9, $D$9, 100%, $F$9) + CHOOSE(CONTROL!$C$27, 0.0021, 0)</f>
        <v>71.015900000000002</v>
      </c>
      <c r="G774" s="10">
        <f>71.2851 * CHOOSE(CONTROL!$C$9, $D$9, 100%, $F$9) + CHOOSE(CONTROL!$C$27, 0.0021, 0)</f>
        <v>71.287199999999999</v>
      </c>
      <c r="H774" s="10">
        <f>71.1504 * CHOOSE(CONTROL!$C$9, $D$9, 100%, $F$9) + CHOOSE(CONTROL!$C$27, 0.0021, 0)</f>
        <v>71.152500000000003</v>
      </c>
      <c r="I774" s="10">
        <f>71.1504 * CHOOSE(CONTROL!$C$9, $D$9, 100%, $F$9) + CHOOSE(CONTROL!$C$27, 0.0021, 0)</f>
        <v>71.152500000000003</v>
      </c>
      <c r="J774" s="10">
        <f>71.1504 * CHOOSE(CONTROL!$C$9, $D$9, 100%, $F$9) + CHOOSE(CONTROL!$C$27, 0.0021, 0)</f>
        <v>71.152500000000003</v>
      </c>
      <c r="K774" s="10">
        <f>71.1504 * CHOOSE(CONTROL!$C$9, $D$9, 100%, $F$9) + CHOOSE(CONTROL!$C$27, 0.0021, 0)</f>
        <v>71.152500000000003</v>
      </c>
      <c r="L774" s="10"/>
    </row>
    <row r="775" spans="1:12" ht="15.75" x14ac:dyDescent="0.25">
      <c r="A775" s="13">
        <v>64893</v>
      </c>
      <c r="B775" s="10">
        <f>71.9989 * CHOOSE(CONTROL!$C$9, $D$9, 100%, $F$9) + CHOOSE(CONTROL!$C$27, 0.0021, 0)</f>
        <v>72.001000000000005</v>
      </c>
      <c r="C775" s="10">
        <f>71.5667 * CHOOSE(CONTROL!$C$9, $D$9, 100%, $F$9) + CHOOSE(CONTROL!$C$27, 0.0021, 0)</f>
        <v>71.568799999999996</v>
      </c>
      <c r="D775" s="10">
        <f>71.5667 * CHOOSE(CONTROL!$C$9, $D$9, 100%, $F$9) + CHOOSE(CONTROL!$C$27, 0.0021, 0)</f>
        <v>71.568799999999996</v>
      </c>
      <c r="E775" s="10">
        <f>71.43 * CHOOSE(CONTROL!$C$9, $D$9, 100%, $F$9) + CHOOSE(CONTROL!$C$27, 0.0021, 0)</f>
        <v>71.432100000000005</v>
      </c>
      <c r="F775" s="10">
        <f>71.43 * CHOOSE(CONTROL!$C$9, $D$9, 100%, $F$9) + CHOOSE(CONTROL!$C$27, 0.0021, 0)</f>
        <v>71.432100000000005</v>
      </c>
      <c r="G775" s="10">
        <f>71.7014 * CHOOSE(CONTROL!$C$9, $D$9, 100%, $F$9) + CHOOSE(CONTROL!$C$27, 0.0021, 0)</f>
        <v>71.703500000000005</v>
      </c>
      <c r="H775" s="10">
        <f>71.5667 * CHOOSE(CONTROL!$C$9, $D$9, 100%, $F$9) + CHOOSE(CONTROL!$C$27, 0.0021, 0)</f>
        <v>71.568799999999996</v>
      </c>
      <c r="I775" s="10">
        <f>71.5667 * CHOOSE(CONTROL!$C$9, $D$9, 100%, $F$9) + CHOOSE(CONTROL!$C$27, 0.0021, 0)</f>
        <v>71.568799999999996</v>
      </c>
      <c r="J775" s="10">
        <f>71.5667 * CHOOSE(CONTROL!$C$9, $D$9, 100%, $F$9) + CHOOSE(CONTROL!$C$27, 0.0021, 0)</f>
        <v>71.568799999999996</v>
      </c>
      <c r="K775" s="10">
        <f>71.5667 * CHOOSE(CONTROL!$C$9, $D$9, 100%, $F$9) + CHOOSE(CONTROL!$C$27, 0.0021, 0)</f>
        <v>71.568799999999996</v>
      </c>
      <c r="L775" s="10"/>
    </row>
    <row r="776" spans="1:12" ht="15.75" x14ac:dyDescent="0.25">
      <c r="A776" s="13">
        <v>64923</v>
      </c>
      <c r="B776" s="10">
        <f>73.4164 * CHOOSE(CONTROL!$C$9, $D$9, 100%, $F$9) + CHOOSE(CONTROL!$C$27, 0.0021, 0)</f>
        <v>73.418499999999995</v>
      </c>
      <c r="C776" s="10">
        <f>72.9841 * CHOOSE(CONTROL!$C$9, $D$9, 100%, $F$9) + CHOOSE(CONTROL!$C$27, 0.0021, 0)</f>
        <v>72.986199999999997</v>
      </c>
      <c r="D776" s="10">
        <f>72.9841 * CHOOSE(CONTROL!$C$9, $D$9, 100%, $F$9) + CHOOSE(CONTROL!$C$27, 0.0021, 0)</f>
        <v>72.986199999999997</v>
      </c>
      <c r="E776" s="10">
        <f>72.8475 * CHOOSE(CONTROL!$C$9, $D$9, 100%, $F$9) + CHOOSE(CONTROL!$C$27, 0.0021, 0)</f>
        <v>72.849599999999995</v>
      </c>
      <c r="F776" s="10">
        <f>72.8475 * CHOOSE(CONTROL!$C$9, $D$9, 100%, $F$9) + CHOOSE(CONTROL!$C$27, 0.0021, 0)</f>
        <v>72.849599999999995</v>
      </c>
      <c r="G776" s="10">
        <f>73.1189 * CHOOSE(CONTROL!$C$9, $D$9, 100%, $F$9) + CHOOSE(CONTROL!$C$27, 0.0021, 0)</f>
        <v>73.120999999999995</v>
      </c>
      <c r="H776" s="10">
        <f>72.9841 * CHOOSE(CONTROL!$C$9, $D$9, 100%, $F$9) + CHOOSE(CONTROL!$C$27, 0.0021, 0)</f>
        <v>72.986199999999997</v>
      </c>
      <c r="I776" s="10">
        <f>72.9841 * CHOOSE(CONTROL!$C$9, $D$9, 100%, $F$9) + CHOOSE(CONTROL!$C$27, 0.0021, 0)</f>
        <v>72.986199999999997</v>
      </c>
      <c r="J776" s="10">
        <f>72.9841 * CHOOSE(CONTROL!$C$9, $D$9, 100%, $F$9) + CHOOSE(CONTROL!$C$27, 0.0021, 0)</f>
        <v>72.986199999999997</v>
      </c>
      <c r="K776" s="10">
        <f>72.9841 * CHOOSE(CONTROL!$C$9, $D$9, 100%, $F$9) + CHOOSE(CONTROL!$C$27, 0.0021, 0)</f>
        <v>72.986199999999997</v>
      </c>
      <c r="L776" s="10"/>
    </row>
    <row r="777" spans="1:12" ht="15.75" x14ac:dyDescent="0.25">
      <c r="A777" s="13">
        <v>64954</v>
      </c>
      <c r="B777" s="10">
        <f>75.2107 * CHOOSE(CONTROL!$C$9, $D$9, 100%, $F$9) + CHOOSE(CONTROL!$C$27, 0.0021, 0)</f>
        <v>75.212800000000001</v>
      </c>
      <c r="C777" s="10">
        <f>74.7784 * CHOOSE(CONTROL!$C$9, $D$9, 100%, $F$9) + CHOOSE(CONTROL!$C$27, 0.0021, 0)</f>
        <v>74.780500000000004</v>
      </c>
      <c r="D777" s="10">
        <f>74.7784 * CHOOSE(CONTROL!$C$9, $D$9, 100%, $F$9) + CHOOSE(CONTROL!$C$27, 0.0021, 0)</f>
        <v>74.780500000000004</v>
      </c>
      <c r="E777" s="10">
        <f>74.6418 * CHOOSE(CONTROL!$C$9, $D$9, 100%, $F$9) + CHOOSE(CONTROL!$C$27, 0.0021, 0)</f>
        <v>74.643900000000002</v>
      </c>
      <c r="F777" s="10">
        <f>74.6418 * CHOOSE(CONTROL!$C$9, $D$9, 100%, $F$9) + CHOOSE(CONTROL!$C$27, 0.0021, 0)</f>
        <v>74.643900000000002</v>
      </c>
      <c r="G777" s="10">
        <f>74.9131 * CHOOSE(CONTROL!$C$9, $D$9, 100%, $F$9) + CHOOSE(CONTROL!$C$27, 0.0021, 0)</f>
        <v>74.915199999999999</v>
      </c>
      <c r="H777" s="10">
        <f>74.7784 * CHOOSE(CONTROL!$C$9, $D$9, 100%, $F$9) + CHOOSE(CONTROL!$C$27, 0.0021, 0)</f>
        <v>74.780500000000004</v>
      </c>
      <c r="I777" s="10">
        <f>74.7784 * CHOOSE(CONTROL!$C$9, $D$9, 100%, $F$9) + CHOOSE(CONTROL!$C$27, 0.0021, 0)</f>
        <v>74.780500000000004</v>
      </c>
      <c r="J777" s="10">
        <f>74.7784 * CHOOSE(CONTROL!$C$9, $D$9, 100%, $F$9) + CHOOSE(CONTROL!$C$27, 0.0021, 0)</f>
        <v>74.780500000000004</v>
      </c>
      <c r="K777" s="10">
        <f>74.7784 * CHOOSE(CONTROL!$C$9, $D$9, 100%, $F$9) + CHOOSE(CONTROL!$C$27, 0.0021, 0)</f>
        <v>74.780500000000004</v>
      </c>
      <c r="L777" s="10"/>
    </row>
    <row r="778" spans="1:12" ht="15.75" x14ac:dyDescent="0.25">
      <c r="A778" s="13">
        <v>64984</v>
      </c>
      <c r="B778" s="10">
        <f>75.3791 * CHOOSE(CONTROL!$C$9, $D$9, 100%, $F$9) + CHOOSE(CONTROL!$C$27, 0.0021, 0)</f>
        <v>75.381199999999993</v>
      </c>
      <c r="C778" s="10">
        <f>74.9469 * CHOOSE(CONTROL!$C$9, $D$9, 100%, $F$9) + CHOOSE(CONTROL!$C$27, 0.0021, 0)</f>
        <v>74.948999999999998</v>
      </c>
      <c r="D778" s="10">
        <f>74.9469 * CHOOSE(CONTROL!$C$9, $D$9, 100%, $F$9) + CHOOSE(CONTROL!$C$27, 0.0021, 0)</f>
        <v>74.948999999999998</v>
      </c>
      <c r="E778" s="10">
        <f>74.8102 * CHOOSE(CONTROL!$C$9, $D$9, 100%, $F$9) + CHOOSE(CONTROL!$C$27, 0.0021, 0)</f>
        <v>74.812299999999993</v>
      </c>
      <c r="F778" s="10">
        <f>74.8102 * CHOOSE(CONTROL!$C$9, $D$9, 100%, $F$9) + CHOOSE(CONTROL!$C$27, 0.0021, 0)</f>
        <v>74.812299999999993</v>
      </c>
      <c r="G778" s="10">
        <f>75.0816 * CHOOSE(CONTROL!$C$9, $D$9, 100%, $F$9) + CHOOSE(CONTROL!$C$27, 0.0021, 0)</f>
        <v>75.083699999999993</v>
      </c>
      <c r="H778" s="10">
        <f>74.9469 * CHOOSE(CONTROL!$C$9, $D$9, 100%, $F$9) + CHOOSE(CONTROL!$C$27, 0.0021, 0)</f>
        <v>74.948999999999998</v>
      </c>
      <c r="I778" s="10">
        <f>74.9469 * CHOOSE(CONTROL!$C$9, $D$9, 100%, $F$9) + CHOOSE(CONTROL!$C$27, 0.0021, 0)</f>
        <v>74.948999999999998</v>
      </c>
      <c r="J778" s="10">
        <f>74.9469 * CHOOSE(CONTROL!$C$9, $D$9, 100%, $F$9) + CHOOSE(CONTROL!$C$27, 0.0021, 0)</f>
        <v>74.948999999999998</v>
      </c>
      <c r="K778" s="10">
        <f>74.9469 * CHOOSE(CONTROL!$C$9, $D$9, 100%, $F$9) + CHOOSE(CONTROL!$C$27, 0.0021, 0)</f>
        <v>74.948999999999998</v>
      </c>
      <c r="L778" s="10"/>
    </row>
    <row r="779" spans="1:12" ht="15.75" x14ac:dyDescent="0.25">
      <c r="A779" s="13">
        <v>65015</v>
      </c>
      <c r="B779" s="10">
        <f>73.9461 * CHOOSE(CONTROL!$C$9, $D$9, 100%, $F$9) + CHOOSE(CONTROL!$C$27, 0.0021, 0)</f>
        <v>73.9482</v>
      </c>
      <c r="C779" s="10">
        <f>73.5138 * CHOOSE(CONTROL!$C$9, $D$9, 100%, $F$9) + CHOOSE(CONTROL!$C$27, 0.0021, 0)</f>
        <v>73.515900000000002</v>
      </c>
      <c r="D779" s="10">
        <f>73.5138 * CHOOSE(CONTROL!$C$9, $D$9, 100%, $F$9) + CHOOSE(CONTROL!$C$27, 0.0021, 0)</f>
        <v>73.515900000000002</v>
      </c>
      <c r="E779" s="10">
        <f>73.3771 * CHOOSE(CONTROL!$C$9, $D$9, 100%, $F$9) + CHOOSE(CONTROL!$C$27, 0.0021, 0)</f>
        <v>73.379199999999997</v>
      </c>
      <c r="F779" s="10">
        <f>73.3771 * CHOOSE(CONTROL!$C$9, $D$9, 100%, $F$9) + CHOOSE(CONTROL!$C$27, 0.0021, 0)</f>
        <v>73.379199999999997</v>
      </c>
      <c r="G779" s="10">
        <f>73.6485 * CHOOSE(CONTROL!$C$9, $D$9, 100%, $F$9) + CHOOSE(CONTROL!$C$27, 0.0021, 0)</f>
        <v>73.650599999999997</v>
      </c>
      <c r="H779" s="10">
        <f>73.5138 * CHOOSE(CONTROL!$C$9, $D$9, 100%, $F$9) + CHOOSE(CONTROL!$C$27, 0.0021, 0)</f>
        <v>73.515900000000002</v>
      </c>
      <c r="I779" s="10">
        <f>73.5138 * CHOOSE(CONTROL!$C$9, $D$9, 100%, $F$9) + CHOOSE(CONTROL!$C$27, 0.0021, 0)</f>
        <v>73.515900000000002</v>
      </c>
      <c r="J779" s="10">
        <f>73.5138 * CHOOSE(CONTROL!$C$9, $D$9, 100%, $F$9) + CHOOSE(CONTROL!$C$27, 0.0021, 0)</f>
        <v>73.515900000000002</v>
      </c>
      <c r="K779" s="10">
        <f>73.5138 * CHOOSE(CONTROL!$C$9, $D$9, 100%, $F$9) + CHOOSE(CONTROL!$C$27, 0.0021, 0)</f>
        <v>73.515900000000002</v>
      </c>
      <c r="L779" s="10"/>
    </row>
    <row r="780" spans="1:12" ht="15.75" x14ac:dyDescent="0.25">
      <c r="A780" s="13">
        <v>65046</v>
      </c>
      <c r="B780" s="10">
        <f>72.8489 * CHOOSE(CONTROL!$C$9, $D$9, 100%, $F$9) + CHOOSE(CONTROL!$C$27, 0.0021, 0)</f>
        <v>72.850999999999999</v>
      </c>
      <c r="C780" s="10">
        <f>72.4166 * CHOOSE(CONTROL!$C$9, $D$9, 100%, $F$9) + CHOOSE(CONTROL!$C$27, 0.0021, 0)</f>
        <v>72.418700000000001</v>
      </c>
      <c r="D780" s="10">
        <f>72.4166 * CHOOSE(CONTROL!$C$9, $D$9, 100%, $F$9) + CHOOSE(CONTROL!$C$27, 0.0021, 0)</f>
        <v>72.418700000000001</v>
      </c>
      <c r="E780" s="10">
        <f>72.28 * CHOOSE(CONTROL!$C$9, $D$9, 100%, $F$9) + CHOOSE(CONTROL!$C$27, 0.0021, 0)</f>
        <v>72.2821</v>
      </c>
      <c r="F780" s="10">
        <f>72.28 * CHOOSE(CONTROL!$C$9, $D$9, 100%, $F$9) + CHOOSE(CONTROL!$C$27, 0.0021, 0)</f>
        <v>72.2821</v>
      </c>
      <c r="G780" s="10">
        <f>72.5513 * CHOOSE(CONTROL!$C$9, $D$9, 100%, $F$9) + CHOOSE(CONTROL!$C$27, 0.0021, 0)</f>
        <v>72.553399999999996</v>
      </c>
      <c r="H780" s="10">
        <f>72.4166 * CHOOSE(CONTROL!$C$9, $D$9, 100%, $F$9) + CHOOSE(CONTROL!$C$27, 0.0021, 0)</f>
        <v>72.418700000000001</v>
      </c>
      <c r="I780" s="10">
        <f>72.4166 * CHOOSE(CONTROL!$C$9, $D$9, 100%, $F$9) + CHOOSE(CONTROL!$C$27, 0.0021, 0)</f>
        <v>72.418700000000001</v>
      </c>
      <c r="J780" s="10">
        <f>72.4166 * CHOOSE(CONTROL!$C$9, $D$9, 100%, $F$9) + CHOOSE(CONTROL!$C$27, 0.0021, 0)</f>
        <v>72.418700000000001</v>
      </c>
      <c r="K780" s="10">
        <f>72.4166 * CHOOSE(CONTROL!$C$9, $D$9, 100%, $F$9) + CHOOSE(CONTROL!$C$27, 0.0021, 0)</f>
        <v>72.418700000000001</v>
      </c>
      <c r="L780" s="10"/>
    </row>
    <row r="781" spans="1:12" ht="15.75" x14ac:dyDescent="0.25">
      <c r="A781" s="13">
        <v>65074</v>
      </c>
      <c r="B781" s="10">
        <f>70.8531 * CHOOSE(CONTROL!$C$9, $D$9, 100%, $F$9) + CHOOSE(CONTROL!$C$27, 0.0021, 0)</f>
        <v>70.855199999999996</v>
      </c>
      <c r="C781" s="10">
        <f>70.4209 * CHOOSE(CONTROL!$C$9, $D$9, 100%, $F$9) + CHOOSE(CONTROL!$C$27, 0.0021, 0)</f>
        <v>70.423000000000002</v>
      </c>
      <c r="D781" s="10">
        <f>70.4209 * CHOOSE(CONTROL!$C$9, $D$9, 100%, $F$9) + CHOOSE(CONTROL!$C$27, 0.0021, 0)</f>
        <v>70.423000000000002</v>
      </c>
      <c r="E781" s="10">
        <f>70.2842 * CHOOSE(CONTROL!$C$9, $D$9, 100%, $F$9) + CHOOSE(CONTROL!$C$27, 0.0021, 0)</f>
        <v>70.286299999999997</v>
      </c>
      <c r="F781" s="10">
        <f>70.2842 * CHOOSE(CONTROL!$C$9, $D$9, 100%, $F$9) + CHOOSE(CONTROL!$C$27, 0.0021, 0)</f>
        <v>70.286299999999997</v>
      </c>
      <c r="G781" s="10">
        <f>70.5556 * CHOOSE(CONTROL!$C$9, $D$9, 100%, $F$9) + CHOOSE(CONTROL!$C$27, 0.0021, 0)</f>
        <v>70.557699999999997</v>
      </c>
      <c r="H781" s="10">
        <f>70.4209 * CHOOSE(CONTROL!$C$9, $D$9, 100%, $F$9) + CHOOSE(CONTROL!$C$27, 0.0021, 0)</f>
        <v>70.423000000000002</v>
      </c>
      <c r="I781" s="10">
        <f>70.4209 * CHOOSE(CONTROL!$C$9, $D$9, 100%, $F$9) + CHOOSE(CONTROL!$C$27, 0.0021, 0)</f>
        <v>70.423000000000002</v>
      </c>
      <c r="J781" s="10">
        <f>70.4209 * CHOOSE(CONTROL!$C$9, $D$9, 100%, $F$9) + CHOOSE(CONTROL!$C$27, 0.0021, 0)</f>
        <v>70.423000000000002</v>
      </c>
      <c r="K781" s="10">
        <f>70.4209 * CHOOSE(CONTROL!$C$9, $D$9, 100%, $F$9) + CHOOSE(CONTROL!$C$27, 0.0021, 0)</f>
        <v>70.423000000000002</v>
      </c>
      <c r="L781" s="10"/>
    </row>
    <row r="782" spans="1:12" ht="15.75" x14ac:dyDescent="0.25">
      <c r="A782" s="13">
        <v>65105</v>
      </c>
      <c r="B782" s="10">
        <f>70.0293 * CHOOSE(CONTROL!$C$9, $D$9, 100%, $F$9) + CHOOSE(CONTROL!$C$27, 0.0021, 0)</f>
        <v>70.031400000000005</v>
      </c>
      <c r="C782" s="10">
        <f>69.5971 * CHOOSE(CONTROL!$C$9, $D$9, 100%, $F$9) + CHOOSE(CONTROL!$C$27, 0.0021, 0)</f>
        <v>69.599199999999996</v>
      </c>
      <c r="D782" s="10">
        <f>69.5971 * CHOOSE(CONTROL!$C$9, $D$9, 100%, $F$9) + CHOOSE(CONTROL!$C$27, 0.0021, 0)</f>
        <v>69.599199999999996</v>
      </c>
      <c r="E782" s="10">
        <f>69.4604 * CHOOSE(CONTROL!$C$9, $D$9, 100%, $F$9) + CHOOSE(CONTROL!$C$27, 0.0021, 0)</f>
        <v>69.462500000000006</v>
      </c>
      <c r="F782" s="10">
        <f>69.4604 * CHOOSE(CONTROL!$C$9, $D$9, 100%, $F$9) + CHOOSE(CONTROL!$C$27, 0.0021, 0)</f>
        <v>69.462500000000006</v>
      </c>
      <c r="G782" s="10">
        <f>69.7318 * CHOOSE(CONTROL!$C$9, $D$9, 100%, $F$9) + CHOOSE(CONTROL!$C$27, 0.0021, 0)</f>
        <v>69.733900000000006</v>
      </c>
      <c r="H782" s="10">
        <f>69.5971 * CHOOSE(CONTROL!$C$9, $D$9, 100%, $F$9) + CHOOSE(CONTROL!$C$27, 0.0021, 0)</f>
        <v>69.599199999999996</v>
      </c>
      <c r="I782" s="10">
        <f>69.5971 * CHOOSE(CONTROL!$C$9, $D$9, 100%, $F$9) + CHOOSE(CONTROL!$C$27, 0.0021, 0)</f>
        <v>69.599199999999996</v>
      </c>
      <c r="J782" s="10">
        <f>69.5971 * CHOOSE(CONTROL!$C$9, $D$9, 100%, $F$9) + CHOOSE(CONTROL!$C$27, 0.0021, 0)</f>
        <v>69.599199999999996</v>
      </c>
      <c r="K782" s="10">
        <f>69.5971 * CHOOSE(CONTROL!$C$9, $D$9, 100%, $F$9) + CHOOSE(CONTROL!$C$27, 0.0021, 0)</f>
        <v>69.599199999999996</v>
      </c>
      <c r="L782" s="10"/>
    </row>
    <row r="783" spans="1:12" ht="15.75" x14ac:dyDescent="0.25">
      <c r="A783" s="13">
        <v>65135</v>
      </c>
      <c r="B783" s="10">
        <f>69.0456 * CHOOSE(CONTROL!$C$9, $D$9, 100%, $F$9) + CHOOSE(CONTROL!$C$27, 0.0021, 0)</f>
        <v>69.047699999999992</v>
      </c>
      <c r="C783" s="10">
        <f>68.6134 * CHOOSE(CONTROL!$C$9, $D$9, 100%, $F$9) + CHOOSE(CONTROL!$C$27, 0.0021, 0)</f>
        <v>68.615499999999997</v>
      </c>
      <c r="D783" s="10">
        <f>68.6134 * CHOOSE(CONTROL!$C$9, $D$9, 100%, $F$9) + CHOOSE(CONTROL!$C$27, 0.0021, 0)</f>
        <v>68.615499999999997</v>
      </c>
      <c r="E783" s="10">
        <f>68.4767 * CHOOSE(CONTROL!$C$9, $D$9, 100%, $F$9) + CHOOSE(CONTROL!$C$27, 0.0021, 0)</f>
        <v>68.478799999999993</v>
      </c>
      <c r="F783" s="10">
        <f>68.4767 * CHOOSE(CONTROL!$C$9, $D$9, 100%, $F$9) + CHOOSE(CONTROL!$C$27, 0.0021, 0)</f>
        <v>68.478799999999993</v>
      </c>
      <c r="G783" s="10">
        <f>68.7481 * CHOOSE(CONTROL!$C$9, $D$9, 100%, $F$9) + CHOOSE(CONTROL!$C$27, 0.0021, 0)</f>
        <v>68.750199999999992</v>
      </c>
      <c r="H783" s="10">
        <f>68.6134 * CHOOSE(CONTROL!$C$9, $D$9, 100%, $F$9) + CHOOSE(CONTROL!$C$27, 0.0021, 0)</f>
        <v>68.615499999999997</v>
      </c>
      <c r="I783" s="10">
        <f>68.6134 * CHOOSE(CONTROL!$C$9, $D$9, 100%, $F$9) + CHOOSE(CONTROL!$C$27, 0.0021, 0)</f>
        <v>68.615499999999997</v>
      </c>
      <c r="J783" s="10">
        <f>68.6134 * CHOOSE(CONTROL!$C$9, $D$9, 100%, $F$9) + CHOOSE(CONTROL!$C$27, 0.0021, 0)</f>
        <v>68.615499999999997</v>
      </c>
      <c r="K783" s="10">
        <f>68.6134 * CHOOSE(CONTROL!$C$9, $D$9, 100%, $F$9) + CHOOSE(CONTROL!$C$27, 0.0021, 0)</f>
        <v>68.615499999999997</v>
      </c>
      <c r="L783" s="10"/>
    </row>
    <row r="784" spans="1:12" ht="15.75" x14ac:dyDescent="0.25">
      <c r="A784" s="13">
        <v>65166</v>
      </c>
      <c r="B784" s="10">
        <f>70.4475 * CHOOSE(CONTROL!$C$9, $D$9, 100%, $F$9) + CHOOSE(CONTROL!$C$27, 0.0021, 0)</f>
        <v>70.449600000000004</v>
      </c>
      <c r="C784" s="10">
        <f>70.0152 * CHOOSE(CONTROL!$C$9, $D$9, 100%, $F$9) + CHOOSE(CONTROL!$C$27, 0.0021, 0)</f>
        <v>70.017299999999992</v>
      </c>
      <c r="D784" s="10">
        <f>70.0152 * CHOOSE(CONTROL!$C$9, $D$9, 100%, $F$9) + CHOOSE(CONTROL!$C$27, 0.0021, 0)</f>
        <v>70.017299999999992</v>
      </c>
      <c r="E784" s="10">
        <f>69.8786 * CHOOSE(CONTROL!$C$9, $D$9, 100%, $F$9) + CHOOSE(CONTROL!$C$27, 0.0021, 0)</f>
        <v>69.880700000000004</v>
      </c>
      <c r="F784" s="10">
        <f>69.8786 * CHOOSE(CONTROL!$C$9, $D$9, 100%, $F$9) + CHOOSE(CONTROL!$C$27, 0.0021, 0)</f>
        <v>69.880700000000004</v>
      </c>
      <c r="G784" s="10">
        <f>70.15 * CHOOSE(CONTROL!$C$9, $D$9, 100%, $F$9) + CHOOSE(CONTROL!$C$27, 0.0021, 0)</f>
        <v>70.152100000000004</v>
      </c>
      <c r="H784" s="10">
        <f>70.0152 * CHOOSE(CONTROL!$C$9, $D$9, 100%, $F$9) + CHOOSE(CONTROL!$C$27, 0.0021, 0)</f>
        <v>70.017299999999992</v>
      </c>
      <c r="I784" s="10">
        <f>70.0152 * CHOOSE(CONTROL!$C$9, $D$9, 100%, $F$9) + CHOOSE(CONTROL!$C$27, 0.0021, 0)</f>
        <v>70.017299999999992</v>
      </c>
      <c r="J784" s="10">
        <f>70.0152 * CHOOSE(CONTROL!$C$9, $D$9, 100%, $F$9) + CHOOSE(CONTROL!$C$27, 0.0021, 0)</f>
        <v>70.017299999999992</v>
      </c>
      <c r="K784" s="10">
        <f>70.0152 * CHOOSE(CONTROL!$C$9, $D$9, 100%, $F$9) + CHOOSE(CONTROL!$C$27, 0.0021, 0)</f>
        <v>70.017299999999992</v>
      </c>
      <c r="L784" s="10"/>
    </row>
    <row r="785" spans="1:12" ht="15.75" x14ac:dyDescent="0.25">
      <c r="A785" s="13">
        <v>65196</v>
      </c>
      <c r="B785" s="10">
        <f>71.2871 * CHOOSE(CONTROL!$C$9, $D$9, 100%, $F$9) + CHOOSE(CONTROL!$C$27, 0.0021, 0)</f>
        <v>71.289199999999994</v>
      </c>
      <c r="C785" s="10">
        <f>70.8549 * CHOOSE(CONTROL!$C$9, $D$9, 100%, $F$9) + CHOOSE(CONTROL!$C$27, 0.0021, 0)</f>
        <v>70.856999999999999</v>
      </c>
      <c r="D785" s="10">
        <f>70.8549 * CHOOSE(CONTROL!$C$9, $D$9, 100%, $F$9) + CHOOSE(CONTROL!$C$27, 0.0021, 0)</f>
        <v>70.856999999999999</v>
      </c>
      <c r="E785" s="10">
        <f>70.7182 * CHOOSE(CONTROL!$C$9, $D$9, 100%, $F$9) + CHOOSE(CONTROL!$C$27, 0.0021, 0)</f>
        <v>70.720299999999995</v>
      </c>
      <c r="F785" s="10">
        <f>70.7182 * CHOOSE(CONTROL!$C$9, $D$9, 100%, $F$9) + CHOOSE(CONTROL!$C$27, 0.0021, 0)</f>
        <v>70.720299999999995</v>
      </c>
      <c r="G785" s="10">
        <f>70.9896 * CHOOSE(CONTROL!$C$9, $D$9, 100%, $F$9) + CHOOSE(CONTROL!$C$27, 0.0021, 0)</f>
        <v>70.991699999999994</v>
      </c>
      <c r="H785" s="10">
        <f>70.8549 * CHOOSE(CONTROL!$C$9, $D$9, 100%, $F$9) + CHOOSE(CONTROL!$C$27, 0.0021, 0)</f>
        <v>70.856999999999999</v>
      </c>
      <c r="I785" s="10">
        <f>70.8549 * CHOOSE(CONTROL!$C$9, $D$9, 100%, $F$9) + CHOOSE(CONTROL!$C$27, 0.0021, 0)</f>
        <v>70.856999999999999</v>
      </c>
      <c r="J785" s="10">
        <f>70.8549 * CHOOSE(CONTROL!$C$9, $D$9, 100%, $F$9) + CHOOSE(CONTROL!$C$27, 0.0021, 0)</f>
        <v>70.856999999999999</v>
      </c>
      <c r="K785" s="10">
        <f>70.8549 * CHOOSE(CONTROL!$C$9, $D$9, 100%, $F$9) + CHOOSE(CONTROL!$C$27, 0.0021, 0)</f>
        <v>70.856999999999999</v>
      </c>
      <c r="L785" s="10"/>
    </row>
    <row r="786" spans="1:12" ht="15.75" x14ac:dyDescent="0.25">
      <c r="A786" s="13">
        <v>65227</v>
      </c>
      <c r="B786" s="10">
        <f>72.6723 * CHOOSE(CONTROL!$C$9, $D$9, 100%, $F$9) + CHOOSE(CONTROL!$C$27, 0.0021, 0)</f>
        <v>72.674400000000006</v>
      </c>
      <c r="C786" s="10">
        <f>72.24 * CHOOSE(CONTROL!$C$9, $D$9, 100%, $F$9) + CHOOSE(CONTROL!$C$27, 0.0021, 0)</f>
        <v>72.242099999999994</v>
      </c>
      <c r="D786" s="10">
        <f>72.24 * CHOOSE(CONTROL!$C$9, $D$9, 100%, $F$9) + CHOOSE(CONTROL!$C$27, 0.0021, 0)</f>
        <v>72.242099999999994</v>
      </c>
      <c r="E786" s="10">
        <f>72.1033 * CHOOSE(CONTROL!$C$9, $D$9, 100%, $F$9) + CHOOSE(CONTROL!$C$27, 0.0021, 0)</f>
        <v>72.105400000000003</v>
      </c>
      <c r="F786" s="10">
        <f>72.1033 * CHOOSE(CONTROL!$C$9, $D$9, 100%, $F$9) + CHOOSE(CONTROL!$C$27, 0.0021, 0)</f>
        <v>72.105400000000003</v>
      </c>
      <c r="G786" s="10">
        <f>72.3747 * CHOOSE(CONTROL!$C$9, $D$9, 100%, $F$9) + CHOOSE(CONTROL!$C$27, 0.0021, 0)</f>
        <v>72.376800000000003</v>
      </c>
      <c r="H786" s="10">
        <f>72.24 * CHOOSE(CONTROL!$C$9, $D$9, 100%, $F$9) + CHOOSE(CONTROL!$C$27, 0.0021, 0)</f>
        <v>72.242099999999994</v>
      </c>
      <c r="I786" s="10">
        <f>72.24 * CHOOSE(CONTROL!$C$9, $D$9, 100%, $F$9) + CHOOSE(CONTROL!$C$27, 0.0021, 0)</f>
        <v>72.242099999999994</v>
      </c>
      <c r="J786" s="10">
        <f>72.24 * CHOOSE(CONTROL!$C$9, $D$9, 100%, $F$9) + CHOOSE(CONTROL!$C$27, 0.0021, 0)</f>
        <v>72.242099999999994</v>
      </c>
      <c r="K786" s="10">
        <f>72.24 * CHOOSE(CONTROL!$C$9, $D$9, 100%, $F$9) + CHOOSE(CONTROL!$C$27, 0.0021, 0)</f>
        <v>72.242099999999994</v>
      </c>
      <c r="L786" s="10"/>
    </row>
    <row r="787" spans="1:12" ht="15.75" x14ac:dyDescent="0.25">
      <c r="A787" s="13">
        <v>65258</v>
      </c>
      <c r="B787" s="10">
        <f>73.095 * CHOOSE(CONTROL!$C$9, $D$9, 100%, $F$9) + CHOOSE(CONTROL!$C$27, 0.0021, 0)</f>
        <v>73.097099999999998</v>
      </c>
      <c r="C787" s="10">
        <f>72.6628 * CHOOSE(CONTROL!$C$9, $D$9, 100%, $F$9) + CHOOSE(CONTROL!$C$27, 0.0021, 0)</f>
        <v>72.664900000000003</v>
      </c>
      <c r="D787" s="10">
        <f>72.6628 * CHOOSE(CONTROL!$C$9, $D$9, 100%, $F$9) + CHOOSE(CONTROL!$C$27, 0.0021, 0)</f>
        <v>72.664900000000003</v>
      </c>
      <c r="E787" s="10">
        <f>72.5261 * CHOOSE(CONTROL!$C$9, $D$9, 100%, $F$9) + CHOOSE(CONTROL!$C$27, 0.0021, 0)</f>
        <v>72.528199999999998</v>
      </c>
      <c r="F787" s="10">
        <f>72.5261 * CHOOSE(CONTROL!$C$9, $D$9, 100%, $F$9) + CHOOSE(CONTROL!$C$27, 0.0021, 0)</f>
        <v>72.528199999999998</v>
      </c>
      <c r="G787" s="10">
        <f>72.7975 * CHOOSE(CONTROL!$C$9, $D$9, 100%, $F$9) + CHOOSE(CONTROL!$C$27, 0.0021, 0)</f>
        <v>72.799599999999998</v>
      </c>
      <c r="H787" s="10">
        <f>72.6628 * CHOOSE(CONTROL!$C$9, $D$9, 100%, $F$9) + CHOOSE(CONTROL!$C$27, 0.0021, 0)</f>
        <v>72.664900000000003</v>
      </c>
      <c r="I787" s="10">
        <f>72.6628 * CHOOSE(CONTROL!$C$9, $D$9, 100%, $F$9) + CHOOSE(CONTROL!$C$27, 0.0021, 0)</f>
        <v>72.664900000000003</v>
      </c>
      <c r="J787" s="10">
        <f>72.6628 * CHOOSE(CONTROL!$C$9, $D$9, 100%, $F$9) + CHOOSE(CONTROL!$C$27, 0.0021, 0)</f>
        <v>72.664900000000003</v>
      </c>
      <c r="K787" s="10">
        <f>72.6628 * CHOOSE(CONTROL!$C$9, $D$9, 100%, $F$9) + CHOOSE(CONTROL!$C$27, 0.0021, 0)</f>
        <v>72.664900000000003</v>
      </c>
      <c r="L787" s="10"/>
    </row>
    <row r="788" spans="1:12" ht="15.75" x14ac:dyDescent="0.25">
      <c r="A788" s="13">
        <v>65288</v>
      </c>
      <c r="B788" s="10">
        <f>74.5348 * CHOOSE(CONTROL!$C$9, $D$9, 100%, $F$9) + CHOOSE(CONTROL!$C$27, 0.0021, 0)</f>
        <v>74.536900000000003</v>
      </c>
      <c r="C788" s="10">
        <f>74.1026 * CHOOSE(CONTROL!$C$9, $D$9, 100%, $F$9) + CHOOSE(CONTROL!$C$27, 0.0021, 0)</f>
        <v>74.104699999999994</v>
      </c>
      <c r="D788" s="10">
        <f>74.1026 * CHOOSE(CONTROL!$C$9, $D$9, 100%, $F$9) + CHOOSE(CONTROL!$C$27, 0.0021, 0)</f>
        <v>74.104699999999994</v>
      </c>
      <c r="E788" s="10">
        <f>73.9659 * CHOOSE(CONTROL!$C$9, $D$9, 100%, $F$9) + CHOOSE(CONTROL!$C$27, 0.0021, 0)</f>
        <v>73.968000000000004</v>
      </c>
      <c r="F788" s="10">
        <f>73.9659 * CHOOSE(CONTROL!$C$9, $D$9, 100%, $F$9) + CHOOSE(CONTROL!$C$27, 0.0021, 0)</f>
        <v>73.968000000000004</v>
      </c>
      <c r="G788" s="10">
        <f>74.2373 * CHOOSE(CONTROL!$C$9, $D$9, 100%, $F$9) + CHOOSE(CONTROL!$C$27, 0.0021, 0)</f>
        <v>74.239400000000003</v>
      </c>
      <c r="H788" s="10">
        <f>74.1026 * CHOOSE(CONTROL!$C$9, $D$9, 100%, $F$9) + CHOOSE(CONTROL!$C$27, 0.0021, 0)</f>
        <v>74.104699999999994</v>
      </c>
      <c r="I788" s="10">
        <f>74.1026 * CHOOSE(CONTROL!$C$9, $D$9, 100%, $F$9) + CHOOSE(CONTROL!$C$27, 0.0021, 0)</f>
        <v>74.104699999999994</v>
      </c>
      <c r="J788" s="10">
        <f>74.1026 * CHOOSE(CONTROL!$C$9, $D$9, 100%, $F$9) + CHOOSE(CONTROL!$C$27, 0.0021, 0)</f>
        <v>74.104699999999994</v>
      </c>
      <c r="K788" s="10">
        <f>74.1026 * CHOOSE(CONTROL!$C$9, $D$9, 100%, $F$9) + CHOOSE(CONTROL!$C$27, 0.0021, 0)</f>
        <v>74.104699999999994</v>
      </c>
      <c r="L788" s="10"/>
    </row>
    <row r="789" spans="1:12" ht="15.75" x14ac:dyDescent="0.25">
      <c r="A789" s="13">
        <v>65319</v>
      </c>
      <c r="B789" s="10">
        <f>76.3573 * CHOOSE(CONTROL!$C$9, $D$9, 100%, $F$9) + CHOOSE(CONTROL!$C$27, 0.0021, 0)</f>
        <v>76.359399999999994</v>
      </c>
      <c r="C789" s="10">
        <f>75.9251 * CHOOSE(CONTROL!$C$9, $D$9, 100%, $F$9) + CHOOSE(CONTROL!$C$27, 0.0021, 0)</f>
        <v>75.927199999999999</v>
      </c>
      <c r="D789" s="10">
        <f>75.9251 * CHOOSE(CONTROL!$C$9, $D$9, 100%, $F$9) + CHOOSE(CONTROL!$C$27, 0.0021, 0)</f>
        <v>75.927199999999999</v>
      </c>
      <c r="E789" s="10">
        <f>75.7884 * CHOOSE(CONTROL!$C$9, $D$9, 100%, $F$9) + CHOOSE(CONTROL!$C$27, 0.0021, 0)</f>
        <v>75.790499999999994</v>
      </c>
      <c r="F789" s="10">
        <f>75.7884 * CHOOSE(CONTROL!$C$9, $D$9, 100%, $F$9) + CHOOSE(CONTROL!$C$27, 0.0021, 0)</f>
        <v>75.790499999999994</v>
      </c>
      <c r="G789" s="10">
        <f>76.0598 * CHOOSE(CONTROL!$C$9, $D$9, 100%, $F$9) + CHOOSE(CONTROL!$C$27, 0.0021, 0)</f>
        <v>76.061899999999994</v>
      </c>
      <c r="H789" s="10">
        <f>75.9251 * CHOOSE(CONTROL!$C$9, $D$9, 100%, $F$9) + CHOOSE(CONTROL!$C$27, 0.0021, 0)</f>
        <v>75.927199999999999</v>
      </c>
      <c r="I789" s="10">
        <f>75.9251 * CHOOSE(CONTROL!$C$9, $D$9, 100%, $F$9) + CHOOSE(CONTROL!$C$27, 0.0021, 0)</f>
        <v>75.927199999999999</v>
      </c>
      <c r="J789" s="10">
        <f>75.9251 * CHOOSE(CONTROL!$C$9, $D$9, 100%, $F$9) + CHOOSE(CONTROL!$C$27, 0.0021, 0)</f>
        <v>75.927199999999999</v>
      </c>
      <c r="K789" s="10">
        <f>75.9251 * CHOOSE(CONTROL!$C$9, $D$9, 100%, $F$9) + CHOOSE(CONTROL!$C$27, 0.0021, 0)</f>
        <v>75.927199999999999</v>
      </c>
      <c r="L789" s="10"/>
    </row>
    <row r="790" spans="1:12" ht="15.75" x14ac:dyDescent="0.25">
      <c r="A790" s="13">
        <v>65349</v>
      </c>
      <c r="B790" s="10">
        <f>76.5284 * CHOOSE(CONTROL!$C$9, $D$9, 100%, $F$9) + CHOOSE(CONTROL!$C$27, 0.0021, 0)</f>
        <v>76.530500000000004</v>
      </c>
      <c r="C790" s="10">
        <f>76.0962 * CHOOSE(CONTROL!$C$9, $D$9, 100%, $F$9) + CHOOSE(CONTROL!$C$27, 0.0021, 0)</f>
        <v>76.098299999999995</v>
      </c>
      <c r="D790" s="10">
        <f>76.0962 * CHOOSE(CONTROL!$C$9, $D$9, 100%, $F$9) + CHOOSE(CONTROL!$C$27, 0.0021, 0)</f>
        <v>76.098299999999995</v>
      </c>
      <c r="E790" s="10">
        <f>75.9595 * CHOOSE(CONTROL!$C$9, $D$9, 100%, $F$9) + CHOOSE(CONTROL!$C$27, 0.0021, 0)</f>
        <v>75.961600000000004</v>
      </c>
      <c r="F790" s="10">
        <f>75.9595 * CHOOSE(CONTROL!$C$9, $D$9, 100%, $F$9) + CHOOSE(CONTROL!$C$27, 0.0021, 0)</f>
        <v>75.961600000000004</v>
      </c>
      <c r="G790" s="10">
        <f>76.2309 * CHOOSE(CONTROL!$C$9, $D$9, 100%, $F$9) + CHOOSE(CONTROL!$C$27, 0.0021, 0)</f>
        <v>76.233000000000004</v>
      </c>
      <c r="H790" s="10">
        <f>76.0962 * CHOOSE(CONTROL!$C$9, $D$9, 100%, $F$9) + CHOOSE(CONTROL!$C$27, 0.0021, 0)</f>
        <v>76.098299999999995</v>
      </c>
      <c r="I790" s="10">
        <f>76.0962 * CHOOSE(CONTROL!$C$9, $D$9, 100%, $F$9) + CHOOSE(CONTROL!$C$27, 0.0021, 0)</f>
        <v>76.098299999999995</v>
      </c>
      <c r="J790" s="10">
        <f>76.0962 * CHOOSE(CONTROL!$C$9, $D$9, 100%, $F$9) + CHOOSE(CONTROL!$C$27, 0.0021, 0)</f>
        <v>76.098299999999995</v>
      </c>
      <c r="K790" s="10">
        <f>76.0962 * CHOOSE(CONTROL!$C$9, $D$9, 100%, $F$9) + CHOOSE(CONTROL!$C$27, 0.0021, 0)</f>
        <v>76.098299999999995</v>
      </c>
      <c r="L790" s="10"/>
    </row>
    <row r="791" spans="1:12" ht="15.75" x14ac:dyDescent="0.25">
      <c r="A791" s="13">
        <v>65380</v>
      </c>
      <c r="B791" s="10">
        <f>75.0728 * CHOOSE(CONTROL!$C$9, $D$9, 100%, $F$9) + CHOOSE(CONTROL!$C$27, 0.0021, 0)</f>
        <v>75.0749</v>
      </c>
      <c r="C791" s="10">
        <f>74.6406 * CHOOSE(CONTROL!$C$9, $D$9, 100%, $F$9) + CHOOSE(CONTROL!$C$27, 0.0021, 0)</f>
        <v>74.642700000000005</v>
      </c>
      <c r="D791" s="10">
        <f>74.6406 * CHOOSE(CONTROL!$C$9, $D$9, 100%, $F$9) + CHOOSE(CONTROL!$C$27, 0.0021, 0)</f>
        <v>74.642700000000005</v>
      </c>
      <c r="E791" s="10">
        <f>74.5039 * CHOOSE(CONTROL!$C$9, $D$9, 100%, $F$9) + CHOOSE(CONTROL!$C$27, 0.0021, 0)</f>
        <v>74.506</v>
      </c>
      <c r="F791" s="10">
        <f>74.5039 * CHOOSE(CONTROL!$C$9, $D$9, 100%, $F$9) + CHOOSE(CONTROL!$C$27, 0.0021, 0)</f>
        <v>74.506</v>
      </c>
      <c r="G791" s="10">
        <f>74.7753 * CHOOSE(CONTROL!$C$9, $D$9, 100%, $F$9) + CHOOSE(CONTROL!$C$27, 0.0021, 0)</f>
        <v>74.7774</v>
      </c>
      <c r="H791" s="10">
        <f>74.6406 * CHOOSE(CONTROL!$C$9, $D$9, 100%, $F$9) + CHOOSE(CONTROL!$C$27, 0.0021, 0)</f>
        <v>74.642700000000005</v>
      </c>
      <c r="I791" s="10">
        <f>74.6406 * CHOOSE(CONTROL!$C$9, $D$9, 100%, $F$9) + CHOOSE(CONTROL!$C$27, 0.0021, 0)</f>
        <v>74.642700000000005</v>
      </c>
      <c r="J791" s="10">
        <f>74.6406 * CHOOSE(CONTROL!$C$9, $D$9, 100%, $F$9) + CHOOSE(CONTROL!$C$27, 0.0021, 0)</f>
        <v>74.642700000000005</v>
      </c>
      <c r="K791" s="10">
        <f>74.6406 * CHOOSE(CONTROL!$C$9, $D$9, 100%, $F$9) + CHOOSE(CONTROL!$C$27, 0.0021, 0)</f>
        <v>74.642700000000005</v>
      </c>
      <c r="L791" s="10"/>
    </row>
    <row r="792" spans="1:12" ht="15.75" x14ac:dyDescent="0.25">
      <c r="A792" s="13">
        <v>65411</v>
      </c>
      <c r="B792" s="10">
        <f>73.9584 * CHOOSE(CONTROL!$C$9, $D$9, 100%, $F$9) + CHOOSE(CONTROL!$C$27, 0.0021, 0)</f>
        <v>73.960499999999996</v>
      </c>
      <c r="C792" s="10">
        <f>73.5261 * CHOOSE(CONTROL!$C$9, $D$9, 100%, $F$9) + CHOOSE(CONTROL!$C$27, 0.0021, 0)</f>
        <v>73.528199999999998</v>
      </c>
      <c r="D792" s="10">
        <f>73.5261 * CHOOSE(CONTROL!$C$9, $D$9, 100%, $F$9) + CHOOSE(CONTROL!$C$27, 0.0021, 0)</f>
        <v>73.528199999999998</v>
      </c>
      <c r="E792" s="10">
        <f>73.3894 * CHOOSE(CONTROL!$C$9, $D$9, 100%, $F$9) + CHOOSE(CONTROL!$C$27, 0.0021, 0)</f>
        <v>73.391499999999994</v>
      </c>
      <c r="F792" s="10">
        <f>73.3894 * CHOOSE(CONTROL!$C$9, $D$9, 100%, $F$9) + CHOOSE(CONTROL!$C$27, 0.0021, 0)</f>
        <v>73.391499999999994</v>
      </c>
      <c r="G792" s="10">
        <f>73.6608 * CHOOSE(CONTROL!$C$9, $D$9, 100%, $F$9) + CHOOSE(CONTROL!$C$27, 0.0021, 0)</f>
        <v>73.662899999999993</v>
      </c>
      <c r="H792" s="10">
        <f>73.5261 * CHOOSE(CONTROL!$C$9, $D$9, 100%, $F$9) + CHOOSE(CONTROL!$C$27, 0.0021, 0)</f>
        <v>73.528199999999998</v>
      </c>
      <c r="I792" s="10">
        <f>73.5261 * CHOOSE(CONTROL!$C$9, $D$9, 100%, $F$9) + CHOOSE(CONTROL!$C$27, 0.0021, 0)</f>
        <v>73.528199999999998</v>
      </c>
      <c r="J792" s="10">
        <f>73.5261 * CHOOSE(CONTROL!$C$9, $D$9, 100%, $F$9) + CHOOSE(CONTROL!$C$27, 0.0021, 0)</f>
        <v>73.528199999999998</v>
      </c>
      <c r="K792" s="10">
        <f>73.5261 * CHOOSE(CONTROL!$C$9, $D$9, 100%, $F$9) + CHOOSE(CONTROL!$C$27, 0.0021, 0)</f>
        <v>73.528199999999998</v>
      </c>
      <c r="L792" s="10"/>
    </row>
    <row r="793" spans="1:12" ht="15.75" x14ac:dyDescent="0.25">
      <c r="A793" s="13">
        <v>65439</v>
      </c>
      <c r="B793" s="10">
        <f>71.9313 * CHOOSE(CONTROL!$C$9, $D$9, 100%, $F$9) + CHOOSE(CONTROL!$C$27, 0.0021, 0)</f>
        <v>71.933399999999992</v>
      </c>
      <c r="C793" s="10">
        <f>71.499 * CHOOSE(CONTROL!$C$9, $D$9, 100%, $F$9) + CHOOSE(CONTROL!$C$27, 0.0021, 0)</f>
        <v>71.501099999999994</v>
      </c>
      <c r="D793" s="10">
        <f>71.499 * CHOOSE(CONTROL!$C$9, $D$9, 100%, $F$9) + CHOOSE(CONTROL!$C$27, 0.0021, 0)</f>
        <v>71.501099999999994</v>
      </c>
      <c r="E793" s="10">
        <f>71.3623 * CHOOSE(CONTROL!$C$9, $D$9, 100%, $F$9) + CHOOSE(CONTROL!$C$27, 0.0021, 0)</f>
        <v>71.364400000000003</v>
      </c>
      <c r="F793" s="10">
        <f>71.3623 * CHOOSE(CONTROL!$C$9, $D$9, 100%, $F$9) + CHOOSE(CONTROL!$C$27, 0.0021, 0)</f>
        <v>71.364400000000003</v>
      </c>
      <c r="G793" s="10">
        <f>71.6337 * CHOOSE(CONTROL!$C$9, $D$9, 100%, $F$9) + CHOOSE(CONTROL!$C$27, 0.0021, 0)</f>
        <v>71.635800000000003</v>
      </c>
      <c r="H793" s="10">
        <f>71.499 * CHOOSE(CONTROL!$C$9, $D$9, 100%, $F$9) + CHOOSE(CONTROL!$C$27, 0.0021, 0)</f>
        <v>71.501099999999994</v>
      </c>
      <c r="I793" s="10">
        <f>71.499 * CHOOSE(CONTROL!$C$9, $D$9, 100%, $F$9) + CHOOSE(CONTROL!$C$27, 0.0021, 0)</f>
        <v>71.501099999999994</v>
      </c>
      <c r="J793" s="10">
        <f>71.499 * CHOOSE(CONTROL!$C$9, $D$9, 100%, $F$9) + CHOOSE(CONTROL!$C$27, 0.0021, 0)</f>
        <v>71.501099999999994</v>
      </c>
      <c r="K793" s="10">
        <f>71.499 * CHOOSE(CONTROL!$C$9, $D$9, 100%, $F$9) + CHOOSE(CONTROL!$C$27, 0.0021, 0)</f>
        <v>71.501099999999994</v>
      </c>
      <c r="L793" s="10"/>
    </row>
    <row r="794" spans="1:12" ht="15.75" x14ac:dyDescent="0.25">
      <c r="A794" s="13">
        <v>65470</v>
      </c>
      <c r="B794" s="10">
        <f>71.0945 * CHOOSE(CONTROL!$C$9, $D$9, 100%, $F$9) + CHOOSE(CONTROL!$C$27, 0.0021, 0)</f>
        <v>71.096599999999995</v>
      </c>
      <c r="C794" s="10">
        <f>70.6622 * CHOOSE(CONTROL!$C$9, $D$9, 100%, $F$9) + CHOOSE(CONTROL!$C$27, 0.0021, 0)</f>
        <v>70.664299999999997</v>
      </c>
      <c r="D794" s="10">
        <f>70.6622 * CHOOSE(CONTROL!$C$9, $D$9, 100%, $F$9) + CHOOSE(CONTROL!$C$27, 0.0021, 0)</f>
        <v>70.664299999999997</v>
      </c>
      <c r="E794" s="10">
        <f>70.5256 * CHOOSE(CONTROL!$C$9, $D$9, 100%, $F$9) + CHOOSE(CONTROL!$C$27, 0.0021, 0)</f>
        <v>70.527699999999996</v>
      </c>
      <c r="F794" s="10">
        <f>70.5256 * CHOOSE(CONTROL!$C$9, $D$9, 100%, $F$9) + CHOOSE(CONTROL!$C$27, 0.0021, 0)</f>
        <v>70.527699999999996</v>
      </c>
      <c r="G794" s="10">
        <f>70.7969 * CHOOSE(CONTROL!$C$9, $D$9, 100%, $F$9) + CHOOSE(CONTROL!$C$27, 0.0021, 0)</f>
        <v>70.798999999999992</v>
      </c>
      <c r="H794" s="10">
        <f>70.6622 * CHOOSE(CONTROL!$C$9, $D$9, 100%, $F$9) + CHOOSE(CONTROL!$C$27, 0.0021, 0)</f>
        <v>70.664299999999997</v>
      </c>
      <c r="I794" s="10">
        <f>70.6622 * CHOOSE(CONTROL!$C$9, $D$9, 100%, $F$9) + CHOOSE(CONTROL!$C$27, 0.0021, 0)</f>
        <v>70.664299999999997</v>
      </c>
      <c r="J794" s="10">
        <f>70.6622 * CHOOSE(CONTROL!$C$9, $D$9, 100%, $F$9) + CHOOSE(CONTROL!$C$27, 0.0021, 0)</f>
        <v>70.664299999999997</v>
      </c>
      <c r="K794" s="10">
        <f>70.6622 * CHOOSE(CONTROL!$C$9, $D$9, 100%, $F$9) + CHOOSE(CONTROL!$C$27, 0.0021, 0)</f>
        <v>70.664299999999997</v>
      </c>
      <c r="L794" s="10"/>
    </row>
    <row r="795" spans="1:12" ht="15.75" x14ac:dyDescent="0.25">
      <c r="A795" s="13">
        <v>65500</v>
      </c>
      <c r="B795" s="10">
        <f>70.0953 * CHOOSE(CONTROL!$C$9, $D$9, 100%, $F$9) + CHOOSE(CONTROL!$C$27, 0.0021, 0)</f>
        <v>70.097399999999993</v>
      </c>
      <c r="C795" s="10">
        <f>69.6631 * CHOOSE(CONTROL!$C$9, $D$9, 100%, $F$9) + CHOOSE(CONTROL!$C$27, 0.0021, 0)</f>
        <v>69.665199999999999</v>
      </c>
      <c r="D795" s="10">
        <f>69.6631 * CHOOSE(CONTROL!$C$9, $D$9, 100%, $F$9) + CHOOSE(CONTROL!$C$27, 0.0021, 0)</f>
        <v>69.665199999999999</v>
      </c>
      <c r="E795" s="10">
        <f>69.5264 * CHOOSE(CONTROL!$C$9, $D$9, 100%, $F$9) + CHOOSE(CONTROL!$C$27, 0.0021, 0)</f>
        <v>69.528499999999994</v>
      </c>
      <c r="F795" s="10">
        <f>69.5264 * CHOOSE(CONTROL!$C$9, $D$9, 100%, $F$9) + CHOOSE(CONTROL!$C$27, 0.0021, 0)</f>
        <v>69.528499999999994</v>
      </c>
      <c r="G795" s="10">
        <f>69.7978 * CHOOSE(CONTROL!$C$9, $D$9, 100%, $F$9) + CHOOSE(CONTROL!$C$27, 0.0021, 0)</f>
        <v>69.799899999999994</v>
      </c>
      <c r="H795" s="10">
        <f>69.6631 * CHOOSE(CONTROL!$C$9, $D$9, 100%, $F$9) + CHOOSE(CONTROL!$C$27, 0.0021, 0)</f>
        <v>69.665199999999999</v>
      </c>
      <c r="I795" s="10">
        <f>69.6631 * CHOOSE(CONTROL!$C$9, $D$9, 100%, $F$9) + CHOOSE(CONTROL!$C$27, 0.0021, 0)</f>
        <v>69.665199999999999</v>
      </c>
      <c r="J795" s="10">
        <f>69.6631 * CHOOSE(CONTROL!$C$9, $D$9, 100%, $F$9) + CHOOSE(CONTROL!$C$27, 0.0021, 0)</f>
        <v>69.665199999999999</v>
      </c>
      <c r="K795" s="10">
        <f>69.6631 * CHOOSE(CONTROL!$C$9, $D$9, 100%, $F$9) + CHOOSE(CONTROL!$C$27, 0.0021, 0)</f>
        <v>69.665199999999999</v>
      </c>
      <c r="L795" s="10"/>
    </row>
    <row r="796" spans="1:12" ht="15.75" x14ac:dyDescent="0.25">
      <c r="A796" s="13">
        <v>65531</v>
      </c>
      <c r="B796" s="10">
        <f>71.5192 * CHOOSE(CONTROL!$C$9, $D$9, 100%, $F$9) + CHOOSE(CONTROL!$C$27, 0.0021, 0)</f>
        <v>71.521299999999997</v>
      </c>
      <c r="C796" s="10">
        <f>71.087 * CHOOSE(CONTROL!$C$9, $D$9, 100%, $F$9) + CHOOSE(CONTROL!$C$27, 0.0021, 0)</f>
        <v>71.089100000000002</v>
      </c>
      <c r="D796" s="10">
        <f>71.087 * CHOOSE(CONTROL!$C$9, $D$9, 100%, $F$9) + CHOOSE(CONTROL!$C$27, 0.0021, 0)</f>
        <v>71.089100000000002</v>
      </c>
      <c r="E796" s="10">
        <f>70.9503 * CHOOSE(CONTROL!$C$9, $D$9, 100%, $F$9) + CHOOSE(CONTROL!$C$27, 0.0021, 0)</f>
        <v>70.952399999999997</v>
      </c>
      <c r="F796" s="10">
        <f>70.9503 * CHOOSE(CONTROL!$C$9, $D$9, 100%, $F$9) + CHOOSE(CONTROL!$C$27, 0.0021, 0)</f>
        <v>70.952399999999997</v>
      </c>
      <c r="G796" s="10">
        <f>71.2217 * CHOOSE(CONTROL!$C$9, $D$9, 100%, $F$9) + CHOOSE(CONTROL!$C$27, 0.0021, 0)</f>
        <v>71.223799999999997</v>
      </c>
      <c r="H796" s="10">
        <f>71.087 * CHOOSE(CONTROL!$C$9, $D$9, 100%, $F$9) + CHOOSE(CONTROL!$C$27, 0.0021, 0)</f>
        <v>71.089100000000002</v>
      </c>
      <c r="I796" s="10">
        <f>71.087 * CHOOSE(CONTROL!$C$9, $D$9, 100%, $F$9) + CHOOSE(CONTROL!$C$27, 0.0021, 0)</f>
        <v>71.089100000000002</v>
      </c>
      <c r="J796" s="10">
        <f>71.087 * CHOOSE(CONTROL!$C$9, $D$9, 100%, $F$9) + CHOOSE(CONTROL!$C$27, 0.0021, 0)</f>
        <v>71.089100000000002</v>
      </c>
      <c r="K796" s="10">
        <f>71.087 * CHOOSE(CONTROL!$C$9, $D$9, 100%, $F$9) + CHOOSE(CONTROL!$C$27, 0.0021, 0)</f>
        <v>71.089100000000002</v>
      </c>
      <c r="L796" s="10"/>
    </row>
    <row r="797" spans="1:12" ht="15.75" x14ac:dyDescent="0.25">
      <c r="A797" s="13">
        <v>65561</v>
      </c>
      <c r="B797" s="10">
        <f>72.3721 * CHOOSE(CONTROL!$C$9, $D$9, 100%, $F$9) + CHOOSE(CONTROL!$C$27, 0.0021, 0)</f>
        <v>72.374200000000002</v>
      </c>
      <c r="C797" s="10">
        <f>71.9398 * CHOOSE(CONTROL!$C$9, $D$9, 100%, $F$9) + CHOOSE(CONTROL!$C$27, 0.0021, 0)</f>
        <v>71.941900000000004</v>
      </c>
      <c r="D797" s="10">
        <f>71.9398 * CHOOSE(CONTROL!$C$9, $D$9, 100%, $F$9) + CHOOSE(CONTROL!$C$27, 0.0021, 0)</f>
        <v>71.941900000000004</v>
      </c>
      <c r="E797" s="10">
        <f>71.8032 * CHOOSE(CONTROL!$C$9, $D$9, 100%, $F$9) + CHOOSE(CONTROL!$C$27, 0.0021, 0)</f>
        <v>71.805300000000003</v>
      </c>
      <c r="F797" s="10">
        <f>71.8032 * CHOOSE(CONTROL!$C$9, $D$9, 100%, $F$9) + CHOOSE(CONTROL!$C$27, 0.0021, 0)</f>
        <v>71.805300000000003</v>
      </c>
      <c r="G797" s="10">
        <f>72.0745 * CHOOSE(CONTROL!$C$9, $D$9, 100%, $F$9) + CHOOSE(CONTROL!$C$27, 0.0021, 0)</f>
        <v>72.076599999999999</v>
      </c>
      <c r="H797" s="10">
        <f>71.9398 * CHOOSE(CONTROL!$C$9, $D$9, 100%, $F$9) + CHOOSE(CONTROL!$C$27, 0.0021, 0)</f>
        <v>71.941900000000004</v>
      </c>
      <c r="I797" s="10">
        <f>71.9398 * CHOOSE(CONTROL!$C$9, $D$9, 100%, $F$9) + CHOOSE(CONTROL!$C$27, 0.0021, 0)</f>
        <v>71.941900000000004</v>
      </c>
      <c r="J797" s="10">
        <f>71.9398 * CHOOSE(CONTROL!$C$9, $D$9, 100%, $F$9) + CHOOSE(CONTROL!$C$27, 0.0021, 0)</f>
        <v>71.941900000000004</v>
      </c>
      <c r="K797" s="10">
        <f>71.9398 * CHOOSE(CONTROL!$C$9, $D$9, 100%, $F$9) + CHOOSE(CONTROL!$C$27, 0.0021, 0)</f>
        <v>71.941900000000004</v>
      </c>
      <c r="L797" s="10"/>
    </row>
    <row r="798" spans="1:12" ht="15.75" x14ac:dyDescent="0.25">
      <c r="A798" s="13">
        <v>65592</v>
      </c>
      <c r="B798" s="10">
        <f>73.779 * CHOOSE(CONTROL!$C$9, $D$9, 100%, $F$9) + CHOOSE(CONTROL!$C$27, 0.0021, 0)</f>
        <v>73.781099999999995</v>
      </c>
      <c r="C798" s="10">
        <f>73.3467 * CHOOSE(CONTROL!$C$9, $D$9, 100%, $F$9) + CHOOSE(CONTROL!$C$27, 0.0021, 0)</f>
        <v>73.348799999999997</v>
      </c>
      <c r="D798" s="10">
        <f>73.3467 * CHOOSE(CONTROL!$C$9, $D$9, 100%, $F$9) + CHOOSE(CONTROL!$C$27, 0.0021, 0)</f>
        <v>73.348799999999997</v>
      </c>
      <c r="E798" s="10">
        <f>73.2101 * CHOOSE(CONTROL!$C$9, $D$9, 100%, $F$9) + CHOOSE(CONTROL!$C$27, 0.0021, 0)</f>
        <v>73.212199999999996</v>
      </c>
      <c r="F798" s="10">
        <f>73.2101 * CHOOSE(CONTROL!$C$9, $D$9, 100%, $F$9) + CHOOSE(CONTROL!$C$27, 0.0021, 0)</f>
        <v>73.212199999999996</v>
      </c>
      <c r="G798" s="10">
        <f>73.4814 * CHOOSE(CONTROL!$C$9, $D$9, 100%, $F$9) + CHOOSE(CONTROL!$C$27, 0.0021, 0)</f>
        <v>73.483499999999992</v>
      </c>
      <c r="H798" s="10">
        <f>73.3467 * CHOOSE(CONTROL!$C$9, $D$9, 100%, $F$9) + CHOOSE(CONTROL!$C$27, 0.0021, 0)</f>
        <v>73.348799999999997</v>
      </c>
      <c r="I798" s="10">
        <f>73.3467 * CHOOSE(CONTROL!$C$9, $D$9, 100%, $F$9) + CHOOSE(CONTROL!$C$27, 0.0021, 0)</f>
        <v>73.348799999999997</v>
      </c>
      <c r="J798" s="10">
        <f>73.3467 * CHOOSE(CONTROL!$C$9, $D$9, 100%, $F$9) + CHOOSE(CONTROL!$C$27, 0.0021, 0)</f>
        <v>73.348799999999997</v>
      </c>
      <c r="K798" s="10">
        <f>73.3467 * CHOOSE(CONTROL!$C$9, $D$9, 100%, $F$9) + CHOOSE(CONTROL!$C$27, 0.0021, 0)</f>
        <v>73.348799999999997</v>
      </c>
      <c r="L798" s="10"/>
    </row>
    <row r="799" spans="1:12" ht="15.75" x14ac:dyDescent="0.25">
      <c r="A799" s="13">
        <v>65623</v>
      </c>
      <c r="B799" s="10">
        <f>74.2084 * CHOOSE(CONTROL!$C$9, $D$9, 100%, $F$9) + CHOOSE(CONTROL!$C$27, 0.0021, 0)</f>
        <v>74.210499999999996</v>
      </c>
      <c r="C799" s="10">
        <f>73.7762 * CHOOSE(CONTROL!$C$9, $D$9, 100%, $F$9) + CHOOSE(CONTROL!$C$27, 0.0021, 0)</f>
        <v>73.778300000000002</v>
      </c>
      <c r="D799" s="10">
        <f>73.7762 * CHOOSE(CONTROL!$C$9, $D$9, 100%, $F$9) + CHOOSE(CONTROL!$C$27, 0.0021, 0)</f>
        <v>73.778300000000002</v>
      </c>
      <c r="E799" s="10">
        <f>73.6395 * CHOOSE(CONTROL!$C$9, $D$9, 100%, $F$9) + CHOOSE(CONTROL!$C$27, 0.0021, 0)</f>
        <v>73.641599999999997</v>
      </c>
      <c r="F799" s="10">
        <f>73.6395 * CHOOSE(CONTROL!$C$9, $D$9, 100%, $F$9) + CHOOSE(CONTROL!$C$27, 0.0021, 0)</f>
        <v>73.641599999999997</v>
      </c>
      <c r="G799" s="10">
        <f>73.9109 * CHOOSE(CONTROL!$C$9, $D$9, 100%, $F$9) + CHOOSE(CONTROL!$C$27, 0.0021, 0)</f>
        <v>73.912999999999997</v>
      </c>
      <c r="H799" s="10">
        <f>73.7762 * CHOOSE(CONTROL!$C$9, $D$9, 100%, $F$9) + CHOOSE(CONTROL!$C$27, 0.0021, 0)</f>
        <v>73.778300000000002</v>
      </c>
      <c r="I799" s="10">
        <f>73.7762 * CHOOSE(CONTROL!$C$9, $D$9, 100%, $F$9) + CHOOSE(CONTROL!$C$27, 0.0021, 0)</f>
        <v>73.778300000000002</v>
      </c>
      <c r="J799" s="10">
        <f>73.7762 * CHOOSE(CONTROL!$C$9, $D$9, 100%, $F$9) + CHOOSE(CONTROL!$C$27, 0.0021, 0)</f>
        <v>73.778300000000002</v>
      </c>
      <c r="K799" s="10">
        <f>73.7762 * CHOOSE(CONTROL!$C$9, $D$9, 100%, $F$9) + CHOOSE(CONTROL!$C$27, 0.0021, 0)</f>
        <v>73.778300000000002</v>
      </c>
      <c r="L799" s="10"/>
    </row>
    <row r="800" spans="1:12" ht="15.75" x14ac:dyDescent="0.25">
      <c r="A800" s="13">
        <v>65653</v>
      </c>
      <c r="B800" s="10">
        <f>75.6708 * CHOOSE(CONTROL!$C$9, $D$9, 100%, $F$9) + CHOOSE(CONTROL!$C$27, 0.0021, 0)</f>
        <v>75.672899999999998</v>
      </c>
      <c r="C800" s="10">
        <f>75.2386 * CHOOSE(CONTROL!$C$9, $D$9, 100%, $F$9) + CHOOSE(CONTROL!$C$27, 0.0021, 0)</f>
        <v>75.240700000000004</v>
      </c>
      <c r="D800" s="10">
        <f>75.2386 * CHOOSE(CONTROL!$C$9, $D$9, 100%, $F$9) + CHOOSE(CONTROL!$C$27, 0.0021, 0)</f>
        <v>75.240700000000004</v>
      </c>
      <c r="E800" s="10">
        <f>75.1019 * CHOOSE(CONTROL!$C$9, $D$9, 100%, $F$9) + CHOOSE(CONTROL!$C$27, 0.0021, 0)</f>
        <v>75.103999999999999</v>
      </c>
      <c r="F800" s="10">
        <f>75.1019 * CHOOSE(CONTROL!$C$9, $D$9, 100%, $F$9) + CHOOSE(CONTROL!$C$27, 0.0021, 0)</f>
        <v>75.103999999999999</v>
      </c>
      <c r="G800" s="10">
        <f>75.3733 * CHOOSE(CONTROL!$C$9, $D$9, 100%, $F$9) + CHOOSE(CONTROL!$C$27, 0.0021, 0)</f>
        <v>75.375399999999999</v>
      </c>
      <c r="H800" s="10">
        <f>75.2386 * CHOOSE(CONTROL!$C$9, $D$9, 100%, $F$9) + CHOOSE(CONTROL!$C$27, 0.0021, 0)</f>
        <v>75.240700000000004</v>
      </c>
      <c r="I800" s="10">
        <f>75.2386 * CHOOSE(CONTROL!$C$9, $D$9, 100%, $F$9) + CHOOSE(CONTROL!$C$27, 0.0021, 0)</f>
        <v>75.240700000000004</v>
      </c>
      <c r="J800" s="10">
        <f>75.2386 * CHOOSE(CONTROL!$C$9, $D$9, 100%, $F$9) + CHOOSE(CONTROL!$C$27, 0.0021, 0)</f>
        <v>75.240700000000004</v>
      </c>
      <c r="K800" s="10">
        <f>75.2386 * CHOOSE(CONTROL!$C$9, $D$9, 100%, $F$9) + CHOOSE(CONTROL!$C$27, 0.0021, 0)</f>
        <v>75.240700000000004</v>
      </c>
      <c r="L800" s="10"/>
    </row>
    <row r="801" spans="1:12" ht="15.75" x14ac:dyDescent="0.25">
      <c r="A801" s="13">
        <v>65684</v>
      </c>
      <c r="B801" s="10">
        <f>77.522 * CHOOSE(CONTROL!$C$9, $D$9, 100%, $F$9) + CHOOSE(CONTROL!$C$27, 0.0021, 0)</f>
        <v>77.524100000000004</v>
      </c>
      <c r="C801" s="10">
        <f>77.0897 * CHOOSE(CONTROL!$C$9, $D$9, 100%, $F$9) + CHOOSE(CONTROL!$C$27, 0.0021, 0)</f>
        <v>77.091799999999992</v>
      </c>
      <c r="D801" s="10">
        <f>77.0897 * CHOOSE(CONTROL!$C$9, $D$9, 100%, $F$9) + CHOOSE(CONTROL!$C$27, 0.0021, 0)</f>
        <v>77.091799999999992</v>
      </c>
      <c r="E801" s="10">
        <f>76.9531 * CHOOSE(CONTROL!$C$9, $D$9, 100%, $F$9) + CHOOSE(CONTROL!$C$27, 0.0021, 0)</f>
        <v>76.955200000000005</v>
      </c>
      <c r="F801" s="10">
        <f>76.9531 * CHOOSE(CONTROL!$C$9, $D$9, 100%, $F$9) + CHOOSE(CONTROL!$C$27, 0.0021, 0)</f>
        <v>76.955200000000005</v>
      </c>
      <c r="G801" s="10">
        <f>77.2244 * CHOOSE(CONTROL!$C$9, $D$9, 100%, $F$9) + CHOOSE(CONTROL!$C$27, 0.0021, 0)</f>
        <v>77.226500000000001</v>
      </c>
      <c r="H801" s="10">
        <f>77.0897 * CHOOSE(CONTROL!$C$9, $D$9, 100%, $F$9) + CHOOSE(CONTROL!$C$27, 0.0021, 0)</f>
        <v>77.091799999999992</v>
      </c>
      <c r="I801" s="10">
        <f>77.0897 * CHOOSE(CONTROL!$C$9, $D$9, 100%, $F$9) + CHOOSE(CONTROL!$C$27, 0.0021, 0)</f>
        <v>77.091799999999992</v>
      </c>
      <c r="J801" s="10">
        <f>77.0897 * CHOOSE(CONTROL!$C$9, $D$9, 100%, $F$9) + CHOOSE(CONTROL!$C$27, 0.0021, 0)</f>
        <v>77.091799999999992</v>
      </c>
      <c r="K801" s="10">
        <f>77.0897 * CHOOSE(CONTROL!$C$9, $D$9, 100%, $F$9) + CHOOSE(CONTROL!$C$27, 0.0021, 0)</f>
        <v>77.091799999999992</v>
      </c>
      <c r="L801" s="10"/>
    </row>
    <row r="802" spans="1:12" ht="15.75" x14ac:dyDescent="0.25">
      <c r="A802" s="13">
        <v>65714</v>
      </c>
      <c r="B802" s="10">
        <f>77.6958 * CHOOSE(CONTROL!$C$9, $D$9, 100%, $F$9) + CHOOSE(CONTROL!$C$27, 0.0021, 0)</f>
        <v>77.697900000000004</v>
      </c>
      <c r="C802" s="10">
        <f>77.2635 * CHOOSE(CONTROL!$C$9, $D$9, 100%, $F$9) + CHOOSE(CONTROL!$C$27, 0.0021, 0)</f>
        <v>77.265599999999992</v>
      </c>
      <c r="D802" s="10">
        <f>77.2635 * CHOOSE(CONTROL!$C$9, $D$9, 100%, $F$9) + CHOOSE(CONTROL!$C$27, 0.0021, 0)</f>
        <v>77.265599999999992</v>
      </c>
      <c r="E802" s="10">
        <f>77.1269 * CHOOSE(CONTROL!$C$9, $D$9, 100%, $F$9) + CHOOSE(CONTROL!$C$27, 0.0021, 0)</f>
        <v>77.129000000000005</v>
      </c>
      <c r="F802" s="10">
        <f>77.1269 * CHOOSE(CONTROL!$C$9, $D$9, 100%, $F$9) + CHOOSE(CONTROL!$C$27, 0.0021, 0)</f>
        <v>77.129000000000005</v>
      </c>
      <c r="G802" s="10">
        <f>77.3982 * CHOOSE(CONTROL!$C$9, $D$9, 100%, $F$9) + CHOOSE(CONTROL!$C$27, 0.0021, 0)</f>
        <v>77.400300000000001</v>
      </c>
      <c r="H802" s="10">
        <f>77.2635 * CHOOSE(CONTROL!$C$9, $D$9, 100%, $F$9) + CHOOSE(CONTROL!$C$27, 0.0021, 0)</f>
        <v>77.265599999999992</v>
      </c>
      <c r="I802" s="10">
        <f>77.2635 * CHOOSE(CONTROL!$C$9, $D$9, 100%, $F$9) + CHOOSE(CONTROL!$C$27, 0.0021, 0)</f>
        <v>77.265599999999992</v>
      </c>
      <c r="J802" s="10">
        <f>77.2635 * CHOOSE(CONTROL!$C$9, $D$9, 100%, $F$9) + CHOOSE(CONTROL!$C$27, 0.0021, 0)</f>
        <v>77.265599999999992</v>
      </c>
      <c r="K802" s="10">
        <f>77.2635 * CHOOSE(CONTROL!$C$9, $D$9, 100%, $F$9) + CHOOSE(CONTROL!$C$27, 0.0021, 0)</f>
        <v>77.265599999999992</v>
      </c>
      <c r="L802" s="10"/>
    </row>
    <row r="803" spans="1:12" ht="15.75" x14ac:dyDescent="0.25">
      <c r="A803" s="13">
        <v>65745</v>
      </c>
      <c r="B803" s="10">
        <f>76.2173 * CHOOSE(CONTROL!$C$9, $D$9, 100%, $F$9) + CHOOSE(CONTROL!$C$27, 0.0021, 0)</f>
        <v>76.219399999999993</v>
      </c>
      <c r="C803" s="10">
        <f>75.785 * CHOOSE(CONTROL!$C$9, $D$9, 100%, $F$9) + CHOOSE(CONTROL!$C$27, 0.0021, 0)</f>
        <v>75.787099999999995</v>
      </c>
      <c r="D803" s="10">
        <f>75.785 * CHOOSE(CONTROL!$C$9, $D$9, 100%, $F$9) + CHOOSE(CONTROL!$C$27, 0.0021, 0)</f>
        <v>75.787099999999995</v>
      </c>
      <c r="E803" s="10">
        <f>75.6484 * CHOOSE(CONTROL!$C$9, $D$9, 100%, $F$9) + CHOOSE(CONTROL!$C$27, 0.0021, 0)</f>
        <v>75.650499999999994</v>
      </c>
      <c r="F803" s="10">
        <f>75.6484 * CHOOSE(CONTROL!$C$9, $D$9, 100%, $F$9) + CHOOSE(CONTROL!$C$27, 0.0021, 0)</f>
        <v>75.650499999999994</v>
      </c>
      <c r="G803" s="10">
        <f>75.9197 * CHOOSE(CONTROL!$C$9, $D$9, 100%, $F$9) + CHOOSE(CONTROL!$C$27, 0.0021, 0)</f>
        <v>75.921800000000005</v>
      </c>
      <c r="H803" s="10">
        <f>75.785 * CHOOSE(CONTROL!$C$9, $D$9, 100%, $F$9) + CHOOSE(CONTROL!$C$27, 0.0021, 0)</f>
        <v>75.787099999999995</v>
      </c>
      <c r="I803" s="10">
        <f>75.785 * CHOOSE(CONTROL!$C$9, $D$9, 100%, $F$9) + CHOOSE(CONTROL!$C$27, 0.0021, 0)</f>
        <v>75.787099999999995</v>
      </c>
      <c r="J803" s="10">
        <f>75.785 * CHOOSE(CONTROL!$C$9, $D$9, 100%, $F$9) + CHOOSE(CONTROL!$C$27, 0.0021, 0)</f>
        <v>75.787099999999995</v>
      </c>
      <c r="K803" s="10">
        <f>75.785 * CHOOSE(CONTROL!$C$9, $D$9, 100%, $F$9) + CHOOSE(CONTROL!$C$27, 0.0021, 0)</f>
        <v>75.787099999999995</v>
      </c>
      <c r="L803" s="10"/>
    </row>
    <row r="804" spans="1:12" ht="15.75" x14ac:dyDescent="0.25">
      <c r="A804" s="13">
        <v>65776</v>
      </c>
      <c r="B804" s="10">
        <f>75.0853 * CHOOSE(CONTROL!$C$9, $D$9, 100%, $F$9) + CHOOSE(CONTROL!$C$27, 0.0021, 0)</f>
        <v>75.087400000000002</v>
      </c>
      <c r="C804" s="10">
        <f>74.6531 * CHOOSE(CONTROL!$C$9, $D$9, 100%, $F$9) + CHOOSE(CONTROL!$C$27, 0.0021, 0)</f>
        <v>74.655199999999994</v>
      </c>
      <c r="D804" s="10">
        <f>74.6531 * CHOOSE(CONTROL!$C$9, $D$9, 100%, $F$9) + CHOOSE(CONTROL!$C$27, 0.0021, 0)</f>
        <v>74.655199999999994</v>
      </c>
      <c r="E804" s="10">
        <f>74.5164 * CHOOSE(CONTROL!$C$9, $D$9, 100%, $F$9) + CHOOSE(CONTROL!$C$27, 0.0021, 0)</f>
        <v>74.518500000000003</v>
      </c>
      <c r="F804" s="10">
        <f>74.5164 * CHOOSE(CONTROL!$C$9, $D$9, 100%, $F$9) + CHOOSE(CONTROL!$C$27, 0.0021, 0)</f>
        <v>74.518500000000003</v>
      </c>
      <c r="G804" s="10">
        <f>74.7878 * CHOOSE(CONTROL!$C$9, $D$9, 100%, $F$9) + CHOOSE(CONTROL!$C$27, 0.0021, 0)</f>
        <v>74.789900000000003</v>
      </c>
      <c r="H804" s="10">
        <f>74.6531 * CHOOSE(CONTROL!$C$9, $D$9, 100%, $F$9) + CHOOSE(CONTROL!$C$27, 0.0021, 0)</f>
        <v>74.655199999999994</v>
      </c>
      <c r="I804" s="10">
        <f>74.6531 * CHOOSE(CONTROL!$C$9, $D$9, 100%, $F$9) + CHOOSE(CONTROL!$C$27, 0.0021, 0)</f>
        <v>74.655199999999994</v>
      </c>
      <c r="J804" s="10">
        <f>74.6531 * CHOOSE(CONTROL!$C$9, $D$9, 100%, $F$9) + CHOOSE(CONTROL!$C$27, 0.0021, 0)</f>
        <v>74.655199999999994</v>
      </c>
      <c r="K804" s="10">
        <f>74.6531 * CHOOSE(CONTROL!$C$9, $D$9, 100%, $F$9) + CHOOSE(CONTROL!$C$27, 0.0021, 0)</f>
        <v>74.655199999999994</v>
      </c>
      <c r="L804" s="10"/>
    </row>
    <row r="805" spans="1:12" ht="15.75" x14ac:dyDescent="0.25">
      <c r="A805" s="13">
        <v>65805</v>
      </c>
      <c r="B805" s="10">
        <f>73.0263 * CHOOSE(CONTROL!$C$9, $D$9, 100%, $F$9) + CHOOSE(CONTROL!$C$27, 0.0021, 0)</f>
        <v>73.028400000000005</v>
      </c>
      <c r="C805" s="10">
        <f>72.5941 * CHOOSE(CONTROL!$C$9, $D$9, 100%, $F$9) + CHOOSE(CONTROL!$C$27, 0.0021, 0)</f>
        <v>72.596199999999996</v>
      </c>
      <c r="D805" s="10">
        <f>72.5941 * CHOOSE(CONTROL!$C$9, $D$9, 100%, $F$9) + CHOOSE(CONTROL!$C$27, 0.0021, 0)</f>
        <v>72.596199999999996</v>
      </c>
      <c r="E805" s="10">
        <f>72.4574 * CHOOSE(CONTROL!$C$9, $D$9, 100%, $F$9) + CHOOSE(CONTROL!$C$27, 0.0021, 0)</f>
        <v>72.459500000000006</v>
      </c>
      <c r="F805" s="10">
        <f>72.4574 * CHOOSE(CONTROL!$C$9, $D$9, 100%, $F$9) + CHOOSE(CONTROL!$C$27, 0.0021, 0)</f>
        <v>72.459500000000006</v>
      </c>
      <c r="G805" s="10">
        <f>72.7288 * CHOOSE(CONTROL!$C$9, $D$9, 100%, $F$9) + CHOOSE(CONTROL!$C$27, 0.0021, 0)</f>
        <v>72.730900000000005</v>
      </c>
      <c r="H805" s="10">
        <f>72.5941 * CHOOSE(CONTROL!$C$9, $D$9, 100%, $F$9) + CHOOSE(CONTROL!$C$27, 0.0021, 0)</f>
        <v>72.596199999999996</v>
      </c>
      <c r="I805" s="10">
        <f>72.5941 * CHOOSE(CONTROL!$C$9, $D$9, 100%, $F$9) + CHOOSE(CONTROL!$C$27, 0.0021, 0)</f>
        <v>72.596199999999996</v>
      </c>
      <c r="J805" s="10">
        <f>72.5941 * CHOOSE(CONTROL!$C$9, $D$9, 100%, $F$9) + CHOOSE(CONTROL!$C$27, 0.0021, 0)</f>
        <v>72.596199999999996</v>
      </c>
      <c r="K805" s="10">
        <f>72.5941 * CHOOSE(CONTROL!$C$9, $D$9, 100%, $F$9) + CHOOSE(CONTROL!$C$27, 0.0021, 0)</f>
        <v>72.596199999999996</v>
      </c>
      <c r="L805" s="10"/>
    </row>
    <row r="806" spans="1:12" ht="15.75" x14ac:dyDescent="0.25">
      <c r="A806" s="13">
        <v>65836</v>
      </c>
      <c r="B806" s="10">
        <f>72.1764 * CHOOSE(CONTROL!$C$9, $D$9, 100%, $F$9) + CHOOSE(CONTROL!$C$27, 0.0021, 0)</f>
        <v>72.1785</v>
      </c>
      <c r="C806" s="10">
        <f>71.7441 * CHOOSE(CONTROL!$C$9, $D$9, 100%, $F$9) + CHOOSE(CONTROL!$C$27, 0.0021, 0)</f>
        <v>71.746200000000002</v>
      </c>
      <c r="D806" s="10">
        <f>71.7441 * CHOOSE(CONTROL!$C$9, $D$9, 100%, $F$9) + CHOOSE(CONTROL!$C$27, 0.0021, 0)</f>
        <v>71.746200000000002</v>
      </c>
      <c r="E806" s="10">
        <f>71.6075 * CHOOSE(CONTROL!$C$9, $D$9, 100%, $F$9) + CHOOSE(CONTROL!$C$27, 0.0021, 0)</f>
        <v>71.6096</v>
      </c>
      <c r="F806" s="10">
        <f>71.6075 * CHOOSE(CONTROL!$C$9, $D$9, 100%, $F$9) + CHOOSE(CONTROL!$C$27, 0.0021, 0)</f>
        <v>71.6096</v>
      </c>
      <c r="G806" s="10">
        <f>71.8788 * CHOOSE(CONTROL!$C$9, $D$9, 100%, $F$9) + CHOOSE(CONTROL!$C$27, 0.0021, 0)</f>
        <v>71.880899999999997</v>
      </c>
      <c r="H806" s="10">
        <f>71.7441 * CHOOSE(CONTROL!$C$9, $D$9, 100%, $F$9) + CHOOSE(CONTROL!$C$27, 0.0021, 0)</f>
        <v>71.746200000000002</v>
      </c>
      <c r="I806" s="10">
        <f>71.7441 * CHOOSE(CONTROL!$C$9, $D$9, 100%, $F$9) + CHOOSE(CONTROL!$C$27, 0.0021, 0)</f>
        <v>71.746200000000002</v>
      </c>
      <c r="J806" s="10">
        <f>71.7441 * CHOOSE(CONTROL!$C$9, $D$9, 100%, $F$9) + CHOOSE(CONTROL!$C$27, 0.0021, 0)</f>
        <v>71.746200000000002</v>
      </c>
      <c r="K806" s="10">
        <f>71.7441 * CHOOSE(CONTROL!$C$9, $D$9, 100%, $F$9) + CHOOSE(CONTROL!$C$27, 0.0021, 0)</f>
        <v>71.746200000000002</v>
      </c>
      <c r="L806" s="10"/>
    </row>
    <row r="807" spans="1:12" ht="15.75" x14ac:dyDescent="0.25">
      <c r="A807" s="13">
        <v>65866</v>
      </c>
      <c r="B807" s="10">
        <f>71.1615 * CHOOSE(CONTROL!$C$9, $D$9, 100%, $F$9) + CHOOSE(CONTROL!$C$27, 0.0021, 0)</f>
        <v>71.163600000000002</v>
      </c>
      <c r="C807" s="10">
        <f>70.7293 * CHOOSE(CONTROL!$C$9, $D$9, 100%, $F$9) + CHOOSE(CONTROL!$C$27, 0.0021, 0)</f>
        <v>70.731399999999994</v>
      </c>
      <c r="D807" s="10">
        <f>70.7293 * CHOOSE(CONTROL!$C$9, $D$9, 100%, $F$9) + CHOOSE(CONTROL!$C$27, 0.0021, 0)</f>
        <v>70.731399999999994</v>
      </c>
      <c r="E807" s="10">
        <f>70.5926 * CHOOSE(CONTROL!$C$9, $D$9, 100%, $F$9) + CHOOSE(CONTROL!$C$27, 0.0021, 0)</f>
        <v>70.594700000000003</v>
      </c>
      <c r="F807" s="10">
        <f>70.5926 * CHOOSE(CONTROL!$C$9, $D$9, 100%, $F$9) + CHOOSE(CONTROL!$C$27, 0.0021, 0)</f>
        <v>70.594700000000003</v>
      </c>
      <c r="G807" s="10">
        <f>70.864 * CHOOSE(CONTROL!$C$9, $D$9, 100%, $F$9) + CHOOSE(CONTROL!$C$27, 0.0021, 0)</f>
        <v>70.866100000000003</v>
      </c>
      <c r="H807" s="10">
        <f>70.7293 * CHOOSE(CONTROL!$C$9, $D$9, 100%, $F$9) + CHOOSE(CONTROL!$C$27, 0.0021, 0)</f>
        <v>70.731399999999994</v>
      </c>
      <c r="I807" s="10">
        <f>70.7293 * CHOOSE(CONTROL!$C$9, $D$9, 100%, $F$9) + CHOOSE(CONTROL!$C$27, 0.0021, 0)</f>
        <v>70.731399999999994</v>
      </c>
      <c r="J807" s="10">
        <f>70.7293 * CHOOSE(CONTROL!$C$9, $D$9, 100%, $F$9) + CHOOSE(CONTROL!$C$27, 0.0021, 0)</f>
        <v>70.731399999999994</v>
      </c>
      <c r="K807" s="10">
        <f>70.7293 * CHOOSE(CONTROL!$C$9, $D$9, 100%, $F$9) + CHOOSE(CONTROL!$C$27, 0.0021, 0)</f>
        <v>70.731399999999994</v>
      </c>
      <c r="L807" s="10"/>
    </row>
    <row r="808" spans="1:12" ht="15.75" x14ac:dyDescent="0.25">
      <c r="A808" s="13">
        <v>65897</v>
      </c>
      <c r="B808" s="10">
        <f>72.6078 * CHOOSE(CONTROL!$C$9, $D$9, 100%, $F$9) + CHOOSE(CONTROL!$C$27, 0.0021, 0)</f>
        <v>72.609899999999996</v>
      </c>
      <c r="C808" s="10">
        <f>72.1756 * CHOOSE(CONTROL!$C$9, $D$9, 100%, $F$9) + CHOOSE(CONTROL!$C$27, 0.0021, 0)</f>
        <v>72.177700000000002</v>
      </c>
      <c r="D808" s="10">
        <f>72.1756 * CHOOSE(CONTROL!$C$9, $D$9, 100%, $F$9) + CHOOSE(CONTROL!$C$27, 0.0021, 0)</f>
        <v>72.177700000000002</v>
      </c>
      <c r="E808" s="10">
        <f>72.0389 * CHOOSE(CONTROL!$C$9, $D$9, 100%, $F$9) + CHOOSE(CONTROL!$C$27, 0.0021, 0)</f>
        <v>72.040999999999997</v>
      </c>
      <c r="F808" s="10">
        <f>72.0389 * CHOOSE(CONTROL!$C$9, $D$9, 100%, $F$9) + CHOOSE(CONTROL!$C$27, 0.0021, 0)</f>
        <v>72.040999999999997</v>
      </c>
      <c r="G808" s="10">
        <f>72.3103 * CHOOSE(CONTROL!$C$9, $D$9, 100%, $F$9) + CHOOSE(CONTROL!$C$27, 0.0021, 0)</f>
        <v>72.312399999999997</v>
      </c>
      <c r="H808" s="10">
        <f>72.1756 * CHOOSE(CONTROL!$C$9, $D$9, 100%, $F$9) + CHOOSE(CONTROL!$C$27, 0.0021, 0)</f>
        <v>72.177700000000002</v>
      </c>
      <c r="I808" s="10">
        <f>72.1756 * CHOOSE(CONTROL!$C$9, $D$9, 100%, $F$9) + CHOOSE(CONTROL!$C$27, 0.0021, 0)</f>
        <v>72.177700000000002</v>
      </c>
      <c r="J808" s="10">
        <f>72.1756 * CHOOSE(CONTROL!$C$9, $D$9, 100%, $F$9) + CHOOSE(CONTROL!$C$27, 0.0021, 0)</f>
        <v>72.177700000000002</v>
      </c>
      <c r="K808" s="10">
        <f>72.1756 * CHOOSE(CONTROL!$C$9, $D$9, 100%, $F$9) + CHOOSE(CONTROL!$C$27, 0.0021, 0)</f>
        <v>72.177700000000002</v>
      </c>
      <c r="L808" s="10"/>
    </row>
    <row r="809" spans="1:12" ht="15.75" x14ac:dyDescent="0.25">
      <c r="A809" s="13">
        <v>65927</v>
      </c>
      <c r="B809" s="10">
        <f>73.4741 * CHOOSE(CONTROL!$C$9, $D$9, 100%, $F$9) + CHOOSE(CONTROL!$C$27, 0.0021, 0)</f>
        <v>73.476200000000006</v>
      </c>
      <c r="C809" s="10">
        <f>73.0418 * CHOOSE(CONTROL!$C$9, $D$9, 100%, $F$9) + CHOOSE(CONTROL!$C$27, 0.0021, 0)</f>
        <v>73.043899999999994</v>
      </c>
      <c r="D809" s="10">
        <f>73.0418 * CHOOSE(CONTROL!$C$9, $D$9, 100%, $F$9) + CHOOSE(CONTROL!$C$27, 0.0021, 0)</f>
        <v>73.043899999999994</v>
      </c>
      <c r="E809" s="10">
        <f>72.9052 * CHOOSE(CONTROL!$C$9, $D$9, 100%, $F$9) + CHOOSE(CONTROL!$C$27, 0.0021, 0)</f>
        <v>72.907299999999992</v>
      </c>
      <c r="F809" s="10">
        <f>72.9052 * CHOOSE(CONTROL!$C$9, $D$9, 100%, $F$9) + CHOOSE(CONTROL!$C$27, 0.0021, 0)</f>
        <v>72.907299999999992</v>
      </c>
      <c r="G809" s="10">
        <f>73.1765 * CHOOSE(CONTROL!$C$9, $D$9, 100%, $F$9) + CHOOSE(CONTROL!$C$27, 0.0021, 0)</f>
        <v>73.178600000000003</v>
      </c>
      <c r="H809" s="10">
        <f>73.0418 * CHOOSE(CONTROL!$C$9, $D$9, 100%, $F$9) + CHOOSE(CONTROL!$C$27, 0.0021, 0)</f>
        <v>73.043899999999994</v>
      </c>
      <c r="I809" s="10">
        <f>73.0418 * CHOOSE(CONTROL!$C$9, $D$9, 100%, $F$9) + CHOOSE(CONTROL!$C$27, 0.0021, 0)</f>
        <v>73.043899999999994</v>
      </c>
      <c r="J809" s="10">
        <f>73.0418 * CHOOSE(CONTROL!$C$9, $D$9, 100%, $F$9) + CHOOSE(CONTROL!$C$27, 0.0021, 0)</f>
        <v>73.043899999999994</v>
      </c>
      <c r="K809" s="10">
        <f>73.0418 * CHOOSE(CONTROL!$C$9, $D$9, 100%, $F$9) + CHOOSE(CONTROL!$C$27, 0.0021, 0)</f>
        <v>73.043899999999994</v>
      </c>
      <c r="L809" s="10"/>
    </row>
    <row r="810" spans="1:12" ht="15.75" x14ac:dyDescent="0.25">
      <c r="A810" s="13">
        <v>65958</v>
      </c>
      <c r="B810" s="10">
        <f>74.9031 * CHOOSE(CONTROL!$C$9, $D$9, 100%, $F$9) + CHOOSE(CONTROL!$C$27, 0.0021, 0)</f>
        <v>74.905199999999994</v>
      </c>
      <c r="C810" s="10">
        <f>74.4708 * CHOOSE(CONTROL!$C$9, $D$9, 100%, $F$9) + CHOOSE(CONTROL!$C$27, 0.0021, 0)</f>
        <v>74.472899999999996</v>
      </c>
      <c r="D810" s="10">
        <f>74.4708 * CHOOSE(CONTROL!$C$9, $D$9, 100%, $F$9) + CHOOSE(CONTROL!$C$27, 0.0021, 0)</f>
        <v>74.472899999999996</v>
      </c>
      <c r="E810" s="10">
        <f>74.3342 * CHOOSE(CONTROL!$C$9, $D$9, 100%, $F$9) + CHOOSE(CONTROL!$C$27, 0.0021, 0)</f>
        <v>74.336299999999994</v>
      </c>
      <c r="F810" s="10">
        <f>74.3342 * CHOOSE(CONTROL!$C$9, $D$9, 100%, $F$9) + CHOOSE(CONTROL!$C$27, 0.0021, 0)</f>
        <v>74.336299999999994</v>
      </c>
      <c r="G810" s="10">
        <f>74.6056 * CHOOSE(CONTROL!$C$9, $D$9, 100%, $F$9) + CHOOSE(CONTROL!$C$27, 0.0021, 0)</f>
        <v>74.607699999999994</v>
      </c>
      <c r="H810" s="10">
        <f>74.4708 * CHOOSE(CONTROL!$C$9, $D$9, 100%, $F$9) + CHOOSE(CONTROL!$C$27, 0.0021, 0)</f>
        <v>74.472899999999996</v>
      </c>
      <c r="I810" s="10">
        <f>74.4708 * CHOOSE(CONTROL!$C$9, $D$9, 100%, $F$9) + CHOOSE(CONTROL!$C$27, 0.0021, 0)</f>
        <v>74.472899999999996</v>
      </c>
      <c r="J810" s="10">
        <f>74.4708 * CHOOSE(CONTROL!$C$9, $D$9, 100%, $F$9) + CHOOSE(CONTROL!$C$27, 0.0021, 0)</f>
        <v>74.472899999999996</v>
      </c>
      <c r="K810" s="10">
        <f>74.4708 * CHOOSE(CONTROL!$C$9, $D$9, 100%, $F$9) + CHOOSE(CONTROL!$C$27, 0.0021, 0)</f>
        <v>74.472899999999996</v>
      </c>
      <c r="L810" s="10"/>
    </row>
    <row r="811" spans="1:12" ht="15.75" x14ac:dyDescent="0.25">
      <c r="A811" s="13">
        <v>65989</v>
      </c>
      <c r="B811" s="10">
        <f>75.3393 * CHOOSE(CONTROL!$C$9, $D$9, 100%, $F$9) + CHOOSE(CONTROL!$C$27, 0.0021, 0)</f>
        <v>75.341399999999993</v>
      </c>
      <c r="C811" s="10">
        <f>74.907 * CHOOSE(CONTROL!$C$9, $D$9, 100%, $F$9) + CHOOSE(CONTROL!$C$27, 0.0021, 0)</f>
        <v>74.909099999999995</v>
      </c>
      <c r="D811" s="10">
        <f>74.907 * CHOOSE(CONTROL!$C$9, $D$9, 100%, $F$9) + CHOOSE(CONTROL!$C$27, 0.0021, 0)</f>
        <v>74.909099999999995</v>
      </c>
      <c r="E811" s="10">
        <f>74.7704 * CHOOSE(CONTROL!$C$9, $D$9, 100%, $F$9) + CHOOSE(CONTROL!$C$27, 0.0021, 0)</f>
        <v>74.772499999999994</v>
      </c>
      <c r="F811" s="10">
        <f>74.7704 * CHOOSE(CONTROL!$C$9, $D$9, 100%, $F$9) + CHOOSE(CONTROL!$C$27, 0.0021, 0)</f>
        <v>74.772499999999994</v>
      </c>
      <c r="G811" s="10">
        <f>75.0417 * CHOOSE(CONTROL!$C$9, $D$9, 100%, $F$9) + CHOOSE(CONTROL!$C$27, 0.0021, 0)</f>
        <v>75.043800000000005</v>
      </c>
      <c r="H811" s="10">
        <f>74.907 * CHOOSE(CONTROL!$C$9, $D$9, 100%, $F$9) + CHOOSE(CONTROL!$C$27, 0.0021, 0)</f>
        <v>74.909099999999995</v>
      </c>
      <c r="I811" s="10">
        <f>74.907 * CHOOSE(CONTROL!$C$9, $D$9, 100%, $F$9) + CHOOSE(CONTROL!$C$27, 0.0021, 0)</f>
        <v>74.909099999999995</v>
      </c>
      <c r="J811" s="10">
        <f>74.907 * CHOOSE(CONTROL!$C$9, $D$9, 100%, $F$9) + CHOOSE(CONTROL!$C$27, 0.0021, 0)</f>
        <v>74.909099999999995</v>
      </c>
      <c r="K811" s="10">
        <f>74.907 * CHOOSE(CONTROL!$C$9, $D$9, 100%, $F$9) + CHOOSE(CONTROL!$C$27, 0.0021, 0)</f>
        <v>74.909099999999995</v>
      </c>
      <c r="L811" s="10"/>
    </row>
    <row r="812" spans="1:12" ht="15.75" x14ac:dyDescent="0.25">
      <c r="A812" s="13">
        <v>66019</v>
      </c>
      <c r="B812" s="10">
        <f>76.8247 * CHOOSE(CONTROL!$C$9, $D$9, 100%, $F$9) + CHOOSE(CONTROL!$C$27, 0.0021, 0)</f>
        <v>76.826800000000006</v>
      </c>
      <c r="C812" s="10">
        <f>76.3924 * CHOOSE(CONTROL!$C$9, $D$9, 100%, $F$9) + CHOOSE(CONTROL!$C$27, 0.0021, 0)</f>
        <v>76.394499999999994</v>
      </c>
      <c r="D812" s="10">
        <f>76.3924 * CHOOSE(CONTROL!$C$9, $D$9, 100%, $F$9) + CHOOSE(CONTROL!$C$27, 0.0021, 0)</f>
        <v>76.394499999999994</v>
      </c>
      <c r="E812" s="10">
        <f>76.2558 * CHOOSE(CONTROL!$C$9, $D$9, 100%, $F$9) + CHOOSE(CONTROL!$C$27, 0.0021, 0)</f>
        <v>76.257899999999992</v>
      </c>
      <c r="F812" s="10">
        <f>76.2558 * CHOOSE(CONTROL!$C$9, $D$9, 100%, $F$9) + CHOOSE(CONTROL!$C$27, 0.0021, 0)</f>
        <v>76.257899999999992</v>
      </c>
      <c r="G812" s="10">
        <f>76.5272 * CHOOSE(CONTROL!$C$9, $D$9, 100%, $F$9) + CHOOSE(CONTROL!$C$27, 0.0021, 0)</f>
        <v>76.529299999999992</v>
      </c>
      <c r="H812" s="10">
        <f>76.3924 * CHOOSE(CONTROL!$C$9, $D$9, 100%, $F$9) + CHOOSE(CONTROL!$C$27, 0.0021, 0)</f>
        <v>76.394499999999994</v>
      </c>
      <c r="I812" s="10">
        <f>76.3924 * CHOOSE(CONTROL!$C$9, $D$9, 100%, $F$9) + CHOOSE(CONTROL!$C$27, 0.0021, 0)</f>
        <v>76.394499999999994</v>
      </c>
      <c r="J812" s="10">
        <f>76.3924 * CHOOSE(CONTROL!$C$9, $D$9, 100%, $F$9) + CHOOSE(CONTROL!$C$27, 0.0021, 0)</f>
        <v>76.394499999999994</v>
      </c>
      <c r="K812" s="10">
        <f>76.3924 * CHOOSE(CONTROL!$C$9, $D$9, 100%, $F$9) + CHOOSE(CONTROL!$C$27, 0.0021, 0)</f>
        <v>76.394499999999994</v>
      </c>
      <c r="L812" s="10"/>
    </row>
    <row r="813" spans="1:12" ht="15.75" x14ac:dyDescent="0.25">
      <c r="A813" s="13">
        <v>66050</v>
      </c>
      <c r="B813" s="10">
        <f>78.705 * CHOOSE(CONTROL!$C$9, $D$9, 100%, $F$9) + CHOOSE(CONTROL!$C$27, 0.0021, 0)</f>
        <v>78.707099999999997</v>
      </c>
      <c r="C813" s="10">
        <f>78.2727 * CHOOSE(CONTROL!$C$9, $D$9, 100%, $F$9) + CHOOSE(CONTROL!$C$27, 0.0021, 0)</f>
        <v>78.274799999999999</v>
      </c>
      <c r="D813" s="10">
        <f>78.2727 * CHOOSE(CONTROL!$C$9, $D$9, 100%, $F$9) + CHOOSE(CONTROL!$C$27, 0.0021, 0)</f>
        <v>78.274799999999999</v>
      </c>
      <c r="E813" s="10">
        <f>78.136 * CHOOSE(CONTROL!$C$9, $D$9, 100%, $F$9) + CHOOSE(CONTROL!$C$27, 0.0021, 0)</f>
        <v>78.138099999999994</v>
      </c>
      <c r="F813" s="10">
        <f>78.136 * CHOOSE(CONTROL!$C$9, $D$9, 100%, $F$9) + CHOOSE(CONTROL!$C$27, 0.0021, 0)</f>
        <v>78.138099999999994</v>
      </c>
      <c r="G813" s="10">
        <f>78.4074 * CHOOSE(CONTROL!$C$9, $D$9, 100%, $F$9) + CHOOSE(CONTROL!$C$27, 0.0021, 0)</f>
        <v>78.409499999999994</v>
      </c>
      <c r="H813" s="10">
        <f>78.2727 * CHOOSE(CONTROL!$C$9, $D$9, 100%, $F$9) + CHOOSE(CONTROL!$C$27, 0.0021, 0)</f>
        <v>78.274799999999999</v>
      </c>
      <c r="I813" s="10">
        <f>78.2727 * CHOOSE(CONTROL!$C$9, $D$9, 100%, $F$9) + CHOOSE(CONTROL!$C$27, 0.0021, 0)</f>
        <v>78.274799999999999</v>
      </c>
      <c r="J813" s="10">
        <f>78.2727 * CHOOSE(CONTROL!$C$9, $D$9, 100%, $F$9) + CHOOSE(CONTROL!$C$27, 0.0021, 0)</f>
        <v>78.274799999999999</v>
      </c>
      <c r="K813" s="10">
        <f>78.2727 * CHOOSE(CONTROL!$C$9, $D$9, 100%, $F$9) + CHOOSE(CONTROL!$C$27, 0.0021, 0)</f>
        <v>78.274799999999999</v>
      </c>
      <c r="L813" s="10"/>
    </row>
    <row r="814" spans="1:12" ht="15.75" x14ac:dyDescent="0.25">
      <c r="A814" s="13">
        <v>66080</v>
      </c>
      <c r="B814" s="10">
        <f>78.8815 * CHOOSE(CONTROL!$C$9, $D$9, 100%, $F$9) + CHOOSE(CONTROL!$C$27, 0.0021, 0)</f>
        <v>78.883600000000001</v>
      </c>
      <c r="C814" s="10">
        <f>78.4492 * CHOOSE(CONTROL!$C$9, $D$9, 100%, $F$9) + CHOOSE(CONTROL!$C$27, 0.0021, 0)</f>
        <v>78.451300000000003</v>
      </c>
      <c r="D814" s="10">
        <f>78.4492 * CHOOSE(CONTROL!$C$9, $D$9, 100%, $F$9) + CHOOSE(CONTROL!$C$27, 0.0021, 0)</f>
        <v>78.451300000000003</v>
      </c>
      <c r="E814" s="10">
        <f>78.3126 * CHOOSE(CONTROL!$C$9, $D$9, 100%, $F$9) + CHOOSE(CONTROL!$C$27, 0.0021, 0)</f>
        <v>78.314700000000002</v>
      </c>
      <c r="F814" s="10">
        <f>78.3126 * CHOOSE(CONTROL!$C$9, $D$9, 100%, $F$9) + CHOOSE(CONTROL!$C$27, 0.0021, 0)</f>
        <v>78.314700000000002</v>
      </c>
      <c r="G814" s="10">
        <f>78.5839 * CHOOSE(CONTROL!$C$9, $D$9, 100%, $F$9) + CHOOSE(CONTROL!$C$27, 0.0021, 0)</f>
        <v>78.585999999999999</v>
      </c>
      <c r="H814" s="10">
        <f>78.4492 * CHOOSE(CONTROL!$C$9, $D$9, 100%, $F$9) + CHOOSE(CONTROL!$C$27, 0.0021, 0)</f>
        <v>78.451300000000003</v>
      </c>
      <c r="I814" s="10">
        <f>78.4492 * CHOOSE(CONTROL!$C$9, $D$9, 100%, $F$9) + CHOOSE(CONTROL!$C$27, 0.0021, 0)</f>
        <v>78.451300000000003</v>
      </c>
      <c r="J814" s="10">
        <f>78.4492 * CHOOSE(CONTROL!$C$9, $D$9, 100%, $F$9) + CHOOSE(CONTROL!$C$27, 0.0021, 0)</f>
        <v>78.451300000000003</v>
      </c>
      <c r="K814" s="10">
        <f>78.4492 * CHOOSE(CONTROL!$C$9, $D$9, 100%, $F$9) + CHOOSE(CONTROL!$C$27, 0.0021, 0)</f>
        <v>78.451300000000003</v>
      </c>
      <c r="L814" s="10"/>
    </row>
    <row r="815" spans="1:12" ht="15.75" x14ac:dyDescent="0.25">
      <c r="A815" s="13">
        <v>66111</v>
      </c>
      <c r="B815" s="10">
        <f>77.3797 * CHOOSE(CONTROL!$C$9, $D$9, 100%, $F$9) + CHOOSE(CONTROL!$C$27, 0.0021, 0)</f>
        <v>77.381799999999998</v>
      </c>
      <c r="C815" s="10">
        <f>76.9475 * CHOOSE(CONTROL!$C$9, $D$9, 100%, $F$9) + CHOOSE(CONTROL!$C$27, 0.0021, 0)</f>
        <v>76.949600000000004</v>
      </c>
      <c r="D815" s="10">
        <f>76.9475 * CHOOSE(CONTROL!$C$9, $D$9, 100%, $F$9) + CHOOSE(CONTROL!$C$27, 0.0021, 0)</f>
        <v>76.949600000000004</v>
      </c>
      <c r="E815" s="10">
        <f>76.8108 * CHOOSE(CONTROL!$C$9, $D$9, 100%, $F$9) + CHOOSE(CONTROL!$C$27, 0.0021, 0)</f>
        <v>76.812899999999999</v>
      </c>
      <c r="F815" s="10">
        <f>76.8108 * CHOOSE(CONTROL!$C$9, $D$9, 100%, $F$9) + CHOOSE(CONTROL!$C$27, 0.0021, 0)</f>
        <v>76.812899999999999</v>
      </c>
      <c r="G815" s="10">
        <f>77.0822 * CHOOSE(CONTROL!$C$9, $D$9, 100%, $F$9) + CHOOSE(CONTROL!$C$27, 0.0021, 0)</f>
        <v>77.084299999999999</v>
      </c>
      <c r="H815" s="10">
        <f>76.9475 * CHOOSE(CONTROL!$C$9, $D$9, 100%, $F$9) + CHOOSE(CONTROL!$C$27, 0.0021, 0)</f>
        <v>76.949600000000004</v>
      </c>
      <c r="I815" s="10">
        <f>76.9475 * CHOOSE(CONTROL!$C$9, $D$9, 100%, $F$9) + CHOOSE(CONTROL!$C$27, 0.0021, 0)</f>
        <v>76.949600000000004</v>
      </c>
      <c r="J815" s="10">
        <f>76.9475 * CHOOSE(CONTROL!$C$9, $D$9, 100%, $F$9) + CHOOSE(CONTROL!$C$27, 0.0021, 0)</f>
        <v>76.949600000000004</v>
      </c>
      <c r="K815" s="10">
        <f>76.9475 * CHOOSE(CONTROL!$C$9, $D$9, 100%, $F$9) + CHOOSE(CONTROL!$C$27, 0.0021, 0)</f>
        <v>76.949600000000004</v>
      </c>
      <c r="L815" s="10"/>
    </row>
    <row r="816" spans="1:12" ht="15.75" x14ac:dyDescent="0.25">
      <c r="A816" s="13">
        <v>66142</v>
      </c>
      <c r="B816" s="10">
        <f>76.23 * CHOOSE(CONTROL!$C$9, $D$9, 100%, $F$9) + CHOOSE(CONTROL!$C$27, 0.0021, 0)</f>
        <v>76.232100000000003</v>
      </c>
      <c r="C816" s="10">
        <f>75.7977 * CHOOSE(CONTROL!$C$9, $D$9, 100%, $F$9) + CHOOSE(CONTROL!$C$27, 0.0021, 0)</f>
        <v>75.799800000000005</v>
      </c>
      <c r="D816" s="10">
        <f>75.7977 * CHOOSE(CONTROL!$C$9, $D$9, 100%, $F$9) + CHOOSE(CONTROL!$C$27, 0.0021, 0)</f>
        <v>75.799800000000005</v>
      </c>
      <c r="E816" s="10">
        <f>75.6611 * CHOOSE(CONTROL!$C$9, $D$9, 100%, $F$9) + CHOOSE(CONTROL!$C$27, 0.0021, 0)</f>
        <v>75.663200000000003</v>
      </c>
      <c r="F816" s="10">
        <f>75.6611 * CHOOSE(CONTROL!$C$9, $D$9, 100%, $F$9) + CHOOSE(CONTROL!$C$27, 0.0021, 0)</f>
        <v>75.663200000000003</v>
      </c>
      <c r="G816" s="10">
        <f>75.9324 * CHOOSE(CONTROL!$C$9, $D$9, 100%, $F$9) + CHOOSE(CONTROL!$C$27, 0.0021, 0)</f>
        <v>75.9345</v>
      </c>
      <c r="H816" s="10">
        <f>75.7977 * CHOOSE(CONTROL!$C$9, $D$9, 100%, $F$9) + CHOOSE(CONTROL!$C$27, 0.0021, 0)</f>
        <v>75.799800000000005</v>
      </c>
      <c r="I816" s="10">
        <f>75.7977 * CHOOSE(CONTROL!$C$9, $D$9, 100%, $F$9) + CHOOSE(CONTROL!$C$27, 0.0021, 0)</f>
        <v>75.799800000000005</v>
      </c>
      <c r="J816" s="10">
        <f>75.7977 * CHOOSE(CONTROL!$C$9, $D$9, 100%, $F$9) + CHOOSE(CONTROL!$C$27, 0.0021, 0)</f>
        <v>75.799800000000005</v>
      </c>
      <c r="K816" s="10">
        <f>75.7977 * CHOOSE(CONTROL!$C$9, $D$9, 100%, $F$9) + CHOOSE(CONTROL!$C$27, 0.0021, 0)</f>
        <v>75.799800000000005</v>
      </c>
      <c r="L816" s="10"/>
    </row>
    <row r="817" spans="1:12" ht="15.75" x14ac:dyDescent="0.25">
      <c r="A817" s="13">
        <v>66170</v>
      </c>
      <c r="B817" s="10">
        <f>74.1386 * CHOOSE(CONTROL!$C$9, $D$9, 100%, $F$9) + CHOOSE(CONTROL!$C$27, 0.0021, 0)</f>
        <v>74.140699999999995</v>
      </c>
      <c r="C817" s="10">
        <f>73.7064 * CHOOSE(CONTROL!$C$9, $D$9, 100%, $F$9) + CHOOSE(CONTROL!$C$27, 0.0021, 0)</f>
        <v>73.708500000000001</v>
      </c>
      <c r="D817" s="10">
        <f>73.7064 * CHOOSE(CONTROL!$C$9, $D$9, 100%, $F$9) + CHOOSE(CONTROL!$C$27, 0.0021, 0)</f>
        <v>73.708500000000001</v>
      </c>
      <c r="E817" s="10">
        <f>73.5697 * CHOOSE(CONTROL!$C$9, $D$9, 100%, $F$9) + CHOOSE(CONTROL!$C$27, 0.0021, 0)</f>
        <v>73.571799999999996</v>
      </c>
      <c r="F817" s="10">
        <f>73.5697 * CHOOSE(CONTROL!$C$9, $D$9, 100%, $F$9) + CHOOSE(CONTROL!$C$27, 0.0021, 0)</f>
        <v>73.571799999999996</v>
      </c>
      <c r="G817" s="10">
        <f>73.8411 * CHOOSE(CONTROL!$C$9, $D$9, 100%, $F$9) + CHOOSE(CONTROL!$C$27, 0.0021, 0)</f>
        <v>73.843199999999996</v>
      </c>
      <c r="H817" s="10">
        <f>73.7064 * CHOOSE(CONTROL!$C$9, $D$9, 100%, $F$9) + CHOOSE(CONTROL!$C$27, 0.0021, 0)</f>
        <v>73.708500000000001</v>
      </c>
      <c r="I817" s="10">
        <f>73.7064 * CHOOSE(CONTROL!$C$9, $D$9, 100%, $F$9) + CHOOSE(CONTROL!$C$27, 0.0021, 0)</f>
        <v>73.708500000000001</v>
      </c>
      <c r="J817" s="10">
        <f>73.7064 * CHOOSE(CONTROL!$C$9, $D$9, 100%, $F$9) + CHOOSE(CONTROL!$C$27, 0.0021, 0)</f>
        <v>73.708500000000001</v>
      </c>
      <c r="K817" s="10">
        <f>73.7064 * CHOOSE(CONTROL!$C$9, $D$9, 100%, $F$9) + CHOOSE(CONTROL!$C$27, 0.0021, 0)</f>
        <v>73.708500000000001</v>
      </c>
      <c r="L817" s="10"/>
    </row>
    <row r="818" spans="1:12" ht="15.75" x14ac:dyDescent="0.25">
      <c r="A818" s="13">
        <v>66201</v>
      </c>
      <c r="B818" s="10">
        <f>73.2753 * CHOOSE(CONTROL!$C$9, $D$9, 100%, $F$9) + CHOOSE(CONTROL!$C$27, 0.0021, 0)</f>
        <v>73.2774</v>
      </c>
      <c r="C818" s="10">
        <f>72.8431 * CHOOSE(CONTROL!$C$9, $D$9, 100%, $F$9) + CHOOSE(CONTROL!$C$27, 0.0021, 0)</f>
        <v>72.845200000000006</v>
      </c>
      <c r="D818" s="10">
        <f>72.8431 * CHOOSE(CONTROL!$C$9, $D$9, 100%, $F$9) + CHOOSE(CONTROL!$C$27, 0.0021, 0)</f>
        <v>72.845200000000006</v>
      </c>
      <c r="E818" s="10">
        <f>72.7064 * CHOOSE(CONTROL!$C$9, $D$9, 100%, $F$9) + CHOOSE(CONTROL!$C$27, 0.0021, 0)</f>
        <v>72.708500000000001</v>
      </c>
      <c r="F818" s="10">
        <f>72.7064 * CHOOSE(CONTROL!$C$9, $D$9, 100%, $F$9) + CHOOSE(CONTROL!$C$27, 0.0021, 0)</f>
        <v>72.708500000000001</v>
      </c>
      <c r="G818" s="10">
        <f>72.9778 * CHOOSE(CONTROL!$C$9, $D$9, 100%, $F$9) + CHOOSE(CONTROL!$C$27, 0.0021, 0)</f>
        <v>72.979900000000001</v>
      </c>
      <c r="H818" s="10">
        <f>72.8431 * CHOOSE(CONTROL!$C$9, $D$9, 100%, $F$9) + CHOOSE(CONTROL!$C$27, 0.0021, 0)</f>
        <v>72.845200000000006</v>
      </c>
      <c r="I818" s="10">
        <f>72.8431 * CHOOSE(CONTROL!$C$9, $D$9, 100%, $F$9) + CHOOSE(CONTROL!$C$27, 0.0021, 0)</f>
        <v>72.845200000000006</v>
      </c>
      <c r="J818" s="10">
        <f>72.8431 * CHOOSE(CONTROL!$C$9, $D$9, 100%, $F$9) + CHOOSE(CONTROL!$C$27, 0.0021, 0)</f>
        <v>72.845200000000006</v>
      </c>
      <c r="K818" s="10">
        <f>72.8431 * CHOOSE(CONTROL!$C$9, $D$9, 100%, $F$9) + CHOOSE(CONTROL!$C$27, 0.0021, 0)</f>
        <v>72.845200000000006</v>
      </c>
      <c r="L818" s="10"/>
    </row>
    <row r="819" spans="1:12" ht="15.75" x14ac:dyDescent="0.25">
      <c r="A819" s="13">
        <v>66231</v>
      </c>
      <c r="B819" s="10">
        <f>72.2445 * CHOOSE(CONTROL!$C$9, $D$9, 100%, $F$9) + CHOOSE(CONTROL!$C$27, 0.0021, 0)</f>
        <v>72.246600000000001</v>
      </c>
      <c r="C819" s="10">
        <f>71.8122 * CHOOSE(CONTROL!$C$9, $D$9, 100%, $F$9) + CHOOSE(CONTROL!$C$27, 0.0021, 0)</f>
        <v>71.814300000000003</v>
      </c>
      <c r="D819" s="10">
        <f>71.8122 * CHOOSE(CONTROL!$C$9, $D$9, 100%, $F$9) + CHOOSE(CONTROL!$C$27, 0.0021, 0)</f>
        <v>71.814300000000003</v>
      </c>
      <c r="E819" s="10">
        <f>71.6756 * CHOOSE(CONTROL!$C$9, $D$9, 100%, $F$9) + CHOOSE(CONTROL!$C$27, 0.0021, 0)</f>
        <v>71.677700000000002</v>
      </c>
      <c r="F819" s="10">
        <f>71.6756 * CHOOSE(CONTROL!$C$9, $D$9, 100%, $F$9) + CHOOSE(CONTROL!$C$27, 0.0021, 0)</f>
        <v>71.677700000000002</v>
      </c>
      <c r="G819" s="10">
        <f>71.947 * CHOOSE(CONTROL!$C$9, $D$9, 100%, $F$9) + CHOOSE(CONTROL!$C$27, 0.0021, 0)</f>
        <v>71.949100000000001</v>
      </c>
      <c r="H819" s="10">
        <f>71.8122 * CHOOSE(CONTROL!$C$9, $D$9, 100%, $F$9) + CHOOSE(CONTROL!$C$27, 0.0021, 0)</f>
        <v>71.814300000000003</v>
      </c>
      <c r="I819" s="10">
        <f>71.8122 * CHOOSE(CONTROL!$C$9, $D$9, 100%, $F$9) + CHOOSE(CONTROL!$C$27, 0.0021, 0)</f>
        <v>71.814300000000003</v>
      </c>
      <c r="J819" s="10">
        <f>71.8122 * CHOOSE(CONTROL!$C$9, $D$9, 100%, $F$9) + CHOOSE(CONTROL!$C$27, 0.0021, 0)</f>
        <v>71.814300000000003</v>
      </c>
      <c r="K819" s="10">
        <f>71.8122 * CHOOSE(CONTROL!$C$9, $D$9, 100%, $F$9) + CHOOSE(CONTROL!$C$27, 0.0021, 0)</f>
        <v>71.814300000000003</v>
      </c>
      <c r="L819" s="10"/>
    </row>
    <row r="820" spans="1:12" ht="15.75" x14ac:dyDescent="0.25">
      <c r="A820" s="13">
        <v>66262</v>
      </c>
      <c r="B820" s="10">
        <f>73.7135 * CHOOSE(CONTROL!$C$9, $D$9, 100%, $F$9) + CHOOSE(CONTROL!$C$27, 0.0021, 0)</f>
        <v>73.715599999999995</v>
      </c>
      <c r="C820" s="10">
        <f>73.2813 * CHOOSE(CONTROL!$C$9, $D$9, 100%, $F$9) + CHOOSE(CONTROL!$C$27, 0.0021, 0)</f>
        <v>73.2834</v>
      </c>
      <c r="D820" s="10">
        <f>73.2813 * CHOOSE(CONTROL!$C$9, $D$9, 100%, $F$9) + CHOOSE(CONTROL!$C$27, 0.0021, 0)</f>
        <v>73.2834</v>
      </c>
      <c r="E820" s="10">
        <f>73.1446 * CHOOSE(CONTROL!$C$9, $D$9, 100%, $F$9) + CHOOSE(CONTROL!$C$27, 0.0021, 0)</f>
        <v>73.146699999999996</v>
      </c>
      <c r="F820" s="10">
        <f>73.1446 * CHOOSE(CONTROL!$C$9, $D$9, 100%, $F$9) + CHOOSE(CONTROL!$C$27, 0.0021, 0)</f>
        <v>73.146699999999996</v>
      </c>
      <c r="G820" s="10">
        <f>73.416 * CHOOSE(CONTROL!$C$9, $D$9, 100%, $F$9) + CHOOSE(CONTROL!$C$27, 0.0021, 0)</f>
        <v>73.418099999999995</v>
      </c>
      <c r="H820" s="10">
        <f>73.2813 * CHOOSE(CONTROL!$C$9, $D$9, 100%, $F$9) + CHOOSE(CONTROL!$C$27, 0.0021, 0)</f>
        <v>73.2834</v>
      </c>
      <c r="I820" s="10">
        <f>73.2813 * CHOOSE(CONTROL!$C$9, $D$9, 100%, $F$9) + CHOOSE(CONTROL!$C$27, 0.0021, 0)</f>
        <v>73.2834</v>
      </c>
      <c r="J820" s="10">
        <f>73.2813 * CHOOSE(CONTROL!$C$9, $D$9, 100%, $F$9) + CHOOSE(CONTROL!$C$27, 0.0021, 0)</f>
        <v>73.2834</v>
      </c>
      <c r="K820" s="10">
        <f>73.2813 * CHOOSE(CONTROL!$C$9, $D$9, 100%, $F$9) + CHOOSE(CONTROL!$C$27, 0.0021, 0)</f>
        <v>73.2834</v>
      </c>
      <c r="L820" s="10"/>
    </row>
    <row r="821" spans="1:12" ht="15.75" x14ac:dyDescent="0.25">
      <c r="A821" s="13">
        <v>66292</v>
      </c>
      <c r="B821" s="10">
        <f>74.5934 * CHOOSE(CONTROL!$C$9, $D$9, 100%, $F$9) + CHOOSE(CONTROL!$C$27, 0.0021, 0)</f>
        <v>74.595500000000001</v>
      </c>
      <c r="C821" s="10">
        <f>74.1612 * CHOOSE(CONTROL!$C$9, $D$9, 100%, $F$9) + CHOOSE(CONTROL!$C$27, 0.0021, 0)</f>
        <v>74.163299999999992</v>
      </c>
      <c r="D821" s="10">
        <f>74.1612 * CHOOSE(CONTROL!$C$9, $D$9, 100%, $F$9) + CHOOSE(CONTROL!$C$27, 0.0021, 0)</f>
        <v>74.163299999999992</v>
      </c>
      <c r="E821" s="10">
        <f>74.0245 * CHOOSE(CONTROL!$C$9, $D$9, 100%, $F$9) + CHOOSE(CONTROL!$C$27, 0.0021, 0)</f>
        <v>74.026600000000002</v>
      </c>
      <c r="F821" s="10">
        <f>74.0245 * CHOOSE(CONTROL!$C$9, $D$9, 100%, $F$9) + CHOOSE(CONTROL!$C$27, 0.0021, 0)</f>
        <v>74.026600000000002</v>
      </c>
      <c r="G821" s="10">
        <f>74.2959 * CHOOSE(CONTROL!$C$9, $D$9, 100%, $F$9) + CHOOSE(CONTROL!$C$27, 0.0021, 0)</f>
        <v>74.298000000000002</v>
      </c>
      <c r="H821" s="10">
        <f>74.1612 * CHOOSE(CONTROL!$C$9, $D$9, 100%, $F$9) + CHOOSE(CONTROL!$C$27, 0.0021, 0)</f>
        <v>74.163299999999992</v>
      </c>
      <c r="I821" s="10">
        <f>74.1612 * CHOOSE(CONTROL!$C$9, $D$9, 100%, $F$9) + CHOOSE(CONTROL!$C$27, 0.0021, 0)</f>
        <v>74.163299999999992</v>
      </c>
      <c r="J821" s="10">
        <f>74.1612 * CHOOSE(CONTROL!$C$9, $D$9, 100%, $F$9) + CHOOSE(CONTROL!$C$27, 0.0021, 0)</f>
        <v>74.163299999999992</v>
      </c>
      <c r="K821" s="10">
        <f>74.1612 * CHOOSE(CONTROL!$C$9, $D$9, 100%, $F$9) + CHOOSE(CONTROL!$C$27, 0.0021, 0)</f>
        <v>74.163299999999992</v>
      </c>
      <c r="L821" s="10"/>
    </row>
    <row r="822" spans="1:12" ht="15.75" x14ac:dyDescent="0.25">
      <c r="A822" s="13">
        <v>66323</v>
      </c>
      <c r="B822" s="10">
        <f>76.0449 * CHOOSE(CONTROL!$C$9, $D$9, 100%, $F$9) + CHOOSE(CONTROL!$C$27, 0.0021, 0)</f>
        <v>76.046999999999997</v>
      </c>
      <c r="C822" s="10">
        <f>75.6126 * CHOOSE(CONTROL!$C$9, $D$9, 100%, $F$9) + CHOOSE(CONTROL!$C$27, 0.0021, 0)</f>
        <v>75.614699999999999</v>
      </c>
      <c r="D822" s="10">
        <f>75.6126 * CHOOSE(CONTROL!$C$9, $D$9, 100%, $F$9) + CHOOSE(CONTROL!$C$27, 0.0021, 0)</f>
        <v>75.614699999999999</v>
      </c>
      <c r="E822" s="10">
        <f>75.476 * CHOOSE(CONTROL!$C$9, $D$9, 100%, $F$9) + CHOOSE(CONTROL!$C$27, 0.0021, 0)</f>
        <v>75.478099999999998</v>
      </c>
      <c r="F822" s="10">
        <f>75.476 * CHOOSE(CONTROL!$C$9, $D$9, 100%, $F$9) + CHOOSE(CONTROL!$C$27, 0.0021, 0)</f>
        <v>75.478099999999998</v>
      </c>
      <c r="G822" s="10">
        <f>75.7474 * CHOOSE(CONTROL!$C$9, $D$9, 100%, $F$9) + CHOOSE(CONTROL!$C$27, 0.0021, 0)</f>
        <v>75.749499999999998</v>
      </c>
      <c r="H822" s="10">
        <f>75.6126 * CHOOSE(CONTROL!$C$9, $D$9, 100%, $F$9) + CHOOSE(CONTROL!$C$27, 0.0021, 0)</f>
        <v>75.614699999999999</v>
      </c>
      <c r="I822" s="10">
        <f>75.6126 * CHOOSE(CONTROL!$C$9, $D$9, 100%, $F$9) + CHOOSE(CONTROL!$C$27, 0.0021, 0)</f>
        <v>75.614699999999999</v>
      </c>
      <c r="J822" s="10">
        <f>75.6126 * CHOOSE(CONTROL!$C$9, $D$9, 100%, $F$9) + CHOOSE(CONTROL!$C$27, 0.0021, 0)</f>
        <v>75.614699999999999</v>
      </c>
      <c r="K822" s="10">
        <f>75.6126 * CHOOSE(CONTROL!$C$9, $D$9, 100%, $F$9) + CHOOSE(CONTROL!$C$27, 0.0021, 0)</f>
        <v>75.614699999999999</v>
      </c>
      <c r="L822" s="10"/>
    </row>
    <row r="823" spans="1:12" ht="15.75" x14ac:dyDescent="0.25">
      <c r="A823" s="13">
        <v>66354</v>
      </c>
      <c r="B823" s="10">
        <f>76.4879 * CHOOSE(CONTROL!$C$9, $D$9, 100%, $F$9) + CHOOSE(CONTROL!$C$27, 0.0021, 0)</f>
        <v>76.489999999999995</v>
      </c>
      <c r="C823" s="10">
        <f>76.0557 * CHOOSE(CONTROL!$C$9, $D$9, 100%, $F$9) + CHOOSE(CONTROL!$C$27, 0.0021, 0)</f>
        <v>76.0578</v>
      </c>
      <c r="D823" s="10">
        <f>76.0557 * CHOOSE(CONTROL!$C$9, $D$9, 100%, $F$9) + CHOOSE(CONTROL!$C$27, 0.0021, 0)</f>
        <v>76.0578</v>
      </c>
      <c r="E823" s="10">
        <f>75.919 * CHOOSE(CONTROL!$C$9, $D$9, 100%, $F$9) + CHOOSE(CONTROL!$C$27, 0.0021, 0)</f>
        <v>75.921099999999996</v>
      </c>
      <c r="F823" s="10">
        <f>75.919 * CHOOSE(CONTROL!$C$9, $D$9, 100%, $F$9) + CHOOSE(CONTROL!$C$27, 0.0021, 0)</f>
        <v>75.921099999999996</v>
      </c>
      <c r="G823" s="10">
        <f>76.1904 * CHOOSE(CONTROL!$C$9, $D$9, 100%, $F$9) + CHOOSE(CONTROL!$C$27, 0.0021, 0)</f>
        <v>76.192499999999995</v>
      </c>
      <c r="H823" s="10">
        <f>76.0557 * CHOOSE(CONTROL!$C$9, $D$9, 100%, $F$9) + CHOOSE(CONTROL!$C$27, 0.0021, 0)</f>
        <v>76.0578</v>
      </c>
      <c r="I823" s="10">
        <f>76.0557 * CHOOSE(CONTROL!$C$9, $D$9, 100%, $F$9) + CHOOSE(CONTROL!$C$27, 0.0021, 0)</f>
        <v>76.0578</v>
      </c>
      <c r="J823" s="10">
        <f>76.0557 * CHOOSE(CONTROL!$C$9, $D$9, 100%, $F$9) + CHOOSE(CONTROL!$C$27, 0.0021, 0)</f>
        <v>76.0578</v>
      </c>
      <c r="K823" s="10">
        <f>76.0557 * CHOOSE(CONTROL!$C$9, $D$9, 100%, $F$9) + CHOOSE(CONTROL!$C$27, 0.0021, 0)</f>
        <v>76.0578</v>
      </c>
      <c r="L823" s="10"/>
    </row>
    <row r="824" spans="1:12" ht="15.75" x14ac:dyDescent="0.25">
      <c r="A824" s="13">
        <v>66384</v>
      </c>
      <c r="B824" s="10">
        <f>77.9967 * CHOOSE(CONTROL!$C$9, $D$9, 100%, $F$9) + CHOOSE(CONTROL!$C$27, 0.0021, 0)</f>
        <v>77.998800000000003</v>
      </c>
      <c r="C824" s="10">
        <f>77.5645 * CHOOSE(CONTROL!$C$9, $D$9, 100%, $F$9) + CHOOSE(CONTROL!$C$27, 0.0021, 0)</f>
        <v>77.566599999999994</v>
      </c>
      <c r="D824" s="10">
        <f>77.5645 * CHOOSE(CONTROL!$C$9, $D$9, 100%, $F$9) + CHOOSE(CONTROL!$C$27, 0.0021, 0)</f>
        <v>77.566599999999994</v>
      </c>
      <c r="E824" s="10">
        <f>77.4278 * CHOOSE(CONTROL!$C$9, $D$9, 100%, $F$9) + CHOOSE(CONTROL!$C$27, 0.0021, 0)</f>
        <v>77.429900000000004</v>
      </c>
      <c r="F824" s="10">
        <f>77.4278 * CHOOSE(CONTROL!$C$9, $D$9, 100%, $F$9) + CHOOSE(CONTROL!$C$27, 0.0021, 0)</f>
        <v>77.429900000000004</v>
      </c>
      <c r="G824" s="10">
        <f>77.6992 * CHOOSE(CONTROL!$C$9, $D$9, 100%, $F$9) + CHOOSE(CONTROL!$C$27, 0.0021, 0)</f>
        <v>77.701300000000003</v>
      </c>
      <c r="H824" s="10">
        <f>77.5645 * CHOOSE(CONTROL!$C$9, $D$9, 100%, $F$9) + CHOOSE(CONTROL!$C$27, 0.0021, 0)</f>
        <v>77.566599999999994</v>
      </c>
      <c r="I824" s="10">
        <f>77.5645 * CHOOSE(CONTROL!$C$9, $D$9, 100%, $F$9) + CHOOSE(CONTROL!$C$27, 0.0021, 0)</f>
        <v>77.566599999999994</v>
      </c>
      <c r="J824" s="10">
        <f>77.5645 * CHOOSE(CONTROL!$C$9, $D$9, 100%, $F$9) + CHOOSE(CONTROL!$C$27, 0.0021, 0)</f>
        <v>77.566599999999994</v>
      </c>
      <c r="K824" s="10">
        <f>77.5645 * CHOOSE(CONTROL!$C$9, $D$9, 100%, $F$9) + CHOOSE(CONTROL!$C$27, 0.0021, 0)</f>
        <v>77.566599999999994</v>
      </c>
      <c r="L824" s="10"/>
    </row>
    <row r="825" spans="1:12" ht="15.75" x14ac:dyDescent="0.25">
      <c r="A825" s="13">
        <v>66415</v>
      </c>
      <c r="B825" s="10">
        <f>79.9065 * CHOOSE(CONTROL!$C$9, $D$9, 100%, $F$9) + CHOOSE(CONTROL!$C$27, 0.0021, 0)</f>
        <v>79.908599999999993</v>
      </c>
      <c r="C825" s="10">
        <f>79.4743 * CHOOSE(CONTROL!$C$9, $D$9, 100%, $F$9) + CHOOSE(CONTROL!$C$27, 0.0021, 0)</f>
        <v>79.476399999999998</v>
      </c>
      <c r="D825" s="10">
        <f>79.4743 * CHOOSE(CONTROL!$C$9, $D$9, 100%, $F$9) + CHOOSE(CONTROL!$C$27, 0.0021, 0)</f>
        <v>79.476399999999998</v>
      </c>
      <c r="E825" s="10">
        <f>79.3376 * CHOOSE(CONTROL!$C$9, $D$9, 100%, $F$9) + CHOOSE(CONTROL!$C$27, 0.0021, 0)</f>
        <v>79.339699999999993</v>
      </c>
      <c r="F825" s="10">
        <f>79.3376 * CHOOSE(CONTROL!$C$9, $D$9, 100%, $F$9) + CHOOSE(CONTROL!$C$27, 0.0021, 0)</f>
        <v>79.339699999999993</v>
      </c>
      <c r="G825" s="10">
        <f>79.609 * CHOOSE(CONTROL!$C$9, $D$9, 100%, $F$9) + CHOOSE(CONTROL!$C$27, 0.0021, 0)</f>
        <v>79.611099999999993</v>
      </c>
      <c r="H825" s="10">
        <f>79.4743 * CHOOSE(CONTROL!$C$9, $D$9, 100%, $F$9) + CHOOSE(CONTROL!$C$27, 0.0021, 0)</f>
        <v>79.476399999999998</v>
      </c>
      <c r="I825" s="10">
        <f>79.4743 * CHOOSE(CONTROL!$C$9, $D$9, 100%, $F$9) + CHOOSE(CONTROL!$C$27, 0.0021, 0)</f>
        <v>79.476399999999998</v>
      </c>
      <c r="J825" s="10">
        <f>79.4743 * CHOOSE(CONTROL!$C$9, $D$9, 100%, $F$9) + CHOOSE(CONTROL!$C$27, 0.0021, 0)</f>
        <v>79.476399999999998</v>
      </c>
      <c r="K825" s="10">
        <f>79.4743 * CHOOSE(CONTROL!$C$9, $D$9, 100%, $F$9) + CHOOSE(CONTROL!$C$27, 0.0021, 0)</f>
        <v>79.476399999999998</v>
      </c>
      <c r="L825" s="10"/>
    </row>
    <row r="826" spans="1:12" ht="15.75" x14ac:dyDescent="0.25">
      <c r="A826" s="13">
        <v>66445</v>
      </c>
      <c r="B826" s="10">
        <f>80.0858 * CHOOSE(CONTROL!$C$9, $D$9, 100%, $F$9) + CHOOSE(CONTROL!$C$27, 0.0021, 0)</f>
        <v>80.087900000000005</v>
      </c>
      <c r="C826" s="10">
        <f>79.6536 * CHOOSE(CONTROL!$C$9, $D$9, 100%, $F$9) + CHOOSE(CONTROL!$C$27, 0.0021, 0)</f>
        <v>79.655699999999996</v>
      </c>
      <c r="D826" s="10">
        <f>79.6536 * CHOOSE(CONTROL!$C$9, $D$9, 100%, $F$9) + CHOOSE(CONTROL!$C$27, 0.0021, 0)</f>
        <v>79.655699999999996</v>
      </c>
      <c r="E826" s="10">
        <f>79.5169 * CHOOSE(CONTROL!$C$9, $D$9, 100%, $F$9) + CHOOSE(CONTROL!$C$27, 0.0021, 0)</f>
        <v>79.519000000000005</v>
      </c>
      <c r="F826" s="10">
        <f>79.5169 * CHOOSE(CONTROL!$C$9, $D$9, 100%, $F$9) + CHOOSE(CONTROL!$C$27, 0.0021, 0)</f>
        <v>79.519000000000005</v>
      </c>
      <c r="G826" s="10">
        <f>79.7883 * CHOOSE(CONTROL!$C$9, $D$9, 100%, $F$9) + CHOOSE(CONTROL!$C$27, 0.0021, 0)</f>
        <v>79.790400000000005</v>
      </c>
      <c r="H826" s="10">
        <f>79.6536 * CHOOSE(CONTROL!$C$9, $D$9, 100%, $F$9) + CHOOSE(CONTROL!$C$27, 0.0021, 0)</f>
        <v>79.655699999999996</v>
      </c>
      <c r="I826" s="10">
        <f>79.6536 * CHOOSE(CONTROL!$C$9, $D$9, 100%, $F$9) + CHOOSE(CONTROL!$C$27, 0.0021, 0)</f>
        <v>79.655699999999996</v>
      </c>
      <c r="J826" s="10">
        <f>79.6536 * CHOOSE(CONTROL!$C$9, $D$9, 100%, $F$9) + CHOOSE(CONTROL!$C$27, 0.0021, 0)</f>
        <v>79.655699999999996</v>
      </c>
      <c r="K826" s="10">
        <f>79.6536 * CHOOSE(CONTROL!$C$9, $D$9, 100%, $F$9) + CHOOSE(CONTROL!$C$27, 0.0021, 0)</f>
        <v>79.655699999999996</v>
      </c>
      <c r="L826" s="10"/>
    </row>
    <row r="827" spans="1:12" ht="15.75" x14ac:dyDescent="0.25">
      <c r="A827" s="13">
        <v>66476</v>
      </c>
      <c r="B827" s="10">
        <f>78.5605 * CHOOSE(CONTROL!$C$9, $D$9, 100%, $F$9) + CHOOSE(CONTROL!$C$27, 0.0021, 0)</f>
        <v>78.562600000000003</v>
      </c>
      <c r="C827" s="10">
        <f>78.1282 * CHOOSE(CONTROL!$C$9, $D$9, 100%, $F$9) + CHOOSE(CONTROL!$C$27, 0.0021, 0)</f>
        <v>78.130300000000005</v>
      </c>
      <c r="D827" s="10">
        <f>78.1282 * CHOOSE(CONTROL!$C$9, $D$9, 100%, $F$9) + CHOOSE(CONTROL!$C$27, 0.0021, 0)</f>
        <v>78.130300000000005</v>
      </c>
      <c r="E827" s="10">
        <f>77.9916 * CHOOSE(CONTROL!$C$9, $D$9, 100%, $F$9) + CHOOSE(CONTROL!$C$27, 0.0021, 0)</f>
        <v>77.993700000000004</v>
      </c>
      <c r="F827" s="10">
        <f>77.9916 * CHOOSE(CONTROL!$C$9, $D$9, 100%, $F$9) + CHOOSE(CONTROL!$C$27, 0.0021, 0)</f>
        <v>77.993700000000004</v>
      </c>
      <c r="G827" s="10">
        <f>78.2629 * CHOOSE(CONTROL!$C$9, $D$9, 100%, $F$9) + CHOOSE(CONTROL!$C$27, 0.0021, 0)</f>
        <v>78.265000000000001</v>
      </c>
      <c r="H827" s="10">
        <f>78.1282 * CHOOSE(CONTROL!$C$9, $D$9, 100%, $F$9) + CHOOSE(CONTROL!$C$27, 0.0021, 0)</f>
        <v>78.130300000000005</v>
      </c>
      <c r="I827" s="10">
        <f>78.1282 * CHOOSE(CONTROL!$C$9, $D$9, 100%, $F$9) + CHOOSE(CONTROL!$C$27, 0.0021, 0)</f>
        <v>78.130300000000005</v>
      </c>
      <c r="J827" s="10">
        <f>78.1282 * CHOOSE(CONTROL!$C$9, $D$9, 100%, $F$9) + CHOOSE(CONTROL!$C$27, 0.0021, 0)</f>
        <v>78.130300000000005</v>
      </c>
      <c r="K827" s="10">
        <f>78.1282 * CHOOSE(CONTROL!$C$9, $D$9, 100%, $F$9) + CHOOSE(CONTROL!$C$27, 0.0021, 0)</f>
        <v>78.130300000000005</v>
      </c>
      <c r="L827" s="10"/>
    </row>
    <row r="828" spans="1:12" ht="15.75" x14ac:dyDescent="0.25">
      <c r="A828" s="13">
        <v>66507</v>
      </c>
      <c r="B828" s="10">
        <f>77.3926 * CHOOSE(CONTROL!$C$9, $D$9, 100%, $F$9) + CHOOSE(CONTROL!$C$27, 0.0021, 0)</f>
        <v>77.3947</v>
      </c>
      <c r="C828" s="10">
        <f>76.9604 * CHOOSE(CONTROL!$C$9, $D$9, 100%, $F$9) + CHOOSE(CONTROL!$C$27, 0.0021, 0)</f>
        <v>76.962500000000006</v>
      </c>
      <c r="D828" s="10">
        <f>76.9604 * CHOOSE(CONTROL!$C$9, $D$9, 100%, $F$9) + CHOOSE(CONTROL!$C$27, 0.0021, 0)</f>
        <v>76.962500000000006</v>
      </c>
      <c r="E828" s="10">
        <f>76.8237 * CHOOSE(CONTROL!$C$9, $D$9, 100%, $F$9) + CHOOSE(CONTROL!$C$27, 0.0021, 0)</f>
        <v>76.825800000000001</v>
      </c>
      <c r="F828" s="10">
        <f>76.8237 * CHOOSE(CONTROL!$C$9, $D$9, 100%, $F$9) + CHOOSE(CONTROL!$C$27, 0.0021, 0)</f>
        <v>76.825800000000001</v>
      </c>
      <c r="G828" s="10">
        <f>77.0951 * CHOOSE(CONTROL!$C$9, $D$9, 100%, $F$9) + CHOOSE(CONTROL!$C$27, 0.0021, 0)</f>
        <v>77.097200000000001</v>
      </c>
      <c r="H828" s="10">
        <f>76.9604 * CHOOSE(CONTROL!$C$9, $D$9, 100%, $F$9) + CHOOSE(CONTROL!$C$27, 0.0021, 0)</f>
        <v>76.962500000000006</v>
      </c>
      <c r="I828" s="10">
        <f>76.9604 * CHOOSE(CONTROL!$C$9, $D$9, 100%, $F$9) + CHOOSE(CONTROL!$C$27, 0.0021, 0)</f>
        <v>76.962500000000006</v>
      </c>
      <c r="J828" s="10">
        <f>76.9604 * CHOOSE(CONTROL!$C$9, $D$9, 100%, $F$9) + CHOOSE(CONTROL!$C$27, 0.0021, 0)</f>
        <v>76.962500000000006</v>
      </c>
      <c r="K828" s="10">
        <f>76.9604 * CHOOSE(CONTROL!$C$9, $D$9, 100%, $F$9) + CHOOSE(CONTROL!$C$27, 0.0021, 0)</f>
        <v>76.962500000000006</v>
      </c>
      <c r="L828" s="10"/>
    </row>
    <row r="829" spans="1:12" ht="15.75" x14ac:dyDescent="0.25">
      <c r="A829" s="13">
        <v>66535</v>
      </c>
      <c r="B829" s="10">
        <f>75.2684 * CHOOSE(CONTROL!$C$9, $D$9, 100%, $F$9) + CHOOSE(CONTROL!$C$27, 0.0021, 0)</f>
        <v>75.270499999999998</v>
      </c>
      <c r="C829" s="10">
        <f>74.8361 * CHOOSE(CONTROL!$C$9, $D$9, 100%, $F$9) + CHOOSE(CONTROL!$C$27, 0.0021, 0)</f>
        <v>74.838200000000001</v>
      </c>
      <c r="D829" s="10">
        <f>74.8361 * CHOOSE(CONTROL!$C$9, $D$9, 100%, $F$9) + CHOOSE(CONTROL!$C$27, 0.0021, 0)</f>
        <v>74.838200000000001</v>
      </c>
      <c r="E829" s="10">
        <f>74.6995 * CHOOSE(CONTROL!$C$9, $D$9, 100%, $F$9) + CHOOSE(CONTROL!$C$27, 0.0021, 0)</f>
        <v>74.701599999999999</v>
      </c>
      <c r="F829" s="10">
        <f>74.6995 * CHOOSE(CONTROL!$C$9, $D$9, 100%, $F$9) + CHOOSE(CONTROL!$C$27, 0.0021, 0)</f>
        <v>74.701599999999999</v>
      </c>
      <c r="G829" s="10">
        <f>74.9709 * CHOOSE(CONTROL!$C$9, $D$9, 100%, $F$9) + CHOOSE(CONTROL!$C$27, 0.0021, 0)</f>
        <v>74.972999999999999</v>
      </c>
      <c r="H829" s="10">
        <f>74.8361 * CHOOSE(CONTROL!$C$9, $D$9, 100%, $F$9) + CHOOSE(CONTROL!$C$27, 0.0021, 0)</f>
        <v>74.838200000000001</v>
      </c>
      <c r="I829" s="10">
        <f>74.8361 * CHOOSE(CONTROL!$C$9, $D$9, 100%, $F$9) + CHOOSE(CONTROL!$C$27, 0.0021, 0)</f>
        <v>74.838200000000001</v>
      </c>
      <c r="J829" s="10">
        <f>74.8361 * CHOOSE(CONTROL!$C$9, $D$9, 100%, $F$9) + CHOOSE(CONTROL!$C$27, 0.0021, 0)</f>
        <v>74.838200000000001</v>
      </c>
      <c r="K829" s="10">
        <f>74.8361 * CHOOSE(CONTROL!$C$9, $D$9, 100%, $F$9) + CHOOSE(CONTROL!$C$27, 0.0021, 0)</f>
        <v>74.838200000000001</v>
      </c>
      <c r="L829" s="10"/>
    </row>
    <row r="830" spans="1:12" ht="15.75" x14ac:dyDescent="0.25">
      <c r="A830" s="13">
        <v>66566</v>
      </c>
      <c r="B830" s="10">
        <f>74.3915 * CHOOSE(CONTROL!$C$9, $D$9, 100%, $F$9) + CHOOSE(CONTROL!$C$27, 0.0021, 0)</f>
        <v>74.393599999999992</v>
      </c>
      <c r="C830" s="10">
        <f>73.9593 * CHOOSE(CONTROL!$C$9, $D$9, 100%, $F$9) + CHOOSE(CONTROL!$C$27, 0.0021, 0)</f>
        <v>73.961399999999998</v>
      </c>
      <c r="D830" s="10">
        <f>73.9593 * CHOOSE(CONTROL!$C$9, $D$9, 100%, $F$9) + CHOOSE(CONTROL!$C$27, 0.0021, 0)</f>
        <v>73.961399999999998</v>
      </c>
      <c r="E830" s="10">
        <f>73.8226 * CHOOSE(CONTROL!$C$9, $D$9, 100%, $F$9) + CHOOSE(CONTROL!$C$27, 0.0021, 0)</f>
        <v>73.824699999999993</v>
      </c>
      <c r="F830" s="10">
        <f>73.8226 * CHOOSE(CONTROL!$C$9, $D$9, 100%, $F$9) + CHOOSE(CONTROL!$C$27, 0.0021, 0)</f>
        <v>73.824699999999993</v>
      </c>
      <c r="G830" s="10">
        <f>74.094 * CHOOSE(CONTROL!$C$9, $D$9, 100%, $F$9) + CHOOSE(CONTROL!$C$27, 0.0021, 0)</f>
        <v>74.096099999999993</v>
      </c>
      <c r="H830" s="10">
        <f>73.9593 * CHOOSE(CONTROL!$C$9, $D$9, 100%, $F$9) + CHOOSE(CONTROL!$C$27, 0.0021, 0)</f>
        <v>73.961399999999998</v>
      </c>
      <c r="I830" s="10">
        <f>73.9593 * CHOOSE(CONTROL!$C$9, $D$9, 100%, $F$9) + CHOOSE(CONTROL!$C$27, 0.0021, 0)</f>
        <v>73.961399999999998</v>
      </c>
      <c r="J830" s="10">
        <f>73.9593 * CHOOSE(CONTROL!$C$9, $D$9, 100%, $F$9) + CHOOSE(CONTROL!$C$27, 0.0021, 0)</f>
        <v>73.961399999999998</v>
      </c>
      <c r="K830" s="10">
        <f>73.9593 * CHOOSE(CONTROL!$C$9, $D$9, 100%, $F$9) + CHOOSE(CONTROL!$C$27, 0.0021, 0)</f>
        <v>73.961399999999998</v>
      </c>
      <c r="L830" s="10"/>
    </row>
    <row r="831" spans="1:12" ht="15.75" x14ac:dyDescent="0.25">
      <c r="A831" s="13">
        <v>66596</v>
      </c>
      <c r="B831" s="10">
        <f>73.3445 * CHOOSE(CONTROL!$C$9, $D$9, 100%, $F$9) + CHOOSE(CONTROL!$C$27, 0.0021, 0)</f>
        <v>73.346599999999995</v>
      </c>
      <c r="C831" s="10">
        <f>72.9122 * CHOOSE(CONTROL!$C$9, $D$9, 100%, $F$9) + CHOOSE(CONTROL!$C$27, 0.0021, 0)</f>
        <v>72.914299999999997</v>
      </c>
      <c r="D831" s="10">
        <f>72.9122 * CHOOSE(CONTROL!$C$9, $D$9, 100%, $F$9) + CHOOSE(CONTROL!$C$27, 0.0021, 0)</f>
        <v>72.914299999999997</v>
      </c>
      <c r="E831" s="10">
        <f>72.7756 * CHOOSE(CONTROL!$C$9, $D$9, 100%, $F$9) + CHOOSE(CONTROL!$C$27, 0.0021, 0)</f>
        <v>72.777699999999996</v>
      </c>
      <c r="F831" s="10">
        <f>72.7756 * CHOOSE(CONTROL!$C$9, $D$9, 100%, $F$9) + CHOOSE(CONTROL!$C$27, 0.0021, 0)</f>
        <v>72.777699999999996</v>
      </c>
      <c r="G831" s="10">
        <f>73.047 * CHOOSE(CONTROL!$C$9, $D$9, 100%, $F$9) + CHOOSE(CONTROL!$C$27, 0.0021, 0)</f>
        <v>73.049099999999996</v>
      </c>
      <c r="H831" s="10">
        <f>72.9122 * CHOOSE(CONTROL!$C$9, $D$9, 100%, $F$9) + CHOOSE(CONTROL!$C$27, 0.0021, 0)</f>
        <v>72.914299999999997</v>
      </c>
      <c r="I831" s="10">
        <f>72.9122 * CHOOSE(CONTROL!$C$9, $D$9, 100%, $F$9) + CHOOSE(CONTROL!$C$27, 0.0021, 0)</f>
        <v>72.914299999999997</v>
      </c>
      <c r="J831" s="10">
        <f>72.9122 * CHOOSE(CONTROL!$C$9, $D$9, 100%, $F$9) + CHOOSE(CONTROL!$C$27, 0.0021, 0)</f>
        <v>72.914299999999997</v>
      </c>
      <c r="K831" s="10">
        <f>72.9122 * CHOOSE(CONTROL!$C$9, $D$9, 100%, $F$9) + CHOOSE(CONTROL!$C$27, 0.0021, 0)</f>
        <v>72.914299999999997</v>
      </c>
      <c r="L831" s="10"/>
    </row>
    <row r="832" spans="1:12" ht="15.75" x14ac:dyDescent="0.25">
      <c r="A832" s="13">
        <v>66627</v>
      </c>
      <c r="B832" s="10">
        <f>74.8366 * CHOOSE(CONTROL!$C$9, $D$9, 100%, $F$9) + CHOOSE(CONTROL!$C$27, 0.0021, 0)</f>
        <v>74.838700000000003</v>
      </c>
      <c r="C832" s="10">
        <f>74.4044 * CHOOSE(CONTROL!$C$9, $D$9, 100%, $F$9) + CHOOSE(CONTROL!$C$27, 0.0021, 0)</f>
        <v>74.406499999999994</v>
      </c>
      <c r="D832" s="10">
        <f>74.4044 * CHOOSE(CONTROL!$C$9, $D$9, 100%, $F$9) + CHOOSE(CONTROL!$C$27, 0.0021, 0)</f>
        <v>74.406499999999994</v>
      </c>
      <c r="E832" s="10">
        <f>74.2677 * CHOOSE(CONTROL!$C$9, $D$9, 100%, $F$9) + CHOOSE(CONTROL!$C$27, 0.0021, 0)</f>
        <v>74.269800000000004</v>
      </c>
      <c r="F832" s="10">
        <f>74.2677 * CHOOSE(CONTROL!$C$9, $D$9, 100%, $F$9) + CHOOSE(CONTROL!$C$27, 0.0021, 0)</f>
        <v>74.269800000000004</v>
      </c>
      <c r="G832" s="10">
        <f>74.5391 * CHOOSE(CONTROL!$C$9, $D$9, 100%, $F$9) + CHOOSE(CONTROL!$C$27, 0.0021, 0)</f>
        <v>74.541200000000003</v>
      </c>
      <c r="H832" s="10">
        <f>74.4044 * CHOOSE(CONTROL!$C$9, $D$9, 100%, $F$9) + CHOOSE(CONTROL!$C$27, 0.0021, 0)</f>
        <v>74.406499999999994</v>
      </c>
      <c r="I832" s="10">
        <f>74.4044 * CHOOSE(CONTROL!$C$9, $D$9, 100%, $F$9) + CHOOSE(CONTROL!$C$27, 0.0021, 0)</f>
        <v>74.406499999999994</v>
      </c>
      <c r="J832" s="10">
        <f>74.4044 * CHOOSE(CONTROL!$C$9, $D$9, 100%, $F$9) + CHOOSE(CONTROL!$C$27, 0.0021, 0)</f>
        <v>74.406499999999994</v>
      </c>
      <c r="K832" s="10">
        <f>74.4044 * CHOOSE(CONTROL!$C$9, $D$9, 100%, $F$9) + CHOOSE(CONTROL!$C$27, 0.0021, 0)</f>
        <v>74.406499999999994</v>
      </c>
      <c r="L832" s="10"/>
    </row>
    <row r="833" spans="1:12" ht="15.75" x14ac:dyDescent="0.25">
      <c r="A833" s="13">
        <v>66657</v>
      </c>
      <c r="B833" s="10">
        <f>75.7303 * CHOOSE(CONTROL!$C$9, $D$9, 100%, $F$9) + CHOOSE(CONTROL!$C$27, 0.0021, 0)</f>
        <v>75.732399999999998</v>
      </c>
      <c r="C833" s="10">
        <f>75.2981 * CHOOSE(CONTROL!$C$9, $D$9, 100%, $F$9) + CHOOSE(CONTROL!$C$27, 0.0021, 0)</f>
        <v>75.300200000000004</v>
      </c>
      <c r="D833" s="10">
        <f>75.2981 * CHOOSE(CONTROL!$C$9, $D$9, 100%, $F$9) + CHOOSE(CONTROL!$C$27, 0.0021, 0)</f>
        <v>75.300200000000004</v>
      </c>
      <c r="E833" s="10">
        <f>75.1614 * CHOOSE(CONTROL!$C$9, $D$9, 100%, $F$9) + CHOOSE(CONTROL!$C$27, 0.0021, 0)</f>
        <v>75.163499999999999</v>
      </c>
      <c r="F833" s="10">
        <f>75.1614 * CHOOSE(CONTROL!$C$9, $D$9, 100%, $F$9) + CHOOSE(CONTROL!$C$27, 0.0021, 0)</f>
        <v>75.163499999999999</v>
      </c>
      <c r="G833" s="10">
        <f>75.4328 * CHOOSE(CONTROL!$C$9, $D$9, 100%, $F$9) + CHOOSE(CONTROL!$C$27, 0.0021, 0)</f>
        <v>75.434899999999999</v>
      </c>
      <c r="H833" s="10">
        <f>75.2981 * CHOOSE(CONTROL!$C$9, $D$9, 100%, $F$9) + CHOOSE(CONTROL!$C$27, 0.0021, 0)</f>
        <v>75.300200000000004</v>
      </c>
      <c r="I833" s="10">
        <f>75.2981 * CHOOSE(CONTROL!$C$9, $D$9, 100%, $F$9) + CHOOSE(CONTROL!$C$27, 0.0021, 0)</f>
        <v>75.300200000000004</v>
      </c>
      <c r="J833" s="10">
        <f>75.2981 * CHOOSE(CONTROL!$C$9, $D$9, 100%, $F$9) + CHOOSE(CONTROL!$C$27, 0.0021, 0)</f>
        <v>75.300200000000004</v>
      </c>
      <c r="K833" s="10">
        <f>75.2981 * CHOOSE(CONTROL!$C$9, $D$9, 100%, $F$9) + CHOOSE(CONTROL!$C$27, 0.0021, 0)</f>
        <v>75.300200000000004</v>
      </c>
      <c r="L833" s="10"/>
    </row>
    <row r="834" spans="1:12" ht="15.75" x14ac:dyDescent="0.25">
      <c r="A834" s="13">
        <v>66688</v>
      </c>
      <c r="B834" s="10">
        <f>77.2046 * CHOOSE(CONTROL!$C$9, $D$9, 100%, $F$9) + CHOOSE(CONTROL!$C$27, 0.0021, 0)</f>
        <v>77.206699999999998</v>
      </c>
      <c r="C834" s="10">
        <f>76.7724 * CHOOSE(CONTROL!$C$9, $D$9, 100%, $F$9) + CHOOSE(CONTROL!$C$27, 0.0021, 0)</f>
        <v>76.774500000000003</v>
      </c>
      <c r="D834" s="10">
        <f>76.7724 * CHOOSE(CONTROL!$C$9, $D$9, 100%, $F$9) + CHOOSE(CONTROL!$C$27, 0.0021, 0)</f>
        <v>76.774500000000003</v>
      </c>
      <c r="E834" s="10">
        <f>76.6357 * CHOOSE(CONTROL!$C$9, $D$9, 100%, $F$9) + CHOOSE(CONTROL!$C$27, 0.0021, 0)</f>
        <v>76.637799999999999</v>
      </c>
      <c r="F834" s="10">
        <f>76.6357 * CHOOSE(CONTROL!$C$9, $D$9, 100%, $F$9) + CHOOSE(CONTROL!$C$27, 0.0021, 0)</f>
        <v>76.637799999999999</v>
      </c>
      <c r="G834" s="10">
        <f>76.9071 * CHOOSE(CONTROL!$C$9, $D$9, 100%, $F$9) + CHOOSE(CONTROL!$C$27, 0.0021, 0)</f>
        <v>76.909199999999998</v>
      </c>
      <c r="H834" s="10">
        <f>76.7724 * CHOOSE(CONTROL!$C$9, $D$9, 100%, $F$9) + CHOOSE(CONTROL!$C$27, 0.0021, 0)</f>
        <v>76.774500000000003</v>
      </c>
      <c r="I834" s="10">
        <f>76.7724 * CHOOSE(CONTROL!$C$9, $D$9, 100%, $F$9) + CHOOSE(CONTROL!$C$27, 0.0021, 0)</f>
        <v>76.774500000000003</v>
      </c>
      <c r="J834" s="10">
        <f>76.7724 * CHOOSE(CONTROL!$C$9, $D$9, 100%, $F$9) + CHOOSE(CONTROL!$C$27, 0.0021, 0)</f>
        <v>76.774500000000003</v>
      </c>
      <c r="K834" s="10">
        <f>76.7724 * CHOOSE(CONTROL!$C$9, $D$9, 100%, $F$9) + CHOOSE(CONTROL!$C$27, 0.0021, 0)</f>
        <v>76.774500000000003</v>
      </c>
      <c r="L834" s="10"/>
    </row>
    <row r="835" spans="1:12" ht="15.75" x14ac:dyDescent="0.25">
      <c r="A835" s="13">
        <v>66719</v>
      </c>
      <c r="B835" s="10">
        <f>77.6547 * CHOOSE(CONTROL!$C$9, $D$9, 100%, $F$9) + CHOOSE(CONTROL!$C$27, 0.0021, 0)</f>
        <v>77.656800000000004</v>
      </c>
      <c r="C835" s="10">
        <f>77.2224 * CHOOSE(CONTROL!$C$9, $D$9, 100%, $F$9) + CHOOSE(CONTROL!$C$27, 0.0021, 0)</f>
        <v>77.224499999999992</v>
      </c>
      <c r="D835" s="10">
        <f>77.2224 * CHOOSE(CONTROL!$C$9, $D$9, 100%, $F$9) + CHOOSE(CONTROL!$C$27, 0.0021, 0)</f>
        <v>77.224499999999992</v>
      </c>
      <c r="E835" s="10">
        <f>77.0857 * CHOOSE(CONTROL!$C$9, $D$9, 100%, $F$9) + CHOOSE(CONTROL!$C$27, 0.0021, 0)</f>
        <v>77.087800000000001</v>
      </c>
      <c r="F835" s="10">
        <f>77.0857 * CHOOSE(CONTROL!$C$9, $D$9, 100%, $F$9) + CHOOSE(CONTROL!$C$27, 0.0021, 0)</f>
        <v>77.087800000000001</v>
      </c>
      <c r="G835" s="10">
        <f>77.3571 * CHOOSE(CONTROL!$C$9, $D$9, 100%, $F$9) + CHOOSE(CONTROL!$C$27, 0.0021, 0)</f>
        <v>77.359200000000001</v>
      </c>
      <c r="H835" s="10">
        <f>77.2224 * CHOOSE(CONTROL!$C$9, $D$9, 100%, $F$9) + CHOOSE(CONTROL!$C$27, 0.0021, 0)</f>
        <v>77.224499999999992</v>
      </c>
      <c r="I835" s="10">
        <f>77.2224 * CHOOSE(CONTROL!$C$9, $D$9, 100%, $F$9) + CHOOSE(CONTROL!$C$27, 0.0021, 0)</f>
        <v>77.224499999999992</v>
      </c>
      <c r="J835" s="10">
        <f>77.2224 * CHOOSE(CONTROL!$C$9, $D$9, 100%, $F$9) + CHOOSE(CONTROL!$C$27, 0.0021, 0)</f>
        <v>77.224499999999992</v>
      </c>
      <c r="K835" s="10">
        <f>77.2224 * CHOOSE(CONTROL!$C$9, $D$9, 100%, $F$9) + CHOOSE(CONTROL!$C$27, 0.0021, 0)</f>
        <v>77.224499999999992</v>
      </c>
      <c r="L835" s="10"/>
    </row>
    <row r="836" spans="1:12" ht="15.75" x14ac:dyDescent="0.25">
      <c r="A836" s="13">
        <v>66749</v>
      </c>
      <c r="B836" s="10">
        <f>79.1871 * CHOOSE(CONTROL!$C$9, $D$9, 100%, $F$9) + CHOOSE(CONTROL!$C$27, 0.0021, 0)</f>
        <v>79.1892</v>
      </c>
      <c r="C836" s="10">
        <f>78.7549 * CHOOSE(CONTROL!$C$9, $D$9, 100%, $F$9) + CHOOSE(CONTROL!$C$27, 0.0021, 0)</f>
        <v>78.757000000000005</v>
      </c>
      <c r="D836" s="10">
        <f>78.7549 * CHOOSE(CONTROL!$C$9, $D$9, 100%, $F$9) + CHOOSE(CONTROL!$C$27, 0.0021, 0)</f>
        <v>78.757000000000005</v>
      </c>
      <c r="E836" s="10">
        <f>78.6182 * CHOOSE(CONTROL!$C$9, $D$9, 100%, $F$9) + CHOOSE(CONTROL!$C$27, 0.0021, 0)</f>
        <v>78.6203</v>
      </c>
      <c r="F836" s="10">
        <f>78.6182 * CHOOSE(CONTROL!$C$9, $D$9, 100%, $F$9) + CHOOSE(CONTROL!$C$27, 0.0021, 0)</f>
        <v>78.6203</v>
      </c>
      <c r="G836" s="10">
        <f>78.8896 * CHOOSE(CONTROL!$C$9, $D$9, 100%, $F$9) + CHOOSE(CONTROL!$C$27, 0.0021, 0)</f>
        <v>78.8917</v>
      </c>
      <c r="H836" s="10">
        <f>78.7549 * CHOOSE(CONTROL!$C$9, $D$9, 100%, $F$9) + CHOOSE(CONTROL!$C$27, 0.0021, 0)</f>
        <v>78.757000000000005</v>
      </c>
      <c r="I836" s="10">
        <f>78.7549 * CHOOSE(CONTROL!$C$9, $D$9, 100%, $F$9) + CHOOSE(CONTROL!$C$27, 0.0021, 0)</f>
        <v>78.757000000000005</v>
      </c>
      <c r="J836" s="10">
        <f>78.7549 * CHOOSE(CONTROL!$C$9, $D$9, 100%, $F$9) + CHOOSE(CONTROL!$C$27, 0.0021, 0)</f>
        <v>78.757000000000005</v>
      </c>
      <c r="K836" s="10">
        <f>78.7549 * CHOOSE(CONTROL!$C$9, $D$9, 100%, $F$9) + CHOOSE(CONTROL!$C$27, 0.0021, 0)</f>
        <v>78.757000000000005</v>
      </c>
      <c r="L836" s="10"/>
    </row>
    <row r="837" spans="1:12" ht="15.75" x14ac:dyDescent="0.25">
      <c r="A837" s="13">
        <v>66780</v>
      </c>
      <c r="B837" s="10">
        <f>81.127 * CHOOSE(CONTROL!$C$9, $D$9, 100%, $F$9) + CHOOSE(CONTROL!$C$27, 0.0021, 0)</f>
        <v>81.129099999999994</v>
      </c>
      <c r="C837" s="10">
        <f>80.6948 * CHOOSE(CONTROL!$C$9, $D$9, 100%, $F$9) + CHOOSE(CONTROL!$C$27, 0.0021, 0)</f>
        <v>80.696899999999999</v>
      </c>
      <c r="D837" s="10">
        <f>80.6948 * CHOOSE(CONTROL!$C$9, $D$9, 100%, $F$9) + CHOOSE(CONTROL!$C$27, 0.0021, 0)</f>
        <v>80.696899999999999</v>
      </c>
      <c r="E837" s="10">
        <f>80.5581 * CHOOSE(CONTROL!$C$9, $D$9, 100%, $F$9) + CHOOSE(CONTROL!$C$27, 0.0021, 0)</f>
        <v>80.560199999999995</v>
      </c>
      <c r="F837" s="10">
        <f>80.5581 * CHOOSE(CONTROL!$C$9, $D$9, 100%, $F$9) + CHOOSE(CONTROL!$C$27, 0.0021, 0)</f>
        <v>80.560199999999995</v>
      </c>
      <c r="G837" s="10">
        <f>80.8295 * CHOOSE(CONTROL!$C$9, $D$9, 100%, $F$9) + CHOOSE(CONTROL!$C$27, 0.0021, 0)</f>
        <v>80.831599999999995</v>
      </c>
      <c r="H837" s="10">
        <f>80.6948 * CHOOSE(CONTROL!$C$9, $D$9, 100%, $F$9) + CHOOSE(CONTROL!$C$27, 0.0021, 0)</f>
        <v>80.696899999999999</v>
      </c>
      <c r="I837" s="10">
        <f>80.6948 * CHOOSE(CONTROL!$C$9, $D$9, 100%, $F$9) + CHOOSE(CONTROL!$C$27, 0.0021, 0)</f>
        <v>80.696899999999999</v>
      </c>
      <c r="J837" s="10">
        <f>80.6948 * CHOOSE(CONTROL!$C$9, $D$9, 100%, $F$9) + CHOOSE(CONTROL!$C$27, 0.0021, 0)</f>
        <v>80.696899999999999</v>
      </c>
      <c r="K837" s="10">
        <f>80.6948 * CHOOSE(CONTROL!$C$9, $D$9, 100%, $F$9) + CHOOSE(CONTROL!$C$27, 0.0021, 0)</f>
        <v>80.696899999999999</v>
      </c>
      <c r="L837" s="10"/>
    </row>
    <row r="838" spans="1:12" ht="15.75" x14ac:dyDescent="0.25">
      <c r="A838" s="13">
        <v>66810</v>
      </c>
      <c r="B838" s="10">
        <f>81.3091 * CHOOSE(CONTROL!$C$9, $D$9, 100%, $F$9) + CHOOSE(CONTROL!$C$27, 0.0021, 0)</f>
        <v>81.311199999999999</v>
      </c>
      <c r="C838" s="10">
        <f>80.8769 * CHOOSE(CONTROL!$C$9, $D$9, 100%, $F$9) + CHOOSE(CONTROL!$C$27, 0.0021, 0)</f>
        <v>80.879000000000005</v>
      </c>
      <c r="D838" s="10">
        <f>80.8769 * CHOOSE(CONTROL!$C$9, $D$9, 100%, $F$9) + CHOOSE(CONTROL!$C$27, 0.0021, 0)</f>
        <v>80.879000000000005</v>
      </c>
      <c r="E838" s="10">
        <f>80.7402 * CHOOSE(CONTROL!$C$9, $D$9, 100%, $F$9) + CHOOSE(CONTROL!$C$27, 0.0021, 0)</f>
        <v>80.7423</v>
      </c>
      <c r="F838" s="10">
        <f>80.7402 * CHOOSE(CONTROL!$C$9, $D$9, 100%, $F$9) + CHOOSE(CONTROL!$C$27, 0.0021, 0)</f>
        <v>80.7423</v>
      </c>
      <c r="G838" s="10">
        <f>81.0116 * CHOOSE(CONTROL!$C$9, $D$9, 100%, $F$9) + CHOOSE(CONTROL!$C$27, 0.0021, 0)</f>
        <v>81.0137</v>
      </c>
      <c r="H838" s="10">
        <f>80.8769 * CHOOSE(CONTROL!$C$9, $D$9, 100%, $F$9) + CHOOSE(CONTROL!$C$27, 0.0021, 0)</f>
        <v>80.879000000000005</v>
      </c>
      <c r="I838" s="10">
        <f>80.8769 * CHOOSE(CONTROL!$C$9, $D$9, 100%, $F$9) + CHOOSE(CONTROL!$C$27, 0.0021, 0)</f>
        <v>80.879000000000005</v>
      </c>
      <c r="J838" s="10">
        <f>80.8769 * CHOOSE(CONTROL!$C$9, $D$9, 100%, $F$9) + CHOOSE(CONTROL!$C$27, 0.0021, 0)</f>
        <v>80.879000000000005</v>
      </c>
      <c r="K838" s="10">
        <f>80.8769 * CHOOSE(CONTROL!$C$9, $D$9, 100%, $F$9) + CHOOSE(CONTROL!$C$27, 0.0021, 0)</f>
        <v>80.879000000000005</v>
      </c>
      <c r="L838" s="10"/>
    </row>
    <row r="839" spans="1:12" ht="15.75" x14ac:dyDescent="0.25">
      <c r="A839" s="13">
        <v>66841</v>
      </c>
      <c r="B839" s="10">
        <f>79.7598 * CHOOSE(CONTROL!$C$9, $D$9, 100%, $F$9) + CHOOSE(CONTROL!$C$27, 0.0021, 0)</f>
        <v>79.761899999999997</v>
      </c>
      <c r="C839" s="10">
        <f>79.3275 * CHOOSE(CONTROL!$C$9, $D$9, 100%, $F$9) + CHOOSE(CONTROL!$C$27, 0.0021, 0)</f>
        <v>79.329599999999999</v>
      </c>
      <c r="D839" s="10">
        <f>79.3275 * CHOOSE(CONTROL!$C$9, $D$9, 100%, $F$9) + CHOOSE(CONTROL!$C$27, 0.0021, 0)</f>
        <v>79.329599999999999</v>
      </c>
      <c r="E839" s="10">
        <f>79.1909 * CHOOSE(CONTROL!$C$9, $D$9, 100%, $F$9) + CHOOSE(CONTROL!$C$27, 0.0021, 0)</f>
        <v>79.192999999999998</v>
      </c>
      <c r="F839" s="10">
        <f>79.1909 * CHOOSE(CONTROL!$C$9, $D$9, 100%, $F$9) + CHOOSE(CONTROL!$C$27, 0.0021, 0)</f>
        <v>79.192999999999998</v>
      </c>
      <c r="G839" s="10">
        <f>79.4623 * CHOOSE(CONTROL!$C$9, $D$9, 100%, $F$9) + CHOOSE(CONTROL!$C$27, 0.0021, 0)</f>
        <v>79.464399999999998</v>
      </c>
      <c r="H839" s="10">
        <f>79.3275 * CHOOSE(CONTROL!$C$9, $D$9, 100%, $F$9) + CHOOSE(CONTROL!$C$27, 0.0021, 0)</f>
        <v>79.329599999999999</v>
      </c>
      <c r="I839" s="10">
        <f>79.3275 * CHOOSE(CONTROL!$C$9, $D$9, 100%, $F$9) + CHOOSE(CONTROL!$C$27, 0.0021, 0)</f>
        <v>79.329599999999999</v>
      </c>
      <c r="J839" s="10">
        <f>79.3275 * CHOOSE(CONTROL!$C$9, $D$9, 100%, $F$9) + CHOOSE(CONTROL!$C$27, 0.0021, 0)</f>
        <v>79.329599999999999</v>
      </c>
      <c r="K839" s="10">
        <f>79.3275 * CHOOSE(CONTROL!$C$9, $D$9, 100%, $F$9) + CHOOSE(CONTROL!$C$27, 0.0021, 0)</f>
        <v>79.329599999999999</v>
      </c>
      <c r="L839" s="10"/>
    </row>
    <row r="840" spans="1:12" ht="15.75" x14ac:dyDescent="0.25">
      <c r="A840" s="13">
        <v>66872</v>
      </c>
      <c r="B840" s="10">
        <f>78.5736 * CHOOSE(CONTROL!$C$9, $D$9, 100%, $F$9) + CHOOSE(CONTROL!$C$27, 0.0021, 0)</f>
        <v>78.575699999999998</v>
      </c>
      <c r="C840" s="10">
        <f>78.1413 * CHOOSE(CONTROL!$C$9, $D$9, 100%, $F$9) + CHOOSE(CONTROL!$C$27, 0.0021, 0)</f>
        <v>78.1434</v>
      </c>
      <c r="D840" s="10">
        <f>78.1413 * CHOOSE(CONTROL!$C$9, $D$9, 100%, $F$9) + CHOOSE(CONTROL!$C$27, 0.0021, 0)</f>
        <v>78.1434</v>
      </c>
      <c r="E840" s="10">
        <f>78.0047 * CHOOSE(CONTROL!$C$9, $D$9, 100%, $F$9) + CHOOSE(CONTROL!$C$27, 0.0021, 0)</f>
        <v>78.006799999999998</v>
      </c>
      <c r="F840" s="10">
        <f>78.0047 * CHOOSE(CONTROL!$C$9, $D$9, 100%, $F$9) + CHOOSE(CONTROL!$C$27, 0.0021, 0)</f>
        <v>78.006799999999998</v>
      </c>
      <c r="G840" s="10">
        <f>78.276 * CHOOSE(CONTROL!$C$9, $D$9, 100%, $F$9) + CHOOSE(CONTROL!$C$27, 0.0021, 0)</f>
        <v>78.278099999999995</v>
      </c>
      <c r="H840" s="10">
        <f>78.1413 * CHOOSE(CONTROL!$C$9, $D$9, 100%, $F$9) + CHOOSE(CONTROL!$C$27, 0.0021, 0)</f>
        <v>78.1434</v>
      </c>
      <c r="I840" s="10">
        <f>78.1413 * CHOOSE(CONTROL!$C$9, $D$9, 100%, $F$9) + CHOOSE(CONTROL!$C$27, 0.0021, 0)</f>
        <v>78.1434</v>
      </c>
      <c r="J840" s="10">
        <f>78.1413 * CHOOSE(CONTROL!$C$9, $D$9, 100%, $F$9) + CHOOSE(CONTROL!$C$27, 0.0021, 0)</f>
        <v>78.1434</v>
      </c>
      <c r="K840" s="10">
        <f>78.1413 * CHOOSE(CONTROL!$C$9, $D$9, 100%, $F$9) + CHOOSE(CONTROL!$C$27, 0.0021, 0)</f>
        <v>78.1434</v>
      </c>
      <c r="L840" s="10"/>
    </row>
    <row r="841" spans="1:12" ht="15.75" x14ac:dyDescent="0.25">
      <c r="A841" s="13">
        <v>66900</v>
      </c>
      <c r="B841" s="10">
        <f>76.4159 * CHOOSE(CONTROL!$C$9, $D$9, 100%, $F$9) + CHOOSE(CONTROL!$C$27, 0.0021, 0)</f>
        <v>76.417999999999992</v>
      </c>
      <c r="C841" s="10">
        <f>75.9837 * CHOOSE(CONTROL!$C$9, $D$9, 100%, $F$9) + CHOOSE(CONTROL!$C$27, 0.0021, 0)</f>
        <v>75.985799999999998</v>
      </c>
      <c r="D841" s="10">
        <f>75.9837 * CHOOSE(CONTROL!$C$9, $D$9, 100%, $F$9) + CHOOSE(CONTROL!$C$27, 0.0021, 0)</f>
        <v>75.985799999999998</v>
      </c>
      <c r="E841" s="10">
        <f>75.847 * CHOOSE(CONTROL!$C$9, $D$9, 100%, $F$9) + CHOOSE(CONTROL!$C$27, 0.0021, 0)</f>
        <v>75.849099999999993</v>
      </c>
      <c r="F841" s="10">
        <f>75.847 * CHOOSE(CONTROL!$C$9, $D$9, 100%, $F$9) + CHOOSE(CONTROL!$C$27, 0.0021, 0)</f>
        <v>75.849099999999993</v>
      </c>
      <c r="G841" s="10">
        <f>76.1184 * CHOOSE(CONTROL!$C$9, $D$9, 100%, $F$9) + CHOOSE(CONTROL!$C$27, 0.0021, 0)</f>
        <v>76.120499999999993</v>
      </c>
      <c r="H841" s="10">
        <f>75.9837 * CHOOSE(CONTROL!$C$9, $D$9, 100%, $F$9) + CHOOSE(CONTROL!$C$27, 0.0021, 0)</f>
        <v>75.985799999999998</v>
      </c>
      <c r="I841" s="10">
        <f>75.9837 * CHOOSE(CONTROL!$C$9, $D$9, 100%, $F$9) + CHOOSE(CONTROL!$C$27, 0.0021, 0)</f>
        <v>75.985799999999998</v>
      </c>
      <c r="J841" s="10">
        <f>75.9837 * CHOOSE(CONTROL!$C$9, $D$9, 100%, $F$9) + CHOOSE(CONTROL!$C$27, 0.0021, 0)</f>
        <v>75.985799999999998</v>
      </c>
      <c r="K841" s="10">
        <f>75.9837 * CHOOSE(CONTROL!$C$9, $D$9, 100%, $F$9) + CHOOSE(CONTROL!$C$27, 0.0021, 0)</f>
        <v>75.985799999999998</v>
      </c>
      <c r="L841" s="10"/>
    </row>
    <row r="842" spans="1:12" ht="15.75" x14ac:dyDescent="0.25">
      <c r="A842" s="13">
        <v>66931</v>
      </c>
      <c r="B842" s="10">
        <f>75.5253 * CHOOSE(CONTROL!$C$9, $D$9, 100%, $F$9) + CHOOSE(CONTROL!$C$27, 0.0021, 0)</f>
        <v>75.5274</v>
      </c>
      <c r="C842" s="10">
        <f>75.093 * CHOOSE(CONTROL!$C$9, $D$9, 100%, $F$9) + CHOOSE(CONTROL!$C$27, 0.0021, 0)</f>
        <v>75.095100000000002</v>
      </c>
      <c r="D842" s="10">
        <f>75.093 * CHOOSE(CONTROL!$C$9, $D$9, 100%, $F$9) + CHOOSE(CONTROL!$C$27, 0.0021, 0)</f>
        <v>75.095100000000002</v>
      </c>
      <c r="E842" s="10">
        <f>74.9563 * CHOOSE(CONTROL!$C$9, $D$9, 100%, $F$9) + CHOOSE(CONTROL!$C$27, 0.0021, 0)</f>
        <v>74.958399999999997</v>
      </c>
      <c r="F842" s="10">
        <f>74.9563 * CHOOSE(CONTROL!$C$9, $D$9, 100%, $F$9) + CHOOSE(CONTROL!$C$27, 0.0021, 0)</f>
        <v>74.958399999999997</v>
      </c>
      <c r="G842" s="10">
        <f>75.2277 * CHOOSE(CONTROL!$C$9, $D$9, 100%, $F$9) + CHOOSE(CONTROL!$C$27, 0.0021, 0)</f>
        <v>75.229799999999997</v>
      </c>
      <c r="H842" s="10">
        <f>75.093 * CHOOSE(CONTROL!$C$9, $D$9, 100%, $F$9) + CHOOSE(CONTROL!$C$27, 0.0021, 0)</f>
        <v>75.095100000000002</v>
      </c>
      <c r="I842" s="10">
        <f>75.093 * CHOOSE(CONTROL!$C$9, $D$9, 100%, $F$9) + CHOOSE(CONTROL!$C$27, 0.0021, 0)</f>
        <v>75.095100000000002</v>
      </c>
      <c r="J842" s="10">
        <f>75.093 * CHOOSE(CONTROL!$C$9, $D$9, 100%, $F$9) + CHOOSE(CONTROL!$C$27, 0.0021, 0)</f>
        <v>75.095100000000002</v>
      </c>
      <c r="K842" s="10">
        <f>75.093 * CHOOSE(CONTROL!$C$9, $D$9, 100%, $F$9) + CHOOSE(CONTROL!$C$27, 0.0021, 0)</f>
        <v>75.095100000000002</v>
      </c>
      <c r="L842" s="10"/>
    </row>
    <row r="843" spans="1:12" ht="15.75" x14ac:dyDescent="0.25">
      <c r="A843" s="13">
        <v>66961</v>
      </c>
      <c r="B843" s="10">
        <f>74.4618 * CHOOSE(CONTROL!$C$9, $D$9, 100%, $F$9) + CHOOSE(CONTROL!$C$27, 0.0021, 0)</f>
        <v>74.463899999999995</v>
      </c>
      <c r="C843" s="10">
        <f>74.0295 * CHOOSE(CONTROL!$C$9, $D$9, 100%, $F$9) + CHOOSE(CONTROL!$C$27, 0.0021, 0)</f>
        <v>74.031599999999997</v>
      </c>
      <c r="D843" s="10">
        <f>74.0295 * CHOOSE(CONTROL!$C$9, $D$9, 100%, $F$9) + CHOOSE(CONTROL!$C$27, 0.0021, 0)</f>
        <v>74.031599999999997</v>
      </c>
      <c r="E843" s="10">
        <f>73.8929 * CHOOSE(CONTROL!$C$9, $D$9, 100%, $F$9) + CHOOSE(CONTROL!$C$27, 0.0021, 0)</f>
        <v>73.894999999999996</v>
      </c>
      <c r="F843" s="10">
        <f>73.8929 * CHOOSE(CONTROL!$C$9, $D$9, 100%, $F$9) + CHOOSE(CONTROL!$C$27, 0.0021, 0)</f>
        <v>73.894999999999996</v>
      </c>
      <c r="G843" s="10">
        <f>74.1642 * CHOOSE(CONTROL!$C$9, $D$9, 100%, $F$9) + CHOOSE(CONTROL!$C$27, 0.0021, 0)</f>
        <v>74.166299999999993</v>
      </c>
      <c r="H843" s="10">
        <f>74.0295 * CHOOSE(CONTROL!$C$9, $D$9, 100%, $F$9) + CHOOSE(CONTROL!$C$27, 0.0021, 0)</f>
        <v>74.031599999999997</v>
      </c>
      <c r="I843" s="10">
        <f>74.0295 * CHOOSE(CONTROL!$C$9, $D$9, 100%, $F$9) + CHOOSE(CONTROL!$C$27, 0.0021, 0)</f>
        <v>74.031599999999997</v>
      </c>
      <c r="J843" s="10">
        <f>74.0295 * CHOOSE(CONTROL!$C$9, $D$9, 100%, $F$9) + CHOOSE(CONTROL!$C$27, 0.0021, 0)</f>
        <v>74.031599999999997</v>
      </c>
      <c r="K843" s="10">
        <f>74.0295 * CHOOSE(CONTROL!$C$9, $D$9, 100%, $F$9) + CHOOSE(CONTROL!$C$27, 0.0021, 0)</f>
        <v>74.031599999999997</v>
      </c>
      <c r="L843" s="10"/>
    </row>
    <row r="844" spans="1:12" ht="15.75" x14ac:dyDescent="0.25">
      <c r="A844" s="13">
        <v>66992</v>
      </c>
      <c r="B844" s="10">
        <f>75.9774 * CHOOSE(CONTROL!$C$9, $D$9, 100%, $F$9) + CHOOSE(CONTROL!$C$27, 0.0021, 0)</f>
        <v>75.979500000000002</v>
      </c>
      <c r="C844" s="10">
        <f>75.5451 * CHOOSE(CONTROL!$C$9, $D$9, 100%, $F$9) + CHOOSE(CONTROL!$C$27, 0.0021, 0)</f>
        <v>75.547200000000004</v>
      </c>
      <c r="D844" s="10">
        <f>75.5451 * CHOOSE(CONTROL!$C$9, $D$9, 100%, $F$9) + CHOOSE(CONTROL!$C$27, 0.0021, 0)</f>
        <v>75.547200000000004</v>
      </c>
      <c r="E844" s="10">
        <f>75.4085 * CHOOSE(CONTROL!$C$9, $D$9, 100%, $F$9) + CHOOSE(CONTROL!$C$27, 0.0021, 0)</f>
        <v>75.410600000000002</v>
      </c>
      <c r="F844" s="10">
        <f>75.4085 * CHOOSE(CONTROL!$C$9, $D$9, 100%, $F$9) + CHOOSE(CONTROL!$C$27, 0.0021, 0)</f>
        <v>75.410600000000002</v>
      </c>
      <c r="G844" s="10">
        <f>75.6798 * CHOOSE(CONTROL!$C$9, $D$9, 100%, $F$9) + CHOOSE(CONTROL!$C$27, 0.0021, 0)</f>
        <v>75.681899999999999</v>
      </c>
      <c r="H844" s="10">
        <f>75.5451 * CHOOSE(CONTROL!$C$9, $D$9, 100%, $F$9) + CHOOSE(CONTROL!$C$27, 0.0021, 0)</f>
        <v>75.547200000000004</v>
      </c>
      <c r="I844" s="10">
        <f>75.5451 * CHOOSE(CONTROL!$C$9, $D$9, 100%, $F$9) + CHOOSE(CONTROL!$C$27, 0.0021, 0)</f>
        <v>75.547200000000004</v>
      </c>
      <c r="J844" s="10">
        <f>75.5451 * CHOOSE(CONTROL!$C$9, $D$9, 100%, $F$9) + CHOOSE(CONTROL!$C$27, 0.0021, 0)</f>
        <v>75.547200000000004</v>
      </c>
      <c r="K844" s="10">
        <f>75.5451 * CHOOSE(CONTROL!$C$9, $D$9, 100%, $F$9) + CHOOSE(CONTROL!$C$27, 0.0021, 0)</f>
        <v>75.547200000000004</v>
      </c>
      <c r="L844" s="10"/>
    </row>
    <row r="845" spans="1:12" ht="15.75" x14ac:dyDescent="0.25">
      <c r="A845" s="13">
        <v>67022</v>
      </c>
      <c r="B845" s="10">
        <f>76.8851 * CHOOSE(CONTROL!$C$9, $D$9, 100%, $F$9) + CHOOSE(CONTROL!$C$27, 0.0021, 0)</f>
        <v>76.887199999999993</v>
      </c>
      <c r="C845" s="10">
        <f>76.4529 * CHOOSE(CONTROL!$C$9, $D$9, 100%, $F$9) + CHOOSE(CONTROL!$C$27, 0.0021, 0)</f>
        <v>76.454999999999998</v>
      </c>
      <c r="D845" s="10">
        <f>76.4529 * CHOOSE(CONTROL!$C$9, $D$9, 100%, $F$9) + CHOOSE(CONTROL!$C$27, 0.0021, 0)</f>
        <v>76.454999999999998</v>
      </c>
      <c r="E845" s="10">
        <f>76.3162 * CHOOSE(CONTROL!$C$9, $D$9, 100%, $F$9) + CHOOSE(CONTROL!$C$27, 0.0021, 0)</f>
        <v>76.318299999999994</v>
      </c>
      <c r="F845" s="10">
        <f>76.3162 * CHOOSE(CONTROL!$C$9, $D$9, 100%, $F$9) + CHOOSE(CONTROL!$C$27, 0.0021, 0)</f>
        <v>76.318299999999994</v>
      </c>
      <c r="G845" s="10">
        <f>76.5876 * CHOOSE(CONTROL!$C$9, $D$9, 100%, $F$9) + CHOOSE(CONTROL!$C$27, 0.0021, 0)</f>
        <v>76.589699999999993</v>
      </c>
      <c r="H845" s="10">
        <f>76.4529 * CHOOSE(CONTROL!$C$9, $D$9, 100%, $F$9) + CHOOSE(CONTROL!$C$27, 0.0021, 0)</f>
        <v>76.454999999999998</v>
      </c>
      <c r="I845" s="10">
        <f>76.4529 * CHOOSE(CONTROL!$C$9, $D$9, 100%, $F$9) + CHOOSE(CONTROL!$C$27, 0.0021, 0)</f>
        <v>76.454999999999998</v>
      </c>
      <c r="J845" s="10">
        <f>76.4529 * CHOOSE(CONTROL!$C$9, $D$9, 100%, $F$9) + CHOOSE(CONTROL!$C$27, 0.0021, 0)</f>
        <v>76.454999999999998</v>
      </c>
      <c r="K845" s="10">
        <f>76.4529 * CHOOSE(CONTROL!$C$9, $D$9, 100%, $F$9) + CHOOSE(CONTROL!$C$27, 0.0021, 0)</f>
        <v>76.454999999999998</v>
      </c>
      <c r="L845" s="10"/>
    </row>
    <row r="846" spans="1:12" ht="15.75" x14ac:dyDescent="0.25">
      <c r="A846" s="13">
        <v>67053</v>
      </c>
      <c r="B846" s="10">
        <f>78.3826 * CHOOSE(CONTROL!$C$9, $D$9, 100%, $F$9) + CHOOSE(CONTROL!$C$27, 0.0021, 0)</f>
        <v>78.384699999999995</v>
      </c>
      <c r="C846" s="10">
        <f>77.9504 * CHOOSE(CONTROL!$C$9, $D$9, 100%, $F$9) + CHOOSE(CONTROL!$C$27, 0.0021, 0)</f>
        <v>77.952500000000001</v>
      </c>
      <c r="D846" s="10">
        <f>77.9504 * CHOOSE(CONTROL!$C$9, $D$9, 100%, $F$9) + CHOOSE(CONTROL!$C$27, 0.0021, 0)</f>
        <v>77.952500000000001</v>
      </c>
      <c r="E846" s="10">
        <f>77.8137 * CHOOSE(CONTROL!$C$9, $D$9, 100%, $F$9) + CHOOSE(CONTROL!$C$27, 0.0021, 0)</f>
        <v>77.815799999999996</v>
      </c>
      <c r="F846" s="10">
        <f>77.8137 * CHOOSE(CONTROL!$C$9, $D$9, 100%, $F$9) + CHOOSE(CONTROL!$C$27, 0.0021, 0)</f>
        <v>77.815799999999996</v>
      </c>
      <c r="G846" s="10">
        <f>78.0851 * CHOOSE(CONTROL!$C$9, $D$9, 100%, $F$9) + CHOOSE(CONTROL!$C$27, 0.0021, 0)</f>
        <v>78.087199999999996</v>
      </c>
      <c r="H846" s="10">
        <f>77.9504 * CHOOSE(CONTROL!$C$9, $D$9, 100%, $F$9) + CHOOSE(CONTROL!$C$27, 0.0021, 0)</f>
        <v>77.952500000000001</v>
      </c>
      <c r="I846" s="10">
        <f>77.9504 * CHOOSE(CONTROL!$C$9, $D$9, 100%, $F$9) + CHOOSE(CONTROL!$C$27, 0.0021, 0)</f>
        <v>77.952500000000001</v>
      </c>
      <c r="J846" s="10">
        <f>77.9504 * CHOOSE(CONTROL!$C$9, $D$9, 100%, $F$9) + CHOOSE(CONTROL!$C$27, 0.0021, 0)</f>
        <v>77.952500000000001</v>
      </c>
      <c r="K846" s="10">
        <f>77.9504 * CHOOSE(CONTROL!$C$9, $D$9, 100%, $F$9) + CHOOSE(CONTROL!$C$27, 0.0021, 0)</f>
        <v>77.952500000000001</v>
      </c>
      <c r="L846" s="10"/>
    </row>
    <row r="847" spans="1:12" ht="15.75" x14ac:dyDescent="0.25">
      <c r="A847" s="13">
        <v>67084</v>
      </c>
      <c r="B847" s="10">
        <f>78.8397 * CHOOSE(CONTROL!$C$9, $D$9, 100%, $F$9) + CHOOSE(CONTROL!$C$27, 0.0021, 0)</f>
        <v>78.841799999999992</v>
      </c>
      <c r="C847" s="10">
        <f>78.4075 * CHOOSE(CONTROL!$C$9, $D$9, 100%, $F$9) + CHOOSE(CONTROL!$C$27, 0.0021, 0)</f>
        <v>78.409599999999998</v>
      </c>
      <c r="D847" s="10">
        <f>78.4075 * CHOOSE(CONTROL!$C$9, $D$9, 100%, $F$9) + CHOOSE(CONTROL!$C$27, 0.0021, 0)</f>
        <v>78.409599999999998</v>
      </c>
      <c r="E847" s="10">
        <f>78.2708 * CHOOSE(CONTROL!$C$9, $D$9, 100%, $F$9) + CHOOSE(CONTROL!$C$27, 0.0021, 0)</f>
        <v>78.272899999999993</v>
      </c>
      <c r="F847" s="10">
        <f>78.2708 * CHOOSE(CONTROL!$C$9, $D$9, 100%, $F$9) + CHOOSE(CONTROL!$C$27, 0.0021, 0)</f>
        <v>78.272899999999993</v>
      </c>
      <c r="G847" s="10">
        <f>78.5422 * CHOOSE(CONTROL!$C$9, $D$9, 100%, $F$9) + CHOOSE(CONTROL!$C$27, 0.0021, 0)</f>
        <v>78.544299999999993</v>
      </c>
      <c r="H847" s="10">
        <f>78.4075 * CHOOSE(CONTROL!$C$9, $D$9, 100%, $F$9) + CHOOSE(CONTROL!$C$27, 0.0021, 0)</f>
        <v>78.409599999999998</v>
      </c>
      <c r="I847" s="10">
        <f>78.4075 * CHOOSE(CONTROL!$C$9, $D$9, 100%, $F$9) + CHOOSE(CONTROL!$C$27, 0.0021, 0)</f>
        <v>78.409599999999998</v>
      </c>
      <c r="J847" s="10">
        <f>78.4075 * CHOOSE(CONTROL!$C$9, $D$9, 100%, $F$9) + CHOOSE(CONTROL!$C$27, 0.0021, 0)</f>
        <v>78.409599999999998</v>
      </c>
      <c r="K847" s="10">
        <f>78.4075 * CHOOSE(CONTROL!$C$9, $D$9, 100%, $F$9) + CHOOSE(CONTROL!$C$27, 0.0021, 0)</f>
        <v>78.409599999999998</v>
      </c>
      <c r="L847" s="10"/>
    </row>
    <row r="848" spans="1:12" ht="15.75" x14ac:dyDescent="0.25">
      <c r="A848" s="13">
        <v>67114</v>
      </c>
      <c r="B848" s="10">
        <f>80.3963 * CHOOSE(CONTROL!$C$9, $D$9, 100%, $F$9) + CHOOSE(CONTROL!$C$27, 0.0021, 0)</f>
        <v>80.398399999999995</v>
      </c>
      <c r="C848" s="10">
        <f>79.9641 * CHOOSE(CONTROL!$C$9, $D$9, 100%, $F$9) + CHOOSE(CONTROL!$C$27, 0.0021, 0)</f>
        <v>79.966200000000001</v>
      </c>
      <c r="D848" s="10">
        <f>79.9641 * CHOOSE(CONTROL!$C$9, $D$9, 100%, $F$9) + CHOOSE(CONTROL!$C$27, 0.0021, 0)</f>
        <v>79.966200000000001</v>
      </c>
      <c r="E848" s="10">
        <f>79.8274 * CHOOSE(CONTROL!$C$9, $D$9, 100%, $F$9) + CHOOSE(CONTROL!$C$27, 0.0021, 0)</f>
        <v>79.829499999999996</v>
      </c>
      <c r="F848" s="10">
        <f>79.8274 * CHOOSE(CONTROL!$C$9, $D$9, 100%, $F$9) + CHOOSE(CONTROL!$C$27, 0.0021, 0)</f>
        <v>79.829499999999996</v>
      </c>
      <c r="G848" s="10">
        <f>80.0988 * CHOOSE(CONTROL!$C$9, $D$9, 100%, $F$9) + CHOOSE(CONTROL!$C$27, 0.0021, 0)</f>
        <v>80.100899999999996</v>
      </c>
      <c r="H848" s="10">
        <f>79.9641 * CHOOSE(CONTROL!$C$9, $D$9, 100%, $F$9) + CHOOSE(CONTROL!$C$27, 0.0021, 0)</f>
        <v>79.966200000000001</v>
      </c>
      <c r="I848" s="10">
        <f>79.9641 * CHOOSE(CONTROL!$C$9, $D$9, 100%, $F$9) + CHOOSE(CONTROL!$C$27, 0.0021, 0)</f>
        <v>79.966200000000001</v>
      </c>
      <c r="J848" s="10">
        <f>79.9641 * CHOOSE(CONTROL!$C$9, $D$9, 100%, $F$9) + CHOOSE(CONTROL!$C$27, 0.0021, 0)</f>
        <v>79.966200000000001</v>
      </c>
      <c r="K848" s="10">
        <f>79.9641 * CHOOSE(CONTROL!$C$9, $D$9, 100%, $F$9) + CHOOSE(CONTROL!$C$27, 0.0021, 0)</f>
        <v>79.966200000000001</v>
      </c>
      <c r="L848" s="10"/>
    </row>
    <row r="849" spans="1:12" ht="15.75" x14ac:dyDescent="0.25">
      <c r="A849" s="13">
        <v>67145</v>
      </c>
      <c r="B849" s="10">
        <f>82.3667 * CHOOSE(CONTROL!$C$9, $D$9, 100%, $F$9) + CHOOSE(CONTROL!$C$27, 0.0021, 0)</f>
        <v>82.368799999999993</v>
      </c>
      <c r="C849" s="10">
        <f>81.9344 * CHOOSE(CONTROL!$C$9, $D$9, 100%, $F$9) + CHOOSE(CONTROL!$C$27, 0.0021, 0)</f>
        <v>81.936499999999995</v>
      </c>
      <c r="D849" s="10">
        <f>81.9344 * CHOOSE(CONTROL!$C$9, $D$9, 100%, $F$9) + CHOOSE(CONTROL!$C$27, 0.0021, 0)</f>
        <v>81.936499999999995</v>
      </c>
      <c r="E849" s="10">
        <f>81.7978 * CHOOSE(CONTROL!$C$9, $D$9, 100%, $F$9) + CHOOSE(CONTROL!$C$27, 0.0021, 0)</f>
        <v>81.799899999999994</v>
      </c>
      <c r="F849" s="10">
        <f>81.7978 * CHOOSE(CONTROL!$C$9, $D$9, 100%, $F$9) + CHOOSE(CONTROL!$C$27, 0.0021, 0)</f>
        <v>81.799899999999994</v>
      </c>
      <c r="G849" s="10">
        <f>82.0692 * CHOOSE(CONTROL!$C$9, $D$9, 100%, $F$9) + CHOOSE(CONTROL!$C$27, 0.0021, 0)</f>
        <v>82.071299999999994</v>
      </c>
      <c r="H849" s="10">
        <f>81.9344 * CHOOSE(CONTROL!$C$9, $D$9, 100%, $F$9) + CHOOSE(CONTROL!$C$27, 0.0021, 0)</f>
        <v>81.936499999999995</v>
      </c>
      <c r="I849" s="10">
        <f>81.9344 * CHOOSE(CONTROL!$C$9, $D$9, 100%, $F$9) + CHOOSE(CONTROL!$C$27, 0.0021, 0)</f>
        <v>81.936499999999995</v>
      </c>
      <c r="J849" s="10">
        <f>81.9344 * CHOOSE(CONTROL!$C$9, $D$9, 100%, $F$9) + CHOOSE(CONTROL!$C$27, 0.0021, 0)</f>
        <v>81.936499999999995</v>
      </c>
      <c r="K849" s="10">
        <f>81.9344 * CHOOSE(CONTROL!$C$9, $D$9, 100%, $F$9) + CHOOSE(CONTROL!$C$27, 0.0021, 0)</f>
        <v>81.936499999999995</v>
      </c>
      <c r="L849" s="10"/>
    </row>
    <row r="850" spans="1:12" ht="15.75" x14ac:dyDescent="0.25">
      <c r="A850" s="13">
        <v>67175</v>
      </c>
      <c r="B850" s="10">
        <f>82.5517 * CHOOSE(CONTROL!$C$9, $D$9, 100%, $F$9) + CHOOSE(CONTROL!$C$27, 0.0021, 0)</f>
        <v>82.553799999999995</v>
      </c>
      <c r="C850" s="10">
        <f>82.1194 * CHOOSE(CONTROL!$C$9, $D$9, 100%, $F$9) + CHOOSE(CONTROL!$C$27, 0.0021, 0)</f>
        <v>82.121499999999997</v>
      </c>
      <c r="D850" s="10">
        <f>82.1194 * CHOOSE(CONTROL!$C$9, $D$9, 100%, $F$9) + CHOOSE(CONTROL!$C$27, 0.0021, 0)</f>
        <v>82.121499999999997</v>
      </c>
      <c r="E850" s="10">
        <f>81.9828 * CHOOSE(CONTROL!$C$9, $D$9, 100%, $F$9) + CHOOSE(CONTROL!$C$27, 0.0021, 0)</f>
        <v>81.984899999999996</v>
      </c>
      <c r="F850" s="10">
        <f>81.9828 * CHOOSE(CONTROL!$C$9, $D$9, 100%, $F$9) + CHOOSE(CONTROL!$C$27, 0.0021, 0)</f>
        <v>81.984899999999996</v>
      </c>
      <c r="G850" s="10">
        <f>82.2541 * CHOOSE(CONTROL!$C$9, $D$9, 100%, $F$9) + CHOOSE(CONTROL!$C$27, 0.0021, 0)</f>
        <v>82.256199999999993</v>
      </c>
      <c r="H850" s="10">
        <f>82.1194 * CHOOSE(CONTROL!$C$9, $D$9, 100%, $F$9) + CHOOSE(CONTROL!$C$27, 0.0021, 0)</f>
        <v>82.121499999999997</v>
      </c>
      <c r="I850" s="10">
        <f>82.1194 * CHOOSE(CONTROL!$C$9, $D$9, 100%, $F$9) + CHOOSE(CONTROL!$C$27, 0.0021, 0)</f>
        <v>82.121499999999997</v>
      </c>
      <c r="J850" s="10">
        <f>82.1194 * CHOOSE(CONTROL!$C$9, $D$9, 100%, $F$9) + CHOOSE(CONTROL!$C$27, 0.0021, 0)</f>
        <v>82.121499999999997</v>
      </c>
      <c r="K850" s="10">
        <f>82.1194 * CHOOSE(CONTROL!$C$9, $D$9, 100%, $F$9) + CHOOSE(CONTROL!$C$27, 0.0021, 0)</f>
        <v>82.121499999999997</v>
      </c>
      <c r="L850" s="10"/>
    </row>
    <row r="851" spans="1:12" ht="15.75" x14ac:dyDescent="0.25">
      <c r="A851" s="13">
        <v>67206</v>
      </c>
      <c r="B851" s="10">
        <f>80.978 * CHOOSE(CONTROL!$C$9, $D$9, 100%, $F$9) + CHOOSE(CONTROL!$C$27, 0.0021, 0)</f>
        <v>80.980099999999993</v>
      </c>
      <c r="C851" s="10">
        <f>80.5457 * CHOOSE(CONTROL!$C$9, $D$9, 100%, $F$9) + CHOOSE(CONTROL!$C$27, 0.0021, 0)</f>
        <v>80.547799999999995</v>
      </c>
      <c r="D851" s="10">
        <f>80.5457 * CHOOSE(CONTROL!$C$9, $D$9, 100%, $F$9) + CHOOSE(CONTROL!$C$27, 0.0021, 0)</f>
        <v>80.547799999999995</v>
      </c>
      <c r="E851" s="10">
        <f>80.4091 * CHOOSE(CONTROL!$C$9, $D$9, 100%, $F$9) + CHOOSE(CONTROL!$C$27, 0.0021, 0)</f>
        <v>80.411199999999994</v>
      </c>
      <c r="F851" s="10">
        <f>80.4091 * CHOOSE(CONTROL!$C$9, $D$9, 100%, $F$9) + CHOOSE(CONTROL!$C$27, 0.0021, 0)</f>
        <v>80.411199999999994</v>
      </c>
      <c r="G851" s="10">
        <f>80.6804 * CHOOSE(CONTROL!$C$9, $D$9, 100%, $F$9) + CHOOSE(CONTROL!$C$27, 0.0021, 0)</f>
        <v>80.682500000000005</v>
      </c>
      <c r="H851" s="10">
        <f>80.5457 * CHOOSE(CONTROL!$C$9, $D$9, 100%, $F$9) + CHOOSE(CONTROL!$C$27, 0.0021, 0)</f>
        <v>80.547799999999995</v>
      </c>
      <c r="I851" s="10">
        <f>80.5457 * CHOOSE(CONTROL!$C$9, $D$9, 100%, $F$9) + CHOOSE(CONTROL!$C$27, 0.0021, 0)</f>
        <v>80.547799999999995</v>
      </c>
      <c r="J851" s="10">
        <f>80.5457 * CHOOSE(CONTROL!$C$9, $D$9, 100%, $F$9) + CHOOSE(CONTROL!$C$27, 0.0021, 0)</f>
        <v>80.547799999999995</v>
      </c>
      <c r="K851" s="10">
        <f>80.5457 * CHOOSE(CONTROL!$C$9, $D$9, 100%, $F$9) + CHOOSE(CONTROL!$C$27, 0.0021, 0)</f>
        <v>80.547799999999995</v>
      </c>
      <c r="L851" s="10"/>
    </row>
    <row r="852" spans="1:12" ht="15.75" x14ac:dyDescent="0.25">
      <c r="A852" s="13">
        <v>67237</v>
      </c>
      <c r="B852" s="10">
        <f>79.7731 * CHOOSE(CONTROL!$C$9, $D$9, 100%, $F$9) + CHOOSE(CONTROL!$C$27, 0.0021, 0)</f>
        <v>79.775199999999998</v>
      </c>
      <c r="C852" s="10">
        <f>79.3408 * CHOOSE(CONTROL!$C$9, $D$9, 100%, $F$9) + CHOOSE(CONTROL!$C$27, 0.0021, 0)</f>
        <v>79.3429</v>
      </c>
      <c r="D852" s="10">
        <f>79.3408 * CHOOSE(CONTROL!$C$9, $D$9, 100%, $F$9) + CHOOSE(CONTROL!$C$27, 0.0021, 0)</f>
        <v>79.3429</v>
      </c>
      <c r="E852" s="10">
        <f>79.2042 * CHOOSE(CONTROL!$C$9, $D$9, 100%, $F$9) + CHOOSE(CONTROL!$C$27, 0.0021, 0)</f>
        <v>79.206299999999999</v>
      </c>
      <c r="F852" s="10">
        <f>79.2042 * CHOOSE(CONTROL!$C$9, $D$9, 100%, $F$9) + CHOOSE(CONTROL!$C$27, 0.0021, 0)</f>
        <v>79.206299999999999</v>
      </c>
      <c r="G852" s="10">
        <f>79.4756 * CHOOSE(CONTROL!$C$9, $D$9, 100%, $F$9) + CHOOSE(CONTROL!$C$27, 0.0021, 0)</f>
        <v>79.477699999999999</v>
      </c>
      <c r="H852" s="10">
        <f>79.3408 * CHOOSE(CONTROL!$C$9, $D$9, 100%, $F$9) + CHOOSE(CONTROL!$C$27, 0.0021, 0)</f>
        <v>79.3429</v>
      </c>
      <c r="I852" s="10">
        <f>79.3408 * CHOOSE(CONTROL!$C$9, $D$9, 100%, $F$9) + CHOOSE(CONTROL!$C$27, 0.0021, 0)</f>
        <v>79.3429</v>
      </c>
      <c r="J852" s="10">
        <f>79.3408 * CHOOSE(CONTROL!$C$9, $D$9, 100%, $F$9) + CHOOSE(CONTROL!$C$27, 0.0021, 0)</f>
        <v>79.3429</v>
      </c>
      <c r="K852" s="10">
        <f>79.3408 * CHOOSE(CONTROL!$C$9, $D$9, 100%, $F$9) + CHOOSE(CONTROL!$C$27, 0.0021, 0)</f>
        <v>79.3429</v>
      </c>
      <c r="L852" s="10"/>
    </row>
    <row r="853" spans="1:12" ht="15.75" x14ac:dyDescent="0.25">
      <c r="A853" s="13">
        <v>67266</v>
      </c>
      <c r="B853" s="10">
        <f>77.5815 * CHOOSE(CONTROL!$C$9, $D$9, 100%, $F$9) + CHOOSE(CONTROL!$C$27, 0.0021, 0)</f>
        <v>77.583600000000004</v>
      </c>
      <c r="C853" s="10">
        <f>77.1493 * CHOOSE(CONTROL!$C$9, $D$9, 100%, $F$9) + CHOOSE(CONTROL!$C$27, 0.0021, 0)</f>
        <v>77.151399999999995</v>
      </c>
      <c r="D853" s="10">
        <f>77.1493 * CHOOSE(CONTROL!$C$9, $D$9, 100%, $F$9) + CHOOSE(CONTROL!$C$27, 0.0021, 0)</f>
        <v>77.151399999999995</v>
      </c>
      <c r="E853" s="10">
        <f>77.0126 * CHOOSE(CONTROL!$C$9, $D$9, 100%, $F$9) + CHOOSE(CONTROL!$C$27, 0.0021, 0)</f>
        <v>77.014700000000005</v>
      </c>
      <c r="F853" s="10">
        <f>77.0126 * CHOOSE(CONTROL!$C$9, $D$9, 100%, $F$9) + CHOOSE(CONTROL!$C$27, 0.0021, 0)</f>
        <v>77.014700000000005</v>
      </c>
      <c r="G853" s="10">
        <f>77.284 * CHOOSE(CONTROL!$C$9, $D$9, 100%, $F$9) + CHOOSE(CONTROL!$C$27, 0.0021, 0)</f>
        <v>77.286100000000005</v>
      </c>
      <c r="H853" s="10">
        <f>77.1493 * CHOOSE(CONTROL!$C$9, $D$9, 100%, $F$9) + CHOOSE(CONTROL!$C$27, 0.0021, 0)</f>
        <v>77.151399999999995</v>
      </c>
      <c r="I853" s="10">
        <f>77.1493 * CHOOSE(CONTROL!$C$9, $D$9, 100%, $F$9) + CHOOSE(CONTROL!$C$27, 0.0021, 0)</f>
        <v>77.151399999999995</v>
      </c>
      <c r="J853" s="10">
        <f>77.1493 * CHOOSE(CONTROL!$C$9, $D$9, 100%, $F$9) + CHOOSE(CONTROL!$C$27, 0.0021, 0)</f>
        <v>77.151399999999995</v>
      </c>
      <c r="K853" s="10">
        <f>77.1493 * CHOOSE(CONTROL!$C$9, $D$9, 100%, $F$9) + CHOOSE(CONTROL!$C$27, 0.0021, 0)</f>
        <v>77.151399999999995</v>
      </c>
      <c r="L853" s="10"/>
    </row>
    <row r="854" spans="1:12" ht="15.75" x14ac:dyDescent="0.25">
      <c r="A854" s="13">
        <v>67297</v>
      </c>
      <c r="B854" s="10">
        <f>76.6768 * CHOOSE(CONTROL!$C$9, $D$9, 100%, $F$9) + CHOOSE(CONTROL!$C$27, 0.0021, 0)</f>
        <v>76.678899999999999</v>
      </c>
      <c r="C854" s="10">
        <f>76.2446 * CHOOSE(CONTROL!$C$9, $D$9, 100%, $F$9) + CHOOSE(CONTROL!$C$27, 0.0021, 0)</f>
        <v>76.246700000000004</v>
      </c>
      <c r="D854" s="10">
        <f>76.2446 * CHOOSE(CONTROL!$C$9, $D$9, 100%, $F$9) + CHOOSE(CONTROL!$C$27, 0.0021, 0)</f>
        <v>76.246700000000004</v>
      </c>
      <c r="E854" s="10">
        <f>76.1079 * CHOOSE(CONTROL!$C$9, $D$9, 100%, $F$9) + CHOOSE(CONTROL!$C$27, 0.0021, 0)</f>
        <v>76.11</v>
      </c>
      <c r="F854" s="10">
        <f>76.1079 * CHOOSE(CONTROL!$C$9, $D$9, 100%, $F$9) + CHOOSE(CONTROL!$C$27, 0.0021, 0)</f>
        <v>76.11</v>
      </c>
      <c r="G854" s="10">
        <f>76.3793 * CHOOSE(CONTROL!$C$9, $D$9, 100%, $F$9) + CHOOSE(CONTROL!$C$27, 0.0021, 0)</f>
        <v>76.381399999999999</v>
      </c>
      <c r="H854" s="10">
        <f>76.2446 * CHOOSE(CONTROL!$C$9, $D$9, 100%, $F$9) + CHOOSE(CONTROL!$C$27, 0.0021, 0)</f>
        <v>76.246700000000004</v>
      </c>
      <c r="I854" s="10">
        <f>76.2446 * CHOOSE(CONTROL!$C$9, $D$9, 100%, $F$9) + CHOOSE(CONTROL!$C$27, 0.0021, 0)</f>
        <v>76.246700000000004</v>
      </c>
      <c r="J854" s="10">
        <f>76.2446 * CHOOSE(CONTROL!$C$9, $D$9, 100%, $F$9) + CHOOSE(CONTROL!$C$27, 0.0021, 0)</f>
        <v>76.246700000000004</v>
      </c>
      <c r="K854" s="10">
        <f>76.2446 * CHOOSE(CONTROL!$C$9, $D$9, 100%, $F$9) + CHOOSE(CONTROL!$C$27, 0.0021, 0)</f>
        <v>76.246700000000004</v>
      </c>
      <c r="L854" s="10"/>
    </row>
    <row r="855" spans="1:12" ht="15.75" x14ac:dyDescent="0.25">
      <c r="A855" s="13">
        <v>67327</v>
      </c>
      <c r="B855" s="10">
        <f>75.5966 * CHOOSE(CONTROL!$C$9, $D$9, 100%, $F$9) + CHOOSE(CONTROL!$C$27, 0.0021, 0)</f>
        <v>75.598699999999994</v>
      </c>
      <c r="C855" s="10">
        <f>75.1644 * CHOOSE(CONTROL!$C$9, $D$9, 100%, $F$9) + CHOOSE(CONTROL!$C$27, 0.0021, 0)</f>
        <v>75.166499999999999</v>
      </c>
      <c r="D855" s="10">
        <f>75.1644 * CHOOSE(CONTROL!$C$9, $D$9, 100%, $F$9) + CHOOSE(CONTROL!$C$27, 0.0021, 0)</f>
        <v>75.166499999999999</v>
      </c>
      <c r="E855" s="10">
        <f>75.0277 * CHOOSE(CONTROL!$C$9, $D$9, 100%, $F$9) + CHOOSE(CONTROL!$C$27, 0.0021, 0)</f>
        <v>75.029799999999994</v>
      </c>
      <c r="F855" s="10">
        <f>75.0277 * CHOOSE(CONTROL!$C$9, $D$9, 100%, $F$9) + CHOOSE(CONTROL!$C$27, 0.0021, 0)</f>
        <v>75.029799999999994</v>
      </c>
      <c r="G855" s="10">
        <f>75.2991 * CHOOSE(CONTROL!$C$9, $D$9, 100%, $F$9) + CHOOSE(CONTROL!$C$27, 0.0021, 0)</f>
        <v>75.301199999999994</v>
      </c>
      <c r="H855" s="10">
        <f>75.1644 * CHOOSE(CONTROL!$C$9, $D$9, 100%, $F$9) + CHOOSE(CONTROL!$C$27, 0.0021, 0)</f>
        <v>75.166499999999999</v>
      </c>
      <c r="I855" s="10">
        <f>75.1644 * CHOOSE(CONTROL!$C$9, $D$9, 100%, $F$9) + CHOOSE(CONTROL!$C$27, 0.0021, 0)</f>
        <v>75.166499999999999</v>
      </c>
      <c r="J855" s="10">
        <f>75.1644 * CHOOSE(CONTROL!$C$9, $D$9, 100%, $F$9) + CHOOSE(CONTROL!$C$27, 0.0021, 0)</f>
        <v>75.166499999999999</v>
      </c>
      <c r="K855" s="10">
        <f>75.1644 * CHOOSE(CONTROL!$C$9, $D$9, 100%, $F$9) + CHOOSE(CONTROL!$C$27, 0.0021, 0)</f>
        <v>75.166499999999999</v>
      </c>
      <c r="L855" s="10"/>
    </row>
    <row r="856" spans="1:12" ht="15.75" x14ac:dyDescent="0.25">
      <c r="A856" s="13">
        <v>67358</v>
      </c>
      <c r="B856" s="10">
        <f>77.1361 * CHOOSE(CONTROL!$C$9, $D$9, 100%, $F$9) + CHOOSE(CONTROL!$C$27, 0.0021, 0)</f>
        <v>77.138199999999998</v>
      </c>
      <c r="C856" s="10">
        <f>76.7038 * CHOOSE(CONTROL!$C$9, $D$9, 100%, $F$9) + CHOOSE(CONTROL!$C$27, 0.0021, 0)</f>
        <v>76.7059</v>
      </c>
      <c r="D856" s="10">
        <f>76.7038 * CHOOSE(CONTROL!$C$9, $D$9, 100%, $F$9) + CHOOSE(CONTROL!$C$27, 0.0021, 0)</f>
        <v>76.7059</v>
      </c>
      <c r="E856" s="10">
        <f>76.5671 * CHOOSE(CONTROL!$C$9, $D$9, 100%, $F$9) + CHOOSE(CONTROL!$C$27, 0.0021, 0)</f>
        <v>76.569199999999995</v>
      </c>
      <c r="F856" s="10">
        <f>76.5671 * CHOOSE(CONTROL!$C$9, $D$9, 100%, $F$9) + CHOOSE(CONTROL!$C$27, 0.0021, 0)</f>
        <v>76.569199999999995</v>
      </c>
      <c r="G856" s="10">
        <f>76.8385 * CHOOSE(CONTROL!$C$9, $D$9, 100%, $F$9) + CHOOSE(CONTROL!$C$27, 0.0021, 0)</f>
        <v>76.840599999999995</v>
      </c>
      <c r="H856" s="10">
        <f>76.7038 * CHOOSE(CONTROL!$C$9, $D$9, 100%, $F$9) + CHOOSE(CONTROL!$C$27, 0.0021, 0)</f>
        <v>76.7059</v>
      </c>
      <c r="I856" s="10">
        <f>76.7038 * CHOOSE(CONTROL!$C$9, $D$9, 100%, $F$9) + CHOOSE(CONTROL!$C$27, 0.0021, 0)</f>
        <v>76.7059</v>
      </c>
      <c r="J856" s="10">
        <f>76.7038 * CHOOSE(CONTROL!$C$9, $D$9, 100%, $F$9) + CHOOSE(CONTROL!$C$27, 0.0021, 0)</f>
        <v>76.7059</v>
      </c>
      <c r="K856" s="10">
        <f>76.7038 * CHOOSE(CONTROL!$C$9, $D$9, 100%, $F$9) + CHOOSE(CONTROL!$C$27, 0.0021, 0)</f>
        <v>76.7059</v>
      </c>
      <c r="L856" s="10"/>
    </row>
    <row r="857" spans="1:12" ht="15.75" x14ac:dyDescent="0.25">
      <c r="A857" s="13">
        <v>67388</v>
      </c>
      <c r="B857" s="10">
        <f>78.0581 * CHOOSE(CONTROL!$C$9, $D$9, 100%, $F$9) + CHOOSE(CONTROL!$C$27, 0.0021, 0)</f>
        <v>78.060199999999995</v>
      </c>
      <c r="C857" s="10">
        <f>77.6259 * CHOOSE(CONTROL!$C$9, $D$9, 100%, $F$9) + CHOOSE(CONTROL!$C$27, 0.0021, 0)</f>
        <v>77.628</v>
      </c>
      <c r="D857" s="10">
        <f>77.6259 * CHOOSE(CONTROL!$C$9, $D$9, 100%, $F$9) + CHOOSE(CONTROL!$C$27, 0.0021, 0)</f>
        <v>77.628</v>
      </c>
      <c r="E857" s="10">
        <f>77.4892 * CHOOSE(CONTROL!$C$9, $D$9, 100%, $F$9) + CHOOSE(CONTROL!$C$27, 0.0021, 0)</f>
        <v>77.491299999999995</v>
      </c>
      <c r="F857" s="10">
        <f>77.4892 * CHOOSE(CONTROL!$C$9, $D$9, 100%, $F$9) + CHOOSE(CONTROL!$C$27, 0.0021, 0)</f>
        <v>77.491299999999995</v>
      </c>
      <c r="G857" s="10">
        <f>77.7606 * CHOOSE(CONTROL!$C$9, $D$9, 100%, $F$9) + CHOOSE(CONTROL!$C$27, 0.0021, 0)</f>
        <v>77.762699999999995</v>
      </c>
      <c r="H857" s="10">
        <f>77.6259 * CHOOSE(CONTROL!$C$9, $D$9, 100%, $F$9) + CHOOSE(CONTROL!$C$27, 0.0021, 0)</f>
        <v>77.628</v>
      </c>
      <c r="I857" s="10">
        <f>77.6259 * CHOOSE(CONTROL!$C$9, $D$9, 100%, $F$9) + CHOOSE(CONTROL!$C$27, 0.0021, 0)</f>
        <v>77.628</v>
      </c>
      <c r="J857" s="10">
        <f>77.6259 * CHOOSE(CONTROL!$C$9, $D$9, 100%, $F$9) + CHOOSE(CONTROL!$C$27, 0.0021, 0)</f>
        <v>77.628</v>
      </c>
      <c r="K857" s="10">
        <f>77.6259 * CHOOSE(CONTROL!$C$9, $D$9, 100%, $F$9) + CHOOSE(CONTROL!$C$27, 0.0021, 0)</f>
        <v>77.628</v>
      </c>
      <c r="L857" s="10"/>
    </row>
    <row r="858" spans="1:12" ht="15.75" x14ac:dyDescent="0.25">
      <c r="A858" s="13">
        <v>67419</v>
      </c>
      <c r="B858" s="10">
        <f>79.5792 * CHOOSE(CONTROL!$C$9, $D$9, 100%, $F$9) + CHOOSE(CONTROL!$C$27, 0.0021, 0)</f>
        <v>79.581299999999999</v>
      </c>
      <c r="C858" s="10">
        <f>79.1469 * CHOOSE(CONTROL!$C$9, $D$9, 100%, $F$9) + CHOOSE(CONTROL!$C$27, 0.0021, 0)</f>
        <v>79.149000000000001</v>
      </c>
      <c r="D858" s="10">
        <f>79.1469 * CHOOSE(CONTROL!$C$9, $D$9, 100%, $F$9) + CHOOSE(CONTROL!$C$27, 0.0021, 0)</f>
        <v>79.149000000000001</v>
      </c>
      <c r="E858" s="10">
        <f>79.0102 * CHOOSE(CONTROL!$C$9, $D$9, 100%, $F$9) + CHOOSE(CONTROL!$C$27, 0.0021, 0)</f>
        <v>79.012299999999996</v>
      </c>
      <c r="F858" s="10">
        <f>79.0102 * CHOOSE(CONTROL!$C$9, $D$9, 100%, $F$9) + CHOOSE(CONTROL!$C$27, 0.0021, 0)</f>
        <v>79.012299999999996</v>
      </c>
      <c r="G858" s="10">
        <f>79.2816 * CHOOSE(CONTROL!$C$9, $D$9, 100%, $F$9) + CHOOSE(CONTROL!$C$27, 0.0021, 0)</f>
        <v>79.283699999999996</v>
      </c>
      <c r="H858" s="10">
        <f>79.1469 * CHOOSE(CONTROL!$C$9, $D$9, 100%, $F$9) + CHOOSE(CONTROL!$C$27, 0.0021, 0)</f>
        <v>79.149000000000001</v>
      </c>
      <c r="I858" s="10">
        <f>79.1469 * CHOOSE(CONTROL!$C$9, $D$9, 100%, $F$9) + CHOOSE(CONTROL!$C$27, 0.0021, 0)</f>
        <v>79.149000000000001</v>
      </c>
      <c r="J858" s="10">
        <f>79.1469 * CHOOSE(CONTROL!$C$9, $D$9, 100%, $F$9) + CHOOSE(CONTROL!$C$27, 0.0021, 0)</f>
        <v>79.149000000000001</v>
      </c>
      <c r="K858" s="10">
        <f>79.1469 * CHOOSE(CONTROL!$C$9, $D$9, 100%, $F$9) + CHOOSE(CONTROL!$C$27, 0.0021, 0)</f>
        <v>79.149000000000001</v>
      </c>
      <c r="L858" s="10"/>
    </row>
    <row r="859" spans="1:12" ht="15.75" x14ac:dyDescent="0.25">
      <c r="A859" s="13">
        <v>67450</v>
      </c>
      <c r="B859" s="10">
        <f>80.0434 * CHOOSE(CONTROL!$C$9, $D$9, 100%, $F$9) + CHOOSE(CONTROL!$C$27, 0.0021, 0)</f>
        <v>80.045500000000004</v>
      </c>
      <c r="C859" s="10">
        <f>79.6112 * CHOOSE(CONTROL!$C$9, $D$9, 100%, $F$9) + CHOOSE(CONTROL!$C$27, 0.0021, 0)</f>
        <v>79.613299999999995</v>
      </c>
      <c r="D859" s="10">
        <f>79.6112 * CHOOSE(CONTROL!$C$9, $D$9, 100%, $F$9) + CHOOSE(CONTROL!$C$27, 0.0021, 0)</f>
        <v>79.613299999999995</v>
      </c>
      <c r="E859" s="10">
        <f>79.4745 * CHOOSE(CONTROL!$C$9, $D$9, 100%, $F$9) + CHOOSE(CONTROL!$C$27, 0.0021, 0)</f>
        <v>79.476600000000005</v>
      </c>
      <c r="F859" s="10">
        <f>79.4745 * CHOOSE(CONTROL!$C$9, $D$9, 100%, $F$9) + CHOOSE(CONTROL!$C$27, 0.0021, 0)</f>
        <v>79.476600000000005</v>
      </c>
      <c r="G859" s="10">
        <f>79.7459 * CHOOSE(CONTROL!$C$9, $D$9, 100%, $F$9) + CHOOSE(CONTROL!$C$27, 0.0021, 0)</f>
        <v>79.748000000000005</v>
      </c>
      <c r="H859" s="10">
        <f>79.6112 * CHOOSE(CONTROL!$C$9, $D$9, 100%, $F$9) + CHOOSE(CONTROL!$C$27, 0.0021, 0)</f>
        <v>79.613299999999995</v>
      </c>
      <c r="I859" s="10">
        <f>79.6112 * CHOOSE(CONTROL!$C$9, $D$9, 100%, $F$9) + CHOOSE(CONTROL!$C$27, 0.0021, 0)</f>
        <v>79.613299999999995</v>
      </c>
      <c r="J859" s="10">
        <f>79.6112 * CHOOSE(CONTROL!$C$9, $D$9, 100%, $F$9) + CHOOSE(CONTROL!$C$27, 0.0021, 0)</f>
        <v>79.613299999999995</v>
      </c>
      <c r="K859" s="10">
        <f>79.6112 * CHOOSE(CONTROL!$C$9, $D$9, 100%, $F$9) + CHOOSE(CONTROL!$C$27, 0.0021, 0)</f>
        <v>79.613299999999995</v>
      </c>
      <c r="L859" s="10"/>
    </row>
    <row r="860" spans="1:12" ht="15.75" x14ac:dyDescent="0.25">
      <c r="A860" s="13">
        <v>67480</v>
      </c>
      <c r="B860" s="10">
        <f>81.6245 * CHOOSE(CONTROL!$C$9, $D$9, 100%, $F$9) + CHOOSE(CONTROL!$C$27, 0.0021, 0)</f>
        <v>81.626599999999996</v>
      </c>
      <c r="C860" s="10">
        <f>81.1922 * CHOOSE(CONTROL!$C$9, $D$9, 100%, $F$9) + CHOOSE(CONTROL!$C$27, 0.0021, 0)</f>
        <v>81.194299999999998</v>
      </c>
      <c r="D860" s="10">
        <f>81.1922 * CHOOSE(CONTROL!$C$9, $D$9, 100%, $F$9) + CHOOSE(CONTROL!$C$27, 0.0021, 0)</f>
        <v>81.194299999999998</v>
      </c>
      <c r="E860" s="10">
        <f>81.0556 * CHOOSE(CONTROL!$C$9, $D$9, 100%, $F$9) + CHOOSE(CONTROL!$C$27, 0.0021, 0)</f>
        <v>81.057699999999997</v>
      </c>
      <c r="F860" s="10">
        <f>81.0556 * CHOOSE(CONTROL!$C$9, $D$9, 100%, $F$9) + CHOOSE(CONTROL!$C$27, 0.0021, 0)</f>
        <v>81.057699999999997</v>
      </c>
      <c r="G860" s="10">
        <f>81.327 * CHOOSE(CONTROL!$C$9, $D$9, 100%, $F$9) + CHOOSE(CONTROL!$C$27, 0.0021, 0)</f>
        <v>81.329099999999997</v>
      </c>
      <c r="H860" s="10">
        <f>81.1922 * CHOOSE(CONTROL!$C$9, $D$9, 100%, $F$9) + CHOOSE(CONTROL!$C$27, 0.0021, 0)</f>
        <v>81.194299999999998</v>
      </c>
      <c r="I860" s="10">
        <f>81.1922 * CHOOSE(CONTROL!$C$9, $D$9, 100%, $F$9) + CHOOSE(CONTROL!$C$27, 0.0021, 0)</f>
        <v>81.194299999999998</v>
      </c>
      <c r="J860" s="10">
        <f>81.1922 * CHOOSE(CONTROL!$C$9, $D$9, 100%, $F$9) + CHOOSE(CONTROL!$C$27, 0.0021, 0)</f>
        <v>81.194299999999998</v>
      </c>
      <c r="K860" s="10">
        <f>81.1922 * CHOOSE(CONTROL!$C$9, $D$9, 100%, $F$9) + CHOOSE(CONTROL!$C$27, 0.0021, 0)</f>
        <v>81.194299999999998</v>
      </c>
      <c r="L860" s="10"/>
    </row>
    <row r="861" spans="1:12" ht="15.75" x14ac:dyDescent="0.25">
      <c r="A861" s="13">
        <v>67511</v>
      </c>
      <c r="B861" s="10">
        <f>83.6258 * CHOOSE(CONTROL!$C$9, $D$9, 100%, $F$9) + CHOOSE(CONTROL!$C$27, 0.0021, 0)</f>
        <v>83.627899999999997</v>
      </c>
      <c r="C861" s="10">
        <f>83.1936 * CHOOSE(CONTROL!$C$9, $D$9, 100%, $F$9) + CHOOSE(CONTROL!$C$27, 0.0021, 0)</f>
        <v>83.195700000000002</v>
      </c>
      <c r="D861" s="10">
        <f>83.1936 * CHOOSE(CONTROL!$C$9, $D$9, 100%, $F$9) + CHOOSE(CONTROL!$C$27, 0.0021, 0)</f>
        <v>83.195700000000002</v>
      </c>
      <c r="E861" s="10">
        <f>83.0569 * CHOOSE(CONTROL!$C$9, $D$9, 100%, $F$9) + CHOOSE(CONTROL!$C$27, 0.0021, 0)</f>
        <v>83.058999999999997</v>
      </c>
      <c r="F861" s="10">
        <f>83.0569 * CHOOSE(CONTROL!$C$9, $D$9, 100%, $F$9) + CHOOSE(CONTROL!$C$27, 0.0021, 0)</f>
        <v>83.058999999999997</v>
      </c>
      <c r="G861" s="10">
        <f>83.3283 * CHOOSE(CONTROL!$C$9, $D$9, 100%, $F$9) + CHOOSE(CONTROL!$C$27, 0.0021, 0)</f>
        <v>83.330399999999997</v>
      </c>
      <c r="H861" s="10">
        <f>83.1936 * CHOOSE(CONTROL!$C$9, $D$9, 100%, $F$9) + CHOOSE(CONTROL!$C$27, 0.0021, 0)</f>
        <v>83.195700000000002</v>
      </c>
      <c r="I861" s="10">
        <f>83.1936 * CHOOSE(CONTROL!$C$9, $D$9, 100%, $F$9) + CHOOSE(CONTROL!$C$27, 0.0021, 0)</f>
        <v>83.195700000000002</v>
      </c>
      <c r="J861" s="10">
        <f>83.1936 * CHOOSE(CONTROL!$C$9, $D$9, 100%, $F$9) + CHOOSE(CONTROL!$C$27, 0.0021, 0)</f>
        <v>83.195700000000002</v>
      </c>
      <c r="K861" s="10">
        <f>83.1936 * CHOOSE(CONTROL!$C$9, $D$9, 100%, $F$9) + CHOOSE(CONTROL!$C$27, 0.0021, 0)</f>
        <v>83.195700000000002</v>
      </c>
      <c r="L861" s="10"/>
    </row>
    <row r="862" spans="1:12" ht="15.75" x14ac:dyDescent="0.25">
      <c r="A862" s="13">
        <v>67541</v>
      </c>
      <c r="B862" s="10">
        <f>83.8137 * CHOOSE(CONTROL!$C$9, $D$9, 100%, $F$9) + CHOOSE(CONTROL!$C$27, 0.0021, 0)</f>
        <v>83.815799999999996</v>
      </c>
      <c r="C862" s="10">
        <f>83.3815 * CHOOSE(CONTROL!$C$9, $D$9, 100%, $F$9) + CHOOSE(CONTROL!$C$27, 0.0021, 0)</f>
        <v>83.383600000000001</v>
      </c>
      <c r="D862" s="10">
        <f>83.3815 * CHOOSE(CONTROL!$C$9, $D$9, 100%, $F$9) + CHOOSE(CONTROL!$C$27, 0.0021, 0)</f>
        <v>83.383600000000001</v>
      </c>
      <c r="E862" s="10">
        <f>83.2448 * CHOOSE(CONTROL!$C$9, $D$9, 100%, $F$9) + CHOOSE(CONTROL!$C$27, 0.0021, 0)</f>
        <v>83.246899999999997</v>
      </c>
      <c r="F862" s="10">
        <f>83.2448 * CHOOSE(CONTROL!$C$9, $D$9, 100%, $F$9) + CHOOSE(CONTROL!$C$27, 0.0021, 0)</f>
        <v>83.246899999999997</v>
      </c>
      <c r="G862" s="10">
        <f>83.5162 * CHOOSE(CONTROL!$C$9, $D$9, 100%, $F$9) + CHOOSE(CONTROL!$C$27, 0.0021, 0)</f>
        <v>83.518299999999996</v>
      </c>
      <c r="H862" s="10">
        <f>83.3815 * CHOOSE(CONTROL!$C$9, $D$9, 100%, $F$9) + CHOOSE(CONTROL!$C$27, 0.0021, 0)</f>
        <v>83.383600000000001</v>
      </c>
      <c r="I862" s="10">
        <f>83.3815 * CHOOSE(CONTROL!$C$9, $D$9, 100%, $F$9) + CHOOSE(CONTROL!$C$27, 0.0021, 0)</f>
        <v>83.383600000000001</v>
      </c>
      <c r="J862" s="10">
        <f>83.3815 * CHOOSE(CONTROL!$C$9, $D$9, 100%, $F$9) + CHOOSE(CONTROL!$C$27, 0.0021, 0)</f>
        <v>83.383600000000001</v>
      </c>
      <c r="K862" s="10">
        <f>83.3815 * CHOOSE(CONTROL!$C$9, $D$9, 100%, $F$9) + CHOOSE(CONTROL!$C$27, 0.0021, 0)</f>
        <v>83.383600000000001</v>
      </c>
      <c r="L862" s="10"/>
    </row>
    <row r="863" spans="1:12" ht="15.75" x14ac:dyDescent="0.25">
      <c r="A863" s="13">
        <v>67572</v>
      </c>
      <c r="B863" s="10">
        <f>82.2153 * CHOOSE(CONTROL!$C$9, $D$9, 100%, $F$9) + CHOOSE(CONTROL!$C$27, 0.0021, 0)</f>
        <v>82.217399999999998</v>
      </c>
      <c r="C863" s="10">
        <f>81.783 * CHOOSE(CONTROL!$C$9, $D$9, 100%, $F$9) + CHOOSE(CONTROL!$C$27, 0.0021, 0)</f>
        <v>81.7851</v>
      </c>
      <c r="D863" s="10">
        <f>81.783 * CHOOSE(CONTROL!$C$9, $D$9, 100%, $F$9) + CHOOSE(CONTROL!$C$27, 0.0021, 0)</f>
        <v>81.7851</v>
      </c>
      <c r="E863" s="10">
        <f>81.6464 * CHOOSE(CONTROL!$C$9, $D$9, 100%, $F$9) + CHOOSE(CONTROL!$C$27, 0.0021, 0)</f>
        <v>81.648499999999999</v>
      </c>
      <c r="F863" s="10">
        <f>81.6464 * CHOOSE(CONTROL!$C$9, $D$9, 100%, $F$9) + CHOOSE(CONTROL!$C$27, 0.0021, 0)</f>
        <v>81.648499999999999</v>
      </c>
      <c r="G863" s="10">
        <f>81.9178 * CHOOSE(CONTROL!$C$9, $D$9, 100%, $F$9) + CHOOSE(CONTROL!$C$27, 0.0021, 0)</f>
        <v>81.919899999999998</v>
      </c>
      <c r="H863" s="10">
        <f>81.783 * CHOOSE(CONTROL!$C$9, $D$9, 100%, $F$9) + CHOOSE(CONTROL!$C$27, 0.0021, 0)</f>
        <v>81.7851</v>
      </c>
      <c r="I863" s="10">
        <f>81.783 * CHOOSE(CONTROL!$C$9, $D$9, 100%, $F$9) + CHOOSE(CONTROL!$C$27, 0.0021, 0)</f>
        <v>81.7851</v>
      </c>
      <c r="J863" s="10">
        <f>81.783 * CHOOSE(CONTROL!$C$9, $D$9, 100%, $F$9) + CHOOSE(CONTROL!$C$27, 0.0021, 0)</f>
        <v>81.7851</v>
      </c>
      <c r="K863" s="10">
        <f>81.783 * CHOOSE(CONTROL!$C$9, $D$9, 100%, $F$9) + CHOOSE(CONTROL!$C$27, 0.0021, 0)</f>
        <v>81.7851</v>
      </c>
      <c r="L863" s="10"/>
    </row>
    <row r="864" spans="1:12" ht="15.75" x14ac:dyDescent="0.25">
      <c r="A864" s="13">
        <v>67603</v>
      </c>
      <c r="B864" s="10">
        <f>80.9915 * CHOOSE(CONTROL!$C$9, $D$9, 100%, $F$9) + CHOOSE(CONTROL!$C$27, 0.0021, 0)</f>
        <v>80.993600000000001</v>
      </c>
      <c r="C864" s="10">
        <f>80.5592 * CHOOSE(CONTROL!$C$9, $D$9, 100%, $F$9) + CHOOSE(CONTROL!$C$27, 0.0021, 0)</f>
        <v>80.561300000000003</v>
      </c>
      <c r="D864" s="10">
        <f>80.5592 * CHOOSE(CONTROL!$C$9, $D$9, 100%, $F$9) + CHOOSE(CONTROL!$C$27, 0.0021, 0)</f>
        <v>80.561300000000003</v>
      </c>
      <c r="E864" s="10">
        <f>80.4226 * CHOOSE(CONTROL!$C$9, $D$9, 100%, $F$9) + CHOOSE(CONTROL!$C$27, 0.0021, 0)</f>
        <v>80.424700000000001</v>
      </c>
      <c r="F864" s="10">
        <f>80.4226 * CHOOSE(CONTROL!$C$9, $D$9, 100%, $F$9) + CHOOSE(CONTROL!$C$27, 0.0021, 0)</f>
        <v>80.424700000000001</v>
      </c>
      <c r="G864" s="10">
        <f>80.6939 * CHOOSE(CONTROL!$C$9, $D$9, 100%, $F$9) + CHOOSE(CONTROL!$C$27, 0.0021, 0)</f>
        <v>80.695999999999998</v>
      </c>
      <c r="H864" s="10">
        <f>80.5592 * CHOOSE(CONTROL!$C$9, $D$9, 100%, $F$9) + CHOOSE(CONTROL!$C$27, 0.0021, 0)</f>
        <v>80.561300000000003</v>
      </c>
      <c r="I864" s="10">
        <f>80.5592 * CHOOSE(CONTROL!$C$9, $D$9, 100%, $F$9) + CHOOSE(CONTROL!$C$27, 0.0021, 0)</f>
        <v>80.561300000000003</v>
      </c>
      <c r="J864" s="10">
        <f>80.5592 * CHOOSE(CONTROL!$C$9, $D$9, 100%, $F$9) + CHOOSE(CONTROL!$C$27, 0.0021, 0)</f>
        <v>80.561300000000003</v>
      </c>
      <c r="K864" s="10">
        <f>80.5592 * CHOOSE(CONTROL!$C$9, $D$9, 100%, $F$9) + CHOOSE(CONTROL!$C$27, 0.0021, 0)</f>
        <v>80.561300000000003</v>
      </c>
      <c r="L864" s="10"/>
    </row>
    <row r="865" spans="1:12" ht="15.75" x14ac:dyDescent="0.25">
      <c r="A865" s="13">
        <v>67631</v>
      </c>
      <c r="B865" s="10">
        <f>78.7654 * CHOOSE(CONTROL!$C$9, $D$9, 100%, $F$9) + CHOOSE(CONTROL!$C$27, 0.0021, 0)</f>
        <v>78.767499999999998</v>
      </c>
      <c r="C865" s="10">
        <f>78.3332 * CHOOSE(CONTROL!$C$9, $D$9, 100%, $F$9) + CHOOSE(CONTROL!$C$27, 0.0021, 0)</f>
        <v>78.335300000000004</v>
      </c>
      <c r="D865" s="10">
        <f>78.3332 * CHOOSE(CONTROL!$C$9, $D$9, 100%, $F$9) + CHOOSE(CONTROL!$C$27, 0.0021, 0)</f>
        <v>78.335300000000004</v>
      </c>
      <c r="E865" s="10">
        <f>78.1965 * CHOOSE(CONTROL!$C$9, $D$9, 100%, $F$9) + CHOOSE(CONTROL!$C$27, 0.0021, 0)</f>
        <v>78.198599999999999</v>
      </c>
      <c r="F865" s="10">
        <f>78.1965 * CHOOSE(CONTROL!$C$9, $D$9, 100%, $F$9) + CHOOSE(CONTROL!$C$27, 0.0021, 0)</f>
        <v>78.198599999999999</v>
      </c>
      <c r="G865" s="10">
        <f>78.4679 * CHOOSE(CONTROL!$C$9, $D$9, 100%, $F$9) + CHOOSE(CONTROL!$C$27, 0.0021, 0)</f>
        <v>78.47</v>
      </c>
      <c r="H865" s="10">
        <f>78.3332 * CHOOSE(CONTROL!$C$9, $D$9, 100%, $F$9) + CHOOSE(CONTROL!$C$27, 0.0021, 0)</f>
        <v>78.335300000000004</v>
      </c>
      <c r="I865" s="10">
        <f>78.3332 * CHOOSE(CONTROL!$C$9, $D$9, 100%, $F$9) + CHOOSE(CONTROL!$C$27, 0.0021, 0)</f>
        <v>78.335300000000004</v>
      </c>
      <c r="J865" s="10">
        <f>78.3332 * CHOOSE(CONTROL!$C$9, $D$9, 100%, $F$9) + CHOOSE(CONTROL!$C$27, 0.0021, 0)</f>
        <v>78.335300000000004</v>
      </c>
      <c r="K865" s="10">
        <f>78.3332 * CHOOSE(CONTROL!$C$9, $D$9, 100%, $F$9) + CHOOSE(CONTROL!$C$27, 0.0021, 0)</f>
        <v>78.335300000000004</v>
      </c>
      <c r="L865" s="10"/>
    </row>
    <row r="866" spans="1:12" ht="15.75" x14ac:dyDescent="0.25">
      <c r="A866" s="13">
        <v>67662</v>
      </c>
      <c r="B866" s="10">
        <f>77.8465 * CHOOSE(CONTROL!$C$9, $D$9, 100%, $F$9) + CHOOSE(CONTROL!$C$27, 0.0021, 0)</f>
        <v>77.848600000000005</v>
      </c>
      <c r="C866" s="10">
        <f>77.4143 * CHOOSE(CONTROL!$C$9, $D$9, 100%, $F$9) + CHOOSE(CONTROL!$C$27, 0.0021, 0)</f>
        <v>77.416399999999996</v>
      </c>
      <c r="D866" s="10">
        <f>77.4143 * CHOOSE(CONTROL!$C$9, $D$9, 100%, $F$9) + CHOOSE(CONTROL!$C$27, 0.0021, 0)</f>
        <v>77.416399999999996</v>
      </c>
      <c r="E866" s="10">
        <f>77.2776 * CHOOSE(CONTROL!$C$9, $D$9, 100%, $F$9) + CHOOSE(CONTROL!$C$27, 0.0021, 0)</f>
        <v>77.279700000000005</v>
      </c>
      <c r="F866" s="10">
        <f>77.2776 * CHOOSE(CONTROL!$C$9, $D$9, 100%, $F$9) + CHOOSE(CONTROL!$C$27, 0.0021, 0)</f>
        <v>77.279700000000005</v>
      </c>
      <c r="G866" s="10">
        <f>77.549 * CHOOSE(CONTROL!$C$9, $D$9, 100%, $F$9) + CHOOSE(CONTROL!$C$27, 0.0021, 0)</f>
        <v>77.551100000000005</v>
      </c>
      <c r="H866" s="10">
        <f>77.4143 * CHOOSE(CONTROL!$C$9, $D$9, 100%, $F$9) + CHOOSE(CONTROL!$C$27, 0.0021, 0)</f>
        <v>77.416399999999996</v>
      </c>
      <c r="I866" s="10">
        <f>77.4143 * CHOOSE(CONTROL!$C$9, $D$9, 100%, $F$9) + CHOOSE(CONTROL!$C$27, 0.0021, 0)</f>
        <v>77.416399999999996</v>
      </c>
      <c r="J866" s="10">
        <f>77.4143 * CHOOSE(CONTROL!$C$9, $D$9, 100%, $F$9) + CHOOSE(CONTROL!$C$27, 0.0021, 0)</f>
        <v>77.416399999999996</v>
      </c>
      <c r="K866" s="10">
        <f>77.4143 * CHOOSE(CONTROL!$C$9, $D$9, 100%, $F$9) + CHOOSE(CONTROL!$C$27, 0.0021, 0)</f>
        <v>77.416399999999996</v>
      </c>
      <c r="L866" s="10"/>
    </row>
    <row r="867" spans="1:12" ht="15.75" x14ac:dyDescent="0.25">
      <c r="A867" s="13">
        <v>67692</v>
      </c>
      <c r="B867" s="10">
        <f>76.7493 * CHOOSE(CONTROL!$C$9, $D$9, 100%, $F$9) + CHOOSE(CONTROL!$C$27, 0.0021, 0)</f>
        <v>76.751400000000004</v>
      </c>
      <c r="C867" s="10">
        <f>76.3171 * CHOOSE(CONTROL!$C$9, $D$9, 100%, $F$9) + CHOOSE(CONTROL!$C$27, 0.0021, 0)</f>
        <v>76.319199999999995</v>
      </c>
      <c r="D867" s="10">
        <f>76.3171 * CHOOSE(CONTROL!$C$9, $D$9, 100%, $F$9) + CHOOSE(CONTROL!$C$27, 0.0021, 0)</f>
        <v>76.319199999999995</v>
      </c>
      <c r="E867" s="10">
        <f>76.1804 * CHOOSE(CONTROL!$C$9, $D$9, 100%, $F$9) + CHOOSE(CONTROL!$C$27, 0.0021, 0)</f>
        <v>76.182500000000005</v>
      </c>
      <c r="F867" s="10">
        <f>76.1804 * CHOOSE(CONTROL!$C$9, $D$9, 100%, $F$9) + CHOOSE(CONTROL!$C$27, 0.0021, 0)</f>
        <v>76.182500000000005</v>
      </c>
      <c r="G867" s="10">
        <f>76.4518 * CHOOSE(CONTROL!$C$9, $D$9, 100%, $F$9) + CHOOSE(CONTROL!$C$27, 0.0021, 0)</f>
        <v>76.453900000000004</v>
      </c>
      <c r="H867" s="10">
        <f>76.3171 * CHOOSE(CONTROL!$C$9, $D$9, 100%, $F$9) + CHOOSE(CONTROL!$C$27, 0.0021, 0)</f>
        <v>76.319199999999995</v>
      </c>
      <c r="I867" s="10">
        <f>76.3171 * CHOOSE(CONTROL!$C$9, $D$9, 100%, $F$9) + CHOOSE(CONTROL!$C$27, 0.0021, 0)</f>
        <v>76.319199999999995</v>
      </c>
      <c r="J867" s="10">
        <f>76.3171 * CHOOSE(CONTROL!$C$9, $D$9, 100%, $F$9) + CHOOSE(CONTROL!$C$27, 0.0021, 0)</f>
        <v>76.319199999999995</v>
      </c>
      <c r="K867" s="10">
        <f>76.3171 * CHOOSE(CONTROL!$C$9, $D$9, 100%, $F$9) + CHOOSE(CONTROL!$C$27, 0.0021, 0)</f>
        <v>76.319199999999995</v>
      </c>
      <c r="L867" s="10"/>
    </row>
    <row r="868" spans="1:12" ht="15.75" x14ac:dyDescent="0.25">
      <c r="A868" s="13">
        <v>67723</v>
      </c>
      <c r="B868" s="10">
        <f>78.313 * CHOOSE(CONTROL!$C$9, $D$9, 100%, $F$9) + CHOOSE(CONTROL!$C$27, 0.0021, 0)</f>
        <v>78.315100000000001</v>
      </c>
      <c r="C868" s="10">
        <f>77.8807 * CHOOSE(CONTROL!$C$9, $D$9, 100%, $F$9) + CHOOSE(CONTROL!$C$27, 0.0021, 0)</f>
        <v>77.882800000000003</v>
      </c>
      <c r="D868" s="10">
        <f>77.8807 * CHOOSE(CONTROL!$C$9, $D$9, 100%, $F$9) + CHOOSE(CONTROL!$C$27, 0.0021, 0)</f>
        <v>77.882800000000003</v>
      </c>
      <c r="E868" s="10">
        <f>77.7441 * CHOOSE(CONTROL!$C$9, $D$9, 100%, $F$9) + CHOOSE(CONTROL!$C$27, 0.0021, 0)</f>
        <v>77.746200000000002</v>
      </c>
      <c r="F868" s="10">
        <f>77.7441 * CHOOSE(CONTROL!$C$9, $D$9, 100%, $F$9) + CHOOSE(CONTROL!$C$27, 0.0021, 0)</f>
        <v>77.746200000000002</v>
      </c>
      <c r="G868" s="10">
        <f>78.0154 * CHOOSE(CONTROL!$C$9, $D$9, 100%, $F$9) + CHOOSE(CONTROL!$C$27, 0.0021, 0)</f>
        <v>78.017499999999998</v>
      </c>
      <c r="H868" s="10">
        <f>77.8807 * CHOOSE(CONTROL!$C$9, $D$9, 100%, $F$9) + CHOOSE(CONTROL!$C$27, 0.0021, 0)</f>
        <v>77.882800000000003</v>
      </c>
      <c r="I868" s="10">
        <f>77.8807 * CHOOSE(CONTROL!$C$9, $D$9, 100%, $F$9) + CHOOSE(CONTROL!$C$27, 0.0021, 0)</f>
        <v>77.882800000000003</v>
      </c>
      <c r="J868" s="10">
        <f>77.8807 * CHOOSE(CONTROL!$C$9, $D$9, 100%, $F$9) + CHOOSE(CONTROL!$C$27, 0.0021, 0)</f>
        <v>77.882800000000003</v>
      </c>
      <c r="K868" s="10">
        <f>77.8807 * CHOOSE(CONTROL!$C$9, $D$9, 100%, $F$9) + CHOOSE(CONTROL!$C$27, 0.0021, 0)</f>
        <v>77.882800000000003</v>
      </c>
      <c r="L868" s="10"/>
    </row>
    <row r="869" spans="1:12" ht="15.75" x14ac:dyDescent="0.25">
      <c r="A869" s="13">
        <v>67753</v>
      </c>
      <c r="B869" s="10">
        <f>79.2495 * CHOOSE(CONTROL!$C$9, $D$9, 100%, $F$9) + CHOOSE(CONTROL!$C$27, 0.0021, 0)</f>
        <v>79.251599999999996</v>
      </c>
      <c r="C869" s="10">
        <f>78.8173 * CHOOSE(CONTROL!$C$9, $D$9, 100%, $F$9) + CHOOSE(CONTROL!$C$27, 0.0021, 0)</f>
        <v>78.819400000000002</v>
      </c>
      <c r="D869" s="10">
        <f>78.8173 * CHOOSE(CONTROL!$C$9, $D$9, 100%, $F$9) + CHOOSE(CONTROL!$C$27, 0.0021, 0)</f>
        <v>78.819400000000002</v>
      </c>
      <c r="E869" s="10">
        <f>78.6806 * CHOOSE(CONTROL!$C$9, $D$9, 100%, $F$9) + CHOOSE(CONTROL!$C$27, 0.0021, 0)</f>
        <v>78.682699999999997</v>
      </c>
      <c r="F869" s="10">
        <f>78.6806 * CHOOSE(CONTROL!$C$9, $D$9, 100%, $F$9) + CHOOSE(CONTROL!$C$27, 0.0021, 0)</f>
        <v>78.682699999999997</v>
      </c>
      <c r="G869" s="10">
        <f>78.952 * CHOOSE(CONTROL!$C$9, $D$9, 100%, $F$9) + CHOOSE(CONTROL!$C$27, 0.0021, 0)</f>
        <v>78.954099999999997</v>
      </c>
      <c r="H869" s="10">
        <f>78.8173 * CHOOSE(CONTROL!$C$9, $D$9, 100%, $F$9) + CHOOSE(CONTROL!$C$27, 0.0021, 0)</f>
        <v>78.819400000000002</v>
      </c>
      <c r="I869" s="10">
        <f>78.8173 * CHOOSE(CONTROL!$C$9, $D$9, 100%, $F$9) + CHOOSE(CONTROL!$C$27, 0.0021, 0)</f>
        <v>78.819400000000002</v>
      </c>
      <c r="J869" s="10">
        <f>78.8173 * CHOOSE(CONTROL!$C$9, $D$9, 100%, $F$9) + CHOOSE(CONTROL!$C$27, 0.0021, 0)</f>
        <v>78.819400000000002</v>
      </c>
      <c r="K869" s="10">
        <f>78.8173 * CHOOSE(CONTROL!$C$9, $D$9, 100%, $F$9) + CHOOSE(CONTROL!$C$27, 0.0021, 0)</f>
        <v>78.819400000000002</v>
      </c>
      <c r="L869" s="10"/>
    </row>
    <row r="870" spans="1:12" ht="15.75" x14ac:dyDescent="0.25">
      <c r="A870" s="13">
        <v>67784</v>
      </c>
      <c r="B870" s="10">
        <f>80.7945 * CHOOSE(CONTROL!$C$9, $D$9, 100%, $F$9) + CHOOSE(CONTROL!$C$27, 0.0021, 0)</f>
        <v>80.796599999999998</v>
      </c>
      <c r="C870" s="10">
        <f>80.3622 * CHOOSE(CONTROL!$C$9, $D$9, 100%, $F$9) + CHOOSE(CONTROL!$C$27, 0.0021, 0)</f>
        <v>80.3643</v>
      </c>
      <c r="D870" s="10">
        <f>80.3622 * CHOOSE(CONTROL!$C$9, $D$9, 100%, $F$9) + CHOOSE(CONTROL!$C$27, 0.0021, 0)</f>
        <v>80.3643</v>
      </c>
      <c r="E870" s="10">
        <f>80.2256 * CHOOSE(CONTROL!$C$9, $D$9, 100%, $F$9) + CHOOSE(CONTROL!$C$27, 0.0021, 0)</f>
        <v>80.227699999999999</v>
      </c>
      <c r="F870" s="10">
        <f>80.2256 * CHOOSE(CONTROL!$C$9, $D$9, 100%, $F$9) + CHOOSE(CONTROL!$C$27, 0.0021, 0)</f>
        <v>80.227699999999999</v>
      </c>
      <c r="G870" s="10">
        <f>80.4969 * CHOOSE(CONTROL!$C$9, $D$9, 100%, $F$9) + CHOOSE(CONTROL!$C$27, 0.0021, 0)</f>
        <v>80.498999999999995</v>
      </c>
      <c r="H870" s="10">
        <f>80.3622 * CHOOSE(CONTROL!$C$9, $D$9, 100%, $F$9) + CHOOSE(CONTROL!$C$27, 0.0021, 0)</f>
        <v>80.3643</v>
      </c>
      <c r="I870" s="10">
        <f>80.3622 * CHOOSE(CONTROL!$C$9, $D$9, 100%, $F$9) + CHOOSE(CONTROL!$C$27, 0.0021, 0)</f>
        <v>80.3643</v>
      </c>
      <c r="J870" s="10">
        <f>80.3622 * CHOOSE(CONTROL!$C$9, $D$9, 100%, $F$9) + CHOOSE(CONTROL!$C$27, 0.0021, 0)</f>
        <v>80.3643</v>
      </c>
      <c r="K870" s="10">
        <f>80.3622 * CHOOSE(CONTROL!$C$9, $D$9, 100%, $F$9) + CHOOSE(CONTROL!$C$27, 0.0021, 0)</f>
        <v>80.3643</v>
      </c>
      <c r="L870" s="10"/>
    </row>
    <row r="871" spans="1:12" ht="15.75" x14ac:dyDescent="0.25">
      <c r="A871" s="13">
        <v>67815</v>
      </c>
      <c r="B871" s="10">
        <f>81.2661 * CHOOSE(CONTROL!$C$9, $D$9, 100%, $F$9) + CHOOSE(CONTROL!$C$27, 0.0021, 0)</f>
        <v>81.268199999999993</v>
      </c>
      <c r="C871" s="10">
        <f>80.8338 * CHOOSE(CONTROL!$C$9, $D$9, 100%, $F$9) + CHOOSE(CONTROL!$C$27, 0.0021, 0)</f>
        <v>80.835899999999995</v>
      </c>
      <c r="D871" s="10">
        <f>80.8338 * CHOOSE(CONTROL!$C$9, $D$9, 100%, $F$9) + CHOOSE(CONTROL!$C$27, 0.0021, 0)</f>
        <v>80.835899999999995</v>
      </c>
      <c r="E871" s="10">
        <f>80.6971 * CHOOSE(CONTROL!$C$9, $D$9, 100%, $F$9) + CHOOSE(CONTROL!$C$27, 0.0021, 0)</f>
        <v>80.699200000000005</v>
      </c>
      <c r="F871" s="10">
        <f>80.6971 * CHOOSE(CONTROL!$C$9, $D$9, 100%, $F$9) + CHOOSE(CONTROL!$C$27, 0.0021, 0)</f>
        <v>80.699200000000005</v>
      </c>
      <c r="G871" s="10">
        <f>80.9685 * CHOOSE(CONTROL!$C$9, $D$9, 100%, $F$9) + CHOOSE(CONTROL!$C$27, 0.0021, 0)</f>
        <v>80.970600000000005</v>
      </c>
      <c r="H871" s="10">
        <f>80.8338 * CHOOSE(CONTROL!$C$9, $D$9, 100%, $F$9) + CHOOSE(CONTROL!$C$27, 0.0021, 0)</f>
        <v>80.835899999999995</v>
      </c>
      <c r="I871" s="10">
        <f>80.8338 * CHOOSE(CONTROL!$C$9, $D$9, 100%, $F$9) + CHOOSE(CONTROL!$C$27, 0.0021, 0)</f>
        <v>80.835899999999995</v>
      </c>
      <c r="J871" s="10">
        <f>80.8338 * CHOOSE(CONTROL!$C$9, $D$9, 100%, $F$9) + CHOOSE(CONTROL!$C$27, 0.0021, 0)</f>
        <v>80.835899999999995</v>
      </c>
      <c r="K871" s="10">
        <f>80.8338 * CHOOSE(CONTROL!$C$9, $D$9, 100%, $F$9) + CHOOSE(CONTROL!$C$27, 0.0021, 0)</f>
        <v>80.835899999999995</v>
      </c>
      <c r="L871" s="10"/>
    </row>
    <row r="872" spans="1:12" ht="15.75" x14ac:dyDescent="0.25">
      <c r="A872" s="13">
        <v>67845</v>
      </c>
      <c r="B872" s="10">
        <f>82.872 * CHOOSE(CONTROL!$C$9, $D$9, 100%, $F$9) + CHOOSE(CONTROL!$C$27, 0.0021, 0)</f>
        <v>82.874099999999999</v>
      </c>
      <c r="C872" s="10">
        <f>82.4397 * CHOOSE(CONTROL!$C$9, $D$9, 100%, $F$9) + CHOOSE(CONTROL!$C$27, 0.0021, 0)</f>
        <v>82.441800000000001</v>
      </c>
      <c r="D872" s="10">
        <f>82.4397 * CHOOSE(CONTROL!$C$9, $D$9, 100%, $F$9) + CHOOSE(CONTROL!$C$27, 0.0021, 0)</f>
        <v>82.441800000000001</v>
      </c>
      <c r="E872" s="10">
        <f>82.3031 * CHOOSE(CONTROL!$C$9, $D$9, 100%, $F$9) + CHOOSE(CONTROL!$C$27, 0.0021, 0)</f>
        <v>82.305199999999999</v>
      </c>
      <c r="F872" s="10">
        <f>82.3031 * CHOOSE(CONTROL!$C$9, $D$9, 100%, $F$9) + CHOOSE(CONTROL!$C$27, 0.0021, 0)</f>
        <v>82.305199999999999</v>
      </c>
      <c r="G872" s="10">
        <f>82.5745 * CHOOSE(CONTROL!$C$9, $D$9, 100%, $F$9) + CHOOSE(CONTROL!$C$27, 0.0021, 0)</f>
        <v>82.576599999999999</v>
      </c>
      <c r="H872" s="10">
        <f>82.4397 * CHOOSE(CONTROL!$C$9, $D$9, 100%, $F$9) + CHOOSE(CONTROL!$C$27, 0.0021, 0)</f>
        <v>82.441800000000001</v>
      </c>
      <c r="I872" s="10">
        <f>82.4397 * CHOOSE(CONTROL!$C$9, $D$9, 100%, $F$9) + CHOOSE(CONTROL!$C$27, 0.0021, 0)</f>
        <v>82.441800000000001</v>
      </c>
      <c r="J872" s="10">
        <f>82.4397 * CHOOSE(CONTROL!$C$9, $D$9, 100%, $F$9) + CHOOSE(CONTROL!$C$27, 0.0021, 0)</f>
        <v>82.441800000000001</v>
      </c>
      <c r="K872" s="10">
        <f>82.4397 * CHOOSE(CONTROL!$C$9, $D$9, 100%, $F$9) + CHOOSE(CONTROL!$C$27, 0.0021, 0)</f>
        <v>82.441800000000001</v>
      </c>
      <c r="L872" s="10"/>
    </row>
    <row r="873" spans="1:12" ht="15.75" x14ac:dyDescent="0.25">
      <c r="A873" s="13">
        <v>67876</v>
      </c>
      <c r="B873" s="10">
        <f>84.9048 * CHOOSE(CONTROL!$C$9, $D$9, 100%, $F$9) + CHOOSE(CONTROL!$C$27, 0.0021, 0)</f>
        <v>84.906899999999993</v>
      </c>
      <c r="C873" s="10">
        <f>84.4726 * CHOOSE(CONTROL!$C$9, $D$9, 100%, $F$9) + CHOOSE(CONTROL!$C$27, 0.0021, 0)</f>
        <v>84.474699999999999</v>
      </c>
      <c r="D873" s="10">
        <f>84.4726 * CHOOSE(CONTROL!$C$9, $D$9, 100%, $F$9) + CHOOSE(CONTROL!$C$27, 0.0021, 0)</f>
        <v>84.474699999999999</v>
      </c>
      <c r="E873" s="10">
        <f>84.3359 * CHOOSE(CONTROL!$C$9, $D$9, 100%, $F$9) + CHOOSE(CONTROL!$C$27, 0.0021, 0)</f>
        <v>84.337999999999994</v>
      </c>
      <c r="F873" s="10">
        <f>84.3359 * CHOOSE(CONTROL!$C$9, $D$9, 100%, $F$9) + CHOOSE(CONTROL!$C$27, 0.0021, 0)</f>
        <v>84.337999999999994</v>
      </c>
      <c r="G873" s="10">
        <f>84.6073 * CHOOSE(CONTROL!$C$9, $D$9, 100%, $F$9) + CHOOSE(CONTROL!$C$27, 0.0021, 0)</f>
        <v>84.609399999999994</v>
      </c>
      <c r="H873" s="10">
        <f>84.4726 * CHOOSE(CONTROL!$C$9, $D$9, 100%, $F$9) + CHOOSE(CONTROL!$C$27, 0.0021, 0)</f>
        <v>84.474699999999999</v>
      </c>
      <c r="I873" s="10">
        <f>84.4726 * CHOOSE(CONTROL!$C$9, $D$9, 100%, $F$9) + CHOOSE(CONTROL!$C$27, 0.0021, 0)</f>
        <v>84.474699999999999</v>
      </c>
      <c r="J873" s="10">
        <f>84.4726 * CHOOSE(CONTROL!$C$9, $D$9, 100%, $F$9) + CHOOSE(CONTROL!$C$27, 0.0021, 0)</f>
        <v>84.474699999999999</v>
      </c>
      <c r="K873" s="10">
        <f>84.4726 * CHOOSE(CONTROL!$C$9, $D$9, 100%, $F$9) + CHOOSE(CONTROL!$C$27, 0.0021, 0)</f>
        <v>84.474699999999999</v>
      </c>
      <c r="L873" s="10"/>
    </row>
    <row r="874" spans="1:12" ht="15.75" x14ac:dyDescent="0.25">
      <c r="A874" s="13">
        <v>67906</v>
      </c>
      <c r="B874" s="10">
        <f>85.0956 * CHOOSE(CONTROL!$C$9, $D$9, 100%, $F$9) + CHOOSE(CONTROL!$C$27, 0.0021, 0)</f>
        <v>85.097700000000003</v>
      </c>
      <c r="C874" s="10">
        <f>84.6634 * CHOOSE(CONTROL!$C$9, $D$9, 100%, $F$9) + CHOOSE(CONTROL!$C$27, 0.0021, 0)</f>
        <v>84.665499999999994</v>
      </c>
      <c r="D874" s="10">
        <f>84.6634 * CHOOSE(CONTROL!$C$9, $D$9, 100%, $F$9) + CHOOSE(CONTROL!$C$27, 0.0021, 0)</f>
        <v>84.665499999999994</v>
      </c>
      <c r="E874" s="10">
        <f>84.5267 * CHOOSE(CONTROL!$C$9, $D$9, 100%, $F$9) + CHOOSE(CONTROL!$C$27, 0.0021, 0)</f>
        <v>84.528800000000004</v>
      </c>
      <c r="F874" s="10">
        <f>84.5267 * CHOOSE(CONTROL!$C$9, $D$9, 100%, $F$9) + CHOOSE(CONTROL!$C$27, 0.0021, 0)</f>
        <v>84.528800000000004</v>
      </c>
      <c r="G874" s="10">
        <f>84.7981 * CHOOSE(CONTROL!$C$9, $D$9, 100%, $F$9) + CHOOSE(CONTROL!$C$27, 0.0021, 0)</f>
        <v>84.800200000000004</v>
      </c>
      <c r="H874" s="10">
        <f>84.6634 * CHOOSE(CONTROL!$C$9, $D$9, 100%, $F$9) + CHOOSE(CONTROL!$C$27, 0.0021, 0)</f>
        <v>84.665499999999994</v>
      </c>
      <c r="I874" s="10">
        <f>84.6634 * CHOOSE(CONTROL!$C$9, $D$9, 100%, $F$9) + CHOOSE(CONTROL!$C$27, 0.0021, 0)</f>
        <v>84.665499999999994</v>
      </c>
      <c r="J874" s="10">
        <f>84.6634 * CHOOSE(CONTROL!$C$9, $D$9, 100%, $F$9) + CHOOSE(CONTROL!$C$27, 0.0021, 0)</f>
        <v>84.665499999999994</v>
      </c>
      <c r="K874" s="10">
        <f>84.6634 * CHOOSE(CONTROL!$C$9, $D$9, 100%, $F$9) + CHOOSE(CONTROL!$C$27, 0.0021, 0)</f>
        <v>84.665499999999994</v>
      </c>
      <c r="L874" s="10"/>
    </row>
    <row r="875" spans="1:12" ht="15.75" x14ac:dyDescent="0.25">
      <c r="A875" s="13">
        <v>67937</v>
      </c>
      <c r="B875" s="10">
        <f>83.4721 * CHOOSE(CONTROL!$C$9, $D$9, 100%, $F$9) + CHOOSE(CONTROL!$C$27, 0.0021, 0)</f>
        <v>83.474199999999996</v>
      </c>
      <c r="C875" s="10">
        <f>83.0398 * CHOOSE(CONTROL!$C$9, $D$9, 100%, $F$9) + CHOOSE(CONTROL!$C$27, 0.0021, 0)</f>
        <v>83.041899999999998</v>
      </c>
      <c r="D875" s="10">
        <f>83.0398 * CHOOSE(CONTROL!$C$9, $D$9, 100%, $F$9) + CHOOSE(CONTROL!$C$27, 0.0021, 0)</f>
        <v>83.041899999999998</v>
      </c>
      <c r="E875" s="10">
        <f>82.9032 * CHOOSE(CONTROL!$C$9, $D$9, 100%, $F$9) + CHOOSE(CONTROL!$C$27, 0.0021, 0)</f>
        <v>82.905299999999997</v>
      </c>
      <c r="F875" s="10">
        <f>82.9032 * CHOOSE(CONTROL!$C$9, $D$9, 100%, $F$9) + CHOOSE(CONTROL!$C$27, 0.0021, 0)</f>
        <v>82.905299999999997</v>
      </c>
      <c r="G875" s="10">
        <f>83.1745 * CHOOSE(CONTROL!$C$9, $D$9, 100%, $F$9) + CHOOSE(CONTROL!$C$27, 0.0021, 0)</f>
        <v>83.176599999999993</v>
      </c>
      <c r="H875" s="10">
        <f>83.0398 * CHOOSE(CONTROL!$C$9, $D$9, 100%, $F$9) + CHOOSE(CONTROL!$C$27, 0.0021, 0)</f>
        <v>83.041899999999998</v>
      </c>
      <c r="I875" s="10">
        <f>83.0398 * CHOOSE(CONTROL!$C$9, $D$9, 100%, $F$9) + CHOOSE(CONTROL!$C$27, 0.0021, 0)</f>
        <v>83.041899999999998</v>
      </c>
      <c r="J875" s="10">
        <f>83.0398 * CHOOSE(CONTROL!$C$9, $D$9, 100%, $F$9) + CHOOSE(CONTROL!$C$27, 0.0021, 0)</f>
        <v>83.041899999999998</v>
      </c>
      <c r="K875" s="10">
        <f>83.0398 * CHOOSE(CONTROL!$C$9, $D$9, 100%, $F$9) + CHOOSE(CONTROL!$C$27, 0.0021, 0)</f>
        <v>83.041899999999998</v>
      </c>
      <c r="L875" s="10"/>
    </row>
    <row r="876" spans="1:12" ht="15.75" x14ac:dyDescent="0.25">
      <c r="A876" s="13">
        <v>67968</v>
      </c>
      <c r="B876" s="10">
        <f>82.229 * CHOOSE(CONTROL!$C$9, $D$9, 100%, $F$9) + CHOOSE(CONTROL!$C$27, 0.0021, 0)</f>
        <v>82.231099999999998</v>
      </c>
      <c r="C876" s="10">
        <f>81.7968 * CHOOSE(CONTROL!$C$9, $D$9, 100%, $F$9) + CHOOSE(CONTROL!$C$27, 0.0021, 0)</f>
        <v>81.798900000000003</v>
      </c>
      <c r="D876" s="10">
        <f>81.7968 * CHOOSE(CONTROL!$C$9, $D$9, 100%, $F$9) + CHOOSE(CONTROL!$C$27, 0.0021, 0)</f>
        <v>81.798900000000003</v>
      </c>
      <c r="E876" s="10">
        <f>81.6601 * CHOOSE(CONTROL!$C$9, $D$9, 100%, $F$9) + CHOOSE(CONTROL!$C$27, 0.0021, 0)</f>
        <v>81.662199999999999</v>
      </c>
      <c r="F876" s="10">
        <f>81.6601 * CHOOSE(CONTROL!$C$9, $D$9, 100%, $F$9) + CHOOSE(CONTROL!$C$27, 0.0021, 0)</f>
        <v>81.662199999999999</v>
      </c>
      <c r="G876" s="10">
        <f>81.9315 * CHOOSE(CONTROL!$C$9, $D$9, 100%, $F$9) + CHOOSE(CONTROL!$C$27, 0.0021, 0)</f>
        <v>81.933599999999998</v>
      </c>
      <c r="H876" s="10">
        <f>81.7968 * CHOOSE(CONTROL!$C$9, $D$9, 100%, $F$9) + CHOOSE(CONTROL!$C$27, 0.0021, 0)</f>
        <v>81.798900000000003</v>
      </c>
      <c r="I876" s="10">
        <f>81.7968 * CHOOSE(CONTROL!$C$9, $D$9, 100%, $F$9) + CHOOSE(CONTROL!$C$27, 0.0021, 0)</f>
        <v>81.798900000000003</v>
      </c>
      <c r="J876" s="10">
        <f>81.7968 * CHOOSE(CONTROL!$C$9, $D$9, 100%, $F$9) + CHOOSE(CONTROL!$C$27, 0.0021, 0)</f>
        <v>81.798900000000003</v>
      </c>
      <c r="K876" s="10">
        <f>81.7968 * CHOOSE(CONTROL!$C$9, $D$9, 100%, $F$9) + CHOOSE(CONTROL!$C$27, 0.0021, 0)</f>
        <v>81.798900000000003</v>
      </c>
      <c r="L876" s="10"/>
    </row>
    <row r="877" spans="1:12" ht="15.75" x14ac:dyDescent="0.25">
      <c r="A877" s="13">
        <v>67996</v>
      </c>
      <c r="B877" s="10">
        <f>79.968 * CHOOSE(CONTROL!$C$9, $D$9, 100%, $F$9) + CHOOSE(CONTROL!$C$27, 0.0021, 0)</f>
        <v>79.970100000000002</v>
      </c>
      <c r="C877" s="10">
        <f>79.5357 * CHOOSE(CONTROL!$C$9, $D$9, 100%, $F$9) + CHOOSE(CONTROL!$C$27, 0.0021, 0)</f>
        <v>79.537800000000004</v>
      </c>
      <c r="D877" s="10">
        <f>79.5357 * CHOOSE(CONTROL!$C$9, $D$9, 100%, $F$9) + CHOOSE(CONTROL!$C$27, 0.0021, 0)</f>
        <v>79.537800000000004</v>
      </c>
      <c r="E877" s="10">
        <f>79.3991 * CHOOSE(CONTROL!$C$9, $D$9, 100%, $F$9) + CHOOSE(CONTROL!$C$27, 0.0021, 0)</f>
        <v>79.401200000000003</v>
      </c>
      <c r="F877" s="10">
        <f>79.3991 * CHOOSE(CONTROL!$C$9, $D$9, 100%, $F$9) + CHOOSE(CONTROL!$C$27, 0.0021, 0)</f>
        <v>79.401200000000003</v>
      </c>
      <c r="G877" s="10">
        <f>79.6704 * CHOOSE(CONTROL!$C$9, $D$9, 100%, $F$9) + CHOOSE(CONTROL!$C$27, 0.0021, 0)</f>
        <v>79.672499999999999</v>
      </c>
      <c r="H877" s="10">
        <f>79.5357 * CHOOSE(CONTROL!$C$9, $D$9, 100%, $F$9) + CHOOSE(CONTROL!$C$27, 0.0021, 0)</f>
        <v>79.537800000000004</v>
      </c>
      <c r="I877" s="10">
        <f>79.5357 * CHOOSE(CONTROL!$C$9, $D$9, 100%, $F$9) + CHOOSE(CONTROL!$C$27, 0.0021, 0)</f>
        <v>79.537800000000004</v>
      </c>
      <c r="J877" s="10">
        <f>79.5357 * CHOOSE(CONTROL!$C$9, $D$9, 100%, $F$9) + CHOOSE(CONTROL!$C$27, 0.0021, 0)</f>
        <v>79.537800000000004</v>
      </c>
      <c r="K877" s="10">
        <f>79.5357 * CHOOSE(CONTROL!$C$9, $D$9, 100%, $F$9) + CHOOSE(CONTROL!$C$27, 0.0021, 0)</f>
        <v>79.537800000000004</v>
      </c>
      <c r="L877" s="10"/>
    </row>
    <row r="878" spans="1:12" ht="15.75" x14ac:dyDescent="0.25">
      <c r="A878" s="13">
        <v>68027</v>
      </c>
      <c r="B878" s="10">
        <f>79.0346 * CHOOSE(CONTROL!$C$9, $D$9, 100%, $F$9) + CHOOSE(CONTROL!$C$27, 0.0021, 0)</f>
        <v>79.036699999999996</v>
      </c>
      <c r="C878" s="10">
        <f>78.6024 * CHOOSE(CONTROL!$C$9, $D$9, 100%, $F$9) + CHOOSE(CONTROL!$C$27, 0.0021, 0)</f>
        <v>78.604500000000002</v>
      </c>
      <c r="D878" s="10">
        <f>78.6024 * CHOOSE(CONTROL!$C$9, $D$9, 100%, $F$9) + CHOOSE(CONTROL!$C$27, 0.0021, 0)</f>
        <v>78.604500000000002</v>
      </c>
      <c r="E878" s="10">
        <f>78.4657 * CHOOSE(CONTROL!$C$9, $D$9, 100%, $F$9) + CHOOSE(CONTROL!$C$27, 0.0021, 0)</f>
        <v>78.467799999999997</v>
      </c>
      <c r="F878" s="10">
        <f>78.4657 * CHOOSE(CONTROL!$C$9, $D$9, 100%, $F$9) + CHOOSE(CONTROL!$C$27, 0.0021, 0)</f>
        <v>78.467799999999997</v>
      </c>
      <c r="G878" s="10">
        <f>78.7371 * CHOOSE(CONTROL!$C$9, $D$9, 100%, $F$9) + CHOOSE(CONTROL!$C$27, 0.0021, 0)</f>
        <v>78.739199999999997</v>
      </c>
      <c r="H878" s="10">
        <f>78.6024 * CHOOSE(CONTROL!$C$9, $D$9, 100%, $F$9) + CHOOSE(CONTROL!$C$27, 0.0021, 0)</f>
        <v>78.604500000000002</v>
      </c>
      <c r="I878" s="10">
        <f>78.6024 * CHOOSE(CONTROL!$C$9, $D$9, 100%, $F$9) + CHOOSE(CONTROL!$C$27, 0.0021, 0)</f>
        <v>78.604500000000002</v>
      </c>
      <c r="J878" s="10">
        <f>78.6024 * CHOOSE(CONTROL!$C$9, $D$9, 100%, $F$9) + CHOOSE(CONTROL!$C$27, 0.0021, 0)</f>
        <v>78.604500000000002</v>
      </c>
      <c r="K878" s="10">
        <f>78.6024 * CHOOSE(CONTROL!$C$9, $D$9, 100%, $F$9) + CHOOSE(CONTROL!$C$27, 0.0021, 0)</f>
        <v>78.604500000000002</v>
      </c>
      <c r="L878" s="10"/>
    </row>
    <row r="879" spans="1:12" ht="15.75" x14ac:dyDescent="0.25">
      <c r="A879" s="13">
        <v>68057</v>
      </c>
      <c r="B879" s="10">
        <f>77.9202 * CHOOSE(CONTROL!$C$9, $D$9, 100%, $F$9) + CHOOSE(CONTROL!$C$27, 0.0021, 0)</f>
        <v>77.922299999999993</v>
      </c>
      <c r="C879" s="10">
        <f>77.4879 * CHOOSE(CONTROL!$C$9, $D$9, 100%, $F$9) + CHOOSE(CONTROL!$C$27, 0.0021, 0)</f>
        <v>77.489999999999995</v>
      </c>
      <c r="D879" s="10">
        <f>77.4879 * CHOOSE(CONTROL!$C$9, $D$9, 100%, $F$9) + CHOOSE(CONTROL!$C$27, 0.0021, 0)</f>
        <v>77.489999999999995</v>
      </c>
      <c r="E879" s="10">
        <f>77.3513 * CHOOSE(CONTROL!$C$9, $D$9, 100%, $F$9) + CHOOSE(CONTROL!$C$27, 0.0021, 0)</f>
        <v>77.353399999999993</v>
      </c>
      <c r="F879" s="10">
        <f>77.3513 * CHOOSE(CONTROL!$C$9, $D$9, 100%, $F$9) + CHOOSE(CONTROL!$C$27, 0.0021, 0)</f>
        <v>77.353399999999993</v>
      </c>
      <c r="G879" s="10">
        <f>77.6226 * CHOOSE(CONTROL!$C$9, $D$9, 100%, $F$9) + CHOOSE(CONTROL!$C$27, 0.0021, 0)</f>
        <v>77.624700000000004</v>
      </c>
      <c r="H879" s="10">
        <f>77.4879 * CHOOSE(CONTROL!$C$9, $D$9, 100%, $F$9) + CHOOSE(CONTROL!$C$27, 0.0021, 0)</f>
        <v>77.489999999999995</v>
      </c>
      <c r="I879" s="10">
        <f>77.4879 * CHOOSE(CONTROL!$C$9, $D$9, 100%, $F$9) + CHOOSE(CONTROL!$C$27, 0.0021, 0)</f>
        <v>77.489999999999995</v>
      </c>
      <c r="J879" s="10">
        <f>77.4879 * CHOOSE(CONTROL!$C$9, $D$9, 100%, $F$9) + CHOOSE(CONTROL!$C$27, 0.0021, 0)</f>
        <v>77.489999999999995</v>
      </c>
      <c r="K879" s="10">
        <f>77.4879 * CHOOSE(CONTROL!$C$9, $D$9, 100%, $F$9) + CHOOSE(CONTROL!$C$27, 0.0021, 0)</f>
        <v>77.489999999999995</v>
      </c>
      <c r="L879" s="10"/>
    </row>
    <row r="880" spans="1:12" ht="15.75" x14ac:dyDescent="0.25">
      <c r="A880" s="13">
        <v>68088</v>
      </c>
      <c r="B880" s="10">
        <f>79.5084 * CHOOSE(CONTROL!$C$9, $D$9, 100%, $F$9) + CHOOSE(CONTROL!$C$27, 0.0021, 0)</f>
        <v>79.510499999999993</v>
      </c>
      <c r="C880" s="10">
        <f>79.0761 * CHOOSE(CONTROL!$C$9, $D$9, 100%, $F$9) + CHOOSE(CONTROL!$C$27, 0.0021, 0)</f>
        <v>79.078199999999995</v>
      </c>
      <c r="D880" s="10">
        <f>79.0761 * CHOOSE(CONTROL!$C$9, $D$9, 100%, $F$9) + CHOOSE(CONTROL!$C$27, 0.0021, 0)</f>
        <v>79.078199999999995</v>
      </c>
      <c r="E880" s="10">
        <f>78.9395 * CHOOSE(CONTROL!$C$9, $D$9, 100%, $F$9) + CHOOSE(CONTROL!$C$27, 0.0021, 0)</f>
        <v>78.941599999999994</v>
      </c>
      <c r="F880" s="10">
        <f>78.9395 * CHOOSE(CONTROL!$C$9, $D$9, 100%, $F$9) + CHOOSE(CONTROL!$C$27, 0.0021, 0)</f>
        <v>78.941599999999994</v>
      </c>
      <c r="G880" s="10">
        <f>79.2109 * CHOOSE(CONTROL!$C$9, $D$9, 100%, $F$9) + CHOOSE(CONTROL!$C$27, 0.0021, 0)</f>
        <v>79.212999999999994</v>
      </c>
      <c r="H880" s="10">
        <f>79.0761 * CHOOSE(CONTROL!$C$9, $D$9, 100%, $F$9) + CHOOSE(CONTROL!$C$27, 0.0021, 0)</f>
        <v>79.078199999999995</v>
      </c>
      <c r="I880" s="10">
        <f>79.0761 * CHOOSE(CONTROL!$C$9, $D$9, 100%, $F$9) + CHOOSE(CONTROL!$C$27, 0.0021, 0)</f>
        <v>79.078199999999995</v>
      </c>
      <c r="J880" s="10">
        <f>79.0761 * CHOOSE(CONTROL!$C$9, $D$9, 100%, $F$9) + CHOOSE(CONTROL!$C$27, 0.0021, 0)</f>
        <v>79.078199999999995</v>
      </c>
      <c r="K880" s="10">
        <f>79.0761 * CHOOSE(CONTROL!$C$9, $D$9, 100%, $F$9) + CHOOSE(CONTROL!$C$27, 0.0021, 0)</f>
        <v>79.078199999999995</v>
      </c>
      <c r="L880" s="10"/>
    </row>
    <row r="881" spans="1:12" ht="15.75" x14ac:dyDescent="0.25">
      <c r="A881" s="13">
        <v>68118</v>
      </c>
      <c r="B881" s="10">
        <f>80.4597 * CHOOSE(CONTROL!$C$9, $D$9, 100%, $F$9) + CHOOSE(CONTROL!$C$27, 0.0021, 0)</f>
        <v>80.461799999999997</v>
      </c>
      <c r="C881" s="10">
        <f>80.0274 * CHOOSE(CONTROL!$C$9, $D$9, 100%, $F$9) + CHOOSE(CONTROL!$C$27, 0.0021, 0)</f>
        <v>80.029499999999999</v>
      </c>
      <c r="D881" s="10">
        <f>80.0274 * CHOOSE(CONTROL!$C$9, $D$9, 100%, $F$9) + CHOOSE(CONTROL!$C$27, 0.0021, 0)</f>
        <v>80.029499999999999</v>
      </c>
      <c r="E881" s="10">
        <f>79.8908 * CHOOSE(CONTROL!$C$9, $D$9, 100%, $F$9) + CHOOSE(CONTROL!$C$27, 0.0021, 0)</f>
        <v>79.892899999999997</v>
      </c>
      <c r="F881" s="10">
        <f>79.8908 * CHOOSE(CONTROL!$C$9, $D$9, 100%, $F$9) + CHOOSE(CONTROL!$C$27, 0.0021, 0)</f>
        <v>79.892899999999997</v>
      </c>
      <c r="G881" s="10">
        <f>80.1621 * CHOOSE(CONTROL!$C$9, $D$9, 100%, $F$9) + CHOOSE(CONTROL!$C$27, 0.0021, 0)</f>
        <v>80.164199999999994</v>
      </c>
      <c r="H881" s="10">
        <f>80.0274 * CHOOSE(CONTROL!$C$9, $D$9, 100%, $F$9) + CHOOSE(CONTROL!$C$27, 0.0021, 0)</f>
        <v>80.029499999999999</v>
      </c>
      <c r="I881" s="10">
        <f>80.0274 * CHOOSE(CONTROL!$C$9, $D$9, 100%, $F$9) + CHOOSE(CONTROL!$C$27, 0.0021, 0)</f>
        <v>80.029499999999999</v>
      </c>
      <c r="J881" s="10">
        <f>80.0274 * CHOOSE(CONTROL!$C$9, $D$9, 100%, $F$9) + CHOOSE(CONTROL!$C$27, 0.0021, 0)</f>
        <v>80.029499999999999</v>
      </c>
      <c r="K881" s="10">
        <f>80.0274 * CHOOSE(CONTROL!$C$9, $D$9, 100%, $F$9) + CHOOSE(CONTROL!$C$27, 0.0021, 0)</f>
        <v>80.029499999999999</v>
      </c>
      <c r="L881" s="10"/>
    </row>
    <row r="882" spans="1:12" ht="15.75" x14ac:dyDescent="0.25">
      <c r="A882" s="13">
        <v>68149</v>
      </c>
      <c r="B882" s="10">
        <f>82.0289 * CHOOSE(CONTROL!$C$9, $D$9, 100%, $F$9) + CHOOSE(CONTROL!$C$27, 0.0021, 0)</f>
        <v>82.030999999999992</v>
      </c>
      <c r="C882" s="10">
        <f>81.5967 * CHOOSE(CONTROL!$C$9, $D$9, 100%, $F$9) + CHOOSE(CONTROL!$C$27, 0.0021, 0)</f>
        <v>81.598799999999997</v>
      </c>
      <c r="D882" s="10">
        <f>81.5967 * CHOOSE(CONTROL!$C$9, $D$9, 100%, $F$9) + CHOOSE(CONTROL!$C$27, 0.0021, 0)</f>
        <v>81.598799999999997</v>
      </c>
      <c r="E882" s="10">
        <f>81.46 * CHOOSE(CONTROL!$C$9, $D$9, 100%, $F$9) + CHOOSE(CONTROL!$C$27, 0.0021, 0)</f>
        <v>81.462099999999992</v>
      </c>
      <c r="F882" s="10">
        <f>81.46 * CHOOSE(CONTROL!$C$9, $D$9, 100%, $F$9) + CHOOSE(CONTROL!$C$27, 0.0021, 0)</f>
        <v>81.462099999999992</v>
      </c>
      <c r="G882" s="10">
        <f>81.7314 * CHOOSE(CONTROL!$C$9, $D$9, 100%, $F$9) + CHOOSE(CONTROL!$C$27, 0.0021, 0)</f>
        <v>81.733499999999992</v>
      </c>
      <c r="H882" s="10">
        <f>81.5967 * CHOOSE(CONTROL!$C$9, $D$9, 100%, $F$9) + CHOOSE(CONTROL!$C$27, 0.0021, 0)</f>
        <v>81.598799999999997</v>
      </c>
      <c r="I882" s="10">
        <f>81.5967 * CHOOSE(CONTROL!$C$9, $D$9, 100%, $F$9) + CHOOSE(CONTROL!$C$27, 0.0021, 0)</f>
        <v>81.598799999999997</v>
      </c>
      <c r="J882" s="10">
        <f>81.5967 * CHOOSE(CONTROL!$C$9, $D$9, 100%, $F$9) + CHOOSE(CONTROL!$C$27, 0.0021, 0)</f>
        <v>81.598799999999997</v>
      </c>
      <c r="K882" s="10">
        <f>81.5967 * CHOOSE(CONTROL!$C$9, $D$9, 100%, $F$9) + CHOOSE(CONTROL!$C$27, 0.0021, 0)</f>
        <v>81.598799999999997</v>
      </c>
      <c r="L882" s="10"/>
    </row>
    <row r="883" spans="1:12" ht="15.75" x14ac:dyDescent="0.25">
      <c r="A883" s="13">
        <v>68180</v>
      </c>
      <c r="B883" s="10">
        <f>82.5079 * CHOOSE(CONTROL!$C$9, $D$9, 100%, $F$9) + CHOOSE(CONTROL!$C$27, 0.0021, 0)</f>
        <v>82.51</v>
      </c>
      <c r="C883" s="10">
        <f>82.0757 * CHOOSE(CONTROL!$C$9, $D$9, 100%, $F$9) + CHOOSE(CONTROL!$C$27, 0.0021, 0)</f>
        <v>82.077799999999996</v>
      </c>
      <c r="D883" s="10">
        <f>82.0757 * CHOOSE(CONTROL!$C$9, $D$9, 100%, $F$9) + CHOOSE(CONTROL!$C$27, 0.0021, 0)</f>
        <v>82.077799999999996</v>
      </c>
      <c r="E883" s="10">
        <f>81.939 * CHOOSE(CONTROL!$C$9, $D$9, 100%, $F$9) + CHOOSE(CONTROL!$C$27, 0.0021, 0)</f>
        <v>81.941099999999992</v>
      </c>
      <c r="F883" s="10">
        <f>81.939 * CHOOSE(CONTROL!$C$9, $D$9, 100%, $F$9) + CHOOSE(CONTROL!$C$27, 0.0021, 0)</f>
        <v>81.941099999999992</v>
      </c>
      <c r="G883" s="10">
        <f>82.2104 * CHOOSE(CONTROL!$C$9, $D$9, 100%, $F$9) + CHOOSE(CONTROL!$C$27, 0.0021, 0)</f>
        <v>82.212500000000006</v>
      </c>
      <c r="H883" s="10">
        <f>82.0757 * CHOOSE(CONTROL!$C$9, $D$9, 100%, $F$9) + CHOOSE(CONTROL!$C$27, 0.0021, 0)</f>
        <v>82.077799999999996</v>
      </c>
      <c r="I883" s="10">
        <f>82.0757 * CHOOSE(CONTROL!$C$9, $D$9, 100%, $F$9) + CHOOSE(CONTROL!$C$27, 0.0021, 0)</f>
        <v>82.077799999999996</v>
      </c>
      <c r="J883" s="10">
        <f>82.0757 * CHOOSE(CONTROL!$C$9, $D$9, 100%, $F$9) + CHOOSE(CONTROL!$C$27, 0.0021, 0)</f>
        <v>82.077799999999996</v>
      </c>
      <c r="K883" s="10">
        <f>82.0757 * CHOOSE(CONTROL!$C$9, $D$9, 100%, $F$9) + CHOOSE(CONTROL!$C$27, 0.0021, 0)</f>
        <v>82.077799999999996</v>
      </c>
      <c r="L883" s="10"/>
    </row>
    <row r="884" spans="1:12" ht="15.75" x14ac:dyDescent="0.25">
      <c r="A884" s="13">
        <v>68210</v>
      </c>
      <c r="B884" s="10">
        <f>84.1391 * CHOOSE(CONTROL!$C$9, $D$9, 100%, $F$9) + CHOOSE(CONTROL!$C$27, 0.0021, 0)</f>
        <v>84.141199999999998</v>
      </c>
      <c r="C884" s="10">
        <f>83.7068 * CHOOSE(CONTROL!$C$9, $D$9, 100%, $F$9) + CHOOSE(CONTROL!$C$27, 0.0021, 0)</f>
        <v>83.7089</v>
      </c>
      <c r="D884" s="10">
        <f>83.7068 * CHOOSE(CONTROL!$C$9, $D$9, 100%, $F$9) + CHOOSE(CONTROL!$C$27, 0.0021, 0)</f>
        <v>83.7089</v>
      </c>
      <c r="E884" s="10">
        <f>83.5702 * CHOOSE(CONTROL!$C$9, $D$9, 100%, $F$9) + CHOOSE(CONTROL!$C$27, 0.0021, 0)</f>
        <v>83.572299999999998</v>
      </c>
      <c r="F884" s="10">
        <f>83.5702 * CHOOSE(CONTROL!$C$9, $D$9, 100%, $F$9) + CHOOSE(CONTROL!$C$27, 0.0021, 0)</f>
        <v>83.572299999999998</v>
      </c>
      <c r="G884" s="10">
        <f>83.8416 * CHOOSE(CONTROL!$C$9, $D$9, 100%, $F$9) + CHOOSE(CONTROL!$C$27, 0.0021, 0)</f>
        <v>83.843699999999998</v>
      </c>
      <c r="H884" s="10">
        <f>83.7068 * CHOOSE(CONTROL!$C$9, $D$9, 100%, $F$9) + CHOOSE(CONTROL!$C$27, 0.0021, 0)</f>
        <v>83.7089</v>
      </c>
      <c r="I884" s="10">
        <f>83.7068 * CHOOSE(CONTROL!$C$9, $D$9, 100%, $F$9) + CHOOSE(CONTROL!$C$27, 0.0021, 0)</f>
        <v>83.7089</v>
      </c>
      <c r="J884" s="10">
        <f>83.7068 * CHOOSE(CONTROL!$C$9, $D$9, 100%, $F$9) + CHOOSE(CONTROL!$C$27, 0.0021, 0)</f>
        <v>83.7089</v>
      </c>
      <c r="K884" s="10">
        <f>83.7068 * CHOOSE(CONTROL!$C$9, $D$9, 100%, $F$9) + CHOOSE(CONTROL!$C$27, 0.0021, 0)</f>
        <v>83.7089</v>
      </c>
      <c r="L884" s="10"/>
    </row>
    <row r="885" spans="1:12" ht="15.75" x14ac:dyDescent="0.25">
      <c r="A885" s="13">
        <v>68241</v>
      </c>
      <c r="B885" s="10">
        <f>86.2039 * CHOOSE(CONTROL!$C$9, $D$9, 100%, $F$9) + CHOOSE(CONTROL!$C$27, 0.0021, 0)</f>
        <v>86.206000000000003</v>
      </c>
      <c r="C885" s="10">
        <f>85.7716 * CHOOSE(CONTROL!$C$9, $D$9, 100%, $F$9) + CHOOSE(CONTROL!$C$27, 0.0021, 0)</f>
        <v>85.773700000000005</v>
      </c>
      <c r="D885" s="10">
        <f>85.7716 * CHOOSE(CONTROL!$C$9, $D$9, 100%, $F$9) + CHOOSE(CONTROL!$C$27, 0.0021, 0)</f>
        <v>85.773700000000005</v>
      </c>
      <c r="E885" s="10">
        <f>85.635 * CHOOSE(CONTROL!$C$9, $D$9, 100%, $F$9) + CHOOSE(CONTROL!$C$27, 0.0021, 0)</f>
        <v>85.637100000000004</v>
      </c>
      <c r="F885" s="10">
        <f>85.635 * CHOOSE(CONTROL!$C$9, $D$9, 100%, $F$9) + CHOOSE(CONTROL!$C$27, 0.0021, 0)</f>
        <v>85.637100000000004</v>
      </c>
      <c r="G885" s="10">
        <f>85.9064 * CHOOSE(CONTROL!$C$9, $D$9, 100%, $F$9) + CHOOSE(CONTROL!$C$27, 0.0021, 0)</f>
        <v>85.908500000000004</v>
      </c>
      <c r="H885" s="10">
        <f>85.7716 * CHOOSE(CONTROL!$C$9, $D$9, 100%, $F$9) + CHOOSE(CONTROL!$C$27, 0.0021, 0)</f>
        <v>85.773700000000005</v>
      </c>
      <c r="I885" s="10">
        <f>85.7716 * CHOOSE(CONTROL!$C$9, $D$9, 100%, $F$9) + CHOOSE(CONTROL!$C$27, 0.0021, 0)</f>
        <v>85.773700000000005</v>
      </c>
      <c r="J885" s="10">
        <f>85.7716 * CHOOSE(CONTROL!$C$9, $D$9, 100%, $F$9) + CHOOSE(CONTROL!$C$27, 0.0021, 0)</f>
        <v>85.773700000000005</v>
      </c>
      <c r="K885" s="10">
        <f>85.7716 * CHOOSE(CONTROL!$C$9, $D$9, 100%, $F$9) + CHOOSE(CONTROL!$C$27, 0.0021, 0)</f>
        <v>85.773700000000005</v>
      </c>
      <c r="L885" s="10"/>
    </row>
    <row r="886" spans="1:12" ht="15.75" x14ac:dyDescent="0.25">
      <c r="A886" s="13">
        <v>68271</v>
      </c>
      <c r="B886" s="10">
        <f>86.3977 * CHOOSE(CONTROL!$C$9, $D$9, 100%, $F$9) + CHOOSE(CONTROL!$C$27, 0.0021, 0)</f>
        <v>86.399799999999999</v>
      </c>
      <c r="C886" s="10">
        <f>85.9655 * CHOOSE(CONTROL!$C$9, $D$9, 100%, $F$9) + CHOOSE(CONTROL!$C$27, 0.0021, 0)</f>
        <v>85.967600000000004</v>
      </c>
      <c r="D886" s="10">
        <f>85.9655 * CHOOSE(CONTROL!$C$9, $D$9, 100%, $F$9) + CHOOSE(CONTROL!$C$27, 0.0021, 0)</f>
        <v>85.967600000000004</v>
      </c>
      <c r="E886" s="10">
        <f>85.8288 * CHOOSE(CONTROL!$C$9, $D$9, 100%, $F$9) + CHOOSE(CONTROL!$C$27, 0.0021, 0)</f>
        <v>85.8309</v>
      </c>
      <c r="F886" s="10">
        <f>85.8288 * CHOOSE(CONTROL!$C$9, $D$9, 100%, $F$9) + CHOOSE(CONTROL!$C$27, 0.0021, 0)</f>
        <v>85.8309</v>
      </c>
      <c r="G886" s="10">
        <f>86.1002 * CHOOSE(CONTROL!$C$9, $D$9, 100%, $F$9) + CHOOSE(CONTROL!$C$27, 0.0021, 0)</f>
        <v>86.1023</v>
      </c>
      <c r="H886" s="10">
        <f>85.9655 * CHOOSE(CONTROL!$C$9, $D$9, 100%, $F$9) + CHOOSE(CONTROL!$C$27, 0.0021, 0)</f>
        <v>85.967600000000004</v>
      </c>
      <c r="I886" s="10">
        <f>85.9655 * CHOOSE(CONTROL!$C$9, $D$9, 100%, $F$9) + CHOOSE(CONTROL!$C$27, 0.0021, 0)</f>
        <v>85.967600000000004</v>
      </c>
      <c r="J886" s="10">
        <f>85.9655 * CHOOSE(CONTROL!$C$9, $D$9, 100%, $F$9) + CHOOSE(CONTROL!$C$27, 0.0021, 0)</f>
        <v>85.967600000000004</v>
      </c>
      <c r="K886" s="10">
        <f>85.9655 * CHOOSE(CONTROL!$C$9, $D$9, 100%, $F$9) + CHOOSE(CONTROL!$C$27, 0.0021, 0)</f>
        <v>85.967600000000004</v>
      </c>
      <c r="L886" s="10"/>
    </row>
    <row r="887" spans="1:12" ht="15.75" x14ac:dyDescent="0.25">
      <c r="A887" s="13">
        <v>68302</v>
      </c>
      <c r="B887" s="10">
        <f>84.7486 * CHOOSE(CONTROL!$C$9, $D$9, 100%, $F$9) + CHOOSE(CONTROL!$C$27, 0.0021, 0)</f>
        <v>84.750699999999995</v>
      </c>
      <c r="C887" s="10">
        <f>84.3164 * CHOOSE(CONTROL!$C$9, $D$9, 100%, $F$9) + CHOOSE(CONTROL!$C$27, 0.0021, 0)</f>
        <v>84.3185</v>
      </c>
      <c r="D887" s="10">
        <f>84.3164 * CHOOSE(CONTROL!$C$9, $D$9, 100%, $F$9) + CHOOSE(CONTROL!$C$27, 0.0021, 0)</f>
        <v>84.3185</v>
      </c>
      <c r="E887" s="10">
        <f>84.1797 * CHOOSE(CONTROL!$C$9, $D$9, 100%, $F$9) + CHOOSE(CONTROL!$C$27, 0.0021, 0)</f>
        <v>84.181799999999996</v>
      </c>
      <c r="F887" s="10">
        <f>84.1797 * CHOOSE(CONTROL!$C$9, $D$9, 100%, $F$9) + CHOOSE(CONTROL!$C$27, 0.0021, 0)</f>
        <v>84.181799999999996</v>
      </c>
      <c r="G887" s="10">
        <f>84.4511 * CHOOSE(CONTROL!$C$9, $D$9, 100%, $F$9) + CHOOSE(CONTROL!$C$27, 0.0021, 0)</f>
        <v>84.453199999999995</v>
      </c>
      <c r="H887" s="10">
        <f>84.3164 * CHOOSE(CONTROL!$C$9, $D$9, 100%, $F$9) + CHOOSE(CONTROL!$C$27, 0.0021, 0)</f>
        <v>84.3185</v>
      </c>
      <c r="I887" s="10">
        <f>84.3164 * CHOOSE(CONTROL!$C$9, $D$9, 100%, $F$9) + CHOOSE(CONTROL!$C$27, 0.0021, 0)</f>
        <v>84.3185</v>
      </c>
      <c r="J887" s="10">
        <f>84.3164 * CHOOSE(CONTROL!$C$9, $D$9, 100%, $F$9) + CHOOSE(CONTROL!$C$27, 0.0021, 0)</f>
        <v>84.3185</v>
      </c>
      <c r="K887" s="10">
        <f>84.3164 * CHOOSE(CONTROL!$C$9, $D$9, 100%, $F$9) + CHOOSE(CONTROL!$C$27, 0.0021, 0)</f>
        <v>84.3185</v>
      </c>
      <c r="L887" s="10"/>
    </row>
    <row r="888" spans="1:12" ht="15.75" x14ac:dyDescent="0.25">
      <c r="A888" s="13">
        <v>68333</v>
      </c>
      <c r="B888" s="10">
        <f>83.486 * CHOOSE(CONTROL!$C$9, $D$9, 100%, $F$9) + CHOOSE(CONTROL!$C$27, 0.0021, 0)</f>
        <v>83.488100000000003</v>
      </c>
      <c r="C888" s="10">
        <f>83.0538 * CHOOSE(CONTROL!$C$9, $D$9, 100%, $F$9) + CHOOSE(CONTROL!$C$27, 0.0021, 0)</f>
        <v>83.055899999999994</v>
      </c>
      <c r="D888" s="10">
        <f>83.0538 * CHOOSE(CONTROL!$C$9, $D$9, 100%, $F$9) + CHOOSE(CONTROL!$C$27, 0.0021, 0)</f>
        <v>83.055899999999994</v>
      </c>
      <c r="E888" s="10">
        <f>82.9171 * CHOOSE(CONTROL!$C$9, $D$9, 100%, $F$9) + CHOOSE(CONTROL!$C$27, 0.0021, 0)</f>
        <v>82.919200000000004</v>
      </c>
      <c r="F888" s="10">
        <f>82.9171 * CHOOSE(CONTROL!$C$9, $D$9, 100%, $F$9) + CHOOSE(CONTROL!$C$27, 0.0021, 0)</f>
        <v>82.919200000000004</v>
      </c>
      <c r="G888" s="10">
        <f>83.1885 * CHOOSE(CONTROL!$C$9, $D$9, 100%, $F$9) + CHOOSE(CONTROL!$C$27, 0.0021, 0)</f>
        <v>83.190600000000003</v>
      </c>
      <c r="H888" s="10">
        <f>83.0538 * CHOOSE(CONTROL!$C$9, $D$9, 100%, $F$9) + CHOOSE(CONTROL!$C$27, 0.0021, 0)</f>
        <v>83.055899999999994</v>
      </c>
      <c r="I888" s="10">
        <f>83.0538 * CHOOSE(CONTROL!$C$9, $D$9, 100%, $F$9) + CHOOSE(CONTROL!$C$27, 0.0021, 0)</f>
        <v>83.055899999999994</v>
      </c>
      <c r="J888" s="10">
        <f>83.0538 * CHOOSE(CONTROL!$C$9, $D$9, 100%, $F$9) + CHOOSE(CONTROL!$C$27, 0.0021, 0)</f>
        <v>83.055899999999994</v>
      </c>
      <c r="K888" s="10">
        <f>83.0538 * CHOOSE(CONTROL!$C$9, $D$9, 100%, $F$9) + CHOOSE(CONTROL!$C$27, 0.0021, 0)</f>
        <v>83.055899999999994</v>
      </c>
      <c r="L888" s="10"/>
    </row>
    <row r="889" spans="1:12" ht="15.75" x14ac:dyDescent="0.25">
      <c r="A889" s="13">
        <v>68361</v>
      </c>
      <c r="B889" s="10">
        <f>81.1894 * CHOOSE(CONTROL!$C$9, $D$9, 100%, $F$9) + CHOOSE(CONTROL!$C$27, 0.0021, 0)</f>
        <v>81.191500000000005</v>
      </c>
      <c r="C889" s="10">
        <f>80.7572 * CHOOSE(CONTROL!$C$9, $D$9, 100%, $F$9) + CHOOSE(CONTROL!$C$27, 0.0021, 0)</f>
        <v>80.759299999999996</v>
      </c>
      <c r="D889" s="10">
        <f>80.7572 * CHOOSE(CONTROL!$C$9, $D$9, 100%, $F$9) + CHOOSE(CONTROL!$C$27, 0.0021, 0)</f>
        <v>80.759299999999996</v>
      </c>
      <c r="E889" s="10">
        <f>80.6205 * CHOOSE(CONTROL!$C$9, $D$9, 100%, $F$9) + CHOOSE(CONTROL!$C$27, 0.0021, 0)</f>
        <v>80.622600000000006</v>
      </c>
      <c r="F889" s="10">
        <f>80.6205 * CHOOSE(CONTROL!$C$9, $D$9, 100%, $F$9) + CHOOSE(CONTROL!$C$27, 0.0021, 0)</f>
        <v>80.622600000000006</v>
      </c>
      <c r="G889" s="10">
        <f>80.8919 * CHOOSE(CONTROL!$C$9, $D$9, 100%, $F$9) + CHOOSE(CONTROL!$C$27, 0.0021, 0)</f>
        <v>80.894000000000005</v>
      </c>
      <c r="H889" s="10">
        <f>80.7572 * CHOOSE(CONTROL!$C$9, $D$9, 100%, $F$9) + CHOOSE(CONTROL!$C$27, 0.0021, 0)</f>
        <v>80.759299999999996</v>
      </c>
      <c r="I889" s="10">
        <f>80.7572 * CHOOSE(CONTROL!$C$9, $D$9, 100%, $F$9) + CHOOSE(CONTROL!$C$27, 0.0021, 0)</f>
        <v>80.759299999999996</v>
      </c>
      <c r="J889" s="10">
        <f>80.7572 * CHOOSE(CONTROL!$C$9, $D$9, 100%, $F$9) + CHOOSE(CONTROL!$C$27, 0.0021, 0)</f>
        <v>80.759299999999996</v>
      </c>
      <c r="K889" s="10">
        <f>80.7572 * CHOOSE(CONTROL!$C$9, $D$9, 100%, $F$9) + CHOOSE(CONTROL!$C$27, 0.0021, 0)</f>
        <v>80.759299999999996</v>
      </c>
      <c r="L889" s="10"/>
    </row>
    <row r="890" spans="1:12" ht="15.75" x14ac:dyDescent="0.25">
      <c r="A890" s="13">
        <v>68392</v>
      </c>
      <c r="B890" s="10">
        <f>80.2414 * CHOOSE(CONTROL!$C$9, $D$9, 100%, $F$9) + CHOOSE(CONTROL!$C$27, 0.0021, 0)</f>
        <v>80.243499999999997</v>
      </c>
      <c r="C890" s="10">
        <f>79.8091 * CHOOSE(CONTROL!$C$9, $D$9, 100%, $F$9) + CHOOSE(CONTROL!$C$27, 0.0021, 0)</f>
        <v>79.811199999999999</v>
      </c>
      <c r="D890" s="10">
        <f>79.8091 * CHOOSE(CONTROL!$C$9, $D$9, 100%, $F$9) + CHOOSE(CONTROL!$C$27, 0.0021, 0)</f>
        <v>79.811199999999999</v>
      </c>
      <c r="E890" s="10">
        <f>79.6725 * CHOOSE(CONTROL!$C$9, $D$9, 100%, $F$9) + CHOOSE(CONTROL!$C$27, 0.0021, 0)</f>
        <v>79.674599999999998</v>
      </c>
      <c r="F890" s="10">
        <f>79.6725 * CHOOSE(CONTROL!$C$9, $D$9, 100%, $F$9) + CHOOSE(CONTROL!$C$27, 0.0021, 0)</f>
        <v>79.674599999999998</v>
      </c>
      <c r="G890" s="10">
        <f>79.9438 * CHOOSE(CONTROL!$C$9, $D$9, 100%, $F$9) + CHOOSE(CONTROL!$C$27, 0.0021, 0)</f>
        <v>79.945899999999995</v>
      </c>
      <c r="H890" s="10">
        <f>79.8091 * CHOOSE(CONTROL!$C$9, $D$9, 100%, $F$9) + CHOOSE(CONTROL!$C$27, 0.0021, 0)</f>
        <v>79.811199999999999</v>
      </c>
      <c r="I890" s="10">
        <f>79.8091 * CHOOSE(CONTROL!$C$9, $D$9, 100%, $F$9) + CHOOSE(CONTROL!$C$27, 0.0021, 0)</f>
        <v>79.811199999999999</v>
      </c>
      <c r="J890" s="10">
        <f>79.8091 * CHOOSE(CONTROL!$C$9, $D$9, 100%, $F$9) + CHOOSE(CONTROL!$C$27, 0.0021, 0)</f>
        <v>79.811199999999999</v>
      </c>
      <c r="K890" s="10">
        <f>79.8091 * CHOOSE(CONTROL!$C$9, $D$9, 100%, $F$9) + CHOOSE(CONTROL!$C$27, 0.0021, 0)</f>
        <v>79.811199999999999</v>
      </c>
      <c r="L890" s="10"/>
    </row>
    <row r="891" spans="1:12" ht="15.75" x14ac:dyDescent="0.25">
      <c r="A891" s="13">
        <v>68422</v>
      </c>
      <c r="B891" s="10">
        <f>79.1094 * CHOOSE(CONTROL!$C$9, $D$9, 100%, $F$9) + CHOOSE(CONTROL!$C$27, 0.0021, 0)</f>
        <v>79.111499999999992</v>
      </c>
      <c r="C891" s="10">
        <f>78.6772 * CHOOSE(CONTROL!$C$9, $D$9, 100%, $F$9) + CHOOSE(CONTROL!$C$27, 0.0021, 0)</f>
        <v>78.679299999999998</v>
      </c>
      <c r="D891" s="10">
        <f>78.6772 * CHOOSE(CONTROL!$C$9, $D$9, 100%, $F$9) + CHOOSE(CONTROL!$C$27, 0.0021, 0)</f>
        <v>78.679299999999998</v>
      </c>
      <c r="E891" s="10">
        <f>78.5405 * CHOOSE(CONTROL!$C$9, $D$9, 100%, $F$9) + CHOOSE(CONTROL!$C$27, 0.0021, 0)</f>
        <v>78.542599999999993</v>
      </c>
      <c r="F891" s="10">
        <f>78.5405 * CHOOSE(CONTROL!$C$9, $D$9, 100%, $F$9) + CHOOSE(CONTROL!$C$27, 0.0021, 0)</f>
        <v>78.542599999999993</v>
      </c>
      <c r="G891" s="10">
        <f>78.8119 * CHOOSE(CONTROL!$C$9, $D$9, 100%, $F$9) + CHOOSE(CONTROL!$C$27, 0.0021, 0)</f>
        <v>78.813999999999993</v>
      </c>
      <c r="H891" s="10">
        <f>78.6772 * CHOOSE(CONTROL!$C$9, $D$9, 100%, $F$9) + CHOOSE(CONTROL!$C$27, 0.0021, 0)</f>
        <v>78.679299999999998</v>
      </c>
      <c r="I891" s="10">
        <f>78.6772 * CHOOSE(CONTROL!$C$9, $D$9, 100%, $F$9) + CHOOSE(CONTROL!$C$27, 0.0021, 0)</f>
        <v>78.679299999999998</v>
      </c>
      <c r="J891" s="10">
        <f>78.6772 * CHOOSE(CONTROL!$C$9, $D$9, 100%, $F$9) + CHOOSE(CONTROL!$C$27, 0.0021, 0)</f>
        <v>78.679299999999998</v>
      </c>
      <c r="K891" s="10">
        <f>78.6772 * CHOOSE(CONTROL!$C$9, $D$9, 100%, $F$9) + CHOOSE(CONTROL!$C$27, 0.0021, 0)</f>
        <v>78.679299999999998</v>
      </c>
      <c r="L891" s="10"/>
    </row>
    <row r="892" spans="1:12" ht="15.75" x14ac:dyDescent="0.25">
      <c r="A892" s="13">
        <v>68453</v>
      </c>
      <c r="B892" s="10">
        <f>80.7226 * CHOOSE(CONTROL!$C$9, $D$9, 100%, $F$9) + CHOOSE(CONTROL!$C$27, 0.0021, 0)</f>
        <v>80.724699999999999</v>
      </c>
      <c r="C892" s="10">
        <f>80.2904 * CHOOSE(CONTROL!$C$9, $D$9, 100%, $F$9) + CHOOSE(CONTROL!$C$27, 0.0021, 0)</f>
        <v>80.292500000000004</v>
      </c>
      <c r="D892" s="10">
        <f>80.2904 * CHOOSE(CONTROL!$C$9, $D$9, 100%, $F$9) + CHOOSE(CONTROL!$C$27, 0.0021, 0)</f>
        <v>80.292500000000004</v>
      </c>
      <c r="E892" s="10">
        <f>80.1537 * CHOOSE(CONTROL!$C$9, $D$9, 100%, $F$9) + CHOOSE(CONTROL!$C$27, 0.0021, 0)</f>
        <v>80.155799999999999</v>
      </c>
      <c r="F892" s="10">
        <f>80.1537 * CHOOSE(CONTROL!$C$9, $D$9, 100%, $F$9) + CHOOSE(CONTROL!$C$27, 0.0021, 0)</f>
        <v>80.155799999999999</v>
      </c>
      <c r="G892" s="10">
        <f>80.4251 * CHOOSE(CONTROL!$C$9, $D$9, 100%, $F$9) + CHOOSE(CONTROL!$C$27, 0.0021, 0)</f>
        <v>80.427199999999999</v>
      </c>
      <c r="H892" s="10">
        <f>80.2904 * CHOOSE(CONTROL!$C$9, $D$9, 100%, $F$9) + CHOOSE(CONTROL!$C$27, 0.0021, 0)</f>
        <v>80.292500000000004</v>
      </c>
      <c r="I892" s="10">
        <f>80.2904 * CHOOSE(CONTROL!$C$9, $D$9, 100%, $F$9) + CHOOSE(CONTROL!$C$27, 0.0021, 0)</f>
        <v>80.292500000000004</v>
      </c>
      <c r="J892" s="10">
        <f>80.2904 * CHOOSE(CONTROL!$C$9, $D$9, 100%, $F$9) + CHOOSE(CONTROL!$C$27, 0.0021, 0)</f>
        <v>80.292500000000004</v>
      </c>
      <c r="K892" s="10">
        <f>80.2904 * CHOOSE(CONTROL!$C$9, $D$9, 100%, $F$9) + CHOOSE(CONTROL!$C$27, 0.0021, 0)</f>
        <v>80.292500000000004</v>
      </c>
      <c r="L892" s="10"/>
    </row>
    <row r="893" spans="1:12" ht="15.75" x14ac:dyDescent="0.25">
      <c r="A893" s="13">
        <v>68483</v>
      </c>
      <c r="B893" s="10">
        <f>81.6888 * CHOOSE(CONTROL!$C$9, $D$9, 100%, $F$9) + CHOOSE(CONTROL!$C$27, 0.0021, 0)</f>
        <v>81.690899999999999</v>
      </c>
      <c r="C893" s="10">
        <f>81.2566 * CHOOSE(CONTROL!$C$9, $D$9, 100%, $F$9) + CHOOSE(CONTROL!$C$27, 0.0021, 0)</f>
        <v>81.258700000000005</v>
      </c>
      <c r="D893" s="10">
        <f>81.2566 * CHOOSE(CONTROL!$C$9, $D$9, 100%, $F$9) + CHOOSE(CONTROL!$C$27, 0.0021, 0)</f>
        <v>81.258700000000005</v>
      </c>
      <c r="E893" s="10">
        <f>81.1199 * CHOOSE(CONTROL!$C$9, $D$9, 100%, $F$9) + CHOOSE(CONTROL!$C$27, 0.0021, 0)</f>
        <v>81.122</v>
      </c>
      <c r="F893" s="10">
        <f>81.1199 * CHOOSE(CONTROL!$C$9, $D$9, 100%, $F$9) + CHOOSE(CONTROL!$C$27, 0.0021, 0)</f>
        <v>81.122</v>
      </c>
      <c r="G893" s="10">
        <f>81.3913 * CHOOSE(CONTROL!$C$9, $D$9, 100%, $F$9) + CHOOSE(CONTROL!$C$27, 0.0021, 0)</f>
        <v>81.3934</v>
      </c>
      <c r="H893" s="10">
        <f>81.2566 * CHOOSE(CONTROL!$C$9, $D$9, 100%, $F$9) + CHOOSE(CONTROL!$C$27, 0.0021, 0)</f>
        <v>81.258700000000005</v>
      </c>
      <c r="I893" s="10">
        <f>81.2566 * CHOOSE(CONTROL!$C$9, $D$9, 100%, $F$9) + CHOOSE(CONTROL!$C$27, 0.0021, 0)</f>
        <v>81.258700000000005</v>
      </c>
      <c r="J893" s="10">
        <f>81.2566 * CHOOSE(CONTROL!$C$9, $D$9, 100%, $F$9) + CHOOSE(CONTROL!$C$27, 0.0021, 0)</f>
        <v>81.258700000000005</v>
      </c>
      <c r="K893" s="10">
        <f>81.2566 * CHOOSE(CONTROL!$C$9, $D$9, 100%, $F$9) + CHOOSE(CONTROL!$C$27, 0.0021, 0)</f>
        <v>81.258700000000005</v>
      </c>
      <c r="L893" s="10"/>
    </row>
    <row r="894" spans="1:12" ht="15.75" x14ac:dyDescent="0.25">
      <c r="A894" s="13">
        <v>68514</v>
      </c>
      <c r="B894" s="10">
        <f>83.2828 * CHOOSE(CONTROL!$C$9, $D$9, 100%, $F$9) + CHOOSE(CONTROL!$C$27, 0.0021, 0)</f>
        <v>83.284899999999993</v>
      </c>
      <c r="C894" s="10">
        <f>82.8505 * CHOOSE(CONTROL!$C$9, $D$9, 100%, $F$9) + CHOOSE(CONTROL!$C$27, 0.0021, 0)</f>
        <v>82.852599999999995</v>
      </c>
      <c r="D894" s="10">
        <f>82.8505 * CHOOSE(CONTROL!$C$9, $D$9, 100%, $F$9) + CHOOSE(CONTROL!$C$27, 0.0021, 0)</f>
        <v>82.852599999999995</v>
      </c>
      <c r="E894" s="10">
        <f>82.7139 * CHOOSE(CONTROL!$C$9, $D$9, 100%, $F$9) + CHOOSE(CONTROL!$C$27, 0.0021, 0)</f>
        <v>82.715999999999994</v>
      </c>
      <c r="F894" s="10">
        <f>82.7139 * CHOOSE(CONTROL!$C$9, $D$9, 100%, $F$9) + CHOOSE(CONTROL!$C$27, 0.0021, 0)</f>
        <v>82.715999999999994</v>
      </c>
      <c r="G894" s="10">
        <f>82.9852 * CHOOSE(CONTROL!$C$9, $D$9, 100%, $F$9) + CHOOSE(CONTROL!$C$27, 0.0021, 0)</f>
        <v>82.987300000000005</v>
      </c>
      <c r="H894" s="10">
        <f>82.8505 * CHOOSE(CONTROL!$C$9, $D$9, 100%, $F$9) + CHOOSE(CONTROL!$C$27, 0.0021, 0)</f>
        <v>82.852599999999995</v>
      </c>
      <c r="I894" s="10">
        <f>82.8505 * CHOOSE(CONTROL!$C$9, $D$9, 100%, $F$9) + CHOOSE(CONTROL!$C$27, 0.0021, 0)</f>
        <v>82.852599999999995</v>
      </c>
      <c r="J894" s="10">
        <f>82.8505 * CHOOSE(CONTROL!$C$9, $D$9, 100%, $F$9) + CHOOSE(CONTROL!$C$27, 0.0021, 0)</f>
        <v>82.852599999999995</v>
      </c>
      <c r="K894" s="10">
        <f>82.8505 * CHOOSE(CONTROL!$C$9, $D$9, 100%, $F$9) + CHOOSE(CONTROL!$C$27, 0.0021, 0)</f>
        <v>82.852599999999995</v>
      </c>
      <c r="L894" s="10"/>
    </row>
    <row r="895" spans="1:12" ht="15.75" x14ac:dyDescent="0.25">
      <c r="A895" s="13">
        <v>68545</v>
      </c>
      <c r="B895" s="10">
        <f>83.7693 * CHOOSE(CONTROL!$C$9, $D$9, 100%, $F$9) + CHOOSE(CONTROL!$C$27, 0.0021, 0)</f>
        <v>83.7714</v>
      </c>
      <c r="C895" s="10">
        <f>83.337 * CHOOSE(CONTROL!$C$9, $D$9, 100%, $F$9) + CHOOSE(CONTROL!$C$27, 0.0021, 0)</f>
        <v>83.339100000000002</v>
      </c>
      <c r="D895" s="10">
        <f>83.337 * CHOOSE(CONTROL!$C$9, $D$9, 100%, $F$9) + CHOOSE(CONTROL!$C$27, 0.0021, 0)</f>
        <v>83.339100000000002</v>
      </c>
      <c r="E895" s="10">
        <f>83.2004 * CHOOSE(CONTROL!$C$9, $D$9, 100%, $F$9) + CHOOSE(CONTROL!$C$27, 0.0021, 0)</f>
        <v>83.202500000000001</v>
      </c>
      <c r="F895" s="10">
        <f>83.2004 * CHOOSE(CONTROL!$C$9, $D$9, 100%, $F$9) + CHOOSE(CONTROL!$C$27, 0.0021, 0)</f>
        <v>83.202500000000001</v>
      </c>
      <c r="G895" s="10">
        <f>83.4718 * CHOOSE(CONTROL!$C$9, $D$9, 100%, $F$9) + CHOOSE(CONTROL!$C$27, 0.0021, 0)</f>
        <v>83.4739</v>
      </c>
      <c r="H895" s="10">
        <f>83.337 * CHOOSE(CONTROL!$C$9, $D$9, 100%, $F$9) + CHOOSE(CONTROL!$C$27, 0.0021, 0)</f>
        <v>83.339100000000002</v>
      </c>
      <c r="I895" s="10">
        <f>83.337 * CHOOSE(CONTROL!$C$9, $D$9, 100%, $F$9) + CHOOSE(CONTROL!$C$27, 0.0021, 0)</f>
        <v>83.339100000000002</v>
      </c>
      <c r="J895" s="10">
        <f>83.337 * CHOOSE(CONTROL!$C$9, $D$9, 100%, $F$9) + CHOOSE(CONTROL!$C$27, 0.0021, 0)</f>
        <v>83.339100000000002</v>
      </c>
      <c r="K895" s="10">
        <f>83.337 * CHOOSE(CONTROL!$C$9, $D$9, 100%, $F$9) + CHOOSE(CONTROL!$C$27, 0.0021, 0)</f>
        <v>83.339100000000002</v>
      </c>
      <c r="L895" s="10"/>
    </row>
    <row r="896" spans="1:12" ht="15.75" x14ac:dyDescent="0.25">
      <c r="A896" s="13">
        <v>68575</v>
      </c>
      <c r="B896" s="10">
        <f>85.4261 * CHOOSE(CONTROL!$C$9, $D$9, 100%, $F$9) + CHOOSE(CONTROL!$C$27, 0.0021, 0)</f>
        <v>85.428200000000004</v>
      </c>
      <c r="C896" s="10">
        <f>84.9939 * CHOOSE(CONTROL!$C$9, $D$9, 100%, $F$9) + CHOOSE(CONTROL!$C$27, 0.0021, 0)</f>
        <v>84.995999999999995</v>
      </c>
      <c r="D896" s="10">
        <f>84.9939 * CHOOSE(CONTROL!$C$9, $D$9, 100%, $F$9) + CHOOSE(CONTROL!$C$27, 0.0021, 0)</f>
        <v>84.995999999999995</v>
      </c>
      <c r="E896" s="10">
        <f>84.8572 * CHOOSE(CONTROL!$C$9, $D$9, 100%, $F$9) + CHOOSE(CONTROL!$C$27, 0.0021, 0)</f>
        <v>84.859300000000005</v>
      </c>
      <c r="F896" s="10">
        <f>84.8572 * CHOOSE(CONTROL!$C$9, $D$9, 100%, $F$9) + CHOOSE(CONTROL!$C$27, 0.0021, 0)</f>
        <v>84.859300000000005</v>
      </c>
      <c r="G896" s="10">
        <f>85.1286 * CHOOSE(CONTROL!$C$9, $D$9, 100%, $F$9) + CHOOSE(CONTROL!$C$27, 0.0021, 0)</f>
        <v>85.130700000000004</v>
      </c>
      <c r="H896" s="10">
        <f>84.9939 * CHOOSE(CONTROL!$C$9, $D$9, 100%, $F$9) + CHOOSE(CONTROL!$C$27, 0.0021, 0)</f>
        <v>84.995999999999995</v>
      </c>
      <c r="I896" s="10">
        <f>84.9939 * CHOOSE(CONTROL!$C$9, $D$9, 100%, $F$9) + CHOOSE(CONTROL!$C$27, 0.0021, 0)</f>
        <v>84.995999999999995</v>
      </c>
      <c r="J896" s="10">
        <f>84.9939 * CHOOSE(CONTROL!$C$9, $D$9, 100%, $F$9) + CHOOSE(CONTROL!$C$27, 0.0021, 0)</f>
        <v>84.995999999999995</v>
      </c>
      <c r="K896" s="10">
        <f>84.9939 * CHOOSE(CONTROL!$C$9, $D$9, 100%, $F$9) + CHOOSE(CONTROL!$C$27, 0.0021, 0)</f>
        <v>84.995999999999995</v>
      </c>
      <c r="L896" s="10"/>
    </row>
    <row r="897" spans="1:12" ht="15.75" x14ac:dyDescent="0.25">
      <c r="A897" s="13">
        <v>68606</v>
      </c>
      <c r="B897" s="10">
        <f>87.5234 * CHOOSE(CONTROL!$C$9, $D$9, 100%, $F$9) + CHOOSE(CONTROL!$C$27, 0.0021, 0)</f>
        <v>87.525499999999994</v>
      </c>
      <c r="C897" s="10">
        <f>87.0911 * CHOOSE(CONTROL!$C$9, $D$9, 100%, $F$9) + CHOOSE(CONTROL!$C$27, 0.0021, 0)</f>
        <v>87.093199999999996</v>
      </c>
      <c r="D897" s="10">
        <f>87.0911 * CHOOSE(CONTROL!$C$9, $D$9, 100%, $F$9) + CHOOSE(CONTROL!$C$27, 0.0021, 0)</f>
        <v>87.093199999999996</v>
      </c>
      <c r="E897" s="10">
        <f>86.9545 * CHOOSE(CONTROL!$C$9, $D$9, 100%, $F$9) + CHOOSE(CONTROL!$C$27, 0.0021, 0)</f>
        <v>86.956599999999995</v>
      </c>
      <c r="F897" s="10">
        <f>86.9545 * CHOOSE(CONTROL!$C$9, $D$9, 100%, $F$9) + CHOOSE(CONTROL!$C$27, 0.0021, 0)</f>
        <v>86.956599999999995</v>
      </c>
      <c r="G897" s="10">
        <f>87.2259 * CHOOSE(CONTROL!$C$9, $D$9, 100%, $F$9) + CHOOSE(CONTROL!$C$27, 0.0021, 0)</f>
        <v>87.227999999999994</v>
      </c>
      <c r="H897" s="10">
        <f>87.0911 * CHOOSE(CONTROL!$C$9, $D$9, 100%, $F$9) + CHOOSE(CONTROL!$C$27, 0.0021, 0)</f>
        <v>87.093199999999996</v>
      </c>
      <c r="I897" s="10">
        <f>87.0911 * CHOOSE(CONTROL!$C$9, $D$9, 100%, $F$9) + CHOOSE(CONTROL!$C$27, 0.0021, 0)</f>
        <v>87.093199999999996</v>
      </c>
      <c r="J897" s="10">
        <f>87.0911 * CHOOSE(CONTROL!$C$9, $D$9, 100%, $F$9) + CHOOSE(CONTROL!$C$27, 0.0021, 0)</f>
        <v>87.093199999999996</v>
      </c>
      <c r="K897" s="10">
        <f>87.0911 * CHOOSE(CONTROL!$C$9, $D$9, 100%, $F$9) + CHOOSE(CONTROL!$C$27, 0.0021, 0)</f>
        <v>87.093199999999996</v>
      </c>
      <c r="L897" s="10"/>
    </row>
    <row r="898" spans="1:12" ht="15.75" x14ac:dyDescent="0.25">
      <c r="A898" s="13">
        <v>68636</v>
      </c>
      <c r="B898" s="10">
        <f>87.7203 * CHOOSE(CONTROL!$C$9, $D$9, 100%, $F$9) + CHOOSE(CONTROL!$C$27, 0.0021, 0)</f>
        <v>87.722399999999993</v>
      </c>
      <c r="C898" s="10">
        <f>87.288 * CHOOSE(CONTROL!$C$9, $D$9, 100%, $F$9) + CHOOSE(CONTROL!$C$27, 0.0021, 0)</f>
        <v>87.290099999999995</v>
      </c>
      <c r="D898" s="10">
        <f>87.288 * CHOOSE(CONTROL!$C$9, $D$9, 100%, $F$9) + CHOOSE(CONTROL!$C$27, 0.0021, 0)</f>
        <v>87.290099999999995</v>
      </c>
      <c r="E898" s="10">
        <f>87.1514 * CHOOSE(CONTROL!$C$9, $D$9, 100%, $F$9) + CHOOSE(CONTROL!$C$27, 0.0021, 0)</f>
        <v>87.153499999999994</v>
      </c>
      <c r="F898" s="10">
        <f>87.1514 * CHOOSE(CONTROL!$C$9, $D$9, 100%, $F$9) + CHOOSE(CONTROL!$C$27, 0.0021, 0)</f>
        <v>87.153499999999994</v>
      </c>
      <c r="G898" s="10">
        <f>87.4227 * CHOOSE(CONTROL!$C$9, $D$9, 100%, $F$9) + CHOOSE(CONTROL!$C$27, 0.0021, 0)</f>
        <v>87.424800000000005</v>
      </c>
      <c r="H898" s="10">
        <f>87.288 * CHOOSE(CONTROL!$C$9, $D$9, 100%, $F$9) + CHOOSE(CONTROL!$C$27, 0.0021, 0)</f>
        <v>87.290099999999995</v>
      </c>
      <c r="I898" s="10">
        <f>87.288 * CHOOSE(CONTROL!$C$9, $D$9, 100%, $F$9) + CHOOSE(CONTROL!$C$27, 0.0021, 0)</f>
        <v>87.290099999999995</v>
      </c>
      <c r="J898" s="10">
        <f>87.288 * CHOOSE(CONTROL!$C$9, $D$9, 100%, $F$9) + CHOOSE(CONTROL!$C$27, 0.0021, 0)</f>
        <v>87.290099999999995</v>
      </c>
      <c r="K898" s="10">
        <f>87.288 * CHOOSE(CONTROL!$C$9, $D$9, 100%, $F$9) + CHOOSE(CONTROL!$C$27, 0.0021, 0)</f>
        <v>87.290099999999995</v>
      </c>
      <c r="L898" s="10"/>
    </row>
    <row r="899" spans="1:12" ht="15.75" x14ac:dyDescent="0.25">
      <c r="A899" s="13">
        <v>68667</v>
      </c>
      <c r="B899" s="10">
        <f>86.0452 * CHOOSE(CONTROL!$C$9, $D$9, 100%, $F$9) + CHOOSE(CONTROL!$C$27, 0.0021, 0)</f>
        <v>86.047299999999993</v>
      </c>
      <c r="C899" s="10">
        <f>85.613 * CHOOSE(CONTROL!$C$9, $D$9, 100%, $F$9) + CHOOSE(CONTROL!$C$27, 0.0021, 0)</f>
        <v>85.615099999999998</v>
      </c>
      <c r="D899" s="10">
        <f>85.613 * CHOOSE(CONTROL!$C$9, $D$9, 100%, $F$9) + CHOOSE(CONTROL!$C$27, 0.0021, 0)</f>
        <v>85.615099999999998</v>
      </c>
      <c r="E899" s="10">
        <f>85.4763 * CHOOSE(CONTROL!$C$9, $D$9, 100%, $F$9) + CHOOSE(CONTROL!$C$27, 0.0021, 0)</f>
        <v>85.478399999999993</v>
      </c>
      <c r="F899" s="10">
        <f>85.4763 * CHOOSE(CONTROL!$C$9, $D$9, 100%, $F$9) + CHOOSE(CONTROL!$C$27, 0.0021, 0)</f>
        <v>85.478399999999993</v>
      </c>
      <c r="G899" s="10">
        <f>85.7477 * CHOOSE(CONTROL!$C$9, $D$9, 100%, $F$9) + CHOOSE(CONTROL!$C$27, 0.0021, 0)</f>
        <v>85.749799999999993</v>
      </c>
      <c r="H899" s="10">
        <f>85.613 * CHOOSE(CONTROL!$C$9, $D$9, 100%, $F$9) + CHOOSE(CONTROL!$C$27, 0.0021, 0)</f>
        <v>85.615099999999998</v>
      </c>
      <c r="I899" s="10">
        <f>85.613 * CHOOSE(CONTROL!$C$9, $D$9, 100%, $F$9) + CHOOSE(CONTROL!$C$27, 0.0021, 0)</f>
        <v>85.615099999999998</v>
      </c>
      <c r="J899" s="10">
        <f>85.613 * CHOOSE(CONTROL!$C$9, $D$9, 100%, $F$9) + CHOOSE(CONTROL!$C$27, 0.0021, 0)</f>
        <v>85.615099999999998</v>
      </c>
      <c r="K899" s="10">
        <f>85.613 * CHOOSE(CONTROL!$C$9, $D$9, 100%, $F$9) + CHOOSE(CONTROL!$C$27, 0.0021, 0)</f>
        <v>85.615099999999998</v>
      </c>
      <c r="L899" s="10"/>
    </row>
    <row r="900" spans="1:12" ht="15.75" x14ac:dyDescent="0.25">
      <c r="A900" s="13">
        <v>68698</v>
      </c>
      <c r="B900" s="10">
        <f>84.7628 * CHOOSE(CONTROL!$C$9, $D$9, 100%, $F$9) + CHOOSE(CONTROL!$C$27, 0.0021, 0)</f>
        <v>84.764899999999997</v>
      </c>
      <c r="C900" s="10">
        <f>84.3305 * CHOOSE(CONTROL!$C$9, $D$9, 100%, $F$9) + CHOOSE(CONTROL!$C$27, 0.0021, 0)</f>
        <v>84.332599999999999</v>
      </c>
      <c r="D900" s="10">
        <f>84.3305 * CHOOSE(CONTROL!$C$9, $D$9, 100%, $F$9) + CHOOSE(CONTROL!$C$27, 0.0021, 0)</f>
        <v>84.332599999999999</v>
      </c>
      <c r="E900" s="10">
        <f>84.1939 * CHOOSE(CONTROL!$C$9, $D$9, 100%, $F$9) + CHOOSE(CONTROL!$C$27, 0.0021, 0)</f>
        <v>84.195999999999998</v>
      </c>
      <c r="F900" s="10">
        <f>84.1939 * CHOOSE(CONTROL!$C$9, $D$9, 100%, $F$9) + CHOOSE(CONTROL!$C$27, 0.0021, 0)</f>
        <v>84.195999999999998</v>
      </c>
      <c r="G900" s="10">
        <f>84.4652 * CHOOSE(CONTROL!$C$9, $D$9, 100%, $F$9) + CHOOSE(CONTROL!$C$27, 0.0021, 0)</f>
        <v>84.467299999999994</v>
      </c>
      <c r="H900" s="10">
        <f>84.3305 * CHOOSE(CONTROL!$C$9, $D$9, 100%, $F$9) + CHOOSE(CONTROL!$C$27, 0.0021, 0)</f>
        <v>84.332599999999999</v>
      </c>
      <c r="I900" s="10">
        <f>84.3305 * CHOOSE(CONTROL!$C$9, $D$9, 100%, $F$9) + CHOOSE(CONTROL!$C$27, 0.0021, 0)</f>
        <v>84.332599999999999</v>
      </c>
      <c r="J900" s="10">
        <f>84.3305 * CHOOSE(CONTROL!$C$9, $D$9, 100%, $F$9) + CHOOSE(CONTROL!$C$27, 0.0021, 0)</f>
        <v>84.332599999999999</v>
      </c>
      <c r="K900" s="10">
        <f>84.3305 * CHOOSE(CONTROL!$C$9, $D$9, 100%, $F$9) + CHOOSE(CONTROL!$C$27, 0.0021, 0)</f>
        <v>84.332599999999999</v>
      </c>
      <c r="L900" s="10"/>
    </row>
    <row r="901" spans="1:12" ht="15.75" x14ac:dyDescent="0.25">
      <c r="A901" s="13">
        <v>68727</v>
      </c>
      <c r="B901" s="10">
        <f>82.4301 * CHOOSE(CONTROL!$C$9, $D$9, 100%, $F$9) + CHOOSE(CONTROL!$C$27, 0.0021, 0)</f>
        <v>82.432199999999995</v>
      </c>
      <c r="C901" s="10">
        <f>81.9978 * CHOOSE(CONTROL!$C$9, $D$9, 100%, $F$9) + CHOOSE(CONTROL!$C$27, 0.0021, 0)</f>
        <v>81.999899999999997</v>
      </c>
      <c r="D901" s="10">
        <f>81.9978 * CHOOSE(CONTROL!$C$9, $D$9, 100%, $F$9) + CHOOSE(CONTROL!$C$27, 0.0021, 0)</f>
        <v>81.999899999999997</v>
      </c>
      <c r="E901" s="10">
        <f>81.8611 * CHOOSE(CONTROL!$C$9, $D$9, 100%, $F$9) + CHOOSE(CONTROL!$C$27, 0.0021, 0)</f>
        <v>81.863199999999992</v>
      </c>
      <c r="F901" s="10">
        <f>81.8611 * CHOOSE(CONTROL!$C$9, $D$9, 100%, $F$9) + CHOOSE(CONTROL!$C$27, 0.0021, 0)</f>
        <v>81.863199999999992</v>
      </c>
      <c r="G901" s="10">
        <f>82.1325 * CHOOSE(CONTROL!$C$9, $D$9, 100%, $F$9) + CHOOSE(CONTROL!$C$27, 0.0021, 0)</f>
        <v>82.134599999999992</v>
      </c>
      <c r="H901" s="10">
        <f>81.9978 * CHOOSE(CONTROL!$C$9, $D$9, 100%, $F$9) + CHOOSE(CONTROL!$C$27, 0.0021, 0)</f>
        <v>81.999899999999997</v>
      </c>
      <c r="I901" s="10">
        <f>81.9978 * CHOOSE(CONTROL!$C$9, $D$9, 100%, $F$9) + CHOOSE(CONTROL!$C$27, 0.0021, 0)</f>
        <v>81.999899999999997</v>
      </c>
      <c r="J901" s="10">
        <f>81.9978 * CHOOSE(CONTROL!$C$9, $D$9, 100%, $F$9) + CHOOSE(CONTROL!$C$27, 0.0021, 0)</f>
        <v>81.999899999999997</v>
      </c>
      <c r="K901" s="10">
        <f>81.9978 * CHOOSE(CONTROL!$C$9, $D$9, 100%, $F$9) + CHOOSE(CONTROL!$C$27, 0.0021, 0)</f>
        <v>81.999899999999997</v>
      </c>
      <c r="L901" s="10"/>
    </row>
    <row r="902" spans="1:12" ht="15.75" x14ac:dyDescent="0.25">
      <c r="A902" s="13">
        <v>68758</v>
      </c>
      <c r="B902" s="10">
        <f>81.4671 * CHOOSE(CONTROL!$C$9, $D$9, 100%, $F$9) + CHOOSE(CONTROL!$C$27, 0.0021, 0)</f>
        <v>81.469200000000001</v>
      </c>
      <c r="C902" s="10">
        <f>81.0349 * CHOOSE(CONTROL!$C$9, $D$9, 100%, $F$9) + CHOOSE(CONTROL!$C$27, 0.0021, 0)</f>
        <v>81.036999999999992</v>
      </c>
      <c r="D902" s="10">
        <f>81.0349 * CHOOSE(CONTROL!$C$9, $D$9, 100%, $F$9) + CHOOSE(CONTROL!$C$27, 0.0021, 0)</f>
        <v>81.036999999999992</v>
      </c>
      <c r="E902" s="10">
        <f>80.8982 * CHOOSE(CONTROL!$C$9, $D$9, 100%, $F$9) + CHOOSE(CONTROL!$C$27, 0.0021, 0)</f>
        <v>80.900300000000001</v>
      </c>
      <c r="F902" s="10">
        <f>80.8982 * CHOOSE(CONTROL!$C$9, $D$9, 100%, $F$9) + CHOOSE(CONTROL!$C$27, 0.0021, 0)</f>
        <v>80.900300000000001</v>
      </c>
      <c r="G902" s="10">
        <f>81.1696 * CHOOSE(CONTROL!$C$9, $D$9, 100%, $F$9) + CHOOSE(CONTROL!$C$27, 0.0021, 0)</f>
        <v>81.171700000000001</v>
      </c>
      <c r="H902" s="10">
        <f>81.0349 * CHOOSE(CONTROL!$C$9, $D$9, 100%, $F$9) + CHOOSE(CONTROL!$C$27, 0.0021, 0)</f>
        <v>81.036999999999992</v>
      </c>
      <c r="I902" s="10">
        <f>81.0349 * CHOOSE(CONTROL!$C$9, $D$9, 100%, $F$9) + CHOOSE(CONTROL!$C$27, 0.0021, 0)</f>
        <v>81.036999999999992</v>
      </c>
      <c r="J902" s="10">
        <f>81.0349 * CHOOSE(CONTROL!$C$9, $D$9, 100%, $F$9) + CHOOSE(CONTROL!$C$27, 0.0021, 0)</f>
        <v>81.036999999999992</v>
      </c>
      <c r="K902" s="10">
        <f>81.0349 * CHOOSE(CONTROL!$C$9, $D$9, 100%, $F$9) + CHOOSE(CONTROL!$C$27, 0.0021, 0)</f>
        <v>81.036999999999992</v>
      </c>
      <c r="L902" s="10"/>
    </row>
    <row r="903" spans="1:12" ht="15.75" x14ac:dyDescent="0.25">
      <c r="A903" s="13">
        <v>68788</v>
      </c>
      <c r="B903" s="10">
        <f>80.3173 * CHOOSE(CONTROL!$C$9, $D$9, 100%, $F$9) + CHOOSE(CONTROL!$C$27, 0.0021, 0)</f>
        <v>80.319400000000002</v>
      </c>
      <c r="C903" s="10">
        <f>79.8851 * CHOOSE(CONTROL!$C$9, $D$9, 100%, $F$9) + CHOOSE(CONTROL!$C$27, 0.0021, 0)</f>
        <v>79.887199999999993</v>
      </c>
      <c r="D903" s="10">
        <f>79.8851 * CHOOSE(CONTROL!$C$9, $D$9, 100%, $F$9) + CHOOSE(CONTROL!$C$27, 0.0021, 0)</f>
        <v>79.887199999999993</v>
      </c>
      <c r="E903" s="10">
        <f>79.7484 * CHOOSE(CONTROL!$C$9, $D$9, 100%, $F$9) + CHOOSE(CONTROL!$C$27, 0.0021, 0)</f>
        <v>79.750500000000002</v>
      </c>
      <c r="F903" s="10">
        <f>79.7484 * CHOOSE(CONTROL!$C$9, $D$9, 100%, $F$9) + CHOOSE(CONTROL!$C$27, 0.0021, 0)</f>
        <v>79.750500000000002</v>
      </c>
      <c r="G903" s="10">
        <f>80.0198 * CHOOSE(CONTROL!$C$9, $D$9, 100%, $F$9) + CHOOSE(CONTROL!$C$27, 0.0021, 0)</f>
        <v>80.021900000000002</v>
      </c>
      <c r="H903" s="10">
        <f>79.8851 * CHOOSE(CONTROL!$C$9, $D$9, 100%, $F$9) + CHOOSE(CONTROL!$C$27, 0.0021, 0)</f>
        <v>79.887199999999993</v>
      </c>
      <c r="I903" s="10">
        <f>79.8851 * CHOOSE(CONTROL!$C$9, $D$9, 100%, $F$9) + CHOOSE(CONTROL!$C$27, 0.0021, 0)</f>
        <v>79.887199999999993</v>
      </c>
      <c r="J903" s="10">
        <f>79.8851 * CHOOSE(CONTROL!$C$9, $D$9, 100%, $F$9) + CHOOSE(CONTROL!$C$27, 0.0021, 0)</f>
        <v>79.887199999999993</v>
      </c>
      <c r="K903" s="10">
        <f>79.8851 * CHOOSE(CONTROL!$C$9, $D$9, 100%, $F$9) + CHOOSE(CONTROL!$C$27, 0.0021, 0)</f>
        <v>79.887199999999993</v>
      </c>
      <c r="L903" s="10"/>
    </row>
    <row r="904" spans="1:12" ht="15.75" x14ac:dyDescent="0.25">
      <c r="A904" s="13">
        <v>68819</v>
      </c>
      <c r="B904" s="10">
        <f>81.9559 * CHOOSE(CONTROL!$C$9, $D$9, 100%, $F$9) + CHOOSE(CONTROL!$C$27, 0.0021, 0)</f>
        <v>81.957999999999998</v>
      </c>
      <c r="C904" s="10">
        <f>81.5237 * CHOOSE(CONTROL!$C$9, $D$9, 100%, $F$9) + CHOOSE(CONTROL!$C$27, 0.0021, 0)</f>
        <v>81.525800000000004</v>
      </c>
      <c r="D904" s="10">
        <f>81.5237 * CHOOSE(CONTROL!$C$9, $D$9, 100%, $F$9) + CHOOSE(CONTROL!$C$27, 0.0021, 0)</f>
        <v>81.525800000000004</v>
      </c>
      <c r="E904" s="10">
        <f>81.387 * CHOOSE(CONTROL!$C$9, $D$9, 100%, $F$9) + CHOOSE(CONTROL!$C$27, 0.0021, 0)</f>
        <v>81.389099999999999</v>
      </c>
      <c r="F904" s="10">
        <f>81.387 * CHOOSE(CONTROL!$C$9, $D$9, 100%, $F$9) + CHOOSE(CONTROL!$C$27, 0.0021, 0)</f>
        <v>81.389099999999999</v>
      </c>
      <c r="G904" s="10">
        <f>81.6584 * CHOOSE(CONTROL!$C$9, $D$9, 100%, $F$9) + CHOOSE(CONTROL!$C$27, 0.0021, 0)</f>
        <v>81.660499999999999</v>
      </c>
      <c r="H904" s="10">
        <f>81.5237 * CHOOSE(CONTROL!$C$9, $D$9, 100%, $F$9) + CHOOSE(CONTROL!$C$27, 0.0021, 0)</f>
        <v>81.525800000000004</v>
      </c>
      <c r="I904" s="10">
        <f>81.5237 * CHOOSE(CONTROL!$C$9, $D$9, 100%, $F$9) + CHOOSE(CONTROL!$C$27, 0.0021, 0)</f>
        <v>81.525800000000004</v>
      </c>
      <c r="J904" s="10">
        <f>81.5237 * CHOOSE(CONTROL!$C$9, $D$9, 100%, $F$9) + CHOOSE(CONTROL!$C$27, 0.0021, 0)</f>
        <v>81.525800000000004</v>
      </c>
      <c r="K904" s="10">
        <f>81.5237 * CHOOSE(CONTROL!$C$9, $D$9, 100%, $F$9) + CHOOSE(CONTROL!$C$27, 0.0021, 0)</f>
        <v>81.525800000000004</v>
      </c>
      <c r="L904" s="10"/>
    </row>
    <row r="905" spans="1:12" ht="15.75" x14ac:dyDescent="0.25">
      <c r="A905" s="13">
        <v>68849</v>
      </c>
      <c r="B905" s="10">
        <f>82.9373 * CHOOSE(CONTROL!$C$9, $D$9, 100%, $F$9) + CHOOSE(CONTROL!$C$27, 0.0021, 0)</f>
        <v>82.939399999999992</v>
      </c>
      <c r="C905" s="10">
        <f>82.5051 * CHOOSE(CONTROL!$C$9, $D$9, 100%, $F$9) + CHOOSE(CONTROL!$C$27, 0.0021, 0)</f>
        <v>82.507199999999997</v>
      </c>
      <c r="D905" s="10">
        <f>82.5051 * CHOOSE(CONTROL!$C$9, $D$9, 100%, $F$9) + CHOOSE(CONTROL!$C$27, 0.0021, 0)</f>
        <v>82.507199999999997</v>
      </c>
      <c r="E905" s="10">
        <f>82.3684 * CHOOSE(CONTROL!$C$9, $D$9, 100%, $F$9) + CHOOSE(CONTROL!$C$27, 0.0021, 0)</f>
        <v>82.370499999999993</v>
      </c>
      <c r="F905" s="10">
        <f>82.3684 * CHOOSE(CONTROL!$C$9, $D$9, 100%, $F$9) + CHOOSE(CONTROL!$C$27, 0.0021, 0)</f>
        <v>82.370499999999993</v>
      </c>
      <c r="G905" s="10">
        <f>82.6398 * CHOOSE(CONTROL!$C$9, $D$9, 100%, $F$9) + CHOOSE(CONTROL!$C$27, 0.0021, 0)</f>
        <v>82.641899999999993</v>
      </c>
      <c r="H905" s="10">
        <f>82.5051 * CHOOSE(CONTROL!$C$9, $D$9, 100%, $F$9) + CHOOSE(CONTROL!$C$27, 0.0021, 0)</f>
        <v>82.507199999999997</v>
      </c>
      <c r="I905" s="10">
        <f>82.5051 * CHOOSE(CONTROL!$C$9, $D$9, 100%, $F$9) + CHOOSE(CONTROL!$C$27, 0.0021, 0)</f>
        <v>82.507199999999997</v>
      </c>
      <c r="J905" s="10">
        <f>82.5051 * CHOOSE(CONTROL!$C$9, $D$9, 100%, $F$9) + CHOOSE(CONTROL!$C$27, 0.0021, 0)</f>
        <v>82.507199999999997</v>
      </c>
      <c r="K905" s="10">
        <f>82.5051 * CHOOSE(CONTROL!$C$9, $D$9, 100%, $F$9) + CHOOSE(CONTROL!$C$27, 0.0021, 0)</f>
        <v>82.507199999999997</v>
      </c>
      <c r="L905" s="10"/>
    </row>
    <row r="906" spans="1:12" ht="15.75" x14ac:dyDescent="0.25">
      <c r="A906" s="13">
        <v>68880</v>
      </c>
      <c r="B906" s="10">
        <f>84.5563 * CHOOSE(CONTROL!$C$9, $D$9, 100%, $F$9) + CHOOSE(CONTROL!$C$27, 0.0021, 0)</f>
        <v>84.558399999999992</v>
      </c>
      <c r="C906" s="10">
        <f>84.1241 * CHOOSE(CONTROL!$C$9, $D$9, 100%, $F$9) + CHOOSE(CONTROL!$C$27, 0.0021, 0)</f>
        <v>84.126199999999997</v>
      </c>
      <c r="D906" s="10">
        <f>84.1241 * CHOOSE(CONTROL!$C$9, $D$9, 100%, $F$9) + CHOOSE(CONTROL!$C$27, 0.0021, 0)</f>
        <v>84.126199999999997</v>
      </c>
      <c r="E906" s="10">
        <f>83.9874 * CHOOSE(CONTROL!$C$9, $D$9, 100%, $F$9) + CHOOSE(CONTROL!$C$27, 0.0021, 0)</f>
        <v>83.989499999999992</v>
      </c>
      <c r="F906" s="10">
        <f>83.9874 * CHOOSE(CONTROL!$C$9, $D$9, 100%, $F$9) + CHOOSE(CONTROL!$C$27, 0.0021, 0)</f>
        <v>83.989499999999992</v>
      </c>
      <c r="G906" s="10">
        <f>84.2588 * CHOOSE(CONTROL!$C$9, $D$9, 100%, $F$9) + CHOOSE(CONTROL!$C$27, 0.0021, 0)</f>
        <v>84.260899999999992</v>
      </c>
      <c r="H906" s="10">
        <f>84.1241 * CHOOSE(CONTROL!$C$9, $D$9, 100%, $F$9) + CHOOSE(CONTROL!$C$27, 0.0021, 0)</f>
        <v>84.126199999999997</v>
      </c>
      <c r="I906" s="10">
        <f>84.1241 * CHOOSE(CONTROL!$C$9, $D$9, 100%, $F$9) + CHOOSE(CONTROL!$C$27, 0.0021, 0)</f>
        <v>84.126199999999997</v>
      </c>
      <c r="J906" s="10">
        <f>84.1241 * CHOOSE(CONTROL!$C$9, $D$9, 100%, $F$9) + CHOOSE(CONTROL!$C$27, 0.0021, 0)</f>
        <v>84.126199999999997</v>
      </c>
      <c r="K906" s="10">
        <f>84.1241 * CHOOSE(CONTROL!$C$9, $D$9, 100%, $F$9) + CHOOSE(CONTROL!$C$27, 0.0021, 0)</f>
        <v>84.126199999999997</v>
      </c>
      <c r="L906" s="10"/>
    </row>
    <row r="907" spans="1:12" ht="15.75" x14ac:dyDescent="0.25">
      <c r="A907" s="13">
        <v>68911</v>
      </c>
      <c r="B907" s="10">
        <f>85.0505 * CHOOSE(CONTROL!$C$9, $D$9, 100%, $F$9) + CHOOSE(CONTROL!$C$27, 0.0021, 0)</f>
        <v>85.052599999999998</v>
      </c>
      <c r="C907" s="10">
        <f>84.6183 * CHOOSE(CONTROL!$C$9, $D$9, 100%, $F$9) + CHOOSE(CONTROL!$C$27, 0.0021, 0)</f>
        <v>84.620400000000004</v>
      </c>
      <c r="D907" s="10">
        <f>84.6183 * CHOOSE(CONTROL!$C$9, $D$9, 100%, $F$9) + CHOOSE(CONTROL!$C$27, 0.0021, 0)</f>
        <v>84.620400000000004</v>
      </c>
      <c r="E907" s="10">
        <f>84.4816 * CHOOSE(CONTROL!$C$9, $D$9, 100%, $F$9) + CHOOSE(CONTROL!$C$27, 0.0021, 0)</f>
        <v>84.483699999999999</v>
      </c>
      <c r="F907" s="10">
        <f>84.4816 * CHOOSE(CONTROL!$C$9, $D$9, 100%, $F$9) + CHOOSE(CONTROL!$C$27, 0.0021, 0)</f>
        <v>84.483699999999999</v>
      </c>
      <c r="G907" s="10">
        <f>84.753 * CHOOSE(CONTROL!$C$9, $D$9, 100%, $F$9) + CHOOSE(CONTROL!$C$27, 0.0021, 0)</f>
        <v>84.755099999999999</v>
      </c>
      <c r="H907" s="10">
        <f>84.6183 * CHOOSE(CONTROL!$C$9, $D$9, 100%, $F$9) + CHOOSE(CONTROL!$C$27, 0.0021, 0)</f>
        <v>84.620400000000004</v>
      </c>
      <c r="I907" s="10">
        <f>84.6183 * CHOOSE(CONTROL!$C$9, $D$9, 100%, $F$9) + CHOOSE(CONTROL!$C$27, 0.0021, 0)</f>
        <v>84.620400000000004</v>
      </c>
      <c r="J907" s="10">
        <f>84.6183 * CHOOSE(CONTROL!$C$9, $D$9, 100%, $F$9) + CHOOSE(CONTROL!$C$27, 0.0021, 0)</f>
        <v>84.620400000000004</v>
      </c>
      <c r="K907" s="10">
        <f>84.6183 * CHOOSE(CONTROL!$C$9, $D$9, 100%, $F$9) + CHOOSE(CONTROL!$C$27, 0.0021, 0)</f>
        <v>84.620400000000004</v>
      </c>
      <c r="L907" s="10"/>
    </row>
    <row r="908" spans="1:12" ht="15.75" x14ac:dyDescent="0.25">
      <c r="A908" s="13">
        <v>68941</v>
      </c>
      <c r="B908" s="10">
        <f>86.7334 * CHOOSE(CONTROL!$C$9, $D$9, 100%, $F$9) + CHOOSE(CONTROL!$C$27, 0.0021, 0)</f>
        <v>86.735500000000002</v>
      </c>
      <c r="C908" s="10">
        <f>86.3011 * CHOOSE(CONTROL!$C$9, $D$9, 100%, $F$9) + CHOOSE(CONTROL!$C$27, 0.0021, 0)</f>
        <v>86.303200000000004</v>
      </c>
      <c r="D908" s="10">
        <f>86.3011 * CHOOSE(CONTROL!$C$9, $D$9, 100%, $F$9) + CHOOSE(CONTROL!$C$27, 0.0021, 0)</f>
        <v>86.303200000000004</v>
      </c>
      <c r="E908" s="10">
        <f>86.1645 * CHOOSE(CONTROL!$C$9, $D$9, 100%, $F$9) + CHOOSE(CONTROL!$C$27, 0.0021, 0)</f>
        <v>86.166600000000003</v>
      </c>
      <c r="F908" s="10">
        <f>86.1645 * CHOOSE(CONTROL!$C$9, $D$9, 100%, $F$9) + CHOOSE(CONTROL!$C$27, 0.0021, 0)</f>
        <v>86.166600000000003</v>
      </c>
      <c r="G908" s="10">
        <f>86.4359 * CHOOSE(CONTROL!$C$9, $D$9, 100%, $F$9) + CHOOSE(CONTROL!$C$27, 0.0021, 0)</f>
        <v>86.438000000000002</v>
      </c>
      <c r="H908" s="10">
        <f>86.3011 * CHOOSE(CONTROL!$C$9, $D$9, 100%, $F$9) + CHOOSE(CONTROL!$C$27, 0.0021, 0)</f>
        <v>86.303200000000004</v>
      </c>
      <c r="I908" s="10">
        <f>86.3011 * CHOOSE(CONTROL!$C$9, $D$9, 100%, $F$9) + CHOOSE(CONTROL!$C$27, 0.0021, 0)</f>
        <v>86.303200000000004</v>
      </c>
      <c r="J908" s="10">
        <f>86.3011 * CHOOSE(CONTROL!$C$9, $D$9, 100%, $F$9) + CHOOSE(CONTROL!$C$27, 0.0021, 0)</f>
        <v>86.303200000000004</v>
      </c>
      <c r="K908" s="10">
        <f>86.3011 * CHOOSE(CONTROL!$C$9, $D$9, 100%, $F$9) + CHOOSE(CONTROL!$C$27, 0.0021, 0)</f>
        <v>86.303200000000004</v>
      </c>
      <c r="L908" s="10"/>
    </row>
    <row r="909" spans="1:12" ht="15.75" x14ac:dyDescent="0.25">
      <c r="A909" s="13">
        <v>68972</v>
      </c>
      <c r="B909" s="10">
        <f>88.8636 * CHOOSE(CONTROL!$C$9, $D$9, 100%, $F$9) + CHOOSE(CONTROL!$C$27, 0.0021, 0)</f>
        <v>88.865700000000004</v>
      </c>
      <c r="C909" s="10">
        <f>88.4314 * CHOOSE(CONTROL!$C$9, $D$9, 100%, $F$9) + CHOOSE(CONTROL!$C$27, 0.0021, 0)</f>
        <v>88.433499999999995</v>
      </c>
      <c r="D909" s="10">
        <f>88.4314 * CHOOSE(CONTROL!$C$9, $D$9, 100%, $F$9) + CHOOSE(CONTROL!$C$27, 0.0021, 0)</f>
        <v>88.433499999999995</v>
      </c>
      <c r="E909" s="10">
        <f>88.2947 * CHOOSE(CONTROL!$C$9, $D$9, 100%, $F$9) + CHOOSE(CONTROL!$C$27, 0.0021, 0)</f>
        <v>88.296800000000005</v>
      </c>
      <c r="F909" s="10">
        <f>88.2947 * CHOOSE(CONTROL!$C$9, $D$9, 100%, $F$9) + CHOOSE(CONTROL!$C$27, 0.0021, 0)</f>
        <v>88.296800000000005</v>
      </c>
      <c r="G909" s="10">
        <f>88.5661 * CHOOSE(CONTROL!$C$9, $D$9, 100%, $F$9) + CHOOSE(CONTROL!$C$27, 0.0021, 0)</f>
        <v>88.568200000000004</v>
      </c>
      <c r="H909" s="10">
        <f>88.4314 * CHOOSE(CONTROL!$C$9, $D$9, 100%, $F$9) + CHOOSE(CONTROL!$C$27, 0.0021, 0)</f>
        <v>88.433499999999995</v>
      </c>
      <c r="I909" s="10">
        <f>88.4314 * CHOOSE(CONTROL!$C$9, $D$9, 100%, $F$9) + CHOOSE(CONTROL!$C$27, 0.0021, 0)</f>
        <v>88.433499999999995</v>
      </c>
      <c r="J909" s="10">
        <f>88.4314 * CHOOSE(CONTROL!$C$9, $D$9, 100%, $F$9) + CHOOSE(CONTROL!$C$27, 0.0021, 0)</f>
        <v>88.433499999999995</v>
      </c>
      <c r="K909" s="10">
        <f>88.4314 * CHOOSE(CONTROL!$C$9, $D$9, 100%, $F$9) + CHOOSE(CONTROL!$C$27, 0.0021, 0)</f>
        <v>88.433499999999995</v>
      </c>
      <c r="L909" s="10"/>
    </row>
    <row r="910" spans="1:12" ht="15.75" x14ac:dyDescent="0.25">
      <c r="A910" s="13">
        <v>69002</v>
      </c>
      <c r="B910" s="10">
        <f>89.0636 * CHOOSE(CONTROL!$C$9, $D$9, 100%, $F$9) + CHOOSE(CONTROL!$C$27, 0.0021, 0)</f>
        <v>89.065699999999993</v>
      </c>
      <c r="C910" s="10">
        <f>88.6314 * CHOOSE(CONTROL!$C$9, $D$9, 100%, $F$9) + CHOOSE(CONTROL!$C$27, 0.0021, 0)</f>
        <v>88.633499999999998</v>
      </c>
      <c r="D910" s="10">
        <f>88.6314 * CHOOSE(CONTROL!$C$9, $D$9, 100%, $F$9) + CHOOSE(CONTROL!$C$27, 0.0021, 0)</f>
        <v>88.633499999999998</v>
      </c>
      <c r="E910" s="10">
        <f>88.4947 * CHOOSE(CONTROL!$C$9, $D$9, 100%, $F$9) + CHOOSE(CONTROL!$C$27, 0.0021, 0)</f>
        <v>88.496799999999993</v>
      </c>
      <c r="F910" s="10">
        <f>88.4947 * CHOOSE(CONTROL!$C$9, $D$9, 100%, $F$9) + CHOOSE(CONTROL!$C$27, 0.0021, 0)</f>
        <v>88.496799999999993</v>
      </c>
      <c r="G910" s="10">
        <f>88.7661 * CHOOSE(CONTROL!$C$9, $D$9, 100%, $F$9) + CHOOSE(CONTROL!$C$27, 0.0021, 0)</f>
        <v>88.768199999999993</v>
      </c>
      <c r="H910" s="10">
        <f>88.6314 * CHOOSE(CONTROL!$C$9, $D$9, 100%, $F$9) + CHOOSE(CONTROL!$C$27, 0.0021, 0)</f>
        <v>88.633499999999998</v>
      </c>
      <c r="I910" s="10">
        <f>88.6314 * CHOOSE(CONTROL!$C$9, $D$9, 100%, $F$9) + CHOOSE(CONTROL!$C$27, 0.0021, 0)</f>
        <v>88.633499999999998</v>
      </c>
      <c r="J910" s="10">
        <f>88.6314 * CHOOSE(CONTROL!$C$9, $D$9, 100%, $F$9) + CHOOSE(CONTROL!$C$27, 0.0021, 0)</f>
        <v>88.633499999999998</v>
      </c>
      <c r="K910" s="10">
        <f>88.6314 * CHOOSE(CONTROL!$C$9, $D$9, 100%, $F$9) + CHOOSE(CONTROL!$C$27, 0.0021, 0)</f>
        <v>88.633499999999998</v>
      </c>
      <c r="L910" s="10"/>
    </row>
    <row r="911" spans="1:12" ht="15.75" x14ac:dyDescent="0.25">
      <c r="A911" s="13">
        <v>69033</v>
      </c>
      <c r="B911" s="10">
        <f>87.3622 * CHOOSE(CONTROL!$C$9, $D$9, 100%, $F$9) + CHOOSE(CONTROL!$C$27, 0.0021, 0)</f>
        <v>87.3643</v>
      </c>
      <c r="C911" s="10">
        <f>86.93 * CHOOSE(CONTROL!$C$9, $D$9, 100%, $F$9) + CHOOSE(CONTROL!$C$27, 0.0021, 0)</f>
        <v>86.932100000000005</v>
      </c>
      <c r="D911" s="10">
        <f>86.93 * CHOOSE(CONTROL!$C$9, $D$9, 100%, $F$9) + CHOOSE(CONTROL!$C$27, 0.0021, 0)</f>
        <v>86.932100000000005</v>
      </c>
      <c r="E911" s="10">
        <f>86.7933 * CHOOSE(CONTROL!$C$9, $D$9, 100%, $F$9) + CHOOSE(CONTROL!$C$27, 0.0021, 0)</f>
        <v>86.795400000000001</v>
      </c>
      <c r="F911" s="10">
        <f>86.7933 * CHOOSE(CONTROL!$C$9, $D$9, 100%, $F$9) + CHOOSE(CONTROL!$C$27, 0.0021, 0)</f>
        <v>86.795400000000001</v>
      </c>
      <c r="G911" s="10">
        <f>87.0647 * CHOOSE(CONTROL!$C$9, $D$9, 100%, $F$9) + CHOOSE(CONTROL!$C$27, 0.0021, 0)</f>
        <v>87.066800000000001</v>
      </c>
      <c r="H911" s="10">
        <f>86.93 * CHOOSE(CONTROL!$C$9, $D$9, 100%, $F$9) + CHOOSE(CONTROL!$C$27, 0.0021, 0)</f>
        <v>86.932100000000005</v>
      </c>
      <c r="I911" s="10">
        <f>86.93 * CHOOSE(CONTROL!$C$9, $D$9, 100%, $F$9) + CHOOSE(CONTROL!$C$27, 0.0021, 0)</f>
        <v>86.932100000000005</v>
      </c>
      <c r="J911" s="10">
        <f>86.93 * CHOOSE(CONTROL!$C$9, $D$9, 100%, $F$9) + CHOOSE(CONTROL!$C$27, 0.0021, 0)</f>
        <v>86.932100000000005</v>
      </c>
      <c r="K911" s="10">
        <f>86.93 * CHOOSE(CONTROL!$C$9, $D$9, 100%, $F$9) + CHOOSE(CONTROL!$C$27, 0.0021, 0)</f>
        <v>86.932100000000005</v>
      </c>
      <c r="L911" s="10"/>
    </row>
    <row r="912" spans="1:12" ht="15.75" x14ac:dyDescent="0.25">
      <c r="A912" s="13">
        <v>69064</v>
      </c>
      <c r="B912" s="10">
        <f>86.0596 * CHOOSE(CONTROL!$C$9, $D$9, 100%, $F$9) + CHOOSE(CONTROL!$C$27, 0.0021, 0)</f>
        <v>86.061700000000002</v>
      </c>
      <c r="C912" s="10">
        <f>85.6274 * CHOOSE(CONTROL!$C$9, $D$9, 100%, $F$9) + CHOOSE(CONTROL!$C$27, 0.0021, 0)</f>
        <v>85.629499999999993</v>
      </c>
      <c r="D912" s="10">
        <f>85.6274 * CHOOSE(CONTROL!$C$9, $D$9, 100%, $F$9) + CHOOSE(CONTROL!$C$27, 0.0021, 0)</f>
        <v>85.629499999999993</v>
      </c>
      <c r="E912" s="10">
        <f>85.4907 * CHOOSE(CONTROL!$C$9, $D$9, 100%, $F$9) + CHOOSE(CONTROL!$C$27, 0.0021, 0)</f>
        <v>85.492800000000003</v>
      </c>
      <c r="F912" s="10">
        <f>85.4907 * CHOOSE(CONTROL!$C$9, $D$9, 100%, $F$9) + CHOOSE(CONTROL!$C$27, 0.0021, 0)</f>
        <v>85.492800000000003</v>
      </c>
      <c r="G912" s="10">
        <f>85.7621 * CHOOSE(CONTROL!$C$9, $D$9, 100%, $F$9) + CHOOSE(CONTROL!$C$27, 0.0021, 0)</f>
        <v>85.764200000000002</v>
      </c>
      <c r="H912" s="10">
        <f>85.6274 * CHOOSE(CONTROL!$C$9, $D$9, 100%, $F$9) + CHOOSE(CONTROL!$C$27, 0.0021, 0)</f>
        <v>85.629499999999993</v>
      </c>
      <c r="I912" s="10">
        <f>85.6274 * CHOOSE(CONTROL!$C$9, $D$9, 100%, $F$9) + CHOOSE(CONTROL!$C$27, 0.0021, 0)</f>
        <v>85.629499999999993</v>
      </c>
      <c r="J912" s="10">
        <f>85.6274 * CHOOSE(CONTROL!$C$9, $D$9, 100%, $F$9) + CHOOSE(CONTROL!$C$27, 0.0021, 0)</f>
        <v>85.629499999999993</v>
      </c>
      <c r="K912" s="10">
        <f>85.6274 * CHOOSE(CONTROL!$C$9, $D$9, 100%, $F$9) + CHOOSE(CONTROL!$C$27, 0.0021, 0)</f>
        <v>85.629499999999993</v>
      </c>
      <c r="L912" s="10"/>
    </row>
    <row r="913" spans="1:12" ht="15.75" x14ac:dyDescent="0.25">
      <c r="A913" s="13">
        <v>69092</v>
      </c>
      <c r="B913" s="10">
        <f>83.6902 * CHOOSE(CONTROL!$C$9, $D$9, 100%, $F$9) + CHOOSE(CONTROL!$C$27, 0.0021, 0)</f>
        <v>83.692300000000003</v>
      </c>
      <c r="C913" s="10">
        <f>83.258 * CHOOSE(CONTROL!$C$9, $D$9, 100%, $F$9) + CHOOSE(CONTROL!$C$27, 0.0021, 0)</f>
        <v>83.260099999999994</v>
      </c>
      <c r="D913" s="10">
        <f>83.258 * CHOOSE(CONTROL!$C$9, $D$9, 100%, $F$9) + CHOOSE(CONTROL!$C$27, 0.0021, 0)</f>
        <v>83.260099999999994</v>
      </c>
      <c r="E913" s="10">
        <f>83.1213 * CHOOSE(CONTROL!$C$9, $D$9, 100%, $F$9) + CHOOSE(CONTROL!$C$27, 0.0021, 0)</f>
        <v>83.123400000000004</v>
      </c>
      <c r="F913" s="10">
        <f>83.1213 * CHOOSE(CONTROL!$C$9, $D$9, 100%, $F$9) + CHOOSE(CONTROL!$C$27, 0.0021, 0)</f>
        <v>83.123400000000004</v>
      </c>
      <c r="G913" s="10">
        <f>83.3927 * CHOOSE(CONTROL!$C$9, $D$9, 100%, $F$9) + CHOOSE(CONTROL!$C$27, 0.0021, 0)</f>
        <v>83.394800000000004</v>
      </c>
      <c r="H913" s="10">
        <f>83.258 * CHOOSE(CONTROL!$C$9, $D$9, 100%, $F$9) + CHOOSE(CONTROL!$C$27, 0.0021, 0)</f>
        <v>83.260099999999994</v>
      </c>
      <c r="I913" s="10">
        <f>83.258 * CHOOSE(CONTROL!$C$9, $D$9, 100%, $F$9) + CHOOSE(CONTROL!$C$27, 0.0021, 0)</f>
        <v>83.260099999999994</v>
      </c>
      <c r="J913" s="10">
        <f>83.258 * CHOOSE(CONTROL!$C$9, $D$9, 100%, $F$9) + CHOOSE(CONTROL!$C$27, 0.0021, 0)</f>
        <v>83.260099999999994</v>
      </c>
      <c r="K913" s="10">
        <f>83.258 * CHOOSE(CONTROL!$C$9, $D$9, 100%, $F$9) + CHOOSE(CONTROL!$C$27, 0.0021, 0)</f>
        <v>83.260099999999994</v>
      </c>
      <c r="L913" s="10"/>
    </row>
    <row r="914" spans="1:12" ht="15.75" x14ac:dyDescent="0.25">
      <c r="A914" s="13">
        <v>69123</v>
      </c>
      <c r="B914" s="10">
        <f>82.7121 * CHOOSE(CONTROL!$C$9, $D$9, 100%, $F$9) + CHOOSE(CONTROL!$C$27, 0.0021, 0)</f>
        <v>82.714200000000005</v>
      </c>
      <c r="C914" s="10">
        <f>82.2799 * CHOOSE(CONTROL!$C$9, $D$9, 100%, $F$9) + CHOOSE(CONTROL!$C$27, 0.0021, 0)</f>
        <v>82.281999999999996</v>
      </c>
      <c r="D914" s="10">
        <f>82.2799 * CHOOSE(CONTROL!$C$9, $D$9, 100%, $F$9) + CHOOSE(CONTROL!$C$27, 0.0021, 0)</f>
        <v>82.281999999999996</v>
      </c>
      <c r="E914" s="10">
        <f>82.1432 * CHOOSE(CONTROL!$C$9, $D$9, 100%, $F$9) + CHOOSE(CONTROL!$C$27, 0.0021, 0)</f>
        <v>82.145299999999992</v>
      </c>
      <c r="F914" s="10">
        <f>82.1432 * CHOOSE(CONTROL!$C$9, $D$9, 100%, $F$9) + CHOOSE(CONTROL!$C$27, 0.0021, 0)</f>
        <v>82.145299999999992</v>
      </c>
      <c r="G914" s="10">
        <f>82.4146 * CHOOSE(CONTROL!$C$9, $D$9, 100%, $F$9) + CHOOSE(CONTROL!$C$27, 0.0021, 0)</f>
        <v>82.416699999999992</v>
      </c>
      <c r="H914" s="10">
        <f>82.2799 * CHOOSE(CONTROL!$C$9, $D$9, 100%, $F$9) + CHOOSE(CONTROL!$C$27, 0.0021, 0)</f>
        <v>82.281999999999996</v>
      </c>
      <c r="I914" s="10">
        <f>82.2799 * CHOOSE(CONTROL!$C$9, $D$9, 100%, $F$9) + CHOOSE(CONTROL!$C$27, 0.0021, 0)</f>
        <v>82.281999999999996</v>
      </c>
      <c r="J914" s="10">
        <f>82.2799 * CHOOSE(CONTROL!$C$9, $D$9, 100%, $F$9) + CHOOSE(CONTROL!$C$27, 0.0021, 0)</f>
        <v>82.281999999999996</v>
      </c>
      <c r="K914" s="10">
        <f>82.2799 * CHOOSE(CONTROL!$C$9, $D$9, 100%, $F$9) + CHOOSE(CONTROL!$C$27, 0.0021, 0)</f>
        <v>82.281999999999996</v>
      </c>
      <c r="L914" s="10"/>
    </row>
    <row r="915" spans="1:12" ht="15.75" x14ac:dyDescent="0.25">
      <c r="A915" s="13">
        <v>69153</v>
      </c>
      <c r="B915" s="10">
        <f>81.5443 * CHOOSE(CONTROL!$C$9, $D$9, 100%, $F$9) + CHOOSE(CONTROL!$C$27, 0.0021, 0)</f>
        <v>81.546400000000006</v>
      </c>
      <c r="C915" s="10">
        <f>81.112 * CHOOSE(CONTROL!$C$9, $D$9, 100%, $F$9) + CHOOSE(CONTROL!$C$27, 0.0021, 0)</f>
        <v>81.114099999999993</v>
      </c>
      <c r="D915" s="10">
        <f>81.112 * CHOOSE(CONTROL!$C$9, $D$9, 100%, $F$9) + CHOOSE(CONTROL!$C$27, 0.0021, 0)</f>
        <v>81.114099999999993</v>
      </c>
      <c r="E915" s="10">
        <f>80.9754 * CHOOSE(CONTROL!$C$9, $D$9, 100%, $F$9) + CHOOSE(CONTROL!$C$27, 0.0021, 0)</f>
        <v>80.977499999999992</v>
      </c>
      <c r="F915" s="10">
        <f>80.9754 * CHOOSE(CONTROL!$C$9, $D$9, 100%, $F$9) + CHOOSE(CONTROL!$C$27, 0.0021, 0)</f>
        <v>80.977499999999992</v>
      </c>
      <c r="G915" s="10">
        <f>81.2468 * CHOOSE(CONTROL!$C$9, $D$9, 100%, $F$9) + CHOOSE(CONTROL!$C$27, 0.0021, 0)</f>
        <v>81.248899999999992</v>
      </c>
      <c r="H915" s="10">
        <f>81.112 * CHOOSE(CONTROL!$C$9, $D$9, 100%, $F$9) + CHOOSE(CONTROL!$C$27, 0.0021, 0)</f>
        <v>81.114099999999993</v>
      </c>
      <c r="I915" s="10">
        <f>81.112 * CHOOSE(CONTROL!$C$9, $D$9, 100%, $F$9) + CHOOSE(CONTROL!$C$27, 0.0021, 0)</f>
        <v>81.114099999999993</v>
      </c>
      <c r="J915" s="10">
        <f>81.112 * CHOOSE(CONTROL!$C$9, $D$9, 100%, $F$9) + CHOOSE(CONTROL!$C$27, 0.0021, 0)</f>
        <v>81.114099999999993</v>
      </c>
      <c r="K915" s="10">
        <f>81.112 * CHOOSE(CONTROL!$C$9, $D$9, 100%, $F$9) + CHOOSE(CONTROL!$C$27, 0.0021, 0)</f>
        <v>81.114099999999993</v>
      </c>
      <c r="L915" s="10"/>
    </row>
    <row r="916" spans="1:12" ht="15.75" x14ac:dyDescent="0.25">
      <c r="A916" s="13">
        <v>69184</v>
      </c>
      <c r="B916" s="10">
        <f>83.2086 * CHOOSE(CONTROL!$C$9, $D$9, 100%, $F$9) + CHOOSE(CONTROL!$C$27, 0.0021, 0)</f>
        <v>83.210700000000003</v>
      </c>
      <c r="C916" s="10">
        <f>82.7764 * CHOOSE(CONTROL!$C$9, $D$9, 100%, $F$9) + CHOOSE(CONTROL!$C$27, 0.0021, 0)</f>
        <v>82.778499999999994</v>
      </c>
      <c r="D916" s="10">
        <f>82.7764 * CHOOSE(CONTROL!$C$9, $D$9, 100%, $F$9) + CHOOSE(CONTROL!$C$27, 0.0021, 0)</f>
        <v>82.778499999999994</v>
      </c>
      <c r="E916" s="10">
        <f>82.6397 * CHOOSE(CONTROL!$C$9, $D$9, 100%, $F$9) + CHOOSE(CONTROL!$C$27, 0.0021, 0)</f>
        <v>82.641800000000003</v>
      </c>
      <c r="F916" s="10">
        <f>82.6397 * CHOOSE(CONTROL!$C$9, $D$9, 100%, $F$9) + CHOOSE(CONTROL!$C$27, 0.0021, 0)</f>
        <v>82.641800000000003</v>
      </c>
      <c r="G916" s="10">
        <f>82.9111 * CHOOSE(CONTROL!$C$9, $D$9, 100%, $F$9) + CHOOSE(CONTROL!$C$27, 0.0021, 0)</f>
        <v>82.913200000000003</v>
      </c>
      <c r="H916" s="10">
        <f>82.7764 * CHOOSE(CONTROL!$C$9, $D$9, 100%, $F$9) + CHOOSE(CONTROL!$C$27, 0.0021, 0)</f>
        <v>82.778499999999994</v>
      </c>
      <c r="I916" s="10">
        <f>82.7764 * CHOOSE(CONTROL!$C$9, $D$9, 100%, $F$9) + CHOOSE(CONTROL!$C$27, 0.0021, 0)</f>
        <v>82.778499999999994</v>
      </c>
      <c r="J916" s="10">
        <f>82.7764 * CHOOSE(CONTROL!$C$9, $D$9, 100%, $F$9) + CHOOSE(CONTROL!$C$27, 0.0021, 0)</f>
        <v>82.778499999999994</v>
      </c>
      <c r="K916" s="10">
        <f>82.7764 * CHOOSE(CONTROL!$C$9, $D$9, 100%, $F$9) + CHOOSE(CONTROL!$C$27, 0.0021, 0)</f>
        <v>82.778499999999994</v>
      </c>
      <c r="L916" s="10"/>
    </row>
    <row r="917" spans="1:12" ht="15.75" x14ac:dyDescent="0.25">
      <c r="A917" s="13">
        <v>69214</v>
      </c>
      <c r="B917" s="10">
        <f>84.2055 * CHOOSE(CONTROL!$C$9, $D$9, 100%, $F$9) + CHOOSE(CONTROL!$C$27, 0.0021, 0)</f>
        <v>84.207599999999999</v>
      </c>
      <c r="C917" s="10">
        <f>83.7732 * CHOOSE(CONTROL!$C$9, $D$9, 100%, $F$9) + CHOOSE(CONTROL!$C$27, 0.0021, 0)</f>
        <v>83.775300000000001</v>
      </c>
      <c r="D917" s="10">
        <f>83.7732 * CHOOSE(CONTROL!$C$9, $D$9, 100%, $F$9) + CHOOSE(CONTROL!$C$27, 0.0021, 0)</f>
        <v>83.775300000000001</v>
      </c>
      <c r="E917" s="10">
        <f>83.6366 * CHOOSE(CONTROL!$C$9, $D$9, 100%, $F$9) + CHOOSE(CONTROL!$C$27, 0.0021, 0)</f>
        <v>83.6387</v>
      </c>
      <c r="F917" s="10">
        <f>83.6366 * CHOOSE(CONTROL!$C$9, $D$9, 100%, $F$9) + CHOOSE(CONTROL!$C$27, 0.0021, 0)</f>
        <v>83.6387</v>
      </c>
      <c r="G917" s="10">
        <f>83.9079 * CHOOSE(CONTROL!$C$9, $D$9, 100%, $F$9) + CHOOSE(CONTROL!$C$27, 0.0021, 0)</f>
        <v>83.91</v>
      </c>
      <c r="H917" s="10">
        <f>83.7732 * CHOOSE(CONTROL!$C$9, $D$9, 100%, $F$9) + CHOOSE(CONTROL!$C$27, 0.0021, 0)</f>
        <v>83.775300000000001</v>
      </c>
      <c r="I917" s="10">
        <f>83.7732 * CHOOSE(CONTROL!$C$9, $D$9, 100%, $F$9) + CHOOSE(CONTROL!$C$27, 0.0021, 0)</f>
        <v>83.775300000000001</v>
      </c>
      <c r="J917" s="10">
        <f>83.7732 * CHOOSE(CONTROL!$C$9, $D$9, 100%, $F$9) + CHOOSE(CONTROL!$C$27, 0.0021, 0)</f>
        <v>83.775300000000001</v>
      </c>
      <c r="K917" s="10">
        <f>83.7732 * CHOOSE(CONTROL!$C$9, $D$9, 100%, $F$9) + CHOOSE(CONTROL!$C$27, 0.0021, 0)</f>
        <v>83.775300000000001</v>
      </c>
      <c r="L917" s="10"/>
    </row>
    <row r="918" spans="1:12" ht="15.75" x14ac:dyDescent="0.25">
      <c r="A918" s="13">
        <v>69245</v>
      </c>
      <c r="B918" s="10">
        <f>85.8499 * CHOOSE(CONTROL!$C$9, $D$9, 100%, $F$9) + CHOOSE(CONTROL!$C$27, 0.0021, 0)</f>
        <v>85.852000000000004</v>
      </c>
      <c r="C918" s="10">
        <f>85.4177 * CHOOSE(CONTROL!$C$9, $D$9, 100%, $F$9) + CHOOSE(CONTROL!$C$27, 0.0021, 0)</f>
        <v>85.419799999999995</v>
      </c>
      <c r="D918" s="10">
        <f>85.4177 * CHOOSE(CONTROL!$C$9, $D$9, 100%, $F$9) + CHOOSE(CONTROL!$C$27, 0.0021, 0)</f>
        <v>85.419799999999995</v>
      </c>
      <c r="E918" s="10">
        <f>85.281 * CHOOSE(CONTROL!$C$9, $D$9, 100%, $F$9) + CHOOSE(CONTROL!$C$27, 0.0021, 0)</f>
        <v>85.283100000000005</v>
      </c>
      <c r="F918" s="10">
        <f>85.281 * CHOOSE(CONTROL!$C$9, $D$9, 100%, $F$9) + CHOOSE(CONTROL!$C$27, 0.0021, 0)</f>
        <v>85.283100000000005</v>
      </c>
      <c r="G918" s="10">
        <f>85.5524 * CHOOSE(CONTROL!$C$9, $D$9, 100%, $F$9) + CHOOSE(CONTROL!$C$27, 0.0021, 0)</f>
        <v>85.554500000000004</v>
      </c>
      <c r="H918" s="10">
        <f>85.4177 * CHOOSE(CONTROL!$C$9, $D$9, 100%, $F$9) + CHOOSE(CONTROL!$C$27, 0.0021, 0)</f>
        <v>85.419799999999995</v>
      </c>
      <c r="I918" s="10">
        <f>85.4177 * CHOOSE(CONTROL!$C$9, $D$9, 100%, $F$9) + CHOOSE(CONTROL!$C$27, 0.0021, 0)</f>
        <v>85.419799999999995</v>
      </c>
      <c r="J918" s="10">
        <f>85.4177 * CHOOSE(CONTROL!$C$9, $D$9, 100%, $F$9) + CHOOSE(CONTROL!$C$27, 0.0021, 0)</f>
        <v>85.419799999999995</v>
      </c>
      <c r="K918" s="10">
        <f>85.4177 * CHOOSE(CONTROL!$C$9, $D$9, 100%, $F$9) + CHOOSE(CONTROL!$C$27, 0.0021, 0)</f>
        <v>85.419799999999995</v>
      </c>
      <c r="L918" s="10"/>
    </row>
    <row r="919" spans="1:12" ht="15.75" x14ac:dyDescent="0.25">
      <c r="A919" s="13">
        <v>69276</v>
      </c>
      <c r="B919" s="10">
        <f>86.3519 * CHOOSE(CONTROL!$C$9, $D$9, 100%, $F$9) + CHOOSE(CONTROL!$C$27, 0.0021, 0)</f>
        <v>86.353999999999999</v>
      </c>
      <c r="C919" s="10">
        <f>85.9196 * CHOOSE(CONTROL!$C$9, $D$9, 100%, $F$9) + CHOOSE(CONTROL!$C$27, 0.0021, 0)</f>
        <v>85.921700000000001</v>
      </c>
      <c r="D919" s="10">
        <f>85.9196 * CHOOSE(CONTROL!$C$9, $D$9, 100%, $F$9) + CHOOSE(CONTROL!$C$27, 0.0021, 0)</f>
        <v>85.921700000000001</v>
      </c>
      <c r="E919" s="10">
        <f>85.783 * CHOOSE(CONTROL!$C$9, $D$9, 100%, $F$9) + CHOOSE(CONTROL!$C$27, 0.0021, 0)</f>
        <v>85.7851</v>
      </c>
      <c r="F919" s="10">
        <f>85.783 * CHOOSE(CONTROL!$C$9, $D$9, 100%, $F$9) + CHOOSE(CONTROL!$C$27, 0.0021, 0)</f>
        <v>85.7851</v>
      </c>
      <c r="G919" s="10">
        <f>86.0543 * CHOOSE(CONTROL!$C$9, $D$9, 100%, $F$9) + CHOOSE(CONTROL!$C$27, 0.0021, 0)</f>
        <v>86.056399999999996</v>
      </c>
      <c r="H919" s="10">
        <f>85.9196 * CHOOSE(CONTROL!$C$9, $D$9, 100%, $F$9) + CHOOSE(CONTROL!$C$27, 0.0021, 0)</f>
        <v>85.921700000000001</v>
      </c>
      <c r="I919" s="10">
        <f>85.9196 * CHOOSE(CONTROL!$C$9, $D$9, 100%, $F$9) + CHOOSE(CONTROL!$C$27, 0.0021, 0)</f>
        <v>85.921700000000001</v>
      </c>
      <c r="J919" s="10">
        <f>85.9196 * CHOOSE(CONTROL!$C$9, $D$9, 100%, $F$9) + CHOOSE(CONTROL!$C$27, 0.0021, 0)</f>
        <v>85.921700000000001</v>
      </c>
      <c r="K919" s="10">
        <f>85.9196 * CHOOSE(CONTROL!$C$9, $D$9, 100%, $F$9) + CHOOSE(CONTROL!$C$27, 0.0021, 0)</f>
        <v>85.921700000000001</v>
      </c>
      <c r="L919" s="10"/>
    </row>
    <row r="920" spans="1:12" ht="15.75" x14ac:dyDescent="0.25">
      <c r="A920" s="13">
        <v>69306</v>
      </c>
      <c r="B920" s="10">
        <f>88.0612 * CHOOSE(CONTROL!$C$9, $D$9, 100%, $F$9) + CHOOSE(CONTROL!$C$27, 0.0021, 0)</f>
        <v>88.063299999999998</v>
      </c>
      <c r="C920" s="10">
        <f>87.629 * CHOOSE(CONTROL!$C$9, $D$9, 100%, $F$9) + CHOOSE(CONTROL!$C$27, 0.0021, 0)</f>
        <v>87.631100000000004</v>
      </c>
      <c r="D920" s="10">
        <f>87.629 * CHOOSE(CONTROL!$C$9, $D$9, 100%, $F$9) + CHOOSE(CONTROL!$C$27, 0.0021, 0)</f>
        <v>87.631100000000004</v>
      </c>
      <c r="E920" s="10">
        <f>87.4923 * CHOOSE(CONTROL!$C$9, $D$9, 100%, $F$9) + CHOOSE(CONTROL!$C$27, 0.0021, 0)</f>
        <v>87.494399999999999</v>
      </c>
      <c r="F920" s="10">
        <f>87.4923 * CHOOSE(CONTROL!$C$9, $D$9, 100%, $F$9) + CHOOSE(CONTROL!$C$27, 0.0021, 0)</f>
        <v>87.494399999999999</v>
      </c>
      <c r="G920" s="10">
        <f>87.7637 * CHOOSE(CONTROL!$C$9, $D$9, 100%, $F$9) + CHOOSE(CONTROL!$C$27, 0.0021, 0)</f>
        <v>87.765799999999999</v>
      </c>
      <c r="H920" s="10">
        <f>87.629 * CHOOSE(CONTROL!$C$9, $D$9, 100%, $F$9) + CHOOSE(CONTROL!$C$27, 0.0021, 0)</f>
        <v>87.631100000000004</v>
      </c>
      <c r="I920" s="10">
        <f>87.629 * CHOOSE(CONTROL!$C$9, $D$9, 100%, $F$9) + CHOOSE(CONTROL!$C$27, 0.0021, 0)</f>
        <v>87.631100000000004</v>
      </c>
      <c r="J920" s="10">
        <f>87.629 * CHOOSE(CONTROL!$C$9, $D$9, 100%, $F$9) + CHOOSE(CONTROL!$C$27, 0.0021, 0)</f>
        <v>87.631100000000004</v>
      </c>
      <c r="K920" s="10">
        <f>87.629 * CHOOSE(CONTROL!$C$9, $D$9, 100%, $F$9) + CHOOSE(CONTROL!$C$27, 0.0021, 0)</f>
        <v>87.631100000000004</v>
      </c>
      <c r="L920" s="10"/>
    </row>
    <row r="921" spans="1:12" ht="15.75" x14ac:dyDescent="0.25">
      <c r="A921" s="13">
        <v>69337</v>
      </c>
      <c r="B921" s="10">
        <f>90.225 * CHOOSE(CONTROL!$C$9, $D$9, 100%, $F$9) + CHOOSE(CONTROL!$C$27, 0.0021, 0)</f>
        <v>90.227099999999993</v>
      </c>
      <c r="C921" s="10">
        <f>89.7927 * CHOOSE(CONTROL!$C$9, $D$9, 100%, $F$9) + CHOOSE(CONTROL!$C$27, 0.0021, 0)</f>
        <v>89.794799999999995</v>
      </c>
      <c r="D921" s="10">
        <f>89.7927 * CHOOSE(CONTROL!$C$9, $D$9, 100%, $F$9) + CHOOSE(CONTROL!$C$27, 0.0021, 0)</f>
        <v>89.794799999999995</v>
      </c>
      <c r="E921" s="10">
        <f>89.6561 * CHOOSE(CONTROL!$C$9, $D$9, 100%, $F$9) + CHOOSE(CONTROL!$C$27, 0.0021, 0)</f>
        <v>89.658199999999994</v>
      </c>
      <c r="F921" s="10">
        <f>89.6561 * CHOOSE(CONTROL!$C$9, $D$9, 100%, $F$9) + CHOOSE(CONTROL!$C$27, 0.0021, 0)</f>
        <v>89.658199999999994</v>
      </c>
      <c r="G921" s="10">
        <f>89.9274 * CHOOSE(CONTROL!$C$9, $D$9, 100%, $F$9) + CHOOSE(CONTROL!$C$27, 0.0021, 0)</f>
        <v>89.929500000000004</v>
      </c>
      <c r="H921" s="10">
        <f>89.7927 * CHOOSE(CONTROL!$C$9, $D$9, 100%, $F$9) + CHOOSE(CONTROL!$C$27, 0.0021, 0)</f>
        <v>89.794799999999995</v>
      </c>
      <c r="I921" s="10">
        <f>89.7927 * CHOOSE(CONTROL!$C$9, $D$9, 100%, $F$9) + CHOOSE(CONTROL!$C$27, 0.0021, 0)</f>
        <v>89.794799999999995</v>
      </c>
      <c r="J921" s="10">
        <f>89.7927 * CHOOSE(CONTROL!$C$9, $D$9, 100%, $F$9) + CHOOSE(CONTROL!$C$27, 0.0021, 0)</f>
        <v>89.794799999999995</v>
      </c>
      <c r="K921" s="10">
        <f>89.7927 * CHOOSE(CONTROL!$C$9, $D$9, 100%, $F$9) + CHOOSE(CONTROL!$C$27, 0.0021, 0)</f>
        <v>89.794799999999995</v>
      </c>
      <c r="L921" s="10"/>
    </row>
    <row r="922" spans="1:12" ht="15.75" x14ac:dyDescent="0.25">
      <c r="A922" s="13">
        <v>69367</v>
      </c>
      <c r="B922" s="10">
        <f>90.4281 * CHOOSE(CONTROL!$C$9, $D$9, 100%, $F$9) + CHOOSE(CONTROL!$C$27, 0.0021, 0)</f>
        <v>90.430199999999999</v>
      </c>
      <c r="C922" s="10">
        <f>89.9958 * CHOOSE(CONTROL!$C$9, $D$9, 100%, $F$9) + CHOOSE(CONTROL!$C$27, 0.0021, 0)</f>
        <v>89.997900000000001</v>
      </c>
      <c r="D922" s="10">
        <f>89.9958 * CHOOSE(CONTROL!$C$9, $D$9, 100%, $F$9) + CHOOSE(CONTROL!$C$27, 0.0021, 0)</f>
        <v>89.997900000000001</v>
      </c>
      <c r="E922" s="10">
        <f>89.8592 * CHOOSE(CONTROL!$C$9, $D$9, 100%, $F$9) + CHOOSE(CONTROL!$C$27, 0.0021, 0)</f>
        <v>89.8613</v>
      </c>
      <c r="F922" s="10">
        <f>89.8592 * CHOOSE(CONTROL!$C$9, $D$9, 100%, $F$9) + CHOOSE(CONTROL!$C$27, 0.0021, 0)</f>
        <v>89.8613</v>
      </c>
      <c r="G922" s="10">
        <f>90.1306 * CHOOSE(CONTROL!$C$9, $D$9, 100%, $F$9) + CHOOSE(CONTROL!$C$27, 0.0021, 0)</f>
        <v>90.1327</v>
      </c>
      <c r="H922" s="10">
        <f>89.9958 * CHOOSE(CONTROL!$C$9, $D$9, 100%, $F$9) + CHOOSE(CONTROL!$C$27, 0.0021, 0)</f>
        <v>89.997900000000001</v>
      </c>
      <c r="I922" s="10">
        <f>89.9958 * CHOOSE(CONTROL!$C$9, $D$9, 100%, $F$9) + CHOOSE(CONTROL!$C$27, 0.0021, 0)</f>
        <v>89.997900000000001</v>
      </c>
      <c r="J922" s="10">
        <f>89.9958 * CHOOSE(CONTROL!$C$9, $D$9, 100%, $F$9) + CHOOSE(CONTROL!$C$27, 0.0021, 0)</f>
        <v>89.997900000000001</v>
      </c>
      <c r="K922" s="10">
        <f>89.9958 * CHOOSE(CONTROL!$C$9, $D$9, 100%, $F$9) + CHOOSE(CONTROL!$C$27, 0.0021, 0)</f>
        <v>89.997900000000001</v>
      </c>
      <c r="L922" s="10"/>
    </row>
    <row r="923" spans="1:12" ht="15.75" x14ac:dyDescent="0.25">
      <c r="A923" s="13">
        <v>69398</v>
      </c>
      <c r="B923" s="10">
        <f>88.7 * CHOOSE(CONTROL!$C$9, $D$9, 100%, $F$9) + CHOOSE(CONTROL!$C$27, 0.0021, 0)</f>
        <v>88.702100000000002</v>
      </c>
      <c r="C923" s="10">
        <f>88.2677 * CHOOSE(CONTROL!$C$9, $D$9, 100%, $F$9) + CHOOSE(CONTROL!$C$27, 0.0021, 0)</f>
        <v>88.269800000000004</v>
      </c>
      <c r="D923" s="10">
        <f>88.2677 * CHOOSE(CONTROL!$C$9, $D$9, 100%, $F$9) + CHOOSE(CONTROL!$C$27, 0.0021, 0)</f>
        <v>88.269800000000004</v>
      </c>
      <c r="E923" s="10">
        <f>88.131 * CHOOSE(CONTROL!$C$9, $D$9, 100%, $F$9) + CHOOSE(CONTROL!$C$27, 0.0021, 0)</f>
        <v>88.133099999999999</v>
      </c>
      <c r="F923" s="10">
        <f>88.131 * CHOOSE(CONTROL!$C$9, $D$9, 100%, $F$9) + CHOOSE(CONTROL!$C$27, 0.0021, 0)</f>
        <v>88.133099999999999</v>
      </c>
      <c r="G923" s="10">
        <f>88.4024 * CHOOSE(CONTROL!$C$9, $D$9, 100%, $F$9) + CHOOSE(CONTROL!$C$27, 0.0021, 0)</f>
        <v>88.404499999999999</v>
      </c>
      <c r="H923" s="10">
        <f>88.2677 * CHOOSE(CONTROL!$C$9, $D$9, 100%, $F$9) + CHOOSE(CONTROL!$C$27, 0.0021, 0)</f>
        <v>88.269800000000004</v>
      </c>
      <c r="I923" s="10">
        <f>88.2677 * CHOOSE(CONTROL!$C$9, $D$9, 100%, $F$9) + CHOOSE(CONTROL!$C$27, 0.0021, 0)</f>
        <v>88.269800000000004</v>
      </c>
      <c r="J923" s="10">
        <f>88.2677 * CHOOSE(CONTROL!$C$9, $D$9, 100%, $F$9) + CHOOSE(CONTROL!$C$27, 0.0021, 0)</f>
        <v>88.269800000000004</v>
      </c>
      <c r="K923" s="10">
        <f>88.2677 * CHOOSE(CONTROL!$C$9, $D$9, 100%, $F$9) + CHOOSE(CONTROL!$C$27, 0.0021, 0)</f>
        <v>88.269800000000004</v>
      </c>
      <c r="L923" s="10"/>
    </row>
    <row r="924" spans="1:12" ht="15.75" x14ac:dyDescent="0.25">
      <c r="A924" s="13">
        <v>69429</v>
      </c>
      <c r="B924" s="10">
        <f>87.3768 * CHOOSE(CONTROL!$C$9, $D$9, 100%, $F$9) + CHOOSE(CONTROL!$C$27, 0.0021, 0)</f>
        <v>87.378900000000002</v>
      </c>
      <c r="C924" s="10">
        <f>86.9446 * CHOOSE(CONTROL!$C$9, $D$9, 100%, $F$9) + CHOOSE(CONTROL!$C$27, 0.0021, 0)</f>
        <v>86.946699999999993</v>
      </c>
      <c r="D924" s="10">
        <f>86.9446 * CHOOSE(CONTROL!$C$9, $D$9, 100%, $F$9) + CHOOSE(CONTROL!$C$27, 0.0021, 0)</f>
        <v>86.946699999999993</v>
      </c>
      <c r="E924" s="10">
        <f>86.8079 * CHOOSE(CONTROL!$C$9, $D$9, 100%, $F$9) + CHOOSE(CONTROL!$C$27, 0.0021, 0)</f>
        <v>86.81</v>
      </c>
      <c r="F924" s="10">
        <f>86.8079 * CHOOSE(CONTROL!$C$9, $D$9, 100%, $F$9) + CHOOSE(CONTROL!$C$27, 0.0021, 0)</f>
        <v>86.81</v>
      </c>
      <c r="G924" s="10">
        <f>87.0793 * CHOOSE(CONTROL!$C$9, $D$9, 100%, $F$9) + CHOOSE(CONTROL!$C$27, 0.0021, 0)</f>
        <v>87.081400000000002</v>
      </c>
      <c r="H924" s="10">
        <f>86.9446 * CHOOSE(CONTROL!$C$9, $D$9, 100%, $F$9) + CHOOSE(CONTROL!$C$27, 0.0021, 0)</f>
        <v>86.946699999999993</v>
      </c>
      <c r="I924" s="10">
        <f>86.9446 * CHOOSE(CONTROL!$C$9, $D$9, 100%, $F$9) + CHOOSE(CONTROL!$C$27, 0.0021, 0)</f>
        <v>86.946699999999993</v>
      </c>
      <c r="J924" s="10">
        <f>86.9446 * CHOOSE(CONTROL!$C$9, $D$9, 100%, $F$9) + CHOOSE(CONTROL!$C$27, 0.0021, 0)</f>
        <v>86.946699999999993</v>
      </c>
      <c r="K924" s="10">
        <f>86.9446 * CHOOSE(CONTROL!$C$9, $D$9, 100%, $F$9) + CHOOSE(CONTROL!$C$27, 0.0021, 0)</f>
        <v>86.946699999999993</v>
      </c>
      <c r="L924" s="10"/>
    </row>
    <row r="925" spans="1:12" ht="15.75" x14ac:dyDescent="0.25">
      <c r="A925" s="13">
        <v>69457</v>
      </c>
      <c r="B925" s="10">
        <f>84.9702 * CHOOSE(CONTROL!$C$9, $D$9, 100%, $F$9) + CHOOSE(CONTROL!$C$27, 0.0021, 0)</f>
        <v>84.972300000000004</v>
      </c>
      <c r="C925" s="10">
        <f>84.5379 * CHOOSE(CONTROL!$C$9, $D$9, 100%, $F$9) + CHOOSE(CONTROL!$C$27, 0.0021, 0)</f>
        <v>84.539999999999992</v>
      </c>
      <c r="D925" s="10">
        <f>84.5379 * CHOOSE(CONTROL!$C$9, $D$9, 100%, $F$9) + CHOOSE(CONTROL!$C$27, 0.0021, 0)</f>
        <v>84.539999999999992</v>
      </c>
      <c r="E925" s="10">
        <f>84.4013 * CHOOSE(CONTROL!$C$9, $D$9, 100%, $F$9) + CHOOSE(CONTROL!$C$27, 0.0021, 0)</f>
        <v>84.403400000000005</v>
      </c>
      <c r="F925" s="10">
        <f>84.4013 * CHOOSE(CONTROL!$C$9, $D$9, 100%, $F$9) + CHOOSE(CONTROL!$C$27, 0.0021, 0)</f>
        <v>84.403400000000005</v>
      </c>
      <c r="G925" s="10">
        <f>84.6727 * CHOOSE(CONTROL!$C$9, $D$9, 100%, $F$9) + CHOOSE(CONTROL!$C$27, 0.0021, 0)</f>
        <v>84.674800000000005</v>
      </c>
      <c r="H925" s="10">
        <f>84.5379 * CHOOSE(CONTROL!$C$9, $D$9, 100%, $F$9) + CHOOSE(CONTROL!$C$27, 0.0021, 0)</f>
        <v>84.539999999999992</v>
      </c>
      <c r="I925" s="10">
        <f>84.5379 * CHOOSE(CONTROL!$C$9, $D$9, 100%, $F$9) + CHOOSE(CONTROL!$C$27, 0.0021, 0)</f>
        <v>84.539999999999992</v>
      </c>
      <c r="J925" s="10">
        <f>84.5379 * CHOOSE(CONTROL!$C$9, $D$9, 100%, $F$9) + CHOOSE(CONTROL!$C$27, 0.0021, 0)</f>
        <v>84.539999999999992</v>
      </c>
      <c r="K925" s="10">
        <f>84.5379 * CHOOSE(CONTROL!$C$9, $D$9, 100%, $F$9) + CHOOSE(CONTROL!$C$27, 0.0021, 0)</f>
        <v>84.539999999999992</v>
      </c>
      <c r="L925" s="10"/>
    </row>
    <row r="926" spans="1:12" ht="15.75" x14ac:dyDescent="0.25">
      <c r="A926" s="13">
        <v>69488</v>
      </c>
      <c r="B926" s="10">
        <f>83.9767 * CHOOSE(CONTROL!$C$9, $D$9, 100%, $F$9) + CHOOSE(CONTROL!$C$27, 0.0021, 0)</f>
        <v>83.978799999999993</v>
      </c>
      <c r="C926" s="10">
        <f>83.5445 * CHOOSE(CONTROL!$C$9, $D$9, 100%, $F$9) + CHOOSE(CONTROL!$C$27, 0.0021, 0)</f>
        <v>83.546599999999998</v>
      </c>
      <c r="D926" s="10">
        <f>83.5445 * CHOOSE(CONTROL!$C$9, $D$9, 100%, $F$9) + CHOOSE(CONTROL!$C$27, 0.0021, 0)</f>
        <v>83.546599999999998</v>
      </c>
      <c r="E926" s="10">
        <f>83.4078 * CHOOSE(CONTROL!$C$9, $D$9, 100%, $F$9) + CHOOSE(CONTROL!$C$27, 0.0021, 0)</f>
        <v>83.409899999999993</v>
      </c>
      <c r="F926" s="10">
        <f>83.4078 * CHOOSE(CONTROL!$C$9, $D$9, 100%, $F$9) + CHOOSE(CONTROL!$C$27, 0.0021, 0)</f>
        <v>83.409899999999993</v>
      </c>
      <c r="G926" s="10">
        <f>83.6792 * CHOOSE(CONTROL!$C$9, $D$9, 100%, $F$9) + CHOOSE(CONTROL!$C$27, 0.0021, 0)</f>
        <v>83.681299999999993</v>
      </c>
      <c r="H926" s="10">
        <f>83.5445 * CHOOSE(CONTROL!$C$9, $D$9, 100%, $F$9) + CHOOSE(CONTROL!$C$27, 0.0021, 0)</f>
        <v>83.546599999999998</v>
      </c>
      <c r="I926" s="10">
        <f>83.5445 * CHOOSE(CONTROL!$C$9, $D$9, 100%, $F$9) + CHOOSE(CONTROL!$C$27, 0.0021, 0)</f>
        <v>83.546599999999998</v>
      </c>
      <c r="J926" s="10">
        <f>83.5445 * CHOOSE(CONTROL!$C$9, $D$9, 100%, $F$9) + CHOOSE(CONTROL!$C$27, 0.0021, 0)</f>
        <v>83.546599999999998</v>
      </c>
      <c r="K926" s="10">
        <f>83.5445 * CHOOSE(CONTROL!$C$9, $D$9, 100%, $F$9) + CHOOSE(CONTROL!$C$27, 0.0021, 0)</f>
        <v>83.546599999999998</v>
      </c>
      <c r="L926" s="10"/>
    </row>
    <row r="927" spans="1:12" ht="15.75" x14ac:dyDescent="0.25">
      <c r="A927" s="13">
        <v>69518</v>
      </c>
      <c r="B927" s="10">
        <f>82.7905 * CHOOSE(CONTROL!$C$9, $D$9, 100%, $F$9) + CHOOSE(CONTROL!$C$27, 0.0021, 0)</f>
        <v>82.792599999999993</v>
      </c>
      <c r="C927" s="10">
        <f>82.3583 * CHOOSE(CONTROL!$C$9, $D$9, 100%, $F$9) + CHOOSE(CONTROL!$C$27, 0.0021, 0)</f>
        <v>82.360399999999998</v>
      </c>
      <c r="D927" s="10">
        <f>82.3583 * CHOOSE(CONTROL!$C$9, $D$9, 100%, $F$9) + CHOOSE(CONTROL!$C$27, 0.0021, 0)</f>
        <v>82.360399999999998</v>
      </c>
      <c r="E927" s="10">
        <f>82.2216 * CHOOSE(CONTROL!$C$9, $D$9, 100%, $F$9) + CHOOSE(CONTROL!$C$27, 0.0021, 0)</f>
        <v>82.223699999999994</v>
      </c>
      <c r="F927" s="10">
        <f>82.2216 * CHOOSE(CONTROL!$C$9, $D$9, 100%, $F$9) + CHOOSE(CONTROL!$C$27, 0.0021, 0)</f>
        <v>82.223699999999994</v>
      </c>
      <c r="G927" s="10">
        <f>82.493 * CHOOSE(CONTROL!$C$9, $D$9, 100%, $F$9) + CHOOSE(CONTROL!$C$27, 0.0021, 0)</f>
        <v>82.495099999999994</v>
      </c>
      <c r="H927" s="10">
        <f>82.3583 * CHOOSE(CONTROL!$C$9, $D$9, 100%, $F$9) + CHOOSE(CONTROL!$C$27, 0.0021, 0)</f>
        <v>82.360399999999998</v>
      </c>
      <c r="I927" s="10">
        <f>82.3583 * CHOOSE(CONTROL!$C$9, $D$9, 100%, $F$9) + CHOOSE(CONTROL!$C$27, 0.0021, 0)</f>
        <v>82.360399999999998</v>
      </c>
      <c r="J927" s="10">
        <f>82.3583 * CHOOSE(CONTROL!$C$9, $D$9, 100%, $F$9) + CHOOSE(CONTROL!$C$27, 0.0021, 0)</f>
        <v>82.360399999999998</v>
      </c>
      <c r="K927" s="10">
        <f>82.3583 * CHOOSE(CONTROL!$C$9, $D$9, 100%, $F$9) + CHOOSE(CONTROL!$C$27, 0.0021, 0)</f>
        <v>82.360399999999998</v>
      </c>
      <c r="L927" s="10"/>
    </row>
    <row r="928" spans="1:12" ht="15.75" x14ac:dyDescent="0.25">
      <c r="A928" s="13">
        <v>69549</v>
      </c>
      <c r="B928" s="10">
        <f>84.481 * CHOOSE(CONTROL!$C$9, $D$9, 100%, $F$9) + CHOOSE(CONTROL!$C$27, 0.0021, 0)</f>
        <v>84.483099999999993</v>
      </c>
      <c r="C928" s="10">
        <f>84.0488 * CHOOSE(CONTROL!$C$9, $D$9, 100%, $F$9) + CHOOSE(CONTROL!$C$27, 0.0021, 0)</f>
        <v>84.050899999999999</v>
      </c>
      <c r="D928" s="10">
        <f>84.0488 * CHOOSE(CONTROL!$C$9, $D$9, 100%, $F$9) + CHOOSE(CONTROL!$C$27, 0.0021, 0)</f>
        <v>84.050899999999999</v>
      </c>
      <c r="E928" s="10">
        <f>83.9121 * CHOOSE(CONTROL!$C$9, $D$9, 100%, $F$9) + CHOOSE(CONTROL!$C$27, 0.0021, 0)</f>
        <v>83.914199999999994</v>
      </c>
      <c r="F928" s="10">
        <f>83.9121 * CHOOSE(CONTROL!$C$9, $D$9, 100%, $F$9) + CHOOSE(CONTROL!$C$27, 0.0021, 0)</f>
        <v>83.914199999999994</v>
      </c>
      <c r="G928" s="10">
        <f>84.1835 * CHOOSE(CONTROL!$C$9, $D$9, 100%, $F$9) + CHOOSE(CONTROL!$C$27, 0.0021, 0)</f>
        <v>84.185599999999994</v>
      </c>
      <c r="H928" s="10">
        <f>84.0488 * CHOOSE(CONTROL!$C$9, $D$9, 100%, $F$9) + CHOOSE(CONTROL!$C$27, 0.0021, 0)</f>
        <v>84.050899999999999</v>
      </c>
      <c r="I928" s="10">
        <f>84.0488 * CHOOSE(CONTROL!$C$9, $D$9, 100%, $F$9) + CHOOSE(CONTROL!$C$27, 0.0021, 0)</f>
        <v>84.050899999999999</v>
      </c>
      <c r="J928" s="10">
        <f>84.0488 * CHOOSE(CONTROL!$C$9, $D$9, 100%, $F$9) + CHOOSE(CONTROL!$C$27, 0.0021, 0)</f>
        <v>84.050899999999999</v>
      </c>
      <c r="K928" s="10">
        <f>84.0488 * CHOOSE(CONTROL!$C$9, $D$9, 100%, $F$9) + CHOOSE(CONTROL!$C$27, 0.0021, 0)</f>
        <v>84.050899999999999</v>
      </c>
      <c r="L928" s="10"/>
    </row>
    <row r="929" spans="1:12" ht="15.75" x14ac:dyDescent="0.25">
      <c r="A929" s="13">
        <v>69579</v>
      </c>
      <c r="B929" s="10">
        <f>85.4936 * CHOOSE(CONTROL!$C$9, $D$9, 100%, $F$9) + CHOOSE(CONTROL!$C$27, 0.0021, 0)</f>
        <v>85.495699999999999</v>
      </c>
      <c r="C929" s="10">
        <f>85.0613 * CHOOSE(CONTROL!$C$9, $D$9, 100%, $F$9) + CHOOSE(CONTROL!$C$27, 0.0021, 0)</f>
        <v>85.063400000000001</v>
      </c>
      <c r="D929" s="10">
        <f>85.0613 * CHOOSE(CONTROL!$C$9, $D$9, 100%, $F$9) + CHOOSE(CONTROL!$C$27, 0.0021, 0)</f>
        <v>85.063400000000001</v>
      </c>
      <c r="E929" s="10">
        <f>84.9246 * CHOOSE(CONTROL!$C$9, $D$9, 100%, $F$9) + CHOOSE(CONTROL!$C$27, 0.0021, 0)</f>
        <v>84.926699999999997</v>
      </c>
      <c r="F929" s="10">
        <f>84.9246 * CHOOSE(CONTROL!$C$9, $D$9, 100%, $F$9) + CHOOSE(CONTROL!$C$27, 0.0021, 0)</f>
        <v>84.926699999999997</v>
      </c>
      <c r="G929" s="10">
        <f>85.196 * CHOOSE(CONTROL!$C$9, $D$9, 100%, $F$9) + CHOOSE(CONTROL!$C$27, 0.0021, 0)</f>
        <v>85.198099999999997</v>
      </c>
      <c r="H929" s="10">
        <f>85.0613 * CHOOSE(CONTROL!$C$9, $D$9, 100%, $F$9) + CHOOSE(CONTROL!$C$27, 0.0021, 0)</f>
        <v>85.063400000000001</v>
      </c>
      <c r="I929" s="10">
        <f>85.0613 * CHOOSE(CONTROL!$C$9, $D$9, 100%, $F$9) + CHOOSE(CONTROL!$C$27, 0.0021, 0)</f>
        <v>85.063400000000001</v>
      </c>
      <c r="J929" s="10">
        <f>85.0613 * CHOOSE(CONTROL!$C$9, $D$9, 100%, $F$9) + CHOOSE(CONTROL!$C$27, 0.0021, 0)</f>
        <v>85.063400000000001</v>
      </c>
      <c r="K929" s="10">
        <f>85.0613 * CHOOSE(CONTROL!$C$9, $D$9, 100%, $F$9) + CHOOSE(CONTROL!$C$27, 0.0021, 0)</f>
        <v>85.063400000000001</v>
      </c>
      <c r="L929" s="10"/>
    </row>
    <row r="930" spans="1:12" ht="15.75" x14ac:dyDescent="0.25">
      <c r="A930" s="13">
        <v>69610</v>
      </c>
      <c r="B930" s="10">
        <f>87.1639 * CHOOSE(CONTROL!$C$9, $D$9, 100%, $F$9) + CHOOSE(CONTROL!$C$27, 0.0021, 0)</f>
        <v>87.165999999999997</v>
      </c>
      <c r="C930" s="10">
        <f>86.7316 * CHOOSE(CONTROL!$C$9, $D$9, 100%, $F$9) + CHOOSE(CONTROL!$C$27, 0.0021, 0)</f>
        <v>86.733699999999999</v>
      </c>
      <c r="D930" s="10">
        <f>86.7316 * CHOOSE(CONTROL!$C$9, $D$9, 100%, $F$9) + CHOOSE(CONTROL!$C$27, 0.0021, 0)</f>
        <v>86.733699999999999</v>
      </c>
      <c r="E930" s="10">
        <f>86.595 * CHOOSE(CONTROL!$C$9, $D$9, 100%, $F$9) + CHOOSE(CONTROL!$C$27, 0.0021, 0)</f>
        <v>86.597099999999998</v>
      </c>
      <c r="F930" s="10">
        <f>86.595 * CHOOSE(CONTROL!$C$9, $D$9, 100%, $F$9) + CHOOSE(CONTROL!$C$27, 0.0021, 0)</f>
        <v>86.597099999999998</v>
      </c>
      <c r="G930" s="10">
        <f>86.8663 * CHOOSE(CONTROL!$C$9, $D$9, 100%, $F$9) + CHOOSE(CONTROL!$C$27, 0.0021, 0)</f>
        <v>86.868399999999994</v>
      </c>
      <c r="H930" s="10">
        <f>86.7316 * CHOOSE(CONTROL!$C$9, $D$9, 100%, $F$9) + CHOOSE(CONTROL!$C$27, 0.0021, 0)</f>
        <v>86.733699999999999</v>
      </c>
      <c r="I930" s="10">
        <f>86.7316 * CHOOSE(CONTROL!$C$9, $D$9, 100%, $F$9) + CHOOSE(CONTROL!$C$27, 0.0021, 0)</f>
        <v>86.733699999999999</v>
      </c>
      <c r="J930" s="10">
        <f>86.7316 * CHOOSE(CONTROL!$C$9, $D$9, 100%, $F$9) + CHOOSE(CONTROL!$C$27, 0.0021, 0)</f>
        <v>86.733699999999999</v>
      </c>
      <c r="K930" s="10">
        <f>86.7316 * CHOOSE(CONTROL!$C$9, $D$9, 100%, $F$9) + CHOOSE(CONTROL!$C$27, 0.0021, 0)</f>
        <v>86.733699999999999</v>
      </c>
      <c r="L930" s="10"/>
    </row>
    <row r="931" spans="1:12" ht="15.75" x14ac:dyDescent="0.25">
      <c r="A931" s="13">
        <v>69641</v>
      </c>
      <c r="B931" s="10">
        <f>87.6737 * CHOOSE(CONTROL!$C$9, $D$9, 100%, $F$9) + CHOOSE(CONTROL!$C$27, 0.0021, 0)</f>
        <v>87.675799999999995</v>
      </c>
      <c r="C931" s="10">
        <f>87.2415 * CHOOSE(CONTROL!$C$9, $D$9, 100%, $F$9) + CHOOSE(CONTROL!$C$27, 0.0021, 0)</f>
        <v>87.243600000000001</v>
      </c>
      <c r="D931" s="10">
        <f>87.2415 * CHOOSE(CONTROL!$C$9, $D$9, 100%, $F$9) + CHOOSE(CONTROL!$C$27, 0.0021, 0)</f>
        <v>87.243600000000001</v>
      </c>
      <c r="E931" s="10">
        <f>87.1048 * CHOOSE(CONTROL!$C$9, $D$9, 100%, $F$9) + CHOOSE(CONTROL!$C$27, 0.0021, 0)</f>
        <v>87.106899999999996</v>
      </c>
      <c r="F931" s="10">
        <f>87.1048 * CHOOSE(CONTROL!$C$9, $D$9, 100%, $F$9) + CHOOSE(CONTROL!$C$27, 0.0021, 0)</f>
        <v>87.106899999999996</v>
      </c>
      <c r="G931" s="10">
        <f>87.3762 * CHOOSE(CONTROL!$C$9, $D$9, 100%, $F$9) + CHOOSE(CONTROL!$C$27, 0.0021, 0)</f>
        <v>87.378299999999996</v>
      </c>
      <c r="H931" s="10">
        <f>87.2415 * CHOOSE(CONTROL!$C$9, $D$9, 100%, $F$9) + CHOOSE(CONTROL!$C$27, 0.0021, 0)</f>
        <v>87.243600000000001</v>
      </c>
      <c r="I931" s="10">
        <f>87.2415 * CHOOSE(CONTROL!$C$9, $D$9, 100%, $F$9) + CHOOSE(CONTROL!$C$27, 0.0021, 0)</f>
        <v>87.243600000000001</v>
      </c>
      <c r="J931" s="10">
        <f>87.2415 * CHOOSE(CONTROL!$C$9, $D$9, 100%, $F$9) + CHOOSE(CONTROL!$C$27, 0.0021, 0)</f>
        <v>87.243600000000001</v>
      </c>
      <c r="K931" s="10">
        <f>87.2415 * CHOOSE(CONTROL!$C$9, $D$9, 100%, $F$9) + CHOOSE(CONTROL!$C$27, 0.0021, 0)</f>
        <v>87.243600000000001</v>
      </c>
      <c r="L931" s="10"/>
    </row>
    <row r="932" spans="1:12" ht="15.75" x14ac:dyDescent="0.25">
      <c r="A932" s="13">
        <v>69671</v>
      </c>
      <c r="B932" s="10">
        <f>89.4099 * CHOOSE(CONTROL!$C$9, $D$9, 100%, $F$9) + CHOOSE(CONTROL!$C$27, 0.0021, 0)</f>
        <v>89.411999999999992</v>
      </c>
      <c r="C932" s="10">
        <f>88.9777 * CHOOSE(CONTROL!$C$9, $D$9, 100%, $F$9) + CHOOSE(CONTROL!$C$27, 0.0021, 0)</f>
        <v>88.979799999999997</v>
      </c>
      <c r="D932" s="10">
        <f>88.9777 * CHOOSE(CONTROL!$C$9, $D$9, 100%, $F$9) + CHOOSE(CONTROL!$C$27, 0.0021, 0)</f>
        <v>88.979799999999997</v>
      </c>
      <c r="E932" s="10">
        <f>88.841 * CHOOSE(CONTROL!$C$9, $D$9, 100%, $F$9) + CHOOSE(CONTROL!$C$27, 0.0021, 0)</f>
        <v>88.843099999999993</v>
      </c>
      <c r="F932" s="10">
        <f>88.841 * CHOOSE(CONTROL!$C$9, $D$9, 100%, $F$9) + CHOOSE(CONTROL!$C$27, 0.0021, 0)</f>
        <v>88.843099999999993</v>
      </c>
      <c r="G932" s="10">
        <f>89.1124 * CHOOSE(CONTROL!$C$9, $D$9, 100%, $F$9) + CHOOSE(CONTROL!$C$27, 0.0021, 0)</f>
        <v>89.114499999999992</v>
      </c>
      <c r="H932" s="10">
        <f>88.9777 * CHOOSE(CONTROL!$C$9, $D$9, 100%, $F$9) + CHOOSE(CONTROL!$C$27, 0.0021, 0)</f>
        <v>88.979799999999997</v>
      </c>
      <c r="I932" s="10">
        <f>88.9777 * CHOOSE(CONTROL!$C$9, $D$9, 100%, $F$9) + CHOOSE(CONTROL!$C$27, 0.0021, 0)</f>
        <v>88.979799999999997</v>
      </c>
      <c r="J932" s="10">
        <f>88.9777 * CHOOSE(CONTROL!$C$9, $D$9, 100%, $F$9) + CHOOSE(CONTROL!$C$27, 0.0021, 0)</f>
        <v>88.979799999999997</v>
      </c>
      <c r="K932" s="10">
        <f>88.9777 * CHOOSE(CONTROL!$C$9, $D$9, 100%, $F$9) + CHOOSE(CONTROL!$C$27, 0.0021, 0)</f>
        <v>88.979799999999997</v>
      </c>
      <c r="L932" s="10"/>
    </row>
    <row r="933" spans="1:12" ht="15.75" x14ac:dyDescent="0.25">
      <c r="A933" s="13">
        <v>69702</v>
      </c>
      <c r="B933" s="10">
        <f>91.6077 * CHOOSE(CONTROL!$C$9, $D$9, 100%, $F$9) + CHOOSE(CONTROL!$C$27, 0.0021, 0)</f>
        <v>91.609799999999993</v>
      </c>
      <c r="C933" s="10">
        <f>91.1754 * CHOOSE(CONTROL!$C$9, $D$9, 100%, $F$9) + CHOOSE(CONTROL!$C$27, 0.0021, 0)</f>
        <v>91.177499999999995</v>
      </c>
      <c r="D933" s="10">
        <f>91.1754 * CHOOSE(CONTROL!$C$9, $D$9, 100%, $F$9) + CHOOSE(CONTROL!$C$27, 0.0021, 0)</f>
        <v>91.177499999999995</v>
      </c>
      <c r="E933" s="10">
        <f>91.0388 * CHOOSE(CONTROL!$C$9, $D$9, 100%, $F$9) + CHOOSE(CONTROL!$C$27, 0.0021, 0)</f>
        <v>91.040899999999993</v>
      </c>
      <c r="F933" s="10">
        <f>91.0388 * CHOOSE(CONTROL!$C$9, $D$9, 100%, $F$9) + CHOOSE(CONTROL!$C$27, 0.0021, 0)</f>
        <v>91.040899999999993</v>
      </c>
      <c r="G933" s="10">
        <f>91.3102 * CHOOSE(CONTROL!$C$9, $D$9, 100%, $F$9) + CHOOSE(CONTROL!$C$27, 0.0021, 0)</f>
        <v>91.312299999999993</v>
      </c>
      <c r="H933" s="10">
        <f>91.1754 * CHOOSE(CONTROL!$C$9, $D$9, 100%, $F$9) + CHOOSE(CONTROL!$C$27, 0.0021, 0)</f>
        <v>91.177499999999995</v>
      </c>
      <c r="I933" s="10">
        <f>91.1754 * CHOOSE(CONTROL!$C$9, $D$9, 100%, $F$9) + CHOOSE(CONTROL!$C$27, 0.0021, 0)</f>
        <v>91.177499999999995</v>
      </c>
      <c r="J933" s="10">
        <f>91.1754 * CHOOSE(CONTROL!$C$9, $D$9, 100%, $F$9) + CHOOSE(CONTROL!$C$27, 0.0021, 0)</f>
        <v>91.177499999999995</v>
      </c>
      <c r="K933" s="10">
        <f>91.1754 * CHOOSE(CONTROL!$C$9, $D$9, 100%, $F$9) + CHOOSE(CONTROL!$C$27, 0.0021, 0)</f>
        <v>91.177499999999995</v>
      </c>
      <c r="L933" s="10"/>
    </row>
    <row r="934" spans="1:12" ht="15.75" x14ac:dyDescent="0.25">
      <c r="A934" s="13">
        <v>69732</v>
      </c>
      <c r="B934" s="10">
        <f>91.814 * CHOOSE(CONTROL!$C$9, $D$9, 100%, $F$9) + CHOOSE(CONTROL!$C$27, 0.0021, 0)</f>
        <v>91.816099999999992</v>
      </c>
      <c r="C934" s="10">
        <f>91.3818 * CHOOSE(CONTROL!$C$9, $D$9, 100%, $F$9) + CHOOSE(CONTROL!$C$27, 0.0021, 0)</f>
        <v>91.383899999999997</v>
      </c>
      <c r="D934" s="10">
        <f>91.3818 * CHOOSE(CONTROL!$C$9, $D$9, 100%, $F$9) + CHOOSE(CONTROL!$C$27, 0.0021, 0)</f>
        <v>91.383899999999997</v>
      </c>
      <c r="E934" s="10">
        <f>91.2451 * CHOOSE(CONTROL!$C$9, $D$9, 100%, $F$9) + CHOOSE(CONTROL!$C$27, 0.0021, 0)</f>
        <v>91.247199999999992</v>
      </c>
      <c r="F934" s="10">
        <f>91.2451 * CHOOSE(CONTROL!$C$9, $D$9, 100%, $F$9) + CHOOSE(CONTROL!$C$27, 0.0021, 0)</f>
        <v>91.247199999999992</v>
      </c>
      <c r="G934" s="10">
        <f>91.5165 * CHOOSE(CONTROL!$C$9, $D$9, 100%, $F$9) + CHOOSE(CONTROL!$C$27, 0.0021, 0)</f>
        <v>91.518599999999992</v>
      </c>
      <c r="H934" s="10">
        <f>91.3818 * CHOOSE(CONTROL!$C$9, $D$9, 100%, $F$9) + CHOOSE(CONTROL!$C$27, 0.0021, 0)</f>
        <v>91.383899999999997</v>
      </c>
      <c r="I934" s="10">
        <f>91.3818 * CHOOSE(CONTROL!$C$9, $D$9, 100%, $F$9) + CHOOSE(CONTROL!$C$27, 0.0021, 0)</f>
        <v>91.383899999999997</v>
      </c>
      <c r="J934" s="10">
        <f>91.3818 * CHOOSE(CONTROL!$C$9, $D$9, 100%, $F$9) + CHOOSE(CONTROL!$C$27, 0.0021, 0)</f>
        <v>91.383899999999997</v>
      </c>
      <c r="K934" s="10">
        <f>91.3818 * CHOOSE(CONTROL!$C$9, $D$9, 100%, $F$9) + CHOOSE(CONTROL!$C$27, 0.0021, 0)</f>
        <v>91.383899999999997</v>
      </c>
      <c r="L934" s="10"/>
    </row>
    <row r="935" spans="1:12" ht="15.75" x14ac:dyDescent="0.25">
      <c r="A935" s="13">
        <v>69763</v>
      </c>
      <c r="B935" s="10">
        <f>90.0587 * CHOOSE(CONTROL!$C$9, $D$9, 100%, $F$9) + CHOOSE(CONTROL!$C$27, 0.0021, 0)</f>
        <v>90.0608</v>
      </c>
      <c r="C935" s="10">
        <f>89.6265 * CHOOSE(CONTROL!$C$9, $D$9, 100%, $F$9) + CHOOSE(CONTROL!$C$27, 0.0021, 0)</f>
        <v>89.628599999999992</v>
      </c>
      <c r="D935" s="10">
        <f>89.6265 * CHOOSE(CONTROL!$C$9, $D$9, 100%, $F$9) + CHOOSE(CONTROL!$C$27, 0.0021, 0)</f>
        <v>89.628599999999992</v>
      </c>
      <c r="E935" s="10">
        <f>89.4898 * CHOOSE(CONTROL!$C$9, $D$9, 100%, $F$9) + CHOOSE(CONTROL!$C$27, 0.0021, 0)</f>
        <v>89.491900000000001</v>
      </c>
      <c r="F935" s="10">
        <f>89.4898 * CHOOSE(CONTROL!$C$9, $D$9, 100%, $F$9) + CHOOSE(CONTROL!$C$27, 0.0021, 0)</f>
        <v>89.491900000000001</v>
      </c>
      <c r="G935" s="10">
        <f>89.7612 * CHOOSE(CONTROL!$C$9, $D$9, 100%, $F$9) + CHOOSE(CONTROL!$C$27, 0.0021, 0)</f>
        <v>89.763300000000001</v>
      </c>
      <c r="H935" s="10">
        <f>89.6265 * CHOOSE(CONTROL!$C$9, $D$9, 100%, $F$9) + CHOOSE(CONTROL!$C$27, 0.0021, 0)</f>
        <v>89.628599999999992</v>
      </c>
      <c r="I935" s="10">
        <f>89.6265 * CHOOSE(CONTROL!$C$9, $D$9, 100%, $F$9) + CHOOSE(CONTROL!$C$27, 0.0021, 0)</f>
        <v>89.628599999999992</v>
      </c>
      <c r="J935" s="10">
        <f>89.6265 * CHOOSE(CONTROL!$C$9, $D$9, 100%, $F$9) + CHOOSE(CONTROL!$C$27, 0.0021, 0)</f>
        <v>89.628599999999992</v>
      </c>
      <c r="K935" s="10">
        <f>89.6265 * CHOOSE(CONTROL!$C$9, $D$9, 100%, $F$9) + CHOOSE(CONTROL!$C$27, 0.0021, 0)</f>
        <v>89.628599999999992</v>
      </c>
      <c r="L935" s="10"/>
    </row>
    <row r="936" spans="1:12" ht="15.75" x14ac:dyDescent="0.25">
      <c r="A936" s="13">
        <v>69794</v>
      </c>
      <c r="B936" s="10">
        <f>88.7148 * CHOOSE(CONTROL!$C$9, $D$9, 100%, $F$9) + CHOOSE(CONTROL!$C$27, 0.0021, 0)</f>
        <v>88.716899999999995</v>
      </c>
      <c r="C936" s="10">
        <f>88.2825 * CHOOSE(CONTROL!$C$9, $D$9, 100%, $F$9) + CHOOSE(CONTROL!$C$27, 0.0021, 0)</f>
        <v>88.284599999999998</v>
      </c>
      <c r="D936" s="10">
        <f>88.2825 * CHOOSE(CONTROL!$C$9, $D$9, 100%, $F$9) + CHOOSE(CONTROL!$C$27, 0.0021, 0)</f>
        <v>88.284599999999998</v>
      </c>
      <c r="E936" s="10">
        <f>88.1459 * CHOOSE(CONTROL!$C$9, $D$9, 100%, $F$9) + CHOOSE(CONTROL!$C$27, 0.0021, 0)</f>
        <v>88.147999999999996</v>
      </c>
      <c r="F936" s="10">
        <f>88.1459 * CHOOSE(CONTROL!$C$9, $D$9, 100%, $F$9) + CHOOSE(CONTROL!$C$27, 0.0021, 0)</f>
        <v>88.147999999999996</v>
      </c>
      <c r="G936" s="10">
        <f>88.4173 * CHOOSE(CONTROL!$C$9, $D$9, 100%, $F$9) + CHOOSE(CONTROL!$C$27, 0.0021, 0)</f>
        <v>88.419399999999996</v>
      </c>
      <c r="H936" s="10">
        <f>88.2825 * CHOOSE(CONTROL!$C$9, $D$9, 100%, $F$9) + CHOOSE(CONTROL!$C$27, 0.0021, 0)</f>
        <v>88.284599999999998</v>
      </c>
      <c r="I936" s="10">
        <f>88.2825 * CHOOSE(CONTROL!$C$9, $D$9, 100%, $F$9) + CHOOSE(CONTROL!$C$27, 0.0021, 0)</f>
        <v>88.284599999999998</v>
      </c>
      <c r="J936" s="10">
        <f>88.2825 * CHOOSE(CONTROL!$C$9, $D$9, 100%, $F$9) + CHOOSE(CONTROL!$C$27, 0.0021, 0)</f>
        <v>88.284599999999998</v>
      </c>
      <c r="K936" s="10">
        <f>88.2825 * CHOOSE(CONTROL!$C$9, $D$9, 100%, $F$9) + CHOOSE(CONTROL!$C$27, 0.0021, 0)</f>
        <v>88.284599999999998</v>
      </c>
      <c r="L936" s="10"/>
    </row>
    <row r="937" spans="1:12" ht="15.75" x14ac:dyDescent="0.25">
      <c r="A937" s="13">
        <v>69822</v>
      </c>
      <c r="B937" s="10">
        <f>86.2703 * CHOOSE(CONTROL!$C$9, $D$9, 100%, $F$9) + CHOOSE(CONTROL!$C$27, 0.0021, 0)</f>
        <v>86.272400000000005</v>
      </c>
      <c r="C937" s="10">
        <f>85.838 * CHOOSE(CONTROL!$C$9, $D$9, 100%, $F$9) + CHOOSE(CONTROL!$C$27, 0.0021, 0)</f>
        <v>85.840099999999993</v>
      </c>
      <c r="D937" s="10">
        <f>85.838 * CHOOSE(CONTROL!$C$9, $D$9, 100%, $F$9) + CHOOSE(CONTROL!$C$27, 0.0021, 0)</f>
        <v>85.840099999999993</v>
      </c>
      <c r="E937" s="10">
        <f>85.7014 * CHOOSE(CONTROL!$C$9, $D$9, 100%, $F$9) + CHOOSE(CONTROL!$C$27, 0.0021, 0)</f>
        <v>85.703500000000005</v>
      </c>
      <c r="F937" s="10">
        <f>85.7014 * CHOOSE(CONTROL!$C$9, $D$9, 100%, $F$9) + CHOOSE(CONTROL!$C$27, 0.0021, 0)</f>
        <v>85.703500000000005</v>
      </c>
      <c r="G937" s="10">
        <f>85.9728 * CHOOSE(CONTROL!$C$9, $D$9, 100%, $F$9) + CHOOSE(CONTROL!$C$27, 0.0021, 0)</f>
        <v>85.974900000000005</v>
      </c>
      <c r="H937" s="10">
        <f>85.838 * CHOOSE(CONTROL!$C$9, $D$9, 100%, $F$9) + CHOOSE(CONTROL!$C$27, 0.0021, 0)</f>
        <v>85.840099999999993</v>
      </c>
      <c r="I937" s="10">
        <f>85.838 * CHOOSE(CONTROL!$C$9, $D$9, 100%, $F$9) + CHOOSE(CONTROL!$C$27, 0.0021, 0)</f>
        <v>85.840099999999993</v>
      </c>
      <c r="J937" s="10">
        <f>85.838 * CHOOSE(CONTROL!$C$9, $D$9, 100%, $F$9) + CHOOSE(CONTROL!$C$27, 0.0021, 0)</f>
        <v>85.840099999999993</v>
      </c>
      <c r="K937" s="10">
        <f>85.838 * CHOOSE(CONTROL!$C$9, $D$9, 100%, $F$9) + CHOOSE(CONTROL!$C$27, 0.0021, 0)</f>
        <v>85.840099999999993</v>
      </c>
      <c r="L937" s="10"/>
    </row>
    <row r="938" spans="1:12" ht="15.75" x14ac:dyDescent="0.25">
      <c r="A938" s="13">
        <v>69853</v>
      </c>
      <c r="B938" s="10">
        <f>85.2612 * CHOOSE(CONTROL!$C$9, $D$9, 100%, $F$9) + CHOOSE(CONTROL!$C$27, 0.0021, 0)</f>
        <v>85.263300000000001</v>
      </c>
      <c r="C938" s="10">
        <f>84.829 * CHOOSE(CONTROL!$C$9, $D$9, 100%, $F$9) + CHOOSE(CONTROL!$C$27, 0.0021, 0)</f>
        <v>84.831099999999992</v>
      </c>
      <c r="D938" s="10">
        <f>84.829 * CHOOSE(CONTROL!$C$9, $D$9, 100%, $F$9) + CHOOSE(CONTROL!$C$27, 0.0021, 0)</f>
        <v>84.831099999999992</v>
      </c>
      <c r="E938" s="10">
        <f>84.6923 * CHOOSE(CONTROL!$C$9, $D$9, 100%, $F$9) + CHOOSE(CONTROL!$C$27, 0.0021, 0)</f>
        <v>84.694400000000002</v>
      </c>
      <c r="F938" s="10">
        <f>84.6923 * CHOOSE(CONTROL!$C$9, $D$9, 100%, $F$9) + CHOOSE(CONTROL!$C$27, 0.0021, 0)</f>
        <v>84.694400000000002</v>
      </c>
      <c r="G938" s="10">
        <f>84.9637 * CHOOSE(CONTROL!$C$9, $D$9, 100%, $F$9) + CHOOSE(CONTROL!$C$27, 0.0021, 0)</f>
        <v>84.965800000000002</v>
      </c>
      <c r="H938" s="10">
        <f>84.829 * CHOOSE(CONTROL!$C$9, $D$9, 100%, $F$9) + CHOOSE(CONTROL!$C$27, 0.0021, 0)</f>
        <v>84.831099999999992</v>
      </c>
      <c r="I938" s="10">
        <f>84.829 * CHOOSE(CONTROL!$C$9, $D$9, 100%, $F$9) + CHOOSE(CONTROL!$C$27, 0.0021, 0)</f>
        <v>84.831099999999992</v>
      </c>
      <c r="J938" s="10">
        <f>84.829 * CHOOSE(CONTROL!$C$9, $D$9, 100%, $F$9) + CHOOSE(CONTROL!$C$27, 0.0021, 0)</f>
        <v>84.831099999999992</v>
      </c>
      <c r="K938" s="10">
        <f>84.829 * CHOOSE(CONTROL!$C$9, $D$9, 100%, $F$9) + CHOOSE(CONTROL!$C$27, 0.0021, 0)</f>
        <v>84.831099999999992</v>
      </c>
      <c r="L938" s="10"/>
    </row>
    <row r="939" spans="1:12" ht="15.75" x14ac:dyDescent="0.25">
      <c r="A939" s="13">
        <v>69883</v>
      </c>
      <c r="B939" s="10">
        <f>84.0563 * CHOOSE(CONTROL!$C$9, $D$9, 100%, $F$9) + CHOOSE(CONTROL!$C$27, 0.0021, 0)</f>
        <v>84.058399999999992</v>
      </c>
      <c r="C939" s="10">
        <f>83.6241 * CHOOSE(CONTROL!$C$9, $D$9, 100%, $F$9) + CHOOSE(CONTROL!$C$27, 0.0021, 0)</f>
        <v>83.626199999999997</v>
      </c>
      <c r="D939" s="10">
        <f>83.6241 * CHOOSE(CONTROL!$C$9, $D$9, 100%, $F$9) + CHOOSE(CONTROL!$C$27, 0.0021, 0)</f>
        <v>83.626199999999997</v>
      </c>
      <c r="E939" s="10">
        <f>83.4874 * CHOOSE(CONTROL!$C$9, $D$9, 100%, $F$9) + CHOOSE(CONTROL!$C$27, 0.0021, 0)</f>
        <v>83.489499999999992</v>
      </c>
      <c r="F939" s="10">
        <f>83.4874 * CHOOSE(CONTROL!$C$9, $D$9, 100%, $F$9) + CHOOSE(CONTROL!$C$27, 0.0021, 0)</f>
        <v>83.489499999999992</v>
      </c>
      <c r="G939" s="10">
        <f>83.7588 * CHOOSE(CONTROL!$C$9, $D$9, 100%, $F$9) + CHOOSE(CONTROL!$C$27, 0.0021, 0)</f>
        <v>83.760899999999992</v>
      </c>
      <c r="H939" s="10">
        <f>83.6241 * CHOOSE(CONTROL!$C$9, $D$9, 100%, $F$9) + CHOOSE(CONTROL!$C$27, 0.0021, 0)</f>
        <v>83.626199999999997</v>
      </c>
      <c r="I939" s="10">
        <f>83.6241 * CHOOSE(CONTROL!$C$9, $D$9, 100%, $F$9) + CHOOSE(CONTROL!$C$27, 0.0021, 0)</f>
        <v>83.626199999999997</v>
      </c>
      <c r="J939" s="10">
        <f>83.6241 * CHOOSE(CONTROL!$C$9, $D$9, 100%, $F$9) + CHOOSE(CONTROL!$C$27, 0.0021, 0)</f>
        <v>83.626199999999997</v>
      </c>
      <c r="K939" s="10">
        <f>83.6241 * CHOOSE(CONTROL!$C$9, $D$9, 100%, $F$9) + CHOOSE(CONTROL!$C$27, 0.0021, 0)</f>
        <v>83.626199999999997</v>
      </c>
      <c r="L939" s="10"/>
    </row>
    <row r="940" spans="1:12" ht="15.75" x14ac:dyDescent="0.25">
      <c r="A940" s="13">
        <v>69914</v>
      </c>
      <c r="B940" s="10">
        <f>85.7734 * CHOOSE(CONTROL!$C$9, $D$9, 100%, $F$9) + CHOOSE(CONTROL!$C$27, 0.0021, 0)</f>
        <v>85.775499999999994</v>
      </c>
      <c r="C940" s="10">
        <f>85.3412 * CHOOSE(CONTROL!$C$9, $D$9, 100%, $F$9) + CHOOSE(CONTROL!$C$27, 0.0021, 0)</f>
        <v>85.343299999999999</v>
      </c>
      <c r="D940" s="10">
        <f>85.3412 * CHOOSE(CONTROL!$C$9, $D$9, 100%, $F$9) + CHOOSE(CONTROL!$C$27, 0.0021, 0)</f>
        <v>85.343299999999999</v>
      </c>
      <c r="E940" s="10">
        <f>85.2045 * CHOOSE(CONTROL!$C$9, $D$9, 100%, $F$9) + CHOOSE(CONTROL!$C$27, 0.0021, 0)</f>
        <v>85.206599999999995</v>
      </c>
      <c r="F940" s="10">
        <f>85.2045 * CHOOSE(CONTROL!$C$9, $D$9, 100%, $F$9) + CHOOSE(CONTROL!$C$27, 0.0021, 0)</f>
        <v>85.206599999999995</v>
      </c>
      <c r="G940" s="10">
        <f>85.4759 * CHOOSE(CONTROL!$C$9, $D$9, 100%, $F$9) + CHOOSE(CONTROL!$C$27, 0.0021, 0)</f>
        <v>85.477999999999994</v>
      </c>
      <c r="H940" s="10">
        <f>85.3412 * CHOOSE(CONTROL!$C$9, $D$9, 100%, $F$9) + CHOOSE(CONTROL!$C$27, 0.0021, 0)</f>
        <v>85.343299999999999</v>
      </c>
      <c r="I940" s="10">
        <f>85.3412 * CHOOSE(CONTROL!$C$9, $D$9, 100%, $F$9) + CHOOSE(CONTROL!$C$27, 0.0021, 0)</f>
        <v>85.343299999999999</v>
      </c>
      <c r="J940" s="10">
        <f>85.3412 * CHOOSE(CONTROL!$C$9, $D$9, 100%, $F$9) + CHOOSE(CONTROL!$C$27, 0.0021, 0)</f>
        <v>85.343299999999999</v>
      </c>
      <c r="K940" s="10">
        <f>85.3412 * CHOOSE(CONTROL!$C$9, $D$9, 100%, $F$9) + CHOOSE(CONTROL!$C$27, 0.0021, 0)</f>
        <v>85.343299999999999</v>
      </c>
      <c r="L940" s="10"/>
    </row>
    <row r="941" spans="1:12" ht="15.75" x14ac:dyDescent="0.25">
      <c r="A941" s="13">
        <v>69944</v>
      </c>
      <c r="B941" s="10">
        <f>86.8019 * CHOOSE(CONTROL!$C$9, $D$9, 100%, $F$9) + CHOOSE(CONTROL!$C$27, 0.0021, 0)</f>
        <v>86.804000000000002</v>
      </c>
      <c r="C941" s="10">
        <f>86.3696 * CHOOSE(CONTROL!$C$9, $D$9, 100%, $F$9) + CHOOSE(CONTROL!$C$27, 0.0021, 0)</f>
        <v>86.371700000000004</v>
      </c>
      <c r="D941" s="10">
        <f>86.3696 * CHOOSE(CONTROL!$C$9, $D$9, 100%, $F$9) + CHOOSE(CONTROL!$C$27, 0.0021, 0)</f>
        <v>86.371700000000004</v>
      </c>
      <c r="E941" s="10">
        <f>86.233 * CHOOSE(CONTROL!$C$9, $D$9, 100%, $F$9) + CHOOSE(CONTROL!$C$27, 0.0021, 0)</f>
        <v>86.235100000000003</v>
      </c>
      <c r="F941" s="10">
        <f>86.233 * CHOOSE(CONTROL!$C$9, $D$9, 100%, $F$9) + CHOOSE(CONTROL!$C$27, 0.0021, 0)</f>
        <v>86.235100000000003</v>
      </c>
      <c r="G941" s="10">
        <f>86.5044 * CHOOSE(CONTROL!$C$9, $D$9, 100%, $F$9) + CHOOSE(CONTROL!$C$27, 0.0021, 0)</f>
        <v>86.506500000000003</v>
      </c>
      <c r="H941" s="10">
        <f>86.3696 * CHOOSE(CONTROL!$C$9, $D$9, 100%, $F$9) + CHOOSE(CONTROL!$C$27, 0.0021, 0)</f>
        <v>86.371700000000004</v>
      </c>
      <c r="I941" s="10">
        <f>86.3696 * CHOOSE(CONTROL!$C$9, $D$9, 100%, $F$9) + CHOOSE(CONTROL!$C$27, 0.0021, 0)</f>
        <v>86.371700000000004</v>
      </c>
      <c r="J941" s="10">
        <f>86.3696 * CHOOSE(CONTROL!$C$9, $D$9, 100%, $F$9) + CHOOSE(CONTROL!$C$27, 0.0021, 0)</f>
        <v>86.371700000000004</v>
      </c>
      <c r="K941" s="10">
        <f>86.3696 * CHOOSE(CONTROL!$C$9, $D$9, 100%, $F$9) + CHOOSE(CONTROL!$C$27, 0.0021, 0)</f>
        <v>86.371700000000004</v>
      </c>
      <c r="L941" s="10"/>
    </row>
    <row r="942" spans="1:12" ht="15.75" x14ac:dyDescent="0.25">
      <c r="A942" s="13">
        <v>69975</v>
      </c>
      <c r="B942" s="10">
        <f>88.4985 * CHOOSE(CONTROL!$C$9, $D$9, 100%, $F$9) + CHOOSE(CONTROL!$C$27, 0.0021, 0)</f>
        <v>88.500600000000006</v>
      </c>
      <c r="C942" s="10">
        <f>88.0662 * CHOOSE(CONTROL!$C$9, $D$9, 100%, $F$9) + CHOOSE(CONTROL!$C$27, 0.0021, 0)</f>
        <v>88.068299999999994</v>
      </c>
      <c r="D942" s="10">
        <f>88.0662 * CHOOSE(CONTROL!$C$9, $D$9, 100%, $F$9) + CHOOSE(CONTROL!$C$27, 0.0021, 0)</f>
        <v>88.068299999999994</v>
      </c>
      <c r="E942" s="10">
        <f>87.9296 * CHOOSE(CONTROL!$C$9, $D$9, 100%, $F$9) + CHOOSE(CONTROL!$C$27, 0.0021, 0)</f>
        <v>87.931699999999992</v>
      </c>
      <c r="F942" s="10">
        <f>87.9296 * CHOOSE(CONTROL!$C$9, $D$9, 100%, $F$9) + CHOOSE(CONTROL!$C$27, 0.0021, 0)</f>
        <v>87.931699999999992</v>
      </c>
      <c r="G942" s="10">
        <f>88.2009 * CHOOSE(CONTROL!$C$9, $D$9, 100%, $F$9) + CHOOSE(CONTROL!$C$27, 0.0021, 0)</f>
        <v>88.203000000000003</v>
      </c>
      <c r="H942" s="10">
        <f>88.0662 * CHOOSE(CONTROL!$C$9, $D$9, 100%, $F$9) + CHOOSE(CONTROL!$C$27, 0.0021, 0)</f>
        <v>88.068299999999994</v>
      </c>
      <c r="I942" s="10">
        <f>88.0662 * CHOOSE(CONTROL!$C$9, $D$9, 100%, $F$9) + CHOOSE(CONTROL!$C$27, 0.0021, 0)</f>
        <v>88.068299999999994</v>
      </c>
      <c r="J942" s="10">
        <f>88.0662 * CHOOSE(CONTROL!$C$9, $D$9, 100%, $F$9) + CHOOSE(CONTROL!$C$27, 0.0021, 0)</f>
        <v>88.068299999999994</v>
      </c>
      <c r="K942" s="10">
        <f>88.0662 * CHOOSE(CONTROL!$C$9, $D$9, 100%, $F$9) + CHOOSE(CONTROL!$C$27, 0.0021, 0)</f>
        <v>88.068299999999994</v>
      </c>
      <c r="L942" s="10"/>
    </row>
    <row r="943" spans="1:12" ht="15.75" x14ac:dyDescent="0.25">
      <c r="A943" s="13">
        <v>70006</v>
      </c>
      <c r="B943" s="10">
        <f>89.0163 * CHOOSE(CONTROL!$C$9, $D$9, 100%, $F$9) + CHOOSE(CONTROL!$C$27, 0.0021, 0)</f>
        <v>89.0184</v>
      </c>
      <c r="C943" s="10">
        <f>88.5841 * CHOOSE(CONTROL!$C$9, $D$9, 100%, $F$9) + CHOOSE(CONTROL!$C$27, 0.0021, 0)</f>
        <v>88.586200000000005</v>
      </c>
      <c r="D943" s="10">
        <f>88.5841 * CHOOSE(CONTROL!$C$9, $D$9, 100%, $F$9) + CHOOSE(CONTROL!$C$27, 0.0021, 0)</f>
        <v>88.586200000000005</v>
      </c>
      <c r="E943" s="10">
        <f>88.4474 * CHOOSE(CONTROL!$C$9, $D$9, 100%, $F$9) + CHOOSE(CONTROL!$C$27, 0.0021, 0)</f>
        <v>88.4495</v>
      </c>
      <c r="F943" s="10">
        <f>88.4474 * CHOOSE(CONTROL!$C$9, $D$9, 100%, $F$9) + CHOOSE(CONTROL!$C$27, 0.0021, 0)</f>
        <v>88.4495</v>
      </c>
      <c r="G943" s="10">
        <f>88.7188 * CHOOSE(CONTROL!$C$9, $D$9, 100%, $F$9) + CHOOSE(CONTROL!$C$27, 0.0021, 0)</f>
        <v>88.7209</v>
      </c>
      <c r="H943" s="10">
        <f>88.5841 * CHOOSE(CONTROL!$C$9, $D$9, 100%, $F$9) + CHOOSE(CONTROL!$C$27, 0.0021, 0)</f>
        <v>88.586200000000005</v>
      </c>
      <c r="I943" s="10">
        <f>88.5841 * CHOOSE(CONTROL!$C$9, $D$9, 100%, $F$9) + CHOOSE(CONTROL!$C$27, 0.0021, 0)</f>
        <v>88.586200000000005</v>
      </c>
      <c r="J943" s="10">
        <f>88.5841 * CHOOSE(CONTROL!$C$9, $D$9, 100%, $F$9) + CHOOSE(CONTROL!$C$27, 0.0021, 0)</f>
        <v>88.586200000000005</v>
      </c>
      <c r="K943" s="10">
        <f>88.5841 * CHOOSE(CONTROL!$C$9, $D$9, 100%, $F$9) + CHOOSE(CONTROL!$C$27, 0.0021, 0)</f>
        <v>88.586200000000005</v>
      </c>
      <c r="L943" s="10"/>
    </row>
    <row r="944" spans="1:12" ht="15.75" x14ac:dyDescent="0.25">
      <c r="A944" s="13">
        <v>70036</v>
      </c>
      <c r="B944" s="10">
        <f>90.7798 * CHOOSE(CONTROL!$C$9, $D$9, 100%, $F$9) + CHOOSE(CONTROL!$C$27, 0.0021, 0)</f>
        <v>90.781899999999993</v>
      </c>
      <c r="C944" s="10">
        <f>90.3476 * CHOOSE(CONTROL!$C$9, $D$9, 100%, $F$9) + CHOOSE(CONTROL!$C$27, 0.0021, 0)</f>
        <v>90.349699999999999</v>
      </c>
      <c r="D944" s="10">
        <f>90.3476 * CHOOSE(CONTROL!$C$9, $D$9, 100%, $F$9) + CHOOSE(CONTROL!$C$27, 0.0021, 0)</f>
        <v>90.349699999999999</v>
      </c>
      <c r="E944" s="10">
        <f>90.2109 * CHOOSE(CONTROL!$C$9, $D$9, 100%, $F$9) + CHOOSE(CONTROL!$C$27, 0.0021, 0)</f>
        <v>90.212999999999994</v>
      </c>
      <c r="F944" s="10">
        <f>90.2109 * CHOOSE(CONTROL!$C$9, $D$9, 100%, $F$9) + CHOOSE(CONTROL!$C$27, 0.0021, 0)</f>
        <v>90.212999999999994</v>
      </c>
      <c r="G944" s="10">
        <f>90.4823 * CHOOSE(CONTROL!$C$9, $D$9, 100%, $F$9) + CHOOSE(CONTROL!$C$27, 0.0021, 0)</f>
        <v>90.484399999999994</v>
      </c>
      <c r="H944" s="10">
        <f>90.3476 * CHOOSE(CONTROL!$C$9, $D$9, 100%, $F$9) + CHOOSE(CONTROL!$C$27, 0.0021, 0)</f>
        <v>90.349699999999999</v>
      </c>
      <c r="I944" s="10">
        <f>90.3476 * CHOOSE(CONTROL!$C$9, $D$9, 100%, $F$9) + CHOOSE(CONTROL!$C$27, 0.0021, 0)</f>
        <v>90.349699999999999</v>
      </c>
      <c r="J944" s="10">
        <f>90.3476 * CHOOSE(CONTROL!$C$9, $D$9, 100%, $F$9) + CHOOSE(CONTROL!$C$27, 0.0021, 0)</f>
        <v>90.349699999999999</v>
      </c>
      <c r="K944" s="10">
        <f>90.3476 * CHOOSE(CONTROL!$C$9, $D$9, 100%, $F$9) + CHOOSE(CONTROL!$C$27, 0.0021, 0)</f>
        <v>90.349699999999999</v>
      </c>
      <c r="L944" s="10"/>
    </row>
    <row r="945" spans="1:12" ht="15.75" x14ac:dyDescent="0.25">
      <c r="A945" s="13">
        <v>70067</v>
      </c>
      <c r="B945" s="10">
        <f>93.0122 * CHOOSE(CONTROL!$C$9, $D$9, 100%, $F$9) + CHOOSE(CONTROL!$C$27, 0.0021, 0)</f>
        <v>93.014300000000006</v>
      </c>
      <c r="C945" s="10">
        <f>92.5799 * CHOOSE(CONTROL!$C$9, $D$9, 100%, $F$9) + CHOOSE(CONTROL!$C$27, 0.0021, 0)</f>
        <v>92.581999999999994</v>
      </c>
      <c r="D945" s="10">
        <f>92.5799 * CHOOSE(CONTROL!$C$9, $D$9, 100%, $F$9) + CHOOSE(CONTROL!$C$27, 0.0021, 0)</f>
        <v>92.581999999999994</v>
      </c>
      <c r="E945" s="10">
        <f>92.4433 * CHOOSE(CONTROL!$C$9, $D$9, 100%, $F$9) + CHOOSE(CONTROL!$C$27, 0.0021, 0)</f>
        <v>92.445399999999992</v>
      </c>
      <c r="F945" s="10">
        <f>92.4433 * CHOOSE(CONTROL!$C$9, $D$9, 100%, $F$9) + CHOOSE(CONTROL!$C$27, 0.0021, 0)</f>
        <v>92.445399999999992</v>
      </c>
      <c r="G945" s="10">
        <f>92.7146 * CHOOSE(CONTROL!$C$9, $D$9, 100%, $F$9) + CHOOSE(CONTROL!$C$27, 0.0021, 0)</f>
        <v>92.716700000000003</v>
      </c>
      <c r="H945" s="10">
        <f>92.5799 * CHOOSE(CONTROL!$C$9, $D$9, 100%, $F$9) + CHOOSE(CONTROL!$C$27, 0.0021, 0)</f>
        <v>92.581999999999994</v>
      </c>
      <c r="I945" s="10">
        <f>92.5799 * CHOOSE(CONTROL!$C$9, $D$9, 100%, $F$9) + CHOOSE(CONTROL!$C$27, 0.0021, 0)</f>
        <v>92.581999999999994</v>
      </c>
      <c r="J945" s="10">
        <f>92.5799 * CHOOSE(CONTROL!$C$9, $D$9, 100%, $F$9) + CHOOSE(CONTROL!$C$27, 0.0021, 0)</f>
        <v>92.581999999999994</v>
      </c>
      <c r="K945" s="10">
        <f>92.5799 * CHOOSE(CONTROL!$C$9, $D$9, 100%, $F$9) + CHOOSE(CONTROL!$C$27, 0.0021, 0)</f>
        <v>92.581999999999994</v>
      </c>
      <c r="L945" s="10"/>
    </row>
    <row r="946" spans="1:12" ht="15.75" x14ac:dyDescent="0.25">
      <c r="A946" s="13">
        <v>70097</v>
      </c>
      <c r="B946" s="10">
        <f>93.2217 * CHOOSE(CONTROL!$C$9, $D$9, 100%, $F$9) + CHOOSE(CONTROL!$C$27, 0.0021, 0)</f>
        <v>93.223799999999997</v>
      </c>
      <c r="C946" s="10">
        <f>92.7895 * CHOOSE(CONTROL!$C$9, $D$9, 100%, $F$9) + CHOOSE(CONTROL!$C$27, 0.0021, 0)</f>
        <v>92.791600000000003</v>
      </c>
      <c r="D946" s="10">
        <f>92.7895 * CHOOSE(CONTROL!$C$9, $D$9, 100%, $F$9) + CHOOSE(CONTROL!$C$27, 0.0021, 0)</f>
        <v>92.791600000000003</v>
      </c>
      <c r="E946" s="10">
        <f>92.6528 * CHOOSE(CONTROL!$C$9, $D$9, 100%, $F$9) + CHOOSE(CONTROL!$C$27, 0.0021, 0)</f>
        <v>92.654899999999998</v>
      </c>
      <c r="F946" s="10">
        <f>92.6528 * CHOOSE(CONTROL!$C$9, $D$9, 100%, $F$9) + CHOOSE(CONTROL!$C$27, 0.0021, 0)</f>
        <v>92.654899999999998</v>
      </c>
      <c r="G946" s="10">
        <f>92.9242 * CHOOSE(CONTROL!$C$9, $D$9, 100%, $F$9) + CHOOSE(CONTROL!$C$27, 0.0021, 0)</f>
        <v>92.926299999999998</v>
      </c>
      <c r="H946" s="10">
        <f>92.7895 * CHOOSE(CONTROL!$C$9, $D$9, 100%, $F$9) + CHOOSE(CONTROL!$C$27, 0.0021, 0)</f>
        <v>92.791600000000003</v>
      </c>
      <c r="I946" s="10">
        <f>92.7895 * CHOOSE(CONTROL!$C$9, $D$9, 100%, $F$9) + CHOOSE(CONTROL!$C$27, 0.0021, 0)</f>
        <v>92.791600000000003</v>
      </c>
      <c r="J946" s="10">
        <f>92.7895 * CHOOSE(CONTROL!$C$9, $D$9, 100%, $F$9) + CHOOSE(CONTROL!$C$27, 0.0021, 0)</f>
        <v>92.791600000000003</v>
      </c>
      <c r="K946" s="10">
        <f>92.7895 * CHOOSE(CONTROL!$C$9, $D$9, 100%, $F$9) + CHOOSE(CONTROL!$C$27, 0.0021, 0)</f>
        <v>92.791600000000003</v>
      </c>
      <c r="L946" s="10"/>
    </row>
    <row r="947" spans="1:12" ht="15.75" x14ac:dyDescent="0.25">
      <c r="A947" s="13">
        <v>70128</v>
      </c>
      <c r="B947" s="10">
        <f>91.4388 * CHOOSE(CONTROL!$C$9, $D$9, 100%, $F$9) + CHOOSE(CONTROL!$C$27, 0.0021, 0)</f>
        <v>91.440899999999999</v>
      </c>
      <c r="C947" s="10">
        <f>91.0066 * CHOOSE(CONTROL!$C$9, $D$9, 100%, $F$9) + CHOOSE(CONTROL!$C$27, 0.0021, 0)</f>
        <v>91.008700000000005</v>
      </c>
      <c r="D947" s="10">
        <f>91.0066 * CHOOSE(CONTROL!$C$9, $D$9, 100%, $F$9) + CHOOSE(CONTROL!$C$27, 0.0021, 0)</f>
        <v>91.008700000000005</v>
      </c>
      <c r="E947" s="10">
        <f>90.8699 * CHOOSE(CONTROL!$C$9, $D$9, 100%, $F$9) + CHOOSE(CONTROL!$C$27, 0.0021, 0)</f>
        <v>90.872</v>
      </c>
      <c r="F947" s="10">
        <f>90.8699 * CHOOSE(CONTROL!$C$9, $D$9, 100%, $F$9) + CHOOSE(CONTROL!$C$27, 0.0021, 0)</f>
        <v>90.872</v>
      </c>
      <c r="G947" s="10">
        <f>91.1413 * CHOOSE(CONTROL!$C$9, $D$9, 100%, $F$9) + CHOOSE(CONTROL!$C$27, 0.0021, 0)</f>
        <v>91.1434</v>
      </c>
      <c r="H947" s="10">
        <f>91.0066 * CHOOSE(CONTROL!$C$9, $D$9, 100%, $F$9) + CHOOSE(CONTROL!$C$27, 0.0021, 0)</f>
        <v>91.008700000000005</v>
      </c>
      <c r="I947" s="10">
        <f>91.0066 * CHOOSE(CONTROL!$C$9, $D$9, 100%, $F$9) + CHOOSE(CONTROL!$C$27, 0.0021, 0)</f>
        <v>91.008700000000005</v>
      </c>
      <c r="J947" s="10">
        <f>91.0066 * CHOOSE(CONTROL!$C$9, $D$9, 100%, $F$9) + CHOOSE(CONTROL!$C$27, 0.0021, 0)</f>
        <v>91.008700000000005</v>
      </c>
      <c r="K947" s="10">
        <f>91.0066 * CHOOSE(CONTROL!$C$9, $D$9, 100%, $F$9) + CHOOSE(CONTROL!$C$27, 0.0021, 0)</f>
        <v>91.008700000000005</v>
      </c>
      <c r="L947" s="10"/>
    </row>
    <row r="948" spans="1:12" ht="15.75" x14ac:dyDescent="0.25">
      <c r="A948" s="13">
        <v>70159</v>
      </c>
      <c r="B948" s="10">
        <f>90.0738 * CHOOSE(CONTROL!$C$9, $D$9, 100%, $F$9) + CHOOSE(CONTROL!$C$27, 0.0021, 0)</f>
        <v>90.075900000000004</v>
      </c>
      <c r="C948" s="10">
        <f>89.6415 * CHOOSE(CONTROL!$C$9, $D$9, 100%, $F$9) + CHOOSE(CONTROL!$C$27, 0.0021, 0)</f>
        <v>89.643599999999992</v>
      </c>
      <c r="D948" s="10">
        <f>89.6415 * CHOOSE(CONTROL!$C$9, $D$9, 100%, $F$9) + CHOOSE(CONTROL!$C$27, 0.0021, 0)</f>
        <v>89.643599999999992</v>
      </c>
      <c r="E948" s="10">
        <f>89.5049 * CHOOSE(CONTROL!$C$9, $D$9, 100%, $F$9) + CHOOSE(CONTROL!$C$27, 0.0021, 0)</f>
        <v>89.507000000000005</v>
      </c>
      <c r="F948" s="10">
        <f>89.5049 * CHOOSE(CONTROL!$C$9, $D$9, 100%, $F$9) + CHOOSE(CONTROL!$C$27, 0.0021, 0)</f>
        <v>89.507000000000005</v>
      </c>
      <c r="G948" s="10">
        <f>89.7762 * CHOOSE(CONTROL!$C$9, $D$9, 100%, $F$9) + CHOOSE(CONTROL!$C$27, 0.0021, 0)</f>
        <v>89.778300000000002</v>
      </c>
      <c r="H948" s="10">
        <f>89.6415 * CHOOSE(CONTROL!$C$9, $D$9, 100%, $F$9) + CHOOSE(CONTROL!$C$27, 0.0021, 0)</f>
        <v>89.643599999999992</v>
      </c>
      <c r="I948" s="10">
        <f>89.6415 * CHOOSE(CONTROL!$C$9, $D$9, 100%, $F$9) + CHOOSE(CONTROL!$C$27, 0.0021, 0)</f>
        <v>89.643599999999992</v>
      </c>
      <c r="J948" s="10">
        <f>89.6415 * CHOOSE(CONTROL!$C$9, $D$9, 100%, $F$9) + CHOOSE(CONTROL!$C$27, 0.0021, 0)</f>
        <v>89.643599999999992</v>
      </c>
      <c r="K948" s="10">
        <f>89.6415 * CHOOSE(CONTROL!$C$9, $D$9, 100%, $F$9) + CHOOSE(CONTROL!$C$27, 0.0021, 0)</f>
        <v>89.643599999999992</v>
      </c>
      <c r="L948" s="10"/>
    </row>
    <row r="949" spans="1:12" ht="15.75" x14ac:dyDescent="0.25">
      <c r="A949" s="13">
        <v>70188</v>
      </c>
      <c r="B949" s="10">
        <f>87.5908 * CHOOSE(CONTROL!$C$9, $D$9, 100%, $F$9) + CHOOSE(CONTROL!$C$27, 0.0021, 0)</f>
        <v>87.5929</v>
      </c>
      <c r="C949" s="10">
        <f>87.1586 * CHOOSE(CONTROL!$C$9, $D$9, 100%, $F$9) + CHOOSE(CONTROL!$C$27, 0.0021, 0)</f>
        <v>87.160700000000006</v>
      </c>
      <c r="D949" s="10">
        <f>87.1586 * CHOOSE(CONTROL!$C$9, $D$9, 100%, $F$9) + CHOOSE(CONTROL!$C$27, 0.0021, 0)</f>
        <v>87.160700000000006</v>
      </c>
      <c r="E949" s="10">
        <f>87.0219 * CHOOSE(CONTROL!$C$9, $D$9, 100%, $F$9) + CHOOSE(CONTROL!$C$27, 0.0021, 0)</f>
        <v>87.024000000000001</v>
      </c>
      <c r="F949" s="10">
        <f>87.0219 * CHOOSE(CONTROL!$C$9, $D$9, 100%, $F$9) + CHOOSE(CONTROL!$C$27, 0.0021, 0)</f>
        <v>87.024000000000001</v>
      </c>
      <c r="G949" s="10">
        <f>87.2933 * CHOOSE(CONTROL!$C$9, $D$9, 100%, $F$9) + CHOOSE(CONTROL!$C$27, 0.0021, 0)</f>
        <v>87.295400000000001</v>
      </c>
      <c r="H949" s="10">
        <f>87.1586 * CHOOSE(CONTROL!$C$9, $D$9, 100%, $F$9) + CHOOSE(CONTROL!$C$27, 0.0021, 0)</f>
        <v>87.160700000000006</v>
      </c>
      <c r="I949" s="10">
        <f>87.1586 * CHOOSE(CONTROL!$C$9, $D$9, 100%, $F$9) + CHOOSE(CONTROL!$C$27, 0.0021, 0)</f>
        <v>87.160700000000006</v>
      </c>
      <c r="J949" s="10">
        <f>87.1586 * CHOOSE(CONTROL!$C$9, $D$9, 100%, $F$9) + CHOOSE(CONTROL!$C$27, 0.0021, 0)</f>
        <v>87.160700000000006</v>
      </c>
      <c r="K949" s="10">
        <f>87.1586 * CHOOSE(CONTROL!$C$9, $D$9, 100%, $F$9) + CHOOSE(CONTROL!$C$27, 0.0021, 0)</f>
        <v>87.160700000000006</v>
      </c>
      <c r="L949" s="10"/>
    </row>
    <row r="950" spans="1:12" ht="15.75" x14ac:dyDescent="0.25">
      <c r="A950" s="13">
        <v>70219</v>
      </c>
      <c r="B950" s="10">
        <f>86.5659 * CHOOSE(CONTROL!$C$9, $D$9, 100%, $F$9) + CHOOSE(CONTROL!$C$27, 0.0021, 0)</f>
        <v>86.567999999999998</v>
      </c>
      <c r="C950" s="10">
        <f>86.1336 * CHOOSE(CONTROL!$C$9, $D$9, 100%, $F$9) + CHOOSE(CONTROL!$C$27, 0.0021, 0)</f>
        <v>86.1357</v>
      </c>
      <c r="D950" s="10">
        <f>86.1336 * CHOOSE(CONTROL!$C$9, $D$9, 100%, $F$9) + CHOOSE(CONTROL!$C$27, 0.0021, 0)</f>
        <v>86.1357</v>
      </c>
      <c r="E950" s="10">
        <f>85.997 * CHOOSE(CONTROL!$C$9, $D$9, 100%, $F$9) + CHOOSE(CONTROL!$C$27, 0.0021, 0)</f>
        <v>85.999099999999999</v>
      </c>
      <c r="F950" s="10">
        <f>85.997 * CHOOSE(CONTROL!$C$9, $D$9, 100%, $F$9) + CHOOSE(CONTROL!$C$27, 0.0021, 0)</f>
        <v>85.999099999999999</v>
      </c>
      <c r="G950" s="10">
        <f>86.2684 * CHOOSE(CONTROL!$C$9, $D$9, 100%, $F$9) + CHOOSE(CONTROL!$C$27, 0.0021, 0)</f>
        <v>86.270499999999998</v>
      </c>
      <c r="H950" s="10">
        <f>86.1336 * CHOOSE(CONTROL!$C$9, $D$9, 100%, $F$9) + CHOOSE(CONTROL!$C$27, 0.0021, 0)</f>
        <v>86.1357</v>
      </c>
      <c r="I950" s="10">
        <f>86.1336 * CHOOSE(CONTROL!$C$9, $D$9, 100%, $F$9) + CHOOSE(CONTROL!$C$27, 0.0021, 0)</f>
        <v>86.1357</v>
      </c>
      <c r="J950" s="10">
        <f>86.1336 * CHOOSE(CONTROL!$C$9, $D$9, 100%, $F$9) + CHOOSE(CONTROL!$C$27, 0.0021, 0)</f>
        <v>86.1357</v>
      </c>
      <c r="K950" s="10">
        <f>86.1336 * CHOOSE(CONTROL!$C$9, $D$9, 100%, $F$9) + CHOOSE(CONTROL!$C$27, 0.0021, 0)</f>
        <v>86.1357</v>
      </c>
      <c r="L950" s="10"/>
    </row>
    <row r="951" spans="1:12" ht="15.75" x14ac:dyDescent="0.25">
      <c r="A951" s="13">
        <v>70249</v>
      </c>
      <c r="B951" s="10">
        <f>85.3421 * CHOOSE(CONTROL!$C$9, $D$9, 100%, $F$9) + CHOOSE(CONTROL!$C$27, 0.0021, 0)</f>
        <v>85.344200000000001</v>
      </c>
      <c r="C951" s="10">
        <f>84.9098 * CHOOSE(CONTROL!$C$9, $D$9, 100%, $F$9) + CHOOSE(CONTROL!$C$27, 0.0021, 0)</f>
        <v>84.911900000000003</v>
      </c>
      <c r="D951" s="10">
        <f>84.9098 * CHOOSE(CONTROL!$C$9, $D$9, 100%, $F$9) + CHOOSE(CONTROL!$C$27, 0.0021, 0)</f>
        <v>84.911900000000003</v>
      </c>
      <c r="E951" s="10">
        <f>84.7732 * CHOOSE(CONTROL!$C$9, $D$9, 100%, $F$9) + CHOOSE(CONTROL!$C$27, 0.0021, 0)</f>
        <v>84.775300000000001</v>
      </c>
      <c r="F951" s="10">
        <f>84.7732 * CHOOSE(CONTROL!$C$9, $D$9, 100%, $F$9) + CHOOSE(CONTROL!$C$27, 0.0021, 0)</f>
        <v>84.775300000000001</v>
      </c>
      <c r="G951" s="10">
        <f>85.0445 * CHOOSE(CONTROL!$C$9, $D$9, 100%, $F$9) + CHOOSE(CONTROL!$C$27, 0.0021, 0)</f>
        <v>85.046599999999998</v>
      </c>
      <c r="H951" s="10">
        <f>84.9098 * CHOOSE(CONTROL!$C$9, $D$9, 100%, $F$9) + CHOOSE(CONTROL!$C$27, 0.0021, 0)</f>
        <v>84.911900000000003</v>
      </c>
      <c r="I951" s="10">
        <f>84.9098 * CHOOSE(CONTROL!$C$9, $D$9, 100%, $F$9) + CHOOSE(CONTROL!$C$27, 0.0021, 0)</f>
        <v>84.911900000000003</v>
      </c>
      <c r="J951" s="10">
        <f>84.9098 * CHOOSE(CONTROL!$C$9, $D$9, 100%, $F$9) + CHOOSE(CONTROL!$C$27, 0.0021, 0)</f>
        <v>84.911900000000003</v>
      </c>
      <c r="K951" s="10">
        <f>84.9098 * CHOOSE(CONTROL!$C$9, $D$9, 100%, $F$9) + CHOOSE(CONTROL!$C$27, 0.0021, 0)</f>
        <v>84.911900000000003</v>
      </c>
      <c r="L951" s="10"/>
    </row>
    <row r="952" spans="1:12" ht="15.75" x14ac:dyDescent="0.25">
      <c r="A952" s="13">
        <v>70280</v>
      </c>
      <c r="B952" s="10">
        <f>87.0862 * CHOOSE(CONTROL!$C$9, $D$9, 100%, $F$9) + CHOOSE(CONTROL!$C$27, 0.0021, 0)</f>
        <v>87.088300000000004</v>
      </c>
      <c r="C952" s="10">
        <f>86.6539 * CHOOSE(CONTROL!$C$9, $D$9, 100%, $F$9) + CHOOSE(CONTROL!$C$27, 0.0021, 0)</f>
        <v>86.655999999999992</v>
      </c>
      <c r="D952" s="10">
        <f>86.6539 * CHOOSE(CONTROL!$C$9, $D$9, 100%, $F$9) + CHOOSE(CONTROL!$C$27, 0.0021, 0)</f>
        <v>86.655999999999992</v>
      </c>
      <c r="E952" s="10">
        <f>86.5173 * CHOOSE(CONTROL!$C$9, $D$9, 100%, $F$9) + CHOOSE(CONTROL!$C$27, 0.0021, 0)</f>
        <v>86.519400000000005</v>
      </c>
      <c r="F952" s="10">
        <f>86.5173 * CHOOSE(CONTROL!$C$9, $D$9, 100%, $F$9) + CHOOSE(CONTROL!$C$27, 0.0021, 0)</f>
        <v>86.519400000000005</v>
      </c>
      <c r="G952" s="10">
        <f>86.7886 * CHOOSE(CONTROL!$C$9, $D$9, 100%, $F$9) + CHOOSE(CONTROL!$C$27, 0.0021, 0)</f>
        <v>86.790700000000001</v>
      </c>
      <c r="H952" s="10">
        <f>86.6539 * CHOOSE(CONTROL!$C$9, $D$9, 100%, $F$9) + CHOOSE(CONTROL!$C$27, 0.0021, 0)</f>
        <v>86.655999999999992</v>
      </c>
      <c r="I952" s="10">
        <f>86.6539 * CHOOSE(CONTROL!$C$9, $D$9, 100%, $F$9) + CHOOSE(CONTROL!$C$27, 0.0021, 0)</f>
        <v>86.655999999999992</v>
      </c>
      <c r="J952" s="10">
        <f>86.6539 * CHOOSE(CONTROL!$C$9, $D$9, 100%, $F$9) + CHOOSE(CONTROL!$C$27, 0.0021, 0)</f>
        <v>86.655999999999992</v>
      </c>
      <c r="K952" s="10">
        <f>86.6539 * CHOOSE(CONTROL!$C$9, $D$9, 100%, $F$9) + CHOOSE(CONTROL!$C$27, 0.0021, 0)</f>
        <v>86.655999999999992</v>
      </c>
      <c r="L952" s="10"/>
    </row>
    <row r="953" spans="1:12" ht="15.75" x14ac:dyDescent="0.25">
      <c r="A953" s="13">
        <v>70310</v>
      </c>
      <c r="B953" s="10">
        <f>88.1308 * CHOOSE(CONTROL!$C$9, $D$9, 100%, $F$9) + CHOOSE(CONTROL!$C$27, 0.0021, 0)</f>
        <v>88.132899999999992</v>
      </c>
      <c r="C953" s="10">
        <f>87.6985 * CHOOSE(CONTROL!$C$9, $D$9, 100%, $F$9) + CHOOSE(CONTROL!$C$27, 0.0021, 0)</f>
        <v>87.700599999999994</v>
      </c>
      <c r="D953" s="10">
        <f>87.6985 * CHOOSE(CONTROL!$C$9, $D$9, 100%, $F$9) + CHOOSE(CONTROL!$C$27, 0.0021, 0)</f>
        <v>87.700599999999994</v>
      </c>
      <c r="E953" s="10">
        <f>87.5619 * CHOOSE(CONTROL!$C$9, $D$9, 100%, $F$9) + CHOOSE(CONTROL!$C$27, 0.0021, 0)</f>
        <v>87.563999999999993</v>
      </c>
      <c r="F953" s="10">
        <f>87.5619 * CHOOSE(CONTROL!$C$9, $D$9, 100%, $F$9) + CHOOSE(CONTROL!$C$27, 0.0021, 0)</f>
        <v>87.563999999999993</v>
      </c>
      <c r="G953" s="10">
        <f>87.8333 * CHOOSE(CONTROL!$C$9, $D$9, 100%, $F$9) + CHOOSE(CONTROL!$C$27, 0.0021, 0)</f>
        <v>87.835399999999993</v>
      </c>
      <c r="H953" s="10">
        <f>87.6985 * CHOOSE(CONTROL!$C$9, $D$9, 100%, $F$9) + CHOOSE(CONTROL!$C$27, 0.0021, 0)</f>
        <v>87.700599999999994</v>
      </c>
      <c r="I953" s="10">
        <f>87.6985 * CHOOSE(CONTROL!$C$9, $D$9, 100%, $F$9) + CHOOSE(CONTROL!$C$27, 0.0021, 0)</f>
        <v>87.700599999999994</v>
      </c>
      <c r="J953" s="10">
        <f>87.6985 * CHOOSE(CONTROL!$C$9, $D$9, 100%, $F$9) + CHOOSE(CONTROL!$C$27, 0.0021, 0)</f>
        <v>87.700599999999994</v>
      </c>
      <c r="K953" s="10">
        <f>87.6985 * CHOOSE(CONTROL!$C$9, $D$9, 100%, $F$9) + CHOOSE(CONTROL!$C$27, 0.0021, 0)</f>
        <v>87.700599999999994</v>
      </c>
      <c r="L953" s="10"/>
    </row>
    <row r="954" spans="1:12" ht="15.75" x14ac:dyDescent="0.25">
      <c r="A954" s="13">
        <v>70341</v>
      </c>
      <c r="B954" s="10">
        <f>89.8541 * CHOOSE(CONTROL!$C$9, $D$9, 100%, $F$9) + CHOOSE(CONTROL!$C$27, 0.0021, 0)</f>
        <v>89.856200000000001</v>
      </c>
      <c r="C954" s="10">
        <f>89.4218 * CHOOSE(CONTROL!$C$9, $D$9, 100%, $F$9) + CHOOSE(CONTROL!$C$27, 0.0021, 0)</f>
        <v>89.423900000000003</v>
      </c>
      <c r="D954" s="10">
        <f>89.4218 * CHOOSE(CONTROL!$C$9, $D$9, 100%, $F$9) + CHOOSE(CONTROL!$C$27, 0.0021, 0)</f>
        <v>89.423900000000003</v>
      </c>
      <c r="E954" s="10">
        <f>89.2851 * CHOOSE(CONTROL!$C$9, $D$9, 100%, $F$9) + CHOOSE(CONTROL!$C$27, 0.0021, 0)</f>
        <v>89.287199999999999</v>
      </c>
      <c r="F954" s="10">
        <f>89.2851 * CHOOSE(CONTROL!$C$9, $D$9, 100%, $F$9) + CHOOSE(CONTROL!$C$27, 0.0021, 0)</f>
        <v>89.287199999999999</v>
      </c>
      <c r="G954" s="10">
        <f>89.5565 * CHOOSE(CONTROL!$C$9, $D$9, 100%, $F$9) + CHOOSE(CONTROL!$C$27, 0.0021, 0)</f>
        <v>89.558599999999998</v>
      </c>
      <c r="H954" s="10">
        <f>89.4218 * CHOOSE(CONTROL!$C$9, $D$9, 100%, $F$9) + CHOOSE(CONTROL!$C$27, 0.0021, 0)</f>
        <v>89.423900000000003</v>
      </c>
      <c r="I954" s="10">
        <f>89.4218 * CHOOSE(CONTROL!$C$9, $D$9, 100%, $F$9) + CHOOSE(CONTROL!$C$27, 0.0021, 0)</f>
        <v>89.423900000000003</v>
      </c>
      <c r="J954" s="10">
        <f>89.4218 * CHOOSE(CONTROL!$C$9, $D$9, 100%, $F$9) + CHOOSE(CONTROL!$C$27, 0.0021, 0)</f>
        <v>89.423900000000003</v>
      </c>
      <c r="K954" s="10">
        <f>89.4218 * CHOOSE(CONTROL!$C$9, $D$9, 100%, $F$9) + CHOOSE(CONTROL!$C$27, 0.0021, 0)</f>
        <v>89.423900000000003</v>
      </c>
      <c r="L954" s="10"/>
    </row>
    <row r="955" spans="1:12" ht="15.75" x14ac:dyDescent="0.25">
      <c r="A955" s="13">
        <v>70372</v>
      </c>
      <c r="B955" s="10">
        <f>90.38 * CHOOSE(CONTROL!$C$9, $D$9, 100%, $F$9) + CHOOSE(CONTROL!$C$27, 0.0021, 0)</f>
        <v>90.382099999999994</v>
      </c>
      <c r="C955" s="10">
        <f>89.9478 * CHOOSE(CONTROL!$C$9, $D$9, 100%, $F$9) + CHOOSE(CONTROL!$C$27, 0.0021, 0)</f>
        <v>89.9499</v>
      </c>
      <c r="D955" s="10">
        <f>89.9478 * CHOOSE(CONTROL!$C$9, $D$9, 100%, $F$9) + CHOOSE(CONTROL!$C$27, 0.0021, 0)</f>
        <v>89.9499</v>
      </c>
      <c r="E955" s="10">
        <f>89.8111 * CHOOSE(CONTROL!$C$9, $D$9, 100%, $F$9) + CHOOSE(CONTROL!$C$27, 0.0021, 0)</f>
        <v>89.813199999999995</v>
      </c>
      <c r="F955" s="10">
        <f>89.8111 * CHOOSE(CONTROL!$C$9, $D$9, 100%, $F$9) + CHOOSE(CONTROL!$C$27, 0.0021, 0)</f>
        <v>89.813199999999995</v>
      </c>
      <c r="G955" s="10">
        <f>90.0825 * CHOOSE(CONTROL!$C$9, $D$9, 100%, $F$9) + CHOOSE(CONTROL!$C$27, 0.0021, 0)</f>
        <v>90.084599999999995</v>
      </c>
      <c r="H955" s="10">
        <f>89.9478 * CHOOSE(CONTROL!$C$9, $D$9, 100%, $F$9) + CHOOSE(CONTROL!$C$27, 0.0021, 0)</f>
        <v>89.9499</v>
      </c>
      <c r="I955" s="10">
        <f>89.9478 * CHOOSE(CONTROL!$C$9, $D$9, 100%, $F$9) + CHOOSE(CONTROL!$C$27, 0.0021, 0)</f>
        <v>89.9499</v>
      </c>
      <c r="J955" s="10">
        <f>89.9478 * CHOOSE(CONTROL!$C$9, $D$9, 100%, $F$9) + CHOOSE(CONTROL!$C$27, 0.0021, 0)</f>
        <v>89.9499</v>
      </c>
      <c r="K955" s="10">
        <f>89.9478 * CHOOSE(CONTROL!$C$9, $D$9, 100%, $F$9) + CHOOSE(CONTROL!$C$27, 0.0021, 0)</f>
        <v>89.9499</v>
      </c>
      <c r="L955" s="10"/>
    </row>
    <row r="956" spans="1:12" ht="15.75" x14ac:dyDescent="0.25">
      <c r="A956" s="13">
        <v>70402</v>
      </c>
      <c r="B956" s="10">
        <f>92.1713 * CHOOSE(CONTROL!$C$9, $D$9, 100%, $F$9) + CHOOSE(CONTROL!$C$27, 0.0021, 0)</f>
        <v>92.173400000000001</v>
      </c>
      <c r="C956" s="10">
        <f>91.7391 * CHOOSE(CONTROL!$C$9, $D$9, 100%, $F$9) + CHOOSE(CONTROL!$C$27, 0.0021, 0)</f>
        <v>91.741199999999992</v>
      </c>
      <c r="D956" s="10">
        <f>91.7391 * CHOOSE(CONTROL!$C$9, $D$9, 100%, $F$9) + CHOOSE(CONTROL!$C$27, 0.0021, 0)</f>
        <v>91.741199999999992</v>
      </c>
      <c r="E956" s="10">
        <f>91.6024 * CHOOSE(CONTROL!$C$9, $D$9, 100%, $F$9) + CHOOSE(CONTROL!$C$27, 0.0021, 0)</f>
        <v>91.604500000000002</v>
      </c>
      <c r="F956" s="10">
        <f>91.6024 * CHOOSE(CONTROL!$C$9, $D$9, 100%, $F$9) + CHOOSE(CONTROL!$C$27, 0.0021, 0)</f>
        <v>91.604500000000002</v>
      </c>
      <c r="G956" s="10">
        <f>91.8738 * CHOOSE(CONTROL!$C$9, $D$9, 100%, $F$9) + CHOOSE(CONTROL!$C$27, 0.0021, 0)</f>
        <v>91.875900000000001</v>
      </c>
      <c r="H956" s="10">
        <f>91.7391 * CHOOSE(CONTROL!$C$9, $D$9, 100%, $F$9) + CHOOSE(CONTROL!$C$27, 0.0021, 0)</f>
        <v>91.741199999999992</v>
      </c>
      <c r="I956" s="10">
        <f>91.7391 * CHOOSE(CONTROL!$C$9, $D$9, 100%, $F$9) + CHOOSE(CONTROL!$C$27, 0.0021, 0)</f>
        <v>91.741199999999992</v>
      </c>
      <c r="J956" s="10">
        <f>91.7391 * CHOOSE(CONTROL!$C$9, $D$9, 100%, $F$9) + CHOOSE(CONTROL!$C$27, 0.0021, 0)</f>
        <v>91.741199999999992</v>
      </c>
      <c r="K956" s="10">
        <f>91.7391 * CHOOSE(CONTROL!$C$9, $D$9, 100%, $F$9) + CHOOSE(CONTROL!$C$27, 0.0021, 0)</f>
        <v>91.741199999999992</v>
      </c>
      <c r="L956" s="10"/>
    </row>
    <row r="957" spans="1:12" ht="15.75" x14ac:dyDescent="0.25">
      <c r="A957" s="13">
        <v>70433</v>
      </c>
      <c r="B957" s="10">
        <f>94.4387 * CHOOSE(CONTROL!$C$9, $D$9, 100%, $F$9) + CHOOSE(CONTROL!$C$27, 0.0021, 0)</f>
        <v>94.440799999999996</v>
      </c>
      <c r="C957" s="10">
        <f>94.0065 * CHOOSE(CONTROL!$C$9, $D$9, 100%, $F$9) + CHOOSE(CONTROL!$C$27, 0.0021, 0)</f>
        <v>94.008600000000001</v>
      </c>
      <c r="D957" s="10">
        <f>94.0065 * CHOOSE(CONTROL!$C$9, $D$9, 100%, $F$9) + CHOOSE(CONTROL!$C$27, 0.0021, 0)</f>
        <v>94.008600000000001</v>
      </c>
      <c r="E957" s="10">
        <f>93.8698 * CHOOSE(CONTROL!$C$9, $D$9, 100%, $F$9) + CHOOSE(CONTROL!$C$27, 0.0021, 0)</f>
        <v>93.871899999999997</v>
      </c>
      <c r="F957" s="10">
        <f>93.8698 * CHOOSE(CONTROL!$C$9, $D$9, 100%, $F$9) + CHOOSE(CONTROL!$C$27, 0.0021, 0)</f>
        <v>93.871899999999997</v>
      </c>
      <c r="G957" s="10">
        <f>94.1412 * CHOOSE(CONTROL!$C$9, $D$9, 100%, $F$9) + CHOOSE(CONTROL!$C$27, 0.0021, 0)</f>
        <v>94.143299999999996</v>
      </c>
      <c r="H957" s="10">
        <f>94.0065 * CHOOSE(CONTROL!$C$9, $D$9, 100%, $F$9) + CHOOSE(CONTROL!$C$27, 0.0021, 0)</f>
        <v>94.008600000000001</v>
      </c>
      <c r="I957" s="10">
        <f>94.0065 * CHOOSE(CONTROL!$C$9, $D$9, 100%, $F$9) + CHOOSE(CONTROL!$C$27, 0.0021, 0)</f>
        <v>94.008600000000001</v>
      </c>
      <c r="J957" s="10">
        <f>94.0065 * CHOOSE(CONTROL!$C$9, $D$9, 100%, $F$9) + CHOOSE(CONTROL!$C$27, 0.0021, 0)</f>
        <v>94.008600000000001</v>
      </c>
      <c r="K957" s="10">
        <f>94.0065 * CHOOSE(CONTROL!$C$9, $D$9, 100%, $F$9) + CHOOSE(CONTROL!$C$27, 0.0021, 0)</f>
        <v>94.008600000000001</v>
      </c>
      <c r="L957" s="10"/>
    </row>
    <row r="958" spans="1:12" ht="15.75" x14ac:dyDescent="0.25">
      <c r="A958" s="13">
        <v>70463</v>
      </c>
      <c r="B958" s="10">
        <f>94.6516 * CHOOSE(CONTROL!$C$9, $D$9, 100%, $F$9) + CHOOSE(CONTROL!$C$27, 0.0021, 0)</f>
        <v>94.653700000000001</v>
      </c>
      <c r="C958" s="10">
        <f>94.2193 * CHOOSE(CONTROL!$C$9, $D$9, 100%, $F$9) + CHOOSE(CONTROL!$C$27, 0.0021, 0)</f>
        <v>94.221400000000003</v>
      </c>
      <c r="D958" s="10">
        <f>94.2193 * CHOOSE(CONTROL!$C$9, $D$9, 100%, $F$9) + CHOOSE(CONTROL!$C$27, 0.0021, 0)</f>
        <v>94.221400000000003</v>
      </c>
      <c r="E958" s="10">
        <f>94.0827 * CHOOSE(CONTROL!$C$9, $D$9, 100%, $F$9) + CHOOSE(CONTROL!$C$27, 0.0021, 0)</f>
        <v>94.084800000000001</v>
      </c>
      <c r="F958" s="10">
        <f>94.0827 * CHOOSE(CONTROL!$C$9, $D$9, 100%, $F$9) + CHOOSE(CONTROL!$C$27, 0.0021, 0)</f>
        <v>94.084800000000001</v>
      </c>
      <c r="G958" s="10">
        <f>94.3541 * CHOOSE(CONTROL!$C$9, $D$9, 100%, $F$9) + CHOOSE(CONTROL!$C$27, 0.0021, 0)</f>
        <v>94.356200000000001</v>
      </c>
      <c r="H958" s="10">
        <f>94.2193 * CHOOSE(CONTROL!$C$9, $D$9, 100%, $F$9) + CHOOSE(CONTROL!$C$27, 0.0021, 0)</f>
        <v>94.221400000000003</v>
      </c>
      <c r="I958" s="10">
        <f>94.2193 * CHOOSE(CONTROL!$C$9, $D$9, 100%, $F$9) + CHOOSE(CONTROL!$C$27, 0.0021, 0)</f>
        <v>94.221400000000003</v>
      </c>
      <c r="J958" s="10">
        <f>94.2193 * CHOOSE(CONTROL!$C$9, $D$9, 100%, $F$9) + CHOOSE(CONTROL!$C$27, 0.0021, 0)</f>
        <v>94.221400000000003</v>
      </c>
      <c r="K958" s="10">
        <f>94.2193 * CHOOSE(CONTROL!$C$9, $D$9, 100%, $F$9) + CHOOSE(CONTROL!$C$27, 0.0021, 0)</f>
        <v>94.221400000000003</v>
      </c>
      <c r="L958" s="10"/>
    </row>
    <row r="959" spans="1:12" ht="15.75" x14ac:dyDescent="0.25">
      <c r="A959" s="13">
        <v>70494</v>
      </c>
      <c r="B959" s="10">
        <f>92.8406 * CHOOSE(CONTROL!$C$9, $D$9, 100%, $F$9) + CHOOSE(CONTROL!$C$27, 0.0021, 0)</f>
        <v>92.842699999999994</v>
      </c>
      <c r="C959" s="10">
        <f>92.4084 * CHOOSE(CONTROL!$C$9, $D$9, 100%, $F$9) + CHOOSE(CONTROL!$C$27, 0.0021, 0)</f>
        <v>92.410499999999999</v>
      </c>
      <c r="D959" s="10">
        <f>92.4084 * CHOOSE(CONTROL!$C$9, $D$9, 100%, $F$9) + CHOOSE(CONTROL!$C$27, 0.0021, 0)</f>
        <v>92.410499999999999</v>
      </c>
      <c r="E959" s="10">
        <f>92.2717 * CHOOSE(CONTROL!$C$9, $D$9, 100%, $F$9) + CHOOSE(CONTROL!$C$27, 0.0021, 0)</f>
        <v>92.273799999999994</v>
      </c>
      <c r="F959" s="10">
        <f>92.2717 * CHOOSE(CONTROL!$C$9, $D$9, 100%, $F$9) + CHOOSE(CONTROL!$C$27, 0.0021, 0)</f>
        <v>92.273799999999994</v>
      </c>
      <c r="G959" s="10">
        <f>92.5431 * CHOOSE(CONTROL!$C$9, $D$9, 100%, $F$9) + CHOOSE(CONTROL!$C$27, 0.0021, 0)</f>
        <v>92.545199999999994</v>
      </c>
      <c r="H959" s="10">
        <f>92.4084 * CHOOSE(CONTROL!$C$9, $D$9, 100%, $F$9) + CHOOSE(CONTROL!$C$27, 0.0021, 0)</f>
        <v>92.410499999999999</v>
      </c>
      <c r="I959" s="10">
        <f>92.4084 * CHOOSE(CONTROL!$C$9, $D$9, 100%, $F$9) + CHOOSE(CONTROL!$C$27, 0.0021, 0)</f>
        <v>92.410499999999999</v>
      </c>
      <c r="J959" s="10">
        <f>92.4084 * CHOOSE(CONTROL!$C$9, $D$9, 100%, $F$9) + CHOOSE(CONTROL!$C$27, 0.0021, 0)</f>
        <v>92.410499999999999</v>
      </c>
      <c r="K959" s="10">
        <f>92.4084 * CHOOSE(CONTROL!$C$9, $D$9, 100%, $F$9) + CHOOSE(CONTROL!$C$27, 0.0021, 0)</f>
        <v>92.410499999999999</v>
      </c>
      <c r="L959" s="10"/>
    </row>
    <row r="960" spans="1:12" ht="15.75" x14ac:dyDescent="0.25">
      <c r="A960" s="13">
        <v>70525</v>
      </c>
      <c r="B960" s="10">
        <f>91.4541 * CHOOSE(CONTROL!$C$9, $D$9, 100%, $F$9) + CHOOSE(CONTROL!$C$27, 0.0021, 0)</f>
        <v>91.456199999999995</v>
      </c>
      <c r="C960" s="10">
        <f>91.0219 * CHOOSE(CONTROL!$C$9, $D$9, 100%, $F$9) + CHOOSE(CONTROL!$C$27, 0.0021, 0)</f>
        <v>91.024000000000001</v>
      </c>
      <c r="D960" s="10">
        <f>91.0219 * CHOOSE(CONTROL!$C$9, $D$9, 100%, $F$9) + CHOOSE(CONTROL!$C$27, 0.0021, 0)</f>
        <v>91.024000000000001</v>
      </c>
      <c r="E960" s="10">
        <f>90.8852 * CHOOSE(CONTROL!$C$9, $D$9, 100%, $F$9) + CHOOSE(CONTROL!$C$27, 0.0021, 0)</f>
        <v>90.887299999999996</v>
      </c>
      <c r="F960" s="10">
        <f>90.8852 * CHOOSE(CONTROL!$C$9, $D$9, 100%, $F$9) + CHOOSE(CONTROL!$C$27, 0.0021, 0)</f>
        <v>90.887299999999996</v>
      </c>
      <c r="G960" s="10">
        <f>91.1566 * CHOOSE(CONTROL!$C$9, $D$9, 100%, $F$9) + CHOOSE(CONTROL!$C$27, 0.0021, 0)</f>
        <v>91.158699999999996</v>
      </c>
      <c r="H960" s="10">
        <f>91.0219 * CHOOSE(CONTROL!$C$9, $D$9, 100%, $F$9) + CHOOSE(CONTROL!$C$27, 0.0021, 0)</f>
        <v>91.024000000000001</v>
      </c>
      <c r="I960" s="10">
        <f>91.0219 * CHOOSE(CONTROL!$C$9, $D$9, 100%, $F$9) + CHOOSE(CONTROL!$C$27, 0.0021, 0)</f>
        <v>91.024000000000001</v>
      </c>
      <c r="J960" s="10">
        <f>91.0219 * CHOOSE(CONTROL!$C$9, $D$9, 100%, $F$9) + CHOOSE(CONTROL!$C$27, 0.0021, 0)</f>
        <v>91.024000000000001</v>
      </c>
      <c r="K960" s="10">
        <f>91.0219 * CHOOSE(CONTROL!$C$9, $D$9, 100%, $F$9) + CHOOSE(CONTROL!$C$27, 0.0021, 0)</f>
        <v>91.024000000000001</v>
      </c>
      <c r="L960" s="10"/>
    </row>
    <row r="961" spans="1:12" ht="15.75" x14ac:dyDescent="0.25">
      <c r="A961" s="13">
        <v>70553</v>
      </c>
      <c r="B961" s="10">
        <f>88.9321 * CHOOSE(CONTROL!$C$9, $D$9, 100%, $F$9) + CHOOSE(CONTROL!$C$27, 0.0021, 0)</f>
        <v>88.934200000000004</v>
      </c>
      <c r="C961" s="10">
        <f>88.4999 * CHOOSE(CONTROL!$C$9, $D$9, 100%, $F$9) + CHOOSE(CONTROL!$C$27, 0.0021, 0)</f>
        <v>88.501999999999995</v>
      </c>
      <c r="D961" s="10">
        <f>88.4999 * CHOOSE(CONTROL!$C$9, $D$9, 100%, $F$9) + CHOOSE(CONTROL!$C$27, 0.0021, 0)</f>
        <v>88.501999999999995</v>
      </c>
      <c r="E961" s="10">
        <f>88.3632 * CHOOSE(CONTROL!$C$9, $D$9, 100%, $F$9) + CHOOSE(CONTROL!$C$27, 0.0021, 0)</f>
        <v>88.365300000000005</v>
      </c>
      <c r="F961" s="10">
        <f>88.3632 * CHOOSE(CONTROL!$C$9, $D$9, 100%, $F$9) + CHOOSE(CONTROL!$C$27, 0.0021, 0)</f>
        <v>88.365300000000005</v>
      </c>
      <c r="G961" s="10">
        <f>88.6346 * CHOOSE(CONTROL!$C$9, $D$9, 100%, $F$9) + CHOOSE(CONTROL!$C$27, 0.0021, 0)</f>
        <v>88.636700000000005</v>
      </c>
      <c r="H961" s="10">
        <f>88.4999 * CHOOSE(CONTROL!$C$9, $D$9, 100%, $F$9) + CHOOSE(CONTROL!$C$27, 0.0021, 0)</f>
        <v>88.501999999999995</v>
      </c>
      <c r="I961" s="10">
        <f>88.4999 * CHOOSE(CONTROL!$C$9, $D$9, 100%, $F$9) + CHOOSE(CONTROL!$C$27, 0.0021, 0)</f>
        <v>88.501999999999995</v>
      </c>
      <c r="J961" s="10">
        <f>88.4999 * CHOOSE(CONTROL!$C$9, $D$9, 100%, $F$9) + CHOOSE(CONTROL!$C$27, 0.0021, 0)</f>
        <v>88.501999999999995</v>
      </c>
      <c r="K961" s="10">
        <f>88.4999 * CHOOSE(CONTROL!$C$9, $D$9, 100%, $F$9) + CHOOSE(CONTROL!$C$27, 0.0021, 0)</f>
        <v>88.501999999999995</v>
      </c>
      <c r="L961" s="10"/>
    </row>
    <row r="962" spans="1:12" ht="15.75" x14ac:dyDescent="0.25">
      <c r="A962" s="13">
        <v>70584</v>
      </c>
      <c r="B962" s="10">
        <f>87.8911 * CHOOSE(CONTROL!$C$9, $D$9, 100%, $F$9) + CHOOSE(CONTROL!$C$27, 0.0021, 0)</f>
        <v>87.893199999999993</v>
      </c>
      <c r="C962" s="10">
        <f>87.4588 * CHOOSE(CONTROL!$C$9, $D$9, 100%, $F$9) + CHOOSE(CONTROL!$C$27, 0.0021, 0)</f>
        <v>87.460899999999995</v>
      </c>
      <c r="D962" s="10">
        <f>87.4588 * CHOOSE(CONTROL!$C$9, $D$9, 100%, $F$9) + CHOOSE(CONTROL!$C$27, 0.0021, 0)</f>
        <v>87.460899999999995</v>
      </c>
      <c r="E962" s="10">
        <f>87.3222 * CHOOSE(CONTROL!$C$9, $D$9, 100%, $F$9) + CHOOSE(CONTROL!$C$27, 0.0021, 0)</f>
        <v>87.324299999999994</v>
      </c>
      <c r="F962" s="10">
        <f>87.3222 * CHOOSE(CONTROL!$C$9, $D$9, 100%, $F$9) + CHOOSE(CONTROL!$C$27, 0.0021, 0)</f>
        <v>87.324299999999994</v>
      </c>
      <c r="G962" s="10">
        <f>87.5936 * CHOOSE(CONTROL!$C$9, $D$9, 100%, $F$9) + CHOOSE(CONTROL!$C$27, 0.0021, 0)</f>
        <v>87.595699999999994</v>
      </c>
      <c r="H962" s="10">
        <f>87.4588 * CHOOSE(CONTROL!$C$9, $D$9, 100%, $F$9) + CHOOSE(CONTROL!$C$27, 0.0021, 0)</f>
        <v>87.460899999999995</v>
      </c>
      <c r="I962" s="10">
        <f>87.4588 * CHOOSE(CONTROL!$C$9, $D$9, 100%, $F$9) + CHOOSE(CONTROL!$C$27, 0.0021, 0)</f>
        <v>87.460899999999995</v>
      </c>
      <c r="J962" s="10">
        <f>87.4588 * CHOOSE(CONTROL!$C$9, $D$9, 100%, $F$9) + CHOOSE(CONTROL!$C$27, 0.0021, 0)</f>
        <v>87.460899999999995</v>
      </c>
      <c r="K962" s="10">
        <f>87.4588 * CHOOSE(CONTROL!$C$9, $D$9, 100%, $F$9) + CHOOSE(CONTROL!$C$27, 0.0021, 0)</f>
        <v>87.460899999999995</v>
      </c>
      <c r="L962" s="10"/>
    </row>
    <row r="963" spans="1:12" ht="15.75" x14ac:dyDescent="0.25">
      <c r="A963" s="13">
        <v>70614</v>
      </c>
      <c r="B963" s="10">
        <f>86.648 * CHOOSE(CONTROL!$C$9, $D$9, 100%, $F$9) + CHOOSE(CONTROL!$C$27, 0.0021, 0)</f>
        <v>86.650099999999995</v>
      </c>
      <c r="C963" s="10">
        <f>86.2158 * CHOOSE(CONTROL!$C$9, $D$9, 100%, $F$9) + CHOOSE(CONTROL!$C$27, 0.0021, 0)</f>
        <v>86.2179</v>
      </c>
      <c r="D963" s="10">
        <f>86.2158 * CHOOSE(CONTROL!$C$9, $D$9, 100%, $F$9) + CHOOSE(CONTROL!$C$27, 0.0021, 0)</f>
        <v>86.2179</v>
      </c>
      <c r="E963" s="10">
        <f>86.0791 * CHOOSE(CONTROL!$C$9, $D$9, 100%, $F$9) + CHOOSE(CONTROL!$C$27, 0.0021, 0)</f>
        <v>86.081199999999995</v>
      </c>
      <c r="F963" s="10">
        <f>86.0791 * CHOOSE(CONTROL!$C$9, $D$9, 100%, $F$9) + CHOOSE(CONTROL!$C$27, 0.0021, 0)</f>
        <v>86.081199999999995</v>
      </c>
      <c r="G963" s="10">
        <f>86.3505 * CHOOSE(CONTROL!$C$9, $D$9, 100%, $F$9) + CHOOSE(CONTROL!$C$27, 0.0021, 0)</f>
        <v>86.352599999999995</v>
      </c>
      <c r="H963" s="10">
        <f>86.2158 * CHOOSE(CONTROL!$C$9, $D$9, 100%, $F$9) + CHOOSE(CONTROL!$C$27, 0.0021, 0)</f>
        <v>86.2179</v>
      </c>
      <c r="I963" s="10">
        <f>86.2158 * CHOOSE(CONTROL!$C$9, $D$9, 100%, $F$9) + CHOOSE(CONTROL!$C$27, 0.0021, 0)</f>
        <v>86.2179</v>
      </c>
      <c r="J963" s="10">
        <f>86.2158 * CHOOSE(CONTROL!$C$9, $D$9, 100%, $F$9) + CHOOSE(CONTROL!$C$27, 0.0021, 0)</f>
        <v>86.2179</v>
      </c>
      <c r="K963" s="10">
        <f>86.2158 * CHOOSE(CONTROL!$C$9, $D$9, 100%, $F$9) + CHOOSE(CONTROL!$C$27, 0.0021, 0)</f>
        <v>86.2179</v>
      </c>
      <c r="L963" s="10"/>
    </row>
    <row r="964" spans="1:12" ht="15.75" x14ac:dyDescent="0.25">
      <c r="A964" s="13">
        <v>70645</v>
      </c>
      <c r="B964" s="10">
        <f>88.4195 * CHOOSE(CONTROL!$C$9, $D$9, 100%, $F$9) + CHOOSE(CONTROL!$C$27, 0.0021, 0)</f>
        <v>88.421599999999998</v>
      </c>
      <c r="C964" s="10">
        <f>87.9873 * CHOOSE(CONTROL!$C$9, $D$9, 100%, $F$9) + CHOOSE(CONTROL!$C$27, 0.0021, 0)</f>
        <v>87.989400000000003</v>
      </c>
      <c r="D964" s="10">
        <f>87.9873 * CHOOSE(CONTROL!$C$9, $D$9, 100%, $F$9) + CHOOSE(CONTROL!$C$27, 0.0021, 0)</f>
        <v>87.989400000000003</v>
      </c>
      <c r="E964" s="10">
        <f>87.8506 * CHOOSE(CONTROL!$C$9, $D$9, 100%, $F$9) + CHOOSE(CONTROL!$C$27, 0.0021, 0)</f>
        <v>87.852699999999999</v>
      </c>
      <c r="F964" s="10">
        <f>87.8506 * CHOOSE(CONTROL!$C$9, $D$9, 100%, $F$9) + CHOOSE(CONTROL!$C$27, 0.0021, 0)</f>
        <v>87.852699999999999</v>
      </c>
      <c r="G964" s="10">
        <f>88.122 * CHOOSE(CONTROL!$C$9, $D$9, 100%, $F$9) + CHOOSE(CONTROL!$C$27, 0.0021, 0)</f>
        <v>88.124099999999999</v>
      </c>
      <c r="H964" s="10">
        <f>87.9873 * CHOOSE(CONTROL!$C$9, $D$9, 100%, $F$9) + CHOOSE(CONTROL!$C$27, 0.0021, 0)</f>
        <v>87.989400000000003</v>
      </c>
      <c r="I964" s="10">
        <f>87.9873 * CHOOSE(CONTROL!$C$9, $D$9, 100%, $F$9) + CHOOSE(CONTROL!$C$27, 0.0021, 0)</f>
        <v>87.989400000000003</v>
      </c>
      <c r="J964" s="10">
        <f>87.9873 * CHOOSE(CONTROL!$C$9, $D$9, 100%, $F$9) + CHOOSE(CONTROL!$C$27, 0.0021, 0)</f>
        <v>87.989400000000003</v>
      </c>
      <c r="K964" s="10">
        <f>87.9873 * CHOOSE(CONTROL!$C$9, $D$9, 100%, $F$9) + CHOOSE(CONTROL!$C$27, 0.0021, 0)</f>
        <v>87.989400000000003</v>
      </c>
      <c r="L964" s="10"/>
    </row>
    <row r="965" spans="1:12" ht="15.75" x14ac:dyDescent="0.25">
      <c r="A965" s="13">
        <v>70675</v>
      </c>
      <c r="B965" s="10">
        <f>89.4806 * CHOOSE(CONTROL!$C$9, $D$9, 100%, $F$9) + CHOOSE(CONTROL!$C$27, 0.0021, 0)</f>
        <v>89.482699999999994</v>
      </c>
      <c r="C965" s="10">
        <f>89.0483 * CHOOSE(CONTROL!$C$9, $D$9, 100%, $F$9) + CHOOSE(CONTROL!$C$27, 0.0021, 0)</f>
        <v>89.050399999999996</v>
      </c>
      <c r="D965" s="10">
        <f>89.0483 * CHOOSE(CONTROL!$C$9, $D$9, 100%, $F$9) + CHOOSE(CONTROL!$C$27, 0.0021, 0)</f>
        <v>89.050399999999996</v>
      </c>
      <c r="E965" s="10">
        <f>88.9117 * CHOOSE(CONTROL!$C$9, $D$9, 100%, $F$9) + CHOOSE(CONTROL!$C$27, 0.0021, 0)</f>
        <v>88.913799999999995</v>
      </c>
      <c r="F965" s="10">
        <f>88.9117 * CHOOSE(CONTROL!$C$9, $D$9, 100%, $F$9) + CHOOSE(CONTROL!$C$27, 0.0021, 0)</f>
        <v>88.913799999999995</v>
      </c>
      <c r="G965" s="10">
        <f>89.1831 * CHOOSE(CONTROL!$C$9, $D$9, 100%, $F$9) + CHOOSE(CONTROL!$C$27, 0.0021, 0)</f>
        <v>89.185199999999995</v>
      </c>
      <c r="H965" s="10">
        <f>89.0483 * CHOOSE(CONTROL!$C$9, $D$9, 100%, $F$9) + CHOOSE(CONTROL!$C$27, 0.0021, 0)</f>
        <v>89.050399999999996</v>
      </c>
      <c r="I965" s="10">
        <f>89.0483 * CHOOSE(CONTROL!$C$9, $D$9, 100%, $F$9) + CHOOSE(CONTROL!$C$27, 0.0021, 0)</f>
        <v>89.050399999999996</v>
      </c>
      <c r="J965" s="10">
        <f>89.0483 * CHOOSE(CONTROL!$C$9, $D$9, 100%, $F$9) + CHOOSE(CONTROL!$C$27, 0.0021, 0)</f>
        <v>89.050399999999996</v>
      </c>
      <c r="K965" s="10">
        <f>89.0483 * CHOOSE(CONTROL!$C$9, $D$9, 100%, $F$9) + CHOOSE(CONTROL!$C$27, 0.0021, 0)</f>
        <v>89.050399999999996</v>
      </c>
      <c r="L965" s="10"/>
    </row>
    <row r="966" spans="1:12" ht="15.75" x14ac:dyDescent="0.25">
      <c r="A966" s="13">
        <v>70706</v>
      </c>
      <c r="B966" s="10">
        <f>91.231 * CHOOSE(CONTROL!$C$9, $D$9, 100%, $F$9) + CHOOSE(CONTROL!$C$27, 0.0021, 0)</f>
        <v>91.233099999999993</v>
      </c>
      <c r="C966" s="10">
        <f>90.7987 * CHOOSE(CONTROL!$C$9, $D$9, 100%, $F$9) + CHOOSE(CONTROL!$C$27, 0.0021, 0)</f>
        <v>90.800799999999995</v>
      </c>
      <c r="D966" s="10">
        <f>90.7987 * CHOOSE(CONTROL!$C$9, $D$9, 100%, $F$9) + CHOOSE(CONTROL!$C$27, 0.0021, 0)</f>
        <v>90.800799999999995</v>
      </c>
      <c r="E966" s="10">
        <f>90.662 * CHOOSE(CONTROL!$C$9, $D$9, 100%, $F$9) + CHOOSE(CONTROL!$C$27, 0.0021, 0)</f>
        <v>90.664100000000005</v>
      </c>
      <c r="F966" s="10">
        <f>90.662 * CHOOSE(CONTROL!$C$9, $D$9, 100%, $F$9) + CHOOSE(CONTROL!$C$27, 0.0021, 0)</f>
        <v>90.664100000000005</v>
      </c>
      <c r="G966" s="10">
        <f>90.9334 * CHOOSE(CONTROL!$C$9, $D$9, 100%, $F$9) + CHOOSE(CONTROL!$C$27, 0.0021, 0)</f>
        <v>90.935500000000005</v>
      </c>
      <c r="H966" s="10">
        <f>90.7987 * CHOOSE(CONTROL!$C$9, $D$9, 100%, $F$9) + CHOOSE(CONTROL!$C$27, 0.0021, 0)</f>
        <v>90.800799999999995</v>
      </c>
      <c r="I966" s="10">
        <f>90.7987 * CHOOSE(CONTROL!$C$9, $D$9, 100%, $F$9) + CHOOSE(CONTROL!$C$27, 0.0021, 0)</f>
        <v>90.800799999999995</v>
      </c>
      <c r="J966" s="10">
        <f>90.7987 * CHOOSE(CONTROL!$C$9, $D$9, 100%, $F$9) + CHOOSE(CONTROL!$C$27, 0.0021, 0)</f>
        <v>90.800799999999995</v>
      </c>
      <c r="K966" s="10">
        <f>90.7987 * CHOOSE(CONTROL!$C$9, $D$9, 100%, $F$9) + CHOOSE(CONTROL!$C$27, 0.0021, 0)</f>
        <v>90.800799999999995</v>
      </c>
      <c r="L966" s="10"/>
    </row>
    <row r="967" spans="1:12" ht="15.75" x14ac:dyDescent="0.25">
      <c r="A967" s="13">
        <v>70737</v>
      </c>
      <c r="B967" s="10">
        <f>91.7652 * CHOOSE(CONTROL!$C$9, $D$9, 100%, $F$9) + CHOOSE(CONTROL!$C$27, 0.0021, 0)</f>
        <v>91.767299999999992</v>
      </c>
      <c r="C967" s="10">
        <f>91.333 * CHOOSE(CONTROL!$C$9, $D$9, 100%, $F$9) + CHOOSE(CONTROL!$C$27, 0.0021, 0)</f>
        <v>91.335099999999997</v>
      </c>
      <c r="D967" s="10">
        <f>91.333 * CHOOSE(CONTROL!$C$9, $D$9, 100%, $F$9) + CHOOSE(CONTROL!$C$27, 0.0021, 0)</f>
        <v>91.335099999999997</v>
      </c>
      <c r="E967" s="10">
        <f>91.1963 * CHOOSE(CONTROL!$C$9, $D$9, 100%, $F$9) + CHOOSE(CONTROL!$C$27, 0.0021, 0)</f>
        <v>91.198399999999992</v>
      </c>
      <c r="F967" s="10">
        <f>91.1963 * CHOOSE(CONTROL!$C$9, $D$9, 100%, $F$9) + CHOOSE(CONTROL!$C$27, 0.0021, 0)</f>
        <v>91.198399999999992</v>
      </c>
      <c r="G967" s="10">
        <f>91.4677 * CHOOSE(CONTROL!$C$9, $D$9, 100%, $F$9) + CHOOSE(CONTROL!$C$27, 0.0021, 0)</f>
        <v>91.469799999999992</v>
      </c>
      <c r="H967" s="10">
        <f>91.333 * CHOOSE(CONTROL!$C$9, $D$9, 100%, $F$9) + CHOOSE(CONTROL!$C$27, 0.0021, 0)</f>
        <v>91.335099999999997</v>
      </c>
      <c r="I967" s="10">
        <f>91.333 * CHOOSE(CONTROL!$C$9, $D$9, 100%, $F$9) + CHOOSE(CONTROL!$C$27, 0.0021, 0)</f>
        <v>91.335099999999997</v>
      </c>
      <c r="J967" s="10">
        <f>91.333 * CHOOSE(CONTROL!$C$9, $D$9, 100%, $F$9) + CHOOSE(CONTROL!$C$27, 0.0021, 0)</f>
        <v>91.335099999999997</v>
      </c>
      <c r="K967" s="10">
        <f>91.333 * CHOOSE(CONTROL!$C$9, $D$9, 100%, $F$9) + CHOOSE(CONTROL!$C$27, 0.0021, 0)</f>
        <v>91.335099999999997</v>
      </c>
      <c r="L967" s="10"/>
    </row>
    <row r="968" spans="1:12" ht="15.75" x14ac:dyDescent="0.25">
      <c r="A968" s="13">
        <v>70767</v>
      </c>
      <c r="B968" s="10">
        <f>93.5846 * CHOOSE(CONTROL!$C$9, $D$9, 100%, $F$9) + CHOOSE(CONTROL!$C$27, 0.0021, 0)</f>
        <v>93.586699999999993</v>
      </c>
      <c r="C968" s="10">
        <f>93.1524 * CHOOSE(CONTROL!$C$9, $D$9, 100%, $F$9) + CHOOSE(CONTROL!$C$27, 0.0021, 0)</f>
        <v>93.154499999999999</v>
      </c>
      <c r="D968" s="10">
        <f>93.1524 * CHOOSE(CONTROL!$C$9, $D$9, 100%, $F$9) + CHOOSE(CONTROL!$C$27, 0.0021, 0)</f>
        <v>93.154499999999999</v>
      </c>
      <c r="E968" s="10">
        <f>93.0157 * CHOOSE(CONTROL!$C$9, $D$9, 100%, $F$9) + CHOOSE(CONTROL!$C$27, 0.0021, 0)</f>
        <v>93.017799999999994</v>
      </c>
      <c r="F968" s="10">
        <f>93.0157 * CHOOSE(CONTROL!$C$9, $D$9, 100%, $F$9) + CHOOSE(CONTROL!$C$27, 0.0021, 0)</f>
        <v>93.017799999999994</v>
      </c>
      <c r="G968" s="10">
        <f>93.2871 * CHOOSE(CONTROL!$C$9, $D$9, 100%, $F$9) + CHOOSE(CONTROL!$C$27, 0.0021, 0)</f>
        <v>93.289199999999994</v>
      </c>
      <c r="H968" s="10">
        <f>93.1524 * CHOOSE(CONTROL!$C$9, $D$9, 100%, $F$9) + CHOOSE(CONTROL!$C$27, 0.0021, 0)</f>
        <v>93.154499999999999</v>
      </c>
      <c r="I968" s="10">
        <f>93.1524 * CHOOSE(CONTROL!$C$9, $D$9, 100%, $F$9) + CHOOSE(CONTROL!$C$27, 0.0021, 0)</f>
        <v>93.154499999999999</v>
      </c>
      <c r="J968" s="10">
        <f>93.1524 * CHOOSE(CONTROL!$C$9, $D$9, 100%, $F$9) + CHOOSE(CONTROL!$C$27, 0.0021, 0)</f>
        <v>93.154499999999999</v>
      </c>
      <c r="K968" s="10">
        <f>93.1524 * CHOOSE(CONTROL!$C$9, $D$9, 100%, $F$9) + CHOOSE(CONTROL!$C$27, 0.0021, 0)</f>
        <v>93.154499999999999</v>
      </c>
      <c r="L968" s="10"/>
    </row>
    <row r="969" spans="1:12" ht="15.75" x14ac:dyDescent="0.25">
      <c r="A969" s="13">
        <v>70798</v>
      </c>
      <c r="B969" s="10">
        <f>95.8877 * CHOOSE(CONTROL!$C$9, $D$9, 100%, $F$9) + CHOOSE(CONTROL!$C$27, 0.0021, 0)</f>
        <v>95.889799999999994</v>
      </c>
      <c r="C969" s="10">
        <f>95.4555 * CHOOSE(CONTROL!$C$9, $D$9, 100%, $F$9) + CHOOSE(CONTROL!$C$27, 0.0021, 0)</f>
        <v>95.457599999999999</v>
      </c>
      <c r="D969" s="10">
        <f>95.4555 * CHOOSE(CONTROL!$C$9, $D$9, 100%, $F$9) + CHOOSE(CONTROL!$C$27, 0.0021, 0)</f>
        <v>95.457599999999999</v>
      </c>
      <c r="E969" s="10">
        <f>95.3188 * CHOOSE(CONTROL!$C$9, $D$9, 100%, $F$9) + CHOOSE(CONTROL!$C$27, 0.0021, 0)</f>
        <v>95.320899999999995</v>
      </c>
      <c r="F969" s="10">
        <f>95.3188 * CHOOSE(CONTROL!$C$9, $D$9, 100%, $F$9) + CHOOSE(CONTROL!$C$27, 0.0021, 0)</f>
        <v>95.320899999999995</v>
      </c>
      <c r="G969" s="10">
        <f>95.5902 * CHOOSE(CONTROL!$C$9, $D$9, 100%, $F$9) + CHOOSE(CONTROL!$C$27, 0.0021, 0)</f>
        <v>95.592299999999994</v>
      </c>
      <c r="H969" s="10">
        <f>95.4555 * CHOOSE(CONTROL!$C$9, $D$9, 100%, $F$9) + CHOOSE(CONTROL!$C$27, 0.0021, 0)</f>
        <v>95.457599999999999</v>
      </c>
      <c r="I969" s="10">
        <f>95.4555 * CHOOSE(CONTROL!$C$9, $D$9, 100%, $F$9) + CHOOSE(CONTROL!$C$27, 0.0021, 0)</f>
        <v>95.457599999999999</v>
      </c>
      <c r="J969" s="10">
        <f>95.4555 * CHOOSE(CONTROL!$C$9, $D$9, 100%, $F$9) + CHOOSE(CONTROL!$C$27, 0.0021, 0)</f>
        <v>95.457599999999999</v>
      </c>
      <c r="K969" s="10">
        <f>95.4555 * CHOOSE(CONTROL!$C$9, $D$9, 100%, $F$9) + CHOOSE(CONTROL!$C$27, 0.0021, 0)</f>
        <v>95.457599999999999</v>
      </c>
      <c r="L969" s="10"/>
    </row>
    <row r="970" spans="1:12" ht="15.75" x14ac:dyDescent="0.25">
      <c r="A970" s="13">
        <v>70828</v>
      </c>
      <c r="B970" s="10">
        <f>96.1039 * CHOOSE(CONTROL!$C$9, $D$9, 100%, $F$9) + CHOOSE(CONTROL!$C$27, 0.0021, 0)</f>
        <v>96.105999999999995</v>
      </c>
      <c r="C970" s="10">
        <f>95.6717 * CHOOSE(CONTROL!$C$9, $D$9, 100%, $F$9) + CHOOSE(CONTROL!$C$27, 0.0021, 0)</f>
        <v>95.6738</v>
      </c>
      <c r="D970" s="10">
        <f>95.6717 * CHOOSE(CONTROL!$C$9, $D$9, 100%, $F$9) + CHOOSE(CONTROL!$C$27, 0.0021, 0)</f>
        <v>95.6738</v>
      </c>
      <c r="E970" s="10">
        <f>95.535 * CHOOSE(CONTROL!$C$9, $D$9, 100%, $F$9) + CHOOSE(CONTROL!$C$27, 0.0021, 0)</f>
        <v>95.537099999999995</v>
      </c>
      <c r="F970" s="10">
        <f>95.535 * CHOOSE(CONTROL!$C$9, $D$9, 100%, $F$9) + CHOOSE(CONTROL!$C$27, 0.0021, 0)</f>
        <v>95.537099999999995</v>
      </c>
      <c r="G970" s="10">
        <f>95.8064 * CHOOSE(CONTROL!$C$9, $D$9, 100%, $F$9) + CHOOSE(CONTROL!$C$27, 0.0021, 0)</f>
        <v>95.808499999999995</v>
      </c>
      <c r="H970" s="10">
        <f>95.6717 * CHOOSE(CONTROL!$C$9, $D$9, 100%, $F$9) + CHOOSE(CONTROL!$C$27, 0.0021, 0)</f>
        <v>95.6738</v>
      </c>
      <c r="I970" s="10">
        <f>95.6717 * CHOOSE(CONTROL!$C$9, $D$9, 100%, $F$9) + CHOOSE(CONTROL!$C$27, 0.0021, 0)</f>
        <v>95.6738</v>
      </c>
      <c r="J970" s="10">
        <f>95.6717 * CHOOSE(CONTROL!$C$9, $D$9, 100%, $F$9) + CHOOSE(CONTROL!$C$27, 0.0021, 0)</f>
        <v>95.6738</v>
      </c>
      <c r="K970" s="10">
        <f>95.6717 * CHOOSE(CONTROL!$C$9, $D$9, 100%, $F$9) + CHOOSE(CONTROL!$C$27, 0.0021, 0)</f>
        <v>95.6738</v>
      </c>
      <c r="L970" s="10"/>
    </row>
    <row r="971" spans="1:12" ht="15.75" x14ac:dyDescent="0.25">
      <c r="A971" s="13">
        <v>70859</v>
      </c>
      <c r="B971" s="10">
        <f>94.2645 * CHOOSE(CONTROL!$C$9, $D$9, 100%, $F$9) + CHOOSE(CONTROL!$C$27, 0.0021, 0)</f>
        <v>94.266599999999997</v>
      </c>
      <c r="C971" s="10">
        <f>93.8323 * CHOOSE(CONTROL!$C$9, $D$9, 100%, $F$9) + CHOOSE(CONTROL!$C$27, 0.0021, 0)</f>
        <v>93.834400000000002</v>
      </c>
      <c r="D971" s="10">
        <f>93.8323 * CHOOSE(CONTROL!$C$9, $D$9, 100%, $F$9) + CHOOSE(CONTROL!$C$27, 0.0021, 0)</f>
        <v>93.834400000000002</v>
      </c>
      <c r="E971" s="10">
        <f>93.6956 * CHOOSE(CONTROL!$C$9, $D$9, 100%, $F$9) + CHOOSE(CONTROL!$C$27, 0.0021, 0)</f>
        <v>93.697699999999998</v>
      </c>
      <c r="F971" s="10">
        <f>93.6956 * CHOOSE(CONTROL!$C$9, $D$9, 100%, $F$9) + CHOOSE(CONTROL!$C$27, 0.0021, 0)</f>
        <v>93.697699999999998</v>
      </c>
      <c r="G971" s="10">
        <f>93.967 * CHOOSE(CONTROL!$C$9, $D$9, 100%, $F$9) + CHOOSE(CONTROL!$C$27, 0.0021, 0)</f>
        <v>93.969099999999997</v>
      </c>
      <c r="H971" s="10">
        <f>93.8323 * CHOOSE(CONTROL!$C$9, $D$9, 100%, $F$9) + CHOOSE(CONTROL!$C$27, 0.0021, 0)</f>
        <v>93.834400000000002</v>
      </c>
      <c r="I971" s="10">
        <f>93.8323 * CHOOSE(CONTROL!$C$9, $D$9, 100%, $F$9) + CHOOSE(CONTROL!$C$27, 0.0021, 0)</f>
        <v>93.834400000000002</v>
      </c>
      <c r="J971" s="10">
        <f>93.8323 * CHOOSE(CONTROL!$C$9, $D$9, 100%, $F$9) + CHOOSE(CONTROL!$C$27, 0.0021, 0)</f>
        <v>93.834400000000002</v>
      </c>
      <c r="K971" s="10">
        <f>93.8323 * CHOOSE(CONTROL!$C$9, $D$9, 100%, $F$9) + CHOOSE(CONTROL!$C$27, 0.0021, 0)</f>
        <v>93.834400000000002</v>
      </c>
      <c r="L971" s="10"/>
    </row>
    <row r="972" spans="1:12" ht="15.75" x14ac:dyDescent="0.25">
      <c r="A972" s="13">
        <v>70890</v>
      </c>
      <c r="B972" s="10">
        <f>92.8562 * CHOOSE(CONTROL!$C$9, $D$9, 100%, $F$9) + CHOOSE(CONTROL!$C$27, 0.0021, 0)</f>
        <v>92.8583</v>
      </c>
      <c r="C972" s="10">
        <f>92.4239 * CHOOSE(CONTROL!$C$9, $D$9, 100%, $F$9) + CHOOSE(CONTROL!$C$27, 0.0021, 0)</f>
        <v>92.426000000000002</v>
      </c>
      <c r="D972" s="10">
        <f>92.4239 * CHOOSE(CONTROL!$C$9, $D$9, 100%, $F$9) + CHOOSE(CONTROL!$C$27, 0.0021, 0)</f>
        <v>92.426000000000002</v>
      </c>
      <c r="E972" s="10">
        <f>92.2873 * CHOOSE(CONTROL!$C$9, $D$9, 100%, $F$9) + CHOOSE(CONTROL!$C$27, 0.0021, 0)</f>
        <v>92.289400000000001</v>
      </c>
      <c r="F972" s="10">
        <f>92.2873 * CHOOSE(CONTROL!$C$9, $D$9, 100%, $F$9) + CHOOSE(CONTROL!$C$27, 0.0021, 0)</f>
        <v>92.289400000000001</v>
      </c>
      <c r="G972" s="10">
        <f>92.5587 * CHOOSE(CONTROL!$C$9, $D$9, 100%, $F$9) + CHOOSE(CONTROL!$C$27, 0.0021, 0)</f>
        <v>92.5608</v>
      </c>
      <c r="H972" s="10">
        <f>92.4239 * CHOOSE(CONTROL!$C$9, $D$9, 100%, $F$9) + CHOOSE(CONTROL!$C$27, 0.0021, 0)</f>
        <v>92.426000000000002</v>
      </c>
      <c r="I972" s="10">
        <f>92.4239 * CHOOSE(CONTROL!$C$9, $D$9, 100%, $F$9) + CHOOSE(CONTROL!$C$27, 0.0021, 0)</f>
        <v>92.426000000000002</v>
      </c>
      <c r="J972" s="10">
        <f>92.4239 * CHOOSE(CONTROL!$C$9, $D$9, 100%, $F$9) + CHOOSE(CONTROL!$C$27, 0.0021, 0)</f>
        <v>92.426000000000002</v>
      </c>
      <c r="K972" s="10">
        <f>92.4239 * CHOOSE(CONTROL!$C$9, $D$9, 100%, $F$9) + CHOOSE(CONTROL!$C$27, 0.0021, 0)</f>
        <v>92.426000000000002</v>
      </c>
      <c r="L972" s="10"/>
    </row>
    <row r="973" spans="1:12" ht="15.75" x14ac:dyDescent="0.25">
      <c r="A973" s="13">
        <v>70918</v>
      </c>
      <c r="B973" s="10">
        <f>90.2946 * CHOOSE(CONTROL!$C$9, $D$9, 100%, $F$9) + CHOOSE(CONTROL!$C$27, 0.0021, 0)</f>
        <v>90.296700000000001</v>
      </c>
      <c r="C973" s="10">
        <f>89.8623 * CHOOSE(CONTROL!$C$9, $D$9, 100%, $F$9) + CHOOSE(CONTROL!$C$27, 0.0021, 0)</f>
        <v>89.864400000000003</v>
      </c>
      <c r="D973" s="10">
        <f>89.8623 * CHOOSE(CONTROL!$C$9, $D$9, 100%, $F$9) + CHOOSE(CONTROL!$C$27, 0.0021, 0)</f>
        <v>89.864400000000003</v>
      </c>
      <c r="E973" s="10">
        <f>89.7256 * CHOOSE(CONTROL!$C$9, $D$9, 100%, $F$9) + CHOOSE(CONTROL!$C$27, 0.0021, 0)</f>
        <v>89.727699999999999</v>
      </c>
      <c r="F973" s="10">
        <f>89.7256 * CHOOSE(CONTROL!$C$9, $D$9, 100%, $F$9) + CHOOSE(CONTROL!$C$27, 0.0021, 0)</f>
        <v>89.727699999999999</v>
      </c>
      <c r="G973" s="10">
        <f>89.997 * CHOOSE(CONTROL!$C$9, $D$9, 100%, $F$9) + CHOOSE(CONTROL!$C$27, 0.0021, 0)</f>
        <v>89.999099999999999</v>
      </c>
      <c r="H973" s="10">
        <f>89.8623 * CHOOSE(CONTROL!$C$9, $D$9, 100%, $F$9) + CHOOSE(CONTROL!$C$27, 0.0021, 0)</f>
        <v>89.864400000000003</v>
      </c>
      <c r="I973" s="10">
        <f>89.8623 * CHOOSE(CONTROL!$C$9, $D$9, 100%, $F$9) + CHOOSE(CONTROL!$C$27, 0.0021, 0)</f>
        <v>89.864400000000003</v>
      </c>
      <c r="J973" s="10">
        <f>89.8623 * CHOOSE(CONTROL!$C$9, $D$9, 100%, $F$9) + CHOOSE(CONTROL!$C$27, 0.0021, 0)</f>
        <v>89.864400000000003</v>
      </c>
      <c r="K973" s="10">
        <f>89.8623 * CHOOSE(CONTROL!$C$9, $D$9, 100%, $F$9) + CHOOSE(CONTROL!$C$27, 0.0021, 0)</f>
        <v>89.864400000000003</v>
      </c>
      <c r="L973" s="10"/>
    </row>
    <row r="974" spans="1:12" ht="15.75" x14ac:dyDescent="0.25">
      <c r="A974" s="13">
        <v>70949</v>
      </c>
      <c r="B974" s="10">
        <f>89.2371 * CHOOSE(CONTROL!$C$9, $D$9, 100%, $F$9) + CHOOSE(CONTROL!$C$27, 0.0021, 0)</f>
        <v>89.239199999999997</v>
      </c>
      <c r="C974" s="10">
        <f>88.8049 * CHOOSE(CONTROL!$C$9, $D$9, 100%, $F$9) + CHOOSE(CONTROL!$C$27, 0.0021, 0)</f>
        <v>88.807000000000002</v>
      </c>
      <c r="D974" s="10">
        <f>88.8049 * CHOOSE(CONTROL!$C$9, $D$9, 100%, $F$9) + CHOOSE(CONTROL!$C$27, 0.0021, 0)</f>
        <v>88.807000000000002</v>
      </c>
      <c r="E974" s="10">
        <f>88.6682 * CHOOSE(CONTROL!$C$9, $D$9, 100%, $F$9) + CHOOSE(CONTROL!$C$27, 0.0021, 0)</f>
        <v>88.670299999999997</v>
      </c>
      <c r="F974" s="10">
        <f>88.6682 * CHOOSE(CONTROL!$C$9, $D$9, 100%, $F$9) + CHOOSE(CONTROL!$C$27, 0.0021, 0)</f>
        <v>88.670299999999997</v>
      </c>
      <c r="G974" s="10">
        <f>88.9396 * CHOOSE(CONTROL!$C$9, $D$9, 100%, $F$9) + CHOOSE(CONTROL!$C$27, 0.0021, 0)</f>
        <v>88.941699999999997</v>
      </c>
      <c r="H974" s="10">
        <f>88.8049 * CHOOSE(CONTROL!$C$9, $D$9, 100%, $F$9) + CHOOSE(CONTROL!$C$27, 0.0021, 0)</f>
        <v>88.807000000000002</v>
      </c>
      <c r="I974" s="10">
        <f>88.8049 * CHOOSE(CONTROL!$C$9, $D$9, 100%, $F$9) + CHOOSE(CONTROL!$C$27, 0.0021, 0)</f>
        <v>88.807000000000002</v>
      </c>
      <c r="J974" s="10">
        <f>88.8049 * CHOOSE(CONTROL!$C$9, $D$9, 100%, $F$9) + CHOOSE(CONTROL!$C$27, 0.0021, 0)</f>
        <v>88.807000000000002</v>
      </c>
      <c r="K974" s="10">
        <f>88.8049 * CHOOSE(CONTROL!$C$9, $D$9, 100%, $F$9) + CHOOSE(CONTROL!$C$27, 0.0021, 0)</f>
        <v>88.807000000000002</v>
      </c>
      <c r="L974" s="10"/>
    </row>
    <row r="975" spans="1:12" ht="15.75" x14ac:dyDescent="0.25">
      <c r="A975" s="13">
        <v>70979</v>
      </c>
      <c r="B975" s="10">
        <f>87.9745 * CHOOSE(CONTROL!$C$9, $D$9, 100%, $F$9) + CHOOSE(CONTROL!$C$27, 0.0021, 0)</f>
        <v>87.976600000000005</v>
      </c>
      <c r="C975" s="10">
        <f>87.5423 * CHOOSE(CONTROL!$C$9, $D$9, 100%, $F$9) + CHOOSE(CONTROL!$C$27, 0.0021, 0)</f>
        <v>87.544399999999996</v>
      </c>
      <c r="D975" s="10">
        <f>87.5423 * CHOOSE(CONTROL!$C$9, $D$9, 100%, $F$9) + CHOOSE(CONTROL!$C$27, 0.0021, 0)</f>
        <v>87.544399999999996</v>
      </c>
      <c r="E975" s="10">
        <f>87.4056 * CHOOSE(CONTROL!$C$9, $D$9, 100%, $F$9) + CHOOSE(CONTROL!$C$27, 0.0021, 0)</f>
        <v>87.407700000000006</v>
      </c>
      <c r="F975" s="10">
        <f>87.4056 * CHOOSE(CONTROL!$C$9, $D$9, 100%, $F$9) + CHOOSE(CONTROL!$C$27, 0.0021, 0)</f>
        <v>87.407700000000006</v>
      </c>
      <c r="G975" s="10">
        <f>87.677 * CHOOSE(CONTROL!$C$9, $D$9, 100%, $F$9) + CHOOSE(CONTROL!$C$27, 0.0021, 0)</f>
        <v>87.679100000000005</v>
      </c>
      <c r="H975" s="10">
        <f>87.5423 * CHOOSE(CONTROL!$C$9, $D$9, 100%, $F$9) + CHOOSE(CONTROL!$C$27, 0.0021, 0)</f>
        <v>87.544399999999996</v>
      </c>
      <c r="I975" s="10">
        <f>87.5423 * CHOOSE(CONTROL!$C$9, $D$9, 100%, $F$9) + CHOOSE(CONTROL!$C$27, 0.0021, 0)</f>
        <v>87.544399999999996</v>
      </c>
      <c r="J975" s="10">
        <f>87.5423 * CHOOSE(CONTROL!$C$9, $D$9, 100%, $F$9) + CHOOSE(CONTROL!$C$27, 0.0021, 0)</f>
        <v>87.544399999999996</v>
      </c>
      <c r="K975" s="10">
        <f>87.5423 * CHOOSE(CONTROL!$C$9, $D$9, 100%, $F$9) + CHOOSE(CONTROL!$C$27, 0.0021, 0)</f>
        <v>87.544399999999996</v>
      </c>
      <c r="L975" s="10"/>
    </row>
    <row r="976" spans="1:12" ht="15.75" x14ac:dyDescent="0.25">
      <c r="A976" s="13">
        <v>71010</v>
      </c>
      <c r="B976" s="10">
        <f>89.7739 * CHOOSE(CONTROL!$C$9, $D$9, 100%, $F$9) + CHOOSE(CONTROL!$C$27, 0.0021, 0)</f>
        <v>89.775999999999996</v>
      </c>
      <c r="C976" s="10">
        <f>89.3416 * CHOOSE(CONTROL!$C$9, $D$9, 100%, $F$9) + CHOOSE(CONTROL!$C$27, 0.0021, 0)</f>
        <v>89.343699999999998</v>
      </c>
      <c r="D976" s="10">
        <f>89.3416 * CHOOSE(CONTROL!$C$9, $D$9, 100%, $F$9) + CHOOSE(CONTROL!$C$27, 0.0021, 0)</f>
        <v>89.343699999999998</v>
      </c>
      <c r="E976" s="10">
        <f>89.205 * CHOOSE(CONTROL!$C$9, $D$9, 100%, $F$9) + CHOOSE(CONTROL!$C$27, 0.0021, 0)</f>
        <v>89.207099999999997</v>
      </c>
      <c r="F976" s="10">
        <f>89.205 * CHOOSE(CONTROL!$C$9, $D$9, 100%, $F$9) + CHOOSE(CONTROL!$C$27, 0.0021, 0)</f>
        <v>89.207099999999997</v>
      </c>
      <c r="G976" s="10">
        <f>89.4763 * CHOOSE(CONTROL!$C$9, $D$9, 100%, $F$9) + CHOOSE(CONTROL!$C$27, 0.0021, 0)</f>
        <v>89.478399999999993</v>
      </c>
      <c r="H976" s="10">
        <f>89.3416 * CHOOSE(CONTROL!$C$9, $D$9, 100%, $F$9) + CHOOSE(CONTROL!$C$27, 0.0021, 0)</f>
        <v>89.343699999999998</v>
      </c>
      <c r="I976" s="10">
        <f>89.3416 * CHOOSE(CONTROL!$C$9, $D$9, 100%, $F$9) + CHOOSE(CONTROL!$C$27, 0.0021, 0)</f>
        <v>89.343699999999998</v>
      </c>
      <c r="J976" s="10">
        <f>89.3416 * CHOOSE(CONTROL!$C$9, $D$9, 100%, $F$9) + CHOOSE(CONTROL!$C$27, 0.0021, 0)</f>
        <v>89.343699999999998</v>
      </c>
      <c r="K976" s="10">
        <f>89.3416 * CHOOSE(CONTROL!$C$9, $D$9, 100%, $F$9) + CHOOSE(CONTROL!$C$27, 0.0021, 0)</f>
        <v>89.343699999999998</v>
      </c>
      <c r="L976" s="10"/>
    </row>
    <row r="977" spans="1:12" ht="15.75" x14ac:dyDescent="0.25">
      <c r="A977" s="13">
        <v>71040</v>
      </c>
      <c r="B977" s="10">
        <f>90.8516 * CHOOSE(CONTROL!$C$9, $D$9, 100%, $F$9) + CHOOSE(CONTROL!$C$27, 0.0021, 0)</f>
        <v>90.853700000000003</v>
      </c>
      <c r="C977" s="10">
        <f>90.4194 * CHOOSE(CONTROL!$C$9, $D$9, 100%, $F$9) + CHOOSE(CONTROL!$C$27, 0.0021, 0)</f>
        <v>90.421499999999995</v>
      </c>
      <c r="D977" s="10">
        <f>90.4194 * CHOOSE(CONTROL!$C$9, $D$9, 100%, $F$9) + CHOOSE(CONTROL!$C$27, 0.0021, 0)</f>
        <v>90.421499999999995</v>
      </c>
      <c r="E977" s="10">
        <f>90.2827 * CHOOSE(CONTROL!$C$9, $D$9, 100%, $F$9) + CHOOSE(CONTROL!$C$27, 0.0021, 0)</f>
        <v>90.284800000000004</v>
      </c>
      <c r="F977" s="10">
        <f>90.2827 * CHOOSE(CONTROL!$C$9, $D$9, 100%, $F$9) + CHOOSE(CONTROL!$C$27, 0.0021, 0)</f>
        <v>90.284800000000004</v>
      </c>
      <c r="G977" s="10">
        <f>90.5541 * CHOOSE(CONTROL!$C$9, $D$9, 100%, $F$9) + CHOOSE(CONTROL!$C$27, 0.0021, 0)</f>
        <v>90.556200000000004</v>
      </c>
      <c r="H977" s="10">
        <f>90.4194 * CHOOSE(CONTROL!$C$9, $D$9, 100%, $F$9) + CHOOSE(CONTROL!$C$27, 0.0021, 0)</f>
        <v>90.421499999999995</v>
      </c>
      <c r="I977" s="10">
        <f>90.4194 * CHOOSE(CONTROL!$C$9, $D$9, 100%, $F$9) + CHOOSE(CONTROL!$C$27, 0.0021, 0)</f>
        <v>90.421499999999995</v>
      </c>
      <c r="J977" s="10">
        <f>90.4194 * CHOOSE(CONTROL!$C$9, $D$9, 100%, $F$9) + CHOOSE(CONTROL!$C$27, 0.0021, 0)</f>
        <v>90.421499999999995</v>
      </c>
      <c r="K977" s="10">
        <f>90.4194 * CHOOSE(CONTROL!$C$9, $D$9, 100%, $F$9) + CHOOSE(CONTROL!$C$27, 0.0021, 0)</f>
        <v>90.421499999999995</v>
      </c>
      <c r="L977" s="10"/>
    </row>
    <row r="978" spans="1:12" ht="15.75" x14ac:dyDescent="0.25">
      <c r="A978" s="13">
        <v>71071</v>
      </c>
      <c r="B978" s="10">
        <f>92.6295 * CHOOSE(CONTROL!$C$9, $D$9, 100%, $F$9) + CHOOSE(CONTROL!$C$27, 0.0021, 0)</f>
        <v>92.631599999999992</v>
      </c>
      <c r="C978" s="10">
        <f>92.1973 * CHOOSE(CONTROL!$C$9, $D$9, 100%, $F$9) + CHOOSE(CONTROL!$C$27, 0.0021, 0)</f>
        <v>92.199399999999997</v>
      </c>
      <c r="D978" s="10">
        <f>92.1973 * CHOOSE(CONTROL!$C$9, $D$9, 100%, $F$9) + CHOOSE(CONTROL!$C$27, 0.0021, 0)</f>
        <v>92.199399999999997</v>
      </c>
      <c r="E978" s="10">
        <f>92.0606 * CHOOSE(CONTROL!$C$9, $D$9, 100%, $F$9) + CHOOSE(CONTROL!$C$27, 0.0021, 0)</f>
        <v>92.062699999999992</v>
      </c>
      <c r="F978" s="10">
        <f>92.0606 * CHOOSE(CONTROL!$C$9, $D$9, 100%, $F$9) + CHOOSE(CONTROL!$C$27, 0.0021, 0)</f>
        <v>92.062699999999992</v>
      </c>
      <c r="G978" s="10">
        <f>92.332 * CHOOSE(CONTROL!$C$9, $D$9, 100%, $F$9) + CHOOSE(CONTROL!$C$27, 0.0021, 0)</f>
        <v>92.334099999999992</v>
      </c>
      <c r="H978" s="10">
        <f>92.1973 * CHOOSE(CONTROL!$C$9, $D$9, 100%, $F$9) + CHOOSE(CONTROL!$C$27, 0.0021, 0)</f>
        <v>92.199399999999997</v>
      </c>
      <c r="I978" s="10">
        <f>92.1973 * CHOOSE(CONTROL!$C$9, $D$9, 100%, $F$9) + CHOOSE(CONTROL!$C$27, 0.0021, 0)</f>
        <v>92.199399999999997</v>
      </c>
      <c r="J978" s="10">
        <f>92.1973 * CHOOSE(CONTROL!$C$9, $D$9, 100%, $F$9) + CHOOSE(CONTROL!$C$27, 0.0021, 0)</f>
        <v>92.199399999999997</v>
      </c>
      <c r="K978" s="10">
        <f>92.1973 * CHOOSE(CONTROL!$C$9, $D$9, 100%, $F$9) + CHOOSE(CONTROL!$C$27, 0.0021, 0)</f>
        <v>92.199399999999997</v>
      </c>
      <c r="L978" s="10"/>
    </row>
    <row r="979" spans="1:12" ht="15.75" x14ac:dyDescent="0.25">
      <c r="A979" s="13">
        <v>71102</v>
      </c>
      <c r="B979" s="10">
        <f>93.1722 * CHOOSE(CONTROL!$C$9, $D$9, 100%, $F$9) + CHOOSE(CONTROL!$C$27, 0.0021, 0)</f>
        <v>93.174300000000002</v>
      </c>
      <c r="C979" s="10">
        <f>92.7399 * CHOOSE(CONTROL!$C$9, $D$9, 100%, $F$9) + CHOOSE(CONTROL!$C$27, 0.0021, 0)</f>
        <v>92.742000000000004</v>
      </c>
      <c r="D979" s="10">
        <f>92.7399 * CHOOSE(CONTROL!$C$9, $D$9, 100%, $F$9) + CHOOSE(CONTROL!$C$27, 0.0021, 0)</f>
        <v>92.742000000000004</v>
      </c>
      <c r="E979" s="10">
        <f>92.6033 * CHOOSE(CONTROL!$C$9, $D$9, 100%, $F$9) + CHOOSE(CONTROL!$C$27, 0.0021, 0)</f>
        <v>92.605400000000003</v>
      </c>
      <c r="F979" s="10">
        <f>92.6033 * CHOOSE(CONTROL!$C$9, $D$9, 100%, $F$9) + CHOOSE(CONTROL!$C$27, 0.0021, 0)</f>
        <v>92.605400000000003</v>
      </c>
      <c r="G979" s="10">
        <f>92.8746 * CHOOSE(CONTROL!$C$9, $D$9, 100%, $F$9) + CHOOSE(CONTROL!$C$27, 0.0021, 0)</f>
        <v>92.8767</v>
      </c>
      <c r="H979" s="10">
        <f>92.7399 * CHOOSE(CONTROL!$C$9, $D$9, 100%, $F$9) + CHOOSE(CONTROL!$C$27, 0.0021, 0)</f>
        <v>92.742000000000004</v>
      </c>
      <c r="I979" s="10">
        <f>92.7399 * CHOOSE(CONTROL!$C$9, $D$9, 100%, $F$9) + CHOOSE(CONTROL!$C$27, 0.0021, 0)</f>
        <v>92.742000000000004</v>
      </c>
      <c r="J979" s="10">
        <f>92.7399 * CHOOSE(CONTROL!$C$9, $D$9, 100%, $F$9) + CHOOSE(CONTROL!$C$27, 0.0021, 0)</f>
        <v>92.742000000000004</v>
      </c>
      <c r="K979" s="10">
        <f>92.7399 * CHOOSE(CONTROL!$C$9, $D$9, 100%, $F$9) + CHOOSE(CONTROL!$C$27, 0.0021, 0)</f>
        <v>92.742000000000004</v>
      </c>
      <c r="L979" s="10"/>
    </row>
    <row r="980" spans="1:12" ht="15.75" x14ac:dyDescent="0.25">
      <c r="A980" s="13">
        <v>71132</v>
      </c>
      <c r="B980" s="10">
        <f>95.0202 * CHOOSE(CONTROL!$C$9, $D$9, 100%, $F$9) + CHOOSE(CONTROL!$C$27, 0.0021, 0)</f>
        <v>95.022300000000001</v>
      </c>
      <c r="C980" s="10">
        <f>94.588 * CHOOSE(CONTROL!$C$9, $D$9, 100%, $F$9) + CHOOSE(CONTROL!$C$27, 0.0021, 0)</f>
        <v>94.590099999999993</v>
      </c>
      <c r="D980" s="10">
        <f>94.588 * CHOOSE(CONTROL!$C$9, $D$9, 100%, $F$9) + CHOOSE(CONTROL!$C$27, 0.0021, 0)</f>
        <v>94.590099999999993</v>
      </c>
      <c r="E980" s="10">
        <f>94.4513 * CHOOSE(CONTROL!$C$9, $D$9, 100%, $F$9) + CHOOSE(CONTROL!$C$27, 0.0021, 0)</f>
        <v>94.453400000000002</v>
      </c>
      <c r="F980" s="10">
        <f>94.4513 * CHOOSE(CONTROL!$C$9, $D$9, 100%, $F$9) + CHOOSE(CONTROL!$C$27, 0.0021, 0)</f>
        <v>94.453400000000002</v>
      </c>
      <c r="G980" s="10">
        <f>94.7227 * CHOOSE(CONTROL!$C$9, $D$9, 100%, $F$9) + CHOOSE(CONTROL!$C$27, 0.0021, 0)</f>
        <v>94.724800000000002</v>
      </c>
      <c r="H980" s="10">
        <f>94.588 * CHOOSE(CONTROL!$C$9, $D$9, 100%, $F$9) + CHOOSE(CONTROL!$C$27, 0.0021, 0)</f>
        <v>94.590099999999993</v>
      </c>
      <c r="I980" s="10">
        <f>94.588 * CHOOSE(CONTROL!$C$9, $D$9, 100%, $F$9) + CHOOSE(CONTROL!$C$27, 0.0021, 0)</f>
        <v>94.590099999999993</v>
      </c>
      <c r="J980" s="10">
        <f>94.588 * CHOOSE(CONTROL!$C$9, $D$9, 100%, $F$9) + CHOOSE(CONTROL!$C$27, 0.0021, 0)</f>
        <v>94.590099999999993</v>
      </c>
      <c r="K980" s="10">
        <f>94.588 * CHOOSE(CONTROL!$C$9, $D$9, 100%, $F$9) + CHOOSE(CONTROL!$C$27, 0.0021, 0)</f>
        <v>94.590099999999993</v>
      </c>
      <c r="L980" s="10"/>
    </row>
    <row r="981" spans="1:12" ht="15.75" x14ac:dyDescent="0.25">
      <c r="A981" s="13">
        <v>71163</v>
      </c>
      <c r="B981" s="10">
        <f>97.3595 * CHOOSE(CONTROL!$C$9, $D$9, 100%, $F$9) + CHOOSE(CONTROL!$C$27, 0.0021, 0)</f>
        <v>97.361599999999996</v>
      </c>
      <c r="C981" s="10">
        <f>96.9273 * CHOOSE(CONTROL!$C$9, $D$9, 100%, $F$9) + CHOOSE(CONTROL!$C$27, 0.0021, 0)</f>
        <v>96.929400000000001</v>
      </c>
      <c r="D981" s="10">
        <f>96.9273 * CHOOSE(CONTROL!$C$9, $D$9, 100%, $F$9) + CHOOSE(CONTROL!$C$27, 0.0021, 0)</f>
        <v>96.929400000000001</v>
      </c>
      <c r="E981" s="10">
        <f>96.7906 * CHOOSE(CONTROL!$C$9, $D$9, 100%, $F$9) + CHOOSE(CONTROL!$C$27, 0.0021, 0)</f>
        <v>96.792699999999996</v>
      </c>
      <c r="F981" s="10">
        <f>96.7906 * CHOOSE(CONTROL!$C$9, $D$9, 100%, $F$9) + CHOOSE(CONTROL!$C$27, 0.0021, 0)</f>
        <v>96.792699999999996</v>
      </c>
      <c r="G981" s="10">
        <f>97.062 * CHOOSE(CONTROL!$C$9, $D$9, 100%, $F$9) + CHOOSE(CONTROL!$C$27, 0.0021, 0)</f>
        <v>97.064099999999996</v>
      </c>
      <c r="H981" s="10">
        <f>96.9273 * CHOOSE(CONTROL!$C$9, $D$9, 100%, $F$9) + CHOOSE(CONTROL!$C$27, 0.0021, 0)</f>
        <v>96.929400000000001</v>
      </c>
      <c r="I981" s="10">
        <f>96.9273 * CHOOSE(CONTROL!$C$9, $D$9, 100%, $F$9) + CHOOSE(CONTROL!$C$27, 0.0021, 0)</f>
        <v>96.929400000000001</v>
      </c>
      <c r="J981" s="10">
        <f>96.9273 * CHOOSE(CONTROL!$C$9, $D$9, 100%, $F$9) + CHOOSE(CONTROL!$C$27, 0.0021, 0)</f>
        <v>96.929400000000001</v>
      </c>
      <c r="K981" s="10">
        <f>96.9273 * CHOOSE(CONTROL!$C$9, $D$9, 100%, $F$9) + CHOOSE(CONTROL!$C$27, 0.0021, 0)</f>
        <v>96.929400000000001</v>
      </c>
      <c r="L981" s="10"/>
    </row>
    <row r="982" spans="1:12" ht="15.75" x14ac:dyDescent="0.25">
      <c r="A982" s="13">
        <v>71193</v>
      </c>
      <c r="B982" s="10">
        <f>97.5791 * CHOOSE(CONTROL!$C$9, $D$9, 100%, $F$9) + CHOOSE(CONTROL!$C$27, 0.0021, 0)</f>
        <v>97.581199999999995</v>
      </c>
      <c r="C982" s="10">
        <f>97.1469 * CHOOSE(CONTROL!$C$9, $D$9, 100%, $F$9) + CHOOSE(CONTROL!$C$27, 0.0021, 0)</f>
        <v>97.149000000000001</v>
      </c>
      <c r="D982" s="10">
        <f>97.1469 * CHOOSE(CONTROL!$C$9, $D$9, 100%, $F$9) + CHOOSE(CONTROL!$C$27, 0.0021, 0)</f>
        <v>97.149000000000001</v>
      </c>
      <c r="E982" s="10">
        <f>97.0102 * CHOOSE(CONTROL!$C$9, $D$9, 100%, $F$9) + CHOOSE(CONTROL!$C$27, 0.0021, 0)</f>
        <v>97.012299999999996</v>
      </c>
      <c r="F982" s="10">
        <f>97.0102 * CHOOSE(CONTROL!$C$9, $D$9, 100%, $F$9) + CHOOSE(CONTROL!$C$27, 0.0021, 0)</f>
        <v>97.012299999999996</v>
      </c>
      <c r="G982" s="10">
        <f>97.2816 * CHOOSE(CONTROL!$C$9, $D$9, 100%, $F$9) + CHOOSE(CONTROL!$C$27, 0.0021, 0)</f>
        <v>97.283699999999996</v>
      </c>
      <c r="H982" s="10">
        <f>97.1469 * CHOOSE(CONTROL!$C$9, $D$9, 100%, $F$9) + CHOOSE(CONTROL!$C$27, 0.0021, 0)</f>
        <v>97.149000000000001</v>
      </c>
      <c r="I982" s="10">
        <f>97.1469 * CHOOSE(CONTROL!$C$9, $D$9, 100%, $F$9) + CHOOSE(CONTROL!$C$27, 0.0021, 0)</f>
        <v>97.149000000000001</v>
      </c>
      <c r="J982" s="10">
        <f>97.1469 * CHOOSE(CONTROL!$C$9, $D$9, 100%, $F$9) + CHOOSE(CONTROL!$C$27, 0.0021, 0)</f>
        <v>97.149000000000001</v>
      </c>
      <c r="K982" s="10">
        <f>97.1469 * CHOOSE(CONTROL!$C$9, $D$9, 100%, $F$9) + CHOOSE(CONTROL!$C$27, 0.0021, 0)</f>
        <v>97.149000000000001</v>
      </c>
      <c r="L982" s="10"/>
    </row>
    <row r="983" spans="1:12" ht="15.75" x14ac:dyDescent="0.25">
      <c r="A983" s="13">
        <v>71224</v>
      </c>
      <c r="B983" s="10">
        <f>95.7108 * CHOOSE(CONTROL!$C$9, $D$9, 100%, $F$9) + CHOOSE(CONTROL!$C$27, 0.0021, 0)</f>
        <v>95.712900000000005</v>
      </c>
      <c r="C983" s="10">
        <f>95.2785 * CHOOSE(CONTROL!$C$9, $D$9, 100%, $F$9) + CHOOSE(CONTROL!$C$27, 0.0021, 0)</f>
        <v>95.280599999999993</v>
      </c>
      <c r="D983" s="10">
        <f>95.2785 * CHOOSE(CONTROL!$C$9, $D$9, 100%, $F$9) + CHOOSE(CONTROL!$C$27, 0.0021, 0)</f>
        <v>95.280599999999993</v>
      </c>
      <c r="E983" s="10">
        <f>95.1419 * CHOOSE(CONTROL!$C$9, $D$9, 100%, $F$9) + CHOOSE(CONTROL!$C$27, 0.0021, 0)</f>
        <v>95.144000000000005</v>
      </c>
      <c r="F983" s="10">
        <f>95.1419 * CHOOSE(CONTROL!$C$9, $D$9, 100%, $F$9) + CHOOSE(CONTROL!$C$27, 0.0021, 0)</f>
        <v>95.144000000000005</v>
      </c>
      <c r="G983" s="10">
        <f>95.4132 * CHOOSE(CONTROL!$C$9, $D$9, 100%, $F$9) + CHOOSE(CONTROL!$C$27, 0.0021, 0)</f>
        <v>95.415300000000002</v>
      </c>
      <c r="H983" s="10">
        <f>95.2785 * CHOOSE(CONTROL!$C$9, $D$9, 100%, $F$9) + CHOOSE(CONTROL!$C$27, 0.0021, 0)</f>
        <v>95.280599999999993</v>
      </c>
      <c r="I983" s="10">
        <f>95.2785 * CHOOSE(CONTROL!$C$9, $D$9, 100%, $F$9) + CHOOSE(CONTROL!$C$27, 0.0021, 0)</f>
        <v>95.280599999999993</v>
      </c>
      <c r="J983" s="10">
        <f>95.2785 * CHOOSE(CONTROL!$C$9, $D$9, 100%, $F$9) + CHOOSE(CONTROL!$C$27, 0.0021, 0)</f>
        <v>95.280599999999993</v>
      </c>
      <c r="K983" s="10">
        <f>95.2785 * CHOOSE(CONTROL!$C$9, $D$9, 100%, $F$9) + CHOOSE(CONTROL!$C$27, 0.0021, 0)</f>
        <v>95.280599999999993</v>
      </c>
      <c r="L983" s="10"/>
    </row>
    <row r="984" spans="1:12" ht="15.75" x14ac:dyDescent="0.25">
      <c r="A984" s="13">
        <v>71255</v>
      </c>
      <c r="B984" s="10">
        <f>94.2803 * CHOOSE(CONTROL!$C$9, $D$9, 100%, $F$9) + CHOOSE(CONTROL!$C$27, 0.0021, 0)</f>
        <v>94.282399999999996</v>
      </c>
      <c r="C984" s="10">
        <f>93.8481 * CHOOSE(CONTROL!$C$9, $D$9, 100%, $F$9) + CHOOSE(CONTROL!$C$27, 0.0021, 0)</f>
        <v>93.850200000000001</v>
      </c>
      <c r="D984" s="10">
        <f>93.8481 * CHOOSE(CONTROL!$C$9, $D$9, 100%, $F$9) + CHOOSE(CONTROL!$C$27, 0.0021, 0)</f>
        <v>93.850200000000001</v>
      </c>
      <c r="E984" s="10">
        <f>93.7114 * CHOOSE(CONTROL!$C$9, $D$9, 100%, $F$9) + CHOOSE(CONTROL!$C$27, 0.0021, 0)</f>
        <v>93.713499999999996</v>
      </c>
      <c r="F984" s="10">
        <f>93.7114 * CHOOSE(CONTROL!$C$9, $D$9, 100%, $F$9) + CHOOSE(CONTROL!$C$27, 0.0021, 0)</f>
        <v>93.713499999999996</v>
      </c>
      <c r="G984" s="10">
        <f>93.9828 * CHOOSE(CONTROL!$C$9, $D$9, 100%, $F$9) + CHOOSE(CONTROL!$C$27, 0.0021, 0)</f>
        <v>93.984899999999996</v>
      </c>
      <c r="H984" s="10">
        <f>93.8481 * CHOOSE(CONTROL!$C$9, $D$9, 100%, $F$9) + CHOOSE(CONTROL!$C$27, 0.0021, 0)</f>
        <v>93.850200000000001</v>
      </c>
      <c r="I984" s="10">
        <f>93.8481 * CHOOSE(CONTROL!$C$9, $D$9, 100%, $F$9) + CHOOSE(CONTROL!$C$27, 0.0021, 0)</f>
        <v>93.850200000000001</v>
      </c>
      <c r="J984" s="10">
        <f>93.8481 * CHOOSE(CONTROL!$C$9, $D$9, 100%, $F$9) + CHOOSE(CONTROL!$C$27, 0.0021, 0)</f>
        <v>93.850200000000001</v>
      </c>
      <c r="K984" s="10">
        <f>93.8481 * CHOOSE(CONTROL!$C$9, $D$9, 100%, $F$9) + CHOOSE(CONTROL!$C$27, 0.0021, 0)</f>
        <v>93.850200000000001</v>
      </c>
      <c r="L984" s="10"/>
    </row>
    <row r="985" spans="1:12" ht="15.75" x14ac:dyDescent="0.25">
      <c r="A985" s="13">
        <v>71283</v>
      </c>
      <c r="B985" s="10">
        <f>91.6784 * CHOOSE(CONTROL!$C$9, $D$9, 100%, $F$9) + CHOOSE(CONTROL!$C$27, 0.0021, 0)</f>
        <v>91.680499999999995</v>
      </c>
      <c r="C985" s="10">
        <f>91.2461 * CHOOSE(CONTROL!$C$9, $D$9, 100%, $F$9) + CHOOSE(CONTROL!$C$27, 0.0021, 0)</f>
        <v>91.248199999999997</v>
      </c>
      <c r="D985" s="10">
        <f>91.2461 * CHOOSE(CONTROL!$C$9, $D$9, 100%, $F$9) + CHOOSE(CONTROL!$C$27, 0.0021, 0)</f>
        <v>91.248199999999997</v>
      </c>
      <c r="E985" s="10">
        <f>91.1095 * CHOOSE(CONTROL!$C$9, $D$9, 100%, $F$9) + CHOOSE(CONTROL!$C$27, 0.0021, 0)</f>
        <v>91.111599999999996</v>
      </c>
      <c r="F985" s="10">
        <f>91.1095 * CHOOSE(CONTROL!$C$9, $D$9, 100%, $F$9) + CHOOSE(CONTROL!$C$27, 0.0021, 0)</f>
        <v>91.111599999999996</v>
      </c>
      <c r="G985" s="10">
        <f>91.3809 * CHOOSE(CONTROL!$C$9, $D$9, 100%, $F$9) + CHOOSE(CONTROL!$C$27, 0.0021, 0)</f>
        <v>91.382999999999996</v>
      </c>
      <c r="H985" s="10">
        <f>91.2461 * CHOOSE(CONTROL!$C$9, $D$9, 100%, $F$9) + CHOOSE(CONTROL!$C$27, 0.0021, 0)</f>
        <v>91.248199999999997</v>
      </c>
      <c r="I985" s="10">
        <f>91.2461 * CHOOSE(CONTROL!$C$9, $D$9, 100%, $F$9) + CHOOSE(CONTROL!$C$27, 0.0021, 0)</f>
        <v>91.248199999999997</v>
      </c>
      <c r="J985" s="10">
        <f>91.2461 * CHOOSE(CONTROL!$C$9, $D$9, 100%, $F$9) + CHOOSE(CONTROL!$C$27, 0.0021, 0)</f>
        <v>91.248199999999997</v>
      </c>
      <c r="K985" s="10">
        <f>91.2461 * CHOOSE(CONTROL!$C$9, $D$9, 100%, $F$9) + CHOOSE(CONTROL!$C$27, 0.0021, 0)</f>
        <v>91.248199999999997</v>
      </c>
      <c r="L985" s="10"/>
    </row>
    <row r="986" spans="1:12" ht="15.75" x14ac:dyDescent="0.25">
      <c r="A986" s="13">
        <v>71314</v>
      </c>
      <c r="B986" s="10">
        <f>90.6043 * CHOOSE(CONTROL!$C$9, $D$9, 100%, $F$9) + CHOOSE(CONTROL!$C$27, 0.0021, 0)</f>
        <v>90.606399999999994</v>
      </c>
      <c r="C986" s="10">
        <f>90.1721 * CHOOSE(CONTROL!$C$9, $D$9, 100%, $F$9) + CHOOSE(CONTROL!$C$27, 0.0021, 0)</f>
        <v>90.174199999999999</v>
      </c>
      <c r="D986" s="10">
        <f>90.1721 * CHOOSE(CONTROL!$C$9, $D$9, 100%, $F$9) + CHOOSE(CONTROL!$C$27, 0.0021, 0)</f>
        <v>90.174199999999999</v>
      </c>
      <c r="E986" s="10">
        <f>90.0354 * CHOOSE(CONTROL!$C$9, $D$9, 100%, $F$9) + CHOOSE(CONTROL!$C$27, 0.0021, 0)</f>
        <v>90.037499999999994</v>
      </c>
      <c r="F986" s="10">
        <f>90.0354 * CHOOSE(CONTROL!$C$9, $D$9, 100%, $F$9) + CHOOSE(CONTROL!$C$27, 0.0021, 0)</f>
        <v>90.037499999999994</v>
      </c>
      <c r="G986" s="10">
        <f>90.3068 * CHOOSE(CONTROL!$C$9, $D$9, 100%, $F$9) + CHOOSE(CONTROL!$C$27, 0.0021, 0)</f>
        <v>90.308899999999994</v>
      </c>
      <c r="H986" s="10">
        <f>90.1721 * CHOOSE(CONTROL!$C$9, $D$9, 100%, $F$9) + CHOOSE(CONTROL!$C$27, 0.0021, 0)</f>
        <v>90.174199999999999</v>
      </c>
      <c r="I986" s="10">
        <f>90.1721 * CHOOSE(CONTROL!$C$9, $D$9, 100%, $F$9) + CHOOSE(CONTROL!$C$27, 0.0021, 0)</f>
        <v>90.174199999999999</v>
      </c>
      <c r="J986" s="10">
        <f>90.1721 * CHOOSE(CONTROL!$C$9, $D$9, 100%, $F$9) + CHOOSE(CONTROL!$C$27, 0.0021, 0)</f>
        <v>90.174199999999999</v>
      </c>
      <c r="K986" s="10">
        <f>90.1721 * CHOOSE(CONTROL!$C$9, $D$9, 100%, $F$9) + CHOOSE(CONTROL!$C$27, 0.0021, 0)</f>
        <v>90.174199999999999</v>
      </c>
      <c r="L986" s="10"/>
    </row>
    <row r="987" spans="1:12" ht="15.75" x14ac:dyDescent="0.25">
      <c r="A987" s="13">
        <v>71344</v>
      </c>
      <c r="B987" s="10">
        <f>89.3219 * CHOOSE(CONTROL!$C$9, $D$9, 100%, $F$9) + CHOOSE(CONTROL!$C$27, 0.0021, 0)</f>
        <v>89.323999999999998</v>
      </c>
      <c r="C987" s="10">
        <f>88.8896 * CHOOSE(CONTROL!$C$9, $D$9, 100%, $F$9) + CHOOSE(CONTROL!$C$27, 0.0021, 0)</f>
        <v>88.8917</v>
      </c>
      <c r="D987" s="10">
        <f>88.8896 * CHOOSE(CONTROL!$C$9, $D$9, 100%, $F$9) + CHOOSE(CONTROL!$C$27, 0.0021, 0)</f>
        <v>88.8917</v>
      </c>
      <c r="E987" s="10">
        <f>88.753 * CHOOSE(CONTROL!$C$9, $D$9, 100%, $F$9) + CHOOSE(CONTROL!$C$27, 0.0021, 0)</f>
        <v>88.755099999999999</v>
      </c>
      <c r="F987" s="10">
        <f>88.753 * CHOOSE(CONTROL!$C$9, $D$9, 100%, $F$9) + CHOOSE(CONTROL!$C$27, 0.0021, 0)</f>
        <v>88.755099999999999</v>
      </c>
      <c r="G987" s="10">
        <f>89.0243 * CHOOSE(CONTROL!$C$9, $D$9, 100%, $F$9) + CHOOSE(CONTROL!$C$27, 0.0021, 0)</f>
        <v>89.026399999999995</v>
      </c>
      <c r="H987" s="10">
        <f>88.8896 * CHOOSE(CONTROL!$C$9, $D$9, 100%, $F$9) + CHOOSE(CONTROL!$C$27, 0.0021, 0)</f>
        <v>88.8917</v>
      </c>
      <c r="I987" s="10">
        <f>88.8896 * CHOOSE(CONTROL!$C$9, $D$9, 100%, $F$9) + CHOOSE(CONTROL!$C$27, 0.0021, 0)</f>
        <v>88.8917</v>
      </c>
      <c r="J987" s="10">
        <f>88.8896 * CHOOSE(CONTROL!$C$9, $D$9, 100%, $F$9) + CHOOSE(CONTROL!$C$27, 0.0021, 0)</f>
        <v>88.8917</v>
      </c>
      <c r="K987" s="10">
        <f>88.8896 * CHOOSE(CONTROL!$C$9, $D$9, 100%, $F$9) + CHOOSE(CONTROL!$C$27, 0.0021, 0)</f>
        <v>88.8917</v>
      </c>
      <c r="L987" s="10"/>
    </row>
    <row r="988" spans="1:12" ht="15.75" x14ac:dyDescent="0.25">
      <c r="A988" s="13">
        <v>71375</v>
      </c>
      <c r="B988" s="10">
        <f>91.1495 * CHOOSE(CONTROL!$C$9, $D$9, 100%, $F$9) + CHOOSE(CONTROL!$C$27, 0.0021, 0)</f>
        <v>91.151600000000002</v>
      </c>
      <c r="C988" s="10">
        <f>90.7173 * CHOOSE(CONTROL!$C$9, $D$9, 100%, $F$9) + CHOOSE(CONTROL!$C$27, 0.0021, 0)</f>
        <v>90.719399999999993</v>
      </c>
      <c r="D988" s="10">
        <f>90.7173 * CHOOSE(CONTROL!$C$9, $D$9, 100%, $F$9) + CHOOSE(CONTROL!$C$27, 0.0021, 0)</f>
        <v>90.719399999999993</v>
      </c>
      <c r="E988" s="10">
        <f>90.5806 * CHOOSE(CONTROL!$C$9, $D$9, 100%, $F$9) + CHOOSE(CONTROL!$C$27, 0.0021, 0)</f>
        <v>90.582700000000003</v>
      </c>
      <c r="F988" s="10">
        <f>90.5806 * CHOOSE(CONTROL!$C$9, $D$9, 100%, $F$9) + CHOOSE(CONTROL!$C$27, 0.0021, 0)</f>
        <v>90.582700000000003</v>
      </c>
      <c r="G988" s="10">
        <f>90.852 * CHOOSE(CONTROL!$C$9, $D$9, 100%, $F$9) + CHOOSE(CONTROL!$C$27, 0.0021, 0)</f>
        <v>90.854100000000003</v>
      </c>
      <c r="H988" s="10">
        <f>90.7173 * CHOOSE(CONTROL!$C$9, $D$9, 100%, $F$9) + CHOOSE(CONTROL!$C$27, 0.0021, 0)</f>
        <v>90.719399999999993</v>
      </c>
      <c r="I988" s="10">
        <f>90.7173 * CHOOSE(CONTROL!$C$9, $D$9, 100%, $F$9) + CHOOSE(CONTROL!$C$27, 0.0021, 0)</f>
        <v>90.719399999999993</v>
      </c>
      <c r="J988" s="10">
        <f>90.7173 * CHOOSE(CONTROL!$C$9, $D$9, 100%, $F$9) + CHOOSE(CONTROL!$C$27, 0.0021, 0)</f>
        <v>90.719399999999993</v>
      </c>
      <c r="K988" s="10">
        <f>90.7173 * CHOOSE(CONTROL!$C$9, $D$9, 100%, $F$9) + CHOOSE(CONTROL!$C$27, 0.0021, 0)</f>
        <v>90.719399999999993</v>
      </c>
      <c r="L988" s="10"/>
    </row>
    <row r="989" spans="1:12" ht="15.75" x14ac:dyDescent="0.25">
      <c r="A989" s="13">
        <v>71405</v>
      </c>
      <c r="B989" s="10">
        <f>92.2442 * CHOOSE(CONTROL!$C$9, $D$9, 100%, $F$9) + CHOOSE(CONTROL!$C$27, 0.0021, 0)</f>
        <v>92.246300000000005</v>
      </c>
      <c r="C989" s="10">
        <f>91.812 * CHOOSE(CONTROL!$C$9, $D$9, 100%, $F$9) + CHOOSE(CONTROL!$C$27, 0.0021, 0)</f>
        <v>91.814099999999996</v>
      </c>
      <c r="D989" s="10">
        <f>91.812 * CHOOSE(CONTROL!$C$9, $D$9, 100%, $F$9) + CHOOSE(CONTROL!$C$27, 0.0021, 0)</f>
        <v>91.814099999999996</v>
      </c>
      <c r="E989" s="10">
        <f>91.6753 * CHOOSE(CONTROL!$C$9, $D$9, 100%, $F$9) + CHOOSE(CONTROL!$C$27, 0.0021, 0)</f>
        <v>91.677399999999992</v>
      </c>
      <c r="F989" s="10">
        <f>91.6753 * CHOOSE(CONTROL!$C$9, $D$9, 100%, $F$9) + CHOOSE(CONTROL!$C$27, 0.0021, 0)</f>
        <v>91.677399999999992</v>
      </c>
      <c r="G989" s="10">
        <f>91.9467 * CHOOSE(CONTROL!$C$9, $D$9, 100%, $F$9) + CHOOSE(CONTROL!$C$27, 0.0021, 0)</f>
        <v>91.948800000000006</v>
      </c>
      <c r="H989" s="10">
        <f>91.812 * CHOOSE(CONTROL!$C$9, $D$9, 100%, $F$9) + CHOOSE(CONTROL!$C$27, 0.0021, 0)</f>
        <v>91.814099999999996</v>
      </c>
      <c r="I989" s="10">
        <f>91.812 * CHOOSE(CONTROL!$C$9, $D$9, 100%, $F$9) + CHOOSE(CONTROL!$C$27, 0.0021, 0)</f>
        <v>91.814099999999996</v>
      </c>
      <c r="J989" s="10">
        <f>91.812 * CHOOSE(CONTROL!$C$9, $D$9, 100%, $F$9) + CHOOSE(CONTROL!$C$27, 0.0021, 0)</f>
        <v>91.814099999999996</v>
      </c>
      <c r="K989" s="10">
        <f>91.812 * CHOOSE(CONTROL!$C$9, $D$9, 100%, $F$9) + CHOOSE(CONTROL!$C$27, 0.0021, 0)</f>
        <v>91.814099999999996</v>
      </c>
      <c r="L989" s="10"/>
    </row>
    <row r="990" spans="1:12" ht="15.75" x14ac:dyDescent="0.25">
      <c r="A990" s="13">
        <v>71436</v>
      </c>
      <c r="B990" s="10">
        <f>94.0501 * CHOOSE(CONTROL!$C$9, $D$9, 100%, $F$9) + CHOOSE(CONTROL!$C$27, 0.0021, 0)</f>
        <v>94.052199999999999</v>
      </c>
      <c r="C990" s="10">
        <f>93.6178 * CHOOSE(CONTROL!$C$9, $D$9, 100%, $F$9) + CHOOSE(CONTROL!$C$27, 0.0021, 0)</f>
        <v>93.619900000000001</v>
      </c>
      <c r="D990" s="10">
        <f>93.6178 * CHOOSE(CONTROL!$C$9, $D$9, 100%, $F$9) + CHOOSE(CONTROL!$C$27, 0.0021, 0)</f>
        <v>93.619900000000001</v>
      </c>
      <c r="E990" s="10">
        <f>93.4811 * CHOOSE(CONTROL!$C$9, $D$9, 100%, $F$9) + CHOOSE(CONTROL!$C$27, 0.0021, 0)</f>
        <v>93.483199999999997</v>
      </c>
      <c r="F990" s="10">
        <f>93.4811 * CHOOSE(CONTROL!$C$9, $D$9, 100%, $F$9) + CHOOSE(CONTROL!$C$27, 0.0021, 0)</f>
        <v>93.483199999999997</v>
      </c>
      <c r="G990" s="10">
        <f>93.7525 * CHOOSE(CONTROL!$C$9, $D$9, 100%, $F$9) + CHOOSE(CONTROL!$C$27, 0.0021, 0)</f>
        <v>93.754599999999996</v>
      </c>
      <c r="H990" s="10">
        <f>93.6178 * CHOOSE(CONTROL!$C$9, $D$9, 100%, $F$9) + CHOOSE(CONTROL!$C$27, 0.0021, 0)</f>
        <v>93.619900000000001</v>
      </c>
      <c r="I990" s="10">
        <f>93.6178 * CHOOSE(CONTROL!$C$9, $D$9, 100%, $F$9) + CHOOSE(CONTROL!$C$27, 0.0021, 0)</f>
        <v>93.619900000000001</v>
      </c>
      <c r="J990" s="10">
        <f>93.6178 * CHOOSE(CONTROL!$C$9, $D$9, 100%, $F$9) + CHOOSE(CONTROL!$C$27, 0.0021, 0)</f>
        <v>93.619900000000001</v>
      </c>
      <c r="K990" s="10">
        <f>93.6178 * CHOOSE(CONTROL!$C$9, $D$9, 100%, $F$9) + CHOOSE(CONTROL!$C$27, 0.0021, 0)</f>
        <v>93.619900000000001</v>
      </c>
      <c r="L990" s="10"/>
    </row>
    <row r="991" spans="1:12" ht="15.75" x14ac:dyDescent="0.25">
      <c r="A991" s="13">
        <v>71467</v>
      </c>
      <c r="B991" s="10">
        <f>94.6013 * CHOOSE(CONTROL!$C$9, $D$9, 100%, $F$9) + CHOOSE(CONTROL!$C$27, 0.0021, 0)</f>
        <v>94.603399999999993</v>
      </c>
      <c r="C991" s="10">
        <f>94.169 * CHOOSE(CONTROL!$C$9, $D$9, 100%, $F$9) + CHOOSE(CONTROL!$C$27, 0.0021, 0)</f>
        <v>94.171099999999996</v>
      </c>
      <c r="D991" s="10">
        <f>94.169 * CHOOSE(CONTROL!$C$9, $D$9, 100%, $F$9) + CHOOSE(CONTROL!$C$27, 0.0021, 0)</f>
        <v>94.171099999999996</v>
      </c>
      <c r="E991" s="10">
        <f>94.0323 * CHOOSE(CONTROL!$C$9, $D$9, 100%, $F$9) + CHOOSE(CONTROL!$C$27, 0.0021, 0)</f>
        <v>94.034400000000005</v>
      </c>
      <c r="F991" s="10">
        <f>94.0323 * CHOOSE(CONTROL!$C$9, $D$9, 100%, $F$9) + CHOOSE(CONTROL!$C$27, 0.0021, 0)</f>
        <v>94.034400000000005</v>
      </c>
      <c r="G991" s="10">
        <f>94.3037 * CHOOSE(CONTROL!$C$9, $D$9, 100%, $F$9) + CHOOSE(CONTROL!$C$27, 0.0021, 0)</f>
        <v>94.305800000000005</v>
      </c>
      <c r="H991" s="10">
        <f>94.169 * CHOOSE(CONTROL!$C$9, $D$9, 100%, $F$9) + CHOOSE(CONTROL!$C$27, 0.0021, 0)</f>
        <v>94.171099999999996</v>
      </c>
      <c r="I991" s="10">
        <f>94.169 * CHOOSE(CONTROL!$C$9, $D$9, 100%, $F$9) + CHOOSE(CONTROL!$C$27, 0.0021, 0)</f>
        <v>94.171099999999996</v>
      </c>
      <c r="J991" s="10">
        <f>94.169 * CHOOSE(CONTROL!$C$9, $D$9, 100%, $F$9) + CHOOSE(CONTROL!$C$27, 0.0021, 0)</f>
        <v>94.171099999999996</v>
      </c>
      <c r="K991" s="10">
        <f>94.169 * CHOOSE(CONTROL!$C$9, $D$9, 100%, $F$9) + CHOOSE(CONTROL!$C$27, 0.0021, 0)</f>
        <v>94.171099999999996</v>
      </c>
      <c r="L991" s="10"/>
    </row>
    <row r="992" spans="1:12" ht="15.75" x14ac:dyDescent="0.25">
      <c r="A992" s="13">
        <v>71497</v>
      </c>
      <c r="B992" s="10">
        <f>96.4784 * CHOOSE(CONTROL!$C$9, $D$9, 100%, $F$9) + CHOOSE(CONTROL!$C$27, 0.0021, 0)</f>
        <v>96.480499999999992</v>
      </c>
      <c r="C992" s="10">
        <f>96.0461 * CHOOSE(CONTROL!$C$9, $D$9, 100%, $F$9) + CHOOSE(CONTROL!$C$27, 0.0021, 0)</f>
        <v>96.048199999999994</v>
      </c>
      <c r="D992" s="10">
        <f>96.0461 * CHOOSE(CONTROL!$C$9, $D$9, 100%, $F$9) + CHOOSE(CONTROL!$C$27, 0.0021, 0)</f>
        <v>96.048199999999994</v>
      </c>
      <c r="E992" s="10">
        <f>95.9094 * CHOOSE(CONTROL!$C$9, $D$9, 100%, $F$9) + CHOOSE(CONTROL!$C$27, 0.0021, 0)</f>
        <v>95.911500000000004</v>
      </c>
      <c r="F992" s="10">
        <f>95.9094 * CHOOSE(CONTROL!$C$9, $D$9, 100%, $F$9) + CHOOSE(CONTROL!$C$27, 0.0021, 0)</f>
        <v>95.911500000000004</v>
      </c>
      <c r="G992" s="10">
        <f>96.1808 * CHOOSE(CONTROL!$C$9, $D$9, 100%, $F$9) + CHOOSE(CONTROL!$C$27, 0.0021, 0)</f>
        <v>96.182900000000004</v>
      </c>
      <c r="H992" s="10">
        <f>96.0461 * CHOOSE(CONTROL!$C$9, $D$9, 100%, $F$9) + CHOOSE(CONTROL!$C$27, 0.0021, 0)</f>
        <v>96.048199999999994</v>
      </c>
      <c r="I992" s="10">
        <f>96.0461 * CHOOSE(CONTROL!$C$9, $D$9, 100%, $F$9) + CHOOSE(CONTROL!$C$27, 0.0021, 0)</f>
        <v>96.048199999999994</v>
      </c>
      <c r="J992" s="10">
        <f>96.0461 * CHOOSE(CONTROL!$C$9, $D$9, 100%, $F$9) + CHOOSE(CONTROL!$C$27, 0.0021, 0)</f>
        <v>96.048199999999994</v>
      </c>
      <c r="K992" s="10">
        <f>96.0461 * CHOOSE(CONTROL!$C$9, $D$9, 100%, $F$9) + CHOOSE(CONTROL!$C$27, 0.0021, 0)</f>
        <v>96.048199999999994</v>
      </c>
      <c r="L992" s="10"/>
    </row>
    <row r="993" spans="1:12" ht="15.75" x14ac:dyDescent="0.25">
      <c r="A993" s="13">
        <v>71528</v>
      </c>
      <c r="B993" s="10">
        <f>98.8544 * CHOOSE(CONTROL!$C$9, $D$9, 100%, $F$9) + CHOOSE(CONTROL!$C$27, 0.0021, 0)</f>
        <v>98.856499999999997</v>
      </c>
      <c r="C993" s="10">
        <f>98.4222 * CHOOSE(CONTROL!$C$9, $D$9, 100%, $F$9) + CHOOSE(CONTROL!$C$27, 0.0021, 0)</f>
        <v>98.424300000000002</v>
      </c>
      <c r="D993" s="10">
        <f>98.4222 * CHOOSE(CONTROL!$C$9, $D$9, 100%, $F$9) + CHOOSE(CONTROL!$C$27, 0.0021, 0)</f>
        <v>98.424300000000002</v>
      </c>
      <c r="E993" s="10">
        <f>98.2855 * CHOOSE(CONTROL!$C$9, $D$9, 100%, $F$9) + CHOOSE(CONTROL!$C$27, 0.0021, 0)</f>
        <v>98.287599999999998</v>
      </c>
      <c r="F993" s="10">
        <f>98.2855 * CHOOSE(CONTROL!$C$9, $D$9, 100%, $F$9) + CHOOSE(CONTROL!$C$27, 0.0021, 0)</f>
        <v>98.287599999999998</v>
      </c>
      <c r="G993" s="10">
        <f>98.5569 * CHOOSE(CONTROL!$C$9, $D$9, 100%, $F$9) + CHOOSE(CONTROL!$C$27, 0.0021, 0)</f>
        <v>98.558999999999997</v>
      </c>
      <c r="H993" s="10">
        <f>98.4222 * CHOOSE(CONTROL!$C$9, $D$9, 100%, $F$9) + CHOOSE(CONTROL!$C$27, 0.0021, 0)</f>
        <v>98.424300000000002</v>
      </c>
      <c r="I993" s="10">
        <f>98.4222 * CHOOSE(CONTROL!$C$9, $D$9, 100%, $F$9) + CHOOSE(CONTROL!$C$27, 0.0021, 0)</f>
        <v>98.424300000000002</v>
      </c>
      <c r="J993" s="10">
        <f>98.4222 * CHOOSE(CONTROL!$C$9, $D$9, 100%, $F$9) + CHOOSE(CONTROL!$C$27, 0.0021, 0)</f>
        <v>98.424300000000002</v>
      </c>
      <c r="K993" s="10">
        <f>98.4222 * CHOOSE(CONTROL!$C$9, $D$9, 100%, $F$9) + CHOOSE(CONTROL!$C$27, 0.0021, 0)</f>
        <v>98.424300000000002</v>
      </c>
      <c r="L993" s="10"/>
    </row>
    <row r="994" spans="1:12" ht="15.75" x14ac:dyDescent="0.25">
      <c r="A994" s="13">
        <v>71558</v>
      </c>
      <c r="B994" s="10">
        <f>99.0775 * CHOOSE(CONTROL!$C$9, $D$9, 100%, $F$9) + CHOOSE(CONTROL!$C$27, 0.0021, 0)</f>
        <v>99.079599999999999</v>
      </c>
      <c r="C994" s="10">
        <f>98.6452 * CHOOSE(CONTROL!$C$9, $D$9, 100%, $F$9) + CHOOSE(CONTROL!$C$27, 0.0021, 0)</f>
        <v>98.647300000000001</v>
      </c>
      <c r="D994" s="10">
        <f>98.6452 * CHOOSE(CONTROL!$C$9, $D$9, 100%, $F$9) + CHOOSE(CONTROL!$C$27, 0.0021, 0)</f>
        <v>98.647300000000001</v>
      </c>
      <c r="E994" s="10">
        <f>98.5086 * CHOOSE(CONTROL!$C$9, $D$9, 100%, $F$9) + CHOOSE(CONTROL!$C$27, 0.0021, 0)</f>
        <v>98.5107</v>
      </c>
      <c r="F994" s="10">
        <f>98.5086 * CHOOSE(CONTROL!$C$9, $D$9, 100%, $F$9) + CHOOSE(CONTROL!$C$27, 0.0021, 0)</f>
        <v>98.5107</v>
      </c>
      <c r="G994" s="10">
        <f>98.78 * CHOOSE(CONTROL!$C$9, $D$9, 100%, $F$9) + CHOOSE(CONTROL!$C$27, 0.0021, 0)</f>
        <v>98.7821</v>
      </c>
      <c r="H994" s="10">
        <f>98.6452 * CHOOSE(CONTROL!$C$9, $D$9, 100%, $F$9) + CHOOSE(CONTROL!$C$27, 0.0021, 0)</f>
        <v>98.647300000000001</v>
      </c>
      <c r="I994" s="10">
        <f>98.6452 * CHOOSE(CONTROL!$C$9, $D$9, 100%, $F$9) + CHOOSE(CONTROL!$C$27, 0.0021, 0)</f>
        <v>98.647300000000001</v>
      </c>
      <c r="J994" s="10">
        <f>98.6452 * CHOOSE(CONTROL!$C$9, $D$9, 100%, $F$9) + CHOOSE(CONTROL!$C$27, 0.0021, 0)</f>
        <v>98.647300000000001</v>
      </c>
      <c r="K994" s="10">
        <f>98.6452 * CHOOSE(CONTROL!$C$9, $D$9, 100%, $F$9) + CHOOSE(CONTROL!$C$27, 0.0021, 0)</f>
        <v>98.647300000000001</v>
      </c>
      <c r="L994" s="10"/>
    </row>
    <row r="995" spans="1:12" ht="15.75" x14ac:dyDescent="0.25">
      <c r="A995" s="13">
        <v>71589</v>
      </c>
      <c r="B995" s="10">
        <f>97.1798 * CHOOSE(CONTROL!$C$9, $D$9, 100%, $F$9) + CHOOSE(CONTROL!$C$27, 0.0021, 0)</f>
        <v>97.181899999999999</v>
      </c>
      <c r="C995" s="10">
        <f>96.7475 * CHOOSE(CONTROL!$C$9, $D$9, 100%, $F$9) + CHOOSE(CONTROL!$C$27, 0.0021, 0)</f>
        <v>96.749600000000001</v>
      </c>
      <c r="D995" s="10">
        <f>96.7475 * CHOOSE(CONTROL!$C$9, $D$9, 100%, $F$9) + CHOOSE(CONTROL!$C$27, 0.0021, 0)</f>
        <v>96.749600000000001</v>
      </c>
      <c r="E995" s="10">
        <f>96.6109 * CHOOSE(CONTROL!$C$9, $D$9, 100%, $F$9) + CHOOSE(CONTROL!$C$27, 0.0021, 0)</f>
        <v>96.613</v>
      </c>
      <c r="F995" s="10">
        <f>96.6109 * CHOOSE(CONTROL!$C$9, $D$9, 100%, $F$9) + CHOOSE(CONTROL!$C$27, 0.0021, 0)</f>
        <v>96.613</v>
      </c>
      <c r="G995" s="10">
        <f>96.8822 * CHOOSE(CONTROL!$C$9, $D$9, 100%, $F$9) + CHOOSE(CONTROL!$C$27, 0.0021, 0)</f>
        <v>96.884299999999996</v>
      </c>
      <c r="H995" s="10">
        <f>96.7475 * CHOOSE(CONTROL!$C$9, $D$9, 100%, $F$9) + CHOOSE(CONTROL!$C$27, 0.0021, 0)</f>
        <v>96.749600000000001</v>
      </c>
      <c r="I995" s="10">
        <f>96.7475 * CHOOSE(CONTROL!$C$9, $D$9, 100%, $F$9) + CHOOSE(CONTROL!$C$27, 0.0021, 0)</f>
        <v>96.749600000000001</v>
      </c>
      <c r="J995" s="10">
        <f>96.7475 * CHOOSE(CONTROL!$C$9, $D$9, 100%, $F$9) + CHOOSE(CONTROL!$C$27, 0.0021, 0)</f>
        <v>96.749600000000001</v>
      </c>
      <c r="K995" s="10">
        <f>96.7475 * CHOOSE(CONTROL!$C$9, $D$9, 100%, $F$9) + CHOOSE(CONTROL!$C$27, 0.0021, 0)</f>
        <v>96.749600000000001</v>
      </c>
      <c r="L995" s="10"/>
    </row>
    <row r="996" spans="1:12" ht="15.75" x14ac:dyDescent="0.25">
      <c r="A996" s="13">
        <v>71620</v>
      </c>
      <c r="B996" s="10">
        <f>95.7268 * CHOOSE(CONTROL!$C$9, $D$9, 100%, $F$9) + CHOOSE(CONTROL!$C$27, 0.0021, 0)</f>
        <v>95.728899999999996</v>
      </c>
      <c r="C996" s="10">
        <f>95.2946 * CHOOSE(CONTROL!$C$9, $D$9, 100%, $F$9) + CHOOSE(CONTROL!$C$27, 0.0021, 0)</f>
        <v>95.296700000000001</v>
      </c>
      <c r="D996" s="10">
        <f>95.2946 * CHOOSE(CONTROL!$C$9, $D$9, 100%, $F$9) + CHOOSE(CONTROL!$C$27, 0.0021, 0)</f>
        <v>95.296700000000001</v>
      </c>
      <c r="E996" s="10">
        <f>95.1579 * CHOOSE(CONTROL!$C$9, $D$9, 100%, $F$9) + CHOOSE(CONTROL!$C$27, 0.0021, 0)</f>
        <v>95.16</v>
      </c>
      <c r="F996" s="10">
        <f>95.1579 * CHOOSE(CONTROL!$C$9, $D$9, 100%, $F$9) + CHOOSE(CONTROL!$C$27, 0.0021, 0)</f>
        <v>95.16</v>
      </c>
      <c r="G996" s="10">
        <f>95.4293 * CHOOSE(CONTROL!$C$9, $D$9, 100%, $F$9) + CHOOSE(CONTROL!$C$27, 0.0021, 0)</f>
        <v>95.431399999999996</v>
      </c>
      <c r="H996" s="10">
        <f>95.2946 * CHOOSE(CONTROL!$C$9, $D$9, 100%, $F$9) + CHOOSE(CONTROL!$C$27, 0.0021, 0)</f>
        <v>95.296700000000001</v>
      </c>
      <c r="I996" s="10">
        <f>95.2946 * CHOOSE(CONTROL!$C$9, $D$9, 100%, $F$9) + CHOOSE(CONTROL!$C$27, 0.0021, 0)</f>
        <v>95.296700000000001</v>
      </c>
      <c r="J996" s="10">
        <f>95.2946 * CHOOSE(CONTROL!$C$9, $D$9, 100%, $F$9) + CHOOSE(CONTROL!$C$27, 0.0021, 0)</f>
        <v>95.296700000000001</v>
      </c>
      <c r="K996" s="10">
        <f>95.2946 * CHOOSE(CONTROL!$C$9, $D$9, 100%, $F$9) + CHOOSE(CONTROL!$C$27, 0.0021, 0)</f>
        <v>95.296700000000001</v>
      </c>
      <c r="L996" s="10"/>
    </row>
    <row r="997" spans="1:12" ht="15.75" x14ac:dyDescent="0.25">
      <c r="A997" s="13">
        <v>71649</v>
      </c>
      <c r="B997" s="10">
        <f>93.084 * CHOOSE(CONTROL!$C$9, $D$9, 100%, $F$9) + CHOOSE(CONTROL!$C$27, 0.0021, 0)</f>
        <v>93.086100000000002</v>
      </c>
      <c r="C997" s="10">
        <f>92.6517 * CHOOSE(CONTROL!$C$9, $D$9, 100%, $F$9) + CHOOSE(CONTROL!$C$27, 0.0021, 0)</f>
        <v>92.653800000000004</v>
      </c>
      <c r="D997" s="10">
        <f>92.6517 * CHOOSE(CONTROL!$C$9, $D$9, 100%, $F$9) + CHOOSE(CONTROL!$C$27, 0.0021, 0)</f>
        <v>92.653800000000004</v>
      </c>
      <c r="E997" s="10">
        <f>92.5151 * CHOOSE(CONTROL!$C$9, $D$9, 100%, $F$9) + CHOOSE(CONTROL!$C$27, 0.0021, 0)</f>
        <v>92.517200000000003</v>
      </c>
      <c r="F997" s="10">
        <f>92.5151 * CHOOSE(CONTROL!$C$9, $D$9, 100%, $F$9) + CHOOSE(CONTROL!$C$27, 0.0021, 0)</f>
        <v>92.517200000000003</v>
      </c>
      <c r="G997" s="10">
        <f>92.7864 * CHOOSE(CONTROL!$C$9, $D$9, 100%, $F$9) + CHOOSE(CONTROL!$C$27, 0.0021, 0)</f>
        <v>92.788499999999999</v>
      </c>
      <c r="H997" s="10">
        <f>92.6517 * CHOOSE(CONTROL!$C$9, $D$9, 100%, $F$9) + CHOOSE(CONTROL!$C$27, 0.0021, 0)</f>
        <v>92.653800000000004</v>
      </c>
      <c r="I997" s="10">
        <f>92.6517 * CHOOSE(CONTROL!$C$9, $D$9, 100%, $F$9) + CHOOSE(CONTROL!$C$27, 0.0021, 0)</f>
        <v>92.653800000000004</v>
      </c>
      <c r="J997" s="10">
        <f>92.6517 * CHOOSE(CONTROL!$C$9, $D$9, 100%, $F$9) + CHOOSE(CONTROL!$C$27, 0.0021, 0)</f>
        <v>92.653800000000004</v>
      </c>
      <c r="K997" s="10">
        <f>92.6517 * CHOOSE(CONTROL!$C$9, $D$9, 100%, $F$9) + CHOOSE(CONTROL!$C$27, 0.0021, 0)</f>
        <v>92.653800000000004</v>
      </c>
      <c r="L997" s="10"/>
    </row>
    <row r="998" spans="1:12" ht="15.75" x14ac:dyDescent="0.25">
      <c r="A998" s="13">
        <v>71680</v>
      </c>
      <c r="B998" s="10">
        <f>91.993 * CHOOSE(CONTROL!$C$9, $D$9, 100%, $F$9) + CHOOSE(CONTROL!$C$27, 0.0021, 0)</f>
        <v>91.995099999999994</v>
      </c>
      <c r="C998" s="10">
        <f>91.5608 * CHOOSE(CONTROL!$C$9, $D$9, 100%, $F$9) + CHOOSE(CONTROL!$C$27, 0.0021, 0)</f>
        <v>91.562899999999999</v>
      </c>
      <c r="D998" s="10">
        <f>91.5608 * CHOOSE(CONTROL!$C$9, $D$9, 100%, $F$9) + CHOOSE(CONTROL!$C$27, 0.0021, 0)</f>
        <v>91.562899999999999</v>
      </c>
      <c r="E998" s="10">
        <f>91.4241 * CHOOSE(CONTROL!$C$9, $D$9, 100%, $F$9) + CHOOSE(CONTROL!$C$27, 0.0021, 0)</f>
        <v>91.426199999999994</v>
      </c>
      <c r="F998" s="10">
        <f>91.4241 * CHOOSE(CONTROL!$C$9, $D$9, 100%, $F$9) + CHOOSE(CONTROL!$C$27, 0.0021, 0)</f>
        <v>91.426199999999994</v>
      </c>
      <c r="G998" s="10">
        <f>91.6955 * CHOOSE(CONTROL!$C$9, $D$9, 100%, $F$9) + CHOOSE(CONTROL!$C$27, 0.0021, 0)</f>
        <v>91.697599999999994</v>
      </c>
      <c r="H998" s="10">
        <f>91.5608 * CHOOSE(CONTROL!$C$9, $D$9, 100%, $F$9) + CHOOSE(CONTROL!$C$27, 0.0021, 0)</f>
        <v>91.562899999999999</v>
      </c>
      <c r="I998" s="10">
        <f>91.5608 * CHOOSE(CONTROL!$C$9, $D$9, 100%, $F$9) + CHOOSE(CONTROL!$C$27, 0.0021, 0)</f>
        <v>91.562899999999999</v>
      </c>
      <c r="J998" s="10">
        <f>91.5608 * CHOOSE(CONTROL!$C$9, $D$9, 100%, $F$9) + CHOOSE(CONTROL!$C$27, 0.0021, 0)</f>
        <v>91.562899999999999</v>
      </c>
      <c r="K998" s="10">
        <f>91.5608 * CHOOSE(CONTROL!$C$9, $D$9, 100%, $F$9) + CHOOSE(CONTROL!$C$27, 0.0021, 0)</f>
        <v>91.562899999999999</v>
      </c>
      <c r="L998" s="10"/>
    </row>
    <row r="999" spans="1:12" ht="15.75" x14ac:dyDescent="0.25">
      <c r="A999" s="13">
        <v>71710</v>
      </c>
      <c r="B999" s="10">
        <f>90.6904 * CHOOSE(CONTROL!$C$9, $D$9, 100%, $F$9) + CHOOSE(CONTROL!$C$27, 0.0021, 0)</f>
        <v>90.692499999999995</v>
      </c>
      <c r="C999" s="10">
        <f>90.2581 * CHOOSE(CONTROL!$C$9, $D$9, 100%, $F$9) + CHOOSE(CONTROL!$C$27, 0.0021, 0)</f>
        <v>90.260199999999998</v>
      </c>
      <c r="D999" s="10">
        <f>90.2581 * CHOOSE(CONTROL!$C$9, $D$9, 100%, $F$9) + CHOOSE(CONTROL!$C$27, 0.0021, 0)</f>
        <v>90.260199999999998</v>
      </c>
      <c r="E999" s="10">
        <f>90.1215 * CHOOSE(CONTROL!$C$9, $D$9, 100%, $F$9) + CHOOSE(CONTROL!$C$27, 0.0021, 0)</f>
        <v>90.123599999999996</v>
      </c>
      <c r="F999" s="10">
        <f>90.1215 * CHOOSE(CONTROL!$C$9, $D$9, 100%, $F$9) + CHOOSE(CONTROL!$C$27, 0.0021, 0)</f>
        <v>90.123599999999996</v>
      </c>
      <c r="G999" s="10">
        <f>90.3929 * CHOOSE(CONTROL!$C$9, $D$9, 100%, $F$9) + CHOOSE(CONTROL!$C$27, 0.0021, 0)</f>
        <v>90.394999999999996</v>
      </c>
      <c r="H999" s="10">
        <f>90.2581 * CHOOSE(CONTROL!$C$9, $D$9, 100%, $F$9) + CHOOSE(CONTROL!$C$27, 0.0021, 0)</f>
        <v>90.260199999999998</v>
      </c>
      <c r="I999" s="10">
        <f>90.2581 * CHOOSE(CONTROL!$C$9, $D$9, 100%, $F$9) + CHOOSE(CONTROL!$C$27, 0.0021, 0)</f>
        <v>90.260199999999998</v>
      </c>
      <c r="J999" s="10">
        <f>90.2581 * CHOOSE(CONTROL!$C$9, $D$9, 100%, $F$9) + CHOOSE(CONTROL!$C$27, 0.0021, 0)</f>
        <v>90.260199999999998</v>
      </c>
      <c r="K999" s="10">
        <f>90.2581 * CHOOSE(CONTROL!$C$9, $D$9, 100%, $F$9) + CHOOSE(CONTROL!$C$27, 0.0021, 0)</f>
        <v>90.260199999999998</v>
      </c>
      <c r="L999" s="10"/>
    </row>
    <row r="1000" spans="1:12" ht="15.75" x14ac:dyDescent="0.25">
      <c r="A1000" s="13">
        <v>71741</v>
      </c>
      <c r="B1000" s="10">
        <f>92.5468 * CHOOSE(CONTROL!$C$9, $D$9, 100%, $F$9) + CHOOSE(CONTROL!$C$27, 0.0021, 0)</f>
        <v>92.548900000000003</v>
      </c>
      <c r="C1000" s="10">
        <f>92.1145 * CHOOSE(CONTROL!$C$9, $D$9, 100%, $F$9) + CHOOSE(CONTROL!$C$27, 0.0021, 0)</f>
        <v>92.116600000000005</v>
      </c>
      <c r="D1000" s="10">
        <f>92.1145 * CHOOSE(CONTROL!$C$9, $D$9, 100%, $F$9) + CHOOSE(CONTROL!$C$27, 0.0021, 0)</f>
        <v>92.116600000000005</v>
      </c>
      <c r="E1000" s="10">
        <f>91.9779 * CHOOSE(CONTROL!$C$9, $D$9, 100%, $F$9) + CHOOSE(CONTROL!$C$27, 0.0021, 0)</f>
        <v>91.98</v>
      </c>
      <c r="F1000" s="10">
        <f>91.9779 * CHOOSE(CONTROL!$C$9, $D$9, 100%, $F$9) + CHOOSE(CONTROL!$C$27, 0.0021, 0)</f>
        <v>91.98</v>
      </c>
      <c r="G1000" s="10">
        <f>92.2493 * CHOOSE(CONTROL!$C$9, $D$9, 100%, $F$9) + CHOOSE(CONTROL!$C$27, 0.0021, 0)</f>
        <v>92.251400000000004</v>
      </c>
      <c r="H1000" s="10">
        <f>92.1145 * CHOOSE(CONTROL!$C$9, $D$9, 100%, $F$9) + CHOOSE(CONTROL!$C$27, 0.0021, 0)</f>
        <v>92.116600000000005</v>
      </c>
      <c r="I1000" s="10">
        <f>92.1145 * CHOOSE(CONTROL!$C$9, $D$9, 100%, $F$9) + CHOOSE(CONTROL!$C$27, 0.0021, 0)</f>
        <v>92.116600000000005</v>
      </c>
      <c r="J1000" s="10">
        <f>92.1145 * CHOOSE(CONTROL!$C$9, $D$9, 100%, $F$9) + CHOOSE(CONTROL!$C$27, 0.0021, 0)</f>
        <v>92.116600000000005</v>
      </c>
      <c r="K1000" s="10">
        <f>92.1145 * CHOOSE(CONTROL!$C$9, $D$9, 100%, $F$9) + CHOOSE(CONTROL!$C$27, 0.0021, 0)</f>
        <v>92.116600000000005</v>
      </c>
      <c r="L1000" s="10"/>
    </row>
    <row r="1001" spans="1:12" ht="15.75" x14ac:dyDescent="0.25">
      <c r="A1001" s="13">
        <v>71771</v>
      </c>
      <c r="B1001" s="10">
        <f>93.6587 * CHOOSE(CONTROL!$C$9, $D$9, 100%, $F$9) + CHOOSE(CONTROL!$C$27, 0.0021, 0)</f>
        <v>93.660799999999995</v>
      </c>
      <c r="C1001" s="10">
        <f>93.2264 * CHOOSE(CONTROL!$C$9, $D$9, 100%, $F$9) + CHOOSE(CONTROL!$C$27, 0.0021, 0)</f>
        <v>93.228499999999997</v>
      </c>
      <c r="D1001" s="10">
        <f>93.2264 * CHOOSE(CONTROL!$C$9, $D$9, 100%, $F$9) + CHOOSE(CONTROL!$C$27, 0.0021, 0)</f>
        <v>93.228499999999997</v>
      </c>
      <c r="E1001" s="10">
        <f>93.0898 * CHOOSE(CONTROL!$C$9, $D$9, 100%, $F$9) + CHOOSE(CONTROL!$C$27, 0.0021, 0)</f>
        <v>93.091899999999995</v>
      </c>
      <c r="F1001" s="10">
        <f>93.0898 * CHOOSE(CONTROL!$C$9, $D$9, 100%, $F$9) + CHOOSE(CONTROL!$C$27, 0.0021, 0)</f>
        <v>93.091899999999995</v>
      </c>
      <c r="G1001" s="10">
        <f>93.3612 * CHOOSE(CONTROL!$C$9, $D$9, 100%, $F$9) + CHOOSE(CONTROL!$C$27, 0.0021, 0)</f>
        <v>93.363299999999995</v>
      </c>
      <c r="H1001" s="10">
        <f>93.2264 * CHOOSE(CONTROL!$C$9, $D$9, 100%, $F$9) + CHOOSE(CONTROL!$C$27, 0.0021, 0)</f>
        <v>93.228499999999997</v>
      </c>
      <c r="I1001" s="10">
        <f>93.2264 * CHOOSE(CONTROL!$C$9, $D$9, 100%, $F$9) + CHOOSE(CONTROL!$C$27, 0.0021, 0)</f>
        <v>93.228499999999997</v>
      </c>
      <c r="J1001" s="10">
        <f>93.2264 * CHOOSE(CONTROL!$C$9, $D$9, 100%, $F$9) + CHOOSE(CONTROL!$C$27, 0.0021, 0)</f>
        <v>93.228499999999997</v>
      </c>
      <c r="K1001" s="10">
        <f>93.2264 * CHOOSE(CONTROL!$C$9, $D$9, 100%, $F$9) + CHOOSE(CONTROL!$C$27, 0.0021, 0)</f>
        <v>93.228499999999997</v>
      </c>
      <c r="L1001" s="10"/>
    </row>
    <row r="1002" spans="1:12" ht="15.75" x14ac:dyDescent="0.25">
      <c r="A1002" s="13">
        <v>71802</v>
      </c>
      <c r="B1002" s="10">
        <f>95.4929 * CHOOSE(CONTROL!$C$9, $D$9, 100%, $F$9) + CHOOSE(CONTROL!$C$27, 0.0021, 0)</f>
        <v>95.495000000000005</v>
      </c>
      <c r="C1002" s="10">
        <f>95.0607 * CHOOSE(CONTROL!$C$9, $D$9, 100%, $F$9) + CHOOSE(CONTROL!$C$27, 0.0021, 0)</f>
        <v>95.062799999999996</v>
      </c>
      <c r="D1002" s="10">
        <f>95.0607 * CHOOSE(CONTROL!$C$9, $D$9, 100%, $F$9) + CHOOSE(CONTROL!$C$27, 0.0021, 0)</f>
        <v>95.062799999999996</v>
      </c>
      <c r="E1002" s="10">
        <f>94.924 * CHOOSE(CONTROL!$C$9, $D$9, 100%, $F$9) + CHOOSE(CONTROL!$C$27, 0.0021, 0)</f>
        <v>94.926100000000005</v>
      </c>
      <c r="F1002" s="10">
        <f>94.924 * CHOOSE(CONTROL!$C$9, $D$9, 100%, $F$9) + CHOOSE(CONTROL!$C$27, 0.0021, 0)</f>
        <v>94.926100000000005</v>
      </c>
      <c r="G1002" s="10">
        <f>95.1954 * CHOOSE(CONTROL!$C$9, $D$9, 100%, $F$9) + CHOOSE(CONTROL!$C$27, 0.0021, 0)</f>
        <v>95.197500000000005</v>
      </c>
      <c r="H1002" s="10">
        <f>95.0607 * CHOOSE(CONTROL!$C$9, $D$9, 100%, $F$9) + CHOOSE(CONTROL!$C$27, 0.0021, 0)</f>
        <v>95.062799999999996</v>
      </c>
      <c r="I1002" s="10">
        <f>95.0607 * CHOOSE(CONTROL!$C$9, $D$9, 100%, $F$9) + CHOOSE(CONTROL!$C$27, 0.0021, 0)</f>
        <v>95.062799999999996</v>
      </c>
      <c r="J1002" s="10">
        <f>95.0607 * CHOOSE(CONTROL!$C$9, $D$9, 100%, $F$9) + CHOOSE(CONTROL!$C$27, 0.0021, 0)</f>
        <v>95.062799999999996</v>
      </c>
      <c r="K1002" s="10">
        <f>95.0607 * CHOOSE(CONTROL!$C$9, $D$9, 100%, $F$9) + CHOOSE(CONTROL!$C$27, 0.0021, 0)</f>
        <v>95.062799999999996</v>
      </c>
      <c r="L1002" s="10"/>
    </row>
    <row r="1003" spans="1:12" ht="15.75" x14ac:dyDescent="0.25">
      <c r="A1003" s="13">
        <v>71833</v>
      </c>
      <c r="B1003" s="10">
        <f>96.0528 * CHOOSE(CONTROL!$C$9, $D$9, 100%, $F$9) + CHOOSE(CONTROL!$C$27, 0.0021, 0)</f>
        <v>96.054900000000004</v>
      </c>
      <c r="C1003" s="10">
        <f>95.6206 * CHOOSE(CONTROL!$C$9, $D$9, 100%, $F$9) + CHOOSE(CONTROL!$C$27, 0.0021, 0)</f>
        <v>95.622699999999995</v>
      </c>
      <c r="D1003" s="10">
        <f>95.6206 * CHOOSE(CONTROL!$C$9, $D$9, 100%, $F$9) + CHOOSE(CONTROL!$C$27, 0.0021, 0)</f>
        <v>95.622699999999995</v>
      </c>
      <c r="E1003" s="10">
        <f>95.4839 * CHOOSE(CONTROL!$C$9, $D$9, 100%, $F$9) + CHOOSE(CONTROL!$C$27, 0.0021, 0)</f>
        <v>95.486000000000004</v>
      </c>
      <c r="F1003" s="10">
        <f>95.4839 * CHOOSE(CONTROL!$C$9, $D$9, 100%, $F$9) + CHOOSE(CONTROL!$C$27, 0.0021, 0)</f>
        <v>95.486000000000004</v>
      </c>
      <c r="G1003" s="10">
        <f>95.7553 * CHOOSE(CONTROL!$C$9, $D$9, 100%, $F$9) + CHOOSE(CONTROL!$C$27, 0.0021, 0)</f>
        <v>95.757400000000004</v>
      </c>
      <c r="H1003" s="10">
        <f>95.6206 * CHOOSE(CONTROL!$C$9, $D$9, 100%, $F$9) + CHOOSE(CONTROL!$C$27, 0.0021, 0)</f>
        <v>95.622699999999995</v>
      </c>
      <c r="I1003" s="10">
        <f>95.6206 * CHOOSE(CONTROL!$C$9, $D$9, 100%, $F$9) + CHOOSE(CONTROL!$C$27, 0.0021, 0)</f>
        <v>95.622699999999995</v>
      </c>
      <c r="J1003" s="10">
        <f>95.6206 * CHOOSE(CONTROL!$C$9, $D$9, 100%, $F$9) + CHOOSE(CONTROL!$C$27, 0.0021, 0)</f>
        <v>95.622699999999995</v>
      </c>
      <c r="K1003" s="10">
        <f>95.6206 * CHOOSE(CONTROL!$C$9, $D$9, 100%, $F$9) + CHOOSE(CONTROL!$C$27, 0.0021, 0)</f>
        <v>95.622699999999995</v>
      </c>
      <c r="L1003" s="10"/>
    </row>
    <row r="1004" spans="1:12" ht="15.75" x14ac:dyDescent="0.25">
      <c r="A1004" s="13">
        <v>71863</v>
      </c>
      <c r="B1004" s="10">
        <f>97.9594 * CHOOSE(CONTROL!$C$9, $D$9, 100%, $F$9) + CHOOSE(CONTROL!$C$27, 0.0021, 0)</f>
        <v>97.961500000000001</v>
      </c>
      <c r="C1004" s="10">
        <f>97.5272 * CHOOSE(CONTROL!$C$9, $D$9, 100%, $F$9) + CHOOSE(CONTROL!$C$27, 0.0021, 0)</f>
        <v>97.529299999999992</v>
      </c>
      <c r="D1004" s="10">
        <f>97.5272 * CHOOSE(CONTROL!$C$9, $D$9, 100%, $F$9) + CHOOSE(CONTROL!$C$27, 0.0021, 0)</f>
        <v>97.529299999999992</v>
      </c>
      <c r="E1004" s="10">
        <f>97.3905 * CHOOSE(CONTROL!$C$9, $D$9, 100%, $F$9) + CHOOSE(CONTROL!$C$27, 0.0021, 0)</f>
        <v>97.392600000000002</v>
      </c>
      <c r="F1004" s="10">
        <f>97.3905 * CHOOSE(CONTROL!$C$9, $D$9, 100%, $F$9) + CHOOSE(CONTROL!$C$27, 0.0021, 0)</f>
        <v>97.392600000000002</v>
      </c>
      <c r="G1004" s="10">
        <f>97.6619 * CHOOSE(CONTROL!$C$9, $D$9, 100%, $F$9) + CHOOSE(CONTROL!$C$27, 0.0021, 0)</f>
        <v>97.664000000000001</v>
      </c>
      <c r="H1004" s="10">
        <f>97.5272 * CHOOSE(CONTROL!$C$9, $D$9, 100%, $F$9) + CHOOSE(CONTROL!$C$27, 0.0021, 0)</f>
        <v>97.529299999999992</v>
      </c>
      <c r="I1004" s="10">
        <f>97.5272 * CHOOSE(CONTROL!$C$9, $D$9, 100%, $F$9) + CHOOSE(CONTROL!$C$27, 0.0021, 0)</f>
        <v>97.529299999999992</v>
      </c>
      <c r="J1004" s="10">
        <f>97.5272 * CHOOSE(CONTROL!$C$9, $D$9, 100%, $F$9) + CHOOSE(CONTROL!$C$27, 0.0021, 0)</f>
        <v>97.529299999999992</v>
      </c>
      <c r="K1004" s="10">
        <f>97.5272 * CHOOSE(CONTROL!$C$9, $D$9, 100%, $F$9) + CHOOSE(CONTROL!$C$27, 0.0021, 0)</f>
        <v>97.529299999999992</v>
      </c>
      <c r="L1004" s="10"/>
    </row>
    <row r="1005" spans="1:12" ht="15.75" x14ac:dyDescent="0.25">
      <c r="A1005" s="13">
        <v>71894</v>
      </c>
      <c r="B1005" s="10">
        <f>100.3729 * CHOOSE(CONTROL!$C$9, $D$9, 100%, $F$9) + CHOOSE(CONTROL!$C$27, 0.0021, 0)</f>
        <v>100.375</v>
      </c>
      <c r="C1005" s="10">
        <f>99.9406 * CHOOSE(CONTROL!$C$9, $D$9, 100%, $F$9) + CHOOSE(CONTROL!$C$27, 0.0021, 0)</f>
        <v>99.942700000000002</v>
      </c>
      <c r="D1005" s="10">
        <f>99.9406 * CHOOSE(CONTROL!$C$9, $D$9, 100%, $F$9) + CHOOSE(CONTROL!$C$27, 0.0021, 0)</f>
        <v>99.942700000000002</v>
      </c>
      <c r="E1005" s="10">
        <f>99.804 * CHOOSE(CONTROL!$C$9, $D$9, 100%, $F$9) + CHOOSE(CONTROL!$C$27, 0.0021, 0)</f>
        <v>99.806100000000001</v>
      </c>
      <c r="F1005" s="10">
        <f>99.804 * CHOOSE(CONTROL!$C$9, $D$9, 100%, $F$9) + CHOOSE(CONTROL!$C$27, 0.0021, 0)</f>
        <v>99.806100000000001</v>
      </c>
      <c r="G1005" s="10">
        <f>100.0753 * CHOOSE(CONTROL!$C$9, $D$9, 100%, $F$9) + CHOOSE(CONTROL!$C$27, 0.0021, 0)</f>
        <v>100.0774</v>
      </c>
      <c r="H1005" s="10">
        <f>99.9406 * CHOOSE(CONTROL!$C$9, $D$9, 100%, $F$9) + CHOOSE(CONTROL!$C$27, 0.0021, 0)</f>
        <v>99.942700000000002</v>
      </c>
      <c r="I1005" s="10">
        <f>99.9406 * CHOOSE(CONTROL!$C$9, $D$9, 100%, $F$9) + CHOOSE(CONTROL!$C$27, 0.0021, 0)</f>
        <v>99.942700000000002</v>
      </c>
      <c r="J1005" s="10">
        <f>99.9406 * CHOOSE(CONTROL!$C$9, $D$9, 100%, $F$9) + CHOOSE(CONTROL!$C$27, 0.0021, 0)</f>
        <v>99.942700000000002</v>
      </c>
      <c r="K1005" s="10">
        <f>99.9406 * CHOOSE(CONTROL!$C$9, $D$9, 100%, $F$9) + CHOOSE(CONTROL!$C$27, 0.0021, 0)</f>
        <v>99.942700000000002</v>
      </c>
      <c r="L1005" s="10"/>
    </row>
    <row r="1006" spans="1:12" ht="15.75" x14ac:dyDescent="0.25">
      <c r="A1006" s="13">
        <v>71924</v>
      </c>
      <c r="B1006" s="10">
        <f>100.5994 * CHOOSE(CONTROL!$C$9, $D$9, 100%, $F$9) + CHOOSE(CONTROL!$C$27, 0.0021, 0)</f>
        <v>100.6015</v>
      </c>
      <c r="C1006" s="10">
        <f>100.1672 * CHOOSE(CONTROL!$C$9, $D$9, 100%, $F$9) + CHOOSE(CONTROL!$C$27, 0.0021, 0)</f>
        <v>100.16929999999999</v>
      </c>
      <c r="D1006" s="10">
        <f>100.1672 * CHOOSE(CONTROL!$C$9, $D$9, 100%, $F$9) + CHOOSE(CONTROL!$C$27, 0.0021, 0)</f>
        <v>100.16929999999999</v>
      </c>
      <c r="E1006" s="10">
        <f>100.0305 * CHOOSE(CONTROL!$C$9, $D$9, 100%, $F$9) + CHOOSE(CONTROL!$C$27, 0.0021, 0)</f>
        <v>100.0326</v>
      </c>
      <c r="F1006" s="10">
        <f>100.0305 * CHOOSE(CONTROL!$C$9, $D$9, 100%, $F$9) + CHOOSE(CONTROL!$C$27, 0.0021, 0)</f>
        <v>100.0326</v>
      </c>
      <c r="G1006" s="10">
        <f>100.3019 * CHOOSE(CONTROL!$C$9, $D$9, 100%, $F$9) + CHOOSE(CONTROL!$C$27, 0.0021, 0)</f>
        <v>100.304</v>
      </c>
      <c r="H1006" s="10">
        <f>100.1672 * CHOOSE(CONTROL!$C$9, $D$9, 100%, $F$9) + CHOOSE(CONTROL!$C$27, 0.0021, 0)</f>
        <v>100.16929999999999</v>
      </c>
      <c r="I1006" s="10">
        <f>100.1672 * CHOOSE(CONTROL!$C$9, $D$9, 100%, $F$9) + CHOOSE(CONTROL!$C$27, 0.0021, 0)</f>
        <v>100.16929999999999</v>
      </c>
      <c r="J1006" s="10">
        <f>100.1672 * CHOOSE(CONTROL!$C$9, $D$9, 100%, $F$9) + CHOOSE(CONTROL!$C$27, 0.0021, 0)</f>
        <v>100.16929999999999</v>
      </c>
      <c r="K1006" s="10">
        <f>100.1672 * CHOOSE(CONTROL!$C$9, $D$9, 100%, $F$9) + CHOOSE(CONTROL!$C$27, 0.0021, 0)</f>
        <v>100.16929999999999</v>
      </c>
      <c r="L1006" s="10"/>
    </row>
    <row r="1007" spans="1:12" ht="15.75" x14ac:dyDescent="0.25">
      <c r="A1007" s="13">
        <v>71955</v>
      </c>
      <c r="B1007" s="10">
        <f>98.6719 * CHOOSE(CONTROL!$C$9, $D$9, 100%, $F$9) + CHOOSE(CONTROL!$C$27, 0.0021, 0)</f>
        <v>98.673999999999992</v>
      </c>
      <c r="C1007" s="10">
        <f>98.2396 * CHOOSE(CONTROL!$C$9, $D$9, 100%, $F$9) + CHOOSE(CONTROL!$C$27, 0.0021, 0)</f>
        <v>98.241699999999994</v>
      </c>
      <c r="D1007" s="10">
        <f>98.2396 * CHOOSE(CONTROL!$C$9, $D$9, 100%, $F$9) + CHOOSE(CONTROL!$C$27, 0.0021, 0)</f>
        <v>98.241699999999994</v>
      </c>
      <c r="E1007" s="10">
        <f>98.103 * CHOOSE(CONTROL!$C$9, $D$9, 100%, $F$9) + CHOOSE(CONTROL!$C$27, 0.0021, 0)</f>
        <v>98.105099999999993</v>
      </c>
      <c r="F1007" s="10">
        <f>98.103 * CHOOSE(CONTROL!$C$9, $D$9, 100%, $F$9) + CHOOSE(CONTROL!$C$27, 0.0021, 0)</f>
        <v>98.105099999999993</v>
      </c>
      <c r="G1007" s="10">
        <f>98.3743 * CHOOSE(CONTROL!$C$9, $D$9, 100%, $F$9) + CHOOSE(CONTROL!$C$27, 0.0021, 0)</f>
        <v>98.376400000000004</v>
      </c>
      <c r="H1007" s="10">
        <f>98.2396 * CHOOSE(CONTROL!$C$9, $D$9, 100%, $F$9) + CHOOSE(CONTROL!$C$27, 0.0021, 0)</f>
        <v>98.241699999999994</v>
      </c>
      <c r="I1007" s="10">
        <f>98.2396 * CHOOSE(CONTROL!$C$9, $D$9, 100%, $F$9) + CHOOSE(CONTROL!$C$27, 0.0021, 0)</f>
        <v>98.241699999999994</v>
      </c>
      <c r="J1007" s="10">
        <f>98.2396 * CHOOSE(CONTROL!$C$9, $D$9, 100%, $F$9) + CHOOSE(CONTROL!$C$27, 0.0021, 0)</f>
        <v>98.241699999999994</v>
      </c>
      <c r="K1007" s="10">
        <f>98.2396 * CHOOSE(CONTROL!$C$9, $D$9, 100%, $F$9) + CHOOSE(CONTROL!$C$27, 0.0021, 0)</f>
        <v>98.241699999999994</v>
      </c>
      <c r="L1007" s="10"/>
    </row>
    <row r="1008" spans="1:12" ht="15.75" x14ac:dyDescent="0.25">
      <c r="A1008" s="13">
        <v>71986</v>
      </c>
      <c r="B1008" s="10">
        <f>97.1961 * CHOOSE(CONTROL!$C$9, $D$9, 100%, $F$9) + CHOOSE(CONTROL!$C$27, 0.0021, 0)</f>
        <v>97.1982</v>
      </c>
      <c r="C1008" s="10">
        <f>96.7638 * CHOOSE(CONTROL!$C$9, $D$9, 100%, $F$9) + CHOOSE(CONTROL!$C$27, 0.0021, 0)</f>
        <v>96.765900000000002</v>
      </c>
      <c r="D1008" s="10">
        <f>96.7638 * CHOOSE(CONTROL!$C$9, $D$9, 100%, $F$9) + CHOOSE(CONTROL!$C$27, 0.0021, 0)</f>
        <v>96.765900000000002</v>
      </c>
      <c r="E1008" s="10">
        <f>96.6271 * CHOOSE(CONTROL!$C$9, $D$9, 100%, $F$9) + CHOOSE(CONTROL!$C$27, 0.0021, 0)</f>
        <v>96.629199999999997</v>
      </c>
      <c r="F1008" s="10">
        <f>96.6271 * CHOOSE(CONTROL!$C$9, $D$9, 100%, $F$9) + CHOOSE(CONTROL!$C$27, 0.0021, 0)</f>
        <v>96.629199999999997</v>
      </c>
      <c r="G1008" s="10">
        <f>96.8985 * CHOOSE(CONTROL!$C$9, $D$9, 100%, $F$9) + CHOOSE(CONTROL!$C$27, 0.0021, 0)</f>
        <v>96.900599999999997</v>
      </c>
      <c r="H1008" s="10">
        <f>96.7638 * CHOOSE(CONTROL!$C$9, $D$9, 100%, $F$9) + CHOOSE(CONTROL!$C$27, 0.0021, 0)</f>
        <v>96.765900000000002</v>
      </c>
      <c r="I1008" s="10">
        <f>96.7638 * CHOOSE(CONTROL!$C$9, $D$9, 100%, $F$9) + CHOOSE(CONTROL!$C$27, 0.0021, 0)</f>
        <v>96.765900000000002</v>
      </c>
      <c r="J1008" s="10">
        <f>96.7638 * CHOOSE(CONTROL!$C$9, $D$9, 100%, $F$9) + CHOOSE(CONTROL!$C$27, 0.0021, 0)</f>
        <v>96.765900000000002</v>
      </c>
      <c r="K1008" s="10">
        <f>96.7638 * CHOOSE(CONTROL!$C$9, $D$9, 100%, $F$9) + CHOOSE(CONTROL!$C$27, 0.0021, 0)</f>
        <v>96.765900000000002</v>
      </c>
      <c r="L1008" s="10"/>
    </row>
    <row r="1009" spans="1:12" ht="15.75" x14ac:dyDescent="0.25">
      <c r="A1009" s="13">
        <v>72014</v>
      </c>
      <c r="B1009" s="10">
        <f>94.5117 * CHOOSE(CONTROL!$C$9, $D$9, 100%, $F$9) + CHOOSE(CONTROL!$C$27, 0.0021, 0)</f>
        <v>94.513800000000003</v>
      </c>
      <c r="C1009" s="10">
        <f>94.0794 * CHOOSE(CONTROL!$C$9, $D$9, 100%, $F$9) + CHOOSE(CONTROL!$C$27, 0.0021, 0)</f>
        <v>94.081500000000005</v>
      </c>
      <c r="D1009" s="10">
        <f>94.0794 * CHOOSE(CONTROL!$C$9, $D$9, 100%, $F$9) + CHOOSE(CONTROL!$C$27, 0.0021, 0)</f>
        <v>94.081500000000005</v>
      </c>
      <c r="E1009" s="10">
        <f>93.9428 * CHOOSE(CONTROL!$C$9, $D$9, 100%, $F$9) + CHOOSE(CONTROL!$C$27, 0.0021, 0)</f>
        <v>93.944900000000004</v>
      </c>
      <c r="F1009" s="10">
        <f>93.9428 * CHOOSE(CONTROL!$C$9, $D$9, 100%, $F$9) + CHOOSE(CONTROL!$C$27, 0.0021, 0)</f>
        <v>93.944900000000004</v>
      </c>
      <c r="G1009" s="10">
        <f>94.2141 * CHOOSE(CONTROL!$C$9, $D$9, 100%, $F$9) + CHOOSE(CONTROL!$C$27, 0.0021, 0)</f>
        <v>94.216200000000001</v>
      </c>
      <c r="H1009" s="10">
        <f>94.0794 * CHOOSE(CONTROL!$C$9, $D$9, 100%, $F$9) + CHOOSE(CONTROL!$C$27, 0.0021, 0)</f>
        <v>94.081500000000005</v>
      </c>
      <c r="I1009" s="10">
        <f>94.0794 * CHOOSE(CONTROL!$C$9, $D$9, 100%, $F$9) + CHOOSE(CONTROL!$C$27, 0.0021, 0)</f>
        <v>94.081500000000005</v>
      </c>
      <c r="J1009" s="10">
        <f>94.0794 * CHOOSE(CONTROL!$C$9, $D$9, 100%, $F$9) + CHOOSE(CONTROL!$C$27, 0.0021, 0)</f>
        <v>94.081500000000005</v>
      </c>
      <c r="K1009" s="10">
        <f>94.0794 * CHOOSE(CONTROL!$C$9, $D$9, 100%, $F$9) + CHOOSE(CONTROL!$C$27, 0.0021, 0)</f>
        <v>94.081500000000005</v>
      </c>
      <c r="L1009" s="10"/>
    </row>
    <row r="1010" spans="1:12" ht="15.75" x14ac:dyDescent="0.25">
      <c r="A1010" s="13">
        <v>72045</v>
      </c>
      <c r="B1010" s="10">
        <f>93.4036 * CHOOSE(CONTROL!$C$9, $D$9, 100%, $F$9) + CHOOSE(CONTROL!$C$27, 0.0021, 0)</f>
        <v>93.405699999999996</v>
      </c>
      <c r="C1010" s="10">
        <f>92.9713 * CHOOSE(CONTROL!$C$9, $D$9, 100%, $F$9) + CHOOSE(CONTROL!$C$27, 0.0021, 0)</f>
        <v>92.973399999999998</v>
      </c>
      <c r="D1010" s="10">
        <f>92.9713 * CHOOSE(CONTROL!$C$9, $D$9, 100%, $F$9) + CHOOSE(CONTROL!$C$27, 0.0021, 0)</f>
        <v>92.973399999999998</v>
      </c>
      <c r="E1010" s="10">
        <f>92.8346 * CHOOSE(CONTROL!$C$9, $D$9, 100%, $F$9) + CHOOSE(CONTROL!$C$27, 0.0021, 0)</f>
        <v>92.836699999999993</v>
      </c>
      <c r="F1010" s="10">
        <f>92.8346 * CHOOSE(CONTROL!$C$9, $D$9, 100%, $F$9) + CHOOSE(CONTROL!$C$27, 0.0021, 0)</f>
        <v>92.836699999999993</v>
      </c>
      <c r="G1010" s="10">
        <f>93.106 * CHOOSE(CONTROL!$C$9, $D$9, 100%, $F$9) + CHOOSE(CONTROL!$C$27, 0.0021, 0)</f>
        <v>93.108099999999993</v>
      </c>
      <c r="H1010" s="10">
        <f>92.9713 * CHOOSE(CONTROL!$C$9, $D$9, 100%, $F$9) + CHOOSE(CONTROL!$C$27, 0.0021, 0)</f>
        <v>92.973399999999998</v>
      </c>
      <c r="I1010" s="10">
        <f>92.9713 * CHOOSE(CONTROL!$C$9, $D$9, 100%, $F$9) + CHOOSE(CONTROL!$C$27, 0.0021, 0)</f>
        <v>92.973399999999998</v>
      </c>
      <c r="J1010" s="10">
        <f>92.9713 * CHOOSE(CONTROL!$C$9, $D$9, 100%, $F$9) + CHOOSE(CONTROL!$C$27, 0.0021, 0)</f>
        <v>92.973399999999998</v>
      </c>
      <c r="K1010" s="10">
        <f>92.9713 * CHOOSE(CONTROL!$C$9, $D$9, 100%, $F$9) + CHOOSE(CONTROL!$C$27, 0.0021, 0)</f>
        <v>92.973399999999998</v>
      </c>
      <c r="L1010" s="10"/>
    </row>
    <row r="1011" spans="1:12" ht="15.75" x14ac:dyDescent="0.25">
      <c r="A1011" s="13">
        <v>72075</v>
      </c>
      <c r="B1011" s="10">
        <f>92.0804 * CHOOSE(CONTROL!$C$9, $D$9, 100%, $F$9) + CHOOSE(CONTROL!$C$27, 0.0021, 0)</f>
        <v>92.082499999999996</v>
      </c>
      <c r="C1011" s="10">
        <f>91.6482 * CHOOSE(CONTROL!$C$9, $D$9, 100%, $F$9) + CHOOSE(CONTROL!$C$27, 0.0021, 0)</f>
        <v>91.650300000000001</v>
      </c>
      <c r="D1011" s="10">
        <f>91.6482 * CHOOSE(CONTROL!$C$9, $D$9, 100%, $F$9) + CHOOSE(CONTROL!$C$27, 0.0021, 0)</f>
        <v>91.650300000000001</v>
      </c>
      <c r="E1011" s="10">
        <f>91.5115 * CHOOSE(CONTROL!$C$9, $D$9, 100%, $F$9) + CHOOSE(CONTROL!$C$27, 0.0021, 0)</f>
        <v>91.513599999999997</v>
      </c>
      <c r="F1011" s="10">
        <f>91.5115 * CHOOSE(CONTROL!$C$9, $D$9, 100%, $F$9) + CHOOSE(CONTROL!$C$27, 0.0021, 0)</f>
        <v>91.513599999999997</v>
      </c>
      <c r="G1011" s="10">
        <f>91.7829 * CHOOSE(CONTROL!$C$9, $D$9, 100%, $F$9) + CHOOSE(CONTROL!$C$27, 0.0021, 0)</f>
        <v>91.784999999999997</v>
      </c>
      <c r="H1011" s="10">
        <f>91.6482 * CHOOSE(CONTROL!$C$9, $D$9, 100%, $F$9) + CHOOSE(CONTROL!$C$27, 0.0021, 0)</f>
        <v>91.650300000000001</v>
      </c>
      <c r="I1011" s="10">
        <f>91.6482 * CHOOSE(CONTROL!$C$9, $D$9, 100%, $F$9) + CHOOSE(CONTROL!$C$27, 0.0021, 0)</f>
        <v>91.650300000000001</v>
      </c>
      <c r="J1011" s="10">
        <f>91.6482 * CHOOSE(CONTROL!$C$9, $D$9, 100%, $F$9) + CHOOSE(CONTROL!$C$27, 0.0021, 0)</f>
        <v>91.650300000000001</v>
      </c>
      <c r="K1011" s="10">
        <f>91.6482 * CHOOSE(CONTROL!$C$9, $D$9, 100%, $F$9) + CHOOSE(CONTROL!$C$27, 0.0021, 0)</f>
        <v>91.650300000000001</v>
      </c>
      <c r="L1011" s="10"/>
    </row>
    <row r="1012" spans="1:12" ht="15.75" x14ac:dyDescent="0.25">
      <c r="A1012" s="13">
        <v>72106</v>
      </c>
      <c r="B1012" s="10">
        <f>93.966 * CHOOSE(CONTROL!$C$9, $D$9, 100%, $F$9) + CHOOSE(CONTROL!$C$27, 0.0021, 0)</f>
        <v>93.968099999999993</v>
      </c>
      <c r="C1012" s="10">
        <f>93.5338 * CHOOSE(CONTROL!$C$9, $D$9, 100%, $F$9) + CHOOSE(CONTROL!$C$27, 0.0021, 0)</f>
        <v>93.535899999999998</v>
      </c>
      <c r="D1012" s="10">
        <f>93.5338 * CHOOSE(CONTROL!$C$9, $D$9, 100%, $F$9) + CHOOSE(CONTROL!$C$27, 0.0021, 0)</f>
        <v>93.535899999999998</v>
      </c>
      <c r="E1012" s="10">
        <f>93.3971 * CHOOSE(CONTROL!$C$9, $D$9, 100%, $F$9) + CHOOSE(CONTROL!$C$27, 0.0021, 0)</f>
        <v>93.399199999999993</v>
      </c>
      <c r="F1012" s="10">
        <f>93.3971 * CHOOSE(CONTROL!$C$9, $D$9, 100%, $F$9) + CHOOSE(CONTROL!$C$27, 0.0021, 0)</f>
        <v>93.399199999999993</v>
      </c>
      <c r="G1012" s="10">
        <f>93.6685 * CHOOSE(CONTROL!$C$9, $D$9, 100%, $F$9) + CHOOSE(CONTROL!$C$27, 0.0021, 0)</f>
        <v>93.670599999999993</v>
      </c>
      <c r="H1012" s="10">
        <f>93.5338 * CHOOSE(CONTROL!$C$9, $D$9, 100%, $F$9) + CHOOSE(CONTROL!$C$27, 0.0021, 0)</f>
        <v>93.535899999999998</v>
      </c>
      <c r="I1012" s="10">
        <f>93.5338 * CHOOSE(CONTROL!$C$9, $D$9, 100%, $F$9) + CHOOSE(CONTROL!$C$27, 0.0021, 0)</f>
        <v>93.535899999999998</v>
      </c>
      <c r="J1012" s="10">
        <f>93.5338 * CHOOSE(CONTROL!$C$9, $D$9, 100%, $F$9) + CHOOSE(CONTROL!$C$27, 0.0021, 0)</f>
        <v>93.535899999999998</v>
      </c>
      <c r="K1012" s="10">
        <f>93.5338 * CHOOSE(CONTROL!$C$9, $D$9, 100%, $F$9) + CHOOSE(CONTROL!$C$27, 0.0021, 0)</f>
        <v>93.535899999999998</v>
      </c>
      <c r="L1012" s="10"/>
    </row>
    <row r="1013" spans="1:12" ht="15.75" x14ac:dyDescent="0.25">
      <c r="A1013" s="13">
        <v>72136</v>
      </c>
      <c r="B1013" s="10">
        <f>95.0954 * CHOOSE(CONTROL!$C$9, $D$9, 100%, $F$9) + CHOOSE(CONTROL!$C$27, 0.0021, 0)</f>
        <v>95.097499999999997</v>
      </c>
      <c r="C1013" s="10">
        <f>94.6632 * CHOOSE(CONTROL!$C$9, $D$9, 100%, $F$9) + CHOOSE(CONTROL!$C$27, 0.0021, 0)</f>
        <v>94.665300000000002</v>
      </c>
      <c r="D1013" s="10">
        <f>94.6632 * CHOOSE(CONTROL!$C$9, $D$9, 100%, $F$9) + CHOOSE(CONTROL!$C$27, 0.0021, 0)</f>
        <v>94.665300000000002</v>
      </c>
      <c r="E1013" s="10">
        <f>94.5265 * CHOOSE(CONTROL!$C$9, $D$9, 100%, $F$9) + CHOOSE(CONTROL!$C$27, 0.0021, 0)</f>
        <v>94.528599999999997</v>
      </c>
      <c r="F1013" s="10">
        <f>94.5265 * CHOOSE(CONTROL!$C$9, $D$9, 100%, $F$9) + CHOOSE(CONTROL!$C$27, 0.0021, 0)</f>
        <v>94.528599999999997</v>
      </c>
      <c r="G1013" s="10">
        <f>94.7979 * CHOOSE(CONTROL!$C$9, $D$9, 100%, $F$9) + CHOOSE(CONTROL!$C$27, 0.0021, 0)</f>
        <v>94.8</v>
      </c>
      <c r="H1013" s="10">
        <f>94.6632 * CHOOSE(CONTROL!$C$9, $D$9, 100%, $F$9) + CHOOSE(CONTROL!$C$27, 0.0021, 0)</f>
        <v>94.665300000000002</v>
      </c>
      <c r="I1013" s="10">
        <f>94.6632 * CHOOSE(CONTROL!$C$9, $D$9, 100%, $F$9) + CHOOSE(CONTROL!$C$27, 0.0021, 0)</f>
        <v>94.665300000000002</v>
      </c>
      <c r="J1013" s="10">
        <f>94.6632 * CHOOSE(CONTROL!$C$9, $D$9, 100%, $F$9) + CHOOSE(CONTROL!$C$27, 0.0021, 0)</f>
        <v>94.665300000000002</v>
      </c>
      <c r="K1013" s="10">
        <f>94.6632 * CHOOSE(CONTROL!$C$9, $D$9, 100%, $F$9) + CHOOSE(CONTROL!$C$27, 0.0021, 0)</f>
        <v>94.665300000000002</v>
      </c>
      <c r="L1013" s="10"/>
    </row>
    <row r="1014" spans="1:12" ht="15.75" x14ac:dyDescent="0.25">
      <c r="A1014" s="13">
        <v>72167</v>
      </c>
      <c r="B1014" s="10">
        <f>96.9585 * CHOOSE(CONTROL!$C$9, $D$9, 100%, $F$9) + CHOOSE(CONTROL!$C$27, 0.0021, 0)</f>
        <v>96.960599999999999</v>
      </c>
      <c r="C1014" s="10">
        <f>96.5263 * CHOOSE(CONTROL!$C$9, $D$9, 100%, $F$9) + CHOOSE(CONTROL!$C$27, 0.0021, 0)</f>
        <v>96.528400000000005</v>
      </c>
      <c r="D1014" s="10">
        <f>96.5263 * CHOOSE(CONTROL!$C$9, $D$9, 100%, $F$9) + CHOOSE(CONTROL!$C$27, 0.0021, 0)</f>
        <v>96.528400000000005</v>
      </c>
      <c r="E1014" s="10">
        <f>96.3896 * CHOOSE(CONTROL!$C$9, $D$9, 100%, $F$9) + CHOOSE(CONTROL!$C$27, 0.0021, 0)</f>
        <v>96.3917</v>
      </c>
      <c r="F1014" s="10">
        <f>96.3896 * CHOOSE(CONTROL!$C$9, $D$9, 100%, $F$9) + CHOOSE(CONTROL!$C$27, 0.0021, 0)</f>
        <v>96.3917</v>
      </c>
      <c r="G1014" s="10">
        <f>96.661 * CHOOSE(CONTROL!$C$9, $D$9, 100%, $F$9) + CHOOSE(CONTROL!$C$27, 0.0021, 0)</f>
        <v>96.6631</v>
      </c>
      <c r="H1014" s="10">
        <f>96.5263 * CHOOSE(CONTROL!$C$9, $D$9, 100%, $F$9) + CHOOSE(CONTROL!$C$27, 0.0021, 0)</f>
        <v>96.528400000000005</v>
      </c>
      <c r="I1014" s="10">
        <f>96.5263 * CHOOSE(CONTROL!$C$9, $D$9, 100%, $F$9) + CHOOSE(CONTROL!$C$27, 0.0021, 0)</f>
        <v>96.528400000000005</v>
      </c>
      <c r="J1014" s="10">
        <f>96.5263 * CHOOSE(CONTROL!$C$9, $D$9, 100%, $F$9) + CHOOSE(CONTROL!$C$27, 0.0021, 0)</f>
        <v>96.528400000000005</v>
      </c>
      <c r="K1014" s="10">
        <f>96.5263 * CHOOSE(CONTROL!$C$9, $D$9, 100%, $F$9) + CHOOSE(CONTROL!$C$27, 0.0021, 0)</f>
        <v>96.528400000000005</v>
      </c>
      <c r="L1014" s="10"/>
    </row>
    <row r="1015" spans="1:12" ht="15.75" x14ac:dyDescent="0.25">
      <c r="A1015" s="13">
        <v>72198</v>
      </c>
      <c r="B1015" s="10">
        <f>97.5272 * CHOOSE(CONTROL!$C$9, $D$9, 100%, $F$9) + CHOOSE(CONTROL!$C$27, 0.0021, 0)</f>
        <v>97.529299999999992</v>
      </c>
      <c r="C1015" s="10">
        <f>97.0949 * CHOOSE(CONTROL!$C$9, $D$9, 100%, $F$9) + CHOOSE(CONTROL!$C$27, 0.0021, 0)</f>
        <v>97.096999999999994</v>
      </c>
      <c r="D1015" s="10">
        <f>97.0949 * CHOOSE(CONTROL!$C$9, $D$9, 100%, $F$9) + CHOOSE(CONTROL!$C$27, 0.0021, 0)</f>
        <v>97.096999999999994</v>
      </c>
      <c r="E1015" s="10">
        <f>96.9583 * CHOOSE(CONTROL!$C$9, $D$9, 100%, $F$9) + CHOOSE(CONTROL!$C$27, 0.0021, 0)</f>
        <v>96.960399999999993</v>
      </c>
      <c r="F1015" s="10">
        <f>96.9583 * CHOOSE(CONTROL!$C$9, $D$9, 100%, $F$9) + CHOOSE(CONTROL!$C$27, 0.0021, 0)</f>
        <v>96.960399999999993</v>
      </c>
      <c r="G1015" s="10">
        <f>97.2296 * CHOOSE(CONTROL!$C$9, $D$9, 100%, $F$9) + CHOOSE(CONTROL!$C$27, 0.0021, 0)</f>
        <v>97.231700000000004</v>
      </c>
      <c r="H1015" s="10">
        <f>97.0949 * CHOOSE(CONTROL!$C$9, $D$9, 100%, $F$9) + CHOOSE(CONTROL!$C$27, 0.0021, 0)</f>
        <v>97.096999999999994</v>
      </c>
      <c r="I1015" s="10">
        <f>97.0949 * CHOOSE(CONTROL!$C$9, $D$9, 100%, $F$9) + CHOOSE(CONTROL!$C$27, 0.0021, 0)</f>
        <v>97.096999999999994</v>
      </c>
      <c r="J1015" s="10">
        <f>97.0949 * CHOOSE(CONTROL!$C$9, $D$9, 100%, $F$9) + CHOOSE(CONTROL!$C$27, 0.0021, 0)</f>
        <v>97.096999999999994</v>
      </c>
      <c r="K1015" s="10">
        <f>97.0949 * CHOOSE(CONTROL!$C$9, $D$9, 100%, $F$9) + CHOOSE(CONTROL!$C$27, 0.0021, 0)</f>
        <v>97.096999999999994</v>
      </c>
      <c r="L1015" s="10"/>
    </row>
    <row r="1016" spans="1:12" ht="15.75" x14ac:dyDescent="0.25">
      <c r="A1016" s="13">
        <v>72228</v>
      </c>
      <c r="B1016" s="10">
        <f>99.4638 * CHOOSE(CONTROL!$C$9, $D$9, 100%, $F$9) + CHOOSE(CONTROL!$C$27, 0.0021, 0)</f>
        <v>99.465900000000005</v>
      </c>
      <c r="C1016" s="10">
        <f>99.0315 * CHOOSE(CONTROL!$C$9, $D$9, 100%, $F$9) + CHOOSE(CONTROL!$C$27, 0.0021, 0)</f>
        <v>99.033599999999993</v>
      </c>
      <c r="D1016" s="10">
        <f>99.0315 * CHOOSE(CONTROL!$C$9, $D$9, 100%, $F$9) + CHOOSE(CONTROL!$C$27, 0.0021, 0)</f>
        <v>99.033599999999993</v>
      </c>
      <c r="E1016" s="10">
        <f>98.8949 * CHOOSE(CONTROL!$C$9, $D$9, 100%, $F$9) + CHOOSE(CONTROL!$C$27, 0.0021, 0)</f>
        <v>98.897000000000006</v>
      </c>
      <c r="F1016" s="10">
        <f>98.8949 * CHOOSE(CONTROL!$C$9, $D$9, 100%, $F$9) + CHOOSE(CONTROL!$C$27, 0.0021, 0)</f>
        <v>98.897000000000006</v>
      </c>
      <c r="G1016" s="10">
        <f>99.1662 * CHOOSE(CONTROL!$C$9, $D$9, 100%, $F$9) + CHOOSE(CONTROL!$C$27, 0.0021, 0)</f>
        <v>99.168300000000002</v>
      </c>
      <c r="H1016" s="10">
        <f>99.0315 * CHOOSE(CONTROL!$C$9, $D$9, 100%, $F$9) + CHOOSE(CONTROL!$C$27, 0.0021, 0)</f>
        <v>99.033599999999993</v>
      </c>
      <c r="I1016" s="10">
        <f>99.0315 * CHOOSE(CONTROL!$C$9, $D$9, 100%, $F$9) + CHOOSE(CONTROL!$C$27, 0.0021, 0)</f>
        <v>99.033599999999993</v>
      </c>
      <c r="J1016" s="10">
        <f>99.0315 * CHOOSE(CONTROL!$C$9, $D$9, 100%, $F$9) + CHOOSE(CONTROL!$C$27, 0.0021, 0)</f>
        <v>99.033599999999993</v>
      </c>
      <c r="K1016" s="10">
        <f>99.0315 * CHOOSE(CONTROL!$C$9, $D$9, 100%, $F$9) + CHOOSE(CONTROL!$C$27, 0.0021, 0)</f>
        <v>99.033599999999993</v>
      </c>
      <c r="L1016" s="10"/>
    </row>
    <row r="1017" spans="1:12" ht="15.75" x14ac:dyDescent="0.25">
      <c r="A1017" s="13">
        <v>72259</v>
      </c>
      <c r="B1017" s="10">
        <f>101.9152 * CHOOSE(CONTROL!$C$9, $D$9, 100%, $F$9) + CHOOSE(CONTROL!$C$27, 0.0021, 0)</f>
        <v>101.9173</v>
      </c>
      <c r="C1017" s="10">
        <f>101.4829 * CHOOSE(CONTROL!$C$9, $D$9, 100%, $F$9) + CHOOSE(CONTROL!$C$27, 0.0021, 0)</f>
        <v>101.485</v>
      </c>
      <c r="D1017" s="10">
        <f>101.4829 * CHOOSE(CONTROL!$C$9, $D$9, 100%, $F$9) + CHOOSE(CONTROL!$C$27, 0.0021, 0)</f>
        <v>101.485</v>
      </c>
      <c r="E1017" s="10">
        <f>101.3463 * CHOOSE(CONTROL!$C$9, $D$9, 100%, $F$9) + CHOOSE(CONTROL!$C$27, 0.0021, 0)</f>
        <v>101.3484</v>
      </c>
      <c r="F1017" s="10">
        <f>101.3463 * CHOOSE(CONTROL!$C$9, $D$9, 100%, $F$9) + CHOOSE(CONTROL!$C$27, 0.0021, 0)</f>
        <v>101.3484</v>
      </c>
      <c r="G1017" s="10">
        <f>101.6176 * CHOOSE(CONTROL!$C$9, $D$9, 100%, $F$9) + CHOOSE(CONTROL!$C$27, 0.0021, 0)</f>
        <v>101.61969999999999</v>
      </c>
      <c r="H1017" s="10">
        <f>101.4829 * CHOOSE(CONTROL!$C$9, $D$9, 100%, $F$9) + CHOOSE(CONTROL!$C$27, 0.0021, 0)</f>
        <v>101.485</v>
      </c>
      <c r="I1017" s="10">
        <f>101.4829 * CHOOSE(CONTROL!$C$9, $D$9, 100%, $F$9) + CHOOSE(CONTROL!$C$27, 0.0021, 0)</f>
        <v>101.485</v>
      </c>
      <c r="J1017" s="10">
        <f>101.4829 * CHOOSE(CONTROL!$C$9, $D$9, 100%, $F$9) + CHOOSE(CONTROL!$C$27, 0.0021, 0)</f>
        <v>101.485</v>
      </c>
      <c r="K1017" s="10">
        <f>101.4829 * CHOOSE(CONTROL!$C$9, $D$9, 100%, $F$9) + CHOOSE(CONTROL!$C$27, 0.0021, 0)</f>
        <v>101.485</v>
      </c>
      <c r="L1017" s="10"/>
    </row>
    <row r="1018" spans="1:12" ht="15.75" x14ac:dyDescent="0.25">
      <c r="A1018" s="13">
        <v>72289</v>
      </c>
      <c r="B1018" s="10">
        <f>102.1453 * CHOOSE(CONTROL!$C$9, $D$9, 100%, $F$9) + CHOOSE(CONTROL!$C$27, 0.0021, 0)</f>
        <v>102.1474</v>
      </c>
      <c r="C1018" s="10">
        <f>101.7131 * CHOOSE(CONTROL!$C$9, $D$9, 100%, $F$9) + CHOOSE(CONTROL!$C$27, 0.0021, 0)</f>
        <v>101.7152</v>
      </c>
      <c r="D1018" s="10">
        <f>101.7131 * CHOOSE(CONTROL!$C$9, $D$9, 100%, $F$9) + CHOOSE(CONTROL!$C$27, 0.0021, 0)</f>
        <v>101.7152</v>
      </c>
      <c r="E1018" s="10">
        <f>101.5764 * CHOOSE(CONTROL!$C$9, $D$9, 100%, $F$9) + CHOOSE(CONTROL!$C$27, 0.0021, 0)</f>
        <v>101.57850000000001</v>
      </c>
      <c r="F1018" s="10">
        <f>101.5764 * CHOOSE(CONTROL!$C$9, $D$9, 100%, $F$9) + CHOOSE(CONTROL!$C$27, 0.0021, 0)</f>
        <v>101.57850000000001</v>
      </c>
      <c r="G1018" s="10">
        <f>101.8478 * CHOOSE(CONTROL!$C$9, $D$9, 100%, $F$9) + CHOOSE(CONTROL!$C$27, 0.0021, 0)</f>
        <v>101.84990000000001</v>
      </c>
      <c r="H1018" s="10">
        <f>101.7131 * CHOOSE(CONTROL!$C$9, $D$9, 100%, $F$9) + CHOOSE(CONTROL!$C$27, 0.0021, 0)</f>
        <v>101.7152</v>
      </c>
      <c r="I1018" s="10">
        <f>101.7131 * CHOOSE(CONTROL!$C$9, $D$9, 100%, $F$9) + CHOOSE(CONTROL!$C$27, 0.0021, 0)</f>
        <v>101.7152</v>
      </c>
      <c r="J1018" s="10">
        <f>101.7131 * CHOOSE(CONTROL!$C$9, $D$9, 100%, $F$9) + CHOOSE(CONTROL!$C$27, 0.0021, 0)</f>
        <v>101.7152</v>
      </c>
      <c r="K1018" s="10">
        <f>101.7131 * CHOOSE(CONTROL!$C$9, $D$9, 100%, $F$9) + CHOOSE(CONTROL!$C$27, 0.0021, 0)</f>
        <v>101.7152</v>
      </c>
      <c r="L1018" s="10"/>
    </row>
    <row r="1019" spans="1:12" ht="15.75" x14ac:dyDescent="0.25">
      <c r="A1019" s="13">
        <v>72320</v>
      </c>
      <c r="B1019" s="10">
        <f>100.1874 * CHOOSE(CONTROL!$C$9, $D$9, 100%, $F$9) + CHOOSE(CONTROL!$C$27, 0.0021, 0)</f>
        <v>100.1895</v>
      </c>
      <c r="C1019" s="10">
        <f>99.7552 * CHOOSE(CONTROL!$C$9, $D$9, 100%, $F$9) + CHOOSE(CONTROL!$C$27, 0.0021, 0)</f>
        <v>99.757300000000001</v>
      </c>
      <c r="D1019" s="10">
        <f>99.7552 * CHOOSE(CONTROL!$C$9, $D$9, 100%, $F$9) + CHOOSE(CONTROL!$C$27, 0.0021, 0)</f>
        <v>99.757300000000001</v>
      </c>
      <c r="E1019" s="10">
        <f>99.6185 * CHOOSE(CONTROL!$C$9, $D$9, 100%, $F$9) + CHOOSE(CONTROL!$C$27, 0.0021, 0)</f>
        <v>99.620599999999996</v>
      </c>
      <c r="F1019" s="10">
        <f>99.6185 * CHOOSE(CONTROL!$C$9, $D$9, 100%, $F$9) + CHOOSE(CONTROL!$C$27, 0.0021, 0)</f>
        <v>99.620599999999996</v>
      </c>
      <c r="G1019" s="10">
        <f>99.8899 * CHOOSE(CONTROL!$C$9, $D$9, 100%, $F$9) + CHOOSE(CONTROL!$C$27, 0.0021, 0)</f>
        <v>99.891999999999996</v>
      </c>
      <c r="H1019" s="10">
        <f>99.7552 * CHOOSE(CONTROL!$C$9, $D$9, 100%, $F$9) + CHOOSE(CONTROL!$C$27, 0.0021, 0)</f>
        <v>99.757300000000001</v>
      </c>
      <c r="I1019" s="10">
        <f>99.7552 * CHOOSE(CONTROL!$C$9, $D$9, 100%, $F$9) + CHOOSE(CONTROL!$C$27, 0.0021, 0)</f>
        <v>99.757300000000001</v>
      </c>
      <c r="J1019" s="10">
        <f>99.7552 * CHOOSE(CONTROL!$C$9, $D$9, 100%, $F$9) + CHOOSE(CONTROL!$C$27, 0.0021, 0)</f>
        <v>99.757300000000001</v>
      </c>
      <c r="K1019" s="10">
        <f>99.7552 * CHOOSE(CONTROL!$C$9, $D$9, 100%, $F$9) + CHOOSE(CONTROL!$C$27, 0.0021, 0)</f>
        <v>99.757300000000001</v>
      </c>
      <c r="L1019" s="10"/>
    </row>
    <row r="1020" spans="1:12" ht="15.75" x14ac:dyDescent="0.25">
      <c r="A1020" s="13">
        <v>72351</v>
      </c>
      <c r="B1020" s="10">
        <f>98.6884 * CHOOSE(CONTROL!$C$9, $D$9, 100%, $F$9) + CHOOSE(CONTROL!$C$27, 0.0021, 0)</f>
        <v>98.6905</v>
      </c>
      <c r="C1020" s="10">
        <f>98.2562 * CHOOSE(CONTROL!$C$9, $D$9, 100%, $F$9) + CHOOSE(CONTROL!$C$27, 0.0021, 0)</f>
        <v>98.258300000000006</v>
      </c>
      <c r="D1020" s="10">
        <f>98.2562 * CHOOSE(CONTROL!$C$9, $D$9, 100%, $F$9) + CHOOSE(CONTROL!$C$27, 0.0021, 0)</f>
        <v>98.258300000000006</v>
      </c>
      <c r="E1020" s="10">
        <f>98.1195 * CHOOSE(CONTROL!$C$9, $D$9, 100%, $F$9) + CHOOSE(CONTROL!$C$27, 0.0021, 0)</f>
        <v>98.121600000000001</v>
      </c>
      <c r="F1020" s="10">
        <f>98.1195 * CHOOSE(CONTROL!$C$9, $D$9, 100%, $F$9) + CHOOSE(CONTROL!$C$27, 0.0021, 0)</f>
        <v>98.121600000000001</v>
      </c>
      <c r="G1020" s="10">
        <f>98.3909 * CHOOSE(CONTROL!$C$9, $D$9, 100%, $F$9) + CHOOSE(CONTROL!$C$27, 0.0021, 0)</f>
        <v>98.393000000000001</v>
      </c>
      <c r="H1020" s="10">
        <f>98.2562 * CHOOSE(CONTROL!$C$9, $D$9, 100%, $F$9) + CHOOSE(CONTROL!$C$27, 0.0021, 0)</f>
        <v>98.258300000000006</v>
      </c>
      <c r="I1020" s="10">
        <f>98.2562 * CHOOSE(CONTROL!$C$9, $D$9, 100%, $F$9) + CHOOSE(CONTROL!$C$27, 0.0021, 0)</f>
        <v>98.258300000000006</v>
      </c>
      <c r="J1020" s="10">
        <f>98.2562 * CHOOSE(CONTROL!$C$9, $D$9, 100%, $F$9) + CHOOSE(CONTROL!$C$27, 0.0021, 0)</f>
        <v>98.258300000000006</v>
      </c>
      <c r="K1020" s="10">
        <f>98.2562 * CHOOSE(CONTROL!$C$9, $D$9, 100%, $F$9) + CHOOSE(CONTROL!$C$27, 0.0021, 0)</f>
        <v>98.258300000000006</v>
      </c>
      <c r="L1020" s="10"/>
    </row>
    <row r="1021" spans="1:12" ht="15.75" x14ac:dyDescent="0.25">
      <c r="A1021" s="13">
        <v>72379</v>
      </c>
      <c r="B1021" s="10">
        <f>95.9618 * CHOOSE(CONTROL!$C$9, $D$9, 100%, $F$9) + CHOOSE(CONTROL!$C$27, 0.0021, 0)</f>
        <v>95.963899999999995</v>
      </c>
      <c r="C1021" s="10">
        <f>95.5296 * CHOOSE(CONTROL!$C$9, $D$9, 100%, $F$9) + CHOOSE(CONTROL!$C$27, 0.0021, 0)</f>
        <v>95.531700000000001</v>
      </c>
      <c r="D1021" s="10">
        <f>95.5296 * CHOOSE(CONTROL!$C$9, $D$9, 100%, $F$9) + CHOOSE(CONTROL!$C$27, 0.0021, 0)</f>
        <v>95.531700000000001</v>
      </c>
      <c r="E1021" s="10">
        <f>95.3929 * CHOOSE(CONTROL!$C$9, $D$9, 100%, $F$9) + CHOOSE(CONTROL!$C$27, 0.0021, 0)</f>
        <v>95.394999999999996</v>
      </c>
      <c r="F1021" s="10">
        <f>95.3929 * CHOOSE(CONTROL!$C$9, $D$9, 100%, $F$9) + CHOOSE(CONTROL!$C$27, 0.0021, 0)</f>
        <v>95.394999999999996</v>
      </c>
      <c r="G1021" s="10">
        <f>95.6643 * CHOOSE(CONTROL!$C$9, $D$9, 100%, $F$9) + CHOOSE(CONTROL!$C$27, 0.0021, 0)</f>
        <v>95.666399999999996</v>
      </c>
      <c r="H1021" s="10">
        <f>95.5296 * CHOOSE(CONTROL!$C$9, $D$9, 100%, $F$9) + CHOOSE(CONTROL!$C$27, 0.0021, 0)</f>
        <v>95.531700000000001</v>
      </c>
      <c r="I1021" s="10">
        <f>95.5296 * CHOOSE(CONTROL!$C$9, $D$9, 100%, $F$9) + CHOOSE(CONTROL!$C$27, 0.0021, 0)</f>
        <v>95.531700000000001</v>
      </c>
      <c r="J1021" s="10">
        <f>95.5296 * CHOOSE(CONTROL!$C$9, $D$9, 100%, $F$9) + CHOOSE(CONTROL!$C$27, 0.0021, 0)</f>
        <v>95.531700000000001</v>
      </c>
      <c r="K1021" s="10">
        <f>95.5296 * CHOOSE(CONTROL!$C$9, $D$9, 100%, $F$9) + CHOOSE(CONTROL!$C$27, 0.0021, 0)</f>
        <v>95.531700000000001</v>
      </c>
      <c r="L1021" s="10"/>
    </row>
    <row r="1022" spans="1:12" ht="15.75" x14ac:dyDescent="0.25">
      <c r="A1022" s="13">
        <v>72410</v>
      </c>
      <c r="B1022" s="10">
        <f>94.8363 * CHOOSE(CONTROL!$C$9, $D$9, 100%, $F$9) + CHOOSE(CONTROL!$C$27, 0.0021, 0)</f>
        <v>94.838399999999993</v>
      </c>
      <c r="C1022" s="10">
        <f>94.404 * CHOOSE(CONTROL!$C$9, $D$9, 100%, $F$9) + CHOOSE(CONTROL!$C$27, 0.0021, 0)</f>
        <v>94.406099999999995</v>
      </c>
      <c r="D1022" s="10">
        <f>94.404 * CHOOSE(CONTROL!$C$9, $D$9, 100%, $F$9) + CHOOSE(CONTROL!$C$27, 0.0021, 0)</f>
        <v>94.406099999999995</v>
      </c>
      <c r="E1022" s="10">
        <f>94.2674 * CHOOSE(CONTROL!$C$9, $D$9, 100%, $F$9) + CHOOSE(CONTROL!$C$27, 0.0021, 0)</f>
        <v>94.269499999999994</v>
      </c>
      <c r="F1022" s="10">
        <f>94.2674 * CHOOSE(CONTROL!$C$9, $D$9, 100%, $F$9) + CHOOSE(CONTROL!$C$27, 0.0021, 0)</f>
        <v>94.269499999999994</v>
      </c>
      <c r="G1022" s="10">
        <f>94.5387 * CHOOSE(CONTROL!$C$9, $D$9, 100%, $F$9) + CHOOSE(CONTROL!$C$27, 0.0021, 0)</f>
        <v>94.540800000000004</v>
      </c>
      <c r="H1022" s="10">
        <f>94.404 * CHOOSE(CONTROL!$C$9, $D$9, 100%, $F$9) + CHOOSE(CONTROL!$C$27, 0.0021, 0)</f>
        <v>94.406099999999995</v>
      </c>
      <c r="I1022" s="10">
        <f>94.404 * CHOOSE(CONTROL!$C$9, $D$9, 100%, $F$9) + CHOOSE(CONTROL!$C$27, 0.0021, 0)</f>
        <v>94.406099999999995</v>
      </c>
      <c r="J1022" s="10">
        <f>94.404 * CHOOSE(CONTROL!$C$9, $D$9, 100%, $F$9) + CHOOSE(CONTROL!$C$27, 0.0021, 0)</f>
        <v>94.406099999999995</v>
      </c>
      <c r="K1022" s="10">
        <f>94.404 * CHOOSE(CONTROL!$C$9, $D$9, 100%, $F$9) + CHOOSE(CONTROL!$C$27, 0.0021, 0)</f>
        <v>94.406099999999995</v>
      </c>
      <c r="L1022" s="10"/>
    </row>
    <row r="1023" spans="1:12" ht="15.75" x14ac:dyDescent="0.25">
      <c r="A1023" s="13">
        <v>72440</v>
      </c>
      <c r="B1023" s="10">
        <f>93.4924 * CHOOSE(CONTROL!$C$9, $D$9, 100%, $F$9) + CHOOSE(CONTROL!$C$27, 0.0021, 0)</f>
        <v>93.494500000000002</v>
      </c>
      <c r="C1023" s="10">
        <f>93.0601 * CHOOSE(CONTROL!$C$9, $D$9, 100%, $F$9) + CHOOSE(CONTROL!$C$27, 0.0021, 0)</f>
        <v>93.062200000000004</v>
      </c>
      <c r="D1023" s="10">
        <f>93.0601 * CHOOSE(CONTROL!$C$9, $D$9, 100%, $F$9) + CHOOSE(CONTROL!$C$27, 0.0021, 0)</f>
        <v>93.062200000000004</v>
      </c>
      <c r="E1023" s="10">
        <f>92.9234 * CHOOSE(CONTROL!$C$9, $D$9, 100%, $F$9) + CHOOSE(CONTROL!$C$27, 0.0021, 0)</f>
        <v>92.9255</v>
      </c>
      <c r="F1023" s="10">
        <f>92.9234 * CHOOSE(CONTROL!$C$9, $D$9, 100%, $F$9) + CHOOSE(CONTROL!$C$27, 0.0021, 0)</f>
        <v>92.9255</v>
      </c>
      <c r="G1023" s="10">
        <f>93.1948 * CHOOSE(CONTROL!$C$9, $D$9, 100%, $F$9) + CHOOSE(CONTROL!$C$27, 0.0021, 0)</f>
        <v>93.196899999999999</v>
      </c>
      <c r="H1023" s="10">
        <f>93.0601 * CHOOSE(CONTROL!$C$9, $D$9, 100%, $F$9) + CHOOSE(CONTROL!$C$27, 0.0021, 0)</f>
        <v>93.062200000000004</v>
      </c>
      <c r="I1023" s="10">
        <f>93.0601 * CHOOSE(CONTROL!$C$9, $D$9, 100%, $F$9) + CHOOSE(CONTROL!$C$27, 0.0021, 0)</f>
        <v>93.062200000000004</v>
      </c>
      <c r="J1023" s="10">
        <f>93.0601 * CHOOSE(CONTROL!$C$9, $D$9, 100%, $F$9) + CHOOSE(CONTROL!$C$27, 0.0021, 0)</f>
        <v>93.062200000000004</v>
      </c>
      <c r="K1023" s="10">
        <f>93.0601 * CHOOSE(CONTROL!$C$9, $D$9, 100%, $F$9) + CHOOSE(CONTROL!$C$27, 0.0021, 0)</f>
        <v>93.062200000000004</v>
      </c>
      <c r="L1023" s="10"/>
    </row>
    <row r="1024" spans="1:12" ht="15.75" x14ac:dyDescent="0.25">
      <c r="A1024" s="13">
        <v>72471</v>
      </c>
      <c r="B1024" s="10">
        <f>95.4076 * CHOOSE(CONTROL!$C$9, $D$9, 100%, $F$9) + CHOOSE(CONTROL!$C$27, 0.0021, 0)</f>
        <v>95.409700000000001</v>
      </c>
      <c r="C1024" s="10">
        <f>94.9753 * CHOOSE(CONTROL!$C$9, $D$9, 100%, $F$9) + CHOOSE(CONTROL!$C$27, 0.0021, 0)</f>
        <v>94.977400000000003</v>
      </c>
      <c r="D1024" s="10">
        <f>94.9753 * CHOOSE(CONTROL!$C$9, $D$9, 100%, $F$9) + CHOOSE(CONTROL!$C$27, 0.0021, 0)</f>
        <v>94.977400000000003</v>
      </c>
      <c r="E1024" s="10">
        <f>94.8387 * CHOOSE(CONTROL!$C$9, $D$9, 100%, $F$9) + CHOOSE(CONTROL!$C$27, 0.0021, 0)</f>
        <v>94.840800000000002</v>
      </c>
      <c r="F1024" s="10">
        <f>94.8387 * CHOOSE(CONTROL!$C$9, $D$9, 100%, $F$9) + CHOOSE(CONTROL!$C$27, 0.0021, 0)</f>
        <v>94.840800000000002</v>
      </c>
      <c r="G1024" s="10">
        <f>95.1101 * CHOOSE(CONTROL!$C$9, $D$9, 100%, $F$9) + CHOOSE(CONTROL!$C$27, 0.0021, 0)</f>
        <v>95.112200000000001</v>
      </c>
      <c r="H1024" s="10">
        <f>94.9753 * CHOOSE(CONTROL!$C$9, $D$9, 100%, $F$9) + CHOOSE(CONTROL!$C$27, 0.0021, 0)</f>
        <v>94.977400000000003</v>
      </c>
      <c r="I1024" s="10">
        <f>94.9753 * CHOOSE(CONTROL!$C$9, $D$9, 100%, $F$9) + CHOOSE(CONTROL!$C$27, 0.0021, 0)</f>
        <v>94.977400000000003</v>
      </c>
      <c r="J1024" s="10">
        <f>94.9753 * CHOOSE(CONTROL!$C$9, $D$9, 100%, $F$9) + CHOOSE(CONTROL!$C$27, 0.0021, 0)</f>
        <v>94.977400000000003</v>
      </c>
      <c r="K1024" s="10">
        <f>94.9753 * CHOOSE(CONTROL!$C$9, $D$9, 100%, $F$9) + CHOOSE(CONTROL!$C$27, 0.0021, 0)</f>
        <v>94.977400000000003</v>
      </c>
      <c r="L1024" s="10"/>
    </row>
    <row r="1025" spans="1:12" ht="15.75" x14ac:dyDescent="0.25">
      <c r="A1025" s="13">
        <v>72501</v>
      </c>
      <c r="B1025" s="10">
        <f>96.5547 * CHOOSE(CONTROL!$C$9, $D$9, 100%, $F$9) + CHOOSE(CONTROL!$C$27, 0.0021, 0)</f>
        <v>96.556799999999996</v>
      </c>
      <c r="C1025" s="10">
        <f>96.1225 * CHOOSE(CONTROL!$C$9, $D$9, 100%, $F$9) + CHOOSE(CONTROL!$C$27, 0.0021, 0)</f>
        <v>96.124600000000001</v>
      </c>
      <c r="D1025" s="10">
        <f>96.1225 * CHOOSE(CONTROL!$C$9, $D$9, 100%, $F$9) + CHOOSE(CONTROL!$C$27, 0.0021, 0)</f>
        <v>96.124600000000001</v>
      </c>
      <c r="E1025" s="10">
        <f>95.9858 * CHOOSE(CONTROL!$C$9, $D$9, 100%, $F$9) + CHOOSE(CONTROL!$C$27, 0.0021, 0)</f>
        <v>95.987899999999996</v>
      </c>
      <c r="F1025" s="10">
        <f>95.9858 * CHOOSE(CONTROL!$C$9, $D$9, 100%, $F$9) + CHOOSE(CONTROL!$C$27, 0.0021, 0)</f>
        <v>95.987899999999996</v>
      </c>
      <c r="G1025" s="10">
        <f>96.2572 * CHOOSE(CONTROL!$C$9, $D$9, 100%, $F$9) + CHOOSE(CONTROL!$C$27, 0.0021, 0)</f>
        <v>96.259299999999996</v>
      </c>
      <c r="H1025" s="10">
        <f>96.1225 * CHOOSE(CONTROL!$C$9, $D$9, 100%, $F$9) + CHOOSE(CONTROL!$C$27, 0.0021, 0)</f>
        <v>96.124600000000001</v>
      </c>
      <c r="I1025" s="10">
        <f>96.1225 * CHOOSE(CONTROL!$C$9, $D$9, 100%, $F$9) + CHOOSE(CONTROL!$C$27, 0.0021, 0)</f>
        <v>96.124600000000001</v>
      </c>
      <c r="J1025" s="10">
        <f>96.1225 * CHOOSE(CONTROL!$C$9, $D$9, 100%, $F$9) + CHOOSE(CONTROL!$C$27, 0.0021, 0)</f>
        <v>96.124600000000001</v>
      </c>
      <c r="K1025" s="10">
        <f>96.1225 * CHOOSE(CONTROL!$C$9, $D$9, 100%, $F$9) + CHOOSE(CONTROL!$C$27, 0.0021, 0)</f>
        <v>96.124600000000001</v>
      </c>
      <c r="L1025" s="10"/>
    </row>
    <row r="1026" spans="1:12" ht="15.75" x14ac:dyDescent="0.25">
      <c r="A1026" s="13">
        <v>72532</v>
      </c>
      <c r="B1026" s="10">
        <f>98.4471 * CHOOSE(CONTROL!$C$9, $D$9, 100%, $F$9) + CHOOSE(CONTROL!$C$27, 0.0021, 0)</f>
        <v>98.449200000000005</v>
      </c>
      <c r="C1026" s="10">
        <f>98.0149 * CHOOSE(CONTROL!$C$9, $D$9, 100%, $F$9) + CHOOSE(CONTROL!$C$27, 0.0021, 0)</f>
        <v>98.016999999999996</v>
      </c>
      <c r="D1026" s="10">
        <f>98.0149 * CHOOSE(CONTROL!$C$9, $D$9, 100%, $F$9) + CHOOSE(CONTROL!$C$27, 0.0021, 0)</f>
        <v>98.016999999999996</v>
      </c>
      <c r="E1026" s="10">
        <f>97.8782 * CHOOSE(CONTROL!$C$9, $D$9, 100%, $F$9) + CHOOSE(CONTROL!$C$27, 0.0021, 0)</f>
        <v>97.880300000000005</v>
      </c>
      <c r="F1026" s="10">
        <f>97.8782 * CHOOSE(CONTROL!$C$9, $D$9, 100%, $F$9) + CHOOSE(CONTROL!$C$27, 0.0021, 0)</f>
        <v>97.880300000000005</v>
      </c>
      <c r="G1026" s="10">
        <f>98.1496 * CHOOSE(CONTROL!$C$9, $D$9, 100%, $F$9) + CHOOSE(CONTROL!$C$27, 0.0021, 0)</f>
        <v>98.151700000000005</v>
      </c>
      <c r="H1026" s="10">
        <f>98.0149 * CHOOSE(CONTROL!$C$9, $D$9, 100%, $F$9) + CHOOSE(CONTROL!$C$27, 0.0021, 0)</f>
        <v>98.016999999999996</v>
      </c>
      <c r="I1026" s="10">
        <f>98.0149 * CHOOSE(CONTROL!$C$9, $D$9, 100%, $F$9) + CHOOSE(CONTROL!$C$27, 0.0021, 0)</f>
        <v>98.016999999999996</v>
      </c>
      <c r="J1026" s="10">
        <f>98.0149 * CHOOSE(CONTROL!$C$9, $D$9, 100%, $F$9) + CHOOSE(CONTROL!$C$27, 0.0021, 0)</f>
        <v>98.016999999999996</v>
      </c>
      <c r="K1026" s="10">
        <f>98.0149 * CHOOSE(CONTROL!$C$9, $D$9, 100%, $F$9) + CHOOSE(CONTROL!$C$27, 0.0021, 0)</f>
        <v>98.016999999999996</v>
      </c>
      <c r="L1026" s="10"/>
    </row>
    <row r="1027" spans="1:12" ht="15.75" x14ac:dyDescent="0.25">
      <c r="A1027" s="13">
        <v>72563</v>
      </c>
      <c r="B1027" s="10">
        <f>99.0247 * CHOOSE(CONTROL!$C$9, $D$9, 100%, $F$9) + CHOOSE(CONTROL!$C$27, 0.0021, 0)</f>
        <v>99.026799999999994</v>
      </c>
      <c r="C1027" s="10">
        <f>98.5925 * CHOOSE(CONTROL!$C$9, $D$9, 100%, $F$9) + CHOOSE(CONTROL!$C$27, 0.0021, 0)</f>
        <v>98.5946</v>
      </c>
      <c r="D1027" s="10">
        <f>98.5925 * CHOOSE(CONTROL!$C$9, $D$9, 100%, $F$9) + CHOOSE(CONTROL!$C$27, 0.0021, 0)</f>
        <v>98.5946</v>
      </c>
      <c r="E1027" s="10">
        <f>98.4558 * CHOOSE(CONTROL!$C$9, $D$9, 100%, $F$9) + CHOOSE(CONTROL!$C$27, 0.0021, 0)</f>
        <v>98.457899999999995</v>
      </c>
      <c r="F1027" s="10">
        <f>98.4558 * CHOOSE(CONTROL!$C$9, $D$9, 100%, $F$9) + CHOOSE(CONTROL!$C$27, 0.0021, 0)</f>
        <v>98.457899999999995</v>
      </c>
      <c r="G1027" s="10">
        <f>98.7272 * CHOOSE(CONTROL!$C$9, $D$9, 100%, $F$9) + CHOOSE(CONTROL!$C$27, 0.0021, 0)</f>
        <v>98.729299999999995</v>
      </c>
      <c r="H1027" s="10">
        <f>98.5925 * CHOOSE(CONTROL!$C$9, $D$9, 100%, $F$9) + CHOOSE(CONTROL!$C$27, 0.0021, 0)</f>
        <v>98.5946</v>
      </c>
      <c r="I1027" s="10">
        <f>98.5925 * CHOOSE(CONTROL!$C$9, $D$9, 100%, $F$9) + CHOOSE(CONTROL!$C$27, 0.0021, 0)</f>
        <v>98.5946</v>
      </c>
      <c r="J1027" s="10">
        <f>98.5925 * CHOOSE(CONTROL!$C$9, $D$9, 100%, $F$9) + CHOOSE(CONTROL!$C$27, 0.0021, 0)</f>
        <v>98.5946</v>
      </c>
      <c r="K1027" s="10">
        <f>98.5925 * CHOOSE(CONTROL!$C$9, $D$9, 100%, $F$9) + CHOOSE(CONTROL!$C$27, 0.0021, 0)</f>
        <v>98.5946</v>
      </c>
      <c r="L1027" s="10"/>
    </row>
    <row r="1028" spans="1:12" ht="15.75" x14ac:dyDescent="0.25">
      <c r="A1028" s="13">
        <v>72593</v>
      </c>
      <c r="B1028" s="10">
        <f>100.9918 * CHOOSE(CONTROL!$C$9, $D$9, 100%, $F$9) + CHOOSE(CONTROL!$C$27, 0.0021, 0)</f>
        <v>100.9939</v>
      </c>
      <c r="C1028" s="10">
        <f>100.5595 * CHOOSE(CONTROL!$C$9, $D$9, 100%, $F$9) + CHOOSE(CONTROL!$C$27, 0.0021, 0)</f>
        <v>100.5616</v>
      </c>
      <c r="D1028" s="10">
        <f>100.5595 * CHOOSE(CONTROL!$C$9, $D$9, 100%, $F$9) + CHOOSE(CONTROL!$C$27, 0.0021, 0)</f>
        <v>100.5616</v>
      </c>
      <c r="E1028" s="10">
        <f>100.4229 * CHOOSE(CONTROL!$C$9, $D$9, 100%, $F$9) + CHOOSE(CONTROL!$C$27, 0.0021, 0)</f>
        <v>100.425</v>
      </c>
      <c r="F1028" s="10">
        <f>100.4229 * CHOOSE(CONTROL!$C$9, $D$9, 100%, $F$9) + CHOOSE(CONTROL!$C$27, 0.0021, 0)</f>
        <v>100.425</v>
      </c>
      <c r="G1028" s="10">
        <f>100.6943 * CHOOSE(CONTROL!$C$9, $D$9, 100%, $F$9) + CHOOSE(CONTROL!$C$27, 0.0021, 0)</f>
        <v>100.6964</v>
      </c>
      <c r="H1028" s="10">
        <f>100.5595 * CHOOSE(CONTROL!$C$9, $D$9, 100%, $F$9) + CHOOSE(CONTROL!$C$27, 0.0021, 0)</f>
        <v>100.5616</v>
      </c>
      <c r="I1028" s="10">
        <f>100.5595 * CHOOSE(CONTROL!$C$9, $D$9, 100%, $F$9) + CHOOSE(CONTROL!$C$27, 0.0021, 0)</f>
        <v>100.5616</v>
      </c>
      <c r="J1028" s="10">
        <f>100.5595 * CHOOSE(CONTROL!$C$9, $D$9, 100%, $F$9) + CHOOSE(CONTROL!$C$27, 0.0021, 0)</f>
        <v>100.5616</v>
      </c>
      <c r="K1028" s="10">
        <f>100.5595 * CHOOSE(CONTROL!$C$9, $D$9, 100%, $F$9) + CHOOSE(CONTROL!$C$27, 0.0021, 0)</f>
        <v>100.5616</v>
      </c>
      <c r="L1028" s="10"/>
    </row>
    <row r="1029" spans="1:12" ht="15.75" x14ac:dyDescent="0.25">
      <c r="A1029" s="13">
        <v>72624</v>
      </c>
      <c r="B1029" s="10">
        <f>103.4817 * CHOOSE(CONTROL!$C$9, $D$9, 100%, $F$9) + CHOOSE(CONTROL!$C$27, 0.0021, 0)</f>
        <v>103.4838</v>
      </c>
      <c r="C1029" s="10">
        <f>103.0495 * CHOOSE(CONTROL!$C$9, $D$9, 100%, $F$9) + CHOOSE(CONTROL!$C$27, 0.0021, 0)</f>
        <v>103.05159999999999</v>
      </c>
      <c r="D1029" s="10">
        <f>103.0495 * CHOOSE(CONTROL!$C$9, $D$9, 100%, $F$9) + CHOOSE(CONTROL!$C$27, 0.0021, 0)</f>
        <v>103.05159999999999</v>
      </c>
      <c r="E1029" s="10">
        <f>102.9128 * CHOOSE(CONTROL!$C$9, $D$9, 100%, $F$9) + CHOOSE(CONTROL!$C$27, 0.0021, 0)</f>
        <v>102.9149</v>
      </c>
      <c r="F1029" s="10">
        <f>102.9128 * CHOOSE(CONTROL!$C$9, $D$9, 100%, $F$9) + CHOOSE(CONTROL!$C$27, 0.0021, 0)</f>
        <v>102.9149</v>
      </c>
      <c r="G1029" s="10">
        <f>103.1842 * CHOOSE(CONTROL!$C$9, $D$9, 100%, $F$9) + CHOOSE(CONTROL!$C$27, 0.0021, 0)</f>
        <v>103.1863</v>
      </c>
      <c r="H1029" s="10">
        <f>103.0495 * CHOOSE(CONTROL!$C$9, $D$9, 100%, $F$9) + CHOOSE(CONTROL!$C$27, 0.0021, 0)</f>
        <v>103.05159999999999</v>
      </c>
      <c r="I1029" s="10">
        <f>103.0495 * CHOOSE(CONTROL!$C$9, $D$9, 100%, $F$9) + CHOOSE(CONTROL!$C$27, 0.0021, 0)</f>
        <v>103.05159999999999</v>
      </c>
      <c r="J1029" s="10">
        <f>103.0495 * CHOOSE(CONTROL!$C$9, $D$9, 100%, $F$9) + CHOOSE(CONTROL!$C$27, 0.0021, 0)</f>
        <v>103.05159999999999</v>
      </c>
      <c r="K1029" s="10">
        <f>103.0495 * CHOOSE(CONTROL!$C$9, $D$9, 100%, $F$9) + CHOOSE(CONTROL!$C$27, 0.0021, 0)</f>
        <v>103.05159999999999</v>
      </c>
      <c r="L1029" s="10"/>
    </row>
    <row r="1030" spans="1:12" ht="15.75" x14ac:dyDescent="0.25">
      <c r="A1030" s="13">
        <v>72654</v>
      </c>
      <c r="B1030" s="10">
        <f>103.7155 * CHOOSE(CONTROL!$C$9, $D$9, 100%, $F$9) + CHOOSE(CONTROL!$C$27, 0.0021, 0)</f>
        <v>103.7176</v>
      </c>
      <c r="C1030" s="10">
        <f>103.2832 * CHOOSE(CONTROL!$C$9, $D$9, 100%, $F$9) + CHOOSE(CONTROL!$C$27, 0.0021, 0)</f>
        <v>103.28529999999999</v>
      </c>
      <c r="D1030" s="10">
        <f>103.2832 * CHOOSE(CONTROL!$C$9, $D$9, 100%, $F$9) + CHOOSE(CONTROL!$C$27, 0.0021, 0)</f>
        <v>103.28529999999999</v>
      </c>
      <c r="E1030" s="10">
        <f>103.1466 * CHOOSE(CONTROL!$C$9, $D$9, 100%, $F$9) + CHOOSE(CONTROL!$C$27, 0.0021, 0)</f>
        <v>103.14870000000001</v>
      </c>
      <c r="F1030" s="10">
        <f>103.1466 * CHOOSE(CONTROL!$C$9, $D$9, 100%, $F$9) + CHOOSE(CONTROL!$C$27, 0.0021, 0)</f>
        <v>103.14870000000001</v>
      </c>
      <c r="G1030" s="10">
        <f>103.418 * CHOOSE(CONTROL!$C$9, $D$9, 100%, $F$9) + CHOOSE(CONTROL!$C$27, 0.0021, 0)</f>
        <v>103.42010000000001</v>
      </c>
      <c r="H1030" s="10">
        <f>103.2832 * CHOOSE(CONTROL!$C$9, $D$9, 100%, $F$9) + CHOOSE(CONTROL!$C$27, 0.0021, 0)</f>
        <v>103.28529999999999</v>
      </c>
      <c r="I1030" s="10">
        <f>103.2832 * CHOOSE(CONTROL!$C$9, $D$9, 100%, $F$9) + CHOOSE(CONTROL!$C$27, 0.0021, 0)</f>
        <v>103.28529999999999</v>
      </c>
      <c r="J1030" s="10">
        <f>103.2832 * CHOOSE(CONTROL!$C$9, $D$9, 100%, $F$9) + CHOOSE(CONTROL!$C$27, 0.0021, 0)</f>
        <v>103.28529999999999</v>
      </c>
      <c r="K1030" s="10">
        <f>103.2832 * CHOOSE(CONTROL!$C$9, $D$9, 100%, $F$9) + CHOOSE(CONTROL!$C$27, 0.0021, 0)</f>
        <v>103.28529999999999</v>
      </c>
      <c r="L1030" s="10"/>
    </row>
    <row r="1031" spans="1:12" ht="15.75" x14ac:dyDescent="0.25">
      <c r="A1031" s="13">
        <v>72685</v>
      </c>
      <c r="B1031" s="10">
        <f>101.7268 * CHOOSE(CONTROL!$C$9, $D$9, 100%, $F$9) + CHOOSE(CONTROL!$C$27, 0.0021, 0)</f>
        <v>101.7289</v>
      </c>
      <c r="C1031" s="10">
        <f>101.2946 * CHOOSE(CONTROL!$C$9, $D$9, 100%, $F$9) + CHOOSE(CONTROL!$C$27, 0.0021, 0)</f>
        <v>101.2967</v>
      </c>
      <c r="D1031" s="10">
        <f>101.2946 * CHOOSE(CONTROL!$C$9, $D$9, 100%, $F$9) + CHOOSE(CONTROL!$C$27, 0.0021, 0)</f>
        <v>101.2967</v>
      </c>
      <c r="E1031" s="10">
        <f>101.1579 * CHOOSE(CONTROL!$C$9, $D$9, 100%, $F$9) + CHOOSE(CONTROL!$C$27, 0.0021, 0)</f>
        <v>101.16</v>
      </c>
      <c r="F1031" s="10">
        <f>101.1579 * CHOOSE(CONTROL!$C$9, $D$9, 100%, $F$9) + CHOOSE(CONTROL!$C$27, 0.0021, 0)</f>
        <v>101.16</v>
      </c>
      <c r="G1031" s="10">
        <f>101.4293 * CHOOSE(CONTROL!$C$9, $D$9, 100%, $F$9) + CHOOSE(CONTROL!$C$27, 0.0021, 0)</f>
        <v>101.4314</v>
      </c>
      <c r="H1031" s="10">
        <f>101.2946 * CHOOSE(CONTROL!$C$9, $D$9, 100%, $F$9) + CHOOSE(CONTROL!$C$27, 0.0021, 0)</f>
        <v>101.2967</v>
      </c>
      <c r="I1031" s="10">
        <f>101.2946 * CHOOSE(CONTROL!$C$9, $D$9, 100%, $F$9) + CHOOSE(CONTROL!$C$27, 0.0021, 0)</f>
        <v>101.2967</v>
      </c>
      <c r="J1031" s="10">
        <f>101.2946 * CHOOSE(CONTROL!$C$9, $D$9, 100%, $F$9) + CHOOSE(CONTROL!$C$27, 0.0021, 0)</f>
        <v>101.2967</v>
      </c>
      <c r="K1031" s="10">
        <f>101.2946 * CHOOSE(CONTROL!$C$9, $D$9, 100%, $F$9) + CHOOSE(CONTROL!$C$27, 0.0021, 0)</f>
        <v>101.2967</v>
      </c>
      <c r="L1031" s="10"/>
    </row>
    <row r="1032" spans="1:12" ht="15.75" x14ac:dyDescent="0.25">
      <c r="A1032" s="13">
        <v>72716</v>
      </c>
      <c r="B1032" s="10">
        <f>100.2042 * CHOOSE(CONTROL!$C$9, $D$9, 100%, $F$9) + CHOOSE(CONTROL!$C$27, 0.0021, 0)</f>
        <v>100.2063</v>
      </c>
      <c r="C1032" s="10">
        <f>99.772 * CHOOSE(CONTROL!$C$9, $D$9, 100%, $F$9) + CHOOSE(CONTROL!$C$27, 0.0021, 0)</f>
        <v>99.774100000000004</v>
      </c>
      <c r="D1032" s="10">
        <f>99.772 * CHOOSE(CONTROL!$C$9, $D$9, 100%, $F$9) + CHOOSE(CONTROL!$C$27, 0.0021, 0)</f>
        <v>99.774100000000004</v>
      </c>
      <c r="E1032" s="10">
        <f>99.6353 * CHOOSE(CONTROL!$C$9, $D$9, 100%, $F$9) + CHOOSE(CONTROL!$C$27, 0.0021, 0)</f>
        <v>99.6374</v>
      </c>
      <c r="F1032" s="10">
        <f>99.6353 * CHOOSE(CONTROL!$C$9, $D$9, 100%, $F$9) + CHOOSE(CONTROL!$C$27, 0.0021, 0)</f>
        <v>99.6374</v>
      </c>
      <c r="G1032" s="10">
        <f>99.9067 * CHOOSE(CONTROL!$C$9, $D$9, 100%, $F$9) + CHOOSE(CONTROL!$C$27, 0.0021, 0)</f>
        <v>99.908799999999999</v>
      </c>
      <c r="H1032" s="10">
        <f>99.772 * CHOOSE(CONTROL!$C$9, $D$9, 100%, $F$9) + CHOOSE(CONTROL!$C$27, 0.0021, 0)</f>
        <v>99.774100000000004</v>
      </c>
      <c r="I1032" s="10">
        <f>99.772 * CHOOSE(CONTROL!$C$9, $D$9, 100%, $F$9) + CHOOSE(CONTROL!$C$27, 0.0021, 0)</f>
        <v>99.774100000000004</v>
      </c>
      <c r="J1032" s="10">
        <f>99.772 * CHOOSE(CONTROL!$C$9, $D$9, 100%, $F$9) + CHOOSE(CONTROL!$C$27, 0.0021, 0)</f>
        <v>99.774100000000004</v>
      </c>
      <c r="K1032" s="10">
        <f>99.772 * CHOOSE(CONTROL!$C$9, $D$9, 100%, $F$9) + CHOOSE(CONTROL!$C$27, 0.0021, 0)</f>
        <v>99.774100000000004</v>
      </c>
      <c r="L1032" s="10"/>
    </row>
    <row r="1033" spans="1:12" ht="15.75" x14ac:dyDescent="0.25">
      <c r="A1033" s="13">
        <v>72744</v>
      </c>
      <c r="B1033" s="10">
        <f>97.4347 * CHOOSE(CONTROL!$C$9, $D$9, 100%, $F$9) + CHOOSE(CONTROL!$C$27, 0.0021, 0)</f>
        <v>97.436800000000005</v>
      </c>
      <c r="C1033" s="10">
        <f>97.0025 * CHOOSE(CONTROL!$C$9, $D$9, 100%, $F$9) + CHOOSE(CONTROL!$C$27, 0.0021, 0)</f>
        <v>97.004599999999996</v>
      </c>
      <c r="D1033" s="10">
        <f>97.0025 * CHOOSE(CONTROL!$C$9, $D$9, 100%, $F$9) + CHOOSE(CONTROL!$C$27, 0.0021, 0)</f>
        <v>97.004599999999996</v>
      </c>
      <c r="E1033" s="10">
        <f>96.8658 * CHOOSE(CONTROL!$C$9, $D$9, 100%, $F$9) + CHOOSE(CONTROL!$C$27, 0.0021, 0)</f>
        <v>96.867899999999992</v>
      </c>
      <c r="F1033" s="10">
        <f>96.8658 * CHOOSE(CONTROL!$C$9, $D$9, 100%, $F$9) + CHOOSE(CONTROL!$C$27, 0.0021, 0)</f>
        <v>96.867899999999992</v>
      </c>
      <c r="G1033" s="10">
        <f>97.1372 * CHOOSE(CONTROL!$C$9, $D$9, 100%, $F$9) + CHOOSE(CONTROL!$C$27, 0.0021, 0)</f>
        <v>97.139300000000006</v>
      </c>
      <c r="H1033" s="10">
        <f>97.0025 * CHOOSE(CONTROL!$C$9, $D$9, 100%, $F$9) + CHOOSE(CONTROL!$C$27, 0.0021, 0)</f>
        <v>97.004599999999996</v>
      </c>
      <c r="I1033" s="10">
        <f>97.0025 * CHOOSE(CONTROL!$C$9, $D$9, 100%, $F$9) + CHOOSE(CONTROL!$C$27, 0.0021, 0)</f>
        <v>97.004599999999996</v>
      </c>
      <c r="J1033" s="10">
        <f>97.0025 * CHOOSE(CONTROL!$C$9, $D$9, 100%, $F$9) + CHOOSE(CONTROL!$C$27, 0.0021, 0)</f>
        <v>97.004599999999996</v>
      </c>
      <c r="K1033" s="10">
        <f>97.0025 * CHOOSE(CONTROL!$C$9, $D$9, 100%, $F$9) + CHOOSE(CONTROL!$C$27, 0.0021, 0)</f>
        <v>97.004599999999996</v>
      </c>
      <c r="L1033" s="10"/>
    </row>
    <row r="1034" spans="1:12" ht="15.75" x14ac:dyDescent="0.25">
      <c r="A1034" s="13">
        <v>72775</v>
      </c>
      <c r="B1034" s="10">
        <f>96.2915 * CHOOSE(CONTROL!$C$9, $D$9, 100%, $F$9) + CHOOSE(CONTROL!$C$27, 0.0021, 0)</f>
        <v>96.293599999999998</v>
      </c>
      <c r="C1034" s="10">
        <f>95.8593 * CHOOSE(CONTROL!$C$9, $D$9, 100%, $F$9) + CHOOSE(CONTROL!$C$27, 0.0021, 0)</f>
        <v>95.861400000000003</v>
      </c>
      <c r="D1034" s="10">
        <f>95.8593 * CHOOSE(CONTROL!$C$9, $D$9, 100%, $F$9) + CHOOSE(CONTROL!$C$27, 0.0021, 0)</f>
        <v>95.861400000000003</v>
      </c>
      <c r="E1034" s="10">
        <f>95.7226 * CHOOSE(CONTROL!$C$9, $D$9, 100%, $F$9) + CHOOSE(CONTROL!$C$27, 0.0021, 0)</f>
        <v>95.724699999999999</v>
      </c>
      <c r="F1034" s="10">
        <f>95.7226 * CHOOSE(CONTROL!$C$9, $D$9, 100%, $F$9) + CHOOSE(CONTROL!$C$27, 0.0021, 0)</f>
        <v>95.724699999999999</v>
      </c>
      <c r="G1034" s="10">
        <f>95.994 * CHOOSE(CONTROL!$C$9, $D$9, 100%, $F$9) + CHOOSE(CONTROL!$C$27, 0.0021, 0)</f>
        <v>95.996099999999998</v>
      </c>
      <c r="H1034" s="10">
        <f>95.8593 * CHOOSE(CONTROL!$C$9, $D$9, 100%, $F$9) + CHOOSE(CONTROL!$C$27, 0.0021, 0)</f>
        <v>95.861400000000003</v>
      </c>
      <c r="I1034" s="10">
        <f>95.8593 * CHOOSE(CONTROL!$C$9, $D$9, 100%, $F$9) + CHOOSE(CONTROL!$C$27, 0.0021, 0)</f>
        <v>95.861400000000003</v>
      </c>
      <c r="J1034" s="10">
        <f>95.8593 * CHOOSE(CONTROL!$C$9, $D$9, 100%, $F$9) + CHOOSE(CONTROL!$C$27, 0.0021, 0)</f>
        <v>95.861400000000003</v>
      </c>
      <c r="K1034" s="10">
        <f>95.8593 * CHOOSE(CONTROL!$C$9, $D$9, 100%, $F$9) + CHOOSE(CONTROL!$C$27, 0.0021, 0)</f>
        <v>95.861400000000003</v>
      </c>
      <c r="L1034" s="10"/>
    </row>
    <row r="1035" spans="1:12" ht="15.75" x14ac:dyDescent="0.25">
      <c r="A1035" s="13">
        <v>72805</v>
      </c>
      <c r="B1035" s="10">
        <f>94.9265 * CHOOSE(CONTROL!$C$9, $D$9, 100%, $F$9) + CHOOSE(CONTROL!$C$27, 0.0021, 0)</f>
        <v>94.928600000000003</v>
      </c>
      <c r="C1035" s="10">
        <f>94.4942 * CHOOSE(CONTROL!$C$9, $D$9, 100%, $F$9) + CHOOSE(CONTROL!$C$27, 0.0021, 0)</f>
        <v>94.496300000000005</v>
      </c>
      <c r="D1035" s="10">
        <f>94.4942 * CHOOSE(CONTROL!$C$9, $D$9, 100%, $F$9) + CHOOSE(CONTROL!$C$27, 0.0021, 0)</f>
        <v>94.496300000000005</v>
      </c>
      <c r="E1035" s="10">
        <f>94.3576 * CHOOSE(CONTROL!$C$9, $D$9, 100%, $F$9) + CHOOSE(CONTROL!$C$27, 0.0021, 0)</f>
        <v>94.359700000000004</v>
      </c>
      <c r="F1035" s="10">
        <f>94.3576 * CHOOSE(CONTROL!$C$9, $D$9, 100%, $F$9) + CHOOSE(CONTROL!$C$27, 0.0021, 0)</f>
        <v>94.359700000000004</v>
      </c>
      <c r="G1035" s="10">
        <f>94.6289 * CHOOSE(CONTROL!$C$9, $D$9, 100%, $F$9) + CHOOSE(CONTROL!$C$27, 0.0021, 0)</f>
        <v>94.631</v>
      </c>
      <c r="H1035" s="10">
        <f>94.4942 * CHOOSE(CONTROL!$C$9, $D$9, 100%, $F$9) + CHOOSE(CONTROL!$C$27, 0.0021, 0)</f>
        <v>94.496300000000005</v>
      </c>
      <c r="I1035" s="10">
        <f>94.4942 * CHOOSE(CONTROL!$C$9, $D$9, 100%, $F$9) + CHOOSE(CONTROL!$C$27, 0.0021, 0)</f>
        <v>94.496300000000005</v>
      </c>
      <c r="J1035" s="10">
        <f>94.4942 * CHOOSE(CONTROL!$C$9, $D$9, 100%, $F$9) + CHOOSE(CONTROL!$C$27, 0.0021, 0)</f>
        <v>94.496300000000005</v>
      </c>
      <c r="K1035" s="10">
        <f>94.4942 * CHOOSE(CONTROL!$C$9, $D$9, 100%, $F$9) + CHOOSE(CONTROL!$C$27, 0.0021, 0)</f>
        <v>94.496300000000005</v>
      </c>
      <c r="L1035" s="10"/>
    </row>
    <row r="1036" spans="1:12" ht="15.75" x14ac:dyDescent="0.25">
      <c r="A1036" s="13">
        <v>72836</v>
      </c>
      <c r="B1036" s="10">
        <f>96.8718 * CHOOSE(CONTROL!$C$9, $D$9, 100%, $F$9) + CHOOSE(CONTROL!$C$27, 0.0021, 0)</f>
        <v>96.873899999999992</v>
      </c>
      <c r="C1036" s="10">
        <f>96.4396 * CHOOSE(CONTROL!$C$9, $D$9, 100%, $F$9) + CHOOSE(CONTROL!$C$27, 0.0021, 0)</f>
        <v>96.441699999999997</v>
      </c>
      <c r="D1036" s="10">
        <f>96.4396 * CHOOSE(CONTROL!$C$9, $D$9, 100%, $F$9) + CHOOSE(CONTROL!$C$27, 0.0021, 0)</f>
        <v>96.441699999999997</v>
      </c>
      <c r="E1036" s="10">
        <f>96.3029 * CHOOSE(CONTROL!$C$9, $D$9, 100%, $F$9) + CHOOSE(CONTROL!$C$27, 0.0021, 0)</f>
        <v>96.304999999999993</v>
      </c>
      <c r="F1036" s="10">
        <f>96.3029 * CHOOSE(CONTROL!$C$9, $D$9, 100%, $F$9) + CHOOSE(CONTROL!$C$27, 0.0021, 0)</f>
        <v>96.304999999999993</v>
      </c>
      <c r="G1036" s="10">
        <f>96.5743 * CHOOSE(CONTROL!$C$9, $D$9, 100%, $F$9) + CHOOSE(CONTROL!$C$27, 0.0021, 0)</f>
        <v>96.576399999999992</v>
      </c>
      <c r="H1036" s="10">
        <f>96.4396 * CHOOSE(CONTROL!$C$9, $D$9, 100%, $F$9) + CHOOSE(CONTROL!$C$27, 0.0021, 0)</f>
        <v>96.441699999999997</v>
      </c>
      <c r="I1036" s="10">
        <f>96.4396 * CHOOSE(CONTROL!$C$9, $D$9, 100%, $F$9) + CHOOSE(CONTROL!$C$27, 0.0021, 0)</f>
        <v>96.441699999999997</v>
      </c>
      <c r="J1036" s="10">
        <f>96.4396 * CHOOSE(CONTROL!$C$9, $D$9, 100%, $F$9) + CHOOSE(CONTROL!$C$27, 0.0021, 0)</f>
        <v>96.441699999999997</v>
      </c>
      <c r="K1036" s="10">
        <f>96.4396 * CHOOSE(CONTROL!$C$9, $D$9, 100%, $F$9) + CHOOSE(CONTROL!$C$27, 0.0021, 0)</f>
        <v>96.441699999999997</v>
      </c>
      <c r="L1036" s="10"/>
    </row>
    <row r="1037" spans="1:12" ht="15.75" x14ac:dyDescent="0.25">
      <c r="A1037" s="13">
        <v>72866</v>
      </c>
      <c r="B1037" s="10">
        <f>98.037 * CHOOSE(CONTROL!$C$9, $D$9, 100%, $F$9) + CHOOSE(CONTROL!$C$27, 0.0021, 0)</f>
        <v>98.039100000000005</v>
      </c>
      <c r="C1037" s="10">
        <f>97.6048 * CHOOSE(CONTROL!$C$9, $D$9, 100%, $F$9) + CHOOSE(CONTROL!$C$27, 0.0021, 0)</f>
        <v>97.606899999999996</v>
      </c>
      <c r="D1037" s="10">
        <f>97.6048 * CHOOSE(CONTROL!$C$9, $D$9, 100%, $F$9) + CHOOSE(CONTROL!$C$27, 0.0021, 0)</f>
        <v>97.606899999999996</v>
      </c>
      <c r="E1037" s="10">
        <f>97.4681 * CHOOSE(CONTROL!$C$9, $D$9, 100%, $F$9) + CHOOSE(CONTROL!$C$27, 0.0021, 0)</f>
        <v>97.470200000000006</v>
      </c>
      <c r="F1037" s="10">
        <f>97.4681 * CHOOSE(CONTROL!$C$9, $D$9, 100%, $F$9) + CHOOSE(CONTROL!$C$27, 0.0021, 0)</f>
        <v>97.470200000000006</v>
      </c>
      <c r="G1037" s="10">
        <f>97.7395 * CHOOSE(CONTROL!$C$9, $D$9, 100%, $F$9) + CHOOSE(CONTROL!$C$27, 0.0021, 0)</f>
        <v>97.741600000000005</v>
      </c>
      <c r="H1037" s="10">
        <f>97.6048 * CHOOSE(CONTROL!$C$9, $D$9, 100%, $F$9) + CHOOSE(CONTROL!$C$27, 0.0021, 0)</f>
        <v>97.606899999999996</v>
      </c>
      <c r="I1037" s="10">
        <f>97.6048 * CHOOSE(CONTROL!$C$9, $D$9, 100%, $F$9) + CHOOSE(CONTROL!$C$27, 0.0021, 0)</f>
        <v>97.606899999999996</v>
      </c>
      <c r="J1037" s="10">
        <f>97.6048 * CHOOSE(CONTROL!$C$9, $D$9, 100%, $F$9) + CHOOSE(CONTROL!$C$27, 0.0021, 0)</f>
        <v>97.606899999999996</v>
      </c>
      <c r="K1037" s="10">
        <f>97.6048 * CHOOSE(CONTROL!$C$9, $D$9, 100%, $F$9) + CHOOSE(CONTROL!$C$27, 0.0021, 0)</f>
        <v>97.606899999999996</v>
      </c>
      <c r="L1037" s="10"/>
    </row>
    <row r="1038" spans="1:12" ht="15.75" x14ac:dyDescent="0.25">
      <c r="A1038" s="13">
        <v>72897</v>
      </c>
      <c r="B1038" s="10">
        <f>99.9592 * CHOOSE(CONTROL!$C$9, $D$9, 100%, $F$9) + CHOOSE(CONTROL!$C$27, 0.0021, 0)</f>
        <v>99.961299999999994</v>
      </c>
      <c r="C1038" s="10">
        <f>99.5269 * CHOOSE(CONTROL!$C$9, $D$9, 100%, $F$9) + CHOOSE(CONTROL!$C$27, 0.0021, 0)</f>
        <v>99.528999999999996</v>
      </c>
      <c r="D1038" s="10">
        <f>99.5269 * CHOOSE(CONTROL!$C$9, $D$9, 100%, $F$9) + CHOOSE(CONTROL!$C$27, 0.0021, 0)</f>
        <v>99.528999999999996</v>
      </c>
      <c r="E1038" s="10">
        <f>99.3902 * CHOOSE(CONTROL!$C$9, $D$9, 100%, $F$9) + CHOOSE(CONTROL!$C$27, 0.0021, 0)</f>
        <v>99.392299999999992</v>
      </c>
      <c r="F1038" s="10">
        <f>99.3902 * CHOOSE(CONTROL!$C$9, $D$9, 100%, $F$9) + CHOOSE(CONTROL!$C$27, 0.0021, 0)</f>
        <v>99.392299999999992</v>
      </c>
      <c r="G1038" s="10">
        <f>99.6616 * CHOOSE(CONTROL!$C$9, $D$9, 100%, $F$9) + CHOOSE(CONTROL!$C$27, 0.0021, 0)</f>
        <v>99.663700000000006</v>
      </c>
      <c r="H1038" s="10">
        <f>99.5269 * CHOOSE(CONTROL!$C$9, $D$9, 100%, $F$9) + CHOOSE(CONTROL!$C$27, 0.0021, 0)</f>
        <v>99.528999999999996</v>
      </c>
      <c r="I1038" s="10">
        <f>99.5269 * CHOOSE(CONTROL!$C$9, $D$9, 100%, $F$9) + CHOOSE(CONTROL!$C$27, 0.0021, 0)</f>
        <v>99.528999999999996</v>
      </c>
      <c r="J1038" s="10">
        <f>99.5269 * CHOOSE(CONTROL!$C$9, $D$9, 100%, $F$9) + CHOOSE(CONTROL!$C$27, 0.0021, 0)</f>
        <v>99.528999999999996</v>
      </c>
      <c r="K1038" s="10">
        <f>99.5269 * CHOOSE(CONTROL!$C$9, $D$9, 100%, $F$9) + CHOOSE(CONTROL!$C$27, 0.0021, 0)</f>
        <v>99.528999999999996</v>
      </c>
      <c r="L1038" s="10"/>
    </row>
    <row r="1039" spans="1:12" ht="15.75" x14ac:dyDescent="0.25">
      <c r="A1039" s="13">
        <v>72928</v>
      </c>
      <c r="B1039" s="10">
        <f>100.5458 * CHOOSE(CONTROL!$C$9, $D$9, 100%, $F$9) + CHOOSE(CONTROL!$C$27, 0.0021, 0)</f>
        <v>100.5479</v>
      </c>
      <c r="C1039" s="10">
        <f>100.1136 * CHOOSE(CONTROL!$C$9, $D$9, 100%, $F$9) + CHOOSE(CONTROL!$C$27, 0.0021, 0)</f>
        <v>100.1157</v>
      </c>
      <c r="D1039" s="10">
        <f>100.1136 * CHOOSE(CONTROL!$C$9, $D$9, 100%, $F$9) + CHOOSE(CONTROL!$C$27, 0.0021, 0)</f>
        <v>100.1157</v>
      </c>
      <c r="E1039" s="10">
        <f>99.9769 * CHOOSE(CONTROL!$C$9, $D$9, 100%, $F$9) + CHOOSE(CONTROL!$C$27, 0.0021, 0)</f>
        <v>99.978999999999999</v>
      </c>
      <c r="F1039" s="10">
        <f>99.9769 * CHOOSE(CONTROL!$C$9, $D$9, 100%, $F$9) + CHOOSE(CONTROL!$C$27, 0.0021, 0)</f>
        <v>99.978999999999999</v>
      </c>
      <c r="G1039" s="10">
        <f>100.2483 * CHOOSE(CONTROL!$C$9, $D$9, 100%, $F$9) + CHOOSE(CONTROL!$C$27, 0.0021, 0)</f>
        <v>100.2504</v>
      </c>
      <c r="H1039" s="10">
        <f>100.1136 * CHOOSE(CONTROL!$C$9, $D$9, 100%, $F$9) + CHOOSE(CONTROL!$C$27, 0.0021, 0)</f>
        <v>100.1157</v>
      </c>
      <c r="I1039" s="10">
        <f>100.1136 * CHOOSE(CONTROL!$C$9, $D$9, 100%, $F$9) + CHOOSE(CONTROL!$C$27, 0.0021, 0)</f>
        <v>100.1157</v>
      </c>
      <c r="J1039" s="10">
        <f>100.1136 * CHOOSE(CONTROL!$C$9, $D$9, 100%, $F$9) + CHOOSE(CONTROL!$C$27, 0.0021, 0)</f>
        <v>100.1157</v>
      </c>
      <c r="K1039" s="10">
        <f>100.1136 * CHOOSE(CONTROL!$C$9, $D$9, 100%, $F$9) + CHOOSE(CONTROL!$C$27, 0.0021, 0)</f>
        <v>100.1157</v>
      </c>
      <c r="L1039" s="10"/>
    </row>
    <row r="1040" spans="1:12" ht="15.75" x14ac:dyDescent="0.25">
      <c r="A1040" s="13">
        <v>72958</v>
      </c>
      <c r="B1040" s="10">
        <f>102.5438 * CHOOSE(CONTROL!$C$9, $D$9, 100%, $F$9) + CHOOSE(CONTROL!$C$27, 0.0021, 0)</f>
        <v>102.5459</v>
      </c>
      <c r="C1040" s="10">
        <f>102.1116 * CHOOSE(CONTROL!$C$9, $D$9, 100%, $F$9) + CHOOSE(CONTROL!$C$27, 0.0021, 0)</f>
        <v>102.11369999999999</v>
      </c>
      <c r="D1040" s="10">
        <f>102.1116 * CHOOSE(CONTROL!$C$9, $D$9, 100%, $F$9) + CHOOSE(CONTROL!$C$27, 0.0021, 0)</f>
        <v>102.11369999999999</v>
      </c>
      <c r="E1040" s="10">
        <f>101.9749 * CHOOSE(CONTROL!$C$9, $D$9, 100%, $F$9) + CHOOSE(CONTROL!$C$27, 0.0021, 0)</f>
        <v>101.977</v>
      </c>
      <c r="F1040" s="10">
        <f>101.9749 * CHOOSE(CONTROL!$C$9, $D$9, 100%, $F$9) + CHOOSE(CONTROL!$C$27, 0.0021, 0)</f>
        <v>101.977</v>
      </c>
      <c r="G1040" s="10">
        <f>102.2463 * CHOOSE(CONTROL!$C$9, $D$9, 100%, $F$9) + CHOOSE(CONTROL!$C$27, 0.0021, 0)</f>
        <v>102.2484</v>
      </c>
      <c r="H1040" s="10">
        <f>102.1116 * CHOOSE(CONTROL!$C$9, $D$9, 100%, $F$9) + CHOOSE(CONTROL!$C$27, 0.0021, 0)</f>
        <v>102.11369999999999</v>
      </c>
      <c r="I1040" s="10">
        <f>102.1116 * CHOOSE(CONTROL!$C$9, $D$9, 100%, $F$9) + CHOOSE(CONTROL!$C$27, 0.0021, 0)</f>
        <v>102.11369999999999</v>
      </c>
      <c r="J1040" s="10">
        <f>102.1116 * CHOOSE(CONTROL!$C$9, $D$9, 100%, $F$9) + CHOOSE(CONTROL!$C$27, 0.0021, 0)</f>
        <v>102.11369999999999</v>
      </c>
      <c r="K1040" s="10">
        <f>102.1116 * CHOOSE(CONTROL!$C$9, $D$9, 100%, $F$9) + CHOOSE(CONTROL!$C$27, 0.0021, 0)</f>
        <v>102.11369999999999</v>
      </c>
      <c r="L1040" s="10"/>
    </row>
    <row r="1041" spans="1:12" ht="15.75" x14ac:dyDescent="0.25">
      <c r="A1041" s="13">
        <v>72989</v>
      </c>
      <c r="B1041" s="10">
        <f>105.0729 * CHOOSE(CONTROL!$C$9, $D$9, 100%, $F$9) + CHOOSE(CONTROL!$C$27, 0.0021, 0)</f>
        <v>105.075</v>
      </c>
      <c r="C1041" s="10">
        <f>104.6407 * CHOOSE(CONTROL!$C$9, $D$9, 100%, $F$9) + CHOOSE(CONTROL!$C$27, 0.0021, 0)</f>
        <v>104.64279999999999</v>
      </c>
      <c r="D1041" s="10">
        <f>104.6407 * CHOOSE(CONTROL!$C$9, $D$9, 100%, $F$9) + CHOOSE(CONTROL!$C$27, 0.0021, 0)</f>
        <v>104.64279999999999</v>
      </c>
      <c r="E1041" s="10">
        <f>104.504 * CHOOSE(CONTROL!$C$9, $D$9, 100%, $F$9) + CHOOSE(CONTROL!$C$27, 0.0021, 0)</f>
        <v>104.5061</v>
      </c>
      <c r="F1041" s="10">
        <f>104.504 * CHOOSE(CONTROL!$C$9, $D$9, 100%, $F$9) + CHOOSE(CONTROL!$C$27, 0.0021, 0)</f>
        <v>104.5061</v>
      </c>
      <c r="G1041" s="10">
        <f>104.7754 * CHOOSE(CONTROL!$C$9, $D$9, 100%, $F$9) + CHOOSE(CONTROL!$C$27, 0.0021, 0)</f>
        <v>104.7775</v>
      </c>
      <c r="H1041" s="10">
        <f>104.6407 * CHOOSE(CONTROL!$C$9, $D$9, 100%, $F$9) + CHOOSE(CONTROL!$C$27, 0.0021, 0)</f>
        <v>104.64279999999999</v>
      </c>
      <c r="I1041" s="10">
        <f>104.6407 * CHOOSE(CONTROL!$C$9, $D$9, 100%, $F$9) + CHOOSE(CONTROL!$C$27, 0.0021, 0)</f>
        <v>104.64279999999999</v>
      </c>
      <c r="J1041" s="10">
        <f>104.6407 * CHOOSE(CONTROL!$C$9, $D$9, 100%, $F$9) + CHOOSE(CONTROL!$C$27, 0.0021, 0)</f>
        <v>104.64279999999999</v>
      </c>
      <c r="K1041" s="10">
        <f>104.6407 * CHOOSE(CONTROL!$C$9, $D$9, 100%, $F$9) + CHOOSE(CONTROL!$C$27, 0.0021, 0)</f>
        <v>104.64279999999999</v>
      </c>
      <c r="L1041" s="10"/>
    </row>
    <row r="1042" spans="1:12" ht="15.75" x14ac:dyDescent="0.25">
      <c r="A1042" s="13">
        <v>73019</v>
      </c>
      <c r="B1042" s="10">
        <f>105.3104 * CHOOSE(CONTROL!$C$9, $D$9, 100%, $F$9) + CHOOSE(CONTROL!$C$27, 0.0021, 0)</f>
        <v>105.3125</v>
      </c>
      <c r="C1042" s="10">
        <f>104.8781 * CHOOSE(CONTROL!$C$9, $D$9, 100%, $F$9) + CHOOSE(CONTROL!$C$27, 0.0021, 0)</f>
        <v>104.8802</v>
      </c>
      <c r="D1042" s="10">
        <f>104.8781 * CHOOSE(CONTROL!$C$9, $D$9, 100%, $F$9) + CHOOSE(CONTROL!$C$27, 0.0021, 0)</f>
        <v>104.8802</v>
      </c>
      <c r="E1042" s="10">
        <f>104.7415 * CHOOSE(CONTROL!$C$9, $D$9, 100%, $F$9) + CHOOSE(CONTROL!$C$27, 0.0021, 0)</f>
        <v>104.7436</v>
      </c>
      <c r="F1042" s="10">
        <f>104.7415 * CHOOSE(CONTROL!$C$9, $D$9, 100%, $F$9) + CHOOSE(CONTROL!$C$27, 0.0021, 0)</f>
        <v>104.7436</v>
      </c>
      <c r="G1042" s="10">
        <f>105.0128 * CHOOSE(CONTROL!$C$9, $D$9, 100%, $F$9) + CHOOSE(CONTROL!$C$27, 0.0021, 0)</f>
        <v>105.0149</v>
      </c>
      <c r="H1042" s="10">
        <f>104.8781 * CHOOSE(CONTROL!$C$9, $D$9, 100%, $F$9) + CHOOSE(CONTROL!$C$27, 0.0021, 0)</f>
        <v>104.8802</v>
      </c>
      <c r="I1042" s="10">
        <f>104.8781 * CHOOSE(CONTROL!$C$9, $D$9, 100%, $F$9) + CHOOSE(CONTROL!$C$27, 0.0021, 0)</f>
        <v>104.8802</v>
      </c>
      <c r="J1042" s="10">
        <f>104.8781 * CHOOSE(CONTROL!$C$9, $D$9, 100%, $F$9) + CHOOSE(CONTROL!$C$27, 0.0021, 0)</f>
        <v>104.8802</v>
      </c>
      <c r="K1042" s="10">
        <f>104.8781 * CHOOSE(CONTROL!$C$9, $D$9, 100%, $F$9) + CHOOSE(CONTROL!$C$27, 0.0021, 0)</f>
        <v>104.8802</v>
      </c>
      <c r="L1042" s="10"/>
    </row>
    <row r="1043" spans="1:12" ht="15.75" x14ac:dyDescent="0.25">
      <c r="A1043" s="13">
        <v>73050</v>
      </c>
      <c r="B1043" s="10">
        <f>103.2904 * CHOOSE(CONTROL!$C$9, $D$9, 100%, $F$9) + CHOOSE(CONTROL!$C$27, 0.0021, 0)</f>
        <v>103.2925</v>
      </c>
      <c r="C1043" s="10">
        <f>102.8582 * CHOOSE(CONTROL!$C$9, $D$9, 100%, $F$9) + CHOOSE(CONTROL!$C$27, 0.0021, 0)</f>
        <v>102.8603</v>
      </c>
      <c r="D1043" s="10">
        <f>102.8582 * CHOOSE(CONTROL!$C$9, $D$9, 100%, $F$9) + CHOOSE(CONTROL!$C$27, 0.0021, 0)</f>
        <v>102.8603</v>
      </c>
      <c r="E1043" s="10">
        <f>102.7215 * CHOOSE(CONTROL!$C$9, $D$9, 100%, $F$9) + CHOOSE(CONTROL!$C$27, 0.0021, 0)</f>
        <v>102.7236</v>
      </c>
      <c r="F1043" s="10">
        <f>102.7215 * CHOOSE(CONTROL!$C$9, $D$9, 100%, $F$9) + CHOOSE(CONTROL!$C$27, 0.0021, 0)</f>
        <v>102.7236</v>
      </c>
      <c r="G1043" s="10">
        <f>102.9929 * CHOOSE(CONTROL!$C$9, $D$9, 100%, $F$9) + CHOOSE(CONTROL!$C$27, 0.0021, 0)</f>
        <v>102.995</v>
      </c>
      <c r="H1043" s="10">
        <f>102.8582 * CHOOSE(CONTROL!$C$9, $D$9, 100%, $F$9) + CHOOSE(CONTROL!$C$27, 0.0021, 0)</f>
        <v>102.8603</v>
      </c>
      <c r="I1043" s="10">
        <f>102.8582 * CHOOSE(CONTROL!$C$9, $D$9, 100%, $F$9) + CHOOSE(CONTROL!$C$27, 0.0021, 0)</f>
        <v>102.8603</v>
      </c>
      <c r="J1043" s="10">
        <f>102.8582 * CHOOSE(CONTROL!$C$9, $D$9, 100%, $F$9) + CHOOSE(CONTROL!$C$27, 0.0021, 0)</f>
        <v>102.8603</v>
      </c>
      <c r="K1043" s="10">
        <f>102.8582 * CHOOSE(CONTROL!$C$9, $D$9, 100%, $F$9) + CHOOSE(CONTROL!$C$27, 0.0021, 0)</f>
        <v>102.8603</v>
      </c>
      <c r="L1043" s="10"/>
    </row>
    <row r="1044" spans="1:12" ht="15.75" x14ac:dyDescent="0.25">
      <c r="A1044" s="13">
        <v>73081</v>
      </c>
      <c r="B1044" s="10">
        <f>101.7439 * CHOOSE(CONTROL!$C$9, $D$9, 100%, $F$9) + CHOOSE(CONTROL!$C$27, 0.0021, 0)</f>
        <v>101.746</v>
      </c>
      <c r="C1044" s="10">
        <f>101.3116 * CHOOSE(CONTROL!$C$9, $D$9, 100%, $F$9) + CHOOSE(CONTROL!$C$27, 0.0021, 0)</f>
        <v>101.3137</v>
      </c>
      <c r="D1044" s="10">
        <f>101.3116 * CHOOSE(CONTROL!$C$9, $D$9, 100%, $F$9) + CHOOSE(CONTROL!$C$27, 0.0021, 0)</f>
        <v>101.3137</v>
      </c>
      <c r="E1044" s="10">
        <f>101.175 * CHOOSE(CONTROL!$C$9, $D$9, 100%, $F$9) + CHOOSE(CONTROL!$C$27, 0.0021, 0)</f>
        <v>101.1771</v>
      </c>
      <c r="F1044" s="10">
        <f>101.175 * CHOOSE(CONTROL!$C$9, $D$9, 100%, $F$9) + CHOOSE(CONTROL!$C$27, 0.0021, 0)</f>
        <v>101.1771</v>
      </c>
      <c r="G1044" s="10">
        <f>101.4464 * CHOOSE(CONTROL!$C$9, $D$9, 100%, $F$9) + CHOOSE(CONTROL!$C$27, 0.0021, 0)</f>
        <v>101.4485</v>
      </c>
      <c r="H1044" s="10">
        <f>101.3116 * CHOOSE(CONTROL!$C$9, $D$9, 100%, $F$9) + CHOOSE(CONTROL!$C$27, 0.0021, 0)</f>
        <v>101.3137</v>
      </c>
      <c r="I1044" s="10">
        <f>101.3116 * CHOOSE(CONTROL!$C$9, $D$9, 100%, $F$9) + CHOOSE(CONTROL!$C$27, 0.0021, 0)</f>
        <v>101.3137</v>
      </c>
      <c r="J1044" s="10">
        <f>101.3116 * CHOOSE(CONTROL!$C$9, $D$9, 100%, $F$9) + CHOOSE(CONTROL!$C$27, 0.0021, 0)</f>
        <v>101.3137</v>
      </c>
      <c r="K1044" s="10">
        <f>101.3116 * CHOOSE(CONTROL!$C$9, $D$9, 100%, $F$9) + CHOOSE(CONTROL!$C$27, 0.0021, 0)</f>
        <v>101.3137</v>
      </c>
      <c r="L1044" s="10"/>
    </row>
    <row r="1045" spans="1:12" ht="15.75" x14ac:dyDescent="0.25">
      <c r="A1045" s="13">
        <v>73109</v>
      </c>
      <c r="B1045" s="10">
        <f>98.9309 * CHOOSE(CONTROL!$C$9, $D$9, 100%, $F$9) + CHOOSE(CONTROL!$C$27, 0.0021, 0)</f>
        <v>98.932999999999993</v>
      </c>
      <c r="C1045" s="10">
        <f>98.4986 * CHOOSE(CONTROL!$C$9, $D$9, 100%, $F$9) + CHOOSE(CONTROL!$C$27, 0.0021, 0)</f>
        <v>98.500699999999995</v>
      </c>
      <c r="D1045" s="10">
        <f>98.4986 * CHOOSE(CONTROL!$C$9, $D$9, 100%, $F$9) + CHOOSE(CONTROL!$C$27, 0.0021, 0)</f>
        <v>98.500699999999995</v>
      </c>
      <c r="E1045" s="10">
        <f>98.3619 * CHOOSE(CONTROL!$C$9, $D$9, 100%, $F$9) + CHOOSE(CONTROL!$C$27, 0.0021, 0)</f>
        <v>98.364000000000004</v>
      </c>
      <c r="F1045" s="10">
        <f>98.3619 * CHOOSE(CONTROL!$C$9, $D$9, 100%, $F$9) + CHOOSE(CONTROL!$C$27, 0.0021, 0)</f>
        <v>98.364000000000004</v>
      </c>
      <c r="G1045" s="10">
        <f>98.6333 * CHOOSE(CONTROL!$C$9, $D$9, 100%, $F$9) + CHOOSE(CONTROL!$C$27, 0.0021, 0)</f>
        <v>98.635400000000004</v>
      </c>
      <c r="H1045" s="10">
        <f>98.4986 * CHOOSE(CONTROL!$C$9, $D$9, 100%, $F$9) + CHOOSE(CONTROL!$C$27, 0.0021, 0)</f>
        <v>98.500699999999995</v>
      </c>
      <c r="I1045" s="10">
        <f>98.4986 * CHOOSE(CONTROL!$C$9, $D$9, 100%, $F$9) + CHOOSE(CONTROL!$C$27, 0.0021, 0)</f>
        <v>98.500699999999995</v>
      </c>
      <c r="J1045" s="10">
        <f>98.4986 * CHOOSE(CONTROL!$C$9, $D$9, 100%, $F$9) + CHOOSE(CONTROL!$C$27, 0.0021, 0)</f>
        <v>98.500699999999995</v>
      </c>
      <c r="K1045" s="10">
        <f>98.4986 * CHOOSE(CONTROL!$C$9, $D$9, 100%, $F$9) + CHOOSE(CONTROL!$C$27, 0.0021, 0)</f>
        <v>98.500699999999995</v>
      </c>
      <c r="L1045" s="10"/>
    </row>
    <row r="1046" spans="1:12" ht="15.75" x14ac:dyDescent="0.25">
      <c r="A1046" s="13">
        <v>73140</v>
      </c>
      <c r="B1046" s="10">
        <f>97.7696 * CHOOSE(CONTROL!$C$9, $D$9, 100%, $F$9) + CHOOSE(CONTROL!$C$27, 0.0021, 0)</f>
        <v>97.771699999999996</v>
      </c>
      <c r="C1046" s="10">
        <f>97.3374 * CHOOSE(CONTROL!$C$9, $D$9, 100%, $F$9) + CHOOSE(CONTROL!$C$27, 0.0021, 0)</f>
        <v>97.339500000000001</v>
      </c>
      <c r="D1046" s="10">
        <f>97.3374 * CHOOSE(CONTROL!$C$9, $D$9, 100%, $F$9) + CHOOSE(CONTROL!$C$27, 0.0021, 0)</f>
        <v>97.339500000000001</v>
      </c>
      <c r="E1046" s="10">
        <f>97.2007 * CHOOSE(CONTROL!$C$9, $D$9, 100%, $F$9) + CHOOSE(CONTROL!$C$27, 0.0021, 0)</f>
        <v>97.202799999999996</v>
      </c>
      <c r="F1046" s="10">
        <f>97.2007 * CHOOSE(CONTROL!$C$9, $D$9, 100%, $F$9) + CHOOSE(CONTROL!$C$27, 0.0021, 0)</f>
        <v>97.202799999999996</v>
      </c>
      <c r="G1046" s="10">
        <f>97.4721 * CHOOSE(CONTROL!$C$9, $D$9, 100%, $F$9) + CHOOSE(CONTROL!$C$27, 0.0021, 0)</f>
        <v>97.474199999999996</v>
      </c>
      <c r="H1046" s="10">
        <f>97.3374 * CHOOSE(CONTROL!$C$9, $D$9, 100%, $F$9) + CHOOSE(CONTROL!$C$27, 0.0021, 0)</f>
        <v>97.339500000000001</v>
      </c>
      <c r="I1046" s="10">
        <f>97.3374 * CHOOSE(CONTROL!$C$9, $D$9, 100%, $F$9) + CHOOSE(CONTROL!$C$27, 0.0021, 0)</f>
        <v>97.339500000000001</v>
      </c>
      <c r="J1046" s="10">
        <f>97.3374 * CHOOSE(CONTROL!$C$9, $D$9, 100%, $F$9) + CHOOSE(CONTROL!$C$27, 0.0021, 0)</f>
        <v>97.339500000000001</v>
      </c>
      <c r="K1046" s="10">
        <f>97.3374 * CHOOSE(CONTROL!$C$9, $D$9, 100%, $F$9) + CHOOSE(CONTROL!$C$27, 0.0021, 0)</f>
        <v>97.339500000000001</v>
      </c>
      <c r="L1046" s="10"/>
    </row>
    <row r="1047" spans="1:12" ht="15.75" x14ac:dyDescent="0.25">
      <c r="A1047" s="13">
        <v>73170</v>
      </c>
      <c r="B1047" s="10">
        <f>96.3831 * CHOOSE(CONTROL!$C$9, $D$9, 100%, $F$9) + CHOOSE(CONTROL!$C$27, 0.0021, 0)</f>
        <v>96.385199999999998</v>
      </c>
      <c r="C1047" s="10">
        <f>95.9509 * CHOOSE(CONTROL!$C$9, $D$9, 100%, $F$9) + CHOOSE(CONTROL!$C$27, 0.0021, 0)</f>
        <v>95.953000000000003</v>
      </c>
      <c r="D1047" s="10">
        <f>95.9509 * CHOOSE(CONTROL!$C$9, $D$9, 100%, $F$9) + CHOOSE(CONTROL!$C$27, 0.0021, 0)</f>
        <v>95.953000000000003</v>
      </c>
      <c r="E1047" s="10">
        <f>95.8142 * CHOOSE(CONTROL!$C$9, $D$9, 100%, $F$9) + CHOOSE(CONTROL!$C$27, 0.0021, 0)</f>
        <v>95.816299999999998</v>
      </c>
      <c r="F1047" s="10">
        <f>95.8142 * CHOOSE(CONTROL!$C$9, $D$9, 100%, $F$9) + CHOOSE(CONTROL!$C$27, 0.0021, 0)</f>
        <v>95.816299999999998</v>
      </c>
      <c r="G1047" s="10">
        <f>96.0856 * CHOOSE(CONTROL!$C$9, $D$9, 100%, $F$9) + CHOOSE(CONTROL!$C$27, 0.0021, 0)</f>
        <v>96.087699999999998</v>
      </c>
      <c r="H1047" s="10">
        <f>95.9509 * CHOOSE(CONTROL!$C$9, $D$9, 100%, $F$9) + CHOOSE(CONTROL!$C$27, 0.0021, 0)</f>
        <v>95.953000000000003</v>
      </c>
      <c r="I1047" s="10">
        <f>95.9509 * CHOOSE(CONTROL!$C$9, $D$9, 100%, $F$9) + CHOOSE(CONTROL!$C$27, 0.0021, 0)</f>
        <v>95.953000000000003</v>
      </c>
      <c r="J1047" s="10">
        <f>95.9509 * CHOOSE(CONTROL!$C$9, $D$9, 100%, $F$9) + CHOOSE(CONTROL!$C$27, 0.0021, 0)</f>
        <v>95.953000000000003</v>
      </c>
      <c r="K1047" s="10">
        <f>95.9509 * CHOOSE(CONTROL!$C$9, $D$9, 100%, $F$9) + CHOOSE(CONTROL!$C$27, 0.0021, 0)</f>
        <v>95.953000000000003</v>
      </c>
      <c r="L1047" s="10"/>
    </row>
    <row r="1048" spans="1:12" ht="15.75" x14ac:dyDescent="0.25">
      <c r="A1048" s="13">
        <v>73201</v>
      </c>
      <c r="B1048" s="10">
        <f>98.3591 * CHOOSE(CONTROL!$C$9, $D$9, 100%, $F$9) + CHOOSE(CONTROL!$C$27, 0.0021, 0)</f>
        <v>98.361199999999997</v>
      </c>
      <c r="C1048" s="10">
        <f>97.9268 * CHOOSE(CONTROL!$C$9, $D$9, 100%, $F$9) + CHOOSE(CONTROL!$C$27, 0.0021, 0)</f>
        <v>97.928899999999999</v>
      </c>
      <c r="D1048" s="10">
        <f>97.9268 * CHOOSE(CONTROL!$C$9, $D$9, 100%, $F$9) + CHOOSE(CONTROL!$C$27, 0.0021, 0)</f>
        <v>97.928899999999999</v>
      </c>
      <c r="E1048" s="10">
        <f>97.7902 * CHOOSE(CONTROL!$C$9, $D$9, 100%, $F$9) + CHOOSE(CONTROL!$C$27, 0.0021, 0)</f>
        <v>97.792299999999997</v>
      </c>
      <c r="F1048" s="10">
        <f>97.7902 * CHOOSE(CONTROL!$C$9, $D$9, 100%, $F$9) + CHOOSE(CONTROL!$C$27, 0.0021, 0)</f>
        <v>97.792299999999997</v>
      </c>
      <c r="G1048" s="10">
        <f>98.0615 * CHOOSE(CONTROL!$C$9, $D$9, 100%, $F$9) + CHOOSE(CONTROL!$C$27, 0.0021, 0)</f>
        <v>98.063599999999994</v>
      </c>
      <c r="H1048" s="10">
        <f>97.9268 * CHOOSE(CONTROL!$C$9, $D$9, 100%, $F$9) + CHOOSE(CONTROL!$C$27, 0.0021, 0)</f>
        <v>97.928899999999999</v>
      </c>
      <c r="I1048" s="10">
        <f>97.9268 * CHOOSE(CONTROL!$C$9, $D$9, 100%, $F$9) + CHOOSE(CONTROL!$C$27, 0.0021, 0)</f>
        <v>97.928899999999999</v>
      </c>
      <c r="J1048" s="10">
        <f>97.9268 * CHOOSE(CONTROL!$C$9, $D$9, 100%, $F$9) + CHOOSE(CONTROL!$C$27, 0.0021, 0)</f>
        <v>97.928899999999999</v>
      </c>
      <c r="K1048" s="10">
        <f>97.9268 * CHOOSE(CONTROL!$C$9, $D$9, 100%, $F$9) + CHOOSE(CONTROL!$C$27, 0.0021, 0)</f>
        <v>97.928899999999999</v>
      </c>
      <c r="L1048" s="10"/>
    </row>
    <row r="1049" spans="1:12" ht="15.75" x14ac:dyDescent="0.25">
      <c r="A1049" s="13">
        <v>73231</v>
      </c>
      <c r="B1049" s="10">
        <f>99.5426 * CHOOSE(CONTROL!$C$9, $D$9, 100%, $F$9) + CHOOSE(CONTROL!$C$27, 0.0021, 0)</f>
        <v>99.544699999999992</v>
      </c>
      <c r="C1049" s="10">
        <f>99.1103 * CHOOSE(CONTROL!$C$9, $D$9, 100%, $F$9) + CHOOSE(CONTROL!$C$27, 0.0021, 0)</f>
        <v>99.112399999999994</v>
      </c>
      <c r="D1049" s="10">
        <f>99.1103 * CHOOSE(CONTROL!$C$9, $D$9, 100%, $F$9) + CHOOSE(CONTROL!$C$27, 0.0021, 0)</f>
        <v>99.112399999999994</v>
      </c>
      <c r="E1049" s="10">
        <f>98.9737 * CHOOSE(CONTROL!$C$9, $D$9, 100%, $F$9) + CHOOSE(CONTROL!$C$27, 0.0021, 0)</f>
        <v>98.975799999999992</v>
      </c>
      <c r="F1049" s="10">
        <f>98.9737 * CHOOSE(CONTROL!$C$9, $D$9, 100%, $F$9) + CHOOSE(CONTROL!$C$27, 0.0021, 0)</f>
        <v>98.975799999999992</v>
      </c>
      <c r="G1049" s="10">
        <f>99.2451 * CHOOSE(CONTROL!$C$9, $D$9, 100%, $F$9) + CHOOSE(CONTROL!$C$27, 0.0021, 0)</f>
        <v>99.247199999999992</v>
      </c>
      <c r="H1049" s="10">
        <f>99.1103 * CHOOSE(CONTROL!$C$9, $D$9, 100%, $F$9) + CHOOSE(CONTROL!$C$27, 0.0021, 0)</f>
        <v>99.112399999999994</v>
      </c>
      <c r="I1049" s="10">
        <f>99.1103 * CHOOSE(CONTROL!$C$9, $D$9, 100%, $F$9) + CHOOSE(CONTROL!$C$27, 0.0021, 0)</f>
        <v>99.112399999999994</v>
      </c>
      <c r="J1049" s="10">
        <f>99.1103 * CHOOSE(CONTROL!$C$9, $D$9, 100%, $F$9) + CHOOSE(CONTROL!$C$27, 0.0021, 0)</f>
        <v>99.112399999999994</v>
      </c>
      <c r="K1049" s="10">
        <f>99.1103 * CHOOSE(CONTROL!$C$9, $D$9, 100%, $F$9) + CHOOSE(CONTROL!$C$27, 0.0021, 0)</f>
        <v>99.112399999999994</v>
      </c>
      <c r="L1049" s="10"/>
    </row>
    <row r="1050" spans="1:12" ht="15.75" x14ac:dyDescent="0.25">
      <c r="A1050" s="13">
        <v>73262</v>
      </c>
      <c r="B1050" s="10">
        <f>101.495 * CHOOSE(CONTROL!$C$9, $D$9, 100%, $F$9) + CHOOSE(CONTROL!$C$27, 0.0021, 0)</f>
        <v>101.4971</v>
      </c>
      <c r="C1050" s="10">
        <f>101.0627 * CHOOSE(CONTROL!$C$9, $D$9, 100%, $F$9) + CHOOSE(CONTROL!$C$27, 0.0021, 0)</f>
        <v>101.06480000000001</v>
      </c>
      <c r="D1050" s="10">
        <f>101.0627 * CHOOSE(CONTROL!$C$9, $D$9, 100%, $F$9) + CHOOSE(CONTROL!$C$27, 0.0021, 0)</f>
        <v>101.06480000000001</v>
      </c>
      <c r="E1050" s="10">
        <f>100.926 * CHOOSE(CONTROL!$C$9, $D$9, 100%, $F$9) + CHOOSE(CONTROL!$C$27, 0.0021, 0)</f>
        <v>100.9281</v>
      </c>
      <c r="F1050" s="10">
        <f>100.926 * CHOOSE(CONTROL!$C$9, $D$9, 100%, $F$9) + CHOOSE(CONTROL!$C$27, 0.0021, 0)</f>
        <v>100.9281</v>
      </c>
      <c r="G1050" s="10">
        <f>101.1974 * CHOOSE(CONTROL!$C$9, $D$9, 100%, $F$9) + CHOOSE(CONTROL!$C$27, 0.0021, 0)</f>
        <v>101.1995</v>
      </c>
      <c r="H1050" s="10">
        <f>101.0627 * CHOOSE(CONTROL!$C$9, $D$9, 100%, $F$9) + CHOOSE(CONTROL!$C$27, 0.0021, 0)</f>
        <v>101.06480000000001</v>
      </c>
      <c r="I1050" s="10">
        <f>101.0627 * CHOOSE(CONTROL!$C$9, $D$9, 100%, $F$9) + CHOOSE(CONTROL!$C$27, 0.0021, 0)</f>
        <v>101.06480000000001</v>
      </c>
      <c r="J1050" s="10">
        <f>101.0627 * CHOOSE(CONTROL!$C$9, $D$9, 100%, $F$9) + CHOOSE(CONTROL!$C$27, 0.0021, 0)</f>
        <v>101.06480000000001</v>
      </c>
      <c r="K1050" s="10">
        <f>101.0627 * CHOOSE(CONTROL!$C$9, $D$9, 100%, $F$9) + CHOOSE(CONTROL!$C$27, 0.0021, 0)</f>
        <v>101.06480000000001</v>
      </c>
      <c r="L1050" s="10"/>
    </row>
    <row r="1051" spans="1:12" ht="15.75" x14ac:dyDescent="0.25">
      <c r="A1051" s="13">
        <v>73293</v>
      </c>
      <c r="B1051" s="10">
        <f>102.0909 * CHOOSE(CONTROL!$C$9, $D$9, 100%, $F$9) + CHOOSE(CONTROL!$C$27, 0.0021, 0)</f>
        <v>102.093</v>
      </c>
      <c r="C1051" s="10">
        <f>101.6586 * CHOOSE(CONTROL!$C$9, $D$9, 100%, $F$9) + CHOOSE(CONTROL!$C$27, 0.0021, 0)</f>
        <v>101.66070000000001</v>
      </c>
      <c r="D1051" s="10">
        <f>101.6586 * CHOOSE(CONTROL!$C$9, $D$9, 100%, $F$9) + CHOOSE(CONTROL!$C$27, 0.0021, 0)</f>
        <v>101.66070000000001</v>
      </c>
      <c r="E1051" s="10">
        <f>101.522 * CHOOSE(CONTROL!$C$9, $D$9, 100%, $F$9) + CHOOSE(CONTROL!$C$27, 0.0021, 0)</f>
        <v>101.5241</v>
      </c>
      <c r="F1051" s="10">
        <f>101.522 * CHOOSE(CONTROL!$C$9, $D$9, 100%, $F$9) + CHOOSE(CONTROL!$C$27, 0.0021, 0)</f>
        <v>101.5241</v>
      </c>
      <c r="G1051" s="10">
        <f>101.7933 * CHOOSE(CONTROL!$C$9, $D$9, 100%, $F$9) + CHOOSE(CONTROL!$C$27, 0.0021, 0)</f>
        <v>101.7954</v>
      </c>
      <c r="H1051" s="10">
        <f>101.6586 * CHOOSE(CONTROL!$C$9, $D$9, 100%, $F$9) + CHOOSE(CONTROL!$C$27, 0.0021, 0)</f>
        <v>101.66070000000001</v>
      </c>
      <c r="I1051" s="10">
        <f>101.6586 * CHOOSE(CONTROL!$C$9, $D$9, 100%, $F$9) + CHOOSE(CONTROL!$C$27, 0.0021, 0)</f>
        <v>101.66070000000001</v>
      </c>
      <c r="J1051" s="10">
        <f>101.6586 * CHOOSE(CONTROL!$C$9, $D$9, 100%, $F$9) + CHOOSE(CONTROL!$C$27, 0.0021, 0)</f>
        <v>101.66070000000001</v>
      </c>
      <c r="K1051" s="10">
        <f>101.6586 * CHOOSE(CONTROL!$C$9, $D$9, 100%, $F$9) + CHOOSE(CONTROL!$C$27, 0.0021, 0)</f>
        <v>101.66070000000001</v>
      </c>
      <c r="L1051" s="10"/>
    </row>
    <row r="1052" spans="1:12" ht="15.75" x14ac:dyDescent="0.25">
      <c r="A1052" s="13">
        <v>73323</v>
      </c>
      <c r="B1052" s="10">
        <f>104.1203 * CHOOSE(CONTROL!$C$9, $D$9, 100%, $F$9) + CHOOSE(CONTROL!$C$27, 0.0021, 0)</f>
        <v>104.1224</v>
      </c>
      <c r="C1052" s="10">
        <f>103.688 * CHOOSE(CONTROL!$C$9, $D$9, 100%, $F$9) + CHOOSE(CONTROL!$C$27, 0.0021, 0)</f>
        <v>103.6901</v>
      </c>
      <c r="D1052" s="10">
        <f>103.688 * CHOOSE(CONTROL!$C$9, $D$9, 100%, $F$9) + CHOOSE(CONTROL!$C$27, 0.0021, 0)</f>
        <v>103.6901</v>
      </c>
      <c r="E1052" s="10">
        <f>103.5514 * CHOOSE(CONTROL!$C$9, $D$9, 100%, $F$9) + CHOOSE(CONTROL!$C$27, 0.0021, 0)</f>
        <v>103.5535</v>
      </c>
      <c r="F1052" s="10">
        <f>103.5514 * CHOOSE(CONTROL!$C$9, $D$9, 100%, $F$9) + CHOOSE(CONTROL!$C$27, 0.0021, 0)</f>
        <v>103.5535</v>
      </c>
      <c r="G1052" s="10">
        <f>103.8227 * CHOOSE(CONTROL!$C$9, $D$9, 100%, $F$9) + CHOOSE(CONTROL!$C$27, 0.0021, 0)</f>
        <v>103.8248</v>
      </c>
      <c r="H1052" s="10">
        <f>103.688 * CHOOSE(CONTROL!$C$9, $D$9, 100%, $F$9) + CHOOSE(CONTROL!$C$27, 0.0021, 0)</f>
        <v>103.6901</v>
      </c>
      <c r="I1052" s="10">
        <f>103.688 * CHOOSE(CONTROL!$C$9, $D$9, 100%, $F$9) + CHOOSE(CONTROL!$C$27, 0.0021, 0)</f>
        <v>103.6901</v>
      </c>
      <c r="J1052" s="10">
        <f>103.688 * CHOOSE(CONTROL!$C$9, $D$9, 100%, $F$9) + CHOOSE(CONTROL!$C$27, 0.0021, 0)</f>
        <v>103.6901</v>
      </c>
      <c r="K1052" s="10">
        <f>103.688 * CHOOSE(CONTROL!$C$9, $D$9, 100%, $F$9) + CHOOSE(CONTROL!$C$27, 0.0021, 0)</f>
        <v>103.6901</v>
      </c>
      <c r="L1052" s="10"/>
    </row>
    <row r="1053" spans="1:12" ht="15.75" x14ac:dyDescent="0.25">
      <c r="A1053" s="13">
        <v>73354</v>
      </c>
      <c r="B1053" s="10">
        <f>106.6891 * CHOOSE(CONTROL!$C$9, $D$9, 100%, $F$9) + CHOOSE(CONTROL!$C$27, 0.0021, 0)</f>
        <v>106.69119999999999</v>
      </c>
      <c r="C1053" s="10">
        <f>106.2569 * CHOOSE(CONTROL!$C$9, $D$9, 100%, $F$9) + CHOOSE(CONTROL!$C$27, 0.0021, 0)</f>
        <v>106.259</v>
      </c>
      <c r="D1053" s="10">
        <f>106.2569 * CHOOSE(CONTROL!$C$9, $D$9, 100%, $F$9) + CHOOSE(CONTROL!$C$27, 0.0021, 0)</f>
        <v>106.259</v>
      </c>
      <c r="E1053" s="10">
        <f>106.1202 * CHOOSE(CONTROL!$C$9, $D$9, 100%, $F$9) + CHOOSE(CONTROL!$C$27, 0.0021, 0)</f>
        <v>106.1223</v>
      </c>
      <c r="F1053" s="10">
        <f>106.1202 * CHOOSE(CONTROL!$C$9, $D$9, 100%, $F$9) + CHOOSE(CONTROL!$C$27, 0.0021, 0)</f>
        <v>106.1223</v>
      </c>
      <c r="G1053" s="10">
        <f>106.3916 * CHOOSE(CONTROL!$C$9, $D$9, 100%, $F$9) + CHOOSE(CONTROL!$C$27, 0.0021, 0)</f>
        <v>106.3937</v>
      </c>
      <c r="H1053" s="10">
        <f>106.2569 * CHOOSE(CONTROL!$C$9, $D$9, 100%, $F$9) + CHOOSE(CONTROL!$C$27, 0.0021, 0)</f>
        <v>106.259</v>
      </c>
      <c r="I1053" s="10">
        <f>106.2569 * CHOOSE(CONTROL!$C$9, $D$9, 100%, $F$9) + CHOOSE(CONTROL!$C$27, 0.0021, 0)</f>
        <v>106.259</v>
      </c>
      <c r="J1053" s="10">
        <f>106.2569 * CHOOSE(CONTROL!$C$9, $D$9, 100%, $F$9) + CHOOSE(CONTROL!$C$27, 0.0021, 0)</f>
        <v>106.259</v>
      </c>
      <c r="K1053" s="10">
        <f>106.2569 * CHOOSE(CONTROL!$C$9, $D$9, 100%, $F$9) + CHOOSE(CONTROL!$C$27, 0.0021, 0)</f>
        <v>106.259</v>
      </c>
      <c r="L1053" s="10"/>
    </row>
    <row r="1054" spans="1:12" ht="15.75" x14ac:dyDescent="0.25">
      <c r="A1054" s="13">
        <v>73384</v>
      </c>
      <c r="B1054" s="10">
        <f>106.9303 * CHOOSE(CONTROL!$C$9, $D$9, 100%, $F$9) + CHOOSE(CONTROL!$C$27, 0.0021, 0)</f>
        <v>106.9324</v>
      </c>
      <c r="C1054" s="10">
        <f>106.4981 * CHOOSE(CONTROL!$C$9, $D$9, 100%, $F$9) + CHOOSE(CONTROL!$C$27, 0.0021, 0)</f>
        <v>106.50019999999999</v>
      </c>
      <c r="D1054" s="10">
        <f>106.4981 * CHOOSE(CONTROL!$C$9, $D$9, 100%, $F$9) + CHOOSE(CONTROL!$C$27, 0.0021, 0)</f>
        <v>106.50019999999999</v>
      </c>
      <c r="E1054" s="10">
        <f>106.3614 * CHOOSE(CONTROL!$C$9, $D$9, 100%, $F$9) + CHOOSE(CONTROL!$C$27, 0.0021, 0)</f>
        <v>106.3635</v>
      </c>
      <c r="F1054" s="10">
        <f>106.3614 * CHOOSE(CONTROL!$C$9, $D$9, 100%, $F$9) + CHOOSE(CONTROL!$C$27, 0.0021, 0)</f>
        <v>106.3635</v>
      </c>
      <c r="G1054" s="10">
        <f>106.6328 * CHOOSE(CONTROL!$C$9, $D$9, 100%, $F$9) + CHOOSE(CONTROL!$C$27, 0.0021, 0)</f>
        <v>106.6349</v>
      </c>
      <c r="H1054" s="10">
        <f>106.4981 * CHOOSE(CONTROL!$C$9, $D$9, 100%, $F$9) + CHOOSE(CONTROL!$C$27, 0.0021, 0)</f>
        <v>106.50019999999999</v>
      </c>
      <c r="I1054" s="10">
        <f>106.4981 * CHOOSE(CONTROL!$C$9, $D$9, 100%, $F$9) + CHOOSE(CONTROL!$C$27, 0.0021, 0)</f>
        <v>106.50019999999999</v>
      </c>
      <c r="J1054" s="10">
        <f>106.4981 * CHOOSE(CONTROL!$C$9, $D$9, 100%, $F$9) + CHOOSE(CONTROL!$C$27, 0.0021, 0)</f>
        <v>106.50019999999999</v>
      </c>
      <c r="K1054" s="10">
        <f>106.4981 * CHOOSE(CONTROL!$C$9, $D$9, 100%, $F$9) + CHOOSE(CONTROL!$C$27, 0.0021, 0)</f>
        <v>106.50019999999999</v>
      </c>
      <c r="L1054" s="10"/>
    </row>
    <row r="1055" spans="1:12" ht="15.75" x14ac:dyDescent="0.25">
      <c r="A1055" s="13">
        <v>73415</v>
      </c>
      <c r="B1055" s="10">
        <f>104.8786 * CHOOSE(CONTROL!$C$9, $D$9, 100%, $F$9) + CHOOSE(CONTROL!$C$27, 0.0021, 0)</f>
        <v>104.8807</v>
      </c>
      <c r="C1055" s="10">
        <f>104.4464 * CHOOSE(CONTROL!$C$9, $D$9, 100%, $F$9) + CHOOSE(CONTROL!$C$27, 0.0021, 0)</f>
        <v>104.4485</v>
      </c>
      <c r="D1055" s="10">
        <f>104.4464 * CHOOSE(CONTROL!$C$9, $D$9, 100%, $F$9) + CHOOSE(CONTROL!$C$27, 0.0021, 0)</f>
        <v>104.4485</v>
      </c>
      <c r="E1055" s="10">
        <f>104.3097 * CHOOSE(CONTROL!$C$9, $D$9, 100%, $F$9) + CHOOSE(CONTROL!$C$27, 0.0021, 0)</f>
        <v>104.31180000000001</v>
      </c>
      <c r="F1055" s="10">
        <f>104.3097 * CHOOSE(CONTROL!$C$9, $D$9, 100%, $F$9) + CHOOSE(CONTROL!$C$27, 0.0021, 0)</f>
        <v>104.31180000000001</v>
      </c>
      <c r="G1055" s="10">
        <f>104.5811 * CHOOSE(CONTROL!$C$9, $D$9, 100%, $F$9) + CHOOSE(CONTROL!$C$27, 0.0021, 0)</f>
        <v>104.58320000000001</v>
      </c>
      <c r="H1055" s="10">
        <f>104.4464 * CHOOSE(CONTROL!$C$9, $D$9, 100%, $F$9) + CHOOSE(CONTROL!$C$27, 0.0021, 0)</f>
        <v>104.4485</v>
      </c>
      <c r="I1055" s="10">
        <f>104.4464 * CHOOSE(CONTROL!$C$9, $D$9, 100%, $F$9) + CHOOSE(CONTROL!$C$27, 0.0021, 0)</f>
        <v>104.4485</v>
      </c>
      <c r="J1055" s="10">
        <f>104.4464 * CHOOSE(CONTROL!$C$9, $D$9, 100%, $F$9) + CHOOSE(CONTROL!$C$27, 0.0021, 0)</f>
        <v>104.4485</v>
      </c>
      <c r="K1055" s="10">
        <f>104.4464 * CHOOSE(CONTROL!$C$9, $D$9, 100%, $F$9) + CHOOSE(CONTROL!$C$27, 0.0021, 0)</f>
        <v>104.4485</v>
      </c>
      <c r="L1055" s="10"/>
    </row>
    <row r="1056" spans="1:12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  <c r="L1056" s="10"/>
    </row>
    <row r="1057" spans="1:12" ht="15" x14ac:dyDescent="0.2">
      <c r="A1057" s="11">
        <v>2014</v>
      </c>
      <c r="B1057" s="10">
        <f>AVERAGE(B12:B23)</f>
        <v>24.170212435677531</v>
      </c>
      <c r="C1057" s="10">
        <f>AVERAGE(C12:C23)</f>
        <v>23.737950686106341</v>
      </c>
      <c r="D1057" s="10"/>
      <c r="E1057" s="10">
        <f t="shared" ref="E1057:K1057" si="0">AVERAGE(E12:E23)</f>
        <v>23.601302730131508</v>
      </c>
      <c r="F1057" s="10">
        <f t="shared" si="0"/>
        <v>23.601302730131508</v>
      </c>
      <c r="G1057" s="10">
        <f t="shared" si="0"/>
        <v>23.872679931389367</v>
      </c>
      <c r="H1057" s="10">
        <f t="shared" si="0"/>
        <v>23.737950686106341</v>
      </c>
      <c r="I1057" s="10">
        <f t="shared" si="0"/>
        <v>23.737950686106341</v>
      </c>
      <c r="J1057" s="10">
        <f t="shared" si="0"/>
        <v>23.377749228130359</v>
      </c>
      <c r="K1057" s="10">
        <f t="shared" si="0"/>
        <v>23.737950686106341</v>
      </c>
      <c r="L1057" s="10"/>
    </row>
    <row r="1058" spans="1:12" ht="15" x14ac:dyDescent="0.2">
      <c r="A1058" s="11">
        <v>2015</v>
      </c>
      <c r="B1058" s="10">
        <f>AVERAGE(B24:B35)</f>
        <v>23.132783333333332</v>
      </c>
      <c r="C1058" s="10">
        <f>AVERAGE(C24:C35)</f>
        <v>22.700533333333336</v>
      </c>
      <c r="D1058" s="10"/>
      <c r="E1058" s="10">
        <f t="shared" ref="E1058:K1058" si="1">AVERAGE(E24:E35)</f>
        <v>22.563883333333333</v>
      </c>
      <c r="F1058" s="10">
        <f t="shared" si="1"/>
        <v>22.563883333333333</v>
      </c>
      <c r="G1058" s="10">
        <f t="shared" si="1"/>
        <v>22.835258333333332</v>
      </c>
      <c r="H1058" s="10">
        <f t="shared" si="1"/>
        <v>22.700533333333336</v>
      </c>
      <c r="I1058" s="10">
        <f t="shared" si="1"/>
        <v>22.700533333333336</v>
      </c>
      <c r="J1058" s="10">
        <f t="shared" si="1"/>
        <v>22.340316666666666</v>
      </c>
      <c r="K1058" s="10">
        <f t="shared" si="1"/>
        <v>22.700533333333336</v>
      </c>
      <c r="L1058" s="10"/>
    </row>
    <row r="1059" spans="1:12" ht="15" x14ac:dyDescent="0.2">
      <c r="A1059" s="11">
        <v>2016</v>
      </c>
      <c r="B1059" s="10">
        <f>AVERAGE(B36:B47)</f>
        <v>22.190049999999999</v>
      </c>
      <c r="C1059" s="10">
        <f>AVERAGE(C36:C47)</f>
        <v>21.757816666666667</v>
      </c>
      <c r="D1059" s="10"/>
      <c r="E1059" s="10">
        <f t="shared" ref="E1059:K1059" si="2">AVERAGE(E36:E47)</f>
        <v>21.62115</v>
      </c>
      <c r="F1059" s="10">
        <f t="shared" si="2"/>
        <v>21.62115</v>
      </c>
      <c r="G1059" s="10">
        <f t="shared" si="2"/>
        <v>21.892525000000003</v>
      </c>
      <c r="H1059" s="10">
        <f t="shared" si="2"/>
        <v>21.757816666666667</v>
      </c>
      <c r="I1059" s="10">
        <f t="shared" si="2"/>
        <v>21.757816666666667</v>
      </c>
      <c r="J1059" s="10">
        <f t="shared" si="2"/>
        <v>21.757816666666667</v>
      </c>
      <c r="K1059" s="10">
        <f t="shared" si="2"/>
        <v>21.757816666666667</v>
      </c>
      <c r="L1059" s="10"/>
    </row>
    <row r="1060" spans="1:12" ht="15" x14ac:dyDescent="0.2">
      <c r="A1060" s="11">
        <v>2017</v>
      </c>
      <c r="B1060" s="10">
        <f>AVERAGE(B48:B59)</f>
        <v>21.864191666666667</v>
      </c>
      <c r="C1060" s="10">
        <f>AVERAGE(C48:C59)</f>
        <v>21.431924999999996</v>
      </c>
      <c r="D1060" s="10"/>
      <c r="E1060" s="10">
        <f t="shared" ref="E1060:K1060" si="3">AVERAGE(E48:E59)</f>
        <v>21.295266666666667</v>
      </c>
      <c r="F1060" s="10">
        <f t="shared" si="3"/>
        <v>21.295266666666667</v>
      </c>
      <c r="G1060" s="10">
        <f t="shared" si="3"/>
        <v>21.566649999999999</v>
      </c>
      <c r="H1060" s="10">
        <f t="shared" si="3"/>
        <v>21.431924999999996</v>
      </c>
      <c r="I1060" s="10">
        <f t="shared" si="3"/>
        <v>21.431924999999996</v>
      </c>
      <c r="J1060" s="10">
        <f t="shared" si="3"/>
        <v>21.431924999999996</v>
      </c>
      <c r="K1060" s="10">
        <f t="shared" si="3"/>
        <v>21.431924999999996</v>
      </c>
      <c r="L1060" s="10"/>
    </row>
    <row r="1061" spans="1:12" ht="15" x14ac:dyDescent="0.2">
      <c r="A1061" s="11">
        <v>2018</v>
      </c>
      <c r="B1061" s="10">
        <f>AVERAGE(B60:B71)</f>
        <v>22.519575</v>
      </c>
      <c r="C1061" s="10">
        <f>AVERAGE(C60:C71)</f>
        <v>22.087341666666664</v>
      </c>
      <c r="D1061" s="10"/>
      <c r="E1061" s="10">
        <f t="shared" ref="E1061:K1061" si="4">AVERAGE(E60:E71)</f>
        <v>21.950675</v>
      </c>
      <c r="F1061" s="10">
        <f t="shared" si="4"/>
        <v>21.950675</v>
      </c>
      <c r="G1061" s="10">
        <f t="shared" si="4"/>
        <v>22.222066666666667</v>
      </c>
      <c r="H1061" s="10">
        <f t="shared" si="4"/>
        <v>22.087341666666664</v>
      </c>
      <c r="I1061" s="10">
        <f t="shared" si="4"/>
        <v>22.087341666666664</v>
      </c>
      <c r="J1061" s="10">
        <f t="shared" si="4"/>
        <v>22.087341666666664</v>
      </c>
      <c r="K1061" s="10">
        <f t="shared" si="4"/>
        <v>22.087341666666664</v>
      </c>
      <c r="L1061" s="10"/>
    </row>
    <row r="1062" spans="1:12" ht="15" x14ac:dyDescent="0.2">
      <c r="A1062" s="11">
        <v>2019</v>
      </c>
      <c r="B1062" s="10">
        <f>AVERAGE(B72:B83)</f>
        <v>23.887908333333332</v>
      </c>
      <c r="C1062" s="10">
        <f>AVERAGE(C72:C83)</f>
        <v>23.455658333333332</v>
      </c>
      <c r="D1062" s="10"/>
      <c r="E1062" s="10">
        <f t="shared" ref="E1062:K1062" si="5">AVERAGE(E72:E83)</f>
        <v>23.319008333333329</v>
      </c>
      <c r="F1062" s="10">
        <f t="shared" si="5"/>
        <v>23.319008333333329</v>
      </c>
      <c r="G1062" s="10">
        <f t="shared" si="5"/>
        <v>23.590383333333332</v>
      </c>
      <c r="H1062" s="10">
        <f t="shared" si="5"/>
        <v>23.455658333333332</v>
      </c>
      <c r="I1062" s="10">
        <f t="shared" si="5"/>
        <v>23.455658333333332</v>
      </c>
      <c r="J1062" s="10">
        <f t="shared" si="5"/>
        <v>23.455658333333332</v>
      </c>
      <c r="K1062" s="10">
        <f t="shared" si="5"/>
        <v>23.455658333333332</v>
      </c>
      <c r="L1062" s="10"/>
    </row>
    <row r="1063" spans="1:12" ht="15" x14ac:dyDescent="0.2">
      <c r="A1063" s="11">
        <v>2020</v>
      </c>
      <c r="B1063" s="10">
        <f>AVERAGE(B84:B95)</f>
        <v>24.898199999999999</v>
      </c>
      <c r="C1063" s="10">
        <f>AVERAGE(C84:C95)</f>
        <v>24.465950000000003</v>
      </c>
      <c r="D1063" s="10"/>
      <c r="E1063" s="10">
        <f t="shared" ref="E1063:K1063" si="6">AVERAGE(E84:E95)</f>
        <v>24.3293</v>
      </c>
      <c r="F1063" s="10">
        <f t="shared" si="6"/>
        <v>24.3293</v>
      </c>
      <c r="G1063" s="10">
        <f t="shared" si="6"/>
        <v>24.600674999999995</v>
      </c>
      <c r="H1063" s="10">
        <f t="shared" si="6"/>
        <v>24.465950000000003</v>
      </c>
      <c r="I1063" s="10">
        <f t="shared" si="6"/>
        <v>24.465950000000003</v>
      </c>
      <c r="J1063" s="10">
        <f t="shared" si="6"/>
        <v>24.465950000000003</v>
      </c>
      <c r="K1063" s="10">
        <f t="shared" si="6"/>
        <v>24.465950000000003</v>
      </c>
      <c r="L1063" s="10"/>
    </row>
    <row r="1064" spans="1:12" ht="15" x14ac:dyDescent="0.2">
      <c r="A1064" s="11">
        <v>2021</v>
      </c>
      <c r="B1064" s="10">
        <f>AVERAGE(B96:B107)</f>
        <v>25.90506666666667</v>
      </c>
      <c r="C1064" s="10">
        <f>AVERAGE(C96:C107)</f>
        <v>25.47280833333333</v>
      </c>
      <c r="D1064" s="10"/>
      <c r="E1064" s="10">
        <f t="shared" ref="E1064:K1064" si="7">AVERAGE(E96:E107)</f>
        <v>25.336166666666667</v>
      </c>
      <c r="F1064" s="10">
        <f t="shared" si="7"/>
        <v>25.336166666666667</v>
      </c>
      <c r="G1064" s="10">
        <f t="shared" si="7"/>
        <v>25.607516666666665</v>
      </c>
      <c r="H1064" s="10">
        <f t="shared" si="7"/>
        <v>25.47280833333333</v>
      </c>
      <c r="I1064" s="10">
        <f t="shared" si="7"/>
        <v>25.47280833333333</v>
      </c>
      <c r="J1064" s="10">
        <f t="shared" si="7"/>
        <v>25.47280833333333</v>
      </c>
      <c r="K1064" s="10">
        <f t="shared" si="7"/>
        <v>25.47280833333333</v>
      </c>
      <c r="L1064" s="10"/>
    </row>
    <row r="1065" spans="1:12" ht="15" x14ac:dyDescent="0.2">
      <c r="A1065" s="11">
        <v>2022</v>
      </c>
      <c r="B1065" s="10">
        <f>AVERAGE(B108:B119)</f>
        <v>27.061141666666668</v>
      </c>
      <c r="C1065" s="10">
        <f>AVERAGE(C108:C119)</f>
        <v>26.628891666666664</v>
      </c>
      <c r="D1065" s="10"/>
      <c r="E1065" s="10">
        <f t="shared" ref="E1065:K1065" si="8">AVERAGE(E108:E119)</f>
        <v>26.492241666666668</v>
      </c>
      <c r="F1065" s="10">
        <f t="shared" si="8"/>
        <v>26.492241666666668</v>
      </c>
      <c r="G1065" s="10">
        <f t="shared" si="8"/>
        <v>26.763608333333327</v>
      </c>
      <c r="H1065" s="10">
        <f t="shared" si="8"/>
        <v>26.628891666666664</v>
      </c>
      <c r="I1065" s="10">
        <f t="shared" si="8"/>
        <v>26.628891666666664</v>
      </c>
      <c r="J1065" s="10">
        <f t="shared" si="8"/>
        <v>26.628891666666664</v>
      </c>
      <c r="K1065" s="10">
        <f t="shared" si="8"/>
        <v>26.628891666666664</v>
      </c>
      <c r="L1065" s="10"/>
    </row>
    <row r="1066" spans="1:12" ht="15" x14ac:dyDescent="0.2">
      <c r="A1066" s="11">
        <v>2023</v>
      </c>
      <c r="B1066" s="10">
        <f>AVERAGE(B120:B131)</f>
        <v>28.148633333333333</v>
      </c>
      <c r="C1066" s="10">
        <f>AVERAGE(C120:C131)</f>
        <v>27.716374999999999</v>
      </c>
      <c r="D1066" s="10"/>
      <c r="E1066" s="10">
        <f t="shared" ref="E1066:K1066" si="9">AVERAGE(E120:E131)</f>
        <v>27.579733333333337</v>
      </c>
      <c r="F1066" s="10">
        <f t="shared" si="9"/>
        <v>27.579733333333337</v>
      </c>
      <c r="G1066" s="10">
        <f t="shared" si="9"/>
        <v>27.851074999999994</v>
      </c>
      <c r="H1066" s="10">
        <f t="shared" si="9"/>
        <v>27.716374999999999</v>
      </c>
      <c r="I1066" s="10">
        <f t="shared" si="9"/>
        <v>27.716374999999999</v>
      </c>
      <c r="J1066" s="10">
        <f t="shared" si="9"/>
        <v>27.716374999999999</v>
      </c>
      <c r="K1066" s="10">
        <f t="shared" si="9"/>
        <v>27.716374999999999</v>
      </c>
      <c r="L1066" s="10"/>
    </row>
    <row r="1067" spans="1:12" ht="15" x14ac:dyDescent="0.2">
      <c r="A1067" s="11">
        <v>2024</v>
      </c>
      <c r="B1067" s="10">
        <f>AVERAGE(B132:B143)</f>
        <v>29.181225000000001</v>
      </c>
      <c r="C1067" s="10">
        <f>AVERAGE(C132:C143)</f>
        <v>28.748949999999997</v>
      </c>
      <c r="D1067" s="10"/>
      <c r="E1067" s="10">
        <f t="shared" ref="E1067:K1067" si="10">AVERAGE(E132:E143)</f>
        <v>28.612324999999998</v>
      </c>
      <c r="F1067" s="10">
        <f t="shared" si="10"/>
        <v>28.612324999999998</v>
      </c>
      <c r="G1067" s="10">
        <f t="shared" si="10"/>
        <v>28.883708333333331</v>
      </c>
      <c r="H1067" s="10">
        <f t="shared" si="10"/>
        <v>28.748949999999997</v>
      </c>
      <c r="I1067" s="10">
        <f t="shared" si="10"/>
        <v>28.748949999999997</v>
      </c>
      <c r="J1067" s="10">
        <f t="shared" si="10"/>
        <v>28.748949999999997</v>
      </c>
      <c r="K1067" s="10">
        <f t="shared" si="10"/>
        <v>28.748949999999997</v>
      </c>
      <c r="L1067" s="10"/>
    </row>
    <row r="1068" spans="1:12" ht="15" x14ac:dyDescent="0.2">
      <c r="A1068" s="11">
        <v>2025</v>
      </c>
      <c r="B1068" s="10">
        <f>AVERAGE(B144:B155)</f>
        <v>30.165766666666666</v>
      </c>
      <c r="C1068" s="10">
        <f>AVERAGE(C144:C155)</f>
        <v>29.733541666666667</v>
      </c>
      <c r="D1068" s="10"/>
      <c r="E1068" s="10">
        <f t="shared" ref="E1068:K1068" si="11">AVERAGE(E144:E155)</f>
        <v>29.596866666666671</v>
      </c>
      <c r="F1068" s="10">
        <f t="shared" si="11"/>
        <v>29.596866666666671</v>
      </c>
      <c r="G1068" s="10">
        <f t="shared" si="11"/>
        <v>29.868249999999993</v>
      </c>
      <c r="H1068" s="10">
        <f t="shared" si="11"/>
        <v>29.733541666666667</v>
      </c>
      <c r="I1068" s="10">
        <f t="shared" si="11"/>
        <v>29.733541666666667</v>
      </c>
      <c r="J1068" s="10">
        <f t="shared" si="11"/>
        <v>29.733541666666667</v>
      </c>
      <c r="K1068" s="10">
        <f t="shared" si="11"/>
        <v>29.733541666666667</v>
      </c>
      <c r="L1068" s="10"/>
    </row>
    <row r="1069" spans="1:12" ht="15" x14ac:dyDescent="0.2">
      <c r="A1069" s="11">
        <v>2026</v>
      </c>
      <c r="B1069" s="10">
        <f>AVERAGE(B156:B167)</f>
        <v>31.268691666666665</v>
      </c>
      <c r="C1069" s="10">
        <f>AVERAGE(C156:C167)</f>
        <v>30.836441666666662</v>
      </c>
      <c r="D1069" s="10"/>
      <c r="E1069" s="10">
        <f t="shared" ref="E1069:K1069" si="12">AVERAGE(E156:E167)</f>
        <v>30.699791666666666</v>
      </c>
      <c r="F1069" s="10">
        <f t="shared" si="12"/>
        <v>30.699791666666666</v>
      </c>
      <c r="G1069" s="10">
        <f t="shared" si="12"/>
        <v>30.971149999999998</v>
      </c>
      <c r="H1069" s="10">
        <f t="shared" si="12"/>
        <v>30.836441666666662</v>
      </c>
      <c r="I1069" s="10">
        <f t="shared" si="12"/>
        <v>30.836441666666662</v>
      </c>
      <c r="J1069" s="10">
        <f t="shared" si="12"/>
        <v>30.836441666666662</v>
      </c>
      <c r="K1069" s="10">
        <f t="shared" si="12"/>
        <v>30.836441666666662</v>
      </c>
      <c r="L1069" s="10"/>
    </row>
    <row r="1070" spans="1:12" ht="15" x14ac:dyDescent="0.2">
      <c r="A1070" s="11">
        <v>2027</v>
      </c>
      <c r="B1070" s="10">
        <f>AVERAGE(B168:B179)</f>
        <v>32.325283333333331</v>
      </c>
      <c r="C1070" s="10">
        <f>AVERAGE(C168:C179)</f>
        <v>31.893041666666662</v>
      </c>
      <c r="D1070" s="10"/>
      <c r="E1070" s="10">
        <f t="shared" ref="E1070:K1070" si="13">AVERAGE(E168:E179)</f>
        <v>31.756383333333332</v>
      </c>
      <c r="F1070" s="10">
        <f t="shared" si="13"/>
        <v>31.756383333333332</v>
      </c>
      <c r="G1070" s="10">
        <f t="shared" si="13"/>
        <v>32.027758333333338</v>
      </c>
      <c r="H1070" s="10">
        <f t="shared" si="13"/>
        <v>31.893041666666662</v>
      </c>
      <c r="I1070" s="10">
        <f t="shared" si="13"/>
        <v>31.893041666666662</v>
      </c>
      <c r="J1070" s="10">
        <f t="shared" si="13"/>
        <v>31.893041666666662</v>
      </c>
      <c r="K1070" s="10">
        <f t="shared" si="13"/>
        <v>31.893041666666662</v>
      </c>
      <c r="L1070" s="10"/>
    </row>
    <row r="1071" spans="1:12" ht="15" x14ac:dyDescent="0.2">
      <c r="A1071" s="11">
        <v>2028</v>
      </c>
      <c r="B1071" s="10">
        <f>AVERAGE(B180:B191)</f>
        <v>33.376749999999994</v>
      </c>
      <c r="C1071" s="10">
        <f>AVERAGE(C180:C191)</f>
        <v>32.944524999999999</v>
      </c>
      <c r="D1071" s="10"/>
      <c r="E1071" s="10">
        <f t="shared" ref="E1071:K1071" si="14">AVERAGE(E180:E191)</f>
        <v>32.807841666666668</v>
      </c>
      <c r="F1071" s="10">
        <f t="shared" si="14"/>
        <v>32.807841666666668</v>
      </c>
      <c r="G1071" s="10">
        <f t="shared" si="14"/>
        <v>33.079233333333335</v>
      </c>
      <c r="H1071" s="10">
        <f t="shared" si="14"/>
        <v>32.944524999999999</v>
      </c>
      <c r="I1071" s="10">
        <f t="shared" si="14"/>
        <v>32.944524999999999</v>
      </c>
      <c r="J1071" s="10">
        <f t="shared" si="14"/>
        <v>32.944524999999999</v>
      </c>
      <c r="K1071" s="10">
        <f t="shared" si="14"/>
        <v>32.944524999999999</v>
      </c>
      <c r="L1071" s="10"/>
    </row>
    <row r="1072" spans="1:12" ht="15" x14ac:dyDescent="0.2">
      <c r="A1072" s="11">
        <v>2029</v>
      </c>
      <c r="B1072" s="10">
        <f>AVERAGE(B192:B203)</f>
        <v>34.469374999999999</v>
      </c>
      <c r="C1072" s="10">
        <f>AVERAGE(C192:C203)</f>
        <v>34.037133333333337</v>
      </c>
      <c r="D1072" s="10"/>
      <c r="E1072" s="10">
        <f t="shared" ref="E1072:K1072" si="15">AVERAGE(E192:E203)</f>
        <v>33.900458333333326</v>
      </c>
      <c r="F1072" s="10">
        <f t="shared" si="15"/>
        <v>33.900458333333326</v>
      </c>
      <c r="G1072" s="10">
        <f t="shared" si="15"/>
        <v>34.171849999999999</v>
      </c>
      <c r="H1072" s="10">
        <f t="shared" si="15"/>
        <v>34.037133333333337</v>
      </c>
      <c r="I1072" s="10">
        <f t="shared" si="15"/>
        <v>34.037133333333337</v>
      </c>
      <c r="J1072" s="10">
        <f t="shared" si="15"/>
        <v>34.037133333333337</v>
      </c>
      <c r="K1072" s="10">
        <f t="shared" si="15"/>
        <v>34.037133333333337</v>
      </c>
      <c r="L1072" s="10"/>
    </row>
    <row r="1073" spans="1:12" ht="15" x14ac:dyDescent="0.2">
      <c r="A1073" s="11">
        <v>2030</v>
      </c>
      <c r="B1073" s="10">
        <f>AVERAGE(B204:B215)</f>
        <v>35.60315833333334</v>
      </c>
      <c r="C1073" s="10">
        <f>AVERAGE(C204:C215)</f>
        <v>35.170908333333337</v>
      </c>
      <c r="D1073" s="10"/>
      <c r="E1073" s="10">
        <f t="shared" ref="E1073:K1073" si="16">AVERAGE(E204:E215)</f>
        <v>35.034249999999993</v>
      </c>
      <c r="F1073" s="10">
        <f t="shared" si="16"/>
        <v>35.034249999999993</v>
      </c>
      <c r="G1073" s="10">
        <f t="shared" si="16"/>
        <v>35.305633333333333</v>
      </c>
      <c r="H1073" s="10">
        <f t="shared" si="16"/>
        <v>35.170908333333337</v>
      </c>
      <c r="I1073" s="10">
        <f t="shared" si="16"/>
        <v>35.170908333333337</v>
      </c>
      <c r="J1073" s="10">
        <f t="shared" si="16"/>
        <v>35.170908333333337</v>
      </c>
      <c r="K1073" s="10">
        <f t="shared" si="16"/>
        <v>35.170908333333337</v>
      </c>
      <c r="L1073" s="10"/>
    </row>
    <row r="1074" spans="1:12" ht="15" x14ac:dyDescent="0.2">
      <c r="A1074" s="11">
        <v>2031</v>
      </c>
      <c r="B1074" s="10">
        <f>AVERAGE(B216:B227)</f>
        <v>36.126933333333334</v>
      </c>
      <c r="C1074" s="10">
        <f>AVERAGE(C216:C227)</f>
        <v>35.694691666666664</v>
      </c>
      <c r="D1074" s="10"/>
      <c r="E1074" s="10">
        <f t="shared" ref="E1074:K1074" si="17">AVERAGE(E216:E227)</f>
        <v>35.558033333333334</v>
      </c>
      <c r="F1074" s="10">
        <f t="shared" si="17"/>
        <v>35.558033333333334</v>
      </c>
      <c r="G1074" s="10">
        <f t="shared" si="17"/>
        <v>35.829416666666667</v>
      </c>
      <c r="H1074" s="10">
        <f t="shared" si="17"/>
        <v>35.694691666666664</v>
      </c>
      <c r="I1074" s="10">
        <f t="shared" si="17"/>
        <v>35.694691666666664</v>
      </c>
      <c r="J1074" s="10">
        <f t="shared" si="17"/>
        <v>35.694691666666664</v>
      </c>
      <c r="K1074" s="10">
        <f t="shared" si="17"/>
        <v>35.694691666666664</v>
      </c>
      <c r="L1074" s="10"/>
    </row>
    <row r="1075" spans="1:12" ht="15" x14ac:dyDescent="0.2">
      <c r="A1075" s="11">
        <v>2032</v>
      </c>
      <c r="B1075" s="10">
        <f>AVERAGE(B228:B239)</f>
        <v>36.658949999999997</v>
      </c>
      <c r="C1075" s="10">
        <f>AVERAGE(C228:C239)</f>
        <v>36.226699999999994</v>
      </c>
      <c r="D1075" s="10"/>
      <c r="E1075" s="10">
        <f t="shared" ref="E1075:K1075" si="18">AVERAGE(E228:E239)</f>
        <v>36.090049999999998</v>
      </c>
      <c r="F1075" s="10">
        <f t="shared" si="18"/>
        <v>36.090049999999998</v>
      </c>
      <c r="G1075" s="10">
        <f t="shared" si="18"/>
        <v>36.361433333333331</v>
      </c>
      <c r="H1075" s="10">
        <f t="shared" si="18"/>
        <v>36.226699999999994</v>
      </c>
      <c r="I1075" s="10">
        <f t="shared" si="18"/>
        <v>36.226699999999994</v>
      </c>
      <c r="J1075" s="10">
        <f t="shared" si="18"/>
        <v>36.226699999999994</v>
      </c>
      <c r="K1075" s="10">
        <f t="shared" si="18"/>
        <v>36.226699999999994</v>
      </c>
      <c r="L1075" s="10"/>
    </row>
    <row r="1076" spans="1:12" ht="15" x14ac:dyDescent="0.2">
      <c r="A1076" s="11">
        <v>2033</v>
      </c>
      <c r="B1076" s="10">
        <f>AVERAGE(B240:B251)</f>
        <v>37.199333333333335</v>
      </c>
      <c r="C1076" s="10">
        <f>AVERAGE(C240:C251)</f>
        <v>36.767083333333339</v>
      </c>
      <c r="D1076" s="10"/>
      <c r="E1076" s="10">
        <f t="shared" ref="E1076:K1076" si="19">AVERAGE(E240:E251)</f>
        <v>36.630433333333329</v>
      </c>
      <c r="F1076" s="10">
        <f t="shared" si="19"/>
        <v>36.630433333333329</v>
      </c>
      <c r="G1076" s="10">
        <f t="shared" si="19"/>
        <v>36.901791666666668</v>
      </c>
      <c r="H1076" s="10">
        <f t="shared" si="19"/>
        <v>36.767083333333339</v>
      </c>
      <c r="I1076" s="10">
        <f t="shared" si="19"/>
        <v>36.767083333333339</v>
      </c>
      <c r="J1076" s="10">
        <f t="shared" si="19"/>
        <v>36.767083333333339</v>
      </c>
      <c r="K1076" s="10">
        <f t="shared" si="19"/>
        <v>36.767083333333339</v>
      </c>
      <c r="L1076" s="10"/>
    </row>
    <row r="1077" spans="1:12" ht="15" x14ac:dyDescent="0.2">
      <c r="A1077" s="11">
        <v>2034</v>
      </c>
      <c r="B1077" s="10">
        <f>AVERAGE(B252:B263)</f>
        <v>37.74819999999999</v>
      </c>
      <c r="C1077" s="10">
        <f>AVERAGE(C252:C263)</f>
        <v>37.315974999999995</v>
      </c>
      <c r="D1077" s="10"/>
      <c r="E1077" s="10">
        <f t="shared" ref="E1077:K1077" si="20">AVERAGE(E252:E263)</f>
        <v>37.179299999999998</v>
      </c>
      <c r="F1077" s="10">
        <f t="shared" si="20"/>
        <v>37.179299999999998</v>
      </c>
      <c r="G1077" s="10">
        <f t="shared" si="20"/>
        <v>37.45067499999999</v>
      </c>
      <c r="H1077" s="10">
        <f t="shared" si="20"/>
        <v>37.315974999999995</v>
      </c>
      <c r="I1077" s="10">
        <f t="shared" si="20"/>
        <v>37.315974999999995</v>
      </c>
      <c r="J1077" s="10">
        <f t="shared" si="20"/>
        <v>37.315974999999995</v>
      </c>
      <c r="K1077" s="10">
        <f t="shared" si="20"/>
        <v>37.315974999999995</v>
      </c>
      <c r="L1077" s="10"/>
    </row>
    <row r="1078" spans="1:12" ht="15" x14ac:dyDescent="0.2">
      <c r="A1078" s="11">
        <v>2035</v>
      </c>
      <c r="B1078" s="10">
        <f>AVERAGE(B264:B275)</f>
        <v>38.305716666666669</v>
      </c>
      <c r="C1078" s="10">
        <f>AVERAGE(C264:C275)</f>
        <v>37.873458333333325</v>
      </c>
      <c r="D1078" s="10"/>
      <c r="E1078" s="10">
        <f t="shared" ref="E1078:K1078" si="21">AVERAGE(E264:E275)</f>
        <v>37.736816666666662</v>
      </c>
      <c r="F1078" s="10">
        <f t="shared" si="21"/>
        <v>37.736816666666662</v>
      </c>
      <c r="G1078" s="10">
        <f t="shared" si="21"/>
        <v>38.008191666666661</v>
      </c>
      <c r="H1078" s="10">
        <f t="shared" si="21"/>
        <v>37.873458333333325</v>
      </c>
      <c r="I1078" s="10">
        <f t="shared" si="21"/>
        <v>37.873458333333325</v>
      </c>
      <c r="J1078" s="10">
        <f t="shared" si="21"/>
        <v>37.873458333333325</v>
      </c>
      <c r="K1078" s="10">
        <f t="shared" si="21"/>
        <v>37.873458333333325</v>
      </c>
      <c r="L1078" s="10"/>
    </row>
    <row r="1079" spans="1:12" ht="15" x14ac:dyDescent="0.2">
      <c r="A1079" s="11">
        <v>2036</v>
      </c>
      <c r="B1079" s="10">
        <f>AVERAGE(B276:B287)</f>
        <v>38.871983333333333</v>
      </c>
      <c r="C1079" s="10">
        <f>AVERAGE(C276:C287)</f>
        <v>38.439749999999997</v>
      </c>
      <c r="D1079" s="10"/>
      <c r="E1079" s="10">
        <f t="shared" ref="E1079:K1079" si="22">AVERAGE(E276:E287)</f>
        <v>38.303083333333326</v>
      </c>
      <c r="F1079" s="10">
        <f t="shared" si="22"/>
        <v>38.303083333333326</v>
      </c>
      <c r="G1079" s="10">
        <f t="shared" si="22"/>
        <v>38.574466666666666</v>
      </c>
      <c r="H1079" s="10">
        <f t="shared" si="22"/>
        <v>38.439749999999997</v>
      </c>
      <c r="I1079" s="10">
        <f t="shared" si="22"/>
        <v>38.439749999999997</v>
      </c>
      <c r="J1079" s="10">
        <f t="shared" si="22"/>
        <v>38.439749999999997</v>
      </c>
      <c r="K1079" s="10">
        <f t="shared" si="22"/>
        <v>38.439749999999997</v>
      </c>
      <c r="L1079" s="10"/>
    </row>
    <row r="1080" spans="1:12" ht="15" x14ac:dyDescent="0.2">
      <c r="A1080" s="11">
        <v>2037</v>
      </c>
      <c r="B1080" s="10">
        <f>AVERAGE(B288:B299)</f>
        <v>39.447174999999994</v>
      </c>
      <c r="C1080" s="10">
        <f>AVERAGE(C288:C299)</f>
        <v>39.014916666666664</v>
      </c>
      <c r="D1080" s="10"/>
      <c r="E1080" s="10">
        <f t="shared" ref="E1080:K1080" si="23">AVERAGE(E288:E299)</f>
        <v>38.878266666666669</v>
      </c>
      <c r="F1080" s="10">
        <f t="shared" si="23"/>
        <v>38.878266666666669</v>
      </c>
      <c r="G1080" s="10">
        <f t="shared" si="23"/>
        <v>39.149633333333334</v>
      </c>
      <c r="H1080" s="10">
        <f t="shared" si="23"/>
        <v>39.014916666666664</v>
      </c>
      <c r="I1080" s="10">
        <f t="shared" si="23"/>
        <v>39.014916666666664</v>
      </c>
      <c r="J1080" s="10">
        <f t="shared" si="23"/>
        <v>39.014916666666664</v>
      </c>
      <c r="K1080" s="10">
        <f t="shared" si="23"/>
        <v>39.014916666666664</v>
      </c>
      <c r="L1080" s="10"/>
    </row>
    <row r="1081" spans="1:12" ht="15" x14ac:dyDescent="0.2">
      <c r="A1081" s="11">
        <f t="shared" ref="A1081:A1112" si="24">A1080+1</f>
        <v>2038</v>
      </c>
      <c r="B1081" s="10">
        <f>AVERAGE(B300:B311)</f>
        <v>40.031399999999998</v>
      </c>
      <c r="C1081" s="10">
        <f>AVERAGE(C300:C311)</f>
        <v>39.599150000000002</v>
      </c>
      <c r="D1081" s="10"/>
      <c r="E1081" s="10">
        <f t="shared" ref="E1081:K1081" si="25">AVERAGE(E300:E311)</f>
        <v>39.462483333333331</v>
      </c>
      <c r="F1081" s="10">
        <f t="shared" si="25"/>
        <v>39.462483333333331</v>
      </c>
      <c r="G1081" s="10">
        <f t="shared" si="25"/>
        <v>39.733866666666664</v>
      </c>
      <c r="H1081" s="10">
        <f t="shared" si="25"/>
        <v>39.599150000000002</v>
      </c>
      <c r="I1081" s="10">
        <f t="shared" si="25"/>
        <v>39.599150000000002</v>
      </c>
      <c r="J1081" s="10">
        <f t="shared" si="25"/>
        <v>39.599150000000002</v>
      </c>
      <c r="K1081" s="10">
        <f t="shared" si="25"/>
        <v>39.599150000000002</v>
      </c>
      <c r="L1081" s="10"/>
    </row>
    <row r="1082" spans="1:12" ht="15" x14ac:dyDescent="0.2">
      <c r="A1082" s="11">
        <f t="shared" si="24"/>
        <v>2039</v>
      </c>
      <c r="B1082" s="10">
        <f>AVERAGE(B312:B323)</f>
        <v>40.62479166666666</v>
      </c>
      <c r="C1082" s="10">
        <f>AVERAGE(C312:C323)</f>
        <v>40.192566666666671</v>
      </c>
      <c r="D1082" s="10"/>
      <c r="E1082" s="10">
        <f t="shared" ref="E1082:K1082" si="26">AVERAGE(E312:E323)</f>
        <v>40.055891666666668</v>
      </c>
      <c r="F1082" s="10">
        <f t="shared" si="26"/>
        <v>40.055891666666668</v>
      </c>
      <c r="G1082" s="10">
        <f t="shared" si="26"/>
        <v>40.327283333333334</v>
      </c>
      <c r="H1082" s="10">
        <f t="shared" si="26"/>
        <v>40.192566666666671</v>
      </c>
      <c r="I1082" s="10">
        <f t="shared" si="26"/>
        <v>40.192566666666671</v>
      </c>
      <c r="J1082" s="10">
        <f t="shared" si="26"/>
        <v>40.192566666666671</v>
      </c>
      <c r="K1082" s="10">
        <f t="shared" si="26"/>
        <v>40.192566666666671</v>
      </c>
      <c r="L1082" s="10"/>
    </row>
    <row r="1083" spans="1:12" ht="15" x14ac:dyDescent="0.2">
      <c r="A1083" s="11">
        <f t="shared" si="24"/>
        <v>2040</v>
      </c>
      <c r="B1083" s="10">
        <f>AVERAGE(B324:B335)</f>
        <v>41.227566666666661</v>
      </c>
      <c r="C1083" s="10">
        <f>AVERAGE(C324:C335)</f>
        <v>40.795291666666664</v>
      </c>
      <c r="D1083" s="10"/>
      <c r="E1083" s="10">
        <f t="shared" ref="E1083:K1083" si="27">AVERAGE(E324:E335)</f>
        <v>40.658633333333334</v>
      </c>
      <c r="F1083" s="10">
        <f t="shared" si="27"/>
        <v>40.658633333333334</v>
      </c>
      <c r="G1083" s="10">
        <f t="shared" si="27"/>
        <v>40.930025000000001</v>
      </c>
      <c r="H1083" s="10">
        <f t="shared" si="27"/>
        <v>40.795291666666664</v>
      </c>
      <c r="I1083" s="10">
        <f t="shared" si="27"/>
        <v>40.795291666666664</v>
      </c>
      <c r="J1083" s="10">
        <f t="shared" si="27"/>
        <v>40.795291666666664</v>
      </c>
      <c r="K1083" s="10">
        <f t="shared" si="27"/>
        <v>40.795291666666664</v>
      </c>
      <c r="L1083" s="10"/>
    </row>
    <row r="1084" spans="1:12" ht="15" x14ac:dyDescent="0.2">
      <c r="A1084" s="11">
        <f t="shared" si="24"/>
        <v>2041</v>
      </c>
      <c r="B1084" s="10">
        <f>AVERAGE(B336:B347)</f>
        <v>41.839766666666669</v>
      </c>
      <c r="C1084" s="10">
        <f>AVERAGE(C336:C347)</f>
        <v>41.407516666666666</v>
      </c>
      <c r="D1084" s="10"/>
      <c r="E1084" s="10">
        <f t="shared" ref="E1084:K1084" si="28">AVERAGE(E336:E347)</f>
        <v>41.270858333333329</v>
      </c>
      <c r="F1084" s="10">
        <f t="shared" si="28"/>
        <v>41.270858333333329</v>
      </c>
      <c r="G1084" s="10">
        <f t="shared" si="28"/>
        <v>41.542233333333336</v>
      </c>
      <c r="H1084" s="10">
        <f t="shared" si="28"/>
        <v>41.407516666666666</v>
      </c>
      <c r="I1084" s="10">
        <f t="shared" si="28"/>
        <v>41.407516666666666</v>
      </c>
      <c r="J1084" s="10">
        <f t="shared" si="28"/>
        <v>41.407516666666666</v>
      </c>
      <c r="K1084" s="10">
        <f t="shared" si="28"/>
        <v>41.407516666666666</v>
      </c>
      <c r="L1084" s="10"/>
    </row>
    <row r="1085" spans="1:12" ht="15" x14ac:dyDescent="0.2">
      <c r="A1085" s="11">
        <f t="shared" si="24"/>
        <v>2042</v>
      </c>
      <c r="B1085" s="10">
        <f>AVERAGE(B348:B359)</f>
        <v>42.461624999999998</v>
      </c>
      <c r="C1085" s="10">
        <f>AVERAGE(C348:C359)</f>
        <v>42.029366666666661</v>
      </c>
      <c r="D1085" s="10"/>
      <c r="E1085" s="10">
        <f t="shared" ref="E1085:K1085" si="29">AVERAGE(E348:E359)</f>
        <v>41.892708333333324</v>
      </c>
      <c r="F1085" s="10">
        <f t="shared" si="29"/>
        <v>41.892708333333324</v>
      </c>
      <c r="G1085" s="10">
        <f t="shared" si="29"/>
        <v>42.164091666666664</v>
      </c>
      <c r="H1085" s="10">
        <f t="shared" si="29"/>
        <v>42.029366666666661</v>
      </c>
      <c r="I1085" s="10">
        <f t="shared" si="29"/>
        <v>42.029366666666661</v>
      </c>
      <c r="J1085" s="10">
        <f t="shared" si="29"/>
        <v>42.029366666666661</v>
      </c>
      <c r="K1085" s="10">
        <f t="shared" si="29"/>
        <v>42.029366666666661</v>
      </c>
      <c r="L1085" s="10"/>
    </row>
    <row r="1086" spans="1:12" ht="15" x14ac:dyDescent="0.2">
      <c r="A1086" s="11">
        <f t="shared" si="24"/>
        <v>2043</v>
      </c>
      <c r="B1086" s="10">
        <f>AVERAGE(B360:B371)</f>
        <v>43.09323333333333</v>
      </c>
      <c r="C1086" s="10">
        <f>AVERAGE(C360:C371)</f>
        <v>42.661008333333335</v>
      </c>
      <c r="D1086" s="10"/>
      <c r="E1086" s="10">
        <f t="shared" ref="E1086:K1086" si="30">AVERAGE(E360:E371)</f>
        <v>42.524333333333331</v>
      </c>
      <c r="F1086" s="10">
        <f t="shared" si="30"/>
        <v>42.524333333333331</v>
      </c>
      <c r="G1086" s="10">
        <f t="shared" si="30"/>
        <v>42.795724999999997</v>
      </c>
      <c r="H1086" s="10">
        <f t="shared" si="30"/>
        <v>42.661008333333335</v>
      </c>
      <c r="I1086" s="10">
        <f t="shared" si="30"/>
        <v>42.661008333333335</v>
      </c>
      <c r="J1086" s="10">
        <f t="shared" si="30"/>
        <v>42.661008333333335</v>
      </c>
      <c r="K1086" s="10">
        <f t="shared" si="30"/>
        <v>42.661008333333335</v>
      </c>
      <c r="L1086" s="10"/>
    </row>
    <row r="1087" spans="1:12" ht="15" x14ac:dyDescent="0.2">
      <c r="A1087" s="11">
        <f t="shared" si="24"/>
        <v>2044</v>
      </c>
      <c r="B1087" s="10">
        <f>AVERAGE(B372:B383)</f>
        <v>43.734791666666666</v>
      </c>
      <c r="C1087" s="10">
        <f>AVERAGE(C372:C383)</f>
        <v>43.302566666666671</v>
      </c>
      <c r="D1087" s="10"/>
      <c r="E1087" s="10">
        <f t="shared" ref="E1087:K1087" si="31">AVERAGE(E372:E383)</f>
        <v>43.165891666666674</v>
      </c>
      <c r="F1087" s="10">
        <f t="shared" si="31"/>
        <v>43.165891666666674</v>
      </c>
      <c r="G1087" s="10">
        <f t="shared" si="31"/>
        <v>43.437266666666659</v>
      </c>
      <c r="H1087" s="10">
        <f t="shared" si="31"/>
        <v>43.302566666666671</v>
      </c>
      <c r="I1087" s="10">
        <f t="shared" si="31"/>
        <v>43.302566666666671</v>
      </c>
      <c r="J1087" s="10">
        <f t="shared" si="31"/>
        <v>43.302566666666671</v>
      </c>
      <c r="K1087" s="10">
        <f t="shared" si="31"/>
        <v>43.302566666666671</v>
      </c>
      <c r="L1087" s="10"/>
    </row>
    <row r="1088" spans="1:12" ht="15" x14ac:dyDescent="0.2">
      <c r="A1088" s="11">
        <f t="shared" si="24"/>
        <v>2045</v>
      </c>
      <c r="B1088" s="10">
        <f>AVERAGE(B384:B395)</f>
        <v>44.386441666666663</v>
      </c>
      <c r="C1088" s="10">
        <f>AVERAGE(C384:C395)</f>
        <v>43.954191666666674</v>
      </c>
      <c r="D1088" s="10"/>
      <c r="E1088" s="10">
        <f t="shared" ref="E1088:K1088" si="32">AVERAGE(E384:E395)</f>
        <v>43.817541666666664</v>
      </c>
      <c r="F1088" s="10">
        <f t="shared" si="32"/>
        <v>43.817541666666664</v>
      </c>
      <c r="G1088" s="10">
        <f t="shared" si="32"/>
        <v>44.088908333333336</v>
      </c>
      <c r="H1088" s="10">
        <f t="shared" si="32"/>
        <v>43.954191666666674</v>
      </c>
      <c r="I1088" s="10">
        <f t="shared" si="32"/>
        <v>43.954191666666674</v>
      </c>
      <c r="J1088" s="10">
        <f t="shared" si="32"/>
        <v>43.954191666666674</v>
      </c>
      <c r="K1088" s="10">
        <f t="shared" si="32"/>
        <v>43.954191666666674</v>
      </c>
      <c r="L1088" s="10"/>
    </row>
    <row r="1089" spans="1:12" ht="15" x14ac:dyDescent="0.2">
      <c r="A1089" s="11">
        <f t="shared" si="24"/>
        <v>2046</v>
      </c>
      <c r="B1089" s="10">
        <f>AVERAGE(B396:B407)</f>
        <v>45.048341666666659</v>
      </c>
      <c r="C1089" s="10">
        <f>AVERAGE(C396:C407)</f>
        <v>44.616083333333329</v>
      </c>
      <c r="D1089" s="10"/>
      <c r="E1089" s="10">
        <f t="shared" ref="E1089:K1089" si="33">AVERAGE(E396:E407)</f>
        <v>44.479433333333333</v>
      </c>
      <c r="F1089" s="10">
        <f t="shared" si="33"/>
        <v>44.479433333333333</v>
      </c>
      <c r="G1089" s="10">
        <f t="shared" si="33"/>
        <v>44.750799999999998</v>
      </c>
      <c r="H1089" s="10">
        <f t="shared" si="33"/>
        <v>44.616083333333329</v>
      </c>
      <c r="I1089" s="10">
        <f t="shared" si="33"/>
        <v>44.616083333333329</v>
      </c>
      <c r="J1089" s="10">
        <f t="shared" si="33"/>
        <v>44.616083333333329</v>
      </c>
      <c r="K1089" s="10">
        <f t="shared" si="33"/>
        <v>44.616083333333329</v>
      </c>
      <c r="L1089" s="10"/>
    </row>
    <row r="1090" spans="1:12" ht="15" x14ac:dyDescent="0.2">
      <c r="A1090" s="11">
        <f t="shared" si="24"/>
        <v>2047</v>
      </c>
      <c r="B1090" s="10">
        <f>AVERAGE(B408:B419)</f>
        <v>45.720649999999999</v>
      </c>
      <c r="C1090" s="10">
        <f>AVERAGE(C408:C419)</f>
        <v>45.288391666666662</v>
      </c>
      <c r="D1090" s="10"/>
      <c r="E1090" s="10">
        <f t="shared" ref="E1090:K1090" si="34">AVERAGE(E408:E419)</f>
        <v>45.15175</v>
      </c>
      <c r="F1090" s="10">
        <f t="shared" si="34"/>
        <v>45.15175</v>
      </c>
      <c r="G1090" s="10">
        <f t="shared" si="34"/>
        <v>45.423108333333325</v>
      </c>
      <c r="H1090" s="10">
        <f t="shared" si="34"/>
        <v>45.288391666666662</v>
      </c>
      <c r="I1090" s="10">
        <f t="shared" si="34"/>
        <v>45.288391666666662</v>
      </c>
      <c r="J1090" s="10">
        <f t="shared" si="34"/>
        <v>45.288391666666662</v>
      </c>
      <c r="K1090" s="10">
        <f t="shared" si="34"/>
        <v>45.288391666666662</v>
      </c>
      <c r="L1090" s="10"/>
    </row>
    <row r="1091" spans="1:12" ht="15" x14ac:dyDescent="0.2">
      <c r="A1091" s="11">
        <f t="shared" si="24"/>
        <v>2048</v>
      </c>
      <c r="B1091" s="10">
        <f>AVERAGE(B420:B431)</f>
        <v>46.403533333333336</v>
      </c>
      <c r="C1091" s="10">
        <f>AVERAGE(C420:C431)</f>
        <v>45.971266666666672</v>
      </c>
      <c r="D1091" s="10"/>
      <c r="E1091" s="10">
        <f t="shared" ref="E1091:K1091" si="35">AVERAGE(E420:E431)</f>
        <v>45.834616666666669</v>
      </c>
      <c r="F1091" s="10">
        <f t="shared" si="35"/>
        <v>45.834616666666669</v>
      </c>
      <c r="G1091" s="10">
        <f t="shared" si="35"/>
        <v>46.105975000000001</v>
      </c>
      <c r="H1091" s="10">
        <f t="shared" si="35"/>
        <v>45.971266666666672</v>
      </c>
      <c r="I1091" s="10">
        <f t="shared" si="35"/>
        <v>45.971266666666672</v>
      </c>
      <c r="J1091" s="10">
        <f t="shared" si="35"/>
        <v>45.971266666666672</v>
      </c>
      <c r="K1091" s="10">
        <f t="shared" si="35"/>
        <v>45.971266666666672</v>
      </c>
      <c r="L1091" s="10"/>
    </row>
    <row r="1092" spans="1:12" ht="15" x14ac:dyDescent="0.2">
      <c r="A1092" s="11">
        <f t="shared" si="24"/>
        <v>2049</v>
      </c>
      <c r="B1092" s="10">
        <f>AVERAGE(B432:B443)</f>
        <v>47.097124999999998</v>
      </c>
      <c r="C1092" s="10">
        <f>AVERAGE(C432:C443)</f>
        <v>46.664883333333329</v>
      </c>
      <c r="D1092" s="10"/>
      <c r="E1092" s="10">
        <f t="shared" ref="E1092:K1092" si="36">AVERAGE(E432:E443)</f>
        <v>46.528216666666673</v>
      </c>
      <c r="F1092" s="10">
        <f t="shared" si="36"/>
        <v>46.528216666666673</v>
      </c>
      <c r="G1092" s="10">
        <f t="shared" si="36"/>
        <v>46.799599999999998</v>
      </c>
      <c r="H1092" s="10">
        <f t="shared" si="36"/>
        <v>46.664883333333329</v>
      </c>
      <c r="I1092" s="10">
        <f t="shared" si="36"/>
        <v>46.664883333333329</v>
      </c>
      <c r="J1092" s="10">
        <f t="shared" si="36"/>
        <v>46.664883333333329</v>
      </c>
      <c r="K1092" s="10">
        <f t="shared" si="36"/>
        <v>46.664883333333329</v>
      </c>
      <c r="L1092" s="10"/>
    </row>
    <row r="1093" spans="1:12" ht="15" x14ac:dyDescent="0.2">
      <c r="A1093" s="11">
        <f t="shared" si="24"/>
        <v>2050</v>
      </c>
      <c r="B1093" s="10">
        <f>AVERAGE(B444:B455)</f>
        <v>47.801650000000002</v>
      </c>
      <c r="C1093" s="10">
        <f>AVERAGE(C444:C455)</f>
        <v>47.369383333333339</v>
      </c>
      <c r="D1093" s="10"/>
      <c r="E1093" s="10">
        <f t="shared" ref="E1093:K1093" si="37">AVERAGE(E444:E455)</f>
        <v>47.232749999999989</v>
      </c>
      <c r="F1093" s="10">
        <f t="shared" si="37"/>
        <v>47.232749999999989</v>
      </c>
      <c r="G1093" s="10">
        <f t="shared" si="37"/>
        <v>47.504116666666675</v>
      </c>
      <c r="H1093" s="10">
        <f t="shared" si="37"/>
        <v>47.369383333333339</v>
      </c>
      <c r="I1093" s="10">
        <f t="shared" si="37"/>
        <v>47.369383333333339</v>
      </c>
      <c r="J1093" s="10">
        <f t="shared" si="37"/>
        <v>47.369383333333339</v>
      </c>
      <c r="K1093" s="10">
        <f t="shared" si="37"/>
        <v>47.369383333333339</v>
      </c>
      <c r="L1093" s="10"/>
    </row>
    <row r="1094" spans="1:12" ht="15" x14ac:dyDescent="0.2">
      <c r="A1094" s="11">
        <f t="shared" si="24"/>
        <v>2051</v>
      </c>
      <c r="B1094" s="10">
        <f>AVERAGE(B456:B467)</f>
        <v>48.517249999999997</v>
      </c>
      <c r="C1094" s="10">
        <f>AVERAGE(C456:C467)</f>
        <v>48.084991666666667</v>
      </c>
      <c r="D1094" s="10"/>
      <c r="E1094" s="10">
        <f t="shared" ref="E1094:K1094" si="38">AVERAGE(E456:E467)</f>
        <v>47.948325000000004</v>
      </c>
      <c r="F1094" s="10">
        <f t="shared" si="38"/>
        <v>47.948325000000004</v>
      </c>
      <c r="G1094" s="10">
        <f t="shared" si="38"/>
        <v>48.219699999999989</v>
      </c>
      <c r="H1094" s="10">
        <f t="shared" si="38"/>
        <v>48.084991666666667</v>
      </c>
      <c r="I1094" s="10">
        <f t="shared" si="38"/>
        <v>48.084991666666667</v>
      </c>
      <c r="J1094" s="10">
        <f t="shared" si="38"/>
        <v>48.084991666666667</v>
      </c>
      <c r="K1094" s="10">
        <f t="shared" si="38"/>
        <v>48.084991666666667</v>
      </c>
      <c r="L1094" s="10"/>
    </row>
    <row r="1095" spans="1:12" ht="15" x14ac:dyDescent="0.2">
      <c r="A1095" s="11">
        <f t="shared" si="24"/>
        <v>2052</v>
      </c>
      <c r="B1095" s="10">
        <f>AVERAGE(B468:B479)</f>
        <v>49.244083333333329</v>
      </c>
      <c r="C1095" s="10">
        <f>AVERAGE(C468:C479)</f>
        <v>48.81185</v>
      </c>
      <c r="D1095" s="10"/>
      <c r="E1095" s="10">
        <f t="shared" ref="E1095:K1095" si="39">AVERAGE(E468:E479)</f>
        <v>48.675183333333329</v>
      </c>
      <c r="F1095" s="10">
        <f t="shared" si="39"/>
        <v>48.675183333333329</v>
      </c>
      <c r="G1095" s="10">
        <f t="shared" si="39"/>
        <v>48.946550000000002</v>
      </c>
      <c r="H1095" s="10">
        <f t="shared" si="39"/>
        <v>48.81185</v>
      </c>
      <c r="I1095" s="10">
        <f t="shared" si="39"/>
        <v>48.81185</v>
      </c>
      <c r="J1095" s="10">
        <f t="shared" si="39"/>
        <v>48.81185</v>
      </c>
      <c r="K1095" s="10">
        <f t="shared" si="39"/>
        <v>48.81185</v>
      </c>
      <c r="L1095" s="10"/>
    </row>
    <row r="1096" spans="1:12" ht="15" x14ac:dyDescent="0.2">
      <c r="A1096" s="11">
        <f t="shared" si="24"/>
        <v>2053</v>
      </c>
      <c r="B1096" s="10">
        <f>AVERAGE(B480:B491)</f>
        <v>49.982374999999998</v>
      </c>
      <c r="C1096" s="10">
        <f>AVERAGE(C480:C491)</f>
        <v>49.550116666666668</v>
      </c>
      <c r="D1096" s="10"/>
      <c r="E1096" s="10">
        <f t="shared" ref="E1096:K1096" si="40">AVERAGE(E480:E491)</f>
        <v>49.413458333333331</v>
      </c>
      <c r="F1096" s="10">
        <f t="shared" si="40"/>
        <v>49.413458333333331</v>
      </c>
      <c r="G1096" s="10">
        <f t="shared" si="40"/>
        <v>49.684850000000012</v>
      </c>
      <c r="H1096" s="10">
        <f t="shared" si="40"/>
        <v>49.550116666666668</v>
      </c>
      <c r="I1096" s="10">
        <f t="shared" si="40"/>
        <v>49.550116666666668</v>
      </c>
      <c r="J1096" s="10">
        <f t="shared" si="40"/>
        <v>49.550116666666668</v>
      </c>
      <c r="K1096" s="10">
        <f t="shared" si="40"/>
        <v>49.550116666666668</v>
      </c>
      <c r="L1096" s="10"/>
    </row>
    <row r="1097" spans="1:12" ht="15" x14ac:dyDescent="0.2">
      <c r="A1097" s="11">
        <f t="shared" si="24"/>
        <v>2054</v>
      </c>
      <c r="B1097" s="10">
        <f>AVERAGE(B492:B503)</f>
        <v>50.732274999999994</v>
      </c>
      <c r="C1097" s="10">
        <f>AVERAGE(C492:C503)</f>
        <v>50.300008333333331</v>
      </c>
      <c r="D1097" s="10"/>
      <c r="E1097" s="10">
        <f t="shared" ref="E1097:K1097" si="41">AVERAGE(E492:E503)</f>
        <v>50.163358333333328</v>
      </c>
      <c r="F1097" s="10">
        <f t="shared" si="41"/>
        <v>50.163358333333328</v>
      </c>
      <c r="G1097" s="10">
        <f t="shared" si="41"/>
        <v>50.434724999999993</v>
      </c>
      <c r="H1097" s="10">
        <f t="shared" si="41"/>
        <v>50.300008333333331</v>
      </c>
      <c r="I1097" s="10">
        <f t="shared" si="41"/>
        <v>50.300008333333331</v>
      </c>
      <c r="J1097" s="10">
        <f t="shared" si="41"/>
        <v>50.300008333333331</v>
      </c>
      <c r="K1097" s="10">
        <f t="shared" si="41"/>
        <v>50.300008333333331</v>
      </c>
      <c r="L1097" s="10"/>
    </row>
    <row r="1098" spans="1:12" ht="15" x14ac:dyDescent="0.2">
      <c r="A1098" s="11">
        <f t="shared" si="24"/>
        <v>2055</v>
      </c>
      <c r="B1098" s="10">
        <f>AVERAGE(B504:B515)</f>
        <v>51.493941666666672</v>
      </c>
      <c r="C1098" s="10">
        <f>AVERAGE(C504:C515)</f>
        <v>51.061708333333335</v>
      </c>
      <c r="D1098" s="10"/>
      <c r="E1098" s="10">
        <f t="shared" ref="E1098:K1098" si="42">AVERAGE(E504:E515)</f>
        <v>50.925033333333339</v>
      </c>
      <c r="F1098" s="10">
        <f t="shared" si="42"/>
        <v>50.925033333333339</v>
      </c>
      <c r="G1098" s="10">
        <f t="shared" si="42"/>
        <v>51.196416666666664</v>
      </c>
      <c r="H1098" s="10">
        <f t="shared" si="42"/>
        <v>51.061708333333335</v>
      </c>
      <c r="I1098" s="10">
        <f t="shared" si="42"/>
        <v>51.061708333333335</v>
      </c>
      <c r="J1098" s="10">
        <f t="shared" si="42"/>
        <v>51.061708333333335</v>
      </c>
      <c r="K1098" s="10">
        <f t="shared" si="42"/>
        <v>51.061708333333335</v>
      </c>
      <c r="L1098" s="10"/>
    </row>
    <row r="1099" spans="1:12" ht="15" x14ac:dyDescent="0.2">
      <c r="A1099" s="11">
        <f t="shared" si="24"/>
        <v>2056</v>
      </c>
      <c r="B1099" s="10">
        <f>AVERAGE(B516:B527)</f>
        <v>52.267599999999995</v>
      </c>
      <c r="C1099" s="10">
        <f>AVERAGE(C516:C527)</f>
        <v>51.835349999999998</v>
      </c>
      <c r="D1099" s="10"/>
      <c r="E1099" s="10">
        <f t="shared" ref="E1099:K1099" si="43">AVERAGE(E516:E527)</f>
        <v>51.698691666666662</v>
      </c>
      <c r="F1099" s="10">
        <f t="shared" si="43"/>
        <v>51.698691666666662</v>
      </c>
      <c r="G1099" s="10">
        <f t="shared" si="43"/>
        <v>51.970074999999987</v>
      </c>
      <c r="H1099" s="10">
        <f t="shared" si="43"/>
        <v>51.835349999999998</v>
      </c>
      <c r="I1099" s="10">
        <f t="shared" si="43"/>
        <v>51.835349999999998</v>
      </c>
      <c r="J1099" s="10">
        <f t="shared" si="43"/>
        <v>51.835349999999998</v>
      </c>
      <c r="K1099" s="10">
        <f t="shared" si="43"/>
        <v>51.835349999999998</v>
      </c>
      <c r="L1099" s="10"/>
    </row>
    <row r="1100" spans="1:12" ht="15" x14ac:dyDescent="0.2">
      <c r="A1100" s="11">
        <f t="shared" si="24"/>
        <v>2057</v>
      </c>
      <c r="B1100" s="10">
        <f>AVERAGE(B528:B539)</f>
        <v>53.053416666666664</v>
      </c>
      <c r="C1100" s="10">
        <f>AVERAGE(C528:C539)</f>
        <v>52.621166666666674</v>
      </c>
      <c r="D1100" s="10"/>
      <c r="E1100" s="10">
        <f t="shared" ref="E1100:K1100" si="44">AVERAGE(E528:E539)</f>
        <v>52.484516666666671</v>
      </c>
      <c r="F1100" s="10">
        <f t="shared" si="44"/>
        <v>52.484516666666671</v>
      </c>
      <c r="G1100" s="10">
        <f t="shared" si="44"/>
        <v>52.755883333333337</v>
      </c>
      <c r="H1100" s="10">
        <f t="shared" si="44"/>
        <v>52.621166666666674</v>
      </c>
      <c r="I1100" s="10">
        <f t="shared" si="44"/>
        <v>52.621166666666674</v>
      </c>
      <c r="J1100" s="10">
        <f t="shared" si="44"/>
        <v>52.621166666666674</v>
      </c>
      <c r="K1100" s="10">
        <f t="shared" si="44"/>
        <v>52.621166666666674</v>
      </c>
      <c r="L1100" s="10"/>
    </row>
    <row r="1101" spans="1:12" ht="15" x14ac:dyDescent="0.2">
      <c r="A1101" s="11">
        <f t="shared" si="24"/>
        <v>2058</v>
      </c>
      <c r="B1101" s="10">
        <f>AVERAGE(B540:B551)</f>
        <v>53.851608333333331</v>
      </c>
      <c r="C1101" s="10">
        <f>AVERAGE(C540:C551)</f>
        <v>53.419350000000009</v>
      </c>
      <c r="D1101" s="10"/>
      <c r="E1101" s="10">
        <f t="shared" ref="E1101:K1101" si="45">AVERAGE(E540:E551)</f>
        <v>53.282708333333339</v>
      </c>
      <c r="F1101" s="10">
        <f t="shared" si="45"/>
        <v>53.282708333333339</v>
      </c>
      <c r="G1101" s="10">
        <f t="shared" si="45"/>
        <v>53.554066666666664</v>
      </c>
      <c r="H1101" s="10">
        <f t="shared" si="45"/>
        <v>53.419350000000009</v>
      </c>
      <c r="I1101" s="10">
        <f t="shared" si="45"/>
        <v>53.419350000000009</v>
      </c>
      <c r="J1101" s="10">
        <f t="shared" si="45"/>
        <v>53.419350000000009</v>
      </c>
      <c r="K1101" s="10">
        <f t="shared" si="45"/>
        <v>53.419350000000009</v>
      </c>
      <c r="L1101" s="10"/>
    </row>
    <row r="1102" spans="1:12" ht="15" x14ac:dyDescent="0.2">
      <c r="A1102" s="11">
        <f t="shared" si="24"/>
        <v>2059</v>
      </c>
      <c r="B1102" s="10">
        <f>AVERAGE(B552:B563)</f>
        <v>54.66232500000001</v>
      </c>
      <c r="C1102" s="10">
        <f>AVERAGE(C552:C563)</f>
        <v>54.230091666666674</v>
      </c>
      <c r="D1102" s="10"/>
      <c r="E1102" s="10">
        <f t="shared" ref="E1102:K1102" si="46">AVERAGE(E552:E563)</f>
        <v>54.093416666666656</v>
      </c>
      <c r="F1102" s="10">
        <f t="shared" si="46"/>
        <v>54.093416666666656</v>
      </c>
      <c r="G1102" s="10">
        <f t="shared" si="46"/>
        <v>54.364800000000002</v>
      </c>
      <c r="H1102" s="10">
        <f t="shared" si="46"/>
        <v>54.230091666666674</v>
      </c>
      <c r="I1102" s="10">
        <f t="shared" si="46"/>
        <v>54.230091666666674</v>
      </c>
      <c r="J1102" s="10">
        <f t="shared" si="46"/>
        <v>54.230091666666674</v>
      </c>
      <c r="K1102" s="10">
        <f t="shared" si="46"/>
        <v>54.230091666666674</v>
      </c>
      <c r="L1102" s="10"/>
    </row>
    <row r="1103" spans="1:12" ht="15" x14ac:dyDescent="0.2">
      <c r="A1103" s="11">
        <f t="shared" si="24"/>
        <v>2060</v>
      </c>
      <c r="B1103" s="10">
        <f>AVERAGE(B564:B575)</f>
        <v>55.48579999999999</v>
      </c>
      <c r="C1103" s="10">
        <f>AVERAGE(C564:C575)</f>
        <v>55.053575000000016</v>
      </c>
      <c r="D1103" s="10"/>
      <c r="E1103" s="10">
        <f t="shared" ref="E1103:K1103" si="47">AVERAGE(E564:E575)</f>
        <v>54.916899999999991</v>
      </c>
      <c r="F1103" s="10">
        <f t="shared" si="47"/>
        <v>54.916899999999991</v>
      </c>
      <c r="G1103" s="10">
        <f t="shared" si="47"/>
        <v>55.188299999999991</v>
      </c>
      <c r="H1103" s="10">
        <f t="shared" si="47"/>
        <v>55.053575000000016</v>
      </c>
      <c r="I1103" s="10">
        <f t="shared" si="47"/>
        <v>55.053575000000016</v>
      </c>
      <c r="J1103" s="10">
        <f t="shared" si="47"/>
        <v>55.053575000000016</v>
      </c>
      <c r="K1103" s="10">
        <f t="shared" si="47"/>
        <v>55.053575000000016</v>
      </c>
      <c r="L1103" s="10"/>
    </row>
    <row r="1104" spans="1:12" ht="15" x14ac:dyDescent="0.2">
      <c r="A1104" s="11">
        <f t="shared" si="24"/>
        <v>2061</v>
      </c>
      <c r="B1104" s="10">
        <f>AVERAGE(B576:B587)</f>
        <v>56.322249999999997</v>
      </c>
      <c r="C1104" s="10">
        <f>AVERAGE(C576:C587)</f>
        <v>55.889983333333326</v>
      </c>
      <c r="D1104" s="10"/>
      <c r="E1104" s="10">
        <f t="shared" ref="E1104:K1104" si="48">AVERAGE(E576:E587)</f>
        <v>55.753350000000005</v>
      </c>
      <c r="F1104" s="10">
        <f t="shared" si="48"/>
        <v>55.753350000000005</v>
      </c>
      <c r="G1104" s="10">
        <f t="shared" si="48"/>
        <v>56.024725000000011</v>
      </c>
      <c r="H1104" s="10">
        <f t="shared" si="48"/>
        <v>55.889983333333326</v>
      </c>
      <c r="I1104" s="10">
        <f t="shared" si="48"/>
        <v>55.889983333333326</v>
      </c>
      <c r="J1104" s="10">
        <f t="shared" si="48"/>
        <v>55.889983333333326</v>
      </c>
      <c r="K1104" s="10">
        <f t="shared" si="48"/>
        <v>55.889983333333326</v>
      </c>
      <c r="L1104" s="10"/>
    </row>
    <row r="1105" spans="1:11" ht="15" x14ac:dyDescent="0.2">
      <c r="A1105" s="11">
        <f t="shared" si="24"/>
        <v>2062</v>
      </c>
      <c r="B1105" s="10">
        <f t="shared" ref="B1105:C1124" ca="1" si="49">AVERAGE(OFFSET(B$588,($A1105-$A$1105)*12,0,12,1))</f>
        <v>57.171825000000005</v>
      </c>
      <c r="C1105" s="10">
        <f t="shared" ca="1" si="49"/>
        <v>56.739591666666655</v>
      </c>
      <c r="D1105" s="10"/>
      <c r="E1105" s="10">
        <f t="shared" ref="E1105:K1114" ca="1" si="50">AVERAGE(OFFSET(E$588,($A1105-$A$1105)*12,0,12,1))</f>
        <v>56.602916666666665</v>
      </c>
      <c r="F1105" s="10">
        <f t="shared" ca="1" si="50"/>
        <v>56.602916666666665</v>
      </c>
      <c r="G1105" s="10">
        <f t="shared" ca="1" si="50"/>
        <v>56.874300000000005</v>
      </c>
      <c r="H1105" s="10">
        <f t="shared" ca="1" si="50"/>
        <v>56.739591666666655</v>
      </c>
      <c r="I1105" s="10">
        <f t="shared" ca="1" si="50"/>
        <v>56.739591666666655</v>
      </c>
      <c r="J1105" s="10">
        <f t="shared" ca="1" si="50"/>
        <v>56.739591666666655</v>
      </c>
      <c r="K1105" s="10">
        <f t="shared" ca="1" si="50"/>
        <v>56.739591666666655</v>
      </c>
    </row>
    <row r="1106" spans="1:11" ht="15" x14ac:dyDescent="0.2">
      <c r="A1106" s="11">
        <f t="shared" si="24"/>
        <v>2063</v>
      </c>
      <c r="B1106" s="10">
        <f t="shared" ca="1" si="49"/>
        <v>58.034775000000003</v>
      </c>
      <c r="C1106" s="10">
        <f t="shared" ca="1" si="49"/>
        <v>57.602524999999993</v>
      </c>
      <c r="D1106" s="10"/>
      <c r="E1106" s="10">
        <f t="shared" ca="1" si="50"/>
        <v>57.46586666666667</v>
      </c>
      <c r="F1106" s="10">
        <f t="shared" ca="1" si="50"/>
        <v>57.46586666666667</v>
      </c>
      <c r="G1106" s="10">
        <f t="shared" ca="1" si="50"/>
        <v>57.737233333333336</v>
      </c>
      <c r="H1106" s="10">
        <f t="shared" ca="1" si="50"/>
        <v>57.602524999999993</v>
      </c>
      <c r="I1106" s="10">
        <f t="shared" ca="1" si="50"/>
        <v>57.602524999999993</v>
      </c>
      <c r="J1106" s="10">
        <f t="shared" ca="1" si="50"/>
        <v>57.602524999999993</v>
      </c>
      <c r="K1106" s="10">
        <f t="shared" ca="1" si="50"/>
        <v>57.602524999999993</v>
      </c>
    </row>
    <row r="1107" spans="1:11" ht="15" x14ac:dyDescent="0.2">
      <c r="A1107" s="11">
        <f t="shared" si="24"/>
        <v>2064</v>
      </c>
      <c r="B1107" s="10">
        <f t="shared" ca="1" si="49"/>
        <v>58.91128333333333</v>
      </c>
      <c r="C1107" s="10">
        <f t="shared" ca="1" si="49"/>
        <v>58.479041666666667</v>
      </c>
      <c r="D1107" s="10"/>
      <c r="E1107" s="10">
        <f t="shared" ca="1" si="50"/>
        <v>58.342374999999997</v>
      </c>
      <c r="F1107" s="10">
        <f t="shared" ca="1" si="50"/>
        <v>58.342374999999997</v>
      </c>
      <c r="G1107" s="10">
        <f t="shared" ca="1" si="50"/>
        <v>58.613749999999989</v>
      </c>
      <c r="H1107" s="10">
        <f t="shared" ca="1" si="50"/>
        <v>58.479041666666667</v>
      </c>
      <c r="I1107" s="10">
        <f t="shared" ca="1" si="50"/>
        <v>58.479041666666667</v>
      </c>
      <c r="J1107" s="10">
        <f t="shared" ca="1" si="50"/>
        <v>58.479041666666667</v>
      </c>
      <c r="K1107" s="10">
        <f t="shared" ca="1" si="50"/>
        <v>58.479041666666667</v>
      </c>
    </row>
    <row r="1108" spans="1:11" ht="15" x14ac:dyDescent="0.2">
      <c r="A1108" s="11">
        <f t="shared" si="24"/>
        <v>2065</v>
      </c>
      <c r="B1108" s="10">
        <f t="shared" ca="1" si="49"/>
        <v>59.80159166666666</v>
      </c>
      <c r="C1108" s="10">
        <f t="shared" ca="1" si="49"/>
        <v>59.369324999999996</v>
      </c>
      <c r="D1108" s="10"/>
      <c r="E1108" s="10">
        <f t="shared" ca="1" si="50"/>
        <v>59.232675000000008</v>
      </c>
      <c r="F1108" s="10">
        <f t="shared" ca="1" si="50"/>
        <v>59.232675000000008</v>
      </c>
      <c r="G1108" s="10">
        <f t="shared" ca="1" si="50"/>
        <v>59.504049999999999</v>
      </c>
      <c r="H1108" s="10">
        <f t="shared" ca="1" si="50"/>
        <v>59.369324999999996</v>
      </c>
      <c r="I1108" s="10">
        <f t="shared" ca="1" si="50"/>
        <v>59.369324999999996</v>
      </c>
      <c r="J1108" s="10">
        <f t="shared" ca="1" si="50"/>
        <v>59.369324999999996</v>
      </c>
      <c r="K1108" s="10">
        <f t="shared" ca="1" si="50"/>
        <v>59.369324999999996</v>
      </c>
    </row>
    <row r="1109" spans="1:11" ht="15" x14ac:dyDescent="0.2">
      <c r="A1109" s="11">
        <f t="shared" si="24"/>
        <v>2066</v>
      </c>
      <c r="B1109" s="10">
        <f t="shared" ca="1" si="49"/>
        <v>60.705874999999992</v>
      </c>
      <c r="C1109" s="10">
        <f t="shared" ca="1" si="49"/>
        <v>60.273625000000003</v>
      </c>
      <c r="D1109" s="10"/>
      <c r="E1109" s="10">
        <f t="shared" ca="1" si="50"/>
        <v>60.136974999999985</v>
      </c>
      <c r="F1109" s="10">
        <f t="shared" ca="1" si="50"/>
        <v>60.136974999999985</v>
      </c>
      <c r="G1109" s="10">
        <f t="shared" ca="1" si="50"/>
        <v>60.408341666666665</v>
      </c>
      <c r="H1109" s="10">
        <f t="shared" ca="1" si="50"/>
        <v>60.273625000000003</v>
      </c>
      <c r="I1109" s="10">
        <f t="shared" ca="1" si="50"/>
        <v>60.273625000000003</v>
      </c>
      <c r="J1109" s="10">
        <f t="shared" ca="1" si="50"/>
        <v>60.273625000000003</v>
      </c>
      <c r="K1109" s="10">
        <f t="shared" ca="1" si="50"/>
        <v>60.273625000000003</v>
      </c>
    </row>
    <row r="1110" spans="1:11" ht="15" x14ac:dyDescent="0.2">
      <c r="A1110" s="11">
        <f t="shared" si="24"/>
        <v>2067</v>
      </c>
      <c r="B1110" s="10">
        <f t="shared" ca="1" si="49"/>
        <v>61.624400000000009</v>
      </c>
      <c r="C1110" s="10">
        <f t="shared" ca="1" si="49"/>
        <v>61.192149999999991</v>
      </c>
      <c r="D1110" s="10"/>
      <c r="E1110" s="10">
        <f t="shared" ca="1" si="50"/>
        <v>61.055491666666676</v>
      </c>
      <c r="F1110" s="10">
        <f t="shared" ca="1" si="50"/>
        <v>61.055491666666676</v>
      </c>
      <c r="G1110" s="10">
        <f t="shared" ca="1" si="50"/>
        <v>61.32686666666666</v>
      </c>
      <c r="H1110" s="10">
        <f t="shared" ca="1" si="50"/>
        <v>61.192149999999991</v>
      </c>
      <c r="I1110" s="10">
        <f t="shared" ca="1" si="50"/>
        <v>61.192149999999991</v>
      </c>
      <c r="J1110" s="10">
        <f t="shared" ca="1" si="50"/>
        <v>61.192149999999991</v>
      </c>
      <c r="K1110" s="10">
        <f t="shared" ca="1" si="50"/>
        <v>61.192149999999991</v>
      </c>
    </row>
    <row r="1111" spans="1:11" ht="15" x14ac:dyDescent="0.2">
      <c r="A1111" s="11">
        <f t="shared" si="24"/>
        <v>2068</v>
      </c>
      <c r="B1111" s="10">
        <f t="shared" ca="1" si="49"/>
        <v>62.557366666666667</v>
      </c>
      <c r="C1111" s="10">
        <f t="shared" ca="1" si="49"/>
        <v>62.125091666666663</v>
      </c>
      <c r="D1111" s="10"/>
      <c r="E1111" s="10">
        <f t="shared" ca="1" si="50"/>
        <v>61.988458333333341</v>
      </c>
      <c r="F1111" s="10">
        <f t="shared" ca="1" si="50"/>
        <v>61.988458333333341</v>
      </c>
      <c r="G1111" s="10">
        <f t="shared" ca="1" si="50"/>
        <v>62.259800000000006</v>
      </c>
      <c r="H1111" s="10">
        <f t="shared" ca="1" si="50"/>
        <v>62.125091666666663</v>
      </c>
      <c r="I1111" s="10">
        <f t="shared" ca="1" si="50"/>
        <v>62.125091666666663</v>
      </c>
      <c r="J1111" s="10">
        <f t="shared" ca="1" si="50"/>
        <v>62.125091666666663</v>
      </c>
      <c r="K1111" s="10">
        <f t="shared" ca="1" si="50"/>
        <v>62.125091666666663</v>
      </c>
    </row>
    <row r="1112" spans="1:11" ht="15" x14ac:dyDescent="0.2">
      <c r="A1112" s="11">
        <f t="shared" si="24"/>
        <v>2069</v>
      </c>
      <c r="B1112" s="10">
        <f t="shared" ca="1" si="49"/>
        <v>63.504983333333321</v>
      </c>
      <c r="C1112" s="10">
        <f t="shared" ca="1" si="49"/>
        <v>63.072733333333332</v>
      </c>
      <c r="D1112" s="10"/>
      <c r="E1112" s="10">
        <f t="shared" ca="1" si="50"/>
        <v>62.936083333333329</v>
      </c>
      <c r="F1112" s="10">
        <f t="shared" ca="1" si="50"/>
        <v>62.936083333333329</v>
      </c>
      <c r="G1112" s="10">
        <f t="shared" ca="1" si="50"/>
        <v>63.207450000000001</v>
      </c>
      <c r="H1112" s="10">
        <f t="shared" ca="1" si="50"/>
        <v>63.072733333333332</v>
      </c>
      <c r="I1112" s="10">
        <f t="shared" ca="1" si="50"/>
        <v>63.072733333333332</v>
      </c>
      <c r="J1112" s="10">
        <f t="shared" ca="1" si="50"/>
        <v>63.072733333333332</v>
      </c>
      <c r="K1112" s="10">
        <f t="shared" ca="1" si="50"/>
        <v>63.072733333333332</v>
      </c>
    </row>
    <row r="1113" spans="1:11" ht="15" x14ac:dyDescent="0.2">
      <c r="A1113" s="11">
        <f t="shared" ref="A1113:A1143" si="51">A1112+1</f>
        <v>2070</v>
      </c>
      <c r="B1113" s="10">
        <f t="shared" ca="1" si="49"/>
        <v>64.467500000000001</v>
      </c>
      <c r="C1113" s="10">
        <f t="shared" ca="1" si="49"/>
        <v>64.035258333333331</v>
      </c>
      <c r="D1113" s="10"/>
      <c r="E1113" s="10">
        <f t="shared" ca="1" si="50"/>
        <v>63.898599999999995</v>
      </c>
      <c r="F1113" s="10">
        <f t="shared" ca="1" si="50"/>
        <v>63.898599999999995</v>
      </c>
      <c r="G1113" s="10">
        <f t="shared" ca="1" si="50"/>
        <v>64.169983333333349</v>
      </c>
      <c r="H1113" s="10">
        <f t="shared" ca="1" si="50"/>
        <v>64.035258333333331</v>
      </c>
      <c r="I1113" s="10">
        <f t="shared" ca="1" si="50"/>
        <v>64.035258333333331</v>
      </c>
      <c r="J1113" s="10">
        <f t="shared" ca="1" si="50"/>
        <v>64.035258333333331</v>
      </c>
      <c r="K1113" s="10">
        <f t="shared" ca="1" si="50"/>
        <v>64.035258333333331</v>
      </c>
    </row>
    <row r="1114" spans="1:11" ht="15" x14ac:dyDescent="0.2">
      <c r="A1114" s="11">
        <f t="shared" si="51"/>
        <v>2071</v>
      </c>
      <c r="B1114" s="10">
        <f t="shared" ca="1" si="49"/>
        <v>65.445174999999992</v>
      </c>
      <c r="C1114" s="10">
        <f t="shared" ca="1" si="49"/>
        <v>65.012924999999996</v>
      </c>
      <c r="D1114" s="10"/>
      <c r="E1114" s="10">
        <f t="shared" ca="1" si="50"/>
        <v>64.876275000000007</v>
      </c>
      <c r="F1114" s="10">
        <f t="shared" ca="1" si="50"/>
        <v>64.876275000000007</v>
      </c>
      <c r="G1114" s="10">
        <f t="shared" ca="1" si="50"/>
        <v>65.147649999999999</v>
      </c>
      <c r="H1114" s="10">
        <f t="shared" ca="1" si="50"/>
        <v>65.012924999999996</v>
      </c>
      <c r="I1114" s="10">
        <f t="shared" ca="1" si="50"/>
        <v>65.012924999999996</v>
      </c>
      <c r="J1114" s="10">
        <f t="shared" ca="1" si="50"/>
        <v>65.012924999999996</v>
      </c>
      <c r="K1114" s="10">
        <f t="shared" ca="1" si="50"/>
        <v>65.012924999999996</v>
      </c>
    </row>
    <row r="1115" spans="1:11" ht="15" x14ac:dyDescent="0.2">
      <c r="A1115" s="11">
        <f t="shared" si="51"/>
        <v>2072</v>
      </c>
      <c r="B1115" s="10">
        <f t="shared" ca="1" si="49"/>
        <v>66.438216666666676</v>
      </c>
      <c r="C1115" s="10">
        <f t="shared" ca="1" si="49"/>
        <v>66.005974999999992</v>
      </c>
      <c r="D1115" s="10"/>
      <c r="E1115" s="10">
        <f t="shared" ref="E1115:K1124" ca="1" si="52">AVERAGE(OFFSET(E$588,($A1115-$A$1105)*12,0,12,1))</f>
        <v>65.869316666666663</v>
      </c>
      <c r="F1115" s="10">
        <f t="shared" ca="1" si="52"/>
        <v>65.869316666666663</v>
      </c>
      <c r="G1115" s="10">
        <f t="shared" ca="1" si="52"/>
        <v>66.140683333333328</v>
      </c>
      <c r="H1115" s="10">
        <f t="shared" ca="1" si="52"/>
        <v>66.005974999999992</v>
      </c>
      <c r="I1115" s="10">
        <f t="shared" ca="1" si="52"/>
        <v>66.005974999999992</v>
      </c>
      <c r="J1115" s="10">
        <f t="shared" ca="1" si="52"/>
        <v>66.005974999999992</v>
      </c>
      <c r="K1115" s="10">
        <f t="shared" ca="1" si="52"/>
        <v>66.005974999999992</v>
      </c>
    </row>
    <row r="1116" spans="1:11" ht="15" x14ac:dyDescent="0.2">
      <c r="A1116" s="11">
        <f t="shared" si="51"/>
        <v>2073</v>
      </c>
      <c r="B1116" s="10">
        <f t="shared" ca="1" si="49"/>
        <v>67.446875000000006</v>
      </c>
      <c r="C1116" s="10">
        <f t="shared" ca="1" si="49"/>
        <v>67.014625000000009</v>
      </c>
      <c r="D1116" s="10"/>
      <c r="E1116" s="10">
        <f t="shared" ca="1" si="52"/>
        <v>66.877975000000006</v>
      </c>
      <c r="F1116" s="10">
        <f t="shared" ca="1" si="52"/>
        <v>66.877975000000006</v>
      </c>
      <c r="G1116" s="10">
        <f t="shared" ca="1" si="52"/>
        <v>67.149333333333331</v>
      </c>
      <c r="H1116" s="10">
        <f t="shared" ca="1" si="52"/>
        <v>67.014625000000009</v>
      </c>
      <c r="I1116" s="10">
        <f t="shared" ca="1" si="52"/>
        <v>67.014625000000009</v>
      </c>
      <c r="J1116" s="10">
        <f t="shared" ca="1" si="52"/>
        <v>67.014625000000009</v>
      </c>
      <c r="K1116" s="10">
        <f t="shared" ca="1" si="52"/>
        <v>67.014625000000009</v>
      </c>
    </row>
    <row r="1117" spans="1:11" ht="15" x14ac:dyDescent="0.2">
      <c r="A1117" s="11">
        <f t="shared" si="51"/>
        <v>2074</v>
      </c>
      <c r="B1117" s="10">
        <f t="shared" ca="1" si="49"/>
        <v>68.471383333333321</v>
      </c>
      <c r="C1117" s="10">
        <f t="shared" ca="1" si="49"/>
        <v>68.039133333333339</v>
      </c>
      <c r="D1117" s="10"/>
      <c r="E1117" s="10">
        <f t="shared" ca="1" si="52"/>
        <v>67.902483333333336</v>
      </c>
      <c r="F1117" s="10">
        <f t="shared" ca="1" si="52"/>
        <v>67.902483333333336</v>
      </c>
      <c r="G1117" s="10">
        <f t="shared" ca="1" si="52"/>
        <v>68.173874999999995</v>
      </c>
      <c r="H1117" s="10">
        <f t="shared" ca="1" si="52"/>
        <v>68.039133333333339</v>
      </c>
      <c r="I1117" s="10">
        <f t="shared" ca="1" si="52"/>
        <v>68.039133333333339</v>
      </c>
      <c r="J1117" s="10">
        <f t="shared" ca="1" si="52"/>
        <v>68.039133333333339</v>
      </c>
      <c r="K1117" s="10">
        <f t="shared" ca="1" si="52"/>
        <v>68.039133333333339</v>
      </c>
    </row>
    <row r="1118" spans="1:11" ht="15" x14ac:dyDescent="0.2">
      <c r="A1118" s="11">
        <f t="shared" si="51"/>
        <v>2075</v>
      </c>
      <c r="B1118" s="10">
        <f t="shared" ca="1" si="49"/>
        <v>69.512024999999994</v>
      </c>
      <c r="C1118" s="10">
        <f t="shared" ca="1" si="49"/>
        <v>69.079766666666657</v>
      </c>
      <c r="D1118" s="10"/>
      <c r="E1118" s="10">
        <f t="shared" ca="1" si="52"/>
        <v>68.943116666666668</v>
      </c>
      <c r="F1118" s="10">
        <f t="shared" ca="1" si="52"/>
        <v>68.943116666666668</v>
      </c>
      <c r="G1118" s="10">
        <f t="shared" ca="1" si="52"/>
        <v>69.214483333333334</v>
      </c>
      <c r="H1118" s="10">
        <f t="shared" ca="1" si="52"/>
        <v>69.079766666666657</v>
      </c>
      <c r="I1118" s="10">
        <f t="shared" ca="1" si="52"/>
        <v>69.079766666666657</v>
      </c>
      <c r="J1118" s="10">
        <f t="shared" ca="1" si="52"/>
        <v>69.079766666666657</v>
      </c>
      <c r="K1118" s="10">
        <f t="shared" ca="1" si="52"/>
        <v>69.079766666666657</v>
      </c>
    </row>
    <row r="1119" spans="1:11" ht="15" x14ac:dyDescent="0.2">
      <c r="A1119" s="11">
        <f t="shared" si="51"/>
        <v>2076</v>
      </c>
      <c r="B1119" s="10">
        <f t="shared" ca="1" si="49"/>
        <v>70.569008333333329</v>
      </c>
      <c r="C1119" s="10">
        <f t="shared" ca="1" si="49"/>
        <v>70.136758333333333</v>
      </c>
      <c r="D1119" s="10"/>
      <c r="E1119" s="10">
        <f t="shared" ca="1" si="52"/>
        <v>70.000091666666663</v>
      </c>
      <c r="F1119" s="10">
        <f t="shared" ca="1" si="52"/>
        <v>70.000091666666663</v>
      </c>
      <c r="G1119" s="10">
        <f t="shared" ca="1" si="52"/>
        <v>70.271483333333336</v>
      </c>
      <c r="H1119" s="10">
        <f t="shared" ca="1" si="52"/>
        <v>70.136758333333333</v>
      </c>
      <c r="I1119" s="10">
        <f t="shared" ca="1" si="52"/>
        <v>70.136758333333333</v>
      </c>
      <c r="J1119" s="10">
        <f t="shared" ca="1" si="52"/>
        <v>70.136758333333333</v>
      </c>
      <c r="K1119" s="10">
        <f t="shared" ca="1" si="52"/>
        <v>70.136758333333333</v>
      </c>
    </row>
    <row r="1120" spans="1:11" ht="15" x14ac:dyDescent="0.2">
      <c r="A1120" s="11">
        <f t="shared" si="51"/>
        <v>2077</v>
      </c>
      <c r="B1120" s="10">
        <f t="shared" ca="1" si="49"/>
        <v>71.642616666666669</v>
      </c>
      <c r="C1120" s="10">
        <f t="shared" ca="1" si="49"/>
        <v>71.210383333333326</v>
      </c>
      <c r="D1120" s="10"/>
      <c r="E1120" s="10">
        <f t="shared" ca="1" si="52"/>
        <v>71.073708333333329</v>
      </c>
      <c r="F1120" s="10">
        <f t="shared" ca="1" si="52"/>
        <v>71.073708333333329</v>
      </c>
      <c r="G1120" s="10">
        <f t="shared" ca="1" si="52"/>
        <v>71.345091666666676</v>
      </c>
      <c r="H1120" s="10">
        <f t="shared" ca="1" si="52"/>
        <v>71.210383333333326</v>
      </c>
      <c r="I1120" s="10">
        <f t="shared" ca="1" si="52"/>
        <v>71.210383333333326</v>
      </c>
      <c r="J1120" s="10">
        <f t="shared" ca="1" si="52"/>
        <v>71.210383333333326</v>
      </c>
      <c r="K1120" s="10">
        <f t="shared" ca="1" si="52"/>
        <v>71.210383333333326</v>
      </c>
    </row>
    <row r="1121" spans="1:11" ht="15" x14ac:dyDescent="0.2">
      <c r="A1121" s="11">
        <f t="shared" si="51"/>
        <v>2078</v>
      </c>
      <c r="B1121" s="10">
        <f t="shared" ca="1" si="49"/>
        <v>72.733108333333334</v>
      </c>
      <c r="C1121" s="10">
        <f t="shared" ca="1" si="49"/>
        <v>72.300883333333331</v>
      </c>
      <c r="D1121" s="10"/>
      <c r="E1121" s="10">
        <f t="shared" ca="1" si="52"/>
        <v>72.16419999999998</v>
      </c>
      <c r="F1121" s="10">
        <f t="shared" ca="1" si="52"/>
        <v>72.16419999999998</v>
      </c>
      <c r="G1121" s="10">
        <f t="shared" ca="1" si="52"/>
        <v>72.435591666666667</v>
      </c>
      <c r="H1121" s="10">
        <f t="shared" ca="1" si="52"/>
        <v>72.300883333333331</v>
      </c>
      <c r="I1121" s="10">
        <f t="shared" ca="1" si="52"/>
        <v>72.300883333333331</v>
      </c>
      <c r="J1121" s="10">
        <f t="shared" ca="1" si="52"/>
        <v>72.300883333333331</v>
      </c>
      <c r="K1121" s="10">
        <f t="shared" ca="1" si="52"/>
        <v>72.300883333333331</v>
      </c>
    </row>
    <row r="1122" spans="1:11" ht="15" x14ac:dyDescent="0.2">
      <c r="A1122" s="11">
        <f t="shared" si="51"/>
        <v>2079</v>
      </c>
      <c r="B1122" s="10">
        <f t="shared" ca="1" si="49"/>
        <v>73.840774999999994</v>
      </c>
      <c r="C1122" s="10">
        <f t="shared" ca="1" si="49"/>
        <v>73.408508333333344</v>
      </c>
      <c r="D1122" s="10"/>
      <c r="E1122" s="10">
        <f t="shared" ca="1" si="52"/>
        <v>73.271858333333327</v>
      </c>
      <c r="F1122" s="10">
        <f t="shared" ca="1" si="52"/>
        <v>73.271858333333327</v>
      </c>
      <c r="G1122" s="10">
        <f t="shared" ca="1" si="52"/>
        <v>73.543208333333325</v>
      </c>
      <c r="H1122" s="10">
        <f t="shared" ca="1" si="52"/>
        <v>73.408508333333344</v>
      </c>
      <c r="I1122" s="10">
        <f t="shared" ca="1" si="52"/>
        <v>73.408508333333344</v>
      </c>
      <c r="J1122" s="10">
        <f t="shared" ca="1" si="52"/>
        <v>73.408508333333344</v>
      </c>
      <c r="K1122" s="10">
        <f t="shared" ca="1" si="52"/>
        <v>73.408508333333344</v>
      </c>
    </row>
    <row r="1123" spans="1:11" ht="15" x14ac:dyDescent="0.2">
      <c r="A1123" s="11">
        <f t="shared" si="51"/>
        <v>2080</v>
      </c>
      <c r="B1123" s="10">
        <f t="shared" ca="1" si="49"/>
        <v>74.965825000000009</v>
      </c>
      <c r="C1123" s="10">
        <f t="shared" ca="1" si="49"/>
        <v>74.533566666666658</v>
      </c>
      <c r="D1123" s="10"/>
      <c r="E1123" s="10">
        <f t="shared" ca="1" si="52"/>
        <v>74.396916666666655</v>
      </c>
      <c r="F1123" s="10">
        <f t="shared" ca="1" si="52"/>
        <v>74.396916666666655</v>
      </c>
      <c r="G1123" s="10">
        <f t="shared" ca="1" si="52"/>
        <v>74.668283333333335</v>
      </c>
      <c r="H1123" s="10">
        <f t="shared" ca="1" si="52"/>
        <v>74.533566666666658</v>
      </c>
      <c r="I1123" s="10">
        <f t="shared" ca="1" si="52"/>
        <v>74.533566666666658</v>
      </c>
      <c r="J1123" s="10">
        <f t="shared" ca="1" si="52"/>
        <v>74.533566666666658</v>
      </c>
      <c r="K1123" s="10">
        <f t="shared" ca="1" si="52"/>
        <v>74.533566666666658</v>
      </c>
    </row>
    <row r="1124" spans="1:11" ht="15" x14ac:dyDescent="0.2">
      <c r="A1124" s="11">
        <f t="shared" si="51"/>
        <v>2081</v>
      </c>
      <c r="B1124" s="10">
        <f t="shared" ca="1" si="49"/>
        <v>76.108566666666661</v>
      </c>
      <c r="C1124" s="10">
        <f t="shared" ca="1" si="49"/>
        <v>75.676333333333346</v>
      </c>
      <c r="D1124" s="10"/>
      <c r="E1124" s="10">
        <f t="shared" ca="1" si="52"/>
        <v>75.539666666666676</v>
      </c>
      <c r="F1124" s="10">
        <f t="shared" ca="1" si="52"/>
        <v>75.539666666666676</v>
      </c>
      <c r="G1124" s="10">
        <f t="shared" ca="1" si="52"/>
        <v>75.811049999999994</v>
      </c>
      <c r="H1124" s="10">
        <f t="shared" ca="1" si="52"/>
        <v>75.676333333333346</v>
      </c>
      <c r="I1124" s="10">
        <f t="shared" ca="1" si="52"/>
        <v>75.676333333333346</v>
      </c>
      <c r="J1124" s="10">
        <f t="shared" ca="1" si="52"/>
        <v>75.676333333333346</v>
      </c>
      <c r="K1124" s="10">
        <f t="shared" ca="1" si="52"/>
        <v>75.676333333333346</v>
      </c>
    </row>
    <row r="1125" spans="1:11" ht="15" x14ac:dyDescent="0.2">
      <c r="A1125" s="11">
        <f t="shared" si="51"/>
        <v>2082</v>
      </c>
      <c r="B1125" s="10">
        <f t="shared" ref="B1125:C1143" ca="1" si="53">AVERAGE(OFFSET(B$588,($A1125-$A$1105)*12,0,12,1))</f>
        <v>77.26928333333332</v>
      </c>
      <c r="C1125" s="10">
        <f t="shared" ca="1" si="53"/>
        <v>76.837050000000019</v>
      </c>
      <c r="D1125" s="10"/>
      <c r="E1125" s="10">
        <f t="shared" ref="E1125:K1134" ca="1" si="54">AVERAGE(OFFSET(E$588,($A1125-$A$1105)*12,0,12,1))</f>
        <v>76.700374999999994</v>
      </c>
      <c r="F1125" s="10">
        <f t="shared" ca="1" si="54"/>
        <v>76.700374999999994</v>
      </c>
      <c r="G1125" s="10">
        <f t="shared" ca="1" si="54"/>
        <v>76.971774999999994</v>
      </c>
      <c r="H1125" s="10">
        <f t="shared" ca="1" si="54"/>
        <v>76.837050000000019</v>
      </c>
      <c r="I1125" s="10">
        <f t="shared" ca="1" si="54"/>
        <v>76.837050000000019</v>
      </c>
      <c r="J1125" s="10">
        <f t="shared" ca="1" si="54"/>
        <v>76.837050000000019</v>
      </c>
      <c r="K1125" s="10">
        <f t="shared" ca="1" si="54"/>
        <v>76.837050000000019</v>
      </c>
    </row>
    <row r="1126" spans="1:11" ht="15" x14ac:dyDescent="0.2">
      <c r="A1126" s="11">
        <f t="shared" si="51"/>
        <v>2083</v>
      </c>
      <c r="B1126" s="10">
        <f t="shared" ca="1" si="53"/>
        <v>78.44827500000001</v>
      </c>
      <c r="C1126" s="10">
        <f t="shared" ca="1" si="53"/>
        <v>78.016016666666658</v>
      </c>
      <c r="D1126" s="10"/>
      <c r="E1126" s="10">
        <f t="shared" ca="1" si="54"/>
        <v>77.879366666666655</v>
      </c>
      <c r="F1126" s="10">
        <f t="shared" ca="1" si="54"/>
        <v>77.879366666666655</v>
      </c>
      <c r="G1126" s="10">
        <f t="shared" ca="1" si="54"/>
        <v>78.150724999999994</v>
      </c>
      <c r="H1126" s="10">
        <f t="shared" ca="1" si="54"/>
        <v>78.016016666666658</v>
      </c>
      <c r="I1126" s="10">
        <f t="shared" ca="1" si="54"/>
        <v>78.016016666666658</v>
      </c>
      <c r="J1126" s="10">
        <f t="shared" ca="1" si="54"/>
        <v>78.016016666666658</v>
      </c>
      <c r="K1126" s="10">
        <f t="shared" ca="1" si="54"/>
        <v>78.016016666666658</v>
      </c>
    </row>
    <row r="1127" spans="1:11" ht="15" x14ac:dyDescent="0.2">
      <c r="A1127" s="11">
        <f t="shared" si="51"/>
        <v>2084</v>
      </c>
      <c r="B1127" s="10">
        <f t="shared" ca="1" si="53"/>
        <v>79.645774999999986</v>
      </c>
      <c r="C1127" s="10">
        <f t="shared" ca="1" si="53"/>
        <v>79.213533333333331</v>
      </c>
      <c r="D1127" s="10"/>
      <c r="E1127" s="10">
        <f t="shared" ca="1" si="54"/>
        <v>79.076858333333334</v>
      </c>
      <c r="F1127" s="10">
        <f t="shared" ca="1" si="54"/>
        <v>79.076858333333334</v>
      </c>
      <c r="G1127" s="10">
        <f t="shared" ca="1" si="54"/>
        <v>79.348258333333334</v>
      </c>
      <c r="H1127" s="10">
        <f t="shared" ca="1" si="54"/>
        <v>79.213533333333331</v>
      </c>
      <c r="I1127" s="10">
        <f t="shared" ca="1" si="54"/>
        <v>79.213533333333331</v>
      </c>
      <c r="J1127" s="10">
        <f t="shared" ca="1" si="54"/>
        <v>79.213533333333331</v>
      </c>
      <c r="K1127" s="10">
        <f t="shared" ca="1" si="54"/>
        <v>79.213533333333331</v>
      </c>
    </row>
    <row r="1128" spans="1:11" ht="15" x14ac:dyDescent="0.2">
      <c r="A1128" s="11">
        <f t="shared" si="51"/>
        <v>2085</v>
      </c>
      <c r="B1128" s="10">
        <f t="shared" ca="1" si="53"/>
        <v>80.862124999999992</v>
      </c>
      <c r="C1128" s="10">
        <f t="shared" ca="1" si="53"/>
        <v>80.429874999999996</v>
      </c>
      <c r="D1128" s="10"/>
      <c r="E1128" s="10">
        <f t="shared" ca="1" si="54"/>
        <v>80.29321666666668</v>
      </c>
      <c r="F1128" s="10">
        <f t="shared" ca="1" si="54"/>
        <v>80.29321666666668</v>
      </c>
      <c r="G1128" s="10">
        <f t="shared" ca="1" si="54"/>
        <v>80.564583333333331</v>
      </c>
      <c r="H1128" s="10">
        <f t="shared" ca="1" si="54"/>
        <v>80.429874999999996</v>
      </c>
      <c r="I1128" s="10">
        <f t="shared" ca="1" si="54"/>
        <v>80.429874999999996</v>
      </c>
      <c r="J1128" s="10">
        <f t="shared" ca="1" si="54"/>
        <v>80.429874999999996</v>
      </c>
      <c r="K1128" s="10">
        <f t="shared" ca="1" si="54"/>
        <v>80.429874999999996</v>
      </c>
    </row>
    <row r="1129" spans="1:11" ht="15" x14ac:dyDescent="0.2">
      <c r="A1129" s="11">
        <f t="shared" si="51"/>
        <v>2086</v>
      </c>
      <c r="B1129" s="10">
        <f t="shared" ca="1" si="53"/>
        <v>82.0976</v>
      </c>
      <c r="C1129" s="10">
        <f t="shared" ca="1" si="53"/>
        <v>81.665350000000004</v>
      </c>
      <c r="D1129" s="10"/>
      <c r="E1129" s="10">
        <f t="shared" ca="1" si="54"/>
        <v>81.528700000000001</v>
      </c>
      <c r="F1129" s="10">
        <f t="shared" ca="1" si="54"/>
        <v>81.528700000000001</v>
      </c>
      <c r="G1129" s="10">
        <f t="shared" ca="1" si="54"/>
        <v>81.800075000000007</v>
      </c>
      <c r="H1129" s="10">
        <f t="shared" ca="1" si="54"/>
        <v>81.665350000000004</v>
      </c>
      <c r="I1129" s="10">
        <f t="shared" ca="1" si="54"/>
        <v>81.665350000000004</v>
      </c>
      <c r="J1129" s="10">
        <f t="shared" ca="1" si="54"/>
        <v>81.665350000000004</v>
      </c>
      <c r="K1129" s="10">
        <f t="shared" ca="1" si="54"/>
        <v>81.665350000000004</v>
      </c>
    </row>
    <row r="1130" spans="1:11" ht="15" x14ac:dyDescent="0.2">
      <c r="A1130" s="11">
        <f t="shared" si="51"/>
        <v>2087</v>
      </c>
      <c r="B1130" s="10">
        <f t="shared" ca="1" si="53"/>
        <v>83.352491666666637</v>
      </c>
      <c r="C1130" s="10">
        <f t="shared" ca="1" si="53"/>
        <v>82.920249999999996</v>
      </c>
      <c r="D1130" s="10"/>
      <c r="E1130" s="10">
        <f t="shared" ca="1" si="54"/>
        <v>82.783591666666652</v>
      </c>
      <c r="F1130" s="10">
        <f t="shared" ca="1" si="54"/>
        <v>82.783591666666652</v>
      </c>
      <c r="G1130" s="10">
        <f t="shared" ca="1" si="54"/>
        <v>83.054966666666658</v>
      </c>
      <c r="H1130" s="10">
        <f t="shared" ca="1" si="54"/>
        <v>82.920249999999996</v>
      </c>
      <c r="I1130" s="10">
        <f t="shared" ca="1" si="54"/>
        <v>82.920249999999996</v>
      </c>
      <c r="J1130" s="10">
        <f t="shared" ca="1" si="54"/>
        <v>82.920249999999996</v>
      </c>
      <c r="K1130" s="10">
        <f t="shared" ca="1" si="54"/>
        <v>82.920249999999996</v>
      </c>
    </row>
    <row r="1131" spans="1:11" ht="15" x14ac:dyDescent="0.2">
      <c r="A1131" s="11">
        <f t="shared" si="51"/>
        <v>2088</v>
      </c>
      <c r="B1131" s="10">
        <f t="shared" ca="1" si="53"/>
        <v>84.627108333333325</v>
      </c>
      <c r="C1131" s="10">
        <f t="shared" ca="1" si="53"/>
        <v>84.194883333333337</v>
      </c>
      <c r="D1131" s="10"/>
      <c r="E1131" s="10">
        <f t="shared" ca="1" si="54"/>
        <v>84.058199999999985</v>
      </c>
      <c r="F1131" s="10">
        <f t="shared" ca="1" si="54"/>
        <v>84.058199999999985</v>
      </c>
      <c r="G1131" s="10">
        <f t="shared" ca="1" si="54"/>
        <v>84.329591666666659</v>
      </c>
      <c r="H1131" s="10">
        <f t="shared" ca="1" si="54"/>
        <v>84.194883333333337</v>
      </c>
      <c r="I1131" s="10">
        <f t="shared" ca="1" si="54"/>
        <v>84.194883333333337</v>
      </c>
      <c r="J1131" s="10">
        <f t="shared" ca="1" si="54"/>
        <v>84.194883333333337</v>
      </c>
      <c r="K1131" s="10">
        <f t="shared" ca="1" si="54"/>
        <v>84.194883333333337</v>
      </c>
    </row>
    <row r="1132" spans="1:11" ht="15" x14ac:dyDescent="0.2">
      <c r="A1132" s="11">
        <f t="shared" si="51"/>
        <v>2089</v>
      </c>
      <c r="B1132" s="10">
        <f t="shared" ca="1" si="53"/>
        <v>85.921800000000019</v>
      </c>
      <c r="C1132" s="10">
        <f t="shared" ca="1" si="53"/>
        <v>85.489549999999994</v>
      </c>
      <c r="D1132" s="10"/>
      <c r="E1132" s="10">
        <f t="shared" ca="1" si="54"/>
        <v>85.352891666666665</v>
      </c>
      <c r="F1132" s="10">
        <f t="shared" ca="1" si="54"/>
        <v>85.352891666666665</v>
      </c>
      <c r="G1132" s="10">
        <f t="shared" ca="1" si="54"/>
        <v>85.624266666666657</v>
      </c>
      <c r="H1132" s="10">
        <f t="shared" ca="1" si="54"/>
        <v>85.489549999999994</v>
      </c>
      <c r="I1132" s="10">
        <f t="shared" ca="1" si="54"/>
        <v>85.489549999999994</v>
      </c>
      <c r="J1132" s="10">
        <f t="shared" ca="1" si="54"/>
        <v>85.489549999999994</v>
      </c>
      <c r="K1132" s="10">
        <f t="shared" ca="1" si="54"/>
        <v>85.489549999999994</v>
      </c>
    </row>
    <row r="1133" spans="1:11" ht="15" x14ac:dyDescent="0.2">
      <c r="A1133" s="11">
        <f t="shared" si="51"/>
        <v>2090</v>
      </c>
      <c r="B1133" s="10">
        <f t="shared" ca="1" si="53"/>
        <v>87.236824999999996</v>
      </c>
      <c r="C1133" s="10">
        <f t="shared" ca="1" si="53"/>
        <v>86.804591666666667</v>
      </c>
      <c r="D1133" s="10"/>
      <c r="E1133" s="10">
        <f t="shared" ca="1" si="54"/>
        <v>86.667916666666656</v>
      </c>
      <c r="F1133" s="10">
        <f t="shared" ca="1" si="54"/>
        <v>86.667916666666656</v>
      </c>
      <c r="G1133" s="10">
        <f t="shared" ca="1" si="54"/>
        <v>86.939308333333329</v>
      </c>
      <c r="H1133" s="10">
        <f t="shared" ca="1" si="54"/>
        <v>86.804591666666667</v>
      </c>
      <c r="I1133" s="10">
        <f t="shared" ca="1" si="54"/>
        <v>86.804591666666667</v>
      </c>
      <c r="J1133" s="10">
        <f t="shared" ca="1" si="54"/>
        <v>86.804591666666667</v>
      </c>
      <c r="K1133" s="10">
        <f t="shared" ca="1" si="54"/>
        <v>86.804591666666667</v>
      </c>
    </row>
    <row r="1134" spans="1:11" ht="15" x14ac:dyDescent="0.2">
      <c r="A1134" s="11">
        <f t="shared" si="51"/>
        <v>2091</v>
      </c>
      <c r="B1134" s="10">
        <f t="shared" ca="1" si="53"/>
        <v>88.57253333333334</v>
      </c>
      <c r="C1134" s="10">
        <f t="shared" ca="1" si="53"/>
        <v>88.140291666666656</v>
      </c>
      <c r="D1134" s="10"/>
      <c r="E1134" s="10">
        <f t="shared" ca="1" si="54"/>
        <v>88.003633333333312</v>
      </c>
      <c r="F1134" s="10">
        <f t="shared" ca="1" si="54"/>
        <v>88.003633333333312</v>
      </c>
      <c r="G1134" s="10">
        <f t="shared" ca="1" si="54"/>
        <v>88.275016666666659</v>
      </c>
      <c r="H1134" s="10">
        <f t="shared" ca="1" si="54"/>
        <v>88.140291666666656</v>
      </c>
      <c r="I1134" s="10">
        <f t="shared" ca="1" si="54"/>
        <v>88.140291666666656</v>
      </c>
      <c r="J1134" s="10">
        <f t="shared" ca="1" si="54"/>
        <v>88.140291666666656</v>
      </c>
      <c r="K1134" s="10">
        <f t="shared" ca="1" si="54"/>
        <v>88.140291666666656</v>
      </c>
    </row>
    <row r="1135" spans="1:11" ht="15" x14ac:dyDescent="0.2">
      <c r="A1135" s="11">
        <f t="shared" si="51"/>
        <v>2092</v>
      </c>
      <c r="B1135" s="10">
        <f t="shared" ca="1" si="53"/>
        <v>89.929258333333337</v>
      </c>
      <c r="C1135" s="10">
        <f t="shared" ca="1" si="53"/>
        <v>89.497</v>
      </c>
      <c r="D1135" s="10"/>
      <c r="E1135" s="10">
        <f t="shared" ref="E1135:K1143" ca="1" si="55">AVERAGE(OFFSET(E$588,($A1135-$A$1105)*12,0,12,1))</f>
        <v>89.360349999999997</v>
      </c>
      <c r="F1135" s="10">
        <f t="shared" ca="1" si="55"/>
        <v>89.360349999999997</v>
      </c>
      <c r="G1135" s="10">
        <f t="shared" ca="1" si="55"/>
        <v>89.631725000000003</v>
      </c>
      <c r="H1135" s="10">
        <f t="shared" ca="1" si="55"/>
        <v>89.497</v>
      </c>
      <c r="I1135" s="10">
        <f t="shared" ca="1" si="55"/>
        <v>89.497</v>
      </c>
      <c r="J1135" s="10">
        <f t="shared" ca="1" si="55"/>
        <v>89.497</v>
      </c>
      <c r="K1135" s="10">
        <f t="shared" ca="1" si="55"/>
        <v>89.497</v>
      </c>
    </row>
    <row r="1136" spans="1:11" ht="15" x14ac:dyDescent="0.2">
      <c r="A1136" s="11">
        <f t="shared" si="51"/>
        <v>2093</v>
      </c>
      <c r="B1136" s="10">
        <f t="shared" ca="1" si="53"/>
        <v>91.307291666666671</v>
      </c>
      <c r="C1136" s="10">
        <f t="shared" ca="1" si="53"/>
        <v>90.875066666666669</v>
      </c>
      <c r="D1136" s="10"/>
      <c r="E1136" s="10">
        <f t="shared" ca="1" si="55"/>
        <v>90.738383333333331</v>
      </c>
      <c r="F1136" s="10">
        <f t="shared" ca="1" si="55"/>
        <v>90.738383333333331</v>
      </c>
      <c r="G1136" s="10">
        <f t="shared" ca="1" si="55"/>
        <v>91.009783333333317</v>
      </c>
      <c r="H1136" s="10">
        <f t="shared" ca="1" si="55"/>
        <v>90.875066666666669</v>
      </c>
      <c r="I1136" s="10">
        <f t="shared" ca="1" si="55"/>
        <v>90.875066666666669</v>
      </c>
      <c r="J1136" s="10">
        <f t="shared" ca="1" si="55"/>
        <v>90.875066666666669</v>
      </c>
      <c r="K1136" s="10">
        <f t="shared" ca="1" si="55"/>
        <v>90.875066666666669</v>
      </c>
    </row>
    <row r="1137" spans="1:11" ht="15" x14ac:dyDescent="0.2">
      <c r="A1137" s="11">
        <f t="shared" si="51"/>
        <v>2094</v>
      </c>
      <c r="B1137" s="10">
        <f t="shared" ca="1" si="53"/>
        <v>92.707033333333342</v>
      </c>
      <c r="C1137" s="10">
        <f t="shared" ca="1" si="53"/>
        <v>92.274791666666658</v>
      </c>
      <c r="D1137" s="10"/>
      <c r="E1137" s="10">
        <f t="shared" ca="1" si="55"/>
        <v>92.138124999999988</v>
      </c>
      <c r="F1137" s="10">
        <f t="shared" ca="1" si="55"/>
        <v>92.138124999999988</v>
      </c>
      <c r="G1137" s="10">
        <f t="shared" ca="1" si="55"/>
        <v>92.40949999999998</v>
      </c>
      <c r="H1137" s="10">
        <f t="shared" ca="1" si="55"/>
        <v>92.274791666666658</v>
      </c>
      <c r="I1137" s="10">
        <f t="shared" ca="1" si="55"/>
        <v>92.274791666666658</v>
      </c>
      <c r="J1137" s="10">
        <f t="shared" ca="1" si="55"/>
        <v>92.274791666666658</v>
      </c>
      <c r="K1137" s="10">
        <f t="shared" ca="1" si="55"/>
        <v>92.274791666666658</v>
      </c>
    </row>
    <row r="1138" spans="1:11" ht="15" x14ac:dyDescent="0.2">
      <c r="A1138" s="11">
        <f t="shared" si="51"/>
        <v>2095</v>
      </c>
      <c r="B1138" s="10">
        <f t="shared" ca="1" si="53"/>
        <v>94.128775000000005</v>
      </c>
      <c r="C1138" s="10">
        <f t="shared" ca="1" si="53"/>
        <v>93.696516666666682</v>
      </c>
      <c r="D1138" s="10"/>
      <c r="E1138" s="10">
        <f t="shared" ca="1" si="55"/>
        <v>93.559849999999997</v>
      </c>
      <c r="F1138" s="10">
        <f t="shared" ca="1" si="55"/>
        <v>93.559849999999997</v>
      </c>
      <c r="G1138" s="10">
        <f t="shared" ca="1" si="55"/>
        <v>93.831233333333316</v>
      </c>
      <c r="H1138" s="10">
        <f t="shared" ca="1" si="55"/>
        <v>93.696516666666682</v>
      </c>
      <c r="I1138" s="10">
        <f t="shared" ca="1" si="55"/>
        <v>93.696516666666682</v>
      </c>
      <c r="J1138" s="10">
        <f t="shared" ca="1" si="55"/>
        <v>93.696516666666682</v>
      </c>
      <c r="K1138" s="10">
        <f t="shared" ca="1" si="55"/>
        <v>93.696516666666682</v>
      </c>
    </row>
    <row r="1139" spans="1:11" ht="15" x14ac:dyDescent="0.2">
      <c r="A1139" s="11">
        <f t="shared" si="51"/>
        <v>2096</v>
      </c>
      <c r="B1139" s="10">
        <f t="shared" ca="1" si="53"/>
        <v>95.572850000000003</v>
      </c>
      <c r="C1139" s="10">
        <f t="shared" ca="1" si="53"/>
        <v>95.140600000000006</v>
      </c>
      <c r="D1139" s="10"/>
      <c r="E1139" s="10">
        <f t="shared" ca="1" si="55"/>
        <v>95.003950000000017</v>
      </c>
      <c r="F1139" s="10">
        <f t="shared" ca="1" si="55"/>
        <v>95.003950000000017</v>
      </c>
      <c r="G1139" s="10">
        <f t="shared" ca="1" si="55"/>
        <v>95.275325000000009</v>
      </c>
      <c r="H1139" s="10">
        <f t="shared" ca="1" si="55"/>
        <v>95.140600000000006</v>
      </c>
      <c r="I1139" s="10">
        <f t="shared" ca="1" si="55"/>
        <v>95.140600000000006</v>
      </c>
      <c r="J1139" s="10">
        <f t="shared" ca="1" si="55"/>
        <v>95.140600000000006</v>
      </c>
      <c r="K1139" s="10">
        <f t="shared" ca="1" si="55"/>
        <v>95.140600000000006</v>
      </c>
    </row>
    <row r="1140" spans="1:11" ht="15" x14ac:dyDescent="0.2">
      <c r="A1140" s="11">
        <f t="shared" si="51"/>
        <v>2097</v>
      </c>
      <c r="B1140" s="10">
        <f t="shared" ca="1" si="53"/>
        <v>97.039649999999995</v>
      </c>
      <c r="C1140" s="10">
        <f t="shared" ca="1" si="53"/>
        <v>96.607399999999998</v>
      </c>
      <c r="D1140" s="10"/>
      <c r="E1140" s="10">
        <f t="shared" ca="1" si="55"/>
        <v>96.470733333333342</v>
      </c>
      <c r="F1140" s="10">
        <f t="shared" ca="1" si="55"/>
        <v>96.470733333333342</v>
      </c>
      <c r="G1140" s="10">
        <f t="shared" ca="1" si="55"/>
        <v>96.742100000000008</v>
      </c>
      <c r="H1140" s="10">
        <f t="shared" ca="1" si="55"/>
        <v>96.607399999999998</v>
      </c>
      <c r="I1140" s="10">
        <f t="shared" ca="1" si="55"/>
        <v>96.607399999999998</v>
      </c>
      <c r="J1140" s="10">
        <f t="shared" ca="1" si="55"/>
        <v>96.607399999999998</v>
      </c>
      <c r="K1140" s="10">
        <f t="shared" ca="1" si="55"/>
        <v>96.607399999999998</v>
      </c>
    </row>
    <row r="1141" spans="1:11" ht="15" x14ac:dyDescent="0.2">
      <c r="A1141" s="11">
        <f t="shared" si="51"/>
        <v>2098</v>
      </c>
      <c r="B1141" s="10">
        <f t="shared" ca="1" si="53"/>
        <v>98.529499999999999</v>
      </c>
      <c r="C1141" s="10">
        <f t="shared" ca="1" si="53"/>
        <v>98.097258333333343</v>
      </c>
      <c r="D1141" s="10"/>
      <c r="E1141" s="10">
        <f t="shared" ca="1" si="55"/>
        <v>97.960591666666673</v>
      </c>
      <c r="F1141" s="10">
        <f t="shared" ca="1" si="55"/>
        <v>97.960591666666673</v>
      </c>
      <c r="G1141" s="10">
        <f t="shared" ca="1" si="55"/>
        <v>98.231983333333332</v>
      </c>
      <c r="H1141" s="10">
        <f t="shared" ca="1" si="55"/>
        <v>98.097258333333343</v>
      </c>
      <c r="I1141" s="10">
        <f t="shared" ca="1" si="55"/>
        <v>98.097258333333343</v>
      </c>
      <c r="J1141" s="10">
        <f t="shared" ca="1" si="55"/>
        <v>98.097258333333343</v>
      </c>
      <c r="K1141" s="10">
        <f t="shared" ca="1" si="55"/>
        <v>98.097258333333343</v>
      </c>
    </row>
    <row r="1142" spans="1:11" ht="15" x14ac:dyDescent="0.2">
      <c r="A1142" s="11">
        <f t="shared" si="51"/>
        <v>2099</v>
      </c>
      <c r="B1142" s="10">
        <f t="shared" ca="1" si="53"/>
        <v>100.04278333333332</v>
      </c>
      <c r="C1142" s="10">
        <f t="shared" ca="1" si="53"/>
        <v>99.610558333333344</v>
      </c>
      <c r="D1142" s="10"/>
      <c r="E1142" s="10">
        <f t="shared" ca="1" si="55"/>
        <v>99.473875000000007</v>
      </c>
      <c r="F1142" s="10">
        <f t="shared" ca="1" si="55"/>
        <v>99.473875000000007</v>
      </c>
      <c r="G1142" s="10">
        <f t="shared" ca="1" si="55"/>
        <v>99.745258333333325</v>
      </c>
      <c r="H1142" s="10">
        <f t="shared" ca="1" si="55"/>
        <v>99.610558333333344</v>
      </c>
      <c r="I1142" s="10">
        <f t="shared" ca="1" si="55"/>
        <v>99.610558333333344</v>
      </c>
      <c r="J1142" s="10">
        <f t="shared" ca="1" si="55"/>
        <v>99.610558333333344</v>
      </c>
      <c r="K1142" s="10">
        <f t="shared" ca="1" si="55"/>
        <v>99.610558333333344</v>
      </c>
    </row>
    <row r="1143" spans="1:11" ht="15" x14ac:dyDescent="0.2">
      <c r="A1143" s="11">
        <f t="shared" si="51"/>
        <v>2100</v>
      </c>
      <c r="B1143" s="10">
        <f t="shared" ca="1" si="53"/>
        <v>101.57988333333333</v>
      </c>
      <c r="C1143" s="10">
        <f t="shared" ca="1" si="53"/>
        <v>101.14762500000001</v>
      </c>
      <c r="D1143" s="10"/>
      <c r="E1143" s="10">
        <f t="shared" ca="1" si="55"/>
        <v>101.01096666666666</v>
      </c>
      <c r="F1143" s="10">
        <f t="shared" ca="1" si="55"/>
        <v>101.01096666666666</v>
      </c>
      <c r="G1143" s="10">
        <f t="shared" ca="1" si="55"/>
        <v>101.28234166666665</v>
      </c>
      <c r="H1143" s="10">
        <f t="shared" ca="1" si="55"/>
        <v>101.14762500000001</v>
      </c>
      <c r="I1143" s="10">
        <f t="shared" ca="1" si="55"/>
        <v>101.14762500000001</v>
      </c>
      <c r="J1143" s="10">
        <f t="shared" ca="1" si="55"/>
        <v>101.14762500000001</v>
      </c>
      <c r="K1143" s="10">
        <f t="shared" ca="1" si="55"/>
        <v>101.14762500000001</v>
      </c>
    </row>
    <row r="1144" spans="1:11" x14ac:dyDescent="0.2">
      <c r="A1144" s="8"/>
    </row>
    <row r="1145" spans="1:11" x14ac:dyDescent="0.2">
      <c r="A1145" s="8"/>
    </row>
    <row r="1146" spans="1:11" x14ac:dyDescent="0.2">
      <c r="A1146" s="8"/>
    </row>
    <row r="1147" spans="1:11" x14ac:dyDescent="0.2">
      <c r="A1147" s="8"/>
    </row>
    <row r="1148" spans="1:11" x14ac:dyDescent="0.2">
      <c r="A1148" s="8"/>
    </row>
    <row r="1149" spans="1:11" x14ac:dyDescent="0.2">
      <c r="A1149" s="8"/>
    </row>
    <row r="1150" spans="1:11" x14ac:dyDescent="0.2">
      <c r="A1150" s="8"/>
    </row>
    <row r="1151" spans="1:11" x14ac:dyDescent="0.2">
      <c r="A1151" s="8"/>
    </row>
    <row r="1152" spans="1:1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17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63"/>
  <sheetViews>
    <sheetView zoomScale="70" zoomScaleNormal="70" workbookViewId="0">
      <pane xSplit="1" ySplit="11" topLeftCell="B12" activePane="bottomRight" state="frozen"/>
      <selection activeCell="H10" sqref="H10"/>
      <selection pane="topRight" activeCell="H10" sqref="H10"/>
      <selection pane="bottomLeft" activeCell="H10" sqref="H10"/>
      <selection pane="bottomRight" activeCell="H10" sqref="H10"/>
    </sheetView>
  </sheetViews>
  <sheetFormatPr defaultColWidth="7.109375" defaultRowHeight="12.75" x14ac:dyDescent="0.2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98" t="s">
        <v>93</v>
      </c>
    </row>
    <row r="2" spans="1:10" ht="15.75" x14ac:dyDescent="0.25">
      <c r="A2" s="98" t="s">
        <v>94</v>
      </c>
    </row>
    <row r="3" spans="1:10" ht="15.75" x14ac:dyDescent="0.25">
      <c r="A3" s="98" t="s">
        <v>95</v>
      </c>
    </row>
    <row r="4" spans="1:10" ht="15.75" x14ac:dyDescent="0.25">
      <c r="A4" s="98" t="s">
        <v>96</v>
      </c>
    </row>
    <row r="5" spans="1:10" ht="15.75" x14ac:dyDescent="0.25">
      <c r="A5" s="98" t="s">
        <v>103</v>
      </c>
    </row>
    <row r="6" spans="1:10" ht="15.75" x14ac:dyDescent="0.25">
      <c r="A6" s="98" t="s">
        <v>99</v>
      </c>
    </row>
    <row r="8" spans="1:10" ht="15.75" x14ac:dyDescent="0.25">
      <c r="A8" s="30" t="s">
        <v>28</v>
      </c>
      <c r="B8" s="31"/>
      <c r="C8" s="24"/>
    </row>
    <row r="9" spans="1:10" ht="15.75" x14ac:dyDescent="0.25">
      <c r="A9" s="30"/>
      <c r="B9" s="24"/>
      <c r="C9" s="24"/>
      <c r="D9" s="23" t="s">
        <v>27</v>
      </c>
      <c r="E9" s="22">
        <f>1-0.263</f>
        <v>0.73699999999999999</v>
      </c>
      <c r="F9" s="23" t="s">
        <v>26</v>
      </c>
      <c r="G9" s="22">
        <f>1+0.263</f>
        <v>1.2629999999999999</v>
      </c>
    </row>
    <row r="10" spans="1:10" s="18" customFormat="1" ht="34.9" customHeight="1" x14ac:dyDescent="0.25">
      <c r="B10" s="21" t="s">
        <v>38</v>
      </c>
      <c r="C10" s="19" t="s">
        <v>37</v>
      </c>
      <c r="D10" s="21" t="s">
        <v>36</v>
      </c>
      <c r="E10" s="21" t="s">
        <v>35</v>
      </c>
      <c r="F10" s="21" t="s">
        <v>34</v>
      </c>
      <c r="G10" s="19" t="s">
        <v>33</v>
      </c>
      <c r="H10" s="19" t="s">
        <v>32</v>
      </c>
      <c r="I10" s="21" t="s">
        <v>31</v>
      </c>
      <c r="J10" s="19" t="s">
        <v>30</v>
      </c>
    </row>
    <row r="11" spans="1:10" s="18" customFormat="1" ht="21" customHeight="1" x14ac:dyDescent="0.25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29</v>
      </c>
    </row>
    <row r="12" spans="1:10" ht="15" x14ac:dyDescent="0.2">
      <c r="A12" s="16">
        <v>41640</v>
      </c>
      <c r="B12" s="10">
        <v>16.436064253071699</v>
      </c>
      <c r="C12" s="10">
        <v>15.500883217915501</v>
      </c>
      <c r="D12" s="10">
        <v>15.493070717915501</v>
      </c>
      <c r="E12" s="28">
        <v>16.288836342915499</v>
      </c>
      <c r="F12" s="27">
        <v>16.279814253071699</v>
      </c>
      <c r="G12" s="10">
        <v>15.4993207179155</v>
      </c>
      <c r="H12" s="10">
        <v>15.4993207179155</v>
      </c>
      <c r="I12" s="10">
        <v>15.500883217915501</v>
      </c>
      <c r="J12" s="29">
        <f>98.77</f>
        <v>98.77</v>
      </c>
    </row>
    <row r="13" spans="1:10" ht="15" x14ac:dyDescent="0.2">
      <c r="A13" s="16">
        <v>41671</v>
      </c>
      <c r="B13" s="10">
        <v>17.464204878071701</v>
      </c>
      <c r="C13" s="10">
        <v>16.574555092915499</v>
      </c>
      <c r="D13" s="10">
        <v>16.566742592915499</v>
      </c>
      <c r="E13" s="28">
        <v>17.316976967915501</v>
      </c>
      <c r="F13" s="27">
        <v>17.307954878071701</v>
      </c>
      <c r="G13" s="10">
        <v>16.572992592915501</v>
      </c>
      <c r="H13" s="10">
        <v>16.572992592915501</v>
      </c>
      <c r="I13" s="10">
        <v>16.574555092915499</v>
      </c>
      <c r="J13" s="29">
        <f>94.99</f>
        <v>94.99</v>
      </c>
    </row>
    <row r="14" spans="1:10" ht="15" x14ac:dyDescent="0.2">
      <c r="A14" s="16">
        <v>41699</v>
      </c>
      <c r="B14" s="10">
        <v>18.092829878071701</v>
      </c>
      <c r="C14" s="10">
        <v>17.242476967915501</v>
      </c>
      <c r="D14" s="10">
        <v>17.234664467915501</v>
      </c>
      <c r="E14" s="28">
        <v>17.945601967915501</v>
      </c>
      <c r="F14" s="27">
        <v>17.936579878071701</v>
      </c>
      <c r="G14" s="10">
        <v>17.240914467915498</v>
      </c>
      <c r="H14" s="10">
        <v>17.240914467915498</v>
      </c>
      <c r="I14" s="10">
        <v>17.242476967915501</v>
      </c>
      <c r="J14" s="29">
        <f>102.92</f>
        <v>102.92</v>
      </c>
    </row>
    <row r="15" spans="1:10" ht="15" x14ac:dyDescent="0.2">
      <c r="A15" s="16">
        <v>41730</v>
      </c>
      <c r="B15" s="10">
        <f>17.0469 * CHOOSE(CONTROL!$C$15, $E$9, 100%, $G$9) + CHOOSE(CONTROL!$C$38, 0.0256, 0)</f>
        <v>17.072500000000002</v>
      </c>
      <c r="C15" s="10">
        <f>16.1875 * CHOOSE(CONTROL!$C$15, $E$9, 100%, $G$9) + CHOOSE(CONTROL!$C$38, 0.0347, 0)</f>
        <v>16.222200000000001</v>
      </c>
      <c r="D15" s="10">
        <f>16.1797 * CHOOSE(CONTROL!$C$15, $E$9, 100%, $G$9) + CHOOSE(CONTROL!$C$38, 0.0347, 0)</f>
        <v>16.214400000000001</v>
      </c>
      <c r="E15" s="28">
        <f>16.8906 * CHOOSE(CONTROL!$C$15, $E$9, 100%, $G$9) + CHOOSE(CONTROL!$C$38, 0.0347, 0)</f>
        <v>16.9253</v>
      </c>
      <c r="F15" s="27">
        <f>16.8906 * CHOOSE(CONTROL!$C$15, $E$9, 100%, $G$9) + CHOOSE(CONTROL!$C$38, 0.0256, 0)</f>
        <v>16.9162</v>
      </c>
      <c r="G15" s="10">
        <f>16.1859 * CHOOSE(CONTROL!$C$15, $E$9, 100%, $G$9) + CHOOSE(CONTROL!$C$38, 0.0347, 0)</f>
        <v>16.220600000000001</v>
      </c>
      <c r="H15" s="10">
        <f>16.1859 * CHOOSE(CONTROL!$C$15, $E$9, 100%, $G$9) + CHOOSE(CONTROL!$C$38, 0.0347, 0)</f>
        <v>16.220600000000001</v>
      </c>
      <c r="I15" s="10">
        <f>16.1875 * CHOOSE(CONTROL!$C$15, $E$9, 100%, $G$9) + CHOOSE(CONTROL!$C$38, 0.0347, 0)</f>
        <v>16.222200000000001</v>
      </c>
      <c r="J15" s="29">
        <f>104.92</f>
        <v>104.92</v>
      </c>
    </row>
    <row r="16" spans="1:10" ht="15" x14ac:dyDescent="0.2">
      <c r="A16" s="16">
        <v>41760</v>
      </c>
      <c r="B16" s="10">
        <f>16.7891 * CHOOSE(CONTROL!$C$15, $E$9, 100%, $G$9) + CHOOSE(CONTROL!$C$38, 0.0278, 0)</f>
        <v>16.8169</v>
      </c>
      <c r="C16" s="10">
        <f>15.9688 * CHOOSE(CONTROL!$C$15, $E$9, 100%, $G$9) + CHOOSE(CONTROL!$C$38, 0.0369, 0)</f>
        <v>16.005700000000001</v>
      </c>
      <c r="D16" s="10">
        <f>15.9609 * CHOOSE(CONTROL!$C$15, $E$9, 100%, $G$9) + CHOOSE(CONTROL!$C$38, 0.0369, 0)</f>
        <v>15.9978</v>
      </c>
      <c r="E16" s="28">
        <f>16.6328 * CHOOSE(CONTROL!$C$15, $E$9, 100%, $G$9) + CHOOSE(CONTROL!$C$38, 0.0369, 0)</f>
        <v>16.669699999999999</v>
      </c>
      <c r="F16" s="27">
        <f>16.6328 * CHOOSE(CONTROL!$C$15, $E$9, 100%, $G$9) + CHOOSE(CONTROL!$C$38, 0.0278, 0)</f>
        <v>16.660599999999999</v>
      </c>
      <c r="G16" s="10">
        <f>15.9672 * CHOOSE(CONTROL!$C$15, $E$9, 100%, $G$9) + CHOOSE(CONTROL!$C$38, 0.0369, 0)</f>
        <v>16.004100000000001</v>
      </c>
      <c r="H16" s="10">
        <f>15.9672 * CHOOSE(CONTROL!$C$15, $E$9, 100%, $G$9) + CHOOSE(CONTROL!$C$38, 0.0369, 0)</f>
        <v>16.004100000000001</v>
      </c>
      <c r="I16" s="10">
        <f>15.9688 * CHOOSE(CONTROL!$C$15, $E$9, 100%, $G$9) + CHOOSE(CONTROL!$C$38, 0.0369, 0)</f>
        <v>16.005700000000001</v>
      </c>
      <c r="J16" s="29">
        <f>104.22</f>
        <v>104.22</v>
      </c>
    </row>
    <row r="17" spans="1:10" ht="15" x14ac:dyDescent="0.2">
      <c r="A17" s="16">
        <v>41791</v>
      </c>
      <c r="B17" s="10">
        <f>16.6094 * CHOOSE(CONTROL!$C$15, $E$9, 100%, $G$9) + CHOOSE(CONTROL!$C$38, 0.0278, 0)</f>
        <v>16.6372</v>
      </c>
      <c r="C17" s="10">
        <f>15.8281 * CHOOSE(CONTROL!$C$15, $E$9, 100%, $G$9) + CHOOSE(CONTROL!$C$38, 0.0369, 0)</f>
        <v>15.864999999999998</v>
      </c>
      <c r="D17" s="10">
        <f>15.8203 * CHOOSE(CONTROL!$C$15, $E$9, 100%, $G$9) + CHOOSE(CONTROL!$C$38, 0.0369, 0)</f>
        <v>15.857199999999999</v>
      </c>
      <c r="E17" s="28">
        <f>16.4531 * CHOOSE(CONTROL!$C$15, $E$9, 100%, $G$9) + CHOOSE(CONTROL!$C$38, 0.0369, 0)</f>
        <v>16.489999999999998</v>
      </c>
      <c r="F17" s="27">
        <f>16.4531 * CHOOSE(CONTROL!$C$15, $E$9, 100%, $G$9) + CHOOSE(CONTROL!$C$38, 0.0278, 0)</f>
        <v>16.480899999999998</v>
      </c>
      <c r="G17" s="10">
        <f>15.8266 * CHOOSE(CONTROL!$C$15, $E$9, 100%, $G$9) + CHOOSE(CONTROL!$C$38, 0.0369, 0)</f>
        <v>15.863499999999998</v>
      </c>
      <c r="H17" s="10">
        <f>15.8266 * CHOOSE(CONTROL!$C$15, $E$9, 100%, $G$9) + CHOOSE(CONTROL!$C$38, 0.0369, 0)</f>
        <v>15.863499999999998</v>
      </c>
      <c r="I17" s="10">
        <f>15.8281 * CHOOSE(CONTROL!$C$15, $E$9, 100%, $G$9) + CHOOSE(CONTROL!$C$38, 0.0369, 0)</f>
        <v>15.864999999999998</v>
      </c>
      <c r="J17" s="29">
        <f>103.16</f>
        <v>103.16</v>
      </c>
    </row>
    <row r="18" spans="1:10" ht="15" x14ac:dyDescent="0.2">
      <c r="A18" s="16">
        <v>41821</v>
      </c>
      <c r="B18" s="10">
        <f>16.5312 * CHOOSE(CONTROL!$C$15, $E$9, 100%, $G$9) + CHOOSE(CONTROL!$C$38, 0.0278, 0)</f>
        <v>16.558999999999997</v>
      </c>
      <c r="C18" s="10">
        <f>15.75 * CHOOSE(CONTROL!$C$15, $E$9, 100%, $G$9) + CHOOSE(CONTROL!$C$38, 0.0369, 0)</f>
        <v>15.786899999999999</v>
      </c>
      <c r="D18" s="10">
        <f>15.7422 * CHOOSE(CONTROL!$C$15, $E$9, 100%, $G$9) + CHOOSE(CONTROL!$C$38, 0.0369, 0)</f>
        <v>15.7791</v>
      </c>
      <c r="E18" s="28">
        <f>16.375 * CHOOSE(CONTROL!$C$15, $E$9, 100%, $G$9) + CHOOSE(CONTROL!$C$38, 0.0369, 0)</f>
        <v>16.411899999999999</v>
      </c>
      <c r="F18" s="27">
        <f>16.375 * CHOOSE(CONTROL!$C$15, $E$9, 100%, $G$9) + CHOOSE(CONTROL!$C$38, 0.0278, 0)</f>
        <v>16.402799999999999</v>
      </c>
      <c r="G18" s="10">
        <f>15.7484 * CHOOSE(CONTROL!$C$15, $E$9, 100%, $G$9) + CHOOSE(CONTROL!$C$38, 0.0369, 0)</f>
        <v>15.785299999999999</v>
      </c>
      <c r="H18" s="10">
        <f>15.7484 * CHOOSE(CONTROL!$C$15, $E$9, 100%, $G$9) + CHOOSE(CONTROL!$C$38, 0.0369, 0)</f>
        <v>15.785299999999999</v>
      </c>
      <c r="I18" s="10">
        <f>15.75 * CHOOSE(CONTROL!$C$15, $E$9, 100%, $G$9) + CHOOSE(CONTROL!$C$38, 0.0369, 0)</f>
        <v>15.786899999999999</v>
      </c>
      <c r="J18" s="29">
        <f>102.03</f>
        <v>102.03</v>
      </c>
    </row>
    <row r="19" spans="1:10" ht="15" x14ac:dyDescent="0.2">
      <c r="A19" s="16">
        <v>41852</v>
      </c>
      <c r="B19" s="10">
        <f>16.4 * CHOOSE(CONTROL!$C$15, $E$9, 100%, $G$9) + CHOOSE(CONTROL!$C$38, 0.0278, 0)</f>
        <v>16.427799999999998</v>
      </c>
      <c r="C19" s="10">
        <f>15.5937 * CHOOSE(CONTROL!$C$15, $E$9, 100%, $G$9) + CHOOSE(CONTROL!$C$38, 0.0369, 0)</f>
        <v>15.630599999999999</v>
      </c>
      <c r="D19" s="10">
        <f>15.5859 * CHOOSE(CONTROL!$C$15, $E$9, 100%, $G$9) + CHOOSE(CONTROL!$C$38, 0.0369, 0)</f>
        <v>15.6228</v>
      </c>
      <c r="E19" s="28">
        <f>16.2437 * CHOOSE(CONTROL!$C$15, $E$9, 100%, $G$9) + CHOOSE(CONTROL!$C$38, 0.0369, 0)</f>
        <v>16.2806</v>
      </c>
      <c r="F19" s="27">
        <f>16.2437 * CHOOSE(CONTROL!$C$15, $E$9, 100%, $G$9) + CHOOSE(CONTROL!$C$38, 0.0278, 0)</f>
        <v>16.2715</v>
      </c>
      <c r="G19" s="10">
        <f>15.5922 * CHOOSE(CONTROL!$C$15, $E$9, 100%, $G$9) + CHOOSE(CONTROL!$C$38, 0.0369, 0)</f>
        <v>15.629099999999999</v>
      </c>
      <c r="H19" s="10">
        <f>15.5922 * CHOOSE(CONTROL!$C$15, $E$9, 100%, $G$9) + CHOOSE(CONTROL!$C$38, 0.0369, 0)</f>
        <v>15.629099999999999</v>
      </c>
      <c r="I19" s="10">
        <f>15.5937 * CHOOSE(CONTROL!$C$15, $E$9, 100%, $G$9) + CHOOSE(CONTROL!$C$38, 0.0369, 0)</f>
        <v>15.630599999999999</v>
      </c>
      <c r="J19" s="29">
        <f>100.85</f>
        <v>100.85</v>
      </c>
    </row>
    <row r="20" spans="1:10" ht="15" x14ac:dyDescent="0.2">
      <c r="A20" s="16">
        <v>41883</v>
      </c>
      <c r="B20" s="10">
        <f>16.4 * CHOOSE(CONTROL!$C$15, $E$9, 100%, $G$9) + CHOOSE(CONTROL!$C$38, 0.0278, 0)</f>
        <v>16.427799999999998</v>
      </c>
      <c r="C20" s="10">
        <f>15.5937 * CHOOSE(CONTROL!$C$15, $E$9, 100%, $G$9) + CHOOSE(CONTROL!$C$38, 0.0369, 0)</f>
        <v>15.630599999999999</v>
      </c>
      <c r="D20" s="10">
        <f>15.5859 * CHOOSE(CONTROL!$C$15, $E$9, 100%, $G$9) + CHOOSE(CONTROL!$C$38, 0.0369, 0)</f>
        <v>15.6228</v>
      </c>
      <c r="E20" s="28">
        <f>16.2437 * CHOOSE(CONTROL!$C$15, $E$9, 100%, $G$9) + CHOOSE(CONTROL!$C$38, 0.0369, 0)</f>
        <v>16.2806</v>
      </c>
      <c r="F20" s="27">
        <f>16.2437 * CHOOSE(CONTROL!$C$15, $E$9, 100%, $G$9) + CHOOSE(CONTROL!$C$38, 0.0278, 0)</f>
        <v>16.2715</v>
      </c>
      <c r="G20" s="10">
        <f>15.5922 * CHOOSE(CONTROL!$C$15, $E$9, 100%, $G$9) + CHOOSE(CONTROL!$C$38, 0.0369, 0)</f>
        <v>15.629099999999999</v>
      </c>
      <c r="H20" s="10">
        <f>15.5922 * CHOOSE(CONTROL!$C$15, $E$9, 100%, $G$9) + CHOOSE(CONTROL!$C$38, 0.0369, 0)</f>
        <v>15.629099999999999</v>
      </c>
      <c r="I20" s="10">
        <f>15.5937 * CHOOSE(CONTROL!$C$15, $E$9, 100%, $G$9) + CHOOSE(CONTROL!$C$38, 0.0369, 0)</f>
        <v>15.630599999999999</v>
      </c>
      <c r="J20" s="29">
        <f>99.69</f>
        <v>99.69</v>
      </c>
    </row>
    <row r="21" spans="1:10" ht="15" x14ac:dyDescent="0.2">
      <c r="A21" s="16">
        <v>41913</v>
      </c>
      <c r="B21" s="10">
        <f>16.2188 * CHOOSE(CONTROL!$C$15, $E$9, 100%, $G$9) + CHOOSE(CONTROL!$C$38, 0.0256, 0)</f>
        <v>16.244400000000002</v>
      </c>
      <c r="C21" s="10">
        <f>15.4375 * CHOOSE(CONTROL!$C$15, $E$9, 100%, $G$9) + CHOOSE(CONTROL!$C$38, 0.0347, 0)</f>
        <v>15.472200000000001</v>
      </c>
      <c r="D21" s="10">
        <f>15.4297 * CHOOSE(CONTROL!$C$15, $E$9, 100%, $G$9) + CHOOSE(CONTROL!$C$38, 0.0347, 0)</f>
        <v>15.464400000000001</v>
      </c>
      <c r="E21" s="28">
        <f>16.0625 * CHOOSE(CONTROL!$C$15, $E$9, 100%, $G$9) + CHOOSE(CONTROL!$C$38, 0.0347, 0)</f>
        <v>16.097200000000001</v>
      </c>
      <c r="F21" s="27">
        <f>16.0625 * CHOOSE(CONTROL!$C$15, $E$9, 100%, $G$9) + CHOOSE(CONTROL!$C$38, 0.0256, 0)</f>
        <v>16.088100000000001</v>
      </c>
      <c r="G21" s="10">
        <f>15.4359 * CHOOSE(CONTROL!$C$15, $E$9, 100%, $G$9) + CHOOSE(CONTROL!$C$38, 0.0347, 0)</f>
        <v>15.470600000000001</v>
      </c>
      <c r="H21" s="10">
        <f>15.4359 * CHOOSE(CONTROL!$C$15, $E$9, 100%, $G$9) + CHOOSE(CONTROL!$C$38, 0.0347, 0)</f>
        <v>15.470600000000001</v>
      </c>
      <c r="I21" s="10">
        <f>15.4375 * CHOOSE(CONTROL!$C$15, $E$9, 100%, $G$9) + CHOOSE(CONTROL!$C$38, 0.0347, 0)</f>
        <v>15.472200000000001</v>
      </c>
      <c r="J21" s="29">
        <f>98.57</f>
        <v>98.57</v>
      </c>
    </row>
    <row r="22" spans="1:10" ht="15" x14ac:dyDescent="0.2">
      <c r="A22" s="16">
        <v>41944</v>
      </c>
      <c r="B22" s="10">
        <f>16.2188 * CHOOSE(CONTROL!$C$15, $E$9, 100%, $G$9) + CHOOSE(CONTROL!$C$38, 0.0256, 0)</f>
        <v>16.244400000000002</v>
      </c>
      <c r="C22" s="10">
        <f>15.4375 * CHOOSE(CONTROL!$C$15, $E$9, 100%, $G$9) + CHOOSE(CONTROL!$C$38, 0.0347, 0)</f>
        <v>15.472200000000001</v>
      </c>
      <c r="D22" s="10">
        <f>15.4297 * CHOOSE(CONTROL!$C$15, $E$9, 100%, $G$9) + CHOOSE(CONTROL!$C$38, 0.0347, 0)</f>
        <v>15.464400000000001</v>
      </c>
      <c r="E22" s="28">
        <f>16.0625 * CHOOSE(CONTROL!$C$15, $E$9, 100%, $G$9) + CHOOSE(CONTROL!$C$38, 0.0347, 0)</f>
        <v>16.097200000000001</v>
      </c>
      <c r="F22" s="27">
        <f>16.0625 * CHOOSE(CONTROL!$C$15, $E$9, 100%, $G$9) + CHOOSE(CONTROL!$C$38, 0.0256, 0)</f>
        <v>16.088100000000001</v>
      </c>
      <c r="G22" s="10">
        <f>15.4359 * CHOOSE(CONTROL!$C$15, $E$9, 100%, $G$9) + CHOOSE(CONTROL!$C$38, 0.0347, 0)</f>
        <v>15.470600000000001</v>
      </c>
      <c r="H22" s="10">
        <f>15.4359 * CHOOSE(CONTROL!$C$15, $E$9, 100%, $G$9) + CHOOSE(CONTROL!$C$38, 0.0347, 0)</f>
        <v>15.470600000000001</v>
      </c>
      <c r="I22" s="10">
        <f>15.4375 * CHOOSE(CONTROL!$C$15, $E$9, 100%, $G$9) + CHOOSE(CONTROL!$C$38, 0.0347, 0)</f>
        <v>15.472200000000001</v>
      </c>
      <c r="J22" s="29">
        <f>97.54</f>
        <v>97.54</v>
      </c>
    </row>
    <row r="23" spans="1:10" ht="15" x14ac:dyDescent="0.2">
      <c r="A23" s="16">
        <v>41974</v>
      </c>
      <c r="B23" s="10">
        <f>16.2188 * CHOOSE(CONTROL!$C$15, $E$9, 100%, $G$9) + CHOOSE(CONTROL!$C$38, 0.0256, 0)</f>
        <v>16.244400000000002</v>
      </c>
      <c r="C23" s="10">
        <f>15.4375 * CHOOSE(CONTROL!$C$15, $E$9, 100%, $G$9) + CHOOSE(CONTROL!$C$38, 0.0347, 0)</f>
        <v>15.472200000000001</v>
      </c>
      <c r="D23" s="10">
        <f>15.4297 * CHOOSE(CONTROL!$C$15, $E$9, 100%, $G$9) + CHOOSE(CONTROL!$C$38, 0.0347, 0)</f>
        <v>15.464400000000001</v>
      </c>
      <c r="E23" s="28">
        <f>16.0625 * CHOOSE(CONTROL!$C$15, $E$9, 100%, $G$9) + CHOOSE(CONTROL!$C$38, 0.0347, 0)</f>
        <v>16.097200000000001</v>
      </c>
      <c r="F23" s="27">
        <f>16.0625 * CHOOSE(CONTROL!$C$15, $E$9, 100%, $G$9) + CHOOSE(CONTROL!$C$38, 0.0256, 0)</f>
        <v>16.088100000000001</v>
      </c>
      <c r="G23" s="10">
        <f>15.4359 * CHOOSE(CONTROL!$C$15, $E$9, 100%, $G$9) + CHOOSE(CONTROL!$C$38, 0.0347, 0)</f>
        <v>15.470600000000001</v>
      </c>
      <c r="H23" s="10">
        <f>15.4359 * CHOOSE(CONTROL!$C$15, $E$9, 100%, $G$9) + CHOOSE(CONTROL!$C$38, 0.0347, 0)</f>
        <v>15.470600000000001</v>
      </c>
      <c r="I23" s="10">
        <f>15.4375 * CHOOSE(CONTROL!$C$15, $E$9, 100%, $G$9) + CHOOSE(CONTROL!$C$38, 0.0347, 0)</f>
        <v>15.472200000000001</v>
      </c>
      <c r="J23" s="29">
        <f>96.56</f>
        <v>96.56</v>
      </c>
    </row>
    <row r="24" spans="1:10" ht="15" x14ac:dyDescent="0.2">
      <c r="A24" s="16">
        <v>42005</v>
      </c>
      <c r="B24" s="10">
        <f>15.9453 * CHOOSE(CONTROL!$C$15, $E$9, 100%, $G$9) + CHOOSE(CONTROL!$C$38, 0.0256, 0)</f>
        <v>15.9709</v>
      </c>
      <c r="C24" s="10">
        <f>15.3516 * CHOOSE(CONTROL!$C$15, $E$9, 100%, $G$9) + CHOOSE(CONTROL!$C$38, 0.0347, 0)</f>
        <v>15.3863</v>
      </c>
      <c r="D24" s="10">
        <f>15.3437 * CHOOSE(CONTROL!$C$15, $E$9, 100%, $G$9) + CHOOSE(CONTROL!$C$38, 0.0347, 0)</f>
        <v>15.378400000000001</v>
      </c>
      <c r="E24" s="28">
        <f>15.7891 * CHOOSE(CONTROL!$C$15, $E$9, 100%, $G$9) + CHOOSE(CONTROL!$C$38, 0.0347, 0)</f>
        <v>15.8238</v>
      </c>
      <c r="F24" s="27">
        <f>15.7891 * CHOOSE(CONTROL!$C$15, $E$9, 100%, $G$9) + CHOOSE(CONTROL!$C$38, 0.0256, 0)</f>
        <v>15.8147</v>
      </c>
      <c r="G24" s="10">
        <f>15.35 * CHOOSE(CONTROL!$C$15, $E$9, 100%, $G$9) + CHOOSE(CONTROL!$C$38, 0.0347, 0)</f>
        <v>15.3847</v>
      </c>
      <c r="H24" s="10">
        <f>15.35 * CHOOSE(CONTROL!$C$15, $E$9, 100%, $G$9) + CHOOSE(CONTROL!$C$38, 0.0347, 0)</f>
        <v>15.3847</v>
      </c>
      <c r="I24" s="10">
        <f>15.3516 * CHOOSE(CONTROL!$C$15, $E$9, 100%, $G$9) + CHOOSE(CONTROL!$C$38, 0.0347, 0)</f>
        <v>15.3863</v>
      </c>
      <c r="J24" s="29">
        <f>95.47</f>
        <v>95.47</v>
      </c>
    </row>
    <row r="25" spans="1:10" ht="15" x14ac:dyDescent="0.2">
      <c r="A25" s="16">
        <v>42036</v>
      </c>
      <c r="B25" s="10">
        <f>15.9453 * CHOOSE(CONTROL!$C$15, $E$9, 100%, $G$9) + CHOOSE(CONTROL!$C$38, 0.0256, 0)</f>
        <v>15.9709</v>
      </c>
      <c r="C25" s="10">
        <f>15.3516 * CHOOSE(CONTROL!$C$15, $E$9, 100%, $G$9) + CHOOSE(CONTROL!$C$38, 0.0347, 0)</f>
        <v>15.3863</v>
      </c>
      <c r="D25" s="10">
        <f>15.3437 * CHOOSE(CONTROL!$C$15, $E$9, 100%, $G$9) + CHOOSE(CONTROL!$C$38, 0.0347, 0)</f>
        <v>15.378400000000001</v>
      </c>
      <c r="E25" s="28">
        <f>15.7891 * CHOOSE(CONTROL!$C$15, $E$9, 100%, $G$9) + CHOOSE(CONTROL!$C$38, 0.0347, 0)</f>
        <v>15.8238</v>
      </c>
      <c r="F25" s="27">
        <f>15.7891 * CHOOSE(CONTROL!$C$15, $E$9, 100%, $G$9) + CHOOSE(CONTROL!$C$38, 0.0256, 0)</f>
        <v>15.8147</v>
      </c>
      <c r="G25" s="10">
        <f>15.35 * CHOOSE(CONTROL!$C$15, $E$9, 100%, $G$9) + CHOOSE(CONTROL!$C$38, 0.0347, 0)</f>
        <v>15.3847</v>
      </c>
      <c r="H25" s="10">
        <f>15.35 * CHOOSE(CONTROL!$C$15, $E$9, 100%, $G$9) + CHOOSE(CONTROL!$C$38, 0.0347, 0)</f>
        <v>15.3847</v>
      </c>
      <c r="I25" s="10">
        <f>15.3516 * CHOOSE(CONTROL!$C$15, $E$9, 100%, $G$9) + CHOOSE(CONTROL!$C$38, 0.0347, 0)</f>
        <v>15.3863</v>
      </c>
      <c r="J25" s="29">
        <f>94.41</f>
        <v>94.41</v>
      </c>
    </row>
    <row r="26" spans="1:10" ht="15" x14ac:dyDescent="0.2">
      <c r="A26" s="16">
        <v>42064</v>
      </c>
      <c r="B26" s="10">
        <f>15.9453 * CHOOSE(CONTROL!$C$15, $E$9, 100%, $G$9) + CHOOSE(CONTROL!$C$38, 0.0256, 0)</f>
        <v>15.9709</v>
      </c>
      <c r="C26" s="10">
        <f>15.3516 * CHOOSE(CONTROL!$C$15, $E$9, 100%, $G$9) + CHOOSE(CONTROL!$C$38, 0.0347, 0)</f>
        <v>15.3863</v>
      </c>
      <c r="D26" s="10">
        <f>15.3437 * CHOOSE(CONTROL!$C$15, $E$9, 100%, $G$9) + CHOOSE(CONTROL!$C$38, 0.0347, 0)</f>
        <v>15.378400000000001</v>
      </c>
      <c r="E26" s="28">
        <f>15.7891 * CHOOSE(CONTROL!$C$15, $E$9, 100%, $G$9) + CHOOSE(CONTROL!$C$38, 0.0347, 0)</f>
        <v>15.8238</v>
      </c>
      <c r="F26" s="27">
        <f>15.7891 * CHOOSE(CONTROL!$C$15, $E$9, 100%, $G$9) + CHOOSE(CONTROL!$C$38, 0.0256, 0)</f>
        <v>15.8147</v>
      </c>
      <c r="G26" s="10">
        <f>15.35 * CHOOSE(CONTROL!$C$15, $E$9, 100%, $G$9) + CHOOSE(CONTROL!$C$38, 0.0347, 0)</f>
        <v>15.3847</v>
      </c>
      <c r="H26" s="10">
        <f>15.35 * CHOOSE(CONTROL!$C$15, $E$9, 100%, $G$9) + CHOOSE(CONTROL!$C$38, 0.0347, 0)</f>
        <v>15.3847</v>
      </c>
      <c r="I26" s="10">
        <f>15.3516 * CHOOSE(CONTROL!$C$15, $E$9, 100%, $G$9) + CHOOSE(CONTROL!$C$38, 0.0347, 0)</f>
        <v>15.3863</v>
      </c>
      <c r="J26" s="29">
        <f>93.42</f>
        <v>93.42</v>
      </c>
    </row>
    <row r="27" spans="1:10" ht="15" x14ac:dyDescent="0.2">
      <c r="A27" s="16">
        <v>42095</v>
      </c>
      <c r="B27" s="10">
        <f>15.9453 * CHOOSE(CONTROL!$C$15, $E$9, 100%, $G$9) + CHOOSE(CONTROL!$C$38, 0.0256, 0)</f>
        <v>15.9709</v>
      </c>
      <c r="C27" s="10">
        <f>14.9203 * CHOOSE(CONTROL!$C$15, $E$9, 100%, $G$9) + CHOOSE(CONTROL!$C$38, 0.0347, 0)</f>
        <v>14.955</v>
      </c>
      <c r="D27" s="10">
        <f>14.9125 * CHOOSE(CONTROL!$C$15, $E$9, 100%, $G$9) + CHOOSE(CONTROL!$C$38, 0.0347, 0)</f>
        <v>14.9472</v>
      </c>
      <c r="E27" s="28">
        <f>15.7891 * CHOOSE(CONTROL!$C$15, $E$9, 100%, $G$9) + CHOOSE(CONTROL!$C$38, 0.0347, 0)</f>
        <v>15.8238</v>
      </c>
      <c r="F27" s="27">
        <f>15.7891 * CHOOSE(CONTROL!$C$15, $E$9, 100%, $G$9) + CHOOSE(CONTROL!$C$38, 0.0256, 0)</f>
        <v>15.8147</v>
      </c>
      <c r="G27" s="10">
        <f>14.9187 * CHOOSE(CONTROL!$C$15, $E$9, 100%, $G$9) + CHOOSE(CONTROL!$C$38, 0.0347, 0)</f>
        <v>14.9534</v>
      </c>
      <c r="H27" s="10">
        <f>14.9187 * CHOOSE(CONTROL!$C$15, $E$9, 100%, $G$9) + CHOOSE(CONTROL!$C$38, 0.0347, 0)</f>
        <v>14.9534</v>
      </c>
      <c r="I27" s="10">
        <f>14.9203 * CHOOSE(CONTROL!$C$15, $E$9, 100%, $G$9) + CHOOSE(CONTROL!$C$38, 0.0347, 0)</f>
        <v>14.955</v>
      </c>
      <c r="J27" s="29">
        <f>92.55</f>
        <v>92.55</v>
      </c>
    </row>
    <row r="28" spans="1:10" ht="15" x14ac:dyDescent="0.2">
      <c r="A28" s="16">
        <v>42125</v>
      </c>
      <c r="B28" s="10">
        <f>15.9453 * CHOOSE(CONTROL!$C$15, $E$9, 100%, $G$9) + CHOOSE(CONTROL!$C$38, 0.0256, 0)</f>
        <v>15.9709</v>
      </c>
      <c r="C28" s="10">
        <f>14.9203 * CHOOSE(CONTROL!$C$15, $E$9, 100%, $G$9) + CHOOSE(CONTROL!$C$38, 0.0347, 0)</f>
        <v>14.955</v>
      </c>
      <c r="D28" s="10">
        <f>14.9125 * CHOOSE(CONTROL!$C$15, $E$9, 100%, $G$9) + CHOOSE(CONTROL!$C$38, 0.0347, 0)</f>
        <v>14.9472</v>
      </c>
      <c r="E28" s="28">
        <f>15.7891 * CHOOSE(CONTROL!$C$15, $E$9, 100%, $G$9) + CHOOSE(CONTROL!$C$38, 0.0347, 0)</f>
        <v>15.8238</v>
      </c>
      <c r="F28" s="27">
        <f>15.7891 * CHOOSE(CONTROL!$C$15, $E$9, 100%, $G$9) + CHOOSE(CONTROL!$C$38, 0.0256, 0)</f>
        <v>15.8147</v>
      </c>
      <c r="G28" s="10">
        <f>14.9187 * CHOOSE(CONTROL!$C$15, $E$9, 100%, $G$9) + CHOOSE(CONTROL!$C$38, 0.0347, 0)</f>
        <v>14.9534</v>
      </c>
      <c r="H28" s="10">
        <f>14.9187 * CHOOSE(CONTROL!$C$15, $E$9, 100%, $G$9) + CHOOSE(CONTROL!$C$38, 0.0347, 0)</f>
        <v>14.9534</v>
      </c>
      <c r="I28" s="10">
        <f>14.9203 * CHOOSE(CONTROL!$C$15, $E$9, 100%, $G$9) + CHOOSE(CONTROL!$C$38, 0.0347, 0)</f>
        <v>14.955</v>
      </c>
      <c r="J28" s="29">
        <f>91.76</f>
        <v>91.76</v>
      </c>
    </row>
    <row r="29" spans="1:10" ht="15" x14ac:dyDescent="0.2">
      <c r="A29" s="16">
        <v>42156</v>
      </c>
      <c r="B29" s="10">
        <f>15.9453 * CHOOSE(CONTROL!$C$15, $E$9, 100%, $G$9) + CHOOSE(CONTROL!$C$38, 0.0256, 0)</f>
        <v>15.9709</v>
      </c>
      <c r="C29" s="10">
        <f>14.9203 * CHOOSE(CONTROL!$C$15, $E$9, 100%, $G$9) + CHOOSE(CONTROL!$C$38, 0.0347, 0)</f>
        <v>14.955</v>
      </c>
      <c r="D29" s="10">
        <f>14.9125 * CHOOSE(CONTROL!$C$15, $E$9, 100%, $G$9) + CHOOSE(CONTROL!$C$38, 0.0347, 0)</f>
        <v>14.9472</v>
      </c>
      <c r="E29" s="28">
        <f>15.7891 * CHOOSE(CONTROL!$C$15, $E$9, 100%, $G$9) + CHOOSE(CONTROL!$C$38, 0.0347, 0)</f>
        <v>15.8238</v>
      </c>
      <c r="F29" s="27">
        <f>15.7891 * CHOOSE(CONTROL!$C$15, $E$9, 100%, $G$9) + CHOOSE(CONTROL!$C$38, 0.0256, 0)</f>
        <v>15.8147</v>
      </c>
      <c r="G29" s="10">
        <f>14.9187 * CHOOSE(CONTROL!$C$15, $E$9, 100%, $G$9) + CHOOSE(CONTROL!$C$38, 0.0347, 0)</f>
        <v>14.9534</v>
      </c>
      <c r="H29" s="10">
        <f>14.9187 * CHOOSE(CONTROL!$C$15, $E$9, 100%, $G$9) + CHOOSE(CONTROL!$C$38, 0.0347, 0)</f>
        <v>14.9534</v>
      </c>
      <c r="I29" s="10">
        <f>14.9203 * CHOOSE(CONTROL!$C$15, $E$9, 100%, $G$9) + CHOOSE(CONTROL!$C$38, 0.0347, 0)</f>
        <v>14.955</v>
      </c>
      <c r="J29" s="29">
        <f>91.08</f>
        <v>91.08</v>
      </c>
    </row>
    <row r="30" spans="1:10" ht="15" x14ac:dyDescent="0.2">
      <c r="A30" s="16">
        <v>42186</v>
      </c>
      <c r="B30" s="10">
        <f>15.9453 * CHOOSE(CONTROL!$C$15, $E$9, 100%, $G$9) + CHOOSE(CONTROL!$C$38, 0.0256, 0)</f>
        <v>15.9709</v>
      </c>
      <c r="C30" s="10">
        <f>14.9203 * CHOOSE(CONTROL!$C$15, $E$9, 100%, $G$9) + CHOOSE(CONTROL!$C$38, 0.0347, 0)</f>
        <v>14.955</v>
      </c>
      <c r="D30" s="10">
        <f>14.9125 * CHOOSE(CONTROL!$C$15, $E$9, 100%, $G$9) + CHOOSE(CONTROL!$C$38, 0.0347, 0)</f>
        <v>14.9472</v>
      </c>
      <c r="E30" s="28">
        <f>15.7891 * CHOOSE(CONTROL!$C$15, $E$9, 100%, $G$9) + CHOOSE(CONTROL!$C$38, 0.0347, 0)</f>
        <v>15.8238</v>
      </c>
      <c r="F30" s="27">
        <f>15.7891 * CHOOSE(CONTROL!$C$15, $E$9, 100%, $G$9) + CHOOSE(CONTROL!$C$38, 0.0256, 0)</f>
        <v>15.8147</v>
      </c>
      <c r="G30" s="10">
        <f>14.9187 * CHOOSE(CONTROL!$C$15, $E$9, 100%, $G$9) + CHOOSE(CONTROL!$C$38, 0.0347, 0)</f>
        <v>14.9534</v>
      </c>
      <c r="H30" s="10">
        <f>14.9187 * CHOOSE(CONTROL!$C$15, $E$9, 100%, $G$9) + CHOOSE(CONTROL!$C$38, 0.0347, 0)</f>
        <v>14.9534</v>
      </c>
      <c r="I30" s="10">
        <f>14.9203 * CHOOSE(CONTROL!$C$15, $E$9, 100%, $G$9) + CHOOSE(CONTROL!$C$38, 0.0347, 0)</f>
        <v>14.955</v>
      </c>
      <c r="J30" s="29">
        <f>90.31</f>
        <v>90.31</v>
      </c>
    </row>
    <row r="31" spans="1:10" ht="15" x14ac:dyDescent="0.2">
      <c r="A31" s="16">
        <v>42217</v>
      </c>
      <c r="B31" s="10">
        <f>15.9453 * CHOOSE(CONTROL!$C$15, $E$9, 100%, $G$9) + CHOOSE(CONTROL!$C$38, 0.0256, 0)</f>
        <v>15.9709</v>
      </c>
      <c r="C31" s="10">
        <f>14.9203 * CHOOSE(CONTROL!$C$15, $E$9, 100%, $G$9) + CHOOSE(CONTROL!$C$38, 0.0347, 0)</f>
        <v>14.955</v>
      </c>
      <c r="D31" s="10">
        <f>14.9125 * CHOOSE(CONTROL!$C$15, $E$9, 100%, $G$9) + CHOOSE(CONTROL!$C$38, 0.0347, 0)</f>
        <v>14.9472</v>
      </c>
      <c r="E31" s="28">
        <f>15.7891 * CHOOSE(CONTROL!$C$15, $E$9, 100%, $G$9) + CHOOSE(CONTROL!$C$38, 0.0347, 0)</f>
        <v>15.8238</v>
      </c>
      <c r="F31" s="27">
        <f>15.7891 * CHOOSE(CONTROL!$C$15, $E$9, 100%, $G$9) + CHOOSE(CONTROL!$C$38, 0.0256, 0)</f>
        <v>15.8147</v>
      </c>
      <c r="G31" s="10">
        <f>14.9187 * CHOOSE(CONTROL!$C$15, $E$9, 100%, $G$9) + CHOOSE(CONTROL!$C$38, 0.0347, 0)</f>
        <v>14.9534</v>
      </c>
      <c r="H31" s="10">
        <f>14.9187 * CHOOSE(CONTROL!$C$15, $E$9, 100%, $G$9) + CHOOSE(CONTROL!$C$38, 0.0347, 0)</f>
        <v>14.9534</v>
      </c>
      <c r="I31" s="10">
        <f>14.9203 * CHOOSE(CONTROL!$C$15, $E$9, 100%, $G$9) + CHOOSE(CONTROL!$C$38, 0.0347, 0)</f>
        <v>14.955</v>
      </c>
      <c r="J31" s="29">
        <f>89.66</f>
        <v>89.66</v>
      </c>
    </row>
    <row r="32" spans="1:10" ht="15" x14ac:dyDescent="0.2">
      <c r="A32" s="16">
        <v>42248</v>
      </c>
      <c r="B32" s="10">
        <f>15.9453 * CHOOSE(CONTROL!$C$15, $E$9, 100%, $G$9) + CHOOSE(CONTROL!$C$38, 0.0256, 0)</f>
        <v>15.9709</v>
      </c>
      <c r="C32" s="10">
        <f>14.9203 * CHOOSE(CONTROL!$C$15, $E$9, 100%, $G$9) + CHOOSE(CONTROL!$C$38, 0.0347, 0)</f>
        <v>14.955</v>
      </c>
      <c r="D32" s="10">
        <f>14.9125 * CHOOSE(CONTROL!$C$15, $E$9, 100%, $G$9) + CHOOSE(CONTROL!$C$38, 0.0347, 0)</f>
        <v>14.9472</v>
      </c>
      <c r="E32" s="28">
        <f>15.7891 * CHOOSE(CONTROL!$C$15, $E$9, 100%, $G$9) + CHOOSE(CONTROL!$C$38, 0.0347, 0)</f>
        <v>15.8238</v>
      </c>
      <c r="F32" s="27">
        <f>15.7891 * CHOOSE(CONTROL!$C$15, $E$9, 100%, $G$9) + CHOOSE(CONTROL!$C$38, 0.0256, 0)</f>
        <v>15.8147</v>
      </c>
      <c r="G32" s="10">
        <f>14.9187 * CHOOSE(CONTROL!$C$15, $E$9, 100%, $G$9) + CHOOSE(CONTROL!$C$38, 0.0347, 0)</f>
        <v>14.9534</v>
      </c>
      <c r="H32" s="10">
        <f>14.9187 * CHOOSE(CONTROL!$C$15, $E$9, 100%, $G$9) + CHOOSE(CONTROL!$C$38, 0.0347, 0)</f>
        <v>14.9534</v>
      </c>
      <c r="I32" s="10">
        <f>14.9203 * CHOOSE(CONTROL!$C$15, $E$9, 100%, $G$9) + CHOOSE(CONTROL!$C$38, 0.0347, 0)</f>
        <v>14.955</v>
      </c>
      <c r="J32" s="29">
        <f>89.12</f>
        <v>89.12</v>
      </c>
    </row>
    <row r="33" spans="1:10" ht="15" x14ac:dyDescent="0.2">
      <c r="A33" s="16">
        <v>42278</v>
      </c>
      <c r="B33" s="10">
        <f>15.9453 * CHOOSE(CONTROL!$C$15, $E$9, 100%, $G$9) + CHOOSE(CONTROL!$C$38, 0.0256, 0)</f>
        <v>15.9709</v>
      </c>
      <c r="C33" s="10">
        <f>14.9203 * CHOOSE(CONTROL!$C$15, $E$9, 100%, $G$9) + CHOOSE(CONTROL!$C$38, 0.0347, 0)</f>
        <v>14.955</v>
      </c>
      <c r="D33" s="10">
        <f>14.9125 * CHOOSE(CONTROL!$C$15, $E$9, 100%, $G$9) + CHOOSE(CONTROL!$C$38, 0.0347, 0)</f>
        <v>14.9472</v>
      </c>
      <c r="E33" s="28">
        <f>15.7891 * CHOOSE(CONTROL!$C$15, $E$9, 100%, $G$9) + CHOOSE(CONTROL!$C$38, 0.0347, 0)</f>
        <v>15.8238</v>
      </c>
      <c r="F33" s="27">
        <f>15.7891 * CHOOSE(CONTROL!$C$15, $E$9, 100%, $G$9) + CHOOSE(CONTROL!$C$38, 0.0256, 0)</f>
        <v>15.8147</v>
      </c>
      <c r="G33" s="10">
        <f>14.9187 * CHOOSE(CONTROL!$C$15, $E$9, 100%, $G$9) + CHOOSE(CONTROL!$C$38, 0.0347, 0)</f>
        <v>14.9534</v>
      </c>
      <c r="H33" s="10">
        <f>14.9187 * CHOOSE(CONTROL!$C$15, $E$9, 100%, $G$9) + CHOOSE(CONTROL!$C$38, 0.0347, 0)</f>
        <v>14.9534</v>
      </c>
      <c r="I33" s="10">
        <f>14.9203 * CHOOSE(CONTROL!$C$15, $E$9, 100%, $G$9) + CHOOSE(CONTROL!$C$38, 0.0347, 0)</f>
        <v>14.955</v>
      </c>
      <c r="J33" s="29">
        <f>88.62</f>
        <v>88.62</v>
      </c>
    </row>
    <row r="34" spans="1:10" ht="15" x14ac:dyDescent="0.2">
      <c r="A34" s="16">
        <v>42309</v>
      </c>
      <c r="B34" s="10">
        <f>15.9453 * CHOOSE(CONTROL!$C$15, $E$9, 100%, $G$9) + CHOOSE(CONTROL!$C$38, 0.0256, 0)</f>
        <v>15.9709</v>
      </c>
      <c r="C34" s="10">
        <f>14.9203 * CHOOSE(CONTROL!$C$15, $E$9, 100%, $G$9) + CHOOSE(CONTROL!$C$38, 0.0347, 0)</f>
        <v>14.955</v>
      </c>
      <c r="D34" s="10">
        <f>14.9125 * CHOOSE(CONTROL!$C$15, $E$9, 100%, $G$9) + CHOOSE(CONTROL!$C$38, 0.0347, 0)</f>
        <v>14.9472</v>
      </c>
      <c r="E34" s="28">
        <f>15.7891 * CHOOSE(CONTROL!$C$15, $E$9, 100%, $G$9) + CHOOSE(CONTROL!$C$38, 0.0347, 0)</f>
        <v>15.8238</v>
      </c>
      <c r="F34" s="27">
        <f>15.7891 * CHOOSE(CONTROL!$C$15, $E$9, 100%, $G$9) + CHOOSE(CONTROL!$C$38, 0.0256, 0)</f>
        <v>15.8147</v>
      </c>
      <c r="G34" s="10">
        <f>14.9187 * CHOOSE(CONTROL!$C$15, $E$9, 100%, $G$9) + CHOOSE(CONTROL!$C$38, 0.0347, 0)</f>
        <v>14.9534</v>
      </c>
      <c r="H34" s="10">
        <f>14.9187 * CHOOSE(CONTROL!$C$15, $E$9, 100%, $G$9) + CHOOSE(CONTROL!$C$38, 0.0347, 0)</f>
        <v>14.9534</v>
      </c>
      <c r="I34" s="10">
        <f>14.9203 * CHOOSE(CONTROL!$C$15, $E$9, 100%, $G$9) + CHOOSE(CONTROL!$C$38, 0.0347, 0)</f>
        <v>14.955</v>
      </c>
      <c r="J34" s="29">
        <f>88.2</f>
        <v>88.2</v>
      </c>
    </row>
    <row r="35" spans="1:10" ht="15" x14ac:dyDescent="0.2">
      <c r="A35" s="16">
        <v>42339</v>
      </c>
      <c r="B35" s="10">
        <f>15.9453 * CHOOSE(CONTROL!$C$15, $E$9, 100%, $G$9) + CHOOSE(CONTROL!$C$38, 0.0256, 0)</f>
        <v>15.9709</v>
      </c>
      <c r="C35" s="10">
        <f>14.9203 * CHOOSE(CONTROL!$C$15, $E$9, 100%, $G$9) + CHOOSE(CONTROL!$C$38, 0.0347, 0)</f>
        <v>14.955</v>
      </c>
      <c r="D35" s="10">
        <f>14.9125 * CHOOSE(CONTROL!$C$15, $E$9, 100%, $G$9) + CHOOSE(CONTROL!$C$38, 0.0347, 0)</f>
        <v>14.9472</v>
      </c>
      <c r="E35" s="28">
        <f>15.7891 * CHOOSE(CONTROL!$C$15, $E$9, 100%, $G$9) + CHOOSE(CONTROL!$C$38, 0.0347, 0)</f>
        <v>15.8238</v>
      </c>
      <c r="F35" s="27">
        <f>15.7891 * CHOOSE(CONTROL!$C$15, $E$9, 100%, $G$9) + CHOOSE(CONTROL!$C$38, 0.0256, 0)</f>
        <v>15.8147</v>
      </c>
      <c r="G35" s="10">
        <f>14.9187 * CHOOSE(CONTROL!$C$15, $E$9, 100%, $G$9) + CHOOSE(CONTROL!$C$38, 0.0347, 0)</f>
        <v>14.9534</v>
      </c>
      <c r="H35" s="10">
        <f>14.9187 * CHOOSE(CONTROL!$C$15, $E$9, 100%, $G$9) + CHOOSE(CONTROL!$C$38, 0.0347, 0)</f>
        <v>14.9534</v>
      </c>
      <c r="I35" s="10">
        <f>14.9203 * CHOOSE(CONTROL!$C$15, $E$9, 100%, $G$9) + CHOOSE(CONTROL!$C$38, 0.0347, 0)</f>
        <v>14.955</v>
      </c>
      <c r="J35" s="29">
        <f>87.81</f>
        <v>87.81</v>
      </c>
    </row>
    <row r="36" spans="1:10" ht="15" x14ac:dyDescent="0.2">
      <c r="A36" s="16">
        <v>42370</v>
      </c>
      <c r="B36" s="10">
        <f>14.6609 * CHOOSE(CONTROL!$C$15, $E$9, 100%, $G$9) + CHOOSE(CONTROL!$C$38, 0.0256, 0)</f>
        <v>14.686500000000001</v>
      </c>
      <c r="C36" s="10">
        <f>14.6437 * CHOOSE(CONTROL!$C$15, $E$9, 100%, $G$9) + CHOOSE(CONTROL!$C$38, 0.0347, 0)</f>
        <v>14.678400000000002</v>
      </c>
      <c r="D36" s="10">
        <f>14.6359 * CHOOSE(CONTROL!$C$15, $E$9, 100%, $G$9) + CHOOSE(CONTROL!$C$38, 0.0347, 0)</f>
        <v>14.6706</v>
      </c>
      <c r="E36" s="28">
        <f>14.5047 * CHOOSE(CONTROL!$C$15, $E$9, 100%, $G$9) + CHOOSE(CONTROL!$C$38, 0.0347, 0)</f>
        <v>14.539400000000001</v>
      </c>
      <c r="F36" s="27">
        <f>14.5047 * CHOOSE(CONTROL!$C$15, $E$9, 100%, $G$9) + CHOOSE(CONTROL!$C$38, 0.0256, 0)</f>
        <v>14.5303</v>
      </c>
      <c r="G36" s="10">
        <f>14.6422 * CHOOSE(CONTROL!$C$15, $E$9, 100%, $G$9) + CHOOSE(CONTROL!$C$38, 0.0347, 0)</f>
        <v>14.676900000000002</v>
      </c>
      <c r="H36" s="10">
        <f>14.6422 * CHOOSE(CONTROL!$C$15, $E$9, 100%, $G$9) + CHOOSE(CONTROL!$C$38, 0.0347, 0)</f>
        <v>14.676900000000002</v>
      </c>
      <c r="I36" s="10">
        <f>14.6437 * CHOOSE(CONTROL!$C$15, $E$9, 100%, $G$9) + CHOOSE(CONTROL!$C$38, 0.0347, 0)</f>
        <v>14.678400000000002</v>
      </c>
      <c r="J36" s="29">
        <f>87.25</f>
        <v>87.25</v>
      </c>
    </row>
    <row r="37" spans="1:10" ht="15" x14ac:dyDescent="0.2">
      <c r="A37" s="16">
        <v>42401</v>
      </c>
      <c r="B37" s="10">
        <f>14.7453 * CHOOSE(CONTROL!$C$15, $E$9, 100%, $G$9) + CHOOSE(CONTROL!$C$38, 0.0256, 0)</f>
        <v>14.770900000000001</v>
      </c>
      <c r="C37" s="10">
        <f>14.6437 * CHOOSE(CONTROL!$C$15, $E$9, 100%, $G$9) + CHOOSE(CONTROL!$C$38, 0.0347, 0)</f>
        <v>14.678400000000002</v>
      </c>
      <c r="D37" s="10">
        <f>14.6359 * CHOOSE(CONTROL!$C$15, $E$9, 100%, $G$9) + CHOOSE(CONTROL!$C$38, 0.0347, 0)</f>
        <v>14.6706</v>
      </c>
      <c r="E37" s="28">
        <f>14.5891 * CHOOSE(CONTROL!$C$15, $E$9, 100%, $G$9) + CHOOSE(CONTROL!$C$38, 0.0347, 0)</f>
        <v>14.623800000000001</v>
      </c>
      <c r="F37" s="27">
        <f>14.5891 * CHOOSE(CONTROL!$C$15, $E$9, 100%, $G$9) + CHOOSE(CONTROL!$C$38, 0.0256, 0)</f>
        <v>14.614700000000001</v>
      </c>
      <c r="G37" s="10">
        <f>14.6422 * CHOOSE(CONTROL!$C$15, $E$9, 100%, $G$9) + CHOOSE(CONTROL!$C$38, 0.0347, 0)</f>
        <v>14.676900000000002</v>
      </c>
      <c r="H37" s="10">
        <f>14.6422 * CHOOSE(CONTROL!$C$15, $E$9, 100%, $G$9) + CHOOSE(CONTROL!$C$38, 0.0347, 0)</f>
        <v>14.676900000000002</v>
      </c>
      <c r="I37" s="10">
        <f>14.6437 * CHOOSE(CONTROL!$C$15, $E$9, 100%, $G$9) + CHOOSE(CONTROL!$C$38, 0.0347, 0)</f>
        <v>14.678400000000002</v>
      </c>
      <c r="J37" s="29">
        <f>86.73</f>
        <v>86.73</v>
      </c>
    </row>
    <row r="38" spans="1:10" ht="15" x14ac:dyDescent="0.2">
      <c r="A38" s="16">
        <v>42430</v>
      </c>
      <c r="B38" s="10">
        <f>14.8219 * CHOOSE(CONTROL!$C$15, $E$9, 100%, $G$9) + CHOOSE(CONTROL!$C$38, 0.0256, 0)</f>
        <v>14.8475</v>
      </c>
      <c r="C38" s="10">
        <f>14.6437 * CHOOSE(CONTROL!$C$15, $E$9, 100%, $G$9) + CHOOSE(CONTROL!$C$38, 0.0347, 0)</f>
        <v>14.678400000000002</v>
      </c>
      <c r="D38" s="10">
        <f>14.6359 * CHOOSE(CONTROL!$C$15, $E$9, 100%, $G$9) + CHOOSE(CONTROL!$C$38, 0.0347, 0)</f>
        <v>14.6706</v>
      </c>
      <c r="E38" s="28">
        <f>14.6656 * CHOOSE(CONTROL!$C$15, $E$9, 100%, $G$9) + CHOOSE(CONTROL!$C$38, 0.0347, 0)</f>
        <v>14.7003</v>
      </c>
      <c r="F38" s="27">
        <f>14.6656 * CHOOSE(CONTROL!$C$15, $E$9, 100%, $G$9) + CHOOSE(CONTROL!$C$38, 0.0256, 0)</f>
        <v>14.6912</v>
      </c>
      <c r="G38" s="10">
        <f>14.6422 * CHOOSE(CONTROL!$C$15, $E$9, 100%, $G$9) + CHOOSE(CONTROL!$C$38, 0.0347, 0)</f>
        <v>14.676900000000002</v>
      </c>
      <c r="H38" s="10">
        <f>14.6422 * CHOOSE(CONTROL!$C$15, $E$9, 100%, $G$9) + CHOOSE(CONTROL!$C$38, 0.0347, 0)</f>
        <v>14.676900000000002</v>
      </c>
      <c r="I38" s="10">
        <f>14.6437 * CHOOSE(CONTROL!$C$15, $E$9, 100%, $G$9) + CHOOSE(CONTROL!$C$38, 0.0347, 0)</f>
        <v>14.678400000000002</v>
      </c>
      <c r="J38" s="29">
        <f>86.23</f>
        <v>86.23</v>
      </c>
    </row>
    <row r="39" spans="1:10" ht="15" x14ac:dyDescent="0.2">
      <c r="A39" s="16">
        <v>42461</v>
      </c>
      <c r="B39" s="10">
        <f>14.8859 * CHOOSE(CONTROL!$C$15, $E$9, 100%, $G$9) + CHOOSE(CONTROL!$C$38, 0.0256, 0)</f>
        <v>14.9115</v>
      </c>
      <c r="C39" s="10">
        <f>14.4836 * CHOOSE(CONTROL!$C$15, $E$9, 100%, $G$9) + CHOOSE(CONTROL!$C$38, 0.0347, 0)</f>
        <v>14.5183</v>
      </c>
      <c r="D39" s="10">
        <f>14.4758 * CHOOSE(CONTROL!$C$15, $E$9, 100%, $G$9) + CHOOSE(CONTROL!$C$38, 0.0347, 0)</f>
        <v>14.5105</v>
      </c>
      <c r="E39" s="28">
        <f>14.7297 * CHOOSE(CONTROL!$C$15, $E$9, 100%, $G$9) + CHOOSE(CONTROL!$C$38, 0.0347, 0)</f>
        <v>14.7644</v>
      </c>
      <c r="F39" s="27">
        <f>14.7297 * CHOOSE(CONTROL!$C$15, $E$9, 100%, $G$9) + CHOOSE(CONTROL!$C$38, 0.0256, 0)</f>
        <v>14.7553</v>
      </c>
      <c r="G39" s="10">
        <f>14.482 * CHOOSE(CONTROL!$C$15, $E$9, 100%, $G$9) + CHOOSE(CONTROL!$C$38, 0.0347, 0)</f>
        <v>14.5167</v>
      </c>
      <c r="H39" s="10">
        <f>14.482 * CHOOSE(CONTROL!$C$15, $E$9, 100%, $G$9) + CHOOSE(CONTROL!$C$38, 0.0347, 0)</f>
        <v>14.5167</v>
      </c>
      <c r="I39" s="10">
        <f>14.4836 * CHOOSE(CONTROL!$C$15, $E$9, 100%, $G$9) + CHOOSE(CONTROL!$C$38, 0.0347, 0)</f>
        <v>14.5183</v>
      </c>
      <c r="J39" s="29">
        <f>85.77</f>
        <v>85.77</v>
      </c>
    </row>
    <row r="40" spans="1:10" ht="15" x14ac:dyDescent="0.2">
      <c r="A40" s="16">
        <v>42491</v>
      </c>
      <c r="B40" s="10">
        <f>14.9484 * CHOOSE(CONTROL!$C$15, $E$9, 100%, $G$9) + CHOOSE(CONTROL!$C$38, 0.0256, 0)</f>
        <v>14.974</v>
      </c>
      <c r="C40" s="10">
        <f>14.5236 * CHOOSE(CONTROL!$C$15, $E$9, 100%, $G$9) + CHOOSE(CONTROL!$C$38, 0.0347, 0)</f>
        <v>14.558300000000001</v>
      </c>
      <c r="D40" s="10">
        <f>14.5158 * CHOOSE(CONTROL!$C$15, $E$9, 100%, $G$9) + CHOOSE(CONTROL!$C$38, 0.0347, 0)</f>
        <v>14.550500000000001</v>
      </c>
      <c r="E40" s="28">
        <f>14.7922 * CHOOSE(CONTROL!$C$15, $E$9, 100%, $G$9) + CHOOSE(CONTROL!$C$38, 0.0347, 0)</f>
        <v>14.8269</v>
      </c>
      <c r="F40" s="27">
        <f>14.7922 * CHOOSE(CONTROL!$C$15, $E$9, 100%, $G$9) + CHOOSE(CONTROL!$C$38, 0.0256, 0)</f>
        <v>14.8178</v>
      </c>
      <c r="G40" s="10">
        <f>14.5221 * CHOOSE(CONTROL!$C$15, $E$9, 100%, $G$9) + CHOOSE(CONTROL!$C$38, 0.0347, 0)</f>
        <v>14.556800000000001</v>
      </c>
      <c r="H40" s="10">
        <f>14.5221 * CHOOSE(CONTROL!$C$15, $E$9, 100%, $G$9) + CHOOSE(CONTROL!$C$38, 0.0347, 0)</f>
        <v>14.556800000000001</v>
      </c>
      <c r="I40" s="10">
        <f>14.5236 * CHOOSE(CONTROL!$C$15, $E$9, 100%, $G$9) + CHOOSE(CONTROL!$C$38, 0.0347, 0)</f>
        <v>14.558300000000001</v>
      </c>
      <c r="J40" s="29">
        <f>85.38</f>
        <v>85.38</v>
      </c>
    </row>
    <row r="41" spans="1:10" ht="15" x14ac:dyDescent="0.2">
      <c r="A41" s="16">
        <v>42522</v>
      </c>
      <c r="B41" s="10">
        <f>15 * CHOOSE(CONTROL!$C$15, $E$9, 100%, $G$9) + CHOOSE(CONTROL!$C$38, 0.0256, 0)</f>
        <v>15.025600000000001</v>
      </c>
      <c r="C41" s="10">
        <f>14.5637 * CHOOSE(CONTROL!$C$15, $E$9, 100%, $G$9) + CHOOSE(CONTROL!$C$38, 0.0347, 0)</f>
        <v>14.598400000000002</v>
      </c>
      <c r="D41" s="10">
        <f>14.5559 * CHOOSE(CONTROL!$C$15, $E$9, 100%, $G$9) + CHOOSE(CONTROL!$C$38, 0.0347, 0)</f>
        <v>14.5906</v>
      </c>
      <c r="E41" s="28">
        <f>14.8437 * CHOOSE(CONTROL!$C$15, $E$9, 100%, $G$9) + CHOOSE(CONTROL!$C$38, 0.0347, 0)</f>
        <v>14.878400000000001</v>
      </c>
      <c r="F41" s="27">
        <f>14.8437 * CHOOSE(CONTROL!$C$15, $E$9, 100%, $G$9) + CHOOSE(CONTROL!$C$38, 0.0256, 0)</f>
        <v>14.869300000000001</v>
      </c>
      <c r="G41" s="10">
        <f>14.5621 * CHOOSE(CONTROL!$C$15, $E$9, 100%, $G$9) + CHOOSE(CONTROL!$C$38, 0.0347, 0)</f>
        <v>14.5968</v>
      </c>
      <c r="H41" s="10">
        <f>14.5621 * CHOOSE(CONTROL!$C$15, $E$9, 100%, $G$9) + CHOOSE(CONTROL!$C$38, 0.0347, 0)</f>
        <v>14.5968</v>
      </c>
      <c r="I41" s="10">
        <f>14.5637 * CHOOSE(CONTROL!$C$15, $E$9, 100%, $G$9) + CHOOSE(CONTROL!$C$38, 0.0347, 0)</f>
        <v>14.598400000000002</v>
      </c>
      <c r="J41" s="29">
        <f>85.03</f>
        <v>85.03</v>
      </c>
    </row>
    <row r="42" spans="1:10" ht="15" x14ac:dyDescent="0.2">
      <c r="A42" s="16">
        <v>42552</v>
      </c>
      <c r="B42" s="10">
        <f>15.0547 * CHOOSE(CONTROL!$C$15, $E$9, 100%, $G$9) + CHOOSE(CONTROL!$C$38, 0.0256, 0)</f>
        <v>15.080300000000001</v>
      </c>
      <c r="C42" s="10">
        <f>14.6037 * CHOOSE(CONTROL!$C$15, $E$9, 100%, $G$9) + CHOOSE(CONTROL!$C$38, 0.0347, 0)</f>
        <v>14.638400000000001</v>
      </c>
      <c r="D42" s="10">
        <f>14.5959 * CHOOSE(CONTROL!$C$15, $E$9, 100%, $G$9) + CHOOSE(CONTROL!$C$38, 0.0347, 0)</f>
        <v>14.630600000000001</v>
      </c>
      <c r="E42" s="28">
        <f>14.8984 * CHOOSE(CONTROL!$C$15, $E$9, 100%, $G$9) + CHOOSE(CONTROL!$C$38, 0.0347, 0)</f>
        <v>14.933100000000001</v>
      </c>
      <c r="F42" s="27">
        <f>14.8984 * CHOOSE(CONTROL!$C$15, $E$9, 100%, $G$9) + CHOOSE(CONTROL!$C$38, 0.0256, 0)</f>
        <v>14.924000000000001</v>
      </c>
      <c r="G42" s="10">
        <f>14.6021 * CHOOSE(CONTROL!$C$15, $E$9, 100%, $G$9) + CHOOSE(CONTROL!$C$38, 0.0347, 0)</f>
        <v>14.636800000000001</v>
      </c>
      <c r="H42" s="10">
        <f>14.6021 * CHOOSE(CONTROL!$C$15, $E$9, 100%, $G$9) + CHOOSE(CONTROL!$C$38, 0.0347, 0)</f>
        <v>14.636800000000001</v>
      </c>
      <c r="I42" s="10">
        <f>14.6037 * CHOOSE(CONTROL!$C$15, $E$9, 100%, $G$9) + CHOOSE(CONTROL!$C$38, 0.0347, 0)</f>
        <v>14.638400000000001</v>
      </c>
      <c r="J42" s="29">
        <f>84.61</f>
        <v>84.61</v>
      </c>
    </row>
    <row r="43" spans="1:10" ht="15" x14ac:dyDescent="0.2">
      <c r="A43" s="16">
        <v>42583</v>
      </c>
      <c r="B43" s="10">
        <f>15.0969 * CHOOSE(CONTROL!$C$15, $E$9, 100%, $G$9) + CHOOSE(CONTROL!$C$38, 0.0256, 0)</f>
        <v>15.1225</v>
      </c>
      <c r="C43" s="10">
        <f>14.6437 * CHOOSE(CONTROL!$C$15, $E$9, 100%, $G$9) + CHOOSE(CONTROL!$C$38, 0.0347, 0)</f>
        <v>14.678400000000002</v>
      </c>
      <c r="D43" s="10">
        <f>14.6359 * CHOOSE(CONTROL!$C$15, $E$9, 100%, $G$9) + CHOOSE(CONTROL!$C$38, 0.0347, 0)</f>
        <v>14.6706</v>
      </c>
      <c r="E43" s="28">
        <f>14.9406 * CHOOSE(CONTROL!$C$15, $E$9, 100%, $G$9) + CHOOSE(CONTROL!$C$38, 0.0347, 0)</f>
        <v>14.975300000000001</v>
      </c>
      <c r="F43" s="27">
        <f>14.9406 * CHOOSE(CONTROL!$C$15, $E$9, 100%, $G$9) + CHOOSE(CONTROL!$C$38, 0.0256, 0)</f>
        <v>14.966200000000001</v>
      </c>
      <c r="G43" s="10">
        <f>14.6422 * CHOOSE(CONTROL!$C$15, $E$9, 100%, $G$9) + CHOOSE(CONTROL!$C$38, 0.0347, 0)</f>
        <v>14.676900000000002</v>
      </c>
      <c r="H43" s="10">
        <f>14.6422 * CHOOSE(CONTROL!$C$15, $E$9, 100%, $G$9) + CHOOSE(CONTROL!$C$38, 0.0347, 0)</f>
        <v>14.676900000000002</v>
      </c>
      <c r="I43" s="10">
        <f>14.6437 * CHOOSE(CONTROL!$C$15, $E$9, 100%, $G$9) + CHOOSE(CONTROL!$C$38, 0.0347, 0)</f>
        <v>14.678400000000002</v>
      </c>
      <c r="J43" s="29">
        <f>84.23</f>
        <v>84.23</v>
      </c>
    </row>
    <row r="44" spans="1:10" ht="15" x14ac:dyDescent="0.2">
      <c r="A44" s="16">
        <v>42614</v>
      </c>
      <c r="B44" s="10">
        <f>15.1281 * CHOOSE(CONTROL!$C$15, $E$9, 100%, $G$9) + CHOOSE(CONTROL!$C$38, 0.0256, 0)</f>
        <v>15.153700000000001</v>
      </c>
      <c r="C44" s="10">
        <f>14.6838 * CHOOSE(CONTROL!$C$15, $E$9, 100%, $G$9) + CHOOSE(CONTROL!$C$38, 0.0347, 0)</f>
        <v>14.718500000000001</v>
      </c>
      <c r="D44" s="10">
        <f>14.676 * CHOOSE(CONTROL!$C$15, $E$9, 100%, $G$9) + CHOOSE(CONTROL!$C$38, 0.0347, 0)</f>
        <v>14.710700000000001</v>
      </c>
      <c r="E44" s="28">
        <f>14.9719 * CHOOSE(CONTROL!$C$15, $E$9, 100%, $G$9) + CHOOSE(CONTROL!$C$38, 0.0347, 0)</f>
        <v>15.006600000000001</v>
      </c>
      <c r="F44" s="27">
        <f>14.9719 * CHOOSE(CONTROL!$C$15, $E$9, 100%, $G$9) + CHOOSE(CONTROL!$C$38, 0.0256, 0)</f>
        <v>14.9975</v>
      </c>
      <c r="G44" s="10">
        <f>14.6822 * CHOOSE(CONTROL!$C$15, $E$9, 100%, $G$9) + CHOOSE(CONTROL!$C$38, 0.0347, 0)</f>
        <v>14.716900000000001</v>
      </c>
      <c r="H44" s="10">
        <f>14.6822 * CHOOSE(CONTROL!$C$15, $E$9, 100%, $G$9) + CHOOSE(CONTROL!$C$38, 0.0347, 0)</f>
        <v>14.716900000000001</v>
      </c>
      <c r="I44" s="10">
        <f>14.6838 * CHOOSE(CONTROL!$C$15, $E$9, 100%, $G$9) + CHOOSE(CONTROL!$C$38, 0.0347, 0)</f>
        <v>14.718500000000001</v>
      </c>
      <c r="J44" s="29">
        <f>83.89</f>
        <v>83.89</v>
      </c>
    </row>
    <row r="45" spans="1:10" ht="15" x14ac:dyDescent="0.2">
      <c r="A45" s="16">
        <v>42644</v>
      </c>
      <c r="B45" s="10">
        <f>15.1609 * CHOOSE(CONTROL!$C$15, $E$9, 100%, $G$9) + CHOOSE(CONTROL!$C$38, 0.0256, 0)</f>
        <v>15.186500000000001</v>
      </c>
      <c r="C45" s="10">
        <f>14.7238 * CHOOSE(CONTROL!$C$15, $E$9, 100%, $G$9) + CHOOSE(CONTROL!$C$38, 0.0347, 0)</f>
        <v>14.758500000000002</v>
      </c>
      <c r="D45" s="10">
        <f>14.716 * CHOOSE(CONTROL!$C$15, $E$9, 100%, $G$9) + CHOOSE(CONTROL!$C$38, 0.0347, 0)</f>
        <v>14.7507</v>
      </c>
      <c r="E45" s="28">
        <f>15.0047 * CHOOSE(CONTROL!$C$15, $E$9, 100%, $G$9) + CHOOSE(CONTROL!$C$38, 0.0347, 0)</f>
        <v>15.039400000000001</v>
      </c>
      <c r="F45" s="27">
        <f>15.0047 * CHOOSE(CONTROL!$C$15, $E$9, 100%, $G$9) + CHOOSE(CONTROL!$C$38, 0.0256, 0)</f>
        <v>15.0303</v>
      </c>
      <c r="G45" s="10">
        <f>14.7223 * CHOOSE(CONTROL!$C$15, $E$9, 100%, $G$9) + CHOOSE(CONTROL!$C$38, 0.0347, 0)</f>
        <v>14.757000000000001</v>
      </c>
      <c r="H45" s="10">
        <f>14.7223 * CHOOSE(CONTROL!$C$15, $E$9, 100%, $G$9) + CHOOSE(CONTROL!$C$38, 0.0347, 0)</f>
        <v>14.757000000000001</v>
      </c>
      <c r="I45" s="10">
        <f>14.7238 * CHOOSE(CONTROL!$C$15, $E$9, 100%, $G$9) + CHOOSE(CONTROL!$C$38, 0.0347, 0)</f>
        <v>14.758500000000002</v>
      </c>
      <c r="J45" s="29">
        <f>83.6</f>
        <v>83.6</v>
      </c>
    </row>
    <row r="46" spans="1:10" ht="15" x14ac:dyDescent="0.2">
      <c r="A46" s="16">
        <v>42675</v>
      </c>
      <c r="B46" s="10">
        <f>15.1906 * CHOOSE(CONTROL!$C$15, $E$9, 100%, $G$9) + CHOOSE(CONTROL!$C$38, 0.0256, 0)</f>
        <v>15.216200000000001</v>
      </c>
      <c r="C46" s="10">
        <f>14.7639 * CHOOSE(CONTROL!$C$15, $E$9, 100%, $G$9) + CHOOSE(CONTROL!$C$38, 0.0347, 0)</f>
        <v>14.7986</v>
      </c>
      <c r="D46" s="10">
        <f>14.7561 * CHOOSE(CONTROL!$C$15, $E$9, 100%, $G$9) + CHOOSE(CONTROL!$C$38, 0.0347, 0)</f>
        <v>14.790800000000001</v>
      </c>
      <c r="E46" s="28">
        <f>15.0344 * CHOOSE(CONTROL!$C$15, $E$9, 100%, $G$9) + CHOOSE(CONTROL!$C$38, 0.0347, 0)</f>
        <v>15.069100000000001</v>
      </c>
      <c r="F46" s="27">
        <f>15.0344 * CHOOSE(CONTROL!$C$15, $E$9, 100%, $G$9) + CHOOSE(CONTROL!$C$38, 0.0256, 0)</f>
        <v>15.06</v>
      </c>
      <c r="G46" s="10">
        <f>14.7623 * CHOOSE(CONTROL!$C$15, $E$9, 100%, $G$9) + CHOOSE(CONTROL!$C$38, 0.0347, 0)</f>
        <v>14.797000000000001</v>
      </c>
      <c r="H46" s="10">
        <f>14.7623 * CHOOSE(CONTROL!$C$15, $E$9, 100%, $G$9) + CHOOSE(CONTROL!$C$38, 0.0347, 0)</f>
        <v>14.797000000000001</v>
      </c>
      <c r="I46" s="10">
        <f>14.7639 * CHOOSE(CONTROL!$C$15, $E$9, 100%, $G$9) + CHOOSE(CONTROL!$C$38, 0.0347, 0)</f>
        <v>14.7986</v>
      </c>
      <c r="J46" s="29">
        <f>83.37</f>
        <v>83.37</v>
      </c>
    </row>
    <row r="47" spans="1:10" ht="15" x14ac:dyDescent="0.2">
      <c r="A47" s="16">
        <v>42705</v>
      </c>
      <c r="B47" s="10">
        <f>15.2219 * CHOOSE(CONTROL!$C$15, $E$9, 100%, $G$9) + CHOOSE(CONTROL!$C$38, 0.0256, 0)</f>
        <v>15.2475</v>
      </c>
      <c r="C47" s="10">
        <f>14.8039 * CHOOSE(CONTROL!$C$15, $E$9, 100%, $G$9) + CHOOSE(CONTROL!$C$38, 0.0347, 0)</f>
        <v>14.838600000000001</v>
      </c>
      <c r="D47" s="10">
        <f>14.7961 * CHOOSE(CONTROL!$C$15, $E$9, 100%, $G$9) + CHOOSE(CONTROL!$C$38, 0.0347, 0)</f>
        <v>14.8308</v>
      </c>
      <c r="E47" s="28">
        <f>15.0656 * CHOOSE(CONTROL!$C$15, $E$9, 100%, $G$9) + CHOOSE(CONTROL!$C$38, 0.0347, 0)</f>
        <v>15.100300000000001</v>
      </c>
      <c r="F47" s="27">
        <f>15.0656 * CHOOSE(CONTROL!$C$15, $E$9, 100%, $G$9) + CHOOSE(CONTROL!$C$38, 0.0256, 0)</f>
        <v>15.091200000000001</v>
      </c>
      <c r="G47" s="10">
        <f>14.8024 * CHOOSE(CONTROL!$C$15, $E$9, 100%, $G$9) + CHOOSE(CONTROL!$C$38, 0.0347, 0)</f>
        <v>14.837100000000001</v>
      </c>
      <c r="H47" s="10">
        <f>14.8024 * CHOOSE(CONTROL!$C$15, $E$9, 100%, $G$9) + CHOOSE(CONTROL!$C$38, 0.0347, 0)</f>
        <v>14.837100000000001</v>
      </c>
      <c r="I47" s="10">
        <f>14.8039 * CHOOSE(CONTROL!$C$15, $E$9, 100%, $G$9) + CHOOSE(CONTROL!$C$38, 0.0347, 0)</f>
        <v>14.838600000000001</v>
      </c>
      <c r="J47" s="29">
        <f>83.18</f>
        <v>83.18</v>
      </c>
    </row>
    <row r="48" spans="1:10" ht="15" x14ac:dyDescent="0.2">
      <c r="A48" s="16">
        <v>42736</v>
      </c>
      <c r="B48" s="10">
        <f>15.549 * CHOOSE(CONTROL!$C$15, $E$9, 100%, $G$9) + CHOOSE(CONTROL!$C$38, 0.0256, 0)</f>
        <v>15.5746</v>
      </c>
      <c r="C48" s="10">
        <f>14.9937 * CHOOSE(CONTROL!$C$15, $E$9, 100%, $G$9) + CHOOSE(CONTROL!$C$38, 0.0347, 0)</f>
        <v>15.028400000000001</v>
      </c>
      <c r="D48" s="10">
        <f>14.9859 * CHOOSE(CONTROL!$C$15, $E$9, 100%, $G$9) + CHOOSE(CONTROL!$C$38, 0.0347, 0)</f>
        <v>15.020600000000002</v>
      </c>
      <c r="E48" s="28">
        <f>15.3928 * CHOOSE(CONTROL!$C$15, $E$9, 100%, $G$9) + CHOOSE(CONTROL!$C$38, 0.0347, 0)</f>
        <v>15.4275</v>
      </c>
      <c r="F48" s="27">
        <f>15.3928 * CHOOSE(CONTROL!$C$15, $E$9, 100%, $G$9) + CHOOSE(CONTROL!$C$38, 0.0256, 0)</f>
        <v>15.4184</v>
      </c>
      <c r="G48" s="10">
        <f>14.9922 * CHOOSE(CONTROL!$C$15, $E$9, 100%, $G$9) + CHOOSE(CONTROL!$C$38, 0.0347, 0)</f>
        <v>15.026900000000001</v>
      </c>
      <c r="H48" s="10">
        <f>14.9922 * CHOOSE(CONTROL!$C$15, $E$9, 100%, $G$9) + CHOOSE(CONTROL!$C$38, 0.0347, 0)</f>
        <v>15.026900000000001</v>
      </c>
      <c r="I48" s="10">
        <f>14.9937 * CHOOSE(CONTROL!$C$15, $E$9, 100%, $G$9) + CHOOSE(CONTROL!$C$38, 0.0347, 0)</f>
        <v>15.028400000000001</v>
      </c>
      <c r="J48" s="29">
        <f>79.2225</f>
        <v>79.222499999999997</v>
      </c>
    </row>
    <row r="49" spans="1:10" ht="15" x14ac:dyDescent="0.2">
      <c r="A49" s="16">
        <v>42767</v>
      </c>
      <c r="B49" s="10">
        <f>15.7698 * CHOOSE(CONTROL!$C$15, $E$9, 100%, $G$9) + CHOOSE(CONTROL!$C$38, 0.0256, 0)</f>
        <v>15.795400000000001</v>
      </c>
      <c r="C49" s="10">
        <f>15.2145 * CHOOSE(CONTROL!$C$15, $E$9, 100%, $G$9) + CHOOSE(CONTROL!$C$38, 0.0347, 0)</f>
        <v>15.2492</v>
      </c>
      <c r="D49" s="10">
        <f>15.2067 * CHOOSE(CONTROL!$C$15, $E$9, 100%, $G$9) + CHOOSE(CONTROL!$C$38, 0.0347, 0)</f>
        <v>15.241400000000001</v>
      </c>
      <c r="E49" s="28">
        <f>15.6135 * CHOOSE(CONTROL!$C$15, $E$9, 100%, $G$9) + CHOOSE(CONTROL!$C$38, 0.0347, 0)</f>
        <v>15.648200000000001</v>
      </c>
      <c r="F49" s="27">
        <f>15.6135 * CHOOSE(CONTROL!$C$15, $E$9, 100%, $G$9) + CHOOSE(CONTROL!$C$38, 0.0256, 0)</f>
        <v>15.639100000000001</v>
      </c>
      <c r="G49" s="10">
        <f>15.2129 * CHOOSE(CONTROL!$C$15, $E$9, 100%, $G$9) + CHOOSE(CONTROL!$C$38, 0.0347, 0)</f>
        <v>15.2476</v>
      </c>
      <c r="H49" s="10">
        <f>15.2129 * CHOOSE(CONTROL!$C$15, $E$9, 100%, $G$9) + CHOOSE(CONTROL!$C$38, 0.0347, 0)</f>
        <v>15.2476</v>
      </c>
      <c r="I49" s="10">
        <f>15.2145 * CHOOSE(CONTROL!$C$15, $E$9, 100%, $G$9) + CHOOSE(CONTROL!$C$38, 0.0347, 0)</f>
        <v>15.2492</v>
      </c>
      <c r="J49" s="29">
        <f>79.0023</f>
        <v>79.002300000000005</v>
      </c>
    </row>
    <row r="50" spans="1:10" ht="15" x14ac:dyDescent="0.2">
      <c r="A50" s="16">
        <v>42795</v>
      </c>
      <c r="B50" s="10">
        <f>15.2588 * CHOOSE(CONTROL!$C$15, $E$9, 100%, $G$9) + CHOOSE(CONTROL!$C$38, 0.0256, 0)</f>
        <v>15.284400000000002</v>
      </c>
      <c r="C50" s="10">
        <f>14.7034 * CHOOSE(CONTROL!$C$15, $E$9, 100%, $G$9) + CHOOSE(CONTROL!$C$38, 0.0347, 0)</f>
        <v>14.738100000000001</v>
      </c>
      <c r="D50" s="10">
        <f>14.6956 * CHOOSE(CONTROL!$C$15, $E$9, 100%, $G$9) + CHOOSE(CONTROL!$C$38, 0.0347, 0)</f>
        <v>14.730300000000002</v>
      </c>
      <c r="E50" s="28">
        <f>15.1025 * CHOOSE(CONTROL!$C$15, $E$9, 100%, $G$9) + CHOOSE(CONTROL!$C$38, 0.0347, 0)</f>
        <v>15.1372</v>
      </c>
      <c r="F50" s="27">
        <f>15.1025 * CHOOSE(CONTROL!$C$15, $E$9, 100%, $G$9) + CHOOSE(CONTROL!$C$38, 0.0256, 0)</f>
        <v>15.1281</v>
      </c>
      <c r="G50" s="10">
        <f>14.7019 * CHOOSE(CONTROL!$C$15, $E$9, 100%, $G$9) + CHOOSE(CONTROL!$C$38, 0.0347, 0)</f>
        <v>14.736600000000001</v>
      </c>
      <c r="H50" s="10">
        <f>14.7019 * CHOOSE(CONTROL!$C$15, $E$9, 100%, $G$9) + CHOOSE(CONTROL!$C$38, 0.0347, 0)</f>
        <v>14.736600000000001</v>
      </c>
      <c r="I50" s="10">
        <f>14.7034 * CHOOSE(CONTROL!$C$15, $E$9, 100%, $G$9) + CHOOSE(CONTROL!$C$38, 0.0347, 0)</f>
        <v>14.738100000000001</v>
      </c>
      <c r="J50" s="29">
        <f>83.1662</f>
        <v>83.166200000000003</v>
      </c>
    </row>
    <row r="51" spans="1:10" ht="15" x14ac:dyDescent="0.2">
      <c r="A51" s="16">
        <v>42826</v>
      </c>
      <c r="B51" s="10">
        <f>14.7636 * CHOOSE(CONTROL!$C$15, $E$9, 100%, $G$9) + CHOOSE(CONTROL!$C$38, 0.0256, 0)</f>
        <v>14.789200000000001</v>
      </c>
      <c r="C51" s="10">
        <f>14.2083 * CHOOSE(CONTROL!$C$15, $E$9, 100%, $G$9) + CHOOSE(CONTROL!$C$38, 0.0347, 0)</f>
        <v>14.243</v>
      </c>
      <c r="D51" s="10">
        <f>14.2005 * CHOOSE(CONTROL!$C$15, $E$9, 100%, $G$9) + CHOOSE(CONTROL!$C$38, 0.0347, 0)</f>
        <v>14.235200000000001</v>
      </c>
      <c r="E51" s="28">
        <f>14.6073 * CHOOSE(CONTROL!$C$15, $E$9, 100%, $G$9) + CHOOSE(CONTROL!$C$38, 0.0347, 0)</f>
        <v>14.642000000000001</v>
      </c>
      <c r="F51" s="27">
        <f>14.6073 * CHOOSE(CONTROL!$C$15, $E$9, 100%, $G$9) + CHOOSE(CONTROL!$C$38, 0.0256, 0)</f>
        <v>14.632900000000001</v>
      </c>
      <c r="G51" s="10">
        <f>14.2067 * CHOOSE(CONTROL!$C$15, $E$9, 100%, $G$9) + CHOOSE(CONTROL!$C$38, 0.0347, 0)</f>
        <v>14.241400000000001</v>
      </c>
      <c r="H51" s="10">
        <f>14.2067 * CHOOSE(CONTROL!$C$15, $E$9, 100%, $G$9) + CHOOSE(CONTROL!$C$38, 0.0347, 0)</f>
        <v>14.241400000000001</v>
      </c>
      <c r="I51" s="10">
        <f>14.2083 * CHOOSE(CONTROL!$C$15, $E$9, 100%, $G$9) + CHOOSE(CONTROL!$C$38, 0.0347, 0)</f>
        <v>14.243</v>
      </c>
      <c r="J51" s="29">
        <f>88.5657</f>
        <v>88.565700000000007</v>
      </c>
    </row>
    <row r="52" spans="1:10" ht="15" x14ac:dyDescent="0.2">
      <c r="A52" s="16">
        <v>42856</v>
      </c>
      <c r="B52" s="10">
        <f>14.2475 * CHOOSE(CONTROL!$C$15, $E$9, 100%, $G$9) + CHOOSE(CONTROL!$C$38, 0.0256, 0)</f>
        <v>14.273100000000001</v>
      </c>
      <c r="C52" s="10">
        <f>13.6921 * CHOOSE(CONTROL!$C$15, $E$9, 100%, $G$9) + CHOOSE(CONTROL!$C$38, 0.0347, 0)</f>
        <v>13.726800000000001</v>
      </c>
      <c r="D52" s="10">
        <f>13.6843 * CHOOSE(CONTROL!$C$15, $E$9, 100%, $G$9) + CHOOSE(CONTROL!$C$38, 0.0347, 0)</f>
        <v>13.719000000000001</v>
      </c>
      <c r="E52" s="28">
        <f>14.0912 * CHOOSE(CONTROL!$C$15, $E$9, 100%, $G$9) + CHOOSE(CONTROL!$C$38, 0.0347, 0)</f>
        <v>14.125900000000001</v>
      </c>
      <c r="F52" s="27">
        <f>14.0912 * CHOOSE(CONTROL!$C$15, $E$9, 100%, $G$9) + CHOOSE(CONTROL!$C$38, 0.0256, 0)</f>
        <v>14.116800000000001</v>
      </c>
      <c r="G52" s="10">
        <f>13.6906 * CHOOSE(CONTROL!$C$15, $E$9, 100%, $G$9) + CHOOSE(CONTROL!$C$38, 0.0347, 0)</f>
        <v>13.725300000000001</v>
      </c>
      <c r="H52" s="10">
        <f>13.6906 * CHOOSE(CONTROL!$C$15, $E$9, 100%, $G$9) + CHOOSE(CONTROL!$C$38, 0.0347, 0)</f>
        <v>13.725300000000001</v>
      </c>
      <c r="I52" s="10">
        <f>13.6921 * CHOOSE(CONTROL!$C$15, $E$9, 100%, $G$9) + CHOOSE(CONTROL!$C$38, 0.0347, 0)</f>
        <v>13.726800000000001</v>
      </c>
      <c r="J52" s="29">
        <f>91.5378</f>
        <v>91.537800000000004</v>
      </c>
    </row>
    <row r="53" spans="1:10" ht="15" x14ac:dyDescent="0.2">
      <c r="A53" s="16">
        <v>42887</v>
      </c>
      <c r="B53" s="10">
        <f>13.8856 * CHOOSE(CONTROL!$C$15, $E$9, 100%, $G$9) + CHOOSE(CONTROL!$C$38, 0.0256, 0)</f>
        <v>13.911200000000001</v>
      </c>
      <c r="C53" s="10">
        <f>13.3303 * CHOOSE(CONTROL!$C$15, $E$9, 100%, $G$9) + CHOOSE(CONTROL!$C$38, 0.0347, 0)</f>
        <v>13.365</v>
      </c>
      <c r="D53" s="10">
        <f>13.3225 * CHOOSE(CONTROL!$C$15, $E$9, 100%, $G$9) + CHOOSE(CONTROL!$C$38, 0.0347, 0)</f>
        <v>13.357200000000001</v>
      </c>
      <c r="E53" s="28">
        <f>13.7294 * CHOOSE(CONTROL!$C$15, $E$9, 100%, $G$9) + CHOOSE(CONTROL!$C$38, 0.0347, 0)</f>
        <v>13.764100000000001</v>
      </c>
      <c r="F53" s="27">
        <f>13.7294 * CHOOSE(CONTROL!$C$15, $E$9, 100%, $G$9) + CHOOSE(CONTROL!$C$38, 0.0256, 0)</f>
        <v>13.755000000000001</v>
      </c>
      <c r="G53" s="10">
        <f>13.3288 * CHOOSE(CONTROL!$C$15, $E$9, 100%, $G$9) + CHOOSE(CONTROL!$C$38, 0.0347, 0)</f>
        <v>13.3635</v>
      </c>
      <c r="H53" s="10">
        <f>13.3288 * CHOOSE(CONTROL!$C$15, $E$9, 100%, $G$9) + CHOOSE(CONTROL!$C$38, 0.0347, 0)</f>
        <v>13.3635</v>
      </c>
      <c r="I53" s="10">
        <f>13.3303 * CHOOSE(CONTROL!$C$15, $E$9, 100%, $G$9) + CHOOSE(CONTROL!$C$38, 0.0347, 0)</f>
        <v>13.365</v>
      </c>
      <c r="J53" s="29">
        <f>92.8568</f>
        <v>92.856800000000007</v>
      </c>
    </row>
    <row r="54" spans="1:10" ht="15" x14ac:dyDescent="0.2">
      <c r="A54" s="16">
        <v>42917</v>
      </c>
      <c r="B54" s="10">
        <f>13.6791 * CHOOSE(CONTROL!$C$15, $E$9, 100%, $G$9) + CHOOSE(CONTROL!$C$38, 0.0256, 0)</f>
        <v>13.704700000000001</v>
      </c>
      <c r="C54" s="10">
        <f>13.1238 * CHOOSE(CONTROL!$C$15, $E$9, 100%, $G$9) + CHOOSE(CONTROL!$C$38, 0.0347, 0)</f>
        <v>13.1585</v>
      </c>
      <c r="D54" s="10">
        <f>13.116 * CHOOSE(CONTROL!$C$15, $E$9, 100%, $G$9) + CHOOSE(CONTROL!$C$38, 0.0347, 0)</f>
        <v>13.150700000000001</v>
      </c>
      <c r="E54" s="28">
        <f>13.5229 * CHOOSE(CONTROL!$C$15, $E$9, 100%, $G$9) + CHOOSE(CONTROL!$C$38, 0.0347, 0)</f>
        <v>13.557600000000001</v>
      </c>
      <c r="F54" s="27">
        <f>13.5229 * CHOOSE(CONTROL!$C$15, $E$9, 100%, $G$9) + CHOOSE(CONTROL!$C$38, 0.0256, 0)</f>
        <v>13.548500000000001</v>
      </c>
      <c r="G54" s="10">
        <f>13.1223 * CHOOSE(CONTROL!$C$15, $E$9, 100%, $G$9) + CHOOSE(CONTROL!$C$38, 0.0347, 0)</f>
        <v>13.157</v>
      </c>
      <c r="H54" s="10">
        <f>13.1223 * CHOOSE(CONTROL!$C$15, $E$9, 100%, $G$9) + CHOOSE(CONTROL!$C$38, 0.0347, 0)</f>
        <v>13.157</v>
      </c>
      <c r="I54" s="10">
        <f>13.1238 * CHOOSE(CONTROL!$C$15, $E$9, 100%, $G$9) + CHOOSE(CONTROL!$C$38, 0.0347, 0)</f>
        <v>13.1585</v>
      </c>
      <c r="J54" s="29">
        <f>92.4225</f>
        <v>92.422499999999999</v>
      </c>
    </row>
    <row r="55" spans="1:10" ht="15" x14ac:dyDescent="0.2">
      <c r="A55" s="16">
        <v>42948</v>
      </c>
      <c r="B55" s="10">
        <f>13.781 * CHOOSE(CONTROL!$C$15, $E$9, 100%, $G$9) + CHOOSE(CONTROL!$C$38, 0.0256, 0)</f>
        <v>13.806600000000001</v>
      </c>
      <c r="C55" s="10">
        <f>13.2257 * CHOOSE(CONTROL!$C$15, $E$9, 100%, $G$9) + CHOOSE(CONTROL!$C$38, 0.0347, 0)</f>
        <v>13.260400000000001</v>
      </c>
      <c r="D55" s="10">
        <f>13.2179 * CHOOSE(CONTROL!$C$15, $E$9, 100%, $G$9) + CHOOSE(CONTROL!$C$38, 0.0347, 0)</f>
        <v>13.252600000000001</v>
      </c>
      <c r="E55" s="28">
        <f>13.6248 * CHOOSE(CONTROL!$C$15, $E$9, 100%, $G$9) + CHOOSE(CONTROL!$C$38, 0.0347, 0)</f>
        <v>13.659500000000001</v>
      </c>
      <c r="F55" s="27">
        <f>13.6248 * CHOOSE(CONTROL!$C$15, $E$9, 100%, $G$9) + CHOOSE(CONTROL!$C$38, 0.0256, 0)</f>
        <v>13.650400000000001</v>
      </c>
      <c r="G55" s="10">
        <f>13.2242 * CHOOSE(CONTROL!$C$15, $E$9, 100%, $G$9) + CHOOSE(CONTROL!$C$38, 0.0347, 0)</f>
        <v>13.258900000000001</v>
      </c>
      <c r="H55" s="10">
        <f>13.2242 * CHOOSE(CONTROL!$C$15, $E$9, 100%, $G$9) + CHOOSE(CONTROL!$C$38, 0.0347, 0)</f>
        <v>13.258900000000001</v>
      </c>
      <c r="I55" s="10">
        <f>13.2257 * CHOOSE(CONTROL!$C$15, $E$9, 100%, $G$9) + CHOOSE(CONTROL!$C$38, 0.0347, 0)</f>
        <v>13.260400000000001</v>
      </c>
      <c r="J55" s="29">
        <f>90.271</f>
        <v>90.271000000000001</v>
      </c>
    </row>
    <row r="56" spans="1:10" ht="15" x14ac:dyDescent="0.2">
      <c r="A56" s="16">
        <v>42979</v>
      </c>
      <c r="B56" s="10">
        <f>14.0578 * CHOOSE(CONTROL!$C$15, $E$9, 100%, $G$9) + CHOOSE(CONTROL!$C$38, 0.0256, 0)</f>
        <v>14.083400000000001</v>
      </c>
      <c r="C56" s="10">
        <f>13.5025 * CHOOSE(CONTROL!$C$15, $E$9, 100%, $G$9) + CHOOSE(CONTROL!$C$38, 0.0347, 0)</f>
        <v>13.5372</v>
      </c>
      <c r="D56" s="10">
        <f>13.4947 * CHOOSE(CONTROL!$C$15, $E$9, 100%, $G$9) + CHOOSE(CONTROL!$C$38, 0.0347, 0)</f>
        <v>13.529400000000001</v>
      </c>
      <c r="E56" s="28">
        <f>13.9016 * CHOOSE(CONTROL!$C$15, $E$9, 100%, $G$9) + CHOOSE(CONTROL!$C$38, 0.0347, 0)</f>
        <v>13.936300000000001</v>
      </c>
      <c r="F56" s="27">
        <f>13.9016 * CHOOSE(CONTROL!$C$15, $E$9, 100%, $G$9) + CHOOSE(CONTROL!$C$38, 0.0256, 0)</f>
        <v>13.927200000000001</v>
      </c>
      <c r="G56" s="10">
        <f>13.501 * CHOOSE(CONTROL!$C$15, $E$9, 100%, $G$9) + CHOOSE(CONTROL!$C$38, 0.0347, 0)</f>
        <v>13.5357</v>
      </c>
      <c r="H56" s="10">
        <f>13.501 * CHOOSE(CONTROL!$C$15, $E$9, 100%, $G$9) + CHOOSE(CONTROL!$C$38, 0.0347, 0)</f>
        <v>13.5357</v>
      </c>
      <c r="I56" s="10">
        <f>13.5025 * CHOOSE(CONTROL!$C$15, $E$9, 100%, $G$9) + CHOOSE(CONTROL!$C$38, 0.0347, 0)</f>
        <v>13.5372</v>
      </c>
      <c r="J56" s="29">
        <f>87.2705</f>
        <v>87.270499999999998</v>
      </c>
    </row>
    <row r="57" spans="1:10" ht="15" x14ac:dyDescent="0.2">
      <c r="A57" s="16">
        <v>43009</v>
      </c>
      <c r="B57" s="10">
        <f>14.2897 * CHOOSE(CONTROL!$C$15, $E$9, 100%, $G$9) + CHOOSE(CONTROL!$C$38, 0.0256, 0)</f>
        <v>14.315300000000001</v>
      </c>
      <c r="C57" s="10">
        <f>13.7344 * CHOOSE(CONTROL!$C$15, $E$9, 100%, $G$9) + CHOOSE(CONTROL!$C$38, 0.0347, 0)</f>
        <v>13.769100000000002</v>
      </c>
      <c r="D57" s="10">
        <f>13.7265 * CHOOSE(CONTROL!$C$15, $E$9, 100%, $G$9) + CHOOSE(CONTROL!$C$38, 0.0347, 0)</f>
        <v>13.761200000000001</v>
      </c>
      <c r="E57" s="28">
        <f>14.1334 * CHOOSE(CONTROL!$C$15, $E$9, 100%, $G$9) + CHOOSE(CONTROL!$C$38, 0.0347, 0)</f>
        <v>14.168100000000001</v>
      </c>
      <c r="F57" s="27">
        <f>14.1334 * CHOOSE(CONTROL!$C$15, $E$9, 100%, $G$9) + CHOOSE(CONTROL!$C$38, 0.0256, 0)</f>
        <v>14.159000000000001</v>
      </c>
      <c r="G57" s="10">
        <f>13.7328 * CHOOSE(CONTROL!$C$15, $E$9, 100%, $G$9) + CHOOSE(CONTROL!$C$38, 0.0347, 0)</f>
        <v>13.7675</v>
      </c>
      <c r="H57" s="10">
        <f>13.7328 * CHOOSE(CONTROL!$C$15, $E$9, 100%, $G$9) + CHOOSE(CONTROL!$C$38, 0.0347, 0)</f>
        <v>13.7675</v>
      </c>
      <c r="I57" s="10">
        <f>13.7344 * CHOOSE(CONTROL!$C$15, $E$9, 100%, $G$9) + CHOOSE(CONTROL!$C$38, 0.0347, 0)</f>
        <v>13.769100000000002</v>
      </c>
      <c r="J57" s="29">
        <f>84.2526</f>
        <v>84.252600000000001</v>
      </c>
    </row>
    <row r="58" spans="1:10" ht="15" x14ac:dyDescent="0.2">
      <c r="A58" s="16">
        <v>43040</v>
      </c>
      <c r="B58" s="10">
        <f>14.4831 * CHOOSE(CONTROL!$C$15, $E$9, 100%, $G$9) + CHOOSE(CONTROL!$C$38, 0.0256, 0)</f>
        <v>14.508700000000001</v>
      </c>
      <c r="C58" s="10">
        <f>13.9278 * CHOOSE(CONTROL!$C$15, $E$9, 100%, $G$9) + CHOOSE(CONTROL!$C$38, 0.0347, 0)</f>
        <v>13.9625</v>
      </c>
      <c r="D58" s="10">
        <f>13.92 * CHOOSE(CONTROL!$C$15, $E$9, 100%, $G$9) + CHOOSE(CONTROL!$C$38, 0.0347, 0)</f>
        <v>13.954700000000001</v>
      </c>
      <c r="E58" s="28">
        <f>14.3269 * CHOOSE(CONTROL!$C$15, $E$9, 100%, $G$9) + CHOOSE(CONTROL!$C$38, 0.0347, 0)</f>
        <v>14.361600000000001</v>
      </c>
      <c r="F58" s="27">
        <f>14.3269 * CHOOSE(CONTROL!$C$15, $E$9, 100%, $G$9) + CHOOSE(CONTROL!$C$38, 0.0256, 0)</f>
        <v>14.352500000000001</v>
      </c>
      <c r="G58" s="10">
        <f>13.9262 * CHOOSE(CONTROL!$C$15, $E$9, 100%, $G$9) + CHOOSE(CONTROL!$C$38, 0.0347, 0)</f>
        <v>13.960900000000001</v>
      </c>
      <c r="H58" s="10">
        <f>13.9262 * CHOOSE(CONTROL!$C$15, $E$9, 100%, $G$9) + CHOOSE(CONTROL!$C$38, 0.0347, 0)</f>
        <v>13.960900000000001</v>
      </c>
      <c r="I58" s="10">
        <f>13.9278 * CHOOSE(CONTROL!$C$15, $E$9, 100%, $G$9) + CHOOSE(CONTROL!$C$38, 0.0347, 0)</f>
        <v>13.9625</v>
      </c>
      <c r="J58" s="29">
        <f>83.6523</f>
        <v>83.652299999999997</v>
      </c>
    </row>
    <row r="59" spans="1:10" ht="15" x14ac:dyDescent="0.2">
      <c r="A59" s="16">
        <v>43070</v>
      </c>
      <c r="B59" s="10">
        <f>15.0792 * CHOOSE(CONTROL!$C$15, $E$9, 100%, $G$9) + CHOOSE(CONTROL!$C$38, 0.0256, 0)</f>
        <v>15.104800000000001</v>
      </c>
      <c r="C59" s="10">
        <f>14.5239 * CHOOSE(CONTROL!$C$15, $E$9, 100%, $G$9) + CHOOSE(CONTROL!$C$38, 0.0347, 0)</f>
        <v>14.5586</v>
      </c>
      <c r="D59" s="10">
        <f>14.5161 * CHOOSE(CONTROL!$C$15, $E$9, 100%, $G$9) + CHOOSE(CONTROL!$C$38, 0.0347, 0)</f>
        <v>14.550800000000001</v>
      </c>
      <c r="E59" s="28">
        <f>14.9229 * CHOOSE(CONTROL!$C$15, $E$9, 100%, $G$9) + CHOOSE(CONTROL!$C$38, 0.0347, 0)</f>
        <v>14.957600000000001</v>
      </c>
      <c r="F59" s="27">
        <f>14.9229 * CHOOSE(CONTROL!$C$15, $E$9, 100%, $G$9) + CHOOSE(CONTROL!$C$38, 0.0256, 0)</f>
        <v>14.948500000000001</v>
      </c>
      <c r="G59" s="10">
        <f>14.5223 * CHOOSE(CONTROL!$C$15, $E$9, 100%, $G$9) + CHOOSE(CONTROL!$C$38, 0.0347, 0)</f>
        <v>14.557</v>
      </c>
      <c r="H59" s="10">
        <f>14.5223 * CHOOSE(CONTROL!$C$15, $E$9, 100%, $G$9) + CHOOSE(CONTROL!$C$38, 0.0347, 0)</f>
        <v>14.557</v>
      </c>
      <c r="I59" s="10">
        <f>14.5239 * CHOOSE(CONTROL!$C$15, $E$9, 100%, $G$9) + CHOOSE(CONTROL!$C$38, 0.0347, 0)</f>
        <v>14.5586</v>
      </c>
      <c r="J59" s="29">
        <f>81.1699</f>
        <v>81.169899999999998</v>
      </c>
    </row>
    <row r="60" spans="1:10" ht="15" x14ac:dyDescent="0.2">
      <c r="A60" s="16">
        <v>43101</v>
      </c>
      <c r="B60" s="10">
        <f>15.7546 * CHOOSE(CONTROL!$C$15, $E$9, 100%, $G$9) + CHOOSE(CONTROL!$C$38, 0.0256, 0)</f>
        <v>15.780200000000001</v>
      </c>
      <c r="C60" s="10">
        <f>15.2031 * CHOOSE(CONTROL!$C$15, $E$9, 100%, $G$9) + CHOOSE(CONTROL!$C$38, 0.0347, 0)</f>
        <v>15.2378</v>
      </c>
      <c r="D60" s="10">
        <f>15.1952 * CHOOSE(CONTROL!$C$15, $E$9, 100%, $G$9) + CHOOSE(CONTROL!$C$38, 0.0347, 0)</f>
        <v>15.229900000000001</v>
      </c>
      <c r="E60" s="28">
        <f>15.5984 * CHOOSE(CONTROL!$C$15, $E$9, 100%, $G$9) + CHOOSE(CONTROL!$C$38, 0.0347, 0)</f>
        <v>15.633100000000001</v>
      </c>
      <c r="F60" s="27">
        <f>15.5984 * CHOOSE(CONTROL!$C$15, $E$9, 100%, $G$9) + CHOOSE(CONTROL!$C$38, 0.0256, 0)</f>
        <v>15.624000000000001</v>
      </c>
      <c r="G60" s="10">
        <f>15.2015 * CHOOSE(CONTROL!$C$15, $E$9, 100%, $G$9) + CHOOSE(CONTROL!$C$38, 0.0347, 0)</f>
        <v>15.2362</v>
      </c>
      <c r="H60" s="10">
        <f>15.2015 * CHOOSE(CONTROL!$C$15, $E$9, 100%, $G$9) + CHOOSE(CONTROL!$C$38, 0.0347, 0)</f>
        <v>15.2362</v>
      </c>
      <c r="I60" s="10">
        <f>15.2031 * CHOOSE(CONTROL!$C$15, $E$9, 100%, $G$9) + CHOOSE(CONTROL!$C$38, 0.0347, 0)</f>
        <v>15.2378</v>
      </c>
      <c r="J60" s="29">
        <f>81.0586</f>
        <v>81.058599999999998</v>
      </c>
    </row>
    <row r="61" spans="1:10" ht="15" x14ac:dyDescent="0.2">
      <c r="A61" s="16">
        <v>43132</v>
      </c>
      <c r="B61" s="10">
        <f>15.9754 * CHOOSE(CONTROL!$C$15, $E$9, 100%, $G$9) + CHOOSE(CONTROL!$C$38, 0.0256, 0)</f>
        <v>16.001000000000001</v>
      </c>
      <c r="C61" s="10">
        <f>15.4238 * CHOOSE(CONTROL!$C$15, $E$9, 100%, $G$9) + CHOOSE(CONTROL!$C$38, 0.0347, 0)</f>
        <v>15.458500000000001</v>
      </c>
      <c r="D61" s="10">
        <f>15.416 * CHOOSE(CONTROL!$C$15, $E$9, 100%, $G$9) + CHOOSE(CONTROL!$C$38, 0.0347, 0)</f>
        <v>15.450700000000001</v>
      </c>
      <c r="E61" s="28">
        <f>15.8192 * CHOOSE(CONTROL!$C$15, $E$9, 100%, $G$9) + CHOOSE(CONTROL!$C$38, 0.0347, 0)</f>
        <v>15.853900000000001</v>
      </c>
      <c r="F61" s="27">
        <f>15.8192 * CHOOSE(CONTROL!$C$15, $E$9, 100%, $G$9) + CHOOSE(CONTROL!$C$38, 0.0256, 0)</f>
        <v>15.844800000000001</v>
      </c>
      <c r="G61" s="10">
        <f>15.4223 * CHOOSE(CONTROL!$C$15, $E$9, 100%, $G$9) + CHOOSE(CONTROL!$C$38, 0.0347, 0)</f>
        <v>15.457000000000001</v>
      </c>
      <c r="H61" s="10">
        <f>15.4223 * CHOOSE(CONTROL!$C$15, $E$9, 100%, $G$9) + CHOOSE(CONTROL!$C$38, 0.0347, 0)</f>
        <v>15.457000000000001</v>
      </c>
      <c r="I61" s="10">
        <f>15.4238 * CHOOSE(CONTROL!$C$15, $E$9, 100%, $G$9) + CHOOSE(CONTROL!$C$38, 0.0347, 0)</f>
        <v>15.458500000000001</v>
      </c>
      <c r="J61" s="29">
        <f>80.8333</f>
        <v>80.833299999999994</v>
      </c>
    </row>
    <row r="62" spans="1:10" ht="15" x14ac:dyDescent="0.2">
      <c r="A62" s="16">
        <v>43160</v>
      </c>
      <c r="B62" s="10">
        <f>15.4644 * CHOOSE(CONTROL!$C$15, $E$9, 100%, $G$9) + CHOOSE(CONTROL!$C$38, 0.0256, 0)</f>
        <v>15.49</v>
      </c>
      <c r="C62" s="10">
        <f>14.9128 * CHOOSE(CONTROL!$C$15, $E$9, 100%, $G$9) + CHOOSE(CONTROL!$C$38, 0.0347, 0)</f>
        <v>14.947500000000002</v>
      </c>
      <c r="D62" s="10">
        <f>14.905 * CHOOSE(CONTROL!$C$15, $E$9, 100%, $G$9) + CHOOSE(CONTROL!$C$38, 0.0347, 0)</f>
        <v>14.9397</v>
      </c>
      <c r="E62" s="28">
        <f>15.3081 * CHOOSE(CONTROL!$C$15, $E$9, 100%, $G$9) + CHOOSE(CONTROL!$C$38, 0.0347, 0)</f>
        <v>15.3428</v>
      </c>
      <c r="F62" s="27">
        <f>15.3081 * CHOOSE(CONTROL!$C$15, $E$9, 100%, $G$9) + CHOOSE(CONTROL!$C$38, 0.0256, 0)</f>
        <v>15.3337</v>
      </c>
      <c r="G62" s="10">
        <f>14.9112 * CHOOSE(CONTROL!$C$15, $E$9, 100%, $G$9) + CHOOSE(CONTROL!$C$38, 0.0347, 0)</f>
        <v>14.9459</v>
      </c>
      <c r="H62" s="10">
        <f>14.9112 * CHOOSE(CONTROL!$C$15, $E$9, 100%, $G$9) + CHOOSE(CONTROL!$C$38, 0.0347, 0)</f>
        <v>14.9459</v>
      </c>
      <c r="I62" s="10">
        <f>14.9128 * CHOOSE(CONTROL!$C$15, $E$9, 100%, $G$9) + CHOOSE(CONTROL!$C$38, 0.0347, 0)</f>
        <v>14.947500000000002</v>
      </c>
      <c r="J62" s="29">
        <f>85.0936</f>
        <v>85.093599999999995</v>
      </c>
    </row>
    <row r="63" spans="1:10" ht="15" x14ac:dyDescent="0.2">
      <c r="A63" s="16">
        <v>43191</v>
      </c>
      <c r="B63" s="10">
        <f>14.9692 * CHOOSE(CONTROL!$C$15, $E$9, 100%, $G$9) + CHOOSE(CONTROL!$C$38, 0.0256, 0)</f>
        <v>14.994800000000001</v>
      </c>
      <c r="C63" s="10">
        <f>14.4176 * CHOOSE(CONTROL!$C$15, $E$9, 100%, $G$9) + CHOOSE(CONTROL!$C$38, 0.0347, 0)</f>
        <v>14.452300000000001</v>
      </c>
      <c r="D63" s="10">
        <f>14.4098 * CHOOSE(CONTROL!$C$15, $E$9, 100%, $G$9) + CHOOSE(CONTROL!$C$38, 0.0347, 0)</f>
        <v>14.444500000000001</v>
      </c>
      <c r="E63" s="28">
        <f>14.8129 * CHOOSE(CONTROL!$C$15, $E$9, 100%, $G$9) + CHOOSE(CONTROL!$C$38, 0.0347, 0)</f>
        <v>14.847600000000002</v>
      </c>
      <c r="F63" s="27">
        <f>14.8129 * CHOOSE(CONTROL!$C$15, $E$9, 100%, $G$9) + CHOOSE(CONTROL!$C$38, 0.0256, 0)</f>
        <v>14.838500000000002</v>
      </c>
      <c r="G63" s="10">
        <f>14.416 * CHOOSE(CONTROL!$C$15, $E$9, 100%, $G$9) + CHOOSE(CONTROL!$C$38, 0.0347, 0)</f>
        <v>14.450700000000001</v>
      </c>
      <c r="H63" s="10">
        <f>14.416 * CHOOSE(CONTROL!$C$15, $E$9, 100%, $G$9) + CHOOSE(CONTROL!$C$38, 0.0347, 0)</f>
        <v>14.450700000000001</v>
      </c>
      <c r="I63" s="10">
        <f>14.4176 * CHOOSE(CONTROL!$C$15, $E$9, 100%, $G$9) + CHOOSE(CONTROL!$C$38, 0.0347, 0)</f>
        <v>14.452300000000001</v>
      </c>
      <c r="J63" s="29">
        <f>90.6183</f>
        <v>90.618300000000005</v>
      </c>
    </row>
    <row r="64" spans="1:10" ht="15" x14ac:dyDescent="0.2">
      <c r="A64" s="16">
        <v>43221</v>
      </c>
      <c r="B64" s="10">
        <f>14.4531 * CHOOSE(CONTROL!$C$15, $E$9, 100%, $G$9) + CHOOSE(CONTROL!$C$38, 0.0256, 0)</f>
        <v>14.4787</v>
      </c>
      <c r="C64" s="10">
        <f>13.9015 * CHOOSE(CONTROL!$C$15, $E$9, 100%, $G$9) + CHOOSE(CONTROL!$C$38, 0.0347, 0)</f>
        <v>13.936200000000001</v>
      </c>
      <c r="D64" s="10">
        <f>13.8937 * CHOOSE(CONTROL!$C$15, $E$9, 100%, $G$9) + CHOOSE(CONTROL!$C$38, 0.0347, 0)</f>
        <v>13.928400000000002</v>
      </c>
      <c r="E64" s="28">
        <f>14.2968 * CHOOSE(CONTROL!$C$15, $E$9, 100%, $G$9) + CHOOSE(CONTROL!$C$38, 0.0347, 0)</f>
        <v>14.3315</v>
      </c>
      <c r="F64" s="27">
        <f>14.2968 * CHOOSE(CONTROL!$C$15, $E$9, 100%, $G$9) + CHOOSE(CONTROL!$C$38, 0.0256, 0)</f>
        <v>14.3224</v>
      </c>
      <c r="G64" s="10">
        <f>13.8999 * CHOOSE(CONTROL!$C$15, $E$9, 100%, $G$9) + CHOOSE(CONTROL!$C$38, 0.0347, 0)</f>
        <v>13.934600000000001</v>
      </c>
      <c r="H64" s="10">
        <f>13.8999 * CHOOSE(CONTROL!$C$15, $E$9, 100%, $G$9) + CHOOSE(CONTROL!$C$38, 0.0347, 0)</f>
        <v>13.934600000000001</v>
      </c>
      <c r="I64" s="10">
        <f>13.9015 * CHOOSE(CONTROL!$C$15, $E$9, 100%, $G$9) + CHOOSE(CONTROL!$C$38, 0.0347, 0)</f>
        <v>13.936200000000001</v>
      </c>
      <c r="J64" s="29">
        <f>93.6593</f>
        <v>93.659300000000002</v>
      </c>
    </row>
    <row r="65" spans="1:10" ht="15" x14ac:dyDescent="0.2">
      <c r="A65" s="16">
        <v>43252</v>
      </c>
      <c r="B65" s="10">
        <f>14.0912 * CHOOSE(CONTROL!$C$15, $E$9, 100%, $G$9) + CHOOSE(CONTROL!$C$38, 0.0256, 0)</f>
        <v>14.116800000000001</v>
      </c>
      <c r="C65" s="10">
        <f>13.5397 * CHOOSE(CONTROL!$C$15, $E$9, 100%, $G$9) + CHOOSE(CONTROL!$C$38, 0.0347, 0)</f>
        <v>13.574400000000001</v>
      </c>
      <c r="D65" s="10">
        <f>13.5318 * CHOOSE(CONTROL!$C$15, $E$9, 100%, $G$9) + CHOOSE(CONTROL!$C$38, 0.0347, 0)</f>
        <v>13.566500000000001</v>
      </c>
      <c r="E65" s="28">
        <f>13.935 * CHOOSE(CONTROL!$C$15, $E$9, 100%, $G$9) + CHOOSE(CONTROL!$C$38, 0.0347, 0)</f>
        <v>13.969700000000001</v>
      </c>
      <c r="F65" s="27">
        <f>13.935 * CHOOSE(CONTROL!$C$15, $E$9, 100%, $G$9) + CHOOSE(CONTROL!$C$38, 0.0256, 0)</f>
        <v>13.960600000000001</v>
      </c>
      <c r="G65" s="10">
        <f>13.5381 * CHOOSE(CONTROL!$C$15, $E$9, 100%, $G$9) + CHOOSE(CONTROL!$C$38, 0.0347, 0)</f>
        <v>13.572800000000001</v>
      </c>
      <c r="H65" s="10">
        <f>13.5381 * CHOOSE(CONTROL!$C$15, $E$9, 100%, $G$9) + CHOOSE(CONTROL!$C$38, 0.0347, 0)</f>
        <v>13.572800000000001</v>
      </c>
      <c r="I65" s="10">
        <f>13.5397 * CHOOSE(CONTROL!$C$15, $E$9, 100%, $G$9) + CHOOSE(CONTROL!$C$38, 0.0347, 0)</f>
        <v>13.574400000000001</v>
      </c>
      <c r="J65" s="29">
        <f>95.0088</f>
        <v>95.008799999999994</v>
      </c>
    </row>
    <row r="66" spans="1:10" ht="15" x14ac:dyDescent="0.2">
      <c r="A66" s="16">
        <v>43282</v>
      </c>
      <c r="B66" s="10">
        <f>13.8848 * CHOOSE(CONTROL!$C$15, $E$9, 100%, $G$9) + CHOOSE(CONTROL!$C$38, 0.0256, 0)</f>
        <v>13.910400000000001</v>
      </c>
      <c r="C66" s="10">
        <f>13.3332 * CHOOSE(CONTROL!$C$15, $E$9, 100%, $G$9) + CHOOSE(CONTROL!$C$38, 0.0347, 0)</f>
        <v>13.367900000000001</v>
      </c>
      <c r="D66" s="10">
        <f>13.3254 * CHOOSE(CONTROL!$C$15, $E$9, 100%, $G$9) + CHOOSE(CONTROL!$C$38, 0.0347, 0)</f>
        <v>13.360100000000001</v>
      </c>
      <c r="E66" s="28">
        <f>13.7285 * CHOOSE(CONTROL!$C$15, $E$9, 100%, $G$9) + CHOOSE(CONTROL!$C$38, 0.0347, 0)</f>
        <v>13.763200000000001</v>
      </c>
      <c r="F66" s="27">
        <f>13.7285 * CHOOSE(CONTROL!$C$15, $E$9, 100%, $G$9) + CHOOSE(CONTROL!$C$38, 0.0256, 0)</f>
        <v>13.754100000000001</v>
      </c>
      <c r="G66" s="10">
        <f>13.3316 * CHOOSE(CONTROL!$C$15, $E$9, 100%, $G$9) + CHOOSE(CONTROL!$C$38, 0.0347, 0)</f>
        <v>13.366300000000001</v>
      </c>
      <c r="H66" s="10">
        <f>13.3316 * CHOOSE(CONTROL!$C$15, $E$9, 100%, $G$9) + CHOOSE(CONTROL!$C$38, 0.0347, 0)</f>
        <v>13.366300000000001</v>
      </c>
      <c r="I66" s="10">
        <f>13.3332 * CHOOSE(CONTROL!$C$15, $E$9, 100%, $G$9) + CHOOSE(CONTROL!$C$38, 0.0347, 0)</f>
        <v>13.367900000000001</v>
      </c>
      <c r="J66" s="29">
        <f>94.5645</f>
        <v>94.564499999999995</v>
      </c>
    </row>
    <row r="67" spans="1:10" ht="15" x14ac:dyDescent="0.2">
      <c r="A67" s="16">
        <v>43313</v>
      </c>
      <c r="B67" s="10">
        <f>13.9867 * CHOOSE(CONTROL!$C$15, $E$9, 100%, $G$9) + CHOOSE(CONTROL!$C$38, 0.0256, 0)</f>
        <v>14.012300000000002</v>
      </c>
      <c r="C67" s="10">
        <f>13.4351 * CHOOSE(CONTROL!$C$15, $E$9, 100%, $G$9) + CHOOSE(CONTROL!$C$38, 0.0347, 0)</f>
        <v>13.469800000000001</v>
      </c>
      <c r="D67" s="10">
        <f>13.4273 * CHOOSE(CONTROL!$C$15, $E$9, 100%, $G$9) + CHOOSE(CONTROL!$C$38, 0.0347, 0)</f>
        <v>13.462000000000002</v>
      </c>
      <c r="E67" s="28">
        <f>13.8304 * CHOOSE(CONTROL!$C$15, $E$9, 100%, $G$9) + CHOOSE(CONTROL!$C$38, 0.0347, 0)</f>
        <v>13.8651</v>
      </c>
      <c r="F67" s="27">
        <f>13.8304 * CHOOSE(CONTROL!$C$15, $E$9, 100%, $G$9) + CHOOSE(CONTROL!$C$38, 0.0256, 0)</f>
        <v>13.856</v>
      </c>
      <c r="G67" s="10">
        <f>13.4335 * CHOOSE(CONTROL!$C$15, $E$9, 100%, $G$9) + CHOOSE(CONTROL!$C$38, 0.0347, 0)</f>
        <v>13.468200000000001</v>
      </c>
      <c r="H67" s="10">
        <f>13.4335 * CHOOSE(CONTROL!$C$15, $E$9, 100%, $G$9) + CHOOSE(CONTROL!$C$38, 0.0347, 0)</f>
        <v>13.468200000000001</v>
      </c>
      <c r="I67" s="10">
        <f>13.4351 * CHOOSE(CONTROL!$C$15, $E$9, 100%, $G$9) + CHOOSE(CONTROL!$C$38, 0.0347, 0)</f>
        <v>13.469800000000001</v>
      </c>
      <c r="J67" s="29">
        <f>92.3631</f>
        <v>92.363100000000003</v>
      </c>
    </row>
    <row r="68" spans="1:10" ht="15" x14ac:dyDescent="0.2">
      <c r="A68" s="16">
        <v>43344</v>
      </c>
      <c r="B68" s="10">
        <f>14.2635 * CHOOSE(CONTROL!$C$15, $E$9, 100%, $G$9) + CHOOSE(CONTROL!$C$38, 0.0256, 0)</f>
        <v>14.289100000000001</v>
      </c>
      <c r="C68" s="10">
        <f>13.7119 * CHOOSE(CONTROL!$C$15, $E$9, 100%, $G$9) + CHOOSE(CONTROL!$C$38, 0.0347, 0)</f>
        <v>13.746600000000001</v>
      </c>
      <c r="D68" s="10">
        <f>13.7041 * CHOOSE(CONTROL!$C$15, $E$9, 100%, $G$9) + CHOOSE(CONTROL!$C$38, 0.0347, 0)</f>
        <v>13.738800000000001</v>
      </c>
      <c r="E68" s="28">
        <f>14.1072 * CHOOSE(CONTROL!$C$15, $E$9, 100%, $G$9) + CHOOSE(CONTROL!$C$38, 0.0347, 0)</f>
        <v>14.141900000000001</v>
      </c>
      <c r="F68" s="27">
        <f>14.1072 * CHOOSE(CONTROL!$C$15, $E$9, 100%, $G$9) + CHOOSE(CONTROL!$C$38, 0.0256, 0)</f>
        <v>14.132800000000001</v>
      </c>
      <c r="G68" s="10">
        <f>13.7103 * CHOOSE(CONTROL!$C$15, $E$9, 100%, $G$9) + CHOOSE(CONTROL!$C$38, 0.0347, 0)</f>
        <v>13.745000000000001</v>
      </c>
      <c r="H68" s="10">
        <f>13.7103 * CHOOSE(CONTROL!$C$15, $E$9, 100%, $G$9) + CHOOSE(CONTROL!$C$38, 0.0347, 0)</f>
        <v>13.745000000000001</v>
      </c>
      <c r="I68" s="10">
        <f>13.7119 * CHOOSE(CONTROL!$C$15, $E$9, 100%, $G$9) + CHOOSE(CONTROL!$C$38, 0.0347, 0)</f>
        <v>13.746600000000001</v>
      </c>
      <c r="J68" s="29">
        <f>89.2931</f>
        <v>89.293099999999995</v>
      </c>
    </row>
    <row r="69" spans="1:10" ht="15" x14ac:dyDescent="0.2">
      <c r="A69" s="16">
        <v>43374</v>
      </c>
      <c r="B69" s="10">
        <f>14.4953 * CHOOSE(CONTROL!$C$15, $E$9, 100%, $G$9) + CHOOSE(CONTROL!$C$38, 0.0256, 0)</f>
        <v>14.520900000000001</v>
      </c>
      <c r="C69" s="10">
        <f>13.9437 * CHOOSE(CONTROL!$C$15, $E$9, 100%, $G$9) + CHOOSE(CONTROL!$C$38, 0.0347, 0)</f>
        <v>13.978400000000001</v>
      </c>
      <c r="D69" s="10">
        <f>13.9359 * CHOOSE(CONTROL!$C$15, $E$9, 100%, $G$9) + CHOOSE(CONTROL!$C$38, 0.0347, 0)</f>
        <v>13.970600000000001</v>
      </c>
      <c r="E69" s="28">
        <f>14.339 * CHOOSE(CONTROL!$C$15, $E$9, 100%, $G$9) + CHOOSE(CONTROL!$C$38, 0.0347, 0)</f>
        <v>14.373700000000001</v>
      </c>
      <c r="F69" s="27">
        <f>14.339 * CHOOSE(CONTROL!$C$15, $E$9, 100%, $G$9) + CHOOSE(CONTROL!$C$38, 0.0256, 0)</f>
        <v>14.364600000000001</v>
      </c>
      <c r="G69" s="10">
        <f>13.9421 * CHOOSE(CONTROL!$C$15, $E$9, 100%, $G$9) + CHOOSE(CONTROL!$C$38, 0.0347, 0)</f>
        <v>13.976800000000001</v>
      </c>
      <c r="H69" s="10">
        <f>13.9421 * CHOOSE(CONTROL!$C$15, $E$9, 100%, $G$9) + CHOOSE(CONTROL!$C$38, 0.0347, 0)</f>
        <v>13.976800000000001</v>
      </c>
      <c r="I69" s="10">
        <f>13.9437 * CHOOSE(CONTROL!$C$15, $E$9, 100%, $G$9) + CHOOSE(CONTROL!$C$38, 0.0347, 0)</f>
        <v>13.978400000000001</v>
      </c>
      <c r="J69" s="29">
        <f>86.2052</f>
        <v>86.205200000000005</v>
      </c>
    </row>
    <row r="70" spans="1:10" ht="15" x14ac:dyDescent="0.2">
      <c r="A70" s="16">
        <v>43405</v>
      </c>
      <c r="B70" s="10">
        <f>14.6887 * CHOOSE(CONTROL!$C$15, $E$9, 100%, $G$9) + CHOOSE(CONTROL!$C$38, 0.0256, 0)</f>
        <v>14.714300000000001</v>
      </c>
      <c r="C70" s="10">
        <f>14.1371 * CHOOSE(CONTROL!$C$15, $E$9, 100%, $G$9) + CHOOSE(CONTROL!$C$38, 0.0347, 0)</f>
        <v>14.171800000000001</v>
      </c>
      <c r="D70" s="10">
        <f>14.1293 * CHOOSE(CONTROL!$C$15, $E$9, 100%, $G$9) + CHOOSE(CONTROL!$C$38, 0.0347, 0)</f>
        <v>14.164000000000001</v>
      </c>
      <c r="E70" s="28">
        <f>14.5325 * CHOOSE(CONTROL!$C$15, $E$9, 100%, $G$9) + CHOOSE(CONTROL!$C$38, 0.0347, 0)</f>
        <v>14.567200000000001</v>
      </c>
      <c r="F70" s="27">
        <f>14.5325 * CHOOSE(CONTROL!$C$15, $E$9, 100%, $G$9) + CHOOSE(CONTROL!$C$38, 0.0256, 0)</f>
        <v>14.558100000000001</v>
      </c>
      <c r="G70" s="10">
        <f>14.1356 * CHOOSE(CONTROL!$C$15, $E$9, 100%, $G$9) + CHOOSE(CONTROL!$C$38, 0.0347, 0)</f>
        <v>14.170300000000001</v>
      </c>
      <c r="H70" s="10">
        <f>14.1356 * CHOOSE(CONTROL!$C$15, $E$9, 100%, $G$9) + CHOOSE(CONTROL!$C$38, 0.0347, 0)</f>
        <v>14.170300000000001</v>
      </c>
      <c r="I70" s="10">
        <f>14.1371 * CHOOSE(CONTROL!$C$15, $E$9, 100%, $G$9) + CHOOSE(CONTROL!$C$38, 0.0347, 0)</f>
        <v>14.171800000000001</v>
      </c>
      <c r="J70" s="29">
        <f>85.591</f>
        <v>85.590999999999994</v>
      </c>
    </row>
    <row r="71" spans="1:10" ht="15" x14ac:dyDescent="0.2">
      <c r="A71" s="16">
        <v>43435</v>
      </c>
      <c r="B71" s="10">
        <f>15.2848 * CHOOSE(CONTROL!$C$15, $E$9, 100%, $G$9) + CHOOSE(CONTROL!$C$38, 0.0256, 0)</f>
        <v>15.310400000000001</v>
      </c>
      <c r="C71" s="10">
        <f>14.7332 * CHOOSE(CONTROL!$C$15, $E$9, 100%, $G$9) + CHOOSE(CONTROL!$C$38, 0.0347, 0)</f>
        <v>14.767900000000001</v>
      </c>
      <c r="D71" s="10">
        <f>14.7254 * CHOOSE(CONTROL!$C$15, $E$9, 100%, $G$9) + CHOOSE(CONTROL!$C$38, 0.0347, 0)</f>
        <v>14.760100000000001</v>
      </c>
      <c r="E71" s="28">
        <f>15.1285 * CHOOSE(CONTROL!$C$15, $E$9, 100%, $G$9) + CHOOSE(CONTROL!$C$38, 0.0347, 0)</f>
        <v>15.163200000000002</v>
      </c>
      <c r="F71" s="27">
        <f>15.1285 * CHOOSE(CONTROL!$C$15, $E$9, 100%, $G$9) + CHOOSE(CONTROL!$C$38, 0.0256, 0)</f>
        <v>15.154100000000001</v>
      </c>
      <c r="G71" s="10">
        <f>14.7316 * CHOOSE(CONTROL!$C$15, $E$9, 100%, $G$9) + CHOOSE(CONTROL!$C$38, 0.0347, 0)</f>
        <v>14.766300000000001</v>
      </c>
      <c r="H71" s="10">
        <f>14.7316 * CHOOSE(CONTROL!$C$15, $E$9, 100%, $G$9) + CHOOSE(CONTROL!$C$38, 0.0347, 0)</f>
        <v>14.766300000000001</v>
      </c>
      <c r="I71" s="10">
        <f>14.7332 * CHOOSE(CONTROL!$C$15, $E$9, 100%, $G$9) + CHOOSE(CONTROL!$C$38, 0.0347, 0)</f>
        <v>14.767900000000001</v>
      </c>
      <c r="J71" s="29">
        <f>83.0511</f>
        <v>83.051100000000005</v>
      </c>
    </row>
    <row r="72" spans="1:10" ht="15" x14ac:dyDescent="0.2">
      <c r="A72" s="16">
        <v>43466</v>
      </c>
      <c r="B72" s="10">
        <f>17.0237 * CHOOSE(CONTROL!$C$15, $E$9, 100%, $G$9) + CHOOSE(CONTROL!$C$38, 0.0256, 0)</f>
        <v>17.049300000000002</v>
      </c>
      <c r="C72" s="10">
        <f>16.1474 * CHOOSE(CONTROL!$C$15, $E$9, 100%, $G$9) + CHOOSE(CONTROL!$C$38, 0.0347, 0)</f>
        <v>16.182100000000002</v>
      </c>
      <c r="D72" s="10">
        <f>16.1396 * CHOOSE(CONTROL!$C$15, $E$9, 100%, $G$9) + CHOOSE(CONTROL!$C$38, 0.0347, 0)</f>
        <v>16.174300000000002</v>
      </c>
      <c r="E72" s="28">
        <f>16.8675 * CHOOSE(CONTROL!$C$15, $E$9, 100%, $G$9) + CHOOSE(CONTROL!$C$38, 0.0347, 0)</f>
        <v>16.902200000000001</v>
      </c>
      <c r="F72" s="27">
        <f>16.8675 * CHOOSE(CONTROL!$C$15, $E$9, 100%, $G$9) + CHOOSE(CONTROL!$C$38, 0.0256, 0)</f>
        <v>16.8931</v>
      </c>
      <c r="G72" s="10">
        <f>16.1459 * CHOOSE(CONTROL!$C$15, $E$9, 100%, $G$9) + CHOOSE(CONTROL!$C$38, 0.0347, 0)</f>
        <v>16.180600000000002</v>
      </c>
      <c r="H72" s="10">
        <f>16.1459 * CHOOSE(CONTROL!$C$15, $E$9, 100%, $G$9) + CHOOSE(CONTROL!$C$38, 0.0347, 0)</f>
        <v>16.180600000000002</v>
      </c>
      <c r="I72" s="10">
        <f>16.1474 * CHOOSE(CONTROL!$C$15, $E$9, 100%, $G$9) + CHOOSE(CONTROL!$C$38, 0.0347, 0)</f>
        <v>16.182100000000002</v>
      </c>
      <c r="J72" s="26">
        <f>93.2096</f>
        <v>93.209599999999995</v>
      </c>
    </row>
    <row r="73" spans="1:10" ht="15" x14ac:dyDescent="0.2">
      <c r="A73" s="16">
        <v>43497</v>
      </c>
      <c r="B73" s="10">
        <f>17.2445 * CHOOSE(CONTROL!$C$15, $E$9, 100%, $G$9) + CHOOSE(CONTROL!$C$38, 0.0256, 0)</f>
        <v>17.270099999999999</v>
      </c>
      <c r="C73" s="10">
        <f>16.3682 * CHOOSE(CONTROL!$C$15, $E$9, 100%, $G$9) + CHOOSE(CONTROL!$C$38, 0.0347, 0)</f>
        <v>16.402900000000002</v>
      </c>
      <c r="D73" s="10">
        <f>16.3604 * CHOOSE(CONTROL!$C$15, $E$9, 100%, $G$9) + CHOOSE(CONTROL!$C$38, 0.0347, 0)</f>
        <v>16.395099999999999</v>
      </c>
      <c r="E73" s="28">
        <f>17.0882 * CHOOSE(CONTROL!$C$15, $E$9, 100%, $G$9) + CHOOSE(CONTROL!$C$38, 0.0347, 0)</f>
        <v>17.122900000000001</v>
      </c>
      <c r="F73" s="27">
        <f>17.0882 * CHOOSE(CONTROL!$C$15, $E$9, 100%, $G$9) + CHOOSE(CONTROL!$C$38, 0.0256, 0)</f>
        <v>17.113800000000001</v>
      </c>
      <c r="G73" s="10">
        <f>16.3666 * CHOOSE(CONTROL!$C$15, $E$9, 100%, $G$9) + CHOOSE(CONTROL!$C$38, 0.0347, 0)</f>
        <v>16.401299999999999</v>
      </c>
      <c r="H73" s="10">
        <f>16.3666 * CHOOSE(CONTROL!$C$15, $E$9, 100%, $G$9) + CHOOSE(CONTROL!$C$38, 0.0347, 0)</f>
        <v>16.401299999999999</v>
      </c>
      <c r="I73" s="10">
        <f>16.3682 * CHOOSE(CONTROL!$C$15, $E$9, 100%, $G$9) + CHOOSE(CONTROL!$C$38, 0.0347, 0)</f>
        <v>16.402900000000002</v>
      </c>
      <c r="J73" s="26">
        <f>92.9505</f>
        <v>92.950500000000005</v>
      </c>
    </row>
    <row r="74" spans="1:10" ht="15" x14ac:dyDescent="0.2">
      <c r="A74" s="16">
        <v>43525</v>
      </c>
      <c r="B74" s="10">
        <f>16.7334 * CHOOSE(CONTROL!$C$15, $E$9, 100%, $G$9) + CHOOSE(CONTROL!$C$38, 0.0256, 0)</f>
        <v>16.759</v>
      </c>
      <c r="C74" s="10">
        <f>15.8572 * CHOOSE(CONTROL!$C$15, $E$9, 100%, $G$9) + CHOOSE(CONTROL!$C$38, 0.0347, 0)</f>
        <v>15.891900000000001</v>
      </c>
      <c r="D74" s="10">
        <f>15.8493 * CHOOSE(CONTROL!$C$15, $E$9, 100%, $G$9) + CHOOSE(CONTROL!$C$38, 0.0347, 0)</f>
        <v>15.884</v>
      </c>
      <c r="E74" s="28">
        <f>16.5772 * CHOOSE(CONTROL!$C$15, $E$9, 100%, $G$9) + CHOOSE(CONTROL!$C$38, 0.0347, 0)</f>
        <v>16.611900000000002</v>
      </c>
      <c r="F74" s="27">
        <f>16.5772 * CHOOSE(CONTROL!$C$15, $E$9, 100%, $G$9) + CHOOSE(CONTROL!$C$38, 0.0256, 0)</f>
        <v>16.602800000000002</v>
      </c>
      <c r="G74" s="10">
        <f>15.8556 * CHOOSE(CONTROL!$C$15, $E$9, 100%, $G$9) + CHOOSE(CONTROL!$C$38, 0.0347, 0)</f>
        <v>15.890300000000002</v>
      </c>
      <c r="H74" s="10">
        <f>15.8556 * CHOOSE(CONTROL!$C$15, $E$9, 100%, $G$9) + CHOOSE(CONTROL!$C$38, 0.0347, 0)</f>
        <v>15.890300000000002</v>
      </c>
      <c r="I74" s="10">
        <f>15.8572 * CHOOSE(CONTROL!$C$15, $E$9, 100%, $G$9) + CHOOSE(CONTROL!$C$38, 0.0347, 0)</f>
        <v>15.891900000000001</v>
      </c>
      <c r="J74" s="26">
        <f>97.8496</f>
        <v>97.849599999999995</v>
      </c>
    </row>
    <row r="75" spans="1:10" ht="15" x14ac:dyDescent="0.2">
      <c r="A75" s="16">
        <v>43556</v>
      </c>
      <c r="B75" s="10">
        <f>16.2383 * CHOOSE(CONTROL!$C$15, $E$9, 100%, $G$9) + CHOOSE(CONTROL!$C$38, 0.0256, 0)</f>
        <v>16.2639</v>
      </c>
      <c r="C75" s="10">
        <f>15.362 * CHOOSE(CONTROL!$C$15, $E$9, 100%, $G$9) + CHOOSE(CONTROL!$C$38, 0.0347, 0)</f>
        <v>15.396700000000001</v>
      </c>
      <c r="D75" s="10">
        <f>15.3542 * CHOOSE(CONTROL!$C$15, $E$9, 100%, $G$9) + CHOOSE(CONTROL!$C$38, 0.0347, 0)</f>
        <v>15.388900000000001</v>
      </c>
      <c r="E75" s="28">
        <f>16.082 * CHOOSE(CONTROL!$C$15, $E$9, 100%, $G$9) + CHOOSE(CONTROL!$C$38, 0.0347, 0)</f>
        <v>16.116700000000002</v>
      </c>
      <c r="F75" s="27">
        <f>16.082 * CHOOSE(CONTROL!$C$15, $E$9, 100%, $G$9) + CHOOSE(CONTROL!$C$38, 0.0256, 0)</f>
        <v>16.107600000000001</v>
      </c>
      <c r="G75" s="10">
        <f>15.3604 * CHOOSE(CONTROL!$C$15, $E$9, 100%, $G$9) + CHOOSE(CONTROL!$C$38, 0.0347, 0)</f>
        <v>15.395100000000001</v>
      </c>
      <c r="H75" s="10">
        <f>15.3604 * CHOOSE(CONTROL!$C$15, $E$9, 100%, $G$9) + CHOOSE(CONTROL!$C$38, 0.0347, 0)</f>
        <v>15.395100000000001</v>
      </c>
      <c r="I75" s="10">
        <f>15.362 * CHOOSE(CONTROL!$C$15, $E$9, 100%, $G$9) + CHOOSE(CONTROL!$C$38, 0.0347, 0)</f>
        <v>15.396700000000001</v>
      </c>
      <c r="J75" s="26">
        <f>104.2024</f>
        <v>104.2024</v>
      </c>
    </row>
    <row r="76" spans="1:10" ht="15" x14ac:dyDescent="0.2">
      <c r="A76" s="16">
        <v>43586</v>
      </c>
      <c r="B76" s="10">
        <f>15.7221 * CHOOSE(CONTROL!$C$15, $E$9, 100%, $G$9) + CHOOSE(CONTROL!$C$38, 0.0256, 0)</f>
        <v>15.7477</v>
      </c>
      <c r="C76" s="10">
        <f>14.8459 * CHOOSE(CONTROL!$C$15, $E$9, 100%, $G$9) + CHOOSE(CONTROL!$C$38, 0.0347, 0)</f>
        <v>14.880600000000001</v>
      </c>
      <c r="D76" s="10">
        <f>14.838 * CHOOSE(CONTROL!$C$15, $E$9, 100%, $G$9) + CHOOSE(CONTROL!$C$38, 0.0347, 0)</f>
        <v>14.8727</v>
      </c>
      <c r="E76" s="28">
        <f>15.5659 * CHOOSE(CONTROL!$C$15, $E$9, 100%, $G$9) + CHOOSE(CONTROL!$C$38, 0.0347, 0)</f>
        <v>15.6006</v>
      </c>
      <c r="F76" s="27">
        <f>15.5659 * CHOOSE(CONTROL!$C$15, $E$9, 100%, $G$9) + CHOOSE(CONTROL!$C$38, 0.0256, 0)</f>
        <v>15.5915</v>
      </c>
      <c r="G76" s="10">
        <f>14.8443 * CHOOSE(CONTROL!$C$15, $E$9, 100%, $G$9) + CHOOSE(CONTROL!$C$38, 0.0347, 0)</f>
        <v>14.879000000000001</v>
      </c>
      <c r="H76" s="10">
        <f>14.8443 * CHOOSE(CONTROL!$C$15, $E$9, 100%, $G$9) + CHOOSE(CONTROL!$C$38, 0.0347, 0)</f>
        <v>14.879000000000001</v>
      </c>
      <c r="I76" s="10">
        <f>14.8459 * CHOOSE(CONTROL!$C$15, $E$9, 100%, $G$9) + CHOOSE(CONTROL!$C$38, 0.0347, 0)</f>
        <v>14.880600000000001</v>
      </c>
      <c r="J76" s="26">
        <f>107.6993</f>
        <v>107.69929999999999</v>
      </c>
    </row>
    <row r="77" spans="1:10" ht="15" x14ac:dyDescent="0.2">
      <c r="A77" s="16">
        <v>43617</v>
      </c>
      <c r="B77" s="10">
        <f>15.3603 * CHOOSE(CONTROL!$C$15, $E$9, 100%, $G$9) + CHOOSE(CONTROL!$C$38, 0.0256, 0)</f>
        <v>15.385900000000001</v>
      </c>
      <c r="C77" s="10">
        <f>14.484 * CHOOSE(CONTROL!$C$15, $E$9, 100%, $G$9) + CHOOSE(CONTROL!$C$38, 0.0347, 0)</f>
        <v>14.518700000000001</v>
      </c>
      <c r="D77" s="10">
        <f>14.4762 * CHOOSE(CONTROL!$C$15, $E$9, 100%, $G$9) + CHOOSE(CONTROL!$C$38, 0.0347, 0)</f>
        <v>14.510900000000001</v>
      </c>
      <c r="E77" s="28">
        <f>15.2041 * CHOOSE(CONTROL!$C$15, $E$9, 100%, $G$9) + CHOOSE(CONTROL!$C$38, 0.0347, 0)</f>
        <v>15.238800000000001</v>
      </c>
      <c r="F77" s="27">
        <f>15.2041 * CHOOSE(CONTROL!$C$15, $E$9, 100%, $G$9) + CHOOSE(CONTROL!$C$38, 0.0256, 0)</f>
        <v>15.229700000000001</v>
      </c>
      <c r="G77" s="10">
        <f>14.4825 * CHOOSE(CONTROL!$C$15, $E$9, 100%, $G$9) + CHOOSE(CONTROL!$C$38, 0.0347, 0)</f>
        <v>14.517200000000001</v>
      </c>
      <c r="H77" s="10">
        <f>14.4825 * CHOOSE(CONTROL!$C$15, $E$9, 100%, $G$9) + CHOOSE(CONTROL!$C$38, 0.0347, 0)</f>
        <v>14.517200000000001</v>
      </c>
      <c r="I77" s="10">
        <f>14.484 * CHOOSE(CONTROL!$C$15, $E$9, 100%, $G$9) + CHOOSE(CONTROL!$C$38, 0.0347, 0)</f>
        <v>14.518700000000001</v>
      </c>
      <c r="J77" s="26">
        <f>109.2511</f>
        <v>109.25109999999999</v>
      </c>
    </row>
    <row r="78" spans="1:10" ht="15" x14ac:dyDescent="0.2">
      <c r="A78" s="16">
        <v>43647</v>
      </c>
      <c r="B78" s="10">
        <f>15.1538 * CHOOSE(CONTROL!$C$15, $E$9, 100%, $G$9) + CHOOSE(CONTROL!$C$38, 0.0256, 0)</f>
        <v>15.179400000000001</v>
      </c>
      <c r="C78" s="10">
        <f>14.2775 * CHOOSE(CONTROL!$C$15, $E$9, 100%, $G$9) + CHOOSE(CONTROL!$C$38, 0.0347, 0)</f>
        <v>14.312200000000001</v>
      </c>
      <c r="D78" s="10">
        <f>14.2697 * CHOOSE(CONTROL!$C$15, $E$9, 100%, $G$9) + CHOOSE(CONTROL!$C$38, 0.0347, 0)</f>
        <v>14.304400000000001</v>
      </c>
      <c r="E78" s="28">
        <f>14.9976 * CHOOSE(CONTROL!$C$15, $E$9, 100%, $G$9) + CHOOSE(CONTROL!$C$38, 0.0347, 0)</f>
        <v>15.032300000000001</v>
      </c>
      <c r="F78" s="27">
        <f>14.9976 * CHOOSE(CONTROL!$C$15, $E$9, 100%, $G$9) + CHOOSE(CONTROL!$C$38, 0.0256, 0)</f>
        <v>15.023200000000001</v>
      </c>
      <c r="G78" s="10">
        <f>14.276 * CHOOSE(CONTROL!$C$15, $E$9, 100%, $G$9) + CHOOSE(CONTROL!$C$38, 0.0347, 0)</f>
        <v>14.310700000000001</v>
      </c>
      <c r="H78" s="10">
        <f>14.276 * CHOOSE(CONTROL!$C$15, $E$9, 100%, $G$9) + CHOOSE(CONTROL!$C$38, 0.0347, 0)</f>
        <v>14.310700000000001</v>
      </c>
      <c r="I78" s="10">
        <f>14.2775 * CHOOSE(CONTROL!$C$15, $E$9, 100%, $G$9) + CHOOSE(CONTROL!$C$38, 0.0347, 0)</f>
        <v>14.312200000000001</v>
      </c>
      <c r="J78" s="26">
        <f>108.7402</f>
        <v>108.7402</v>
      </c>
    </row>
    <row r="79" spans="1:10" ht="15" x14ac:dyDescent="0.2">
      <c r="A79" s="16">
        <v>43678</v>
      </c>
      <c r="B79" s="10">
        <f>15.2557 * CHOOSE(CONTROL!$C$15, $E$9, 100%, $G$9) + CHOOSE(CONTROL!$C$38, 0.0256, 0)</f>
        <v>15.2813</v>
      </c>
      <c r="C79" s="10">
        <f>14.3794 * CHOOSE(CONTROL!$C$15, $E$9, 100%, $G$9) + CHOOSE(CONTROL!$C$38, 0.0347, 0)</f>
        <v>14.414100000000001</v>
      </c>
      <c r="D79" s="10">
        <f>14.3716 * CHOOSE(CONTROL!$C$15, $E$9, 100%, $G$9) + CHOOSE(CONTROL!$C$38, 0.0347, 0)</f>
        <v>14.406300000000002</v>
      </c>
      <c r="E79" s="28">
        <f>15.0995 * CHOOSE(CONTROL!$C$15, $E$9, 100%, $G$9) + CHOOSE(CONTROL!$C$38, 0.0347, 0)</f>
        <v>15.134200000000002</v>
      </c>
      <c r="F79" s="27">
        <f>15.0995 * CHOOSE(CONTROL!$C$15, $E$9, 100%, $G$9) + CHOOSE(CONTROL!$C$38, 0.0256, 0)</f>
        <v>15.125100000000002</v>
      </c>
      <c r="G79" s="10">
        <f>14.3779 * CHOOSE(CONTROL!$C$15, $E$9, 100%, $G$9) + CHOOSE(CONTROL!$C$38, 0.0347, 0)</f>
        <v>14.412600000000001</v>
      </c>
      <c r="H79" s="10">
        <f>14.3779 * CHOOSE(CONTROL!$C$15, $E$9, 100%, $G$9) + CHOOSE(CONTROL!$C$38, 0.0347, 0)</f>
        <v>14.412600000000001</v>
      </c>
      <c r="I79" s="10">
        <f>14.3794 * CHOOSE(CONTROL!$C$15, $E$9, 100%, $G$9) + CHOOSE(CONTROL!$C$38, 0.0347, 0)</f>
        <v>14.414100000000001</v>
      </c>
      <c r="J79" s="26">
        <f>106.2087</f>
        <v>106.20869999999999</v>
      </c>
    </row>
    <row r="80" spans="1:10" ht="15" x14ac:dyDescent="0.2">
      <c r="A80" s="16">
        <v>43709</v>
      </c>
      <c r="B80" s="10">
        <f>15.5325 * CHOOSE(CONTROL!$C$15, $E$9, 100%, $G$9) + CHOOSE(CONTROL!$C$38, 0.0256, 0)</f>
        <v>15.558100000000001</v>
      </c>
      <c r="C80" s="10">
        <f>14.6562 * CHOOSE(CONTROL!$C$15, $E$9, 100%, $G$9) + CHOOSE(CONTROL!$C$38, 0.0347, 0)</f>
        <v>14.690900000000001</v>
      </c>
      <c r="D80" s="10">
        <f>14.6484 * CHOOSE(CONTROL!$C$15, $E$9, 100%, $G$9) + CHOOSE(CONTROL!$C$38, 0.0347, 0)</f>
        <v>14.683100000000001</v>
      </c>
      <c r="E80" s="28">
        <f>15.3763 * CHOOSE(CONTROL!$C$15, $E$9, 100%, $G$9) + CHOOSE(CONTROL!$C$38, 0.0347, 0)</f>
        <v>15.411000000000001</v>
      </c>
      <c r="F80" s="27">
        <f>15.3763 * CHOOSE(CONTROL!$C$15, $E$9, 100%, $G$9) + CHOOSE(CONTROL!$C$38, 0.0256, 0)</f>
        <v>15.401900000000001</v>
      </c>
      <c r="G80" s="10">
        <f>14.6547 * CHOOSE(CONTROL!$C$15, $E$9, 100%, $G$9) + CHOOSE(CONTROL!$C$38, 0.0347, 0)</f>
        <v>14.689400000000001</v>
      </c>
      <c r="H80" s="10">
        <f>14.6547 * CHOOSE(CONTROL!$C$15, $E$9, 100%, $G$9) + CHOOSE(CONTROL!$C$38, 0.0347, 0)</f>
        <v>14.689400000000001</v>
      </c>
      <c r="I80" s="10">
        <f>14.6562 * CHOOSE(CONTROL!$C$15, $E$9, 100%, $G$9) + CHOOSE(CONTROL!$C$38, 0.0347, 0)</f>
        <v>14.690900000000001</v>
      </c>
      <c r="J80" s="26">
        <f>102.6785</f>
        <v>102.6785</v>
      </c>
    </row>
    <row r="81" spans="1:10" ht="15" x14ac:dyDescent="0.2">
      <c r="A81" s="16">
        <v>43739</v>
      </c>
      <c r="B81" s="10">
        <f>15.7644 * CHOOSE(CONTROL!$C$15, $E$9, 100%, $G$9) + CHOOSE(CONTROL!$C$38, 0.0256, 0)</f>
        <v>15.790000000000001</v>
      </c>
      <c r="C81" s="10">
        <f>14.8881 * CHOOSE(CONTROL!$C$15, $E$9, 100%, $G$9) + CHOOSE(CONTROL!$C$38, 0.0347, 0)</f>
        <v>14.922800000000001</v>
      </c>
      <c r="D81" s="10">
        <f>14.8803 * CHOOSE(CONTROL!$C$15, $E$9, 100%, $G$9) + CHOOSE(CONTROL!$C$38, 0.0347, 0)</f>
        <v>14.915000000000001</v>
      </c>
      <c r="E81" s="28">
        <f>15.6081 * CHOOSE(CONTROL!$C$15, $E$9, 100%, $G$9) + CHOOSE(CONTROL!$C$38, 0.0347, 0)</f>
        <v>15.642800000000001</v>
      </c>
      <c r="F81" s="27">
        <f>15.6081 * CHOOSE(CONTROL!$C$15, $E$9, 100%, $G$9) + CHOOSE(CONTROL!$C$38, 0.0256, 0)</f>
        <v>15.633700000000001</v>
      </c>
      <c r="G81" s="10">
        <f>14.8865 * CHOOSE(CONTROL!$C$15, $E$9, 100%, $G$9) + CHOOSE(CONTROL!$C$38, 0.0347, 0)</f>
        <v>14.921200000000001</v>
      </c>
      <c r="H81" s="10">
        <f>14.8865 * CHOOSE(CONTROL!$C$15, $E$9, 100%, $G$9) + CHOOSE(CONTROL!$C$38, 0.0347, 0)</f>
        <v>14.921200000000001</v>
      </c>
      <c r="I81" s="10">
        <f>14.8881 * CHOOSE(CONTROL!$C$15, $E$9, 100%, $G$9) + CHOOSE(CONTROL!$C$38, 0.0347, 0)</f>
        <v>14.922800000000001</v>
      </c>
      <c r="J81" s="26">
        <f>99.1278</f>
        <v>99.127799999999993</v>
      </c>
    </row>
    <row r="82" spans="1:10" ht="15" x14ac:dyDescent="0.2">
      <c r="A82" s="16">
        <v>43770</v>
      </c>
      <c r="B82" s="10">
        <f>15.9578 * CHOOSE(CONTROL!$C$15, $E$9, 100%, $G$9) + CHOOSE(CONTROL!$C$38, 0.0256, 0)</f>
        <v>15.983400000000001</v>
      </c>
      <c r="C82" s="10">
        <f>15.0815 * CHOOSE(CONTROL!$C$15, $E$9, 100%, $G$9) + CHOOSE(CONTROL!$C$38, 0.0347, 0)</f>
        <v>15.116200000000001</v>
      </c>
      <c r="D82" s="10">
        <f>15.0737 * CHOOSE(CONTROL!$C$15, $E$9, 100%, $G$9) + CHOOSE(CONTROL!$C$38, 0.0347, 0)</f>
        <v>15.108400000000001</v>
      </c>
      <c r="E82" s="28">
        <f>15.8015 * CHOOSE(CONTROL!$C$15, $E$9, 100%, $G$9) + CHOOSE(CONTROL!$C$38, 0.0347, 0)</f>
        <v>15.836200000000002</v>
      </c>
      <c r="F82" s="27">
        <f>15.8015 * CHOOSE(CONTROL!$C$15, $E$9, 100%, $G$9) + CHOOSE(CONTROL!$C$38, 0.0256, 0)</f>
        <v>15.827100000000002</v>
      </c>
      <c r="G82" s="10">
        <f>15.0799 * CHOOSE(CONTROL!$C$15, $E$9, 100%, $G$9) + CHOOSE(CONTROL!$C$38, 0.0347, 0)</f>
        <v>15.114600000000001</v>
      </c>
      <c r="H82" s="10">
        <f>15.0799 * CHOOSE(CONTROL!$C$15, $E$9, 100%, $G$9) + CHOOSE(CONTROL!$C$38, 0.0347, 0)</f>
        <v>15.114600000000001</v>
      </c>
      <c r="I82" s="10">
        <f>15.0815 * CHOOSE(CONTROL!$C$15, $E$9, 100%, $G$9) + CHOOSE(CONTROL!$C$38, 0.0347, 0)</f>
        <v>15.116200000000001</v>
      </c>
      <c r="J82" s="26">
        <f>98.4215</f>
        <v>98.421499999999995</v>
      </c>
    </row>
    <row r="83" spans="1:10" ht="15" x14ac:dyDescent="0.2">
      <c r="A83" s="16">
        <v>43800</v>
      </c>
      <c r="B83" s="10">
        <f>16.5539 * CHOOSE(CONTROL!$C$15, $E$9, 100%, $G$9) + CHOOSE(CONTROL!$C$38, 0.0256, 0)</f>
        <v>16.579499999999999</v>
      </c>
      <c r="C83" s="10">
        <f>15.6776 * CHOOSE(CONTROL!$C$15, $E$9, 100%, $G$9) + CHOOSE(CONTROL!$C$38, 0.0347, 0)</f>
        <v>15.712300000000001</v>
      </c>
      <c r="D83" s="10">
        <f>15.6698 * CHOOSE(CONTROL!$C$15, $E$9, 100%, $G$9) + CHOOSE(CONTROL!$C$38, 0.0347, 0)</f>
        <v>15.704500000000001</v>
      </c>
      <c r="E83" s="28">
        <f>16.3976 * CHOOSE(CONTROL!$C$15, $E$9, 100%, $G$9) + CHOOSE(CONTROL!$C$38, 0.0347, 0)</f>
        <v>16.432300000000001</v>
      </c>
      <c r="F83" s="27">
        <f>16.3976 * CHOOSE(CONTROL!$C$15, $E$9, 100%, $G$9) + CHOOSE(CONTROL!$C$38, 0.0256, 0)</f>
        <v>16.423200000000001</v>
      </c>
      <c r="G83" s="10">
        <f>15.676 * CHOOSE(CONTROL!$C$15, $E$9, 100%, $G$9) + CHOOSE(CONTROL!$C$38, 0.0347, 0)</f>
        <v>15.710700000000001</v>
      </c>
      <c r="H83" s="10">
        <f>15.676 * CHOOSE(CONTROL!$C$15, $E$9, 100%, $G$9) + CHOOSE(CONTROL!$C$38, 0.0347, 0)</f>
        <v>15.710700000000001</v>
      </c>
      <c r="I83" s="10">
        <f>15.6776 * CHOOSE(CONTROL!$C$15, $E$9, 100%, $G$9) + CHOOSE(CONTROL!$C$38, 0.0347, 0)</f>
        <v>15.712300000000001</v>
      </c>
      <c r="J83" s="26">
        <f>95.5008</f>
        <v>95.500799999999998</v>
      </c>
    </row>
    <row r="84" spans="1:10" ht="15" x14ac:dyDescent="0.2">
      <c r="A84" s="16">
        <v>43831</v>
      </c>
      <c r="B84" s="10">
        <f>17.9366 * CHOOSE(CONTROL!$C$15, $E$9, 100%, $G$9) + CHOOSE(CONTROL!$C$38, 0.0256, 0)</f>
        <v>17.962199999999999</v>
      </c>
      <c r="C84" s="10">
        <f>16.8896 * CHOOSE(CONTROL!$C$15, $E$9, 100%, $G$9) + CHOOSE(CONTROL!$C$38, 0.0347, 0)</f>
        <v>16.924300000000002</v>
      </c>
      <c r="D84" s="10">
        <f>16.8818 * CHOOSE(CONTROL!$C$15, $E$9, 100%, $G$9) + CHOOSE(CONTROL!$C$38, 0.0347, 0)</f>
        <v>16.916499999999999</v>
      </c>
      <c r="E84" s="28">
        <f>17.7804 * CHOOSE(CONTROL!$C$15, $E$9, 100%, $G$9) + CHOOSE(CONTROL!$C$38, 0.0347, 0)</f>
        <v>17.815100000000001</v>
      </c>
      <c r="F84" s="27">
        <f>17.7804 * CHOOSE(CONTROL!$C$15, $E$9, 100%, $G$9) + CHOOSE(CONTROL!$C$38, 0.0256, 0)</f>
        <v>17.806000000000001</v>
      </c>
      <c r="G84" s="10">
        <f>16.888 * CHOOSE(CONTROL!$C$15, $E$9, 100%, $G$9) + CHOOSE(CONTROL!$C$38, 0.0347, 0)</f>
        <v>16.922700000000003</v>
      </c>
      <c r="H84" s="10">
        <f>16.888 * CHOOSE(CONTROL!$C$15, $E$9, 100%, $G$9) + CHOOSE(CONTROL!$C$38, 0.0347, 0)</f>
        <v>16.922700000000003</v>
      </c>
      <c r="I84" s="10">
        <f>16.8896 * CHOOSE(CONTROL!$C$15, $E$9, 100%, $G$9) + CHOOSE(CONTROL!$C$38, 0.0347, 0)</f>
        <v>16.924300000000002</v>
      </c>
      <c r="J84" s="26">
        <f>97.0458</f>
        <v>97.0458</v>
      </c>
    </row>
    <row r="85" spans="1:10" ht="15" x14ac:dyDescent="0.2">
      <c r="A85" s="16">
        <v>43862</v>
      </c>
      <c r="B85" s="10">
        <f>18.1574 * CHOOSE(CONTROL!$C$15, $E$9, 100%, $G$9) + CHOOSE(CONTROL!$C$38, 0.0256, 0)</f>
        <v>18.183</v>
      </c>
      <c r="C85" s="10">
        <f>17.1104 * CHOOSE(CONTROL!$C$15, $E$9, 100%, $G$9) + CHOOSE(CONTROL!$C$38, 0.0347, 0)</f>
        <v>17.145099999999999</v>
      </c>
      <c r="D85" s="10">
        <f>17.1026 * CHOOSE(CONTROL!$C$15, $E$9, 100%, $G$9) + CHOOSE(CONTROL!$C$38, 0.0347, 0)</f>
        <v>17.1373</v>
      </c>
      <c r="E85" s="28">
        <f>18.0011 * CHOOSE(CONTROL!$C$15, $E$9, 100%, $G$9) + CHOOSE(CONTROL!$C$38, 0.0347, 0)</f>
        <v>18.035800000000002</v>
      </c>
      <c r="F85" s="27">
        <f>18.0011 * CHOOSE(CONTROL!$C$15, $E$9, 100%, $G$9) + CHOOSE(CONTROL!$C$38, 0.0256, 0)</f>
        <v>18.026700000000002</v>
      </c>
      <c r="G85" s="10">
        <f>17.1088 * CHOOSE(CONTROL!$C$15, $E$9, 100%, $G$9) + CHOOSE(CONTROL!$C$38, 0.0347, 0)</f>
        <v>17.1435</v>
      </c>
      <c r="H85" s="10">
        <f>17.1088 * CHOOSE(CONTROL!$C$15, $E$9, 100%, $G$9) + CHOOSE(CONTROL!$C$38, 0.0347, 0)</f>
        <v>17.1435</v>
      </c>
      <c r="I85" s="10">
        <f>17.1104 * CHOOSE(CONTROL!$C$15, $E$9, 100%, $G$9) + CHOOSE(CONTROL!$C$38, 0.0347, 0)</f>
        <v>17.145099999999999</v>
      </c>
      <c r="J85" s="26">
        <f>96.7761</f>
        <v>96.7761</v>
      </c>
    </row>
    <row r="86" spans="1:10" ht="15" x14ac:dyDescent="0.2">
      <c r="A86" s="16">
        <v>43891</v>
      </c>
      <c r="B86" s="10">
        <f>17.6463 * CHOOSE(CONTROL!$C$15, $E$9, 100%, $G$9) + CHOOSE(CONTROL!$C$38, 0.0256, 0)</f>
        <v>17.671900000000001</v>
      </c>
      <c r="C86" s="10">
        <f>16.5993 * CHOOSE(CONTROL!$C$15, $E$9, 100%, $G$9) + CHOOSE(CONTROL!$C$38, 0.0347, 0)</f>
        <v>16.634</v>
      </c>
      <c r="D86" s="10">
        <f>16.5915 * CHOOSE(CONTROL!$C$15, $E$9, 100%, $G$9) + CHOOSE(CONTROL!$C$38, 0.0347, 0)</f>
        <v>16.626200000000001</v>
      </c>
      <c r="E86" s="28">
        <f>17.4901 * CHOOSE(CONTROL!$C$15, $E$9, 100%, $G$9) + CHOOSE(CONTROL!$C$38, 0.0347, 0)</f>
        <v>17.524800000000003</v>
      </c>
      <c r="F86" s="27">
        <f>17.4901 * CHOOSE(CONTROL!$C$15, $E$9, 100%, $G$9) + CHOOSE(CONTROL!$C$38, 0.0256, 0)</f>
        <v>17.515700000000002</v>
      </c>
      <c r="G86" s="10">
        <f>16.5978 * CHOOSE(CONTROL!$C$15, $E$9, 100%, $G$9) + CHOOSE(CONTROL!$C$38, 0.0347, 0)</f>
        <v>16.6325</v>
      </c>
      <c r="H86" s="10">
        <f>16.5978 * CHOOSE(CONTROL!$C$15, $E$9, 100%, $G$9) + CHOOSE(CONTROL!$C$38, 0.0347, 0)</f>
        <v>16.6325</v>
      </c>
      <c r="I86" s="10">
        <f>16.5993 * CHOOSE(CONTROL!$C$15, $E$9, 100%, $G$9) + CHOOSE(CONTROL!$C$38, 0.0347, 0)</f>
        <v>16.634</v>
      </c>
      <c r="J86" s="26">
        <f>101.8767</f>
        <v>101.8767</v>
      </c>
    </row>
    <row r="87" spans="1:10" ht="15" x14ac:dyDescent="0.2">
      <c r="A87" s="16">
        <v>43922</v>
      </c>
      <c r="B87" s="10">
        <f>17.1512 * CHOOSE(CONTROL!$C$15, $E$9, 100%, $G$9) + CHOOSE(CONTROL!$C$38, 0.0256, 0)</f>
        <v>17.1768</v>
      </c>
      <c r="C87" s="10">
        <f>16.1042 * CHOOSE(CONTROL!$C$15, $E$9, 100%, $G$9) + CHOOSE(CONTROL!$C$38, 0.0347, 0)</f>
        <v>16.1389</v>
      </c>
      <c r="D87" s="10">
        <f>16.0963 * CHOOSE(CONTROL!$C$15, $E$9, 100%, $G$9) + CHOOSE(CONTROL!$C$38, 0.0347, 0)</f>
        <v>16.131</v>
      </c>
      <c r="E87" s="28">
        <f>16.9949 * CHOOSE(CONTROL!$C$15, $E$9, 100%, $G$9) + CHOOSE(CONTROL!$C$38, 0.0347, 0)</f>
        <v>17.029600000000002</v>
      </c>
      <c r="F87" s="27">
        <f>16.9949 * CHOOSE(CONTROL!$C$15, $E$9, 100%, $G$9) + CHOOSE(CONTROL!$C$38, 0.0256, 0)</f>
        <v>17.020500000000002</v>
      </c>
      <c r="G87" s="10">
        <f>16.1026 * CHOOSE(CONTROL!$C$15, $E$9, 100%, $G$9) + CHOOSE(CONTROL!$C$38, 0.0347, 0)</f>
        <v>16.1373</v>
      </c>
      <c r="H87" s="10">
        <f>16.1026 * CHOOSE(CONTROL!$C$15, $E$9, 100%, $G$9) + CHOOSE(CONTROL!$C$38, 0.0347, 0)</f>
        <v>16.1373</v>
      </c>
      <c r="I87" s="10">
        <f>16.1042 * CHOOSE(CONTROL!$C$15, $E$9, 100%, $G$9) + CHOOSE(CONTROL!$C$38, 0.0347, 0)</f>
        <v>16.1389</v>
      </c>
      <c r="J87" s="26">
        <f>108.4911</f>
        <v>108.4911</v>
      </c>
    </row>
    <row r="88" spans="1:10" ht="15" x14ac:dyDescent="0.2">
      <c r="A88" s="16">
        <v>43952</v>
      </c>
      <c r="B88" s="10">
        <f>16.635 * CHOOSE(CONTROL!$C$15, $E$9, 100%, $G$9) + CHOOSE(CONTROL!$C$38, 0.0256, 0)</f>
        <v>16.660600000000002</v>
      </c>
      <c r="C88" s="10">
        <f>15.588 * CHOOSE(CONTROL!$C$15, $E$9, 100%, $G$9) + CHOOSE(CONTROL!$C$38, 0.0347, 0)</f>
        <v>15.6227</v>
      </c>
      <c r="D88" s="10">
        <f>15.5802 * CHOOSE(CONTROL!$C$15, $E$9, 100%, $G$9) + CHOOSE(CONTROL!$C$38, 0.0347, 0)</f>
        <v>15.6149</v>
      </c>
      <c r="E88" s="28">
        <f>16.4788 * CHOOSE(CONTROL!$C$15, $E$9, 100%, $G$9) + CHOOSE(CONTROL!$C$38, 0.0347, 0)</f>
        <v>16.513500000000001</v>
      </c>
      <c r="F88" s="27">
        <f>16.4788 * CHOOSE(CONTROL!$C$15, $E$9, 100%, $G$9) + CHOOSE(CONTROL!$C$38, 0.0256, 0)</f>
        <v>16.5044</v>
      </c>
      <c r="G88" s="10">
        <f>15.5865 * CHOOSE(CONTROL!$C$15, $E$9, 100%, $G$9) + CHOOSE(CONTROL!$C$38, 0.0347, 0)</f>
        <v>15.6212</v>
      </c>
      <c r="H88" s="10">
        <f>15.5865 * CHOOSE(CONTROL!$C$15, $E$9, 100%, $G$9) + CHOOSE(CONTROL!$C$38, 0.0347, 0)</f>
        <v>15.6212</v>
      </c>
      <c r="I88" s="10">
        <f>15.588 * CHOOSE(CONTROL!$C$15, $E$9, 100%, $G$9) + CHOOSE(CONTROL!$C$38, 0.0347, 0)</f>
        <v>15.6227</v>
      </c>
      <c r="J88" s="26">
        <f>112.1318</f>
        <v>112.1318</v>
      </c>
    </row>
    <row r="89" spans="1:10" ht="15" x14ac:dyDescent="0.2">
      <c r="A89" s="16">
        <v>43983</v>
      </c>
      <c r="B89" s="10">
        <f>16.2732 * CHOOSE(CONTROL!$C$15, $E$9, 100%, $G$9) + CHOOSE(CONTROL!$C$38, 0.0256, 0)</f>
        <v>16.2988</v>
      </c>
      <c r="C89" s="10">
        <f>15.2262 * CHOOSE(CONTROL!$C$15, $E$9, 100%, $G$9) + CHOOSE(CONTROL!$C$38, 0.0347, 0)</f>
        <v>15.260900000000001</v>
      </c>
      <c r="D89" s="10">
        <f>15.2184 * CHOOSE(CONTROL!$C$15, $E$9, 100%, $G$9) + CHOOSE(CONTROL!$C$38, 0.0347, 0)</f>
        <v>15.253100000000002</v>
      </c>
      <c r="E89" s="28">
        <f>16.117 * CHOOSE(CONTROL!$C$15, $E$9, 100%, $G$9) + CHOOSE(CONTROL!$C$38, 0.0347, 0)</f>
        <v>16.151700000000002</v>
      </c>
      <c r="F89" s="27">
        <f>16.117 * CHOOSE(CONTROL!$C$15, $E$9, 100%, $G$9) + CHOOSE(CONTROL!$C$38, 0.0256, 0)</f>
        <v>16.142600000000002</v>
      </c>
      <c r="G89" s="10">
        <f>15.2247 * CHOOSE(CONTROL!$C$15, $E$9, 100%, $G$9) + CHOOSE(CONTROL!$C$38, 0.0347, 0)</f>
        <v>15.259400000000001</v>
      </c>
      <c r="H89" s="10">
        <f>15.2247 * CHOOSE(CONTROL!$C$15, $E$9, 100%, $G$9) + CHOOSE(CONTROL!$C$38, 0.0347, 0)</f>
        <v>15.259400000000001</v>
      </c>
      <c r="I89" s="10">
        <f>15.2262 * CHOOSE(CONTROL!$C$15, $E$9, 100%, $G$9) + CHOOSE(CONTROL!$C$38, 0.0347, 0)</f>
        <v>15.260900000000001</v>
      </c>
      <c r="J89" s="26">
        <f>113.7475</f>
        <v>113.7475</v>
      </c>
    </row>
    <row r="90" spans="1:10" ht="15" x14ac:dyDescent="0.2">
      <c r="A90" s="16">
        <v>44013</v>
      </c>
      <c r="B90" s="10">
        <f>16.0667 * CHOOSE(CONTROL!$C$15, $E$9, 100%, $G$9) + CHOOSE(CONTROL!$C$38, 0.0256, 0)</f>
        <v>16.092300000000002</v>
      </c>
      <c r="C90" s="10">
        <f>15.0197 * CHOOSE(CONTROL!$C$15, $E$9, 100%, $G$9) + CHOOSE(CONTROL!$C$38, 0.0347, 0)</f>
        <v>15.054400000000001</v>
      </c>
      <c r="D90" s="10">
        <f>15.0119 * CHOOSE(CONTROL!$C$15, $E$9, 100%, $G$9) + CHOOSE(CONTROL!$C$38, 0.0347, 0)</f>
        <v>15.046600000000002</v>
      </c>
      <c r="E90" s="28">
        <f>15.9105 * CHOOSE(CONTROL!$C$15, $E$9, 100%, $G$9) + CHOOSE(CONTROL!$C$38, 0.0347, 0)</f>
        <v>15.945200000000002</v>
      </c>
      <c r="F90" s="27">
        <f>15.9105 * CHOOSE(CONTROL!$C$15, $E$9, 100%, $G$9) + CHOOSE(CONTROL!$C$38, 0.0256, 0)</f>
        <v>15.936100000000001</v>
      </c>
      <c r="G90" s="10">
        <f>15.0182 * CHOOSE(CONTROL!$C$15, $E$9, 100%, $G$9) + CHOOSE(CONTROL!$C$38, 0.0347, 0)</f>
        <v>15.052900000000001</v>
      </c>
      <c r="H90" s="10">
        <f>15.0182 * CHOOSE(CONTROL!$C$15, $E$9, 100%, $G$9) + CHOOSE(CONTROL!$C$38, 0.0347, 0)</f>
        <v>15.052900000000001</v>
      </c>
      <c r="I90" s="10">
        <f>15.0197 * CHOOSE(CONTROL!$C$15, $E$9, 100%, $G$9) + CHOOSE(CONTROL!$C$38, 0.0347, 0)</f>
        <v>15.054400000000001</v>
      </c>
      <c r="J90" s="26">
        <f>113.2155</f>
        <v>113.21550000000001</v>
      </c>
    </row>
    <row r="91" spans="1:10" ht="15" x14ac:dyDescent="0.2">
      <c r="A91" s="16">
        <v>44044</v>
      </c>
      <c r="B91" s="10">
        <f>16.1686 * CHOOSE(CONTROL!$C$15, $E$9, 100%, $G$9) + CHOOSE(CONTROL!$C$38, 0.0256, 0)</f>
        <v>16.194200000000002</v>
      </c>
      <c r="C91" s="10">
        <f>15.1216 * CHOOSE(CONTROL!$C$15, $E$9, 100%, $G$9) + CHOOSE(CONTROL!$C$38, 0.0347, 0)</f>
        <v>15.156300000000002</v>
      </c>
      <c r="D91" s="10">
        <f>15.1138 * CHOOSE(CONTROL!$C$15, $E$9, 100%, $G$9) + CHOOSE(CONTROL!$C$38, 0.0347, 0)</f>
        <v>15.1485</v>
      </c>
      <c r="E91" s="28">
        <f>16.0124 * CHOOSE(CONTROL!$C$15, $E$9, 100%, $G$9) + CHOOSE(CONTROL!$C$38, 0.0347, 0)</f>
        <v>16.0471</v>
      </c>
      <c r="F91" s="27">
        <f>16.0124 * CHOOSE(CONTROL!$C$15, $E$9, 100%, $G$9) + CHOOSE(CONTROL!$C$38, 0.0256, 0)</f>
        <v>16.038</v>
      </c>
      <c r="G91" s="10">
        <f>15.1201 * CHOOSE(CONTROL!$C$15, $E$9, 100%, $G$9) + CHOOSE(CONTROL!$C$38, 0.0347, 0)</f>
        <v>15.154800000000002</v>
      </c>
      <c r="H91" s="10">
        <f>15.1201 * CHOOSE(CONTROL!$C$15, $E$9, 100%, $G$9) + CHOOSE(CONTROL!$C$38, 0.0347, 0)</f>
        <v>15.154800000000002</v>
      </c>
      <c r="I91" s="10">
        <f>15.1216 * CHOOSE(CONTROL!$C$15, $E$9, 100%, $G$9) + CHOOSE(CONTROL!$C$38, 0.0347, 0)</f>
        <v>15.156300000000002</v>
      </c>
      <c r="J91" s="26">
        <f>110.5799</f>
        <v>110.57989999999999</v>
      </c>
    </row>
    <row r="92" spans="1:10" ht="15" x14ac:dyDescent="0.2">
      <c r="A92" s="16">
        <v>44075</v>
      </c>
      <c r="B92" s="10">
        <f>16.4454 * CHOOSE(CONTROL!$C$15, $E$9, 100%, $G$9) + CHOOSE(CONTROL!$C$38, 0.0256, 0)</f>
        <v>16.471</v>
      </c>
      <c r="C92" s="10">
        <f>15.3984 * CHOOSE(CONTROL!$C$15, $E$9, 100%, $G$9) + CHOOSE(CONTROL!$C$38, 0.0347, 0)</f>
        <v>15.433100000000001</v>
      </c>
      <c r="D92" s="10">
        <f>15.3906 * CHOOSE(CONTROL!$C$15, $E$9, 100%, $G$9) + CHOOSE(CONTROL!$C$38, 0.0347, 0)</f>
        <v>15.4253</v>
      </c>
      <c r="E92" s="28">
        <f>16.2892 * CHOOSE(CONTROL!$C$15, $E$9, 100%, $G$9) + CHOOSE(CONTROL!$C$38, 0.0347, 0)</f>
        <v>16.323900000000002</v>
      </c>
      <c r="F92" s="27">
        <f>16.2892 * CHOOSE(CONTROL!$C$15, $E$9, 100%, $G$9) + CHOOSE(CONTROL!$C$38, 0.0256, 0)</f>
        <v>16.314800000000002</v>
      </c>
      <c r="G92" s="10">
        <f>15.3969 * CHOOSE(CONTROL!$C$15, $E$9, 100%, $G$9) + CHOOSE(CONTROL!$C$38, 0.0347, 0)</f>
        <v>15.431600000000001</v>
      </c>
      <c r="H92" s="10">
        <f>15.3969 * CHOOSE(CONTROL!$C$15, $E$9, 100%, $G$9) + CHOOSE(CONTROL!$C$38, 0.0347, 0)</f>
        <v>15.431600000000001</v>
      </c>
      <c r="I92" s="10">
        <f>15.3984 * CHOOSE(CONTROL!$C$15, $E$9, 100%, $G$9) + CHOOSE(CONTROL!$C$38, 0.0347, 0)</f>
        <v>15.433100000000001</v>
      </c>
      <c r="J92" s="26">
        <f>106.9044</f>
        <v>106.9044</v>
      </c>
    </row>
    <row r="93" spans="1:10" ht="15" x14ac:dyDescent="0.2">
      <c r="A93" s="16">
        <v>44105</v>
      </c>
      <c r="B93" s="10">
        <f>16.6772 * CHOOSE(CONTROL!$C$15, $E$9, 100%, $G$9) + CHOOSE(CONTROL!$C$38, 0.0256, 0)</f>
        <v>16.7028</v>
      </c>
      <c r="C93" s="10">
        <f>15.6303 * CHOOSE(CONTROL!$C$15, $E$9, 100%, $G$9) + CHOOSE(CONTROL!$C$38, 0.0347, 0)</f>
        <v>15.665000000000001</v>
      </c>
      <c r="D93" s="10">
        <f>15.6224 * CHOOSE(CONTROL!$C$15, $E$9, 100%, $G$9) + CHOOSE(CONTROL!$C$38, 0.0347, 0)</f>
        <v>15.657100000000002</v>
      </c>
      <c r="E93" s="28">
        <f>16.521 * CHOOSE(CONTROL!$C$15, $E$9, 100%, $G$9) + CHOOSE(CONTROL!$C$38, 0.0347, 0)</f>
        <v>16.555700000000002</v>
      </c>
      <c r="F93" s="27">
        <f>16.521 * CHOOSE(CONTROL!$C$15, $E$9, 100%, $G$9) + CHOOSE(CONTROL!$C$38, 0.0256, 0)</f>
        <v>16.546600000000002</v>
      </c>
      <c r="G93" s="10">
        <f>15.6287 * CHOOSE(CONTROL!$C$15, $E$9, 100%, $G$9) + CHOOSE(CONTROL!$C$38, 0.0347, 0)</f>
        <v>15.663400000000001</v>
      </c>
      <c r="H93" s="10">
        <f>15.6287 * CHOOSE(CONTROL!$C$15, $E$9, 100%, $G$9) + CHOOSE(CONTROL!$C$38, 0.0347, 0)</f>
        <v>15.663400000000001</v>
      </c>
      <c r="I93" s="10">
        <f>15.6303 * CHOOSE(CONTROL!$C$15, $E$9, 100%, $G$9) + CHOOSE(CONTROL!$C$38, 0.0347, 0)</f>
        <v>15.665000000000001</v>
      </c>
      <c r="J93" s="26">
        <f>103.2076</f>
        <v>103.2076</v>
      </c>
    </row>
    <row r="94" spans="1:10" ht="15" x14ac:dyDescent="0.2">
      <c r="A94" s="16">
        <v>44136</v>
      </c>
      <c r="B94" s="10">
        <f>16.8707 * CHOOSE(CONTROL!$C$15, $E$9, 100%, $G$9) + CHOOSE(CONTROL!$C$38, 0.0256, 0)</f>
        <v>16.8963</v>
      </c>
      <c r="C94" s="10">
        <f>15.8237 * CHOOSE(CONTROL!$C$15, $E$9, 100%, $G$9) + CHOOSE(CONTROL!$C$38, 0.0347, 0)</f>
        <v>15.858400000000001</v>
      </c>
      <c r="D94" s="10">
        <f>15.8159 * CHOOSE(CONTROL!$C$15, $E$9, 100%, $G$9) + CHOOSE(CONTROL!$C$38, 0.0347, 0)</f>
        <v>15.8506</v>
      </c>
      <c r="E94" s="28">
        <f>16.7144 * CHOOSE(CONTROL!$C$15, $E$9, 100%, $G$9) + CHOOSE(CONTROL!$C$38, 0.0347, 0)</f>
        <v>16.749100000000002</v>
      </c>
      <c r="F94" s="27">
        <f>16.7144 * CHOOSE(CONTROL!$C$15, $E$9, 100%, $G$9) + CHOOSE(CONTROL!$C$38, 0.0256, 0)</f>
        <v>16.740000000000002</v>
      </c>
      <c r="G94" s="10">
        <f>15.8221 * CHOOSE(CONTROL!$C$15, $E$9, 100%, $G$9) + CHOOSE(CONTROL!$C$38, 0.0347, 0)</f>
        <v>15.856800000000002</v>
      </c>
      <c r="H94" s="10">
        <f>15.8221 * CHOOSE(CONTROL!$C$15, $E$9, 100%, $G$9) + CHOOSE(CONTROL!$C$38, 0.0347, 0)</f>
        <v>15.856800000000002</v>
      </c>
      <c r="I94" s="10">
        <f>15.8237 * CHOOSE(CONTROL!$C$15, $E$9, 100%, $G$9) + CHOOSE(CONTROL!$C$38, 0.0347, 0)</f>
        <v>15.858400000000001</v>
      </c>
      <c r="J94" s="26">
        <f>102.4722</f>
        <v>102.4722</v>
      </c>
    </row>
    <row r="95" spans="1:10" ht="15" x14ac:dyDescent="0.2">
      <c r="A95" s="16">
        <v>44166</v>
      </c>
      <c r="B95" s="10">
        <f>17.4668 * CHOOSE(CONTROL!$C$15, $E$9, 100%, $G$9) + CHOOSE(CONTROL!$C$38, 0.0256, 0)</f>
        <v>17.4924</v>
      </c>
      <c r="C95" s="10">
        <f>16.4198 * CHOOSE(CONTROL!$C$15, $E$9, 100%, $G$9) + CHOOSE(CONTROL!$C$38, 0.0347, 0)</f>
        <v>16.454499999999999</v>
      </c>
      <c r="D95" s="10">
        <f>16.412 * CHOOSE(CONTROL!$C$15, $E$9, 100%, $G$9) + CHOOSE(CONTROL!$C$38, 0.0347, 0)</f>
        <v>16.4467</v>
      </c>
      <c r="E95" s="28">
        <f>17.3105 * CHOOSE(CONTROL!$C$15, $E$9, 100%, $G$9) + CHOOSE(CONTROL!$C$38, 0.0347, 0)</f>
        <v>17.345200000000002</v>
      </c>
      <c r="F95" s="27">
        <f>17.3105 * CHOOSE(CONTROL!$C$15, $E$9, 100%, $G$9) + CHOOSE(CONTROL!$C$38, 0.0256, 0)</f>
        <v>17.336100000000002</v>
      </c>
      <c r="G95" s="10">
        <f>16.4182 * CHOOSE(CONTROL!$C$15, $E$9, 100%, $G$9) + CHOOSE(CONTROL!$C$38, 0.0347, 0)</f>
        <v>16.4529</v>
      </c>
      <c r="H95" s="10">
        <f>16.4182 * CHOOSE(CONTROL!$C$15, $E$9, 100%, $G$9) + CHOOSE(CONTROL!$C$38, 0.0347, 0)</f>
        <v>16.4529</v>
      </c>
      <c r="I95" s="10">
        <f>16.4198 * CHOOSE(CONTROL!$C$15, $E$9, 100%, $G$9) + CHOOSE(CONTROL!$C$38, 0.0347, 0)</f>
        <v>16.454499999999999</v>
      </c>
      <c r="J95" s="26">
        <f>99.4313</f>
        <v>99.431299999999993</v>
      </c>
    </row>
    <row r="96" spans="1:10" ht="15" x14ac:dyDescent="0.2">
      <c r="A96" s="16">
        <v>44197</v>
      </c>
      <c r="B96" s="10">
        <f>18.7166 * CHOOSE(CONTROL!$C$15, $E$9, 100%, $G$9) + CHOOSE(CONTROL!$C$38, 0.0256, 0)</f>
        <v>18.7422</v>
      </c>
      <c r="C96" s="10">
        <f>17.4396 * CHOOSE(CONTROL!$C$15, $E$9, 100%, $G$9) + CHOOSE(CONTROL!$C$38, 0.0347, 0)</f>
        <v>17.474299999999999</v>
      </c>
      <c r="D96" s="10">
        <f>17.4318 * CHOOSE(CONTROL!$C$15, $E$9, 100%, $G$9) + CHOOSE(CONTROL!$C$38, 0.0347, 0)</f>
        <v>17.4665</v>
      </c>
      <c r="E96" s="28">
        <f>18.5603 * CHOOSE(CONTROL!$C$15, $E$9, 100%, $G$9) + CHOOSE(CONTROL!$C$38, 0.0347, 0)</f>
        <v>18.595000000000002</v>
      </c>
      <c r="F96" s="27">
        <f>18.5603 * CHOOSE(CONTROL!$C$15, $E$9, 100%, $G$9) + CHOOSE(CONTROL!$C$38, 0.0256, 0)</f>
        <v>18.585900000000002</v>
      </c>
      <c r="G96" s="10">
        <f>17.438 * CHOOSE(CONTROL!$C$15, $E$9, 100%, $G$9) + CHOOSE(CONTROL!$C$38, 0.0347, 0)</f>
        <v>17.4727</v>
      </c>
      <c r="H96" s="10">
        <f>17.438 * CHOOSE(CONTROL!$C$15, $E$9, 100%, $G$9) + CHOOSE(CONTROL!$C$38, 0.0347, 0)</f>
        <v>17.4727</v>
      </c>
      <c r="I96" s="10">
        <f>17.4396 * CHOOSE(CONTROL!$C$15, $E$9, 100%, $G$9) + CHOOSE(CONTROL!$C$38, 0.0347, 0)</f>
        <v>17.474299999999999</v>
      </c>
      <c r="J96" s="26">
        <f>101.0568</f>
        <v>101.0568</v>
      </c>
    </row>
    <row r="97" spans="1:10" ht="15" x14ac:dyDescent="0.2">
      <c r="A97" s="16">
        <v>44228</v>
      </c>
      <c r="B97" s="10">
        <f>18.9373 * CHOOSE(CONTROL!$C$15, $E$9, 100%, $G$9) + CHOOSE(CONTROL!$C$38, 0.0256, 0)</f>
        <v>18.962900000000001</v>
      </c>
      <c r="C97" s="10">
        <f>17.6604 * CHOOSE(CONTROL!$C$15, $E$9, 100%, $G$9) + CHOOSE(CONTROL!$C$38, 0.0347, 0)</f>
        <v>17.6951</v>
      </c>
      <c r="D97" s="10">
        <f>17.6526 * CHOOSE(CONTROL!$C$15, $E$9, 100%, $G$9) + CHOOSE(CONTROL!$C$38, 0.0347, 0)</f>
        <v>17.6873</v>
      </c>
      <c r="E97" s="28">
        <f>18.7811 * CHOOSE(CONTROL!$C$15, $E$9, 100%, $G$9) + CHOOSE(CONTROL!$C$38, 0.0347, 0)</f>
        <v>18.815799999999999</v>
      </c>
      <c r="F97" s="27">
        <f>18.7811 * CHOOSE(CONTROL!$C$15, $E$9, 100%, $G$9) + CHOOSE(CONTROL!$C$38, 0.0256, 0)</f>
        <v>18.806699999999999</v>
      </c>
      <c r="G97" s="10">
        <f>17.6588 * CHOOSE(CONTROL!$C$15, $E$9, 100%, $G$9) + CHOOSE(CONTROL!$C$38, 0.0347, 0)</f>
        <v>17.6935</v>
      </c>
      <c r="H97" s="10">
        <f>17.6588 * CHOOSE(CONTROL!$C$15, $E$9, 100%, $G$9) + CHOOSE(CONTROL!$C$38, 0.0347, 0)</f>
        <v>17.6935</v>
      </c>
      <c r="I97" s="10">
        <f>17.6604 * CHOOSE(CONTROL!$C$15, $E$9, 100%, $G$9) + CHOOSE(CONTROL!$C$38, 0.0347, 0)</f>
        <v>17.6951</v>
      </c>
      <c r="J97" s="26">
        <f>100.7759</f>
        <v>100.77589999999999</v>
      </c>
    </row>
    <row r="98" spans="1:10" ht="15" x14ac:dyDescent="0.2">
      <c r="A98" s="16">
        <v>44256</v>
      </c>
      <c r="B98" s="10">
        <f>18.4263 * CHOOSE(CONTROL!$C$15, $E$9, 100%, $G$9) + CHOOSE(CONTROL!$C$38, 0.0256, 0)</f>
        <v>18.451900000000002</v>
      </c>
      <c r="C98" s="10">
        <f>17.1493 * CHOOSE(CONTROL!$C$15, $E$9, 100%, $G$9) + CHOOSE(CONTROL!$C$38, 0.0347, 0)</f>
        <v>17.184000000000001</v>
      </c>
      <c r="D98" s="10">
        <f>17.1415 * CHOOSE(CONTROL!$C$15, $E$9, 100%, $G$9) + CHOOSE(CONTROL!$C$38, 0.0347, 0)</f>
        <v>17.176200000000001</v>
      </c>
      <c r="E98" s="28">
        <f>18.27 * CHOOSE(CONTROL!$C$15, $E$9, 100%, $G$9) + CHOOSE(CONTROL!$C$38, 0.0347, 0)</f>
        <v>18.3047</v>
      </c>
      <c r="F98" s="27">
        <f>18.27 * CHOOSE(CONTROL!$C$15, $E$9, 100%, $G$9) + CHOOSE(CONTROL!$C$38, 0.0256, 0)</f>
        <v>18.2956</v>
      </c>
      <c r="G98" s="10">
        <f>17.1478 * CHOOSE(CONTROL!$C$15, $E$9, 100%, $G$9) + CHOOSE(CONTROL!$C$38, 0.0347, 0)</f>
        <v>17.182500000000001</v>
      </c>
      <c r="H98" s="10">
        <f>17.1478 * CHOOSE(CONTROL!$C$15, $E$9, 100%, $G$9) + CHOOSE(CONTROL!$C$38, 0.0347, 0)</f>
        <v>17.182500000000001</v>
      </c>
      <c r="I98" s="10">
        <f>17.1493 * CHOOSE(CONTROL!$C$15, $E$9, 100%, $G$9) + CHOOSE(CONTROL!$C$38, 0.0347, 0)</f>
        <v>17.184000000000001</v>
      </c>
      <c r="J98" s="26">
        <f>106.0874</f>
        <v>106.0874</v>
      </c>
    </row>
    <row r="99" spans="1:10" ht="15" x14ac:dyDescent="0.2">
      <c r="A99" s="16">
        <v>44287</v>
      </c>
      <c r="B99" s="10">
        <f>17.9311 * CHOOSE(CONTROL!$C$15, $E$9, 100%, $G$9) + CHOOSE(CONTROL!$C$38, 0.0256, 0)</f>
        <v>17.956700000000001</v>
      </c>
      <c r="C99" s="10">
        <f>16.6542 * CHOOSE(CONTROL!$C$15, $E$9, 100%, $G$9) + CHOOSE(CONTROL!$C$38, 0.0347, 0)</f>
        <v>16.6889</v>
      </c>
      <c r="D99" s="10">
        <f>16.6463 * CHOOSE(CONTROL!$C$15, $E$9, 100%, $G$9) + CHOOSE(CONTROL!$C$38, 0.0347, 0)</f>
        <v>16.681000000000001</v>
      </c>
      <c r="E99" s="28">
        <f>17.7749 * CHOOSE(CONTROL!$C$15, $E$9, 100%, $G$9) + CHOOSE(CONTROL!$C$38, 0.0347, 0)</f>
        <v>17.8096</v>
      </c>
      <c r="F99" s="27">
        <f>17.7749 * CHOOSE(CONTROL!$C$15, $E$9, 100%, $G$9) + CHOOSE(CONTROL!$C$38, 0.0256, 0)</f>
        <v>17.8005</v>
      </c>
      <c r="G99" s="10">
        <f>16.6526 * CHOOSE(CONTROL!$C$15, $E$9, 100%, $G$9) + CHOOSE(CONTROL!$C$38, 0.0347, 0)</f>
        <v>16.6873</v>
      </c>
      <c r="H99" s="10">
        <f>16.6526 * CHOOSE(CONTROL!$C$15, $E$9, 100%, $G$9) + CHOOSE(CONTROL!$C$38, 0.0347, 0)</f>
        <v>16.6873</v>
      </c>
      <c r="I99" s="10">
        <f>16.6542 * CHOOSE(CONTROL!$C$15, $E$9, 100%, $G$9) + CHOOSE(CONTROL!$C$38, 0.0347, 0)</f>
        <v>16.6889</v>
      </c>
      <c r="J99" s="26">
        <f>112.9751</f>
        <v>112.9751</v>
      </c>
    </row>
    <row r="100" spans="1:10" ht="15" x14ac:dyDescent="0.2">
      <c r="A100" s="16">
        <v>44317</v>
      </c>
      <c r="B100" s="10">
        <f>17.415 * CHOOSE(CONTROL!$C$15, $E$9, 100%, $G$9) + CHOOSE(CONTROL!$C$38, 0.0256, 0)</f>
        <v>17.4406</v>
      </c>
      <c r="C100" s="10">
        <f>16.138 * CHOOSE(CONTROL!$C$15, $E$9, 100%, $G$9) + CHOOSE(CONTROL!$C$38, 0.0347, 0)</f>
        <v>16.172700000000003</v>
      </c>
      <c r="D100" s="10">
        <f>16.1302 * CHOOSE(CONTROL!$C$15, $E$9, 100%, $G$9) + CHOOSE(CONTROL!$C$38, 0.0347, 0)</f>
        <v>16.164899999999999</v>
      </c>
      <c r="E100" s="28">
        <f>17.2588 * CHOOSE(CONTROL!$C$15, $E$9, 100%, $G$9) + CHOOSE(CONTROL!$C$38, 0.0347, 0)</f>
        <v>17.293500000000002</v>
      </c>
      <c r="F100" s="27">
        <f>17.2588 * CHOOSE(CONTROL!$C$15, $E$9, 100%, $G$9) + CHOOSE(CONTROL!$C$38, 0.0256, 0)</f>
        <v>17.284400000000002</v>
      </c>
      <c r="G100" s="10">
        <f>16.1365 * CHOOSE(CONTROL!$C$15, $E$9, 100%, $G$9) + CHOOSE(CONTROL!$C$38, 0.0347, 0)</f>
        <v>16.171200000000002</v>
      </c>
      <c r="H100" s="10">
        <f>16.1365 * CHOOSE(CONTROL!$C$15, $E$9, 100%, $G$9) + CHOOSE(CONTROL!$C$38, 0.0347, 0)</f>
        <v>16.171200000000002</v>
      </c>
      <c r="I100" s="10">
        <f>16.138 * CHOOSE(CONTROL!$C$15, $E$9, 100%, $G$9) + CHOOSE(CONTROL!$C$38, 0.0347, 0)</f>
        <v>16.172700000000003</v>
      </c>
      <c r="J100" s="26">
        <f>116.7663</f>
        <v>116.7663</v>
      </c>
    </row>
    <row r="101" spans="1:10" ht="15" x14ac:dyDescent="0.2">
      <c r="A101" s="16">
        <v>44348</v>
      </c>
      <c r="B101" s="10">
        <f>17.0532 * CHOOSE(CONTROL!$C$15, $E$9, 100%, $G$9) + CHOOSE(CONTROL!$C$38, 0.0256, 0)</f>
        <v>17.078800000000001</v>
      </c>
      <c r="C101" s="10">
        <f>15.7762 * CHOOSE(CONTROL!$C$15, $E$9, 100%, $G$9) + CHOOSE(CONTROL!$C$38, 0.0347, 0)</f>
        <v>15.8109</v>
      </c>
      <c r="D101" s="10">
        <f>15.7684 * CHOOSE(CONTROL!$C$15, $E$9, 100%, $G$9) + CHOOSE(CONTROL!$C$38, 0.0347, 0)</f>
        <v>15.803100000000001</v>
      </c>
      <c r="E101" s="28">
        <f>16.8969 * CHOOSE(CONTROL!$C$15, $E$9, 100%, $G$9) + CHOOSE(CONTROL!$C$38, 0.0347, 0)</f>
        <v>16.9316</v>
      </c>
      <c r="F101" s="27">
        <f>16.8969 * CHOOSE(CONTROL!$C$15, $E$9, 100%, $G$9) + CHOOSE(CONTROL!$C$38, 0.0256, 0)</f>
        <v>16.922499999999999</v>
      </c>
      <c r="G101" s="10">
        <f>15.7747 * CHOOSE(CONTROL!$C$15, $E$9, 100%, $G$9) + CHOOSE(CONTROL!$C$38, 0.0347, 0)</f>
        <v>15.8094</v>
      </c>
      <c r="H101" s="10">
        <f>15.7747 * CHOOSE(CONTROL!$C$15, $E$9, 100%, $G$9) + CHOOSE(CONTROL!$C$38, 0.0347, 0)</f>
        <v>15.8094</v>
      </c>
      <c r="I101" s="10">
        <f>15.7762 * CHOOSE(CONTROL!$C$15, $E$9, 100%, $G$9) + CHOOSE(CONTROL!$C$38, 0.0347, 0)</f>
        <v>15.8109</v>
      </c>
      <c r="J101" s="26">
        <f>118.4488</f>
        <v>118.44880000000001</v>
      </c>
    </row>
    <row r="102" spans="1:10" ht="15" x14ac:dyDescent="0.2">
      <c r="A102" s="16">
        <v>44378</v>
      </c>
      <c r="B102" s="10">
        <f>16.8467 * CHOOSE(CONTROL!$C$15, $E$9, 100%, $G$9) + CHOOSE(CONTROL!$C$38, 0.0256, 0)</f>
        <v>16.872299999999999</v>
      </c>
      <c r="C102" s="10">
        <f>15.5697 * CHOOSE(CONTROL!$C$15, $E$9, 100%, $G$9) + CHOOSE(CONTROL!$C$38, 0.0347, 0)</f>
        <v>15.6044</v>
      </c>
      <c r="D102" s="10">
        <f>15.5619 * CHOOSE(CONTROL!$C$15, $E$9, 100%, $G$9) + CHOOSE(CONTROL!$C$38, 0.0347, 0)</f>
        <v>15.5966</v>
      </c>
      <c r="E102" s="28">
        <f>16.6904 * CHOOSE(CONTROL!$C$15, $E$9, 100%, $G$9) + CHOOSE(CONTROL!$C$38, 0.0347, 0)</f>
        <v>16.725100000000001</v>
      </c>
      <c r="F102" s="27">
        <f>16.6904 * CHOOSE(CONTROL!$C$15, $E$9, 100%, $G$9) + CHOOSE(CONTROL!$C$38, 0.0256, 0)</f>
        <v>16.716000000000001</v>
      </c>
      <c r="G102" s="10">
        <f>15.5682 * CHOOSE(CONTROL!$C$15, $E$9, 100%, $G$9) + CHOOSE(CONTROL!$C$38, 0.0347, 0)</f>
        <v>15.6029</v>
      </c>
      <c r="H102" s="10">
        <f>15.5682 * CHOOSE(CONTROL!$C$15, $E$9, 100%, $G$9) + CHOOSE(CONTROL!$C$38, 0.0347, 0)</f>
        <v>15.6029</v>
      </c>
      <c r="I102" s="10">
        <f>15.5697 * CHOOSE(CONTROL!$C$15, $E$9, 100%, $G$9) + CHOOSE(CONTROL!$C$38, 0.0347, 0)</f>
        <v>15.6044</v>
      </c>
      <c r="J102" s="26">
        <f>117.8948</f>
        <v>117.8948</v>
      </c>
    </row>
    <row r="103" spans="1:10" ht="15" x14ac:dyDescent="0.2">
      <c r="A103" s="16">
        <v>44409</v>
      </c>
      <c r="B103" s="10">
        <f>16.9486 * CHOOSE(CONTROL!$C$15, $E$9, 100%, $G$9) + CHOOSE(CONTROL!$C$38, 0.0256, 0)</f>
        <v>16.9742</v>
      </c>
      <c r="C103" s="10">
        <f>15.6716 * CHOOSE(CONTROL!$C$15, $E$9, 100%, $G$9) + CHOOSE(CONTROL!$C$38, 0.0347, 0)</f>
        <v>15.706300000000001</v>
      </c>
      <c r="D103" s="10">
        <f>15.6638 * CHOOSE(CONTROL!$C$15, $E$9, 100%, $G$9) + CHOOSE(CONTROL!$C$38, 0.0347, 0)</f>
        <v>15.698500000000001</v>
      </c>
      <c r="E103" s="28">
        <f>16.7923 * CHOOSE(CONTROL!$C$15, $E$9, 100%, $G$9) + CHOOSE(CONTROL!$C$38, 0.0347, 0)</f>
        <v>16.827000000000002</v>
      </c>
      <c r="F103" s="27">
        <f>16.7923 * CHOOSE(CONTROL!$C$15, $E$9, 100%, $G$9) + CHOOSE(CONTROL!$C$38, 0.0256, 0)</f>
        <v>16.817900000000002</v>
      </c>
      <c r="G103" s="10">
        <f>15.6701 * CHOOSE(CONTROL!$C$15, $E$9, 100%, $G$9) + CHOOSE(CONTROL!$C$38, 0.0347, 0)</f>
        <v>15.704800000000001</v>
      </c>
      <c r="H103" s="10">
        <f>15.6701 * CHOOSE(CONTROL!$C$15, $E$9, 100%, $G$9) + CHOOSE(CONTROL!$C$38, 0.0347, 0)</f>
        <v>15.704800000000001</v>
      </c>
      <c r="I103" s="10">
        <f>15.6716 * CHOOSE(CONTROL!$C$15, $E$9, 100%, $G$9) + CHOOSE(CONTROL!$C$38, 0.0347, 0)</f>
        <v>15.706300000000001</v>
      </c>
      <c r="J103" s="26">
        <f>115.1503</f>
        <v>115.1503</v>
      </c>
    </row>
    <row r="104" spans="1:10" ht="15" x14ac:dyDescent="0.2">
      <c r="A104" s="16">
        <v>44440</v>
      </c>
      <c r="B104" s="10">
        <f>17.2254 * CHOOSE(CONTROL!$C$15, $E$9, 100%, $G$9) + CHOOSE(CONTROL!$C$38, 0.0256, 0)</f>
        <v>17.251000000000001</v>
      </c>
      <c r="C104" s="10">
        <f>15.9484 * CHOOSE(CONTROL!$C$15, $E$9, 100%, $G$9) + CHOOSE(CONTROL!$C$38, 0.0347, 0)</f>
        <v>15.9831</v>
      </c>
      <c r="D104" s="10">
        <f>15.9406 * CHOOSE(CONTROL!$C$15, $E$9, 100%, $G$9) + CHOOSE(CONTROL!$C$38, 0.0347, 0)</f>
        <v>15.975300000000001</v>
      </c>
      <c r="E104" s="28">
        <f>17.0691 * CHOOSE(CONTROL!$C$15, $E$9, 100%, $G$9) + CHOOSE(CONTROL!$C$38, 0.0347, 0)</f>
        <v>17.1038</v>
      </c>
      <c r="F104" s="27">
        <f>17.0691 * CHOOSE(CONTROL!$C$15, $E$9, 100%, $G$9) + CHOOSE(CONTROL!$C$38, 0.0256, 0)</f>
        <v>17.0947</v>
      </c>
      <c r="G104" s="10">
        <f>15.9469 * CHOOSE(CONTROL!$C$15, $E$9, 100%, $G$9) + CHOOSE(CONTROL!$C$38, 0.0347, 0)</f>
        <v>15.9816</v>
      </c>
      <c r="H104" s="10">
        <f>15.9469 * CHOOSE(CONTROL!$C$15, $E$9, 100%, $G$9) + CHOOSE(CONTROL!$C$38, 0.0347, 0)</f>
        <v>15.9816</v>
      </c>
      <c r="I104" s="10">
        <f>15.9484 * CHOOSE(CONTROL!$C$15, $E$9, 100%, $G$9) + CHOOSE(CONTROL!$C$38, 0.0347, 0)</f>
        <v>15.9831</v>
      </c>
      <c r="J104" s="26">
        <f>111.3229</f>
        <v>111.3229</v>
      </c>
    </row>
    <row r="105" spans="1:10" ht="15" x14ac:dyDescent="0.2">
      <c r="A105" s="16">
        <v>44470</v>
      </c>
      <c r="B105" s="10">
        <f>17.4572 * CHOOSE(CONTROL!$C$15, $E$9, 100%, $G$9) + CHOOSE(CONTROL!$C$38, 0.0256, 0)</f>
        <v>17.482800000000001</v>
      </c>
      <c r="C105" s="10">
        <f>16.1803 * CHOOSE(CONTROL!$C$15, $E$9, 100%, $G$9) + CHOOSE(CONTROL!$C$38, 0.0347, 0)</f>
        <v>16.215</v>
      </c>
      <c r="D105" s="10">
        <f>16.1724 * CHOOSE(CONTROL!$C$15, $E$9, 100%, $G$9) + CHOOSE(CONTROL!$C$38, 0.0347, 0)</f>
        <v>16.207100000000001</v>
      </c>
      <c r="E105" s="28">
        <f>17.301 * CHOOSE(CONTROL!$C$15, $E$9, 100%, $G$9) + CHOOSE(CONTROL!$C$38, 0.0347, 0)</f>
        <v>17.335699999999999</v>
      </c>
      <c r="F105" s="27">
        <f>17.301 * CHOOSE(CONTROL!$C$15, $E$9, 100%, $G$9) + CHOOSE(CONTROL!$C$38, 0.0256, 0)</f>
        <v>17.326599999999999</v>
      </c>
      <c r="G105" s="10">
        <f>16.1787 * CHOOSE(CONTROL!$C$15, $E$9, 100%, $G$9) + CHOOSE(CONTROL!$C$38, 0.0347, 0)</f>
        <v>16.2134</v>
      </c>
      <c r="H105" s="10">
        <f>16.1787 * CHOOSE(CONTROL!$C$15, $E$9, 100%, $G$9) + CHOOSE(CONTROL!$C$38, 0.0347, 0)</f>
        <v>16.2134</v>
      </c>
      <c r="I105" s="10">
        <f>16.1803 * CHOOSE(CONTROL!$C$15, $E$9, 100%, $G$9) + CHOOSE(CONTROL!$C$38, 0.0347, 0)</f>
        <v>16.215</v>
      </c>
      <c r="J105" s="26">
        <f>107.4732</f>
        <v>107.47320000000001</v>
      </c>
    </row>
    <row r="106" spans="1:10" ht="15" x14ac:dyDescent="0.2">
      <c r="A106" s="16">
        <v>44501</v>
      </c>
      <c r="B106" s="10">
        <f>17.6506 * CHOOSE(CONTROL!$C$15, $E$9, 100%, $G$9) + CHOOSE(CONTROL!$C$38, 0.0256, 0)</f>
        <v>17.676200000000001</v>
      </c>
      <c r="C106" s="10">
        <f>16.3737 * CHOOSE(CONTROL!$C$15, $E$9, 100%, $G$9) + CHOOSE(CONTROL!$C$38, 0.0347, 0)</f>
        <v>16.4084</v>
      </c>
      <c r="D106" s="10">
        <f>16.3659 * CHOOSE(CONTROL!$C$15, $E$9, 100%, $G$9) + CHOOSE(CONTROL!$C$38, 0.0347, 0)</f>
        <v>16.400600000000001</v>
      </c>
      <c r="E106" s="28">
        <f>17.4944 * CHOOSE(CONTROL!$C$15, $E$9, 100%, $G$9) + CHOOSE(CONTROL!$C$38, 0.0347, 0)</f>
        <v>17.5291</v>
      </c>
      <c r="F106" s="27">
        <f>17.4944 * CHOOSE(CONTROL!$C$15, $E$9, 100%, $G$9) + CHOOSE(CONTROL!$C$38, 0.0256, 0)</f>
        <v>17.52</v>
      </c>
      <c r="G106" s="10">
        <f>16.3721 * CHOOSE(CONTROL!$C$15, $E$9, 100%, $G$9) + CHOOSE(CONTROL!$C$38, 0.0347, 0)</f>
        <v>16.4068</v>
      </c>
      <c r="H106" s="10">
        <f>16.3721 * CHOOSE(CONTROL!$C$15, $E$9, 100%, $G$9) + CHOOSE(CONTROL!$C$38, 0.0347, 0)</f>
        <v>16.4068</v>
      </c>
      <c r="I106" s="10">
        <f>16.3737 * CHOOSE(CONTROL!$C$15, $E$9, 100%, $G$9) + CHOOSE(CONTROL!$C$38, 0.0347, 0)</f>
        <v>16.4084</v>
      </c>
      <c r="J106" s="26">
        <f>106.7075</f>
        <v>106.7075</v>
      </c>
    </row>
    <row r="107" spans="1:10" ht="15" x14ac:dyDescent="0.2">
      <c r="A107" s="16">
        <v>44531</v>
      </c>
      <c r="B107" s="10">
        <f>18.2467 * CHOOSE(CONTROL!$C$15, $E$9, 100%, $G$9) + CHOOSE(CONTROL!$C$38, 0.0256, 0)</f>
        <v>18.272300000000001</v>
      </c>
      <c r="C107" s="10">
        <f>16.9698 * CHOOSE(CONTROL!$C$15, $E$9, 100%, $G$9) + CHOOSE(CONTROL!$C$38, 0.0347, 0)</f>
        <v>17.0045</v>
      </c>
      <c r="D107" s="10">
        <f>16.962 * CHOOSE(CONTROL!$C$15, $E$9, 100%, $G$9) + CHOOSE(CONTROL!$C$38, 0.0347, 0)</f>
        <v>16.996700000000001</v>
      </c>
      <c r="E107" s="28">
        <f>18.0905 * CHOOSE(CONTROL!$C$15, $E$9, 100%, $G$9) + CHOOSE(CONTROL!$C$38, 0.0347, 0)</f>
        <v>18.1252</v>
      </c>
      <c r="F107" s="27">
        <f>18.0905 * CHOOSE(CONTROL!$C$15, $E$9, 100%, $G$9) + CHOOSE(CONTROL!$C$38, 0.0256, 0)</f>
        <v>18.116099999999999</v>
      </c>
      <c r="G107" s="10">
        <f>16.9682 * CHOOSE(CONTROL!$C$15, $E$9, 100%, $G$9) + CHOOSE(CONTROL!$C$38, 0.0347, 0)</f>
        <v>17.0029</v>
      </c>
      <c r="H107" s="10">
        <f>16.9682 * CHOOSE(CONTROL!$C$15, $E$9, 100%, $G$9) + CHOOSE(CONTROL!$C$38, 0.0347, 0)</f>
        <v>17.0029</v>
      </c>
      <c r="I107" s="10">
        <f>16.9698 * CHOOSE(CONTROL!$C$15, $E$9, 100%, $G$9) + CHOOSE(CONTROL!$C$38, 0.0347, 0)</f>
        <v>17.0045</v>
      </c>
      <c r="J107" s="26">
        <f>103.5409</f>
        <v>103.54089999999999</v>
      </c>
    </row>
    <row r="108" spans="1:10" ht="15" x14ac:dyDescent="0.2">
      <c r="A108" s="16">
        <v>44562</v>
      </c>
      <c r="B108" s="10">
        <f>19.3556 * CHOOSE(CONTROL!$C$15, $E$9, 100%, $G$9) + CHOOSE(CONTROL!$C$38, 0.0256, 0)</f>
        <v>19.3812</v>
      </c>
      <c r="C108" s="10">
        <f>17.9849 * CHOOSE(CONTROL!$C$15, $E$9, 100%, $G$9) + CHOOSE(CONTROL!$C$38, 0.0347, 0)</f>
        <v>18.019600000000001</v>
      </c>
      <c r="D108" s="10">
        <f>17.9771 * CHOOSE(CONTROL!$C$15, $E$9, 100%, $G$9) + CHOOSE(CONTROL!$C$38, 0.0347, 0)</f>
        <v>18.011800000000001</v>
      </c>
      <c r="E108" s="28">
        <f>19.1993 * CHOOSE(CONTROL!$C$15, $E$9, 100%, $G$9) + CHOOSE(CONTROL!$C$38, 0.0347, 0)</f>
        <v>19.234000000000002</v>
      </c>
      <c r="F108" s="27">
        <f>19.1993 * CHOOSE(CONTROL!$C$15, $E$9, 100%, $G$9) + CHOOSE(CONTROL!$C$38, 0.0256, 0)</f>
        <v>19.224900000000002</v>
      </c>
      <c r="G108" s="10">
        <f>17.9834 * CHOOSE(CONTROL!$C$15, $E$9, 100%, $G$9) + CHOOSE(CONTROL!$C$38, 0.0347, 0)</f>
        <v>18.0181</v>
      </c>
      <c r="H108" s="10">
        <f>17.9834 * CHOOSE(CONTROL!$C$15, $E$9, 100%, $G$9) + CHOOSE(CONTROL!$C$38, 0.0347, 0)</f>
        <v>18.0181</v>
      </c>
      <c r="I108" s="10">
        <f>17.9849 * CHOOSE(CONTROL!$C$15, $E$9, 100%, $G$9) + CHOOSE(CONTROL!$C$38, 0.0347, 0)</f>
        <v>18.019600000000001</v>
      </c>
      <c r="J108" s="26">
        <f>105.2242</f>
        <v>105.2242</v>
      </c>
    </row>
    <row r="109" spans="1:10" ht="15" x14ac:dyDescent="0.2">
      <c r="A109" s="16">
        <v>44593</v>
      </c>
      <c r="B109" s="10">
        <f>19.5763 * CHOOSE(CONTROL!$C$15, $E$9, 100%, $G$9) + CHOOSE(CONTROL!$C$38, 0.0256, 0)</f>
        <v>19.601900000000001</v>
      </c>
      <c r="C109" s="10">
        <f>18.2057 * CHOOSE(CONTROL!$C$15, $E$9, 100%, $G$9) + CHOOSE(CONTROL!$C$38, 0.0347, 0)</f>
        <v>18.240400000000001</v>
      </c>
      <c r="D109" s="10">
        <f>18.1979 * CHOOSE(CONTROL!$C$15, $E$9, 100%, $G$9) + CHOOSE(CONTROL!$C$38, 0.0347, 0)</f>
        <v>18.232600000000001</v>
      </c>
      <c r="E109" s="28">
        <f>19.4201 * CHOOSE(CONTROL!$C$15, $E$9, 100%, $G$9) + CHOOSE(CONTROL!$C$38, 0.0347, 0)</f>
        <v>19.454800000000002</v>
      </c>
      <c r="F109" s="27">
        <f>19.4201 * CHOOSE(CONTROL!$C$15, $E$9, 100%, $G$9) + CHOOSE(CONTROL!$C$38, 0.0256, 0)</f>
        <v>19.445700000000002</v>
      </c>
      <c r="G109" s="10">
        <f>18.2041 * CHOOSE(CONTROL!$C$15, $E$9, 100%, $G$9) + CHOOSE(CONTROL!$C$38, 0.0347, 0)</f>
        <v>18.238800000000001</v>
      </c>
      <c r="H109" s="10">
        <f>18.2041 * CHOOSE(CONTROL!$C$15, $E$9, 100%, $G$9) + CHOOSE(CONTROL!$C$38, 0.0347, 0)</f>
        <v>18.238800000000001</v>
      </c>
      <c r="I109" s="10">
        <f>18.2057 * CHOOSE(CONTROL!$C$15, $E$9, 100%, $G$9) + CHOOSE(CONTROL!$C$38, 0.0347, 0)</f>
        <v>18.240400000000001</v>
      </c>
      <c r="J109" s="26">
        <f>104.9317</f>
        <v>104.93170000000001</v>
      </c>
    </row>
    <row r="110" spans="1:10" ht="15" x14ac:dyDescent="0.2">
      <c r="A110" s="16">
        <v>44621</v>
      </c>
      <c r="B110" s="10">
        <f>19.0653 * CHOOSE(CONTROL!$C$15, $E$9, 100%, $G$9) + CHOOSE(CONTROL!$C$38, 0.0256, 0)</f>
        <v>19.090900000000001</v>
      </c>
      <c r="C110" s="10">
        <f>17.6947 * CHOOSE(CONTROL!$C$15, $E$9, 100%, $G$9) + CHOOSE(CONTROL!$C$38, 0.0347, 0)</f>
        <v>17.729400000000002</v>
      </c>
      <c r="D110" s="10">
        <f>17.6868 * CHOOSE(CONTROL!$C$15, $E$9, 100%, $G$9) + CHOOSE(CONTROL!$C$38, 0.0347, 0)</f>
        <v>17.721500000000002</v>
      </c>
      <c r="E110" s="28">
        <f>18.9091 * CHOOSE(CONTROL!$C$15, $E$9, 100%, $G$9) + CHOOSE(CONTROL!$C$38, 0.0347, 0)</f>
        <v>18.9438</v>
      </c>
      <c r="F110" s="27">
        <f>18.9091 * CHOOSE(CONTROL!$C$15, $E$9, 100%, $G$9) + CHOOSE(CONTROL!$C$38, 0.0256, 0)</f>
        <v>18.934699999999999</v>
      </c>
      <c r="G110" s="10">
        <f>17.6931 * CHOOSE(CONTROL!$C$15, $E$9, 100%, $G$9) + CHOOSE(CONTROL!$C$38, 0.0347, 0)</f>
        <v>17.727800000000002</v>
      </c>
      <c r="H110" s="10">
        <f>17.6931 * CHOOSE(CONTROL!$C$15, $E$9, 100%, $G$9) + CHOOSE(CONTROL!$C$38, 0.0347, 0)</f>
        <v>17.727800000000002</v>
      </c>
      <c r="I110" s="10">
        <f>17.6947 * CHOOSE(CONTROL!$C$15, $E$9, 100%, $G$9) + CHOOSE(CONTROL!$C$38, 0.0347, 0)</f>
        <v>17.729400000000002</v>
      </c>
      <c r="J110" s="26">
        <f>110.4622</f>
        <v>110.4622</v>
      </c>
    </row>
    <row r="111" spans="1:10" ht="15" x14ac:dyDescent="0.2">
      <c r="A111" s="16">
        <v>44652</v>
      </c>
      <c r="B111" s="10">
        <f>18.5701 * CHOOSE(CONTROL!$C$15, $E$9, 100%, $G$9) + CHOOSE(CONTROL!$C$38, 0.0256, 0)</f>
        <v>18.595700000000001</v>
      </c>
      <c r="C111" s="10">
        <f>17.1995 * CHOOSE(CONTROL!$C$15, $E$9, 100%, $G$9) + CHOOSE(CONTROL!$C$38, 0.0347, 0)</f>
        <v>17.234200000000001</v>
      </c>
      <c r="D111" s="10">
        <f>17.1917 * CHOOSE(CONTROL!$C$15, $E$9, 100%, $G$9) + CHOOSE(CONTROL!$C$38, 0.0347, 0)</f>
        <v>17.226400000000002</v>
      </c>
      <c r="E111" s="28">
        <f>18.4139 * CHOOSE(CONTROL!$C$15, $E$9, 100%, $G$9) + CHOOSE(CONTROL!$C$38, 0.0347, 0)</f>
        <v>18.448600000000003</v>
      </c>
      <c r="F111" s="27">
        <f>18.4139 * CHOOSE(CONTROL!$C$15, $E$9, 100%, $G$9) + CHOOSE(CONTROL!$C$38, 0.0256, 0)</f>
        <v>18.439500000000002</v>
      </c>
      <c r="G111" s="10">
        <f>17.1979 * CHOOSE(CONTROL!$C$15, $E$9, 100%, $G$9) + CHOOSE(CONTROL!$C$38, 0.0347, 0)</f>
        <v>17.232600000000001</v>
      </c>
      <c r="H111" s="10">
        <f>17.1979 * CHOOSE(CONTROL!$C$15, $E$9, 100%, $G$9) + CHOOSE(CONTROL!$C$38, 0.0347, 0)</f>
        <v>17.232600000000001</v>
      </c>
      <c r="I111" s="10">
        <f>17.1995 * CHOOSE(CONTROL!$C$15, $E$9, 100%, $G$9) + CHOOSE(CONTROL!$C$38, 0.0347, 0)</f>
        <v>17.234200000000001</v>
      </c>
      <c r="J111" s="26">
        <f>117.634</f>
        <v>117.634</v>
      </c>
    </row>
    <row r="112" spans="1:10" ht="15" x14ac:dyDescent="0.2">
      <c r="A112" s="16">
        <v>44682</v>
      </c>
      <c r="B112" s="10">
        <f>18.054 * CHOOSE(CONTROL!$C$15, $E$9, 100%, $G$9) + CHOOSE(CONTROL!$C$38, 0.0256, 0)</f>
        <v>18.079599999999999</v>
      </c>
      <c r="C112" s="10">
        <f>16.6834 * CHOOSE(CONTROL!$C$15, $E$9, 100%, $G$9) + CHOOSE(CONTROL!$C$38, 0.0347, 0)</f>
        <v>16.7181</v>
      </c>
      <c r="D112" s="10">
        <f>16.6755 * CHOOSE(CONTROL!$C$15, $E$9, 100%, $G$9) + CHOOSE(CONTROL!$C$38, 0.0347, 0)</f>
        <v>16.7102</v>
      </c>
      <c r="E112" s="28">
        <f>17.8978 * CHOOSE(CONTROL!$C$15, $E$9, 100%, $G$9) + CHOOSE(CONTROL!$C$38, 0.0347, 0)</f>
        <v>17.932500000000001</v>
      </c>
      <c r="F112" s="27">
        <f>17.8978 * CHOOSE(CONTROL!$C$15, $E$9, 100%, $G$9) + CHOOSE(CONTROL!$C$38, 0.0256, 0)</f>
        <v>17.923400000000001</v>
      </c>
      <c r="G112" s="10">
        <f>16.6818 * CHOOSE(CONTROL!$C$15, $E$9, 100%, $G$9) + CHOOSE(CONTROL!$C$38, 0.0347, 0)</f>
        <v>16.7165</v>
      </c>
      <c r="H112" s="10">
        <f>16.6818 * CHOOSE(CONTROL!$C$15, $E$9, 100%, $G$9) + CHOOSE(CONTROL!$C$38, 0.0347, 0)</f>
        <v>16.7165</v>
      </c>
      <c r="I112" s="10">
        <f>16.6834 * CHOOSE(CONTROL!$C$15, $E$9, 100%, $G$9) + CHOOSE(CONTROL!$C$38, 0.0347, 0)</f>
        <v>16.7181</v>
      </c>
      <c r="J112" s="26">
        <f>121.5815</f>
        <v>121.58150000000001</v>
      </c>
    </row>
    <row r="113" spans="1:10" ht="15" x14ac:dyDescent="0.2">
      <c r="A113" s="16">
        <v>44713</v>
      </c>
      <c r="B113" s="10">
        <f>17.6922 * CHOOSE(CONTROL!$C$15, $E$9, 100%, $G$9) + CHOOSE(CONTROL!$C$38, 0.0256, 0)</f>
        <v>17.7178</v>
      </c>
      <c r="C113" s="10">
        <f>16.3215 * CHOOSE(CONTROL!$C$15, $E$9, 100%, $G$9) + CHOOSE(CONTROL!$C$38, 0.0347, 0)</f>
        <v>16.356200000000001</v>
      </c>
      <c r="D113" s="10">
        <f>16.3137 * CHOOSE(CONTROL!$C$15, $E$9, 100%, $G$9) + CHOOSE(CONTROL!$C$38, 0.0347, 0)</f>
        <v>16.348400000000002</v>
      </c>
      <c r="E113" s="28">
        <f>17.5359 * CHOOSE(CONTROL!$C$15, $E$9, 100%, $G$9) + CHOOSE(CONTROL!$C$38, 0.0347, 0)</f>
        <v>17.570600000000002</v>
      </c>
      <c r="F113" s="27">
        <f>17.5359 * CHOOSE(CONTROL!$C$15, $E$9, 100%, $G$9) + CHOOSE(CONTROL!$C$38, 0.0256, 0)</f>
        <v>17.561500000000002</v>
      </c>
      <c r="G113" s="10">
        <f>16.32 * CHOOSE(CONTROL!$C$15, $E$9, 100%, $G$9) + CHOOSE(CONTROL!$C$38, 0.0347, 0)</f>
        <v>16.354700000000001</v>
      </c>
      <c r="H113" s="10">
        <f>16.32 * CHOOSE(CONTROL!$C$15, $E$9, 100%, $G$9) + CHOOSE(CONTROL!$C$38, 0.0347, 0)</f>
        <v>16.354700000000001</v>
      </c>
      <c r="I113" s="10">
        <f>16.3215 * CHOOSE(CONTROL!$C$15, $E$9, 100%, $G$9) + CHOOSE(CONTROL!$C$38, 0.0347, 0)</f>
        <v>16.356200000000001</v>
      </c>
      <c r="J113" s="26">
        <f>123.3334</f>
        <v>123.3334</v>
      </c>
    </row>
    <row r="114" spans="1:10" ht="15" x14ac:dyDescent="0.2">
      <c r="A114" s="16">
        <v>44743</v>
      </c>
      <c r="B114" s="10">
        <f>17.4857 * CHOOSE(CONTROL!$C$15, $E$9, 100%, $G$9) + CHOOSE(CONTROL!$C$38, 0.0256, 0)</f>
        <v>17.511300000000002</v>
      </c>
      <c r="C114" s="10">
        <f>16.115 * CHOOSE(CONTROL!$C$15, $E$9, 100%, $G$9) + CHOOSE(CONTROL!$C$38, 0.0347, 0)</f>
        <v>16.149699999999999</v>
      </c>
      <c r="D114" s="10">
        <f>16.1072 * CHOOSE(CONTROL!$C$15, $E$9, 100%, $G$9) + CHOOSE(CONTROL!$C$38, 0.0347, 0)</f>
        <v>16.1419</v>
      </c>
      <c r="E114" s="28">
        <f>17.3295 * CHOOSE(CONTROL!$C$15, $E$9, 100%, $G$9) + CHOOSE(CONTROL!$C$38, 0.0347, 0)</f>
        <v>17.3642</v>
      </c>
      <c r="F114" s="27">
        <f>17.3295 * CHOOSE(CONTROL!$C$15, $E$9, 100%, $G$9) + CHOOSE(CONTROL!$C$38, 0.0256, 0)</f>
        <v>17.3551</v>
      </c>
      <c r="G114" s="10">
        <f>16.1135 * CHOOSE(CONTROL!$C$15, $E$9, 100%, $G$9) + CHOOSE(CONTROL!$C$38, 0.0347, 0)</f>
        <v>16.148199999999999</v>
      </c>
      <c r="H114" s="10">
        <f>16.1135 * CHOOSE(CONTROL!$C$15, $E$9, 100%, $G$9) + CHOOSE(CONTROL!$C$38, 0.0347, 0)</f>
        <v>16.148199999999999</v>
      </c>
      <c r="I114" s="10">
        <f>16.115 * CHOOSE(CONTROL!$C$15, $E$9, 100%, $G$9) + CHOOSE(CONTROL!$C$38, 0.0347, 0)</f>
        <v>16.149699999999999</v>
      </c>
      <c r="J114" s="26">
        <f>122.7566</f>
        <v>122.75660000000001</v>
      </c>
    </row>
    <row r="115" spans="1:10" ht="15" x14ac:dyDescent="0.2">
      <c r="A115" s="16">
        <v>44774</v>
      </c>
      <c r="B115" s="10">
        <f>17.5876 * CHOOSE(CONTROL!$C$15, $E$9, 100%, $G$9) + CHOOSE(CONTROL!$C$38, 0.0256, 0)</f>
        <v>17.613199999999999</v>
      </c>
      <c r="C115" s="10">
        <f>16.2169 * CHOOSE(CONTROL!$C$15, $E$9, 100%, $G$9) + CHOOSE(CONTROL!$C$38, 0.0347, 0)</f>
        <v>16.2516</v>
      </c>
      <c r="D115" s="10">
        <f>16.2091 * CHOOSE(CONTROL!$C$15, $E$9, 100%, $G$9) + CHOOSE(CONTROL!$C$38, 0.0347, 0)</f>
        <v>16.2438</v>
      </c>
      <c r="E115" s="28">
        <f>17.4314 * CHOOSE(CONTROL!$C$15, $E$9, 100%, $G$9) + CHOOSE(CONTROL!$C$38, 0.0347, 0)</f>
        <v>17.466100000000001</v>
      </c>
      <c r="F115" s="27">
        <f>17.4314 * CHOOSE(CONTROL!$C$15, $E$9, 100%, $G$9) + CHOOSE(CONTROL!$C$38, 0.0256, 0)</f>
        <v>17.457000000000001</v>
      </c>
      <c r="G115" s="10">
        <f>16.2154 * CHOOSE(CONTROL!$C$15, $E$9, 100%, $G$9) + CHOOSE(CONTROL!$C$38, 0.0347, 0)</f>
        <v>16.2501</v>
      </c>
      <c r="H115" s="10">
        <f>16.2154 * CHOOSE(CONTROL!$C$15, $E$9, 100%, $G$9) + CHOOSE(CONTROL!$C$38, 0.0347, 0)</f>
        <v>16.2501</v>
      </c>
      <c r="I115" s="10">
        <f>16.2169 * CHOOSE(CONTROL!$C$15, $E$9, 100%, $G$9) + CHOOSE(CONTROL!$C$38, 0.0347, 0)</f>
        <v>16.2516</v>
      </c>
      <c r="J115" s="26">
        <f>119.8989</f>
        <v>119.8989</v>
      </c>
    </row>
    <row r="116" spans="1:10" ht="15" x14ac:dyDescent="0.2">
      <c r="A116" s="16">
        <v>44805</v>
      </c>
      <c r="B116" s="10">
        <f>17.8644 * CHOOSE(CONTROL!$C$15, $E$9, 100%, $G$9) + CHOOSE(CONTROL!$C$38, 0.0256, 0)</f>
        <v>17.89</v>
      </c>
      <c r="C116" s="10">
        <f>16.4937 * CHOOSE(CONTROL!$C$15, $E$9, 100%, $G$9) + CHOOSE(CONTROL!$C$38, 0.0347, 0)</f>
        <v>16.528400000000001</v>
      </c>
      <c r="D116" s="10">
        <f>16.4859 * CHOOSE(CONTROL!$C$15, $E$9, 100%, $G$9) + CHOOSE(CONTROL!$C$38, 0.0347, 0)</f>
        <v>16.520600000000002</v>
      </c>
      <c r="E116" s="28">
        <f>17.7082 * CHOOSE(CONTROL!$C$15, $E$9, 100%, $G$9) + CHOOSE(CONTROL!$C$38, 0.0347, 0)</f>
        <v>17.742900000000002</v>
      </c>
      <c r="F116" s="27">
        <f>17.7082 * CHOOSE(CONTROL!$C$15, $E$9, 100%, $G$9) + CHOOSE(CONTROL!$C$38, 0.0256, 0)</f>
        <v>17.733800000000002</v>
      </c>
      <c r="G116" s="10">
        <f>16.4922 * CHOOSE(CONTROL!$C$15, $E$9, 100%, $G$9) + CHOOSE(CONTROL!$C$38, 0.0347, 0)</f>
        <v>16.526900000000001</v>
      </c>
      <c r="H116" s="10">
        <f>16.4922 * CHOOSE(CONTROL!$C$15, $E$9, 100%, $G$9) + CHOOSE(CONTROL!$C$38, 0.0347, 0)</f>
        <v>16.526900000000001</v>
      </c>
      <c r="I116" s="10">
        <f>16.4937 * CHOOSE(CONTROL!$C$15, $E$9, 100%, $G$9) + CHOOSE(CONTROL!$C$38, 0.0347, 0)</f>
        <v>16.528400000000001</v>
      </c>
      <c r="J116" s="26">
        <f>115.9136</f>
        <v>115.9136</v>
      </c>
    </row>
    <row r="117" spans="1:10" ht="15" x14ac:dyDescent="0.2">
      <c r="A117" s="16">
        <v>44835</v>
      </c>
      <c r="B117" s="10">
        <f>18.0962 * CHOOSE(CONTROL!$C$15, $E$9, 100%, $G$9) + CHOOSE(CONTROL!$C$38, 0.0256, 0)</f>
        <v>18.1218</v>
      </c>
      <c r="C117" s="10">
        <f>16.7256 * CHOOSE(CONTROL!$C$15, $E$9, 100%, $G$9) + CHOOSE(CONTROL!$C$38, 0.0347, 0)</f>
        <v>16.760300000000001</v>
      </c>
      <c r="D117" s="10">
        <f>16.7178 * CHOOSE(CONTROL!$C$15, $E$9, 100%, $G$9) + CHOOSE(CONTROL!$C$38, 0.0347, 0)</f>
        <v>16.752500000000001</v>
      </c>
      <c r="E117" s="28">
        <f>17.94 * CHOOSE(CONTROL!$C$15, $E$9, 100%, $G$9) + CHOOSE(CONTROL!$C$38, 0.0347, 0)</f>
        <v>17.974700000000002</v>
      </c>
      <c r="F117" s="27">
        <f>17.94 * CHOOSE(CONTROL!$C$15, $E$9, 100%, $G$9) + CHOOSE(CONTROL!$C$38, 0.0256, 0)</f>
        <v>17.965600000000002</v>
      </c>
      <c r="G117" s="10">
        <f>16.724 * CHOOSE(CONTROL!$C$15, $E$9, 100%, $G$9) + CHOOSE(CONTROL!$C$38, 0.0347, 0)</f>
        <v>16.758700000000001</v>
      </c>
      <c r="H117" s="10">
        <f>16.724 * CHOOSE(CONTROL!$C$15, $E$9, 100%, $G$9) + CHOOSE(CONTROL!$C$38, 0.0347, 0)</f>
        <v>16.758700000000001</v>
      </c>
      <c r="I117" s="10">
        <f>16.7256 * CHOOSE(CONTROL!$C$15, $E$9, 100%, $G$9) + CHOOSE(CONTROL!$C$38, 0.0347, 0)</f>
        <v>16.760300000000001</v>
      </c>
      <c r="J117" s="26">
        <f>111.9052</f>
        <v>111.90519999999999</v>
      </c>
    </row>
    <row r="118" spans="1:10" ht="15" x14ac:dyDescent="0.2">
      <c r="A118" s="16">
        <v>44866</v>
      </c>
      <c r="B118" s="10">
        <f>18.2897 * CHOOSE(CONTROL!$C$15, $E$9, 100%, $G$9) + CHOOSE(CONTROL!$C$38, 0.0256, 0)</f>
        <v>18.315300000000001</v>
      </c>
      <c r="C118" s="10">
        <f>16.919 * CHOOSE(CONTROL!$C$15, $E$9, 100%, $G$9) + CHOOSE(CONTROL!$C$38, 0.0347, 0)</f>
        <v>16.953700000000001</v>
      </c>
      <c r="D118" s="10">
        <f>16.9112 * CHOOSE(CONTROL!$C$15, $E$9, 100%, $G$9) + CHOOSE(CONTROL!$C$38, 0.0347, 0)</f>
        <v>16.945900000000002</v>
      </c>
      <c r="E118" s="28">
        <f>18.1334 * CHOOSE(CONTROL!$C$15, $E$9, 100%, $G$9) + CHOOSE(CONTROL!$C$38, 0.0347, 0)</f>
        <v>18.168100000000003</v>
      </c>
      <c r="F118" s="27">
        <f>18.1334 * CHOOSE(CONTROL!$C$15, $E$9, 100%, $G$9) + CHOOSE(CONTROL!$C$38, 0.0256, 0)</f>
        <v>18.159000000000002</v>
      </c>
      <c r="G118" s="10">
        <f>16.9174 * CHOOSE(CONTROL!$C$15, $E$9, 100%, $G$9) + CHOOSE(CONTROL!$C$38, 0.0347, 0)</f>
        <v>16.952100000000002</v>
      </c>
      <c r="H118" s="10">
        <f>16.9174 * CHOOSE(CONTROL!$C$15, $E$9, 100%, $G$9) + CHOOSE(CONTROL!$C$38, 0.0347, 0)</f>
        <v>16.952100000000002</v>
      </c>
      <c r="I118" s="10">
        <f>16.919 * CHOOSE(CONTROL!$C$15, $E$9, 100%, $G$9) + CHOOSE(CONTROL!$C$38, 0.0347, 0)</f>
        <v>16.953700000000001</v>
      </c>
      <c r="J118" s="26">
        <f>111.1079</f>
        <v>111.1079</v>
      </c>
    </row>
    <row r="119" spans="1:10" ht="15" x14ac:dyDescent="0.2">
      <c r="A119" s="16">
        <v>44896</v>
      </c>
      <c r="B119" s="10">
        <f>18.8857 * CHOOSE(CONTROL!$C$15, $E$9, 100%, $G$9) + CHOOSE(CONTROL!$C$38, 0.0256, 0)</f>
        <v>18.911300000000001</v>
      </c>
      <c r="C119" s="10">
        <f>17.5151 * CHOOSE(CONTROL!$C$15, $E$9, 100%, $G$9) + CHOOSE(CONTROL!$C$38, 0.0347, 0)</f>
        <v>17.549800000000001</v>
      </c>
      <c r="D119" s="10">
        <f>17.5073 * CHOOSE(CONTROL!$C$15, $E$9, 100%, $G$9) + CHOOSE(CONTROL!$C$38, 0.0347, 0)</f>
        <v>17.542000000000002</v>
      </c>
      <c r="E119" s="28">
        <f>18.7295 * CHOOSE(CONTROL!$C$15, $E$9, 100%, $G$9) + CHOOSE(CONTROL!$C$38, 0.0347, 0)</f>
        <v>18.764200000000002</v>
      </c>
      <c r="F119" s="27">
        <f>18.7295 * CHOOSE(CONTROL!$C$15, $E$9, 100%, $G$9) + CHOOSE(CONTROL!$C$38, 0.0256, 0)</f>
        <v>18.755100000000002</v>
      </c>
      <c r="G119" s="10">
        <f>17.5135 * CHOOSE(CONTROL!$C$15, $E$9, 100%, $G$9) + CHOOSE(CONTROL!$C$38, 0.0347, 0)</f>
        <v>17.548200000000001</v>
      </c>
      <c r="H119" s="10">
        <f>17.5135 * CHOOSE(CONTROL!$C$15, $E$9, 100%, $G$9) + CHOOSE(CONTROL!$C$38, 0.0347, 0)</f>
        <v>17.548200000000001</v>
      </c>
      <c r="I119" s="10">
        <f>17.5151 * CHOOSE(CONTROL!$C$15, $E$9, 100%, $G$9) + CHOOSE(CONTROL!$C$38, 0.0347, 0)</f>
        <v>17.549800000000001</v>
      </c>
      <c r="J119" s="26">
        <f>107.8107</f>
        <v>107.8107</v>
      </c>
    </row>
    <row r="120" spans="1:10" ht="15" x14ac:dyDescent="0.2">
      <c r="A120" s="16">
        <v>44927</v>
      </c>
      <c r="B120" s="10">
        <f>20.1548 * CHOOSE(CONTROL!$C$15, $E$9, 100%, $G$9) + CHOOSE(CONTROL!$C$38, 0.0256, 0)</f>
        <v>20.180400000000002</v>
      </c>
      <c r="C120" s="10">
        <f>18.6084 * CHOOSE(CONTROL!$C$15, $E$9, 100%, $G$9) + CHOOSE(CONTROL!$C$38, 0.0347, 0)</f>
        <v>18.6431</v>
      </c>
      <c r="D120" s="10">
        <f>18.6005 * CHOOSE(CONTROL!$C$15, $E$9, 100%, $G$9) + CHOOSE(CONTROL!$C$38, 0.0347, 0)</f>
        <v>18.635200000000001</v>
      </c>
      <c r="E120" s="28">
        <f>19.9985 * CHOOSE(CONTROL!$C$15, $E$9, 100%, $G$9) + CHOOSE(CONTROL!$C$38, 0.0347, 0)</f>
        <v>20.033200000000001</v>
      </c>
      <c r="F120" s="27">
        <f>19.9985 * CHOOSE(CONTROL!$C$15, $E$9, 100%, $G$9) + CHOOSE(CONTROL!$C$38, 0.0256, 0)</f>
        <v>20.024100000000001</v>
      </c>
      <c r="G120" s="10">
        <f>18.6068 * CHOOSE(CONTROL!$C$15, $E$9, 100%, $G$9) + CHOOSE(CONTROL!$C$38, 0.0347, 0)</f>
        <v>18.641500000000001</v>
      </c>
      <c r="H120" s="10">
        <f>18.6068 * CHOOSE(CONTROL!$C$15, $E$9, 100%, $G$9) + CHOOSE(CONTROL!$C$38, 0.0347, 0)</f>
        <v>18.641500000000001</v>
      </c>
      <c r="I120" s="10">
        <f>18.6084 * CHOOSE(CONTROL!$C$15, $E$9, 100%, $G$9) + CHOOSE(CONTROL!$C$38, 0.0347, 0)</f>
        <v>18.6431</v>
      </c>
      <c r="J120" s="26">
        <f>109.5664</f>
        <v>109.5664</v>
      </c>
    </row>
    <row r="121" spans="1:10" ht="15" x14ac:dyDescent="0.2">
      <c r="A121" s="16">
        <v>44958</v>
      </c>
      <c r="B121" s="10">
        <f>20.3755 * CHOOSE(CONTROL!$C$15, $E$9, 100%, $G$9) + CHOOSE(CONTROL!$C$38, 0.0256, 0)</f>
        <v>20.4011</v>
      </c>
      <c r="C121" s="10">
        <f>18.8291 * CHOOSE(CONTROL!$C$15, $E$9, 100%, $G$9) + CHOOSE(CONTROL!$C$38, 0.0347, 0)</f>
        <v>18.863800000000001</v>
      </c>
      <c r="D121" s="10">
        <f>18.8213 * CHOOSE(CONTROL!$C$15, $E$9, 100%, $G$9) + CHOOSE(CONTROL!$C$38, 0.0347, 0)</f>
        <v>18.856000000000002</v>
      </c>
      <c r="E121" s="28">
        <f>20.2193 * CHOOSE(CONTROL!$C$15, $E$9, 100%, $G$9) + CHOOSE(CONTROL!$C$38, 0.0347, 0)</f>
        <v>20.254000000000001</v>
      </c>
      <c r="F121" s="27">
        <f>20.2193 * CHOOSE(CONTROL!$C$15, $E$9, 100%, $G$9) + CHOOSE(CONTROL!$C$38, 0.0256, 0)</f>
        <v>20.244900000000001</v>
      </c>
      <c r="G121" s="10">
        <f>18.8276 * CHOOSE(CONTROL!$C$15, $E$9, 100%, $G$9) + CHOOSE(CONTROL!$C$38, 0.0347, 0)</f>
        <v>18.862300000000001</v>
      </c>
      <c r="H121" s="10">
        <f>18.8276 * CHOOSE(CONTROL!$C$15, $E$9, 100%, $G$9) + CHOOSE(CONTROL!$C$38, 0.0347, 0)</f>
        <v>18.862300000000001</v>
      </c>
      <c r="I121" s="10">
        <f>18.8291 * CHOOSE(CONTROL!$C$15, $E$9, 100%, $G$9) + CHOOSE(CONTROL!$C$38, 0.0347, 0)</f>
        <v>18.863800000000001</v>
      </c>
      <c r="J121" s="26">
        <f>109.2618</f>
        <v>109.26179999999999</v>
      </c>
    </row>
    <row r="122" spans="1:10" ht="15" x14ac:dyDescent="0.2">
      <c r="A122" s="16">
        <v>44986</v>
      </c>
      <c r="B122" s="10">
        <f>19.8645 * CHOOSE(CONTROL!$C$15, $E$9, 100%, $G$9) + CHOOSE(CONTROL!$C$38, 0.0256, 0)</f>
        <v>19.8901</v>
      </c>
      <c r="C122" s="10">
        <f>18.3181 * CHOOSE(CONTROL!$C$15, $E$9, 100%, $G$9) + CHOOSE(CONTROL!$C$38, 0.0347, 0)</f>
        <v>18.352800000000002</v>
      </c>
      <c r="D122" s="10">
        <f>18.3103 * CHOOSE(CONTROL!$C$15, $E$9, 100%, $G$9) + CHOOSE(CONTROL!$C$38, 0.0347, 0)</f>
        <v>18.345000000000002</v>
      </c>
      <c r="E122" s="28">
        <f>19.7082 * CHOOSE(CONTROL!$C$15, $E$9, 100%, $G$9) + CHOOSE(CONTROL!$C$38, 0.0347, 0)</f>
        <v>19.742900000000002</v>
      </c>
      <c r="F122" s="27">
        <f>19.7082 * CHOOSE(CONTROL!$C$15, $E$9, 100%, $G$9) + CHOOSE(CONTROL!$C$38, 0.0256, 0)</f>
        <v>19.733800000000002</v>
      </c>
      <c r="G122" s="10">
        <f>18.3165 * CHOOSE(CONTROL!$C$15, $E$9, 100%, $G$9) + CHOOSE(CONTROL!$C$38, 0.0347, 0)</f>
        <v>18.351200000000002</v>
      </c>
      <c r="H122" s="10">
        <f>18.3165 * CHOOSE(CONTROL!$C$15, $E$9, 100%, $G$9) + CHOOSE(CONTROL!$C$38, 0.0347, 0)</f>
        <v>18.351200000000002</v>
      </c>
      <c r="I122" s="10">
        <f>18.3181 * CHOOSE(CONTROL!$C$15, $E$9, 100%, $G$9) + CHOOSE(CONTROL!$C$38, 0.0347, 0)</f>
        <v>18.352800000000002</v>
      </c>
      <c r="J122" s="26">
        <f>115.0206</f>
        <v>115.0206</v>
      </c>
    </row>
    <row r="123" spans="1:10" ht="15" x14ac:dyDescent="0.2">
      <c r="A123" s="16">
        <v>45017</v>
      </c>
      <c r="B123" s="10">
        <f>19.3693 * CHOOSE(CONTROL!$C$15, $E$9, 100%, $G$9) + CHOOSE(CONTROL!$C$38, 0.0256, 0)</f>
        <v>19.3949</v>
      </c>
      <c r="C123" s="10">
        <f>17.8229 * CHOOSE(CONTROL!$C$15, $E$9, 100%, $G$9) + CHOOSE(CONTROL!$C$38, 0.0347, 0)</f>
        <v>17.857600000000001</v>
      </c>
      <c r="D123" s="10">
        <f>17.8151 * CHOOSE(CONTROL!$C$15, $E$9, 100%, $G$9) + CHOOSE(CONTROL!$C$38, 0.0347, 0)</f>
        <v>17.849800000000002</v>
      </c>
      <c r="E123" s="28">
        <f>19.2131 * CHOOSE(CONTROL!$C$15, $E$9, 100%, $G$9) + CHOOSE(CONTROL!$C$38, 0.0347, 0)</f>
        <v>19.247800000000002</v>
      </c>
      <c r="F123" s="27">
        <f>19.2131 * CHOOSE(CONTROL!$C$15, $E$9, 100%, $G$9) + CHOOSE(CONTROL!$C$38, 0.0256, 0)</f>
        <v>19.238700000000001</v>
      </c>
      <c r="G123" s="10">
        <f>17.8213 * CHOOSE(CONTROL!$C$15, $E$9, 100%, $G$9) + CHOOSE(CONTROL!$C$38, 0.0347, 0)</f>
        <v>17.856000000000002</v>
      </c>
      <c r="H123" s="10">
        <f>17.8213 * CHOOSE(CONTROL!$C$15, $E$9, 100%, $G$9) + CHOOSE(CONTROL!$C$38, 0.0347, 0)</f>
        <v>17.856000000000002</v>
      </c>
      <c r="I123" s="10">
        <f>17.8229 * CHOOSE(CONTROL!$C$15, $E$9, 100%, $G$9) + CHOOSE(CONTROL!$C$38, 0.0347, 0)</f>
        <v>17.857600000000001</v>
      </c>
      <c r="J123" s="26">
        <f>122.4882</f>
        <v>122.48820000000001</v>
      </c>
    </row>
    <row r="124" spans="1:10" ht="15" x14ac:dyDescent="0.2">
      <c r="A124" s="16">
        <v>45047</v>
      </c>
      <c r="B124" s="10">
        <f>18.8532 * CHOOSE(CONTROL!$C$15, $E$9, 100%, $G$9) + CHOOSE(CONTROL!$C$38, 0.0256, 0)</f>
        <v>18.878800000000002</v>
      </c>
      <c r="C124" s="10">
        <f>17.3068 * CHOOSE(CONTROL!$C$15, $E$9, 100%, $G$9) + CHOOSE(CONTROL!$C$38, 0.0347, 0)</f>
        <v>17.3415</v>
      </c>
      <c r="D124" s="10">
        <f>17.299 * CHOOSE(CONTROL!$C$15, $E$9, 100%, $G$9) + CHOOSE(CONTROL!$C$38, 0.0347, 0)</f>
        <v>17.3337</v>
      </c>
      <c r="E124" s="28">
        <f>18.697 * CHOOSE(CONTROL!$C$15, $E$9, 100%, $G$9) + CHOOSE(CONTROL!$C$38, 0.0347, 0)</f>
        <v>18.7317</v>
      </c>
      <c r="F124" s="27">
        <f>18.697 * CHOOSE(CONTROL!$C$15, $E$9, 100%, $G$9) + CHOOSE(CONTROL!$C$38, 0.0256, 0)</f>
        <v>18.7226</v>
      </c>
      <c r="G124" s="10">
        <f>17.3052 * CHOOSE(CONTROL!$C$15, $E$9, 100%, $G$9) + CHOOSE(CONTROL!$C$38, 0.0347, 0)</f>
        <v>17.3399</v>
      </c>
      <c r="H124" s="10">
        <f>17.3052 * CHOOSE(CONTROL!$C$15, $E$9, 100%, $G$9) + CHOOSE(CONTROL!$C$38, 0.0347, 0)</f>
        <v>17.3399</v>
      </c>
      <c r="I124" s="10">
        <f>17.3068 * CHOOSE(CONTROL!$C$15, $E$9, 100%, $G$9) + CHOOSE(CONTROL!$C$38, 0.0347, 0)</f>
        <v>17.3415</v>
      </c>
      <c r="J124" s="26">
        <f>126.5987</f>
        <v>126.59869999999999</v>
      </c>
    </row>
    <row r="125" spans="1:10" ht="15" x14ac:dyDescent="0.2">
      <c r="A125" s="16">
        <v>45078</v>
      </c>
      <c r="B125" s="10">
        <f>18.4914 * CHOOSE(CONTROL!$C$15, $E$9, 100%, $G$9) + CHOOSE(CONTROL!$C$38, 0.0256, 0)</f>
        <v>18.516999999999999</v>
      </c>
      <c r="C125" s="10">
        <f>16.945 * CHOOSE(CONTROL!$C$15, $E$9, 100%, $G$9) + CHOOSE(CONTROL!$C$38, 0.0347, 0)</f>
        <v>16.979700000000001</v>
      </c>
      <c r="D125" s="10">
        <f>16.9372 * CHOOSE(CONTROL!$C$15, $E$9, 100%, $G$9) + CHOOSE(CONTROL!$C$38, 0.0347, 0)</f>
        <v>16.971900000000002</v>
      </c>
      <c r="E125" s="28">
        <f>18.3351 * CHOOSE(CONTROL!$C$15, $E$9, 100%, $G$9) + CHOOSE(CONTROL!$C$38, 0.0347, 0)</f>
        <v>18.369800000000001</v>
      </c>
      <c r="F125" s="27">
        <f>18.3351 * CHOOSE(CONTROL!$C$15, $E$9, 100%, $G$9) + CHOOSE(CONTROL!$C$38, 0.0256, 0)</f>
        <v>18.360700000000001</v>
      </c>
      <c r="G125" s="10">
        <f>16.9434 * CHOOSE(CONTROL!$C$15, $E$9, 100%, $G$9) + CHOOSE(CONTROL!$C$38, 0.0347, 0)</f>
        <v>16.978100000000001</v>
      </c>
      <c r="H125" s="10">
        <f>16.9434 * CHOOSE(CONTROL!$C$15, $E$9, 100%, $G$9) + CHOOSE(CONTROL!$C$38, 0.0347, 0)</f>
        <v>16.978100000000001</v>
      </c>
      <c r="I125" s="10">
        <f>16.945 * CHOOSE(CONTROL!$C$15, $E$9, 100%, $G$9) + CHOOSE(CONTROL!$C$38, 0.0347, 0)</f>
        <v>16.979700000000001</v>
      </c>
      <c r="J125" s="26">
        <f>128.4229</f>
        <v>128.4229</v>
      </c>
    </row>
    <row r="126" spans="1:10" ht="15" x14ac:dyDescent="0.2">
      <c r="A126" s="16">
        <v>45108</v>
      </c>
      <c r="B126" s="10">
        <f>18.2849 * CHOOSE(CONTROL!$C$15, $E$9, 100%, $G$9) + CHOOSE(CONTROL!$C$38, 0.0256, 0)</f>
        <v>18.310500000000001</v>
      </c>
      <c r="C126" s="10">
        <f>16.7385 * CHOOSE(CONTROL!$C$15, $E$9, 100%, $G$9) + CHOOSE(CONTROL!$C$38, 0.0347, 0)</f>
        <v>16.773199999999999</v>
      </c>
      <c r="D126" s="10">
        <f>16.7307 * CHOOSE(CONTROL!$C$15, $E$9, 100%, $G$9) + CHOOSE(CONTROL!$C$38, 0.0347, 0)</f>
        <v>16.7654</v>
      </c>
      <c r="E126" s="28">
        <f>18.1286 * CHOOSE(CONTROL!$C$15, $E$9, 100%, $G$9) + CHOOSE(CONTROL!$C$38, 0.0347, 0)</f>
        <v>18.1633</v>
      </c>
      <c r="F126" s="27">
        <f>18.1286 * CHOOSE(CONTROL!$C$15, $E$9, 100%, $G$9) + CHOOSE(CONTROL!$C$38, 0.0256, 0)</f>
        <v>18.154199999999999</v>
      </c>
      <c r="G126" s="10">
        <f>16.7369 * CHOOSE(CONTROL!$C$15, $E$9, 100%, $G$9) + CHOOSE(CONTROL!$C$38, 0.0347, 0)</f>
        <v>16.771599999999999</v>
      </c>
      <c r="H126" s="10">
        <f>16.7369 * CHOOSE(CONTROL!$C$15, $E$9, 100%, $G$9) + CHOOSE(CONTROL!$C$38, 0.0347, 0)</f>
        <v>16.771599999999999</v>
      </c>
      <c r="I126" s="10">
        <f>16.7385 * CHOOSE(CONTROL!$C$15, $E$9, 100%, $G$9) + CHOOSE(CONTROL!$C$38, 0.0347, 0)</f>
        <v>16.773199999999999</v>
      </c>
      <c r="J126" s="26">
        <f>127.8223</f>
        <v>127.8223</v>
      </c>
    </row>
    <row r="127" spans="1:10" ht="15" x14ac:dyDescent="0.2">
      <c r="A127" s="16">
        <v>45139</v>
      </c>
      <c r="B127" s="10">
        <f>18.3868 * CHOOSE(CONTROL!$C$15, $E$9, 100%, $G$9) + CHOOSE(CONTROL!$C$38, 0.0256, 0)</f>
        <v>18.412400000000002</v>
      </c>
      <c r="C127" s="10">
        <f>16.8404 * CHOOSE(CONTROL!$C$15, $E$9, 100%, $G$9) + CHOOSE(CONTROL!$C$38, 0.0347, 0)</f>
        <v>16.8751</v>
      </c>
      <c r="D127" s="10">
        <f>16.8326 * CHOOSE(CONTROL!$C$15, $E$9, 100%, $G$9) + CHOOSE(CONTROL!$C$38, 0.0347, 0)</f>
        <v>16.8673</v>
      </c>
      <c r="E127" s="28">
        <f>18.2305 * CHOOSE(CONTROL!$C$15, $E$9, 100%, $G$9) + CHOOSE(CONTROL!$C$38, 0.0347, 0)</f>
        <v>18.2652</v>
      </c>
      <c r="F127" s="27">
        <f>18.2305 * CHOOSE(CONTROL!$C$15, $E$9, 100%, $G$9) + CHOOSE(CONTROL!$C$38, 0.0256, 0)</f>
        <v>18.2561</v>
      </c>
      <c r="G127" s="10">
        <f>16.8388 * CHOOSE(CONTROL!$C$15, $E$9, 100%, $G$9) + CHOOSE(CONTROL!$C$38, 0.0347, 0)</f>
        <v>16.8735</v>
      </c>
      <c r="H127" s="10">
        <f>16.8388 * CHOOSE(CONTROL!$C$15, $E$9, 100%, $G$9) + CHOOSE(CONTROL!$C$38, 0.0347, 0)</f>
        <v>16.8735</v>
      </c>
      <c r="I127" s="10">
        <f>16.8404 * CHOOSE(CONTROL!$C$15, $E$9, 100%, $G$9) + CHOOSE(CONTROL!$C$38, 0.0347, 0)</f>
        <v>16.8751</v>
      </c>
      <c r="J127" s="26">
        <f>124.8466</f>
        <v>124.8466</v>
      </c>
    </row>
    <row r="128" spans="1:10" ht="15" x14ac:dyDescent="0.2">
      <c r="A128" s="16">
        <v>45170</v>
      </c>
      <c r="B128" s="10">
        <f>18.6636 * CHOOSE(CONTROL!$C$15, $E$9, 100%, $G$9) + CHOOSE(CONTROL!$C$38, 0.0256, 0)</f>
        <v>18.6892</v>
      </c>
      <c r="C128" s="10">
        <f>17.1172 * CHOOSE(CONTROL!$C$15, $E$9, 100%, $G$9) + CHOOSE(CONTROL!$C$38, 0.0347, 0)</f>
        <v>17.151900000000001</v>
      </c>
      <c r="D128" s="10">
        <f>17.1094 * CHOOSE(CONTROL!$C$15, $E$9, 100%, $G$9) + CHOOSE(CONTROL!$C$38, 0.0347, 0)</f>
        <v>17.144100000000002</v>
      </c>
      <c r="E128" s="28">
        <f>18.5073 * CHOOSE(CONTROL!$C$15, $E$9, 100%, $G$9) + CHOOSE(CONTROL!$C$38, 0.0347, 0)</f>
        <v>18.542000000000002</v>
      </c>
      <c r="F128" s="27">
        <f>18.5073 * CHOOSE(CONTROL!$C$15, $E$9, 100%, $G$9) + CHOOSE(CONTROL!$C$38, 0.0256, 0)</f>
        <v>18.532900000000001</v>
      </c>
      <c r="G128" s="10">
        <f>17.1156 * CHOOSE(CONTROL!$C$15, $E$9, 100%, $G$9) + CHOOSE(CONTROL!$C$38, 0.0347, 0)</f>
        <v>17.150300000000001</v>
      </c>
      <c r="H128" s="10">
        <f>17.1156 * CHOOSE(CONTROL!$C$15, $E$9, 100%, $G$9) + CHOOSE(CONTROL!$C$38, 0.0347, 0)</f>
        <v>17.150300000000001</v>
      </c>
      <c r="I128" s="10">
        <f>17.1172 * CHOOSE(CONTROL!$C$15, $E$9, 100%, $G$9) + CHOOSE(CONTROL!$C$38, 0.0347, 0)</f>
        <v>17.151900000000001</v>
      </c>
      <c r="J128" s="26">
        <f>120.6969</f>
        <v>120.6969</v>
      </c>
    </row>
    <row r="129" spans="1:10" ht="15" x14ac:dyDescent="0.2">
      <c r="A129" s="16">
        <v>45200</v>
      </c>
      <c r="B129" s="10">
        <f>18.8954 * CHOOSE(CONTROL!$C$15, $E$9, 100%, $G$9) + CHOOSE(CONTROL!$C$38, 0.0256, 0)</f>
        <v>18.920999999999999</v>
      </c>
      <c r="C129" s="10">
        <f>17.349 * CHOOSE(CONTROL!$C$15, $E$9, 100%, $G$9) + CHOOSE(CONTROL!$C$38, 0.0347, 0)</f>
        <v>17.383700000000001</v>
      </c>
      <c r="D129" s="10">
        <f>17.3412 * CHOOSE(CONTROL!$C$15, $E$9, 100%, $G$9) + CHOOSE(CONTROL!$C$38, 0.0347, 0)</f>
        <v>17.375900000000001</v>
      </c>
      <c r="E129" s="28">
        <f>18.7392 * CHOOSE(CONTROL!$C$15, $E$9, 100%, $G$9) + CHOOSE(CONTROL!$C$38, 0.0347, 0)</f>
        <v>18.773900000000001</v>
      </c>
      <c r="F129" s="27">
        <f>18.7392 * CHOOSE(CONTROL!$C$15, $E$9, 100%, $G$9) + CHOOSE(CONTROL!$C$38, 0.0256, 0)</f>
        <v>18.764800000000001</v>
      </c>
      <c r="G129" s="10">
        <f>17.3474 * CHOOSE(CONTROL!$C$15, $E$9, 100%, $G$9) + CHOOSE(CONTROL!$C$38, 0.0347, 0)</f>
        <v>17.382100000000001</v>
      </c>
      <c r="H129" s="10">
        <f>17.3474 * CHOOSE(CONTROL!$C$15, $E$9, 100%, $G$9) + CHOOSE(CONTROL!$C$38, 0.0347, 0)</f>
        <v>17.382100000000001</v>
      </c>
      <c r="I129" s="10">
        <f>17.349 * CHOOSE(CONTROL!$C$15, $E$9, 100%, $G$9) + CHOOSE(CONTROL!$C$38, 0.0347, 0)</f>
        <v>17.383700000000001</v>
      </c>
      <c r="J129" s="26">
        <f>116.5231</f>
        <v>116.5231</v>
      </c>
    </row>
    <row r="130" spans="1:10" ht="15" x14ac:dyDescent="0.2">
      <c r="A130" s="16">
        <v>45231</v>
      </c>
      <c r="B130" s="10">
        <f>19.0889 * CHOOSE(CONTROL!$C$15, $E$9, 100%, $G$9) + CHOOSE(CONTROL!$C$38, 0.0256, 0)</f>
        <v>19.1145</v>
      </c>
      <c r="C130" s="10">
        <f>17.5424 * CHOOSE(CONTROL!$C$15, $E$9, 100%, $G$9) + CHOOSE(CONTROL!$C$38, 0.0347, 0)</f>
        <v>17.577100000000002</v>
      </c>
      <c r="D130" s="10">
        <f>17.5346 * CHOOSE(CONTROL!$C$15, $E$9, 100%, $G$9) + CHOOSE(CONTROL!$C$38, 0.0347, 0)</f>
        <v>17.569300000000002</v>
      </c>
      <c r="E130" s="28">
        <f>18.9326 * CHOOSE(CONTROL!$C$15, $E$9, 100%, $G$9) + CHOOSE(CONTROL!$C$38, 0.0347, 0)</f>
        <v>18.967300000000002</v>
      </c>
      <c r="F130" s="27">
        <f>18.9326 * CHOOSE(CONTROL!$C$15, $E$9, 100%, $G$9) + CHOOSE(CONTROL!$C$38, 0.0256, 0)</f>
        <v>18.958200000000001</v>
      </c>
      <c r="G130" s="10">
        <f>17.5409 * CHOOSE(CONTROL!$C$15, $E$9, 100%, $G$9) + CHOOSE(CONTROL!$C$38, 0.0347, 0)</f>
        <v>17.575600000000001</v>
      </c>
      <c r="H130" s="10">
        <f>17.5409 * CHOOSE(CONTROL!$C$15, $E$9, 100%, $G$9) + CHOOSE(CONTROL!$C$38, 0.0347, 0)</f>
        <v>17.575600000000001</v>
      </c>
      <c r="I130" s="10">
        <f>17.5424 * CHOOSE(CONTROL!$C$15, $E$9, 100%, $G$9) + CHOOSE(CONTROL!$C$38, 0.0347, 0)</f>
        <v>17.577100000000002</v>
      </c>
      <c r="J130" s="26">
        <f>115.6928</f>
        <v>115.69280000000001</v>
      </c>
    </row>
    <row r="131" spans="1:10" ht="15" x14ac:dyDescent="0.2">
      <c r="A131" s="16">
        <v>45261</v>
      </c>
      <c r="B131" s="10">
        <f>19.6849 * CHOOSE(CONTROL!$C$15, $E$9, 100%, $G$9) + CHOOSE(CONTROL!$C$38, 0.0256, 0)</f>
        <v>19.7105</v>
      </c>
      <c r="C131" s="10">
        <f>18.1385 * CHOOSE(CONTROL!$C$15, $E$9, 100%, $G$9) + CHOOSE(CONTROL!$C$38, 0.0347, 0)</f>
        <v>18.173200000000001</v>
      </c>
      <c r="D131" s="10">
        <f>18.1307 * CHOOSE(CONTROL!$C$15, $E$9, 100%, $G$9) + CHOOSE(CONTROL!$C$38, 0.0347, 0)</f>
        <v>18.165400000000002</v>
      </c>
      <c r="E131" s="28">
        <f>19.5287 * CHOOSE(CONTROL!$C$15, $E$9, 100%, $G$9) + CHOOSE(CONTROL!$C$38, 0.0347, 0)</f>
        <v>19.563400000000001</v>
      </c>
      <c r="F131" s="27">
        <f>19.5287 * CHOOSE(CONTROL!$C$15, $E$9, 100%, $G$9) + CHOOSE(CONTROL!$C$38, 0.0256, 0)</f>
        <v>19.554300000000001</v>
      </c>
      <c r="G131" s="10">
        <f>18.137 * CHOOSE(CONTROL!$C$15, $E$9, 100%, $G$9) + CHOOSE(CONTROL!$C$38, 0.0347, 0)</f>
        <v>18.171700000000001</v>
      </c>
      <c r="H131" s="10">
        <f>18.137 * CHOOSE(CONTROL!$C$15, $E$9, 100%, $G$9) + CHOOSE(CONTROL!$C$38, 0.0347, 0)</f>
        <v>18.171700000000001</v>
      </c>
      <c r="I131" s="10">
        <f>18.1385 * CHOOSE(CONTROL!$C$15, $E$9, 100%, $G$9) + CHOOSE(CONTROL!$C$38, 0.0347, 0)</f>
        <v>18.173200000000001</v>
      </c>
      <c r="J131" s="26">
        <f>112.2597</f>
        <v>112.2597</v>
      </c>
    </row>
    <row r="132" spans="1:10" ht="15" x14ac:dyDescent="0.2">
      <c r="A132" s="16">
        <v>45292</v>
      </c>
      <c r="B132" s="10">
        <f>20.9828 * CHOOSE(CONTROL!$C$15, $E$9, 100%, $G$9) + CHOOSE(CONTROL!$C$38, 0.0256, 0)</f>
        <v>21.008400000000002</v>
      </c>
      <c r="C132" s="10">
        <f>19.2599 * CHOOSE(CONTROL!$C$15, $E$9, 100%, $G$9) + CHOOSE(CONTROL!$C$38, 0.0347, 0)</f>
        <v>19.294599999999999</v>
      </c>
      <c r="D132" s="10">
        <f>19.2521 * CHOOSE(CONTROL!$C$15, $E$9, 100%, $G$9) + CHOOSE(CONTROL!$C$38, 0.0347, 0)</f>
        <v>19.286799999999999</v>
      </c>
      <c r="E132" s="28">
        <f>20.8265 * CHOOSE(CONTROL!$C$15, $E$9, 100%, $G$9) + CHOOSE(CONTROL!$C$38, 0.0347, 0)</f>
        <v>20.8612</v>
      </c>
      <c r="F132" s="27">
        <f>20.8265 * CHOOSE(CONTROL!$C$15, $E$9, 100%, $G$9) + CHOOSE(CONTROL!$C$38, 0.0256, 0)</f>
        <v>20.8521</v>
      </c>
      <c r="G132" s="10">
        <f>19.2584 * CHOOSE(CONTROL!$C$15, $E$9, 100%, $G$9) + CHOOSE(CONTROL!$C$38, 0.0347, 0)</f>
        <v>19.293100000000003</v>
      </c>
      <c r="H132" s="10">
        <f>19.2584 * CHOOSE(CONTROL!$C$15, $E$9, 100%, $G$9) + CHOOSE(CONTROL!$C$38, 0.0347, 0)</f>
        <v>19.293100000000003</v>
      </c>
      <c r="I132" s="10">
        <f>19.2599 * CHOOSE(CONTROL!$C$15, $E$9, 100%, $G$9) + CHOOSE(CONTROL!$C$38, 0.0347, 0)</f>
        <v>19.294599999999999</v>
      </c>
      <c r="J132" s="26">
        <f>114.0833</f>
        <v>114.08329999999999</v>
      </c>
    </row>
    <row r="133" spans="1:10" ht="15" x14ac:dyDescent="0.2">
      <c r="A133" s="16">
        <v>45323</v>
      </c>
      <c r="B133" s="10">
        <f>21.2035 * CHOOSE(CONTROL!$C$15, $E$9, 100%, $G$9) + CHOOSE(CONTROL!$C$38, 0.0256, 0)</f>
        <v>21.229099999999999</v>
      </c>
      <c r="C133" s="10">
        <f>19.4807 * CHOOSE(CONTROL!$C$15, $E$9, 100%, $G$9) + CHOOSE(CONTROL!$C$38, 0.0347, 0)</f>
        <v>19.5154</v>
      </c>
      <c r="D133" s="10">
        <f>19.4729 * CHOOSE(CONTROL!$C$15, $E$9, 100%, $G$9) + CHOOSE(CONTROL!$C$38, 0.0347, 0)</f>
        <v>19.5076</v>
      </c>
      <c r="E133" s="28">
        <f>21.0473 * CHOOSE(CONTROL!$C$15, $E$9, 100%, $G$9) + CHOOSE(CONTROL!$C$38, 0.0347, 0)</f>
        <v>21.082000000000001</v>
      </c>
      <c r="F133" s="27">
        <f>21.0473 * CHOOSE(CONTROL!$C$15, $E$9, 100%, $G$9) + CHOOSE(CONTROL!$C$38, 0.0256, 0)</f>
        <v>21.072900000000001</v>
      </c>
      <c r="G133" s="10">
        <f>19.4791 * CHOOSE(CONTROL!$C$15, $E$9, 100%, $G$9) + CHOOSE(CONTROL!$C$38, 0.0347, 0)</f>
        <v>19.5138</v>
      </c>
      <c r="H133" s="10">
        <f>19.4791 * CHOOSE(CONTROL!$C$15, $E$9, 100%, $G$9) + CHOOSE(CONTROL!$C$38, 0.0347, 0)</f>
        <v>19.5138</v>
      </c>
      <c r="I133" s="10">
        <f>19.4807 * CHOOSE(CONTROL!$C$15, $E$9, 100%, $G$9) + CHOOSE(CONTROL!$C$38, 0.0347, 0)</f>
        <v>19.5154</v>
      </c>
      <c r="J133" s="26">
        <f>113.7662</f>
        <v>113.7662</v>
      </c>
    </row>
    <row r="134" spans="1:10" ht="15" x14ac:dyDescent="0.2">
      <c r="A134" s="16">
        <v>45352</v>
      </c>
      <c r="B134" s="10">
        <f>20.6925 * CHOOSE(CONTROL!$C$15, $E$9, 100%, $G$9) + CHOOSE(CONTROL!$C$38, 0.0256, 0)</f>
        <v>20.7181</v>
      </c>
      <c r="C134" s="10">
        <f>18.9697 * CHOOSE(CONTROL!$C$15, $E$9, 100%, $G$9) + CHOOSE(CONTROL!$C$38, 0.0347, 0)</f>
        <v>19.0044</v>
      </c>
      <c r="D134" s="10">
        <f>18.9618 * CHOOSE(CONTROL!$C$15, $E$9, 100%, $G$9) + CHOOSE(CONTROL!$C$38, 0.0347, 0)</f>
        <v>18.996500000000001</v>
      </c>
      <c r="E134" s="28">
        <f>20.5363 * CHOOSE(CONTROL!$C$15, $E$9, 100%, $G$9) + CHOOSE(CONTROL!$C$38, 0.0347, 0)</f>
        <v>20.571000000000002</v>
      </c>
      <c r="F134" s="27">
        <f>20.5363 * CHOOSE(CONTROL!$C$15, $E$9, 100%, $G$9) + CHOOSE(CONTROL!$C$38, 0.0256, 0)</f>
        <v>20.561900000000001</v>
      </c>
      <c r="G134" s="10">
        <f>18.9681 * CHOOSE(CONTROL!$C$15, $E$9, 100%, $G$9) + CHOOSE(CONTROL!$C$38, 0.0347, 0)</f>
        <v>19.002800000000001</v>
      </c>
      <c r="H134" s="10">
        <f>18.9681 * CHOOSE(CONTROL!$C$15, $E$9, 100%, $G$9) + CHOOSE(CONTROL!$C$38, 0.0347, 0)</f>
        <v>19.002800000000001</v>
      </c>
      <c r="I134" s="10">
        <f>18.9697 * CHOOSE(CONTROL!$C$15, $E$9, 100%, $G$9) + CHOOSE(CONTROL!$C$38, 0.0347, 0)</f>
        <v>19.0044</v>
      </c>
      <c r="J134" s="26">
        <f>119.7624</f>
        <v>119.7624</v>
      </c>
    </row>
    <row r="135" spans="1:10" ht="15" x14ac:dyDescent="0.2">
      <c r="A135" s="16">
        <v>45383</v>
      </c>
      <c r="B135" s="10">
        <f>20.1973 * CHOOSE(CONTROL!$C$15, $E$9, 100%, $G$9) + CHOOSE(CONTROL!$C$38, 0.0256, 0)</f>
        <v>20.222899999999999</v>
      </c>
      <c r="C135" s="10">
        <f>18.4745 * CHOOSE(CONTROL!$C$15, $E$9, 100%, $G$9) + CHOOSE(CONTROL!$C$38, 0.0347, 0)</f>
        <v>18.5092</v>
      </c>
      <c r="D135" s="10">
        <f>18.4667 * CHOOSE(CONTROL!$C$15, $E$9, 100%, $G$9) + CHOOSE(CONTROL!$C$38, 0.0347, 0)</f>
        <v>18.5014</v>
      </c>
      <c r="E135" s="28">
        <f>20.0411 * CHOOSE(CONTROL!$C$15, $E$9, 100%, $G$9) + CHOOSE(CONTROL!$C$38, 0.0347, 0)</f>
        <v>20.075800000000001</v>
      </c>
      <c r="F135" s="27">
        <f>20.0411 * CHOOSE(CONTROL!$C$15, $E$9, 100%, $G$9) + CHOOSE(CONTROL!$C$38, 0.0256, 0)</f>
        <v>20.066700000000001</v>
      </c>
      <c r="G135" s="10">
        <f>18.4729 * CHOOSE(CONTROL!$C$15, $E$9, 100%, $G$9) + CHOOSE(CONTROL!$C$38, 0.0347, 0)</f>
        <v>18.5076</v>
      </c>
      <c r="H135" s="10">
        <f>18.4729 * CHOOSE(CONTROL!$C$15, $E$9, 100%, $G$9) + CHOOSE(CONTROL!$C$38, 0.0347, 0)</f>
        <v>18.5076</v>
      </c>
      <c r="I135" s="10">
        <f>18.4745 * CHOOSE(CONTROL!$C$15, $E$9, 100%, $G$9) + CHOOSE(CONTROL!$C$38, 0.0347, 0)</f>
        <v>18.5092</v>
      </c>
      <c r="J135" s="26">
        <f>127.5379</f>
        <v>127.53789999999999</v>
      </c>
    </row>
    <row r="136" spans="1:10" ht="15" x14ac:dyDescent="0.2">
      <c r="A136" s="16">
        <v>45413</v>
      </c>
      <c r="B136" s="10">
        <f>19.6812 * CHOOSE(CONTROL!$C$15, $E$9, 100%, $G$9) + CHOOSE(CONTROL!$C$38, 0.0256, 0)</f>
        <v>19.706800000000001</v>
      </c>
      <c r="C136" s="10">
        <f>17.9584 * CHOOSE(CONTROL!$C$15, $E$9, 100%, $G$9) + CHOOSE(CONTROL!$C$38, 0.0347, 0)</f>
        <v>17.993100000000002</v>
      </c>
      <c r="D136" s="10">
        <f>17.9505 * CHOOSE(CONTROL!$C$15, $E$9, 100%, $G$9) + CHOOSE(CONTROL!$C$38, 0.0347, 0)</f>
        <v>17.985200000000003</v>
      </c>
      <c r="E136" s="28">
        <f>19.525 * CHOOSE(CONTROL!$C$15, $E$9, 100%, $G$9) + CHOOSE(CONTROL!$C$38, 0.0347, 0)</f>
        <v>19.559699999999999</v>
      </c>
      <c r="F136" s="27">
        <f>19.525 * CHOOSE(CONTROL!$C$15, $E$9, 100%, $G$9) + CHOOSE(CONTROL!$C$38, 0.0256, 0)</f>
        <v>19.550599999999999</v>
      </c>
      <c r="G136" s="10">
        <f>17.9568 * CHOOSE(CONTROL!$C$15, $E$9, 100%, $G$9) + CHOOSE(CONTROL!$C$38, 0.0347, 0)</f>
        <v>17.991500000000002</v>
      </c>
      <c r="H136" s="10">
        <f>17.9568 * CHOOSE(CONTROL!$C$15, $E$9, 100%, $G$9) + CHOOSE(CONTROL!$C$38, 0.0347, 0)</f>
        <v>17.991500000000002</v>
      </c>
      <c r="I136" s="10">
        <f>17.9584 * CHOOSE(CONTROL!$C$15, $E$9, 100%, $G$9) + CHOOSE(CONTROL!$C$38, 0.0347, 0)</f>
        <v>17.993100000000002</v>
      </c>
      <c r="J136" s="26">
        <f>131.8179</f>
        <v>131.81790000000001</v>
      </c>
    </row>
    <row r="137" spans="1:10" ht="15" x14ac:dyDescent="0.2">
      <c r="A137" s="16">
        <v>45444</v>
      </c>
      <c r="B137" s="10">
        <f>19.3194 * CHOOSE(CONTROL!$C$15, $E$9, 100%, $G$9) + CHOOSE(CONTROL!$C$38, 0.0256, 0)</f>
        <v>19.345000000000002</v>
      </c>
      <c r="C137" s="10">
        <f>17.5965 * CHOOSE(CONTROL!$C$15, $E$9, 100%, $G$9) + CHOOSE(CONTROL!$C$38, 0.0347, 0)</f>
        <v>17.6312</v>
      </c>
      <c r="D137" s="10">
        <f>17.5887 * CHOOSE(CONTROL!$C$15, $E$9, 100%, $G$9) + CHOOSE(CONTROL!$C$38, 0.0347, 0)</f>
        <v>17.6234</v>
      </c>
      <c r="E137" s="28">
        <f>19.1631 * CHOOSE(CONTROL!$C$15, $E$9, 100%, $G$9) + CHOOSE(CONTROL!$C$38, 0.0347, 0)</f>
        <v>19.197800000000001</v>
      </c>
      <c r="F137" s="27">
        <f>19.1631 * CHOOSE(CONTROL!$C$15, $E$9, 100%, $G$9) + CHOOSE(CONTROL!$C$38, 0.0256, 0)</f>
        <v>19.188700000000001</v>
      </c>
      <c r="G137" s="10">
        <f>17.595 * CHOOSE(CONTROL!$C$15, $E$9, 100%, $G$9) + CHOOSE(CONTROL!$C$38, 0.0347, 0)</f>
        <v>17.6297</v>
      </c>
      <c r="H137" s="10">
        <f>17.595 * CHOOSE(CONTROL!$C$15, $E$9, 100%, $G$9) + CHOOSE(CONTROL!$C$38, 0.0347, 0)</f>
        <v>17.6297</v>
      </c>
      <c r="I137" s="10">
        <f>17.5965 * CHOOSE(CONTROL!$C$15, $E$9, 100%, $G$9) + CHOOSE(CONTROL!$C$38, 0.0347, 0)</f>
        <v>17.6312</v>
      </c>
      <c r="J137" s="26">
        <f>133.7172</f>
        <v>133.71719999999999</v>
      </c>
    </row>
    <row r="138" spans="1:10" ht="15" x14ac:dyDescent="0.2">
      <c r="A138" s="16">
        <v>45474</v>
      </c>
      <c r="B138" s="10">
        <f>19.1129 * CHOOSE(CONTROL!$C$15, $E$9, 100%, $G$9) + CHOOSE(CONTROL!$C$38, 0.0256, 0)</f>
        <v>19.138500000000001</v>
      </c>
      <c r="C138" s="10">
        <f>17.39 * CHOOSE(CONTROL!$C$15, $E$9, 100%, $G$9) + CHOOSE(CONTROL!$C$38, 0.0347, 0)</f>
        <v>17.424700000000001</v>
      </c>
      <c r="D138" s="10">
        <f>17.3822 * CHOOSE(CONTROL!$C$15, $E$9, 100%, $G$9) + CHOOSE(CONTROL!$C$38, 0.0347, 0)</f>
        <v>17.416900000000002</v>
      </c>
      <c r="E138" s="28">
        <f>18.9566 * CHOOSE(CONTROL!$C$15, $E$9, 100%, $G$9) + CHOOSE(CONTROL!$C$38, 0.0347, 0)</f>
        <v>18.991300000000003</v>
      </c>
      <c r="F138" s="27">
        <f>18.9566 * CHOOSE(CONTROL!$C$15, $E$9, 100%, $G$9) + CHOOSE(CONTROL!$C$38, 0.0256, 0)</f>
        <v>18.982200000000002</v>
      </c>
      <c r="G138" s="10">
        <f>17.3885 * CHOOSE(CONTROL!$C$15, $E$9, 100%, $G$9) + CHOOSE(CONTROL!$C$38, 0.0347, 0)</f>
        <v>17.423200000000001</v>
      </c>
      <c r="H138" s="10">
        <f>17.3885 * CHOOSE(CONTROL!$C$15, $E$9, 100%, $G$9) + CHOOSE(CONTROL!$C$38, 0.0347, 0)</f>
        <v>17.423200000000001</v>
      </c>
      <c r="I138" s="10">
        <f>17.39 * CHOOSE(CONTROL!$C$15, $E$9, 100%, $G$9) + CHOOSE(CONTROL!$C$38, 0.0347, 0)</f>
        <v>17.424700000000001</v>
      </c>
      <c r="J138" s="26">
        <f>133.0919</f>
        <v>133.09190000000001</v>
      </c>
    </row>
    <row r="139" spans="1:10" ht="15" x14ac:dyDescent="0.2">
      <c r="A139" s="16">
        <v>45505</v>
      </c>
      <c r="B139" s="10">
        <f>19.2148 * CHOOSE(CONTROL!$C$15, $E$9, 100%, $G$9) + CHOOSE(CONTROL!$C$38, 0.0256, 0)</f>
        <v>19.240400000000001</v>
      </c>
      <c r="C139" s="10">
        <f>17.4919 * CHOOSE(CONTROL!$C$15, $E$9, 100%, $G$9) + CHOOSE(CONTROL!$C$38, 0.0347, 0)</f>
        <v>17.526600000000002</v>
      </c>
      <c r="D139" s="10">
        <f>17.4841 * CHOOSE(CONTROL!$C$15, $E$9, 100%, $G$9) + CHOOSE(CONTROL!$C$38, 0.0347, 0)</f>
        <v>17.518800000000002</v>
      </c>
      <c r="E139" s="28">
        <f>19.0585 * CHOOSE(CONTROL!$C$15, $E$9, 100%, $G$9) + CHOOSE(CONTROL!$C$38, 0.0347, 0)</f>
        <v>19.0932</v>
      </c>
      <c r="F139" s="27">
        <f>19.0585 * CHOOSE(CONTROL!$C$15, $E$9, 100%, $G$9) + CHOOSE(CONTROL!$C$38, 0.0256, 0)</f>
        <v>19.084099999999999</v>
      </c>
      <c r="G139" s="10">
        <f>17.4904 * CHOOSE(CONTROL!$C$15, $E$9, 100%, $G$9) + CHOOSE(CONTROL!$C$38, 0.0347, 0)</f>
        <v>17.525100000000002</v>
      </c>
      <c r="H139" s="10">
        <f>17.4904 * CHOOSE(CONTROL!$C$15, $E$9, 100%, $G$9) + CHOOSE(CONTROL!$C$38, 0.0347, 0)</f>
        <v>17.525100000000002</v>
      </c>
      <c r="I139" s="10">
        <f>17.4919 * CHOOSE(CONTROL!$C$15, $E$9, 100%, $G$9) + CHOOSE(CONTROL!$C$38, 0.0347, 0)</f>
        <v>17.526600000000002</v>
      </c>
      <c r="J139" s="26">
        <f>129.9935</f>
        <v>129.99350000000001</v>
      </c>
    </row>
    <row r="140" spans="1:10" ht="15" x14ac:dyDescent="0.2">
      <c r="A140" s="16">
        <v>45536</v>
      </c>
      <c r="B140" s="10">
        <f>19.4916 * CHOOSE(CONTROL!$C$15, $E$9, 100%, $G$9) + CHOOSE(CONTROL!$C$38, 0.0256, 0)</f>
        <v>19.517199999999999</v>
      </c>
      <c r="C140" s="10">
        <f>17.7687 * CHOOSE(CONTROL!$C$15, $E$9, 100%, $G$9) + CHOOSE(CONTROL!$C$38, 0.0347, 0)</f>
        <v>17.8034</v>
      </c>
      <c r="D140" s="10">
        <f>17.7609 * CHOOSE(CONTROL!$C$15, $E$9, 100%, $G$9) + CHOOSE(CONTROL!$C$38, 0.0347, 0)</f>
        <v>17.7956</v>
      </c>
      <c r="E140" s="28">
        <f>19.3353 * CHOOSE(CONTROL!$C$15, $E$9, 100%, $G$9) + CHOOSE(CONTROL!$C$38, 0.0347, 0)</f>
        <v>19.37</v>
      </c>
      <c r="F140" s="27">
        <f>19.3353 * CHOOSE(CONTROL!$C$15, $E$9, 100%, $G$9) + CHOOSE(CONTROL!$C$38, 0.0256, 0)</f>
        <v>19.360900000000001</v>
      </c>
      <c r="G140" s="10">
        <f>17.7672 * CHOOSE(CONTROL!$C$15, $E$9, 100%, $G$9) + CHOOSE(CONTROL!$C$38, 0.0347, 0)</f>
        <v>17.8019</v>
      </c>
      <c r="H140" s="10">
        <f>17.7672 * CHOOSE(CONTROL!$C$15, $E$9, 100%, $G$9) + CHOOSE(CONTROL!$C$38, 0.0347, 0)</f>
        <v>17.8019</v>
      </c>
      <c r="I140" s="10">
        <f>17.7687 * CHOOSE(CONTROL!$C$15, $E$9, 100%, $G$9) + CHOOSE(CONTROL!$C$38, 0.0347, 0)</f>
        <v>17.8034</v>
      </c>
      <c r="J140" s="26">
        <f>125.6728</f>
        <v>125.6728</v>
      </c>
    </row>
    <row r="141" spans="1:10" ht="15" x14ac:dyDescent="0.2">
      <c r="A141" s="16">
        <v>45566</v>
      </c>
      <c r="B141" s="10">
        <f>19.7234 * CHOOSE(CONTROL!$C$15, $E$9, 100%, $G$9) + CHOOSE(CONTROL!$C$38, 0.0256, 0)</f>
        <v>19.749000000000002</v>
      </c>
      <c r="C141" s="10">
        <f>18.0006 * CHOOSE(CONTROL!$C$15, $E$9, 100%, $G$9) + CHOOSE(CONTROL!$C$38, 0.0347, 0)</f>
        <v>18.035299999999999</v>
      </c>
      <c r="D141" s="10">
        <f>17.9928 * CHOOSE(CONTROL!$C$15, $E$9, 100%, $G$9) + CHOOSE(CONTROL!$C$38, 0.0347, 0)</f>
        <v>18.0275</v>
      </c>
      <c r="E141" s="28">
        <f>19.5672 * CHOOSE(CONTROL!$C$15, $E$9, 100%, $G$9) + CHOOSE(CONTROL!$C$38, 0.0347, 0)</f>
        <v>19.601900000000001</v>
      </c>
      <c r="F141" s="27">
        <f>19.5672 * CHOOSE(CONTROL!$C$15, $E$9, 100%, $G$9) + CHOOSE(CONTROL!$C$38, 0.0256, 0)</f>
        <v>19.5928</v>
      </c>
      <c r="G141" s="10">
        <f>17.999 * CHOOSE(CONTROL!$C$15, $E$9, 100%, $G$9) + CHOOSE(CONTROL!$C$38, 0.0347, 0)</f>
        <v>18.0337</v>
      </c>
      <c r="H141" s="10">
        <f>17.999 * CHOOSE(CONTROL!$C$15, $E$9, 100%, $G$9) + CHOOSE(CONTROL!$C$38, 0.0347, 0)</f>
        <v>18.0337</v>
      </c>
      <c r="I141" s="10">
        <f>18.0006 * CHOOSE(CONTROL!$C$15, $E$9, 100%, $G$9) + CHOOSE(CONTROL!$C$38, 0.0347, 0)</f>
        <v>18.035299999999999</v>
      </c>
      <c r="J141" s="26">
        <f>121.3269</f>
        <v>121.32689999999999</v>
      </c>
    </row>
    <row r="142" spans="1:10" ht="15" x14ac:dyDescent="0.2">
      <c r="A142" s="16">
        <v>45597</v>
      </c>
      <c r="B142" s="10">
        <f>19.9169 * CHOOSE(CONTROL!$C$15, $E$9, 100%, $G$9) + CHOOSE(CONTROL!$C$38, 0.0256, 0)</f>
        <v>19.942499999999999</v>
      </c>
      <c r="C142" s="10">
        <f>18.194 * CHOOSE(CONTROL!$C$15, $E$9, 100%, $G$9) + CHOOSE(CONTROL!$C$38, 0.0347, 0)</f>
        <v>18.2287</v>
      </c>
      <c r="D142" s="10">
        <f>18.1862 * CHOOSE(CONTROL!$C$15, $E$9, 100%, $G$9) + CHOOSE(CONTROL!$C$38, 0.0347, 0)</f>
        <v>18.2209</v>
      </c>
      <c r="E142" s="28">
        <f>19.7606 * CHOOSE(CONTROL!$C$15, $E$9, 100%, $G$9) + CHOOSE(CONTROL!$C$38, 0.0347, 0)</f>
        <v>19.795300000000001</v>
      </c>
      <c r="F142" s="27">
        <f>19.7606 * CHOOSE(CONTROL!$C$15, $E$9, 100%, $G$9) + CHOOSE(CONTROL!$C$38, 0.0256, 0)</f>
        <v>19.786200000000001</v>
      </c>
      <c r="G142" s="10">
        <f>18.1924 * CHOOSE(CONTROL!$C$15, $E$9, 100%, $G$9) + CHOOSE(CONTROL!$C$38, 0.0347, 0)</f>
        <v>18.2271</v>
      </c>
      <c r="H142" s="10">
        <f>18.1924 * CHOOSE(CONTROL!$C$15, $E$9, 100%, $G$9) + CHOOSE(CONTROL!$C$38, 0.0347, 0)</f>
        <v>18.2271</v>
      </c>
      <c r="I142" s="10">
        <f>18.194 * CHOOSE(CONTROL!$C$15, $E$9, 100%, $G$9) + CHOOSE(CONTROL!$C$38, 0.0347, 0)</f>
        <v>18.2287</v>
      </c>
      <c r="J142" s="26">
        <f>120.4624</f>
        <v>120.4624</v>
      </c>
    </row>
    <row r="143" spans="1:10" ht="15" x14ac:dyDescent="0.2">
      <c r="A143" s="16">
        <v>45627</v>
      </c>
      <c r="B143" s="10">
        <f>20.5129 * CHOOSE(CONTROL!$C$15, $E$9, 100%, $G$9) + CHOOSE(CONTROL!$C$38, 0.0256, 0)</f>
        <v>20.538499999999999</v>
      </c>
      <c r="C143" s="10">
        <f>18.7901 * CHOOSE(CONTROL!$C$15, $E$9, 100%, $G$9) + CHOOSE(CONTROL!$C$38, 0.0347, 0)</f>
        <v>18.8248</v>
      </c>
      <c r="D143" s="10">
        <f>18.7823 * CHOOSE(CONTROL!$C$15, $E$9, 100%, $G$9) + CHOOSE(CONTROL!$C$38, 0.0347, 0)</f>
        <v>18.817</v>
      </c>
      <c r="E143" s="28">
        <f>20.3567 * CHOOSE(CONTROL!$C$15, $E$9, 100%, $G$9) + CHOOSE(CONTROL!$C$38, 0.0347, 0)</f>
        <v>20.391400000000001</v>
      </c>
      <c r="F143" s="27">
        <f>20.3567 * CHOOSE(CONTROL!$C$15, $E$9, 100%, $G$9) + CHOOSE(CONTROL!$C$38, 0.0256, 0)</f>
        <v>20.382300000000001</v>
      </c>
      <c r="G143" s="10">
        <f>18.7885 * CHOOSE(CONTROL!$C$15, $E$9, 100%, $G$9) + CHOOSE(CONTROL!$C$38, 0.0347, 0)</f>
        <v>18.8232</v>
      </c>
      <c r="H143" s="10">
        <f>18.7885 * CHOOSE(CONTROL!$C$15, $E$9, 100%, $G$9) + CHOOSE(CONTROL!$C$38, 0.0347, 0)</f>
        <v>18.8232</v>
      </c>
      <c r="I143" s="10">
        <f>18.7901 * CHOOSE(CONTROL!$C$15, $E$9, 100%, $G$9) + CHOOSE(CONTROL!$C$38, 0.0347, 0)</f>
        <v>18.8248</v>
      </c>
      <c r="J143" s="26">
        <f>116.8877</f>
        <v>116.8877</v>
      </c>
    </row>
    <row r="144" spans="1:10" ht="15" x14ac:dyDescent="0.2">
      <c r="A144" s="16">
        <v>45658</v>
      </c>
      <c r="B144" s="10">
        <f>21.87 * CHOOSE(CONTROL!$C$15, $E$9, 100%, $G$9) + CHOOSE(CONTROL!$C$38, 0.0256, 0)</f>
        <v>21.895600000000002</v>
      </c>
      <c r="C144" s="10">
        <f>19.9693 * CHOOSE(CONTROL!$C$15, $E$9, 100%, $G$9) + CHOOSE(CONTROL!$C$38, 0.0347, 0)</f>
        <v>20.004000000000001</v>
      </c>
      <c r="D144" s="10">
        <f>19.9615 * CHOOSE(CONTROL!$C$15, $E$9, 100%, $G$9) + CHOOSE(CONTROL!$C$38, 0.0347, 0)</f>
        <v>19.996200000000002</v>
      </c>
      <c r="E144" s="28">
        <f>21.7138 * CHOOSE(CONTROL!$C$15, $E$9, 100%, $G$9) + CHOOSE(CONTROL!$C$38, 0.0347, 0)</f>
        <v>21.7485</v>
      </c>
      <c r="F144" s="27">
        <f>21.7138 * CHOOSE(CONTROL!$C$15, $E$9, 100%, $G$9) + CHOOSE(CONTROL!$C$38, 0.0256, 0)</f>
        <v>21.7394</v>
      </c>
      <c r="G144" s="10">
        <f>19.9677 * CHOOSE(CONTROL!$C$15, $E$9, 100%, $G$9) + CHOOSE(CONTROL!$C$38, 0.0347, 0)</f>
        <v>20.002400000000002</v>
      </c>
      <c r="H144" s="10">
        <f>19.9677 * CHOOSE(CONTROL!$C$15, $E$9, 100%, $G$9) + CHOOSE(CONTROL!$C$38, 0.0347, 0)</f>
        <v>20.002400000000002</v>
      </c>
      <c r="I144" s="10">
        <f>19.9693 * CHOOSE(CONTROL!$C$15, $E$9, 100%, $G$9) + CHOOSE(CONTROL!$C$38, 0.0347, 0)</f>
        <v>20.004000000000001</v>
      </c>
      <c r="J144" s="26">
        <f>118.7751</f>
        <v>118.77509999999999</v>
      </c>
    </row>
    <row r="145" spans="1:10" ht="15" x14ac:dyDescent="0.2">
      <c r="A145" s="16">
        <v>45689</v>
      </c>
      <c r="B145" s="10">
        <f>22.0908 * CHOOSE(CONTROL!$C$15, $E$9, 100%, $G$9) + CHOOSE(CONTROL!$C$38, 0.0256, 0)</f>
        <v>22.116400000000002</v>
      </c>
      <c r="C145" s="10">
        <f>20.1901 * CHOOSE(CONTROL!$C$15, $E$9, 100%, $G$9) + CHOOSE(CONTROL!$C$38, 0.0347, 0)</f>
        <v>20.224800000000002</v>
      </c>
      <c r="D145" s="10">
        <f>20.1822 * CHOOSE(CONTROL!$C$15, $E$9, 100%, $G$9) + CHOOSE(CONTROL!$C$38, 0.0347, 0)</f>
        <v>20.216900000000003</v>
      </c>
      <c r="E145" s="28">
        <f>21.9346 * CHOOSE(CONTROL!$C$15, $E$9, 100%, $G$9) + CHOOSE(CONTROL!$C$38, 0.0347, 0)</f>
        <v>21.9693</v>
      </c>
      <c r="F145" s="27">
        <f>21.9346 * CHOOSE(CONTROL!$C$15, $E$9, 100%, $G$9) + CHOOSE(CONTROL!$C$38, 0.0256, 0)</f>
        <v>21.9602</v>
      </c>
      <c r="G145" s="10">
        <f>20.1885 * CHOOSE(CONTROL!$C$15, $E$9, 100%, $G$9) + CHOOSE(CONTROL!$C$38, 0.0347, 0)</f>
        <v>20.223200000000002</v>
      </c>
      <c r="H145" s="10">
        <f>20.1885 * CHOOSE(CONTROL!$C$15, $E$9, 100%, $G$9) + CHOOSE(CONTROL!$C$38, 0.0347, 0)</f>
        <v>20.223200000000002</v>
      </c>
      <c r="I145" s="10">
        <f>20.1901 * CHOOSE(CONTROL!$C$15, $E$9, 100%, $G$9) + CHOOSE(CONTROL!$C$38, 0.0347, 0)</f>
        <v>20.224800000000002</v>
      </c>
      <c r="J145" s="26">
        <f>118.445</f>
        <v>118.44499999999999</v>
      </c>
    </row>
    <row r="146" spans="1:10" ht="15" x14ac:dyDescent="0.2">
      <c r="A146" s="16">
        <v>45717</v>
      </c>
      <c r="B146" s="10">
        <f>21.5798 * CHOOSE(CONTROL!$C$15, $E$9, 100%, $G$9) + CHOOSE(CONTROL!$C$38, 0.0256, 0)</f>
        <v>21.605399999999999</v>
      </c>
      <c r="C146" s="10">
        <f>19.679 * CHOOSE(CONTROL!$C$15, $E$9, 100%, $G$9) + CHOOSE(CONTROL!$C$38, 0.0347, 0)</f>
        <v>19.713699999999999</v>
      </c>
      <c r="D146" s="10">
        <f>19.6712 * CHOOSE(CONTROL!$C$15, $E$9, 100%, $G$9) + CHOOSE(CONTROL!$C$38, 0.0347, 0)</f>
        <v>19.7059</v>
      </c>
      <c r="E146" s="28">
        <f>21.4235 * CHOOSE(CONTROL!$C$15, $E$9, 100%, $G$9) + CHOOSE(CONTROL!$C$38, 0.0347, 0)</f>
        <v>21.458200000000001</v>
      </c>
      <c r="F146" s="27">
        <f>21.4235 * CHOOSE(CONTROL!$C$15, $E$9, 100%, $G$9) + CHOOSE(CONTROL!$C$38, 0.0256, 0)</f>
        <v>21.449100000000001</v>
      </c>
      <c r="G146" s="10">
        <f>19.6775 * CHOOSE(CONTROL!$C$15, $E$9, 100%, $G$9) + CHOOSE(CONTROL!$C$38, 0.0347, 0)</f>
        <v>19.712199999999999</v>
      </c>
      <c r="H146" s="10">
        <f>19.6775 * CHOOSE(CONTROL!$C$15, $E$9, 100%, $G$9) + CHOOSE(CONTROL!$C$38, 0.0347, 0)</f>
        <v>19.712199999999999</v>
      </c>
      <c r="I146" s="10">
        <f>19.679 * CHOOSE(CONTROL!$C$15, $E$9, 100%, $G$9) + CHOOSE(CONTROL!$C$38, 0.0347, 0)</f>
        <v>19.713699999999999</v>
      </c>
      <c r="J146" s="26">
        <f>124.6877</f>
        <v>124.68770000000001</v>
      </c>
    </row>
    <row r="147" spans="1:10" ht="15" x14ac:dyDescent="0.2">
      <c r="A147" s="16">
        <v>45748</v>
      </c>
      <c r="B147" s="10">
        <f>21.0846 * CHOOSE(CONTROL!$C$15, $E$9, 100%, $G$9) + CHOOSE(CONTROL!$C$38, 0.0256, 0)</f>
        <v>21.110199999999999</v>
      </c>
      <c r="C147" s="10">
        <f>19.1838 * CHOOSE(CONTROL!$C$15, $E$9, 100%, $G$9) + CHOOSE(CONTROL!$C$38, 0.0347, 0)</f>
        <v>19.218500000000002</v>
      </c>
      <c r="D147" s="10">
        <f>19.176 * CHOOSE(CONTROL!$C$15, $E$9, 100%, $G$9) + CHOOSE(CONTROL!$C$38, 0.0347, 0)</f>
        <v>19.210699999999999</v>
      </c>
      <c r="E147" s="28">
        <f>20.9283 * CHOOSE(CONTROL!$C$15, $E$9, 100%, $G$9) + CHOOSE(CONTROL!$C$38, 0.0347, 0)</f>
        <v>20.963000000000001</v>
      </c>
      <c r="F147" s="27">
        <f>20.9283 * CHOOSE(CONTROL!$C$15, $E$9, 100%, $G$9) + CHOOSE(CONTROL!$C$38, 0.0256, 0)</f>
        <v>20.953900000000001</v>
      </c>
      <c r="G147" s="10">
        <f>19.1823 * CHOOSE(CONTROL!$C$15, $E$9, 100%, $G$9) + CHOOSE(CONTROL!$C$38, 0.0347, 0)</f>
        <v>19.217000000000002</v>
      </c>
      <c r="H147" s="10">
        <f>19.1823 * CHOOSE(CONTROL!$C$15, $E$9, 100%, $G$9) + CHOOSE(CONTROL!$C$38, 0.0347, 0)</f>
        <v>19.217000000000002</v>
      </c>
      <c r="I147" s="10">
        <f>19.1838 * CHOOSE(CONTROL!$C$15, $E$9, 100%, $G$9) + CHOOSE(CONTROL!$C$38, 0.0347, 0)</f>
        <v>19.218500000000002</v>
      </c>
      <c r="J147" s="26">
        <f>132.783</f>
        <v>132.78299999999999</v>
      </c>
    </row>
    <row r="148" spans="1:10" ht="15" x14ac:dyDescent="0.2">
      <c r="A148" s="16">
        <v>45778</v>
      </c>
      <c r="B148" s="10">
        <f>20.5685 * CHOOSE(CONTROL!$C$15, $E$9, 100%, $G$9) + CHOOSE(CONTROL!$C$38, 0.0256, 0)</f>
        <v>20.594100000000001</v>
      </c>
      <c r="C148" s="10">
        <f>18.6677 * CHOOSE(CONTROL!$C$15, $E$9, 100%, $G$9) + CHOOSE(CONTROL!$C$38, 0.0347, 0)</f>
        <v>18.702400000000001</v>
      </c>
      <c r="D148" s="10">
        <f>18.6599 * CHOOSE(CONTROL!$C$15, $E$9, 100%, $G$9) + CHOOSE(CONTROL!$C$38, 0.0347, 0)</f>
        <v>18.694600000000001</v>
      </c>
      <c r="E148" s="28">
        <f>20.4122 * CHOOSE(CONTROL!$C$15, $E$9, 100%, $G$9) + CHOOSE(CONTROL!$C$38, 0.0347, 0)</f>
        <v>20.446899999999999</v>
      </c>
      <c r="F148" s="27">
        <f>20.4122 * CHOOSE(CONTROL!$C$15, $E$9, 100%, $G$9) + CHOOSE(CONTROL!$C$38, 0.0256, 0)</f>
        <v>20.437799999999999</v>
      </c>
      <c r="G148" s="10">
        <f>18.6662 * CHOOSE(CONTROL!$C$15, $E$9, 100%, $G$9) + CHOOSE(CONTROL!$C$38, 0.0347, 0)</f>
        <v>18.700900000000001</v>
      </c>
      <c r="H148" s="10">
        <f>18.6662 * CHOOSE(CONTROL!$C$15, $E$9, 100%, $G$9) + CHOOSE(CONTROL!$C$38, 0.0347, 0)</f>
        <v>18.700900000000001</v>
      </c>
      <c r="I148" s="10">
        <f>18.6677 * CHOOSE(CONTROL!$C$15, $E$9, 100%, $G$9) + CHOOSE(CONTROL!$C$38, 0.0347, 0)</f>
        <v>18.702400000000001</v>
      </c>
      <c r="J148" s="26">
        <f>137.239</f>
        <v>137.239</v>
      </c>
    </row>
    <row r="149" spans="1:10" ht="15" x14ac:dyDescent="0.2">
      <c r="A149" s="16">
        <v>45809</v>
      </c>
      <c r="B149" s="10">
        <f>20.2066 * CHOOSE(CONTROL!$C$15, $E$9, 100%, $G$9) + CHOOSE(CONTROL!$C$38, 0.0256, 0)</f>
        <v>20.232200000000002</v>
      </c>
      <c r="C149" s="10">
        <f>18.3059 * CHOOSE(CONTROL!$C$15, $E$9, 100%, $G$9) + CHOOSE(CONTROL!$C$38, 0.0347, 0)</f>
        <v>18.340600000000002</v>
      </c>
      <c r="D149" s="10">
        <f>18.2981 * CHOOSE(CONTROL!$C$15, $E$9, 100%, $G$9) + CHOOSE(CONTROL!$C$38, 0.0347, 0)</f>
        <v>18.332800000000002</v>
      </c>
      <c r="E149" s="28">
        <f>20.0504 * CHOOSE(CONTROL!$C$15, $E$9, 100%, $G$9) + CHOOSE(CONTROL!$C$38, 0.0347, 0)</f>
        <v>20.085100000000001</v>
      </c>
      <c r="F149" s="27">
        <f>20.0504 * CHOOSE(CONTROL!$C$15, $E$9, 100%, $G$9) + CHOOSE(CONTROL!$C$38, 0.0256, 0)</f>
        <v>20.076000000000001</v>
      </c>
      <c r="G149" s="10">
        <f>18.3043 * CHOOSE(CONTROL!$C$15, $E$9, 100%, $G$9) + CHOOSE(CONTROL!$C$38, 0.0347, 0)</f>
        <v>18.339000000000002</v>
      </c>
      <c r="H149" s="10">
        <f>18.3043 * CHOOSE(CONTROL!$C$15, $E$9, 100%, $G$9) + CHOOSE(CONTROL!$C$38, 0.0347, 0)</f>
        <v>18.339000000000002</v>
      </c>
      <c r="I149" s="10">
        <f>18.3059 * CHOOSE(CONTROL!$C$15, $E$9, 100%, $G$9) + CHOOSE(CONTROL!$C$38, 0.0347, 0)</f>
        <v>18.340600000000002</v>
      </c>
      <c r="J149" s="26">
        <f>139.2164</f>
        <v>139.21639999999999</v>
      </c>
    </row>
    <row r="150" spans="1:10" ht="15" x14ac:dyDescent="0.2">
      <c r="A150" s="16">
        <v>45839</v>
      </c>
      <c r="B150" s="10">
        <f>20.0002 * CHOOSE(CONTROL!$C$15, $E$9, 100%, $G$9) + CHOOSE(CONTROL!$C$38, 0.0256, 0)</f>
        <v>20.0258</v>
      </c>
      <c r="C150" s="10">
        <f>18.0994 * CHOOSE(CONTROL!$C$15, $E$9, 100%, $G$9) + CHOOSE(CONTROL!$C$38, 0.0347, 0)</f>
        <v>18.1341</v>
      </c>
      <c r="D150" s="10">
        <f>18.0916 * CHOOSE(CONTROL!$C$15, $E$9, 100%, $G$9) + CHOOSE(CONTROL!$C$38, 0.0347, 0)</f>
        <v>18.126300000000001</v>
      </c>
      <c r="E150" s="28">
        <f>19.8439 * CHOOSE(CONTROL!$C$15, $E$9, 100%, $G$9) + CHOOSE(CONTROL!$C$38, 0.0347, 0)</f>
        <v>19.878600000000002</v>
      </c>
      <c r="F150" s="27">
        <f>19.8439 * CHOOSE(CONTROL!$C$15, $E$9, 100%, $G$9) + CHOOSE(CONTROL!$C$38, 0.0256, 0)</f>
        <v>19.869500000000002</v>
      </c>
      <c r="G150" s="10">
        <f>18.0978 * CHOOSE(CONTROL!$C$15, $E$9, 100%, $G$9) + CHOOSE(CONTROL!$C$38, 0.0347, 0)</f>
        <v>18.1325</v>
      </c>
      <c r="H150" s="10">
        <f>18.0978 * CHOOSE(CONTROL!$C$15, $E$9, 100%, $G$9) + CHOOSE(CONTROL!$C$38, 0.0347, 0)</f>
        <v>18.1325</v>
      </c>
      <c r="I150" s="10">
        <f>18.0994 * CHOOSE(CONTROL!$C$15, $E$9, 100%, $G$9) + CHOOSE(CONTROL!$C$38, 0.0347, 0)</f>
        <v>18.1341</v>
      </c>
      <c r="J150" s="26">
        <f>138.5653</f>
        <v>138.56530000000001</v>
      </c>
    </row>
    <row r="151" spans="1:10" ht="15" x14ac:dyDescent="0.2">
      <c r="A151" s="16">
        <v>45870</v>
      </c>
      <c r="B151" s="10">
        <f>20.1021 * CHOOSE(CONTROL!$C$15, $E$9, 100%, $G$9) + CHOOSE(CONTROL!$C$38, 0.0256, 0)</f>
        <v>20.127700000000001</v>
      </c>
      <c r="C151" s="10">
        <f>18.2013 * CHOOSE(CONTROL!$C$15, $E$9, 100%, $G$9) + CHOOSE(CONTROL!$C$38, 0.0347, 0)</f>
        <v>18.236000000000001</v>
      </c>
      <c r="D151" s="10">
        <f>18.1935 * CHOOSE(CONTROL!$C$15, $E$9, 100%, $G$9) + CHOOSE(CONTROL!$C$38, 0.0347, 0)</f>
        <v>18.228200000000001</v>
      </c>
      <c r="E151" s="28">
        <f>19.9458 * CHOOSE(CONTROL!$C$15, $E$9, 100%, $G$9) + CHOOSE(CONTROL!$C$38, 0.0347, 0)</f>
        <v>19.980499999999999</v>
      </c>
      <c r="F151" s="27">
        <f>19.9458 * CHOOSE(CONTROL!$C$15, $E$9, 100%, $G$9) + CHOOSE(CONTROL!$C$38, 0.0256, 0)</f>
        <v>19.971399999999999</v>
      </c>
      <c r="G151" s="10">
        <f>18.1998 * CHOOSE(CONTROL!$C$15, $E$9, 100%, $G$9) + CHOOSE(CONTROL!$C$38, 0.0347, 0)</f>
        <v>18.234500000000001</v>
      </c>
      <c r="H151" s="10">
        <f>18.1998 * CHOOSE(CONTROL!$C$15, $E$9, 100%, $G$9) + CHOOSE(CONTROL!$C$38, 0.0347, 0)</f>
        <v>18.234500000000001</v>
      </c>
      <c r="I151" s="10">
        <f>18.2013 * CHOOSE(CONTROL!$C$15, $E$9, 100%, $G$9) + CHOOSE(CONTROL!$C$38, 0.0347, 0)</f>
        <v>18.236000000000001</v>
      </c>
      <c r="J151" s="26">
        <f>135.3396</f>
        <v>135.33959999999999</v>
      </c>
    </row>
    <row r="152" spans="1:10" ht="15" x14ac:dyDescent="0.2">
      <c r="A152" s="16">
        <v>45901</v>
      </c>
      <c r="B152" s="10">
        <f>20.3789 * CHOOSE(CONTROL!$C$15, $E$9, 100%, $G$9) + CHOOSE(CONTROL!$C$38, 0.0256, 0)</f>
        <v>20.404500000000002</v>
      </c>
      <c r="C152" s="10">
        <f>18.4781 * CHOOSE(CONTROL!$C$15, $E$9, 100%, $G$9) + CHOOSE(CONTROL!$C$38, 0.0347, 0)</f>
        <v>18.512800000000002</v>
      </c>
      <c r="D152" s="10">
        <f>18.4703 * CHOOSE(CONTROL!$C$15, $E$9, 100%, $G$9) + CHOOSE(CONTROL!$C$38, 0.0347, 0)</f>
        <v>18.505000000000003</v>
      </c>
      <c r="E152" s="28">
        <f>20.2226 * CHOOSE(CONTROL!$C$15, $E$9, 100%, $G$9) + CHOOSE(CONTROL!$C$38, 0.0347, 0)</f>
        <v>20.257300000000001</v>
      </c>
      <c r="F152" s="27">
        <f>20.2226 * CHOOSE(CONTROL!$C$15, $E$9, 100%, $G$9) + CHOOSE(CONTROL!$C$38, 0.0256, 0)</f>
        <v>20.248200000000001</v>
      </c>
      <c r="G152" s="10">
        <f>18.4766 * CHOOSE(CONTROL!$C$15, $E$9, 100%, $G$9) + CHOOSE(CONTROL!$C$38, 0.0347, 0)</f>
        <v>18.511300000000002</v>
      </c>
      <c r="H152" s="10">
        <f>18.4766 * CHOOSE(CONTROL!$C$15, $E$9, 100%, $G$9) + CHOOSE(CONTROL!$C$38, 0.0347, 0)</f>
        <v>18.511300000000002</v>
      </c>
      <c r="I152" s="10">
        <f>18.4781 * CHOOSE(CONTROL!$C$15, $E$9, 100%, $G$9) + CHOOSE(CONTROL!$C$38, 0.0347, 0)</f>
        <v>18.512800000000002</v>
      </c>
      <c r="J152" s="26">
        <f>130.8411</f>
        <v>130.84110000000001</v>
      </c>
    </row>
    <row r="153" spans="1:10" ht="15" x14ac:dyDescent="0.2">
      <c r="A153" s="16">
        <v>45931</v>
      </c>
      <c r="B153" s="10">
        <f>20.6107 * CHOOSE(CONTROL!$C$15, $E$9, 100%, $G$9) + CHOOSE(CONTROL!$C$38, 0.0256, 0)</f>
        <v>20.636300000000002</v>
      </c>
      <c r="C153" s="10">
        <f>18.7099 * CHOOSE(CONTROL!$C$15, $E$9, 100%, $G$9) + CHOOSE(CONTROL!$C$38, 0.0347, 0)</f>
        <v>18.744600000000002</v>
      </c>
      <c r="D153" s="10">
        <f>18.7021 * CHOOSE(CONTROL!$C$15, $E$9, 100%, $G$9) + CHOOSE(CONTROL!$C$38, 0.0347, 0)</f>
        <v>18.736800000000002</v>
      </c>
      <c r="E153" s="28">
        <f>20.4544 * CHOOSE(CONTROL!$C$15, $E$9, 100%, $G$9) + CHOOSE(CONTROL!$C$38, 0.0347, 0)</f>
        <v>20.489100000000001</v>
      </c>
      <c r="F153" s="27">
        <f>20.4544 * CHOOSE(CONTROL!$C$15, $E$9, 100%, $G$9) + CHOOSE(CONTROL!$C$38, 0.0256, 0)</f>
        <v>20.48</v>
      </c>
      <c r="G153" s="10">
        <f>18.7084 * CHOOSE(CONTROL!$C$15, $E$9, 100%, $G$9) + CHOOSE(CONTROL!$C$38, 0.0347, 0)</f>
        <v>18.743100000000002</v>
      </c>
      <c r="H153" s="10">
        <f>18.7084 * CHOOSE(CONTROL!$C$15, $E$9, 100%, $G$9) + CHOOSE(CONTROL!$C$38, 0.0347, 0)</f>
        <v>18.743100000000002</v>
      </c>
      <c r="I153" s="10">
        <f>18.7099 * CHOOSE(CONTROL!$C$15, $E$9, 100%, $G$9) + CHOOSE(CONTROL!$C$38, 0.0347, 0)</f>
        <v>18.744600000000002</v>
      </c>
      <c r="J153" s="26">
        <f>126.3165</f>
        <v>126.3165</v>
      </c>
    </row>
    <row r="154" spans="1:10" ht="15" x14ac:dyDescent="0.2">
      <c r="A154" s="16">
        <v>45962</v>
      </c>
      <c r="B154" s="10">
        <f>20.8041 * CHOOSE(CONTROL!$C$15, $E$9, 100%, $G$9) + CHOOSE(CONTROL!$C$38, 0.0256, 0)</f>
        <v>20.829699999999999</v>
      </c>
      <c r="C154" s="10">
        <f>18.9034 * CHOOSE(CONTROL!$C$15, $E$9, 100%, $G$9) + CHOOSE(CONTROL!$C$38, 0.0347, 0)</f>
        <v>18.938100000000002</v>
      </c>
      <c r="D154" s="10">
        <f>18.8956 * CHOOSE(CONTROL!$C$15, $E$9, 100%, $G$9) + CHOOSE(CONTROL!$C$38, 0.0347, 0)</f>
        <v>18.930300000000003</v>
      </c>
      <c r="E154" s="28">
        <f>20.6479 * CHOOSE(CONTROL!$C$15, $E$9, 100%, $G$9) + CHOOSE(CONTROL!$C$38, 0.0347, 0)</f>
        <v>20.682600000000001</v>
      </c>
      <c r="F154" s="27">
        <f>20.6479 * CHOOSE(CONTROL!$C$15, $E$9, 100%, $G$9) + CHOOSE(CONTROL!$C$38, 0.0256, 0)</f>
        <v>20.673500000000001</v>
      </c>
      <c r="G154" s="10">
        <f>18.9018 * CHOOSE(CONTROL!$C$15, $E$9, 100%, $G$9) + CHOOSE(CONTROL!$C$38, 0.0347, 0)</f>
        <v>18.936500000000002</v>
      </c>
      <c r="H154" s="10">
        <f>18.9018 * CHOOSE(CONTROL!$C$15, $E$9, 100%, $G$9) + CHOOSE(CONTROL!$C$38, 0.0347, 0)</f>
        <v>18.936500000000002</v>
      </c>
      <c r="I154" s="10">
        <f>18.9034 * CHOOSE(CONTROL!$C$15, $E$9, 100%, $G$9) + CHOOSE(CONTROL!$C$38, 0.0347, 0)</f>
        <v>18.938100000000002</v>
      </c>
      <c r="J154" s="26">
        <f>125.4165</f>
        <v>125.4165</v>
      </c>
    </row>
    <row r="155" spans="1:10" ht="15" x14ac:dyDescent="0.2">
      <c r="A155" s="16">
        <v>45992</v>
      </c>
      <c r="B155" s="10">
        <f>21.4002 * CHOOSE(CONTROL!$C$15, $E$9, 100%, $G$9) + CHOOSE(CONTROL!$C$38, 0.0256, 0)</f>
        <v>21.425800000000002</v>
      </c>
      <c r="C155" s="10">
        <f>19.4995 * CHOOSE(CONTROL!$C$15, $E$9, 100%, $G$9) + CHOOSE(CONTROL!$C$38, 0.0347, 0)</f>
        <v>19.534200000000002</v>
      </c>
      <c r="D155" s="10">
        <f>19.4916 * CHOOSE(CONTROL!$C$15, $E$9, 100%, $G$9) + CHOOSE(CONTROL!$C$38, 0.0347, 0)</f>
        <v>19.526299999999999</v>
      </c>
      <c r="E155" s="28">
        <f>21.2439 * CHOOSE(CONTROL!$C$15, $E$9, 100%, $G$9) + CHOOSE(CONTROL!$C$38, 0.0347, 0)</f>
        <v>21.278600000000001</v>
      </c>
      <c r="F155" s="27">
        <f>21.2439 * CHOOSE(CONTROL!$C$15, $E$9, 100%, $G$9) + CHOOSE(CONTROL!$C$38, 0.0256, 0)</f>
        <v>21.269500000000001</v>
      </c>
      <c r="G155" s="10">
        <f>19.4979 * CHOOSE(CONTROL!$C$15, $E$9, 100%, $G$9) + CHOOSE(CONTROL!$C$38, 0.0347, 0)</f>
        <v>19.532600000000002</v>
      </c>
      <c r="H155" s="10">
        <f>19.4979 * CHOOSE(CONTROL!$C$15, $E$9, 100%, $G$9) + CHOOSE(CONTROL!$C$38, 0.0347, 0)</f>
        <v>19.532600000000002</v>
      </c>
      <c r="I155" s="10">
        <f>19.4995 * CHOOSE(CONTROL!$C$15, $E$9, 100%, $G$9) + CHOOSE(CONTROL!$C$38, 0.0347, 0)</f>
        <v>19.534200000000002</v>
      </c>
      <c r="J155" s="26">
        <f>121.6947</f>
        <v>121.6947</v>
      </c>
    </row>
    <row r="156" spans="1:10" ht="15" x14ac:dyDescent="0.2">
      <c r="A156" s="16">
        <v>46023</v>
      </c>
      <c r="B156" s="10">
        <f>22.6276 * CHOOSE(CONTROL!$C$15, $E$9, 100%, $G$9) + CHOOSE(CONTROL!$C$38, 0.0256, 0)</f>
        <v>22.653200000000002</v>
      </c>
      <c r="C156" s="10">
        <f>20.7084 * CHOOSE(CONTROL!$C$15, $E$9, 100%, $G$9) + CHOOSE(CONTROL!$C$38, 0.0347, 0)</f>
        <v>20.743100000000002</v>
      </c>
      <c r="D156" s="10">
        <f>20.7005 * CHOOSE(CONTROL!$C$15, $E$9, 100%, $G$9) + CHOOSE(CONTROL!$C$38, 0.0347, 0)</f>
        <v>20.735200000000003</v>
      </c>
      <c r="E156" s="28">
        <f>22.4713 * CHOOSE(CONTROL!$C$15, $E$9, 100%, $G$9) + CHOOSE(CONTROL!$C$38, 0.0347, 0)</f>
        <v>22.506</v>
      </c>
      <c r="F156" s="27">
        <f>22.4713 * CHOOSE(CONTROL!$C$15, $E$9, 100%, $G$9) + CHOOSE(CONTROL!$C$38, 0.0256, 0)</f>
        <v>22.4969</v>
      </c>
      <c r="G156" s="10">
        <f>20.7068 * CHOOSE(CONTROL!$C$15, $E$9, 100%, $G$9) + CHOOSE(CONTROL!$C$38, 0.0347, 0)</f>
        <v>20.741500000000002</v>
      </c>
      <c r="H156" s="10">
        <f>20.7068 * CHOOSE(CONTROL!$C$15, $E$9, 100%, $G$9) + CHOOSE(CONTROL!$C$38, 0.0347, 0)</f>
        <v>20.741500000000002</v>
      </c>
      <c r="I156" s="10">
        <f>20.7084 * CHOOSE(CONTROL!$C$15, $E$9, 100%, $G$9) + CHOOSE(CONTROL!$C$38, 0.0347, 0)</f>
        <v>20.743100000000002</v>
      </c>
      <c r="J156" s="26">
        <f>123.6692</f>
        <v>123.6692</v>
      </c>
    </row>
    <row r="157" spans="1:10" ht="15" x14ac:dyDescent="0.2">
      <c r="A157" s="16">
        <v>46054</v>
      </c>
      <c r="B157" s="10">
        <f>22.8483 * CHOOSE(CONTROL!$C$15, $E$9, 100%, $G$9) + CHOOSE(CONTROL!$C$38, 0.0256, 0)</f>
        <v>22.873899999999999</v>
      </c>
      <c r="C157" s="10">
        <f>20.9291 * CHOOSE(CONTROL!$C$15, $E$9, 100%, $G$9) + CHOOSE(CONTROL!$C$38, 0.0347, 0)</f>
        <v>20.963799999999999</v>
      </c>
      <c r="D157" s="10">
        <f>20.9213 * CHOOSE(CONTROL!$C$15, $E$9, 100%, $G$9) + CHOOSE(CONTROL!$C$38, 0.0347, 0)</f>
        <v>20.956</v>
      </c>
      <c r="E157" s="28">
        <f>22.6921 * CHOOSE(CONTROL!$C$15, $E$9, 100%, $G$9) + CHOOSE(CONTROL!$C$38, 0.0347, 0)</f>
        <v>22.726800000000001</v>
      </c>
      <c r="F157" s="27">
        <f>22.6921 * CHOOSE(CONTROL!$C$15, $E$9, 100%, $G$9) + CHOOSE(CONTROL!$C$38, 0.0256, 0)</f>
        <v>22.717700000000001</v>
      </c>
      <c r="G157" s="10">
        <f>20.9276 * CHOOSE(CONTROL!$C$15, $E$9, 100%, $G$9) + CHOOSE(CONTROL!$C$38, 0.0347, 0)</f>
        <v>20.962300000000003</v>
      </c>
      <c r="H157" s="10">
        <f>20.9276 * CHOOSE(CONTROL!$C$15, $E$9, 100%, $G$9) + CHOOSE(CONTROL!$C$38, 0.0347, 0)</f>
        <v>20.962300000000003</v>
      </c>
      <c r="I157" s="10">
        <f>20.9291 * CHOOSE(CONTROL!$C$15, $E$9, 100%, $G$9) + CHOOSE(CONTROL!$C$38, 0.0347, 0)</f>
        <v>20.963799999999999</v>
      </c>
      <c r="J157" s="26">
        <f>123.3255</f>
        <v>123.32550000000001</v>
      </c>
    </row>
    <row r="158" spans="1:10" ht="15" x14ac:dyDescent="0.2">
      <c r="A158" s="16">
        <v>46082</v>
      </c>
      <c r="B158" s="10">
        <f>22.3373 * CHOOSE(CONTROL!$C$15, $E$9, 100%, $G$9) + CHOOSE(CONTROL!$C$38, 0.0256, 0)</f>
        <v>22.3629</v>
      </c>
      <c r="C158" s="10">
        <f>20.4181 * CHOOSE(CONTROL!$C$15, $E$9, 100%, $G$9) + CHOOSE(CONTROL!$C$38, 0.0347, 0)</f>
        <v>20.4528</v>
      </c>
      <c r="D158" s="10">
        <f>20.4103 * CHOOSE(CONTROL!$C$15, $E$9, 100%, $G$9) + CHOOSE(CONTROL!$C$38, 0.0347, 0)</f>
        <v>20.445</v>
      </c>
      <c r="E158" s="28">
        <f>22.1811 * CHOOSE(CONTROL!$C$15, $E$9, 100%, $G$9) + CHOOSE(CONTROL!$C$38, 0.0347, 0)</f>
        <v>22.215800000000002</v>
      </c>
      <c r="F158" s="27">
        <f>22.1811 * CHOOSE(CONTROL!$C$15, $E$9, 100%, $G$9) + CHOOSE(CONTROL!$C$38, 0.0256, 0)</f>
        <v>22.206700000000001</v>
      </c>
      <c r="G158" s="10">
        <f>20.4165 * CHOOSE(CONTROL!$C$15, $E$9, 100%, $G$9) + CHOOSE(CONTROL!$C$38, 0.0347, 0)</f>
        <v>20.4512</v>
      </c>
      <c r="H158" s="10">
        <f>20.4165 * CHOOSE(CONTROL!$C$15, $E$9, 100%, $G$9) + CHOOSE(CONTROL!$C$38, 0.0347, 0)</f>
        <v>20.4512</v>
      </c>
      <c r="I158" s="10">
        <f>20.4181 * CHOOSE(CONTROL!$C$15, $E$9, 100%, $G$9) + CHOOSE(CONTROL!$C$38, 0.0347, 0)</f>
        <v>20.4528</v>
      </c>
      <c r="J158" s="26">
        <f>129.8255</f>
        <v>129.82550000000001</v>
      </c>
    </row>
    <row r="159" spans="1:10" ht="15" x14ac:dyDescent="0.2">
      <c r="A159" s="16">
        <v>46113</v>
      </c>
      <c r="B159" s="10">
        <f>21.8421 * CHOOSE(CONTROL!$C$15, $E$9, 100%, $G$9) + CHOOSE(CONTROL!$C$38, 0.0256, 0)</f>
        <v>21.867699999999999</v>
      </c>
      <c r="C159" s="10">
        <f>19.9229 * CHOOSE(CONTROL!$C$15, $E$9, 100%, $G$9) + CHOOSE(CONTROL!$C$38, 0.0347, 0)</f>
        <v>19.957599999999999</v>
      </c>
      <c r="D159" s="10">
        <f>19.9151 * CHOOSE(CONTROL!$C$15, $E$9, 100%, $G$9) + CHOOSE(CONTROL!$C$38, 0.0347, 0)</f>
        <v>19.9498</v>
      </c>
      <c r="E159" s="28">
        <f>21.6859 * CHOOSE(CONTROL!$C$15, $E$9, 100%, $G$9) + CHOOSE(CONTROL!$C$38, 0.0347, 0)</f>
        <v>21.720600000000001</v>
      </c>
      <c r="F159" s="27">
        <f>21.6859 * CHOOSE(CONTROL!$C$15, $E$9, 100%, $G$9) + CHOOSE(CONTROL!$C$38, 0.0256, 0)</f>
        <v>21.711500000000001</v>
      </c>
      <c r="G159" s="10">
        <f>19.9213 * CHOOSE(CONTROL!$C$15, $E$9, 100%, $G$9) + CHOOSE(CONTROL!$C$38, 0.0347, 0)</f>
        <v>19.956</v>
      </c>
      <c r="H159" s="10">
        <f>19.9213 * CHOOSE(CONTROL!$C$15, $E$9, 100%, $G$9) + CHOOSE(CONTROL!$C$38, 0.0347, 0)</f>
        <v>19.956</v>
      </c>
      <c r="I159" s="10">
        <f>19.9229 * CHOOSE(CONTROL!$C$15, $E$9, 100%, $G$9) + CHOOSE(CONTROL!$C$38, 0.0347, 0)</f>
        <v>19.957599999999999</v>
      </c>
      <c r="J159" s="26">
        <f>138.2544</f>
        <v>138.2544</v>
      </c>
    </row>
    <row r="160" spans="1:10" ht="15" x14ac:dyDescent="0.2">
      <c r="A160" s="16">
        <v>46143</v>
      </c>
      <c r="B160" s="10">
        <f>21.326 * CHOOSE(CONTROL!$C$15, $E$9, 100%, $G$9) + CHOOSE(CONTROL!$C$38, 0.0256, 0)</f>
        <v>21.351600000000001</v>
      </c>
      <c r="C160" s="10">
        <f>19.4068 * CHOOSE(CONTROL!$C$15, $E$9, 100%, $G$9) + CHOOSE(CONTROL!$C$38, 0.0347, 0)</f>
        <v>19.441500000000001</v>
      </c>
      <c r="D160" s="10">
        <f>19.399 * CHOOSE(CONTROL!$C$15, $E$9, 100%, $G$9) + CHOOSE(CONTROL!$C$38, 0.0347, 0)</f>
        <v>19.433700000000002</v>
      </c>
      <c r="E160" s="28">
        <f>21.1698 * CHOOSE(CONTROL!$C$15, $E$9, 100%, $G$9) + CHOOSE(CONTROL!$C$38, 0.0347, 0)</f>
        <v>21.204499999999999</v>
      </c>
      <c r="F160" s="27">
        <f>21.1698 * CHOOSE(CONTROL!$C$15, $E$9, 100%, $G$9) + CHOOSE(CONTROL!$C$38, 0.0256, 0)</f>
        <v>21.195399999999999</v>
      </c>
      <c r="G160" s="10">
        <f>19.4052 * CHOOSE(CONTROL!$C$15, $E$9, 100%, $G$9) + CHOOSE(CONTROL!$C$38, 0.0347, 0)</f>
        <v>19.439900000000002</v>
      </c>
      <c r="H160" s="10">
        <f>19.4052 * CHOOSE(CONTROL!$C$15, $E$9, 100%, $G$9) + CHOOSE(CONTROL!$C$38, 0.0347, 0)</f>
        <v>19.439900000000002</v>
      </c>
      <c r="I160" s="10">
        <f>19.4068 * CHOOSE(CONTROL!$C$15, $E$9, 100%, $G$9) + CHOOSE(CONTROL!$C$38, 0.0347, 0)</f>
        <v>19.441500000000001</v>
      </c>
      <c r="J160" s="26">
        <f>142.8939</f>
        <v>142.8939</v>
      </c>
    </row>
    <row r="161" spans="1:10" ht="15" x14ac:dyDescent="0.2">
      <c r="A161" s="16">
        <v>46174</v>
      </c>
      <c r="B161" s="10">
        <f>20.9642 * CHOOSE(CONTROL!$C$15, $E$9, 100%, $G$9) + CHOOSE(CONTROL!$C$38, 0.0256, 0)</f>
        <v>20.989800000000002</v>
      </c>
      <c r="C161" s="10">
        <f>19.045 * CHOOSE(CONTROL!$C$15, $E$9, 100%, $G$9) + CHOOSE(CONTROL!$C$38, 0.0347, 0)</f>
        <v>19.079700000000003</v>
      </c>
      <c r="D161" s="10">
        <f>19.0372 * CHOOSE(CONTROL!$C$15, $E$9, 100%, $G$9) + CHOOSE(CONTROL!$C$38, 0.0347, 0)</f>
        <v>19.071899999999999</v>
      </c>
      <c r="E161" s="28">
        <f>20.8079 * CHOOSE(CONTROL!$C$15, $E$9, 100%, $G$9) + CHOOSE(CONTROL!$C$38, 0.0347, 0)</f>
        <v>20.842600000000001</v>
      </c>
      <c r="F161" s="27">
        <f>20.8079 * CHOOSE(CONTROL!$C$15, $E$9, 100%, $G$9) + CHOOSE(CONTROL!$C$38, 0.0256, 0)</f>
        <v>20.833500000000001</v>
      </c>
      <c r="G161" s="10">
        <f>19.0434 * CHOOSE(CONTROL!$C$15, $E$9, 100%, $G$9) + CHOOSE(CONTROL!$C$38, 0.0347, 0)</f>
        <v>19.078099999999999</v>
      </c>
      <c r="H161" s="10">
        <f>19.0434 * CHOOSE(CONTROL!$C$15, $E$9, 100%, $G$9) + CHOOSE(CONTROL!$C$38, 0.0347, 0)</f>
        <v>19.078099999999999</v>
      </c>
      <c r="I161" s="10">
        <f>19.045 * CHOOSE(CONTROL!$C$15, $E$9, 100%, $G$9) + CHOOSE(CONTROL!$C$38, 0.0347, 0)</f>
        <v>19.079700000000003</v>
      </c>
      <c r="J161" s="26">
        <f>144.9528</f>
        <v>144.9528</v>
      </c>
    </row>
    <row r="162" spans="1:10" ht="15" x14ac:dyDescent="0.2">
      <c r="A162" s="16">
        <v>46204</v>
      </c>
      <c r="B162" s="10">
        <f>20.7577 * CHOOSE(CONTROL!$C$15, $E$9, 100%, $G$9) + CHOOSE(CONTROL!$C$38, 0.0256, 0)</f>
        <v>20.783300000000001</v>
      </c>
      <c r="C162" s="10">
        <f>18.8385 * CHOOSE(CONTROL!$C$15, $E$9, 100%, $G$9) + CHOOSE(CONTROL!$C$38, 0.0347, 0)</f>
        <v>18.873200000000001</v>
      </c>
      <c r="D162" s="10">
        <f>18.8307 * CHOOSE(CONTROL!$C$15, $E$9, 100%, $G$9) + CHOOSE(CONTROL!$C$38, 0.0347, 0)</f>
        <v>18.865400000000001</v>
      </c>
      <c r="E162" s="28">
        <f>20.6014 * CHOOSE(CONTROL!$C$15, $E$9, 100%, $G$9) + CHOOSE(CONTROL!$C$38, 0.0347, 0)</f>
        <v>20.636100000000003</v>
      </c>
      <c r="F162" s="27">
        <f>20.6014 * CHOOSE(CONTROL!$C$15, $E$9, 100%, $G$9) + CHOOSE(CONTROL!$C$38, 0.0256, 0)</f>
        <v>20.627000000000002</v>
      </c>
      <c r="G162" s="10">
        <f>18.8369 * CHOOSE(CONTROL!$C$15, $E$9, 100%, $G$9) + CHOOSE(CONTROL!$C$38, 0.0347, 0)</f>
        <v>18.871600000000001</v>
      </c>
      <c r="H162" s="10">
        <f>18.8369 * CHOOSE(CONTROL!$C$15, $E$9, 100%, $G$9) + CHOOSE(CONTROL!$C$38, 0.0347, 0)</f>
        <v>18.871600000000001</v>
      </c>
      <c r="I162" s="10">
        <f>18.8385 * CHOOSE(CONTROL!$C$15, $E$9, 100%, $G$9) + CHOOSE(CONTROL!$C$38, 0.0347, 0)</f>
        <v>18.873200000000001</v>
      </c>
      <c r="J162" s="26">
        <f>144.2749</f>
        <v>144.2749</v>
      </c>
    </row>
    <row r="163" spans="1:10" ht="15" x14ac:dyDescent="0.2">
      <c r="A163" s="16">
        <v>46235</v>
      </c>
      <c r="B163" s="10">
        <f>20.8596 * CHOOSE(CONTROL!$C$15, $E$9, 100%, $G$9) + CHOOSE(CONTROL!$C$38, 0.0256, 0)</f>
        <v>20.885200000000001</v>
      </c>
      <c r="C163" s="10">
        <f>18.9404 * CHOOSE(CONTROL!$C$15, $E$9, 100%, $G$9) + CHOOSE(CONTROL!$C$38, 0.0347, 0)</f>
        <v>18.975100000000001</v>
      </c>
      <c r="D163" s="10">
        <f>18.9326 * CHOOSE(CONTROL!$C$15, $E$9, 100%, $G$9) + CHOOSE(CONTROL!$C$38, 0.0347, 0)</f>
        <v>18.967300000000002</v>
      </c>
      <c r="E163" s="28">
        <f>20.7034 * CHOOSE(CONTROL!$C$15, $E$9, 100%, $G$9) + CHOOSE(CONTROL!$C$38, 0.0347, 0)</f>
        <v>20.738099999999999</v>
      </c>
      <c r="F163" s="27">
        <f>20.7034 * CHOOSE(CONTROL!$C$15, $E$9, 100%, $G$9) + CHOOSE(CONTROL!$C$38, 0.0256, 0)</f>
        <v>20.728999999999999</v>
      </c>
      <c r="G163" s="10">
        <f>18.9388 * CHOOSE(CONTROL!$C$15, $E$9, 100%, $G$9) + CHOOSE(CONTROL!$C$38, 0.0347, 0)</f>
        <v>18.973500000000001</v>
      </c>
      <c r="H163" s="10">
        <f>18.9388 * CHOOSE(CONTROL!$C$15, $E$9, 100%, $G$9) + CHOOSE(CONTROL!$C$38, 0.0347, 0)</f>
        <v>18.973500000000001</v>
      </c>
      <c r="I163" s="10">
        <f>18.9404 * CHOOSE(CONTROL!$C$15, $E$9, 100%, $G$9) + CHOOSE(CONTROL!$C$38, 0.0347, 0)</f>
        <v>18.975100000000001</v>
      </c>
      <c r="J163" s="26">
        <f>140.9163</f>
        <v>140.91630000000001</v>
      </c>
    </row>
    <row r="164" spans="1:10" ht="15" x14ac:dyDescent="0.2">
      <c r="A164" s="16">
        <v>46266</v>
      </c>
      <c r="B164" s="10">
        <f>21.1364 * CHOOSE(CONTROL!$C$15, $E$9, 100%, $G$9) + CHOOSE(CONTROL!$C$38, 0.0256, 0)</f>
        <v>21.161999999999999</v>
      </c>
      <c r="C164" s="10">
        <f>19.2172 * CHOOSE(CONTROL!$C$15, $E$9, 100%, $G$9) + CHOOSE(CONTROL!$C$38, 0.0347, 0)</f>
        <v>19.251899999999999</v>
      </c>
      <c r="D164" s="10">
        <f>19.2094 * CHOOSE(CONTROL!$C$15, $E$9, 100%, $G$9) + CHOOSE(CONTROL!$C$38, 0.0347, 0)</f>
        <v>19.2441</v>
      </c>
      <c r="E164" s="28">
        <f>20.9802 * CHOOSE(CONTROL!$C$15, $E$9, 100%, $G$9) + CHOOSE(CONTROL!$C$38, 0.0347, 0)</f>
        <v>21.014900000000001</v>
      </c>
      <c r="F164" s="27">
        <f>20.9802 * CHOOSE(CONTROL!$C$15, $E$9, 100%, $G$9) + CHOOSE(CONTROL!$C$38, 0.0256, 0)</f>
        <v>21.005800000000001</v>
      </c>
      <c r="G164" s="10">
        <f>19.2156 * CHOOSE(CONTROL!$C$15, $E$9, 100%, $G$9) + CHOOSE(CONTROL!$C$38, 0.0347, 0)</f>
        <v>19.250299999999999</v>
      </c>
      <c r="H164" s="10">
        <f>19.2156 * CHOOSE(CONTROL!$C$15, $E$9, 100%, $G$9) + CHOOSE(CONTROL!$C$38, 0.0347, 0)</f>
        <v>19.250299999999999</v>
      </c>
      <c r="I164" s="10">
        <f>19.2172 * CHOOSE(CONTROL!$C$15, $E$9, 100%, $G$9) + CHOOSE(CONTROL!$C$38, 0.0347, 0)</f>
        <v>19.251899999999999</v>
      </c>
      <c r="J164" s="26">
        <f>136.2325</f>
        <v>136.23249999999999</v>
      </c>
    </row>
    <row r="165" spans="1:10" ht="15" x14ac:dyDescent="0.2">
      <c r="A165" s="16">
        <v>46296</v>
      </c>
      <c r="B165" s="10">
        <f>21.3682 * CHOOSE(CONTROL!$C$15, $E$9, 100%, $G$9) + CHOOSE(CONTROL!$C$38, 0.0256, 0)</f>
        <v>21.393800000000002</v>
      </c>
      <c r="C165" s="10">
        <f>19.449 * CHOOSE(CONTROL!$C$15, $E$9, 100%, $G$9) + CHOOSE(CONTROL!$C$38, 0.0347, 0)</f>
        <v>19.483700000000002</v>
      </c>
      <c r="D165" s="10">
        <f>19.4412 * CHOOSE(CONTROL!$C$15, $E$9, 100%, $G$9) + CHOOSE(CONTROL!$C$38, 0.0347, 0)</f>
        <v>19.475899999999999</v>
      </c>
      <c r="E165" s="28">
        <f>21.212 * CHOOSE(CONTROL!$C$15, $E$9, 100%, $G$9) + CHOOSE(CONTROL!$C$38, 0.0347, 0)</f>
        <v>21.246700000000001</v>
      </c>
      <c r="F165" s="27">
        <f>21.212 * CHOOSE(CONTROL!$C$15, $E$9, 100%, $G$9) + CHOOSE(CONTROL!$C$38, 0.0256, 0)</f>
        <v>21.2376</v>
      </c>
      <c r="G165" s="10">
        <f>19.4474 * CHOOSE(CONTROL!$C$15, $E$9, 100%, $G$9) + CHOOSE(CONTROL!$C$38, 0.0347, 0)</f>
        <v>19.482099999999999</v>
      </c>
      <c r="H165" s="10">
        <f>19.4474 * CHOOSE(CONTROL!$C$15, $E$9, 100%, $G$9) + CHOOSE(CONTROL!$C$38, 0.0347, 0)</f>
        <v>19.482099999999999</v>
      </c>
      <c r="I165" s="10">
        <f>19.449 * CHOOSE(CONTROL!$C$15, $E$9, 100%, $G$9) + CHOOSE(CONTROL!$C$38, 0.0347, 0)</f>
        <v>19.483700000000002</v>
      </c>
      <c r="J165" s="26">
        <f>131.5214</f>
        <v>131.5214</v>
      </c>
    </row>
    <row r="166" spans="1:10" ht="15" x14ac:dyDescent="0.2">
      <c r="A166" s="16">
        <v>46327</v>
      </c>
      <c r="B166" s="10">
        <f>21.5617 * CHOOSE(CONTROL!$C$15, $E$9, 100%, $G$9) + CHOOSE(CONTROL!$C$38, 0.0256, 0)</f>
        <v>21.587299999999999</v>
      </c>
      <c r="C166" s="10">
        <f>19.6424 * CHOOSE(CONTROL!$C$15, $E$9, 100%, $G$9) + CHOOSE(CONTROL!$C$38, 0.0347, 0)</f>
        <v>19.677099999999999</v>
      </c>
      <c r="D166" s="10">
        <f>19.6346 * CHOOSE(CONTROL!$C$15, $E$9, 100%, $G$9) + CHOOSE(CONTROL!$C$38, 0.0347, 0)</f>
        <v>19.6693</v>
      </c>
      <c r="E166" s="28">
        <f>21.4054 * CHOOSE(CONTROL!$C$15, $E$9, 100%, $G$9) + CHOOSE(CONTROL!$C$38, 0.0347, 0)</f>
        <v>21.440100000000001</v>
      </c>
      <c r="F166" s="27">
        <f>21.4054 * CHOOSE(CONTROL!$C$15, $E$9, 100%, $G$9) + CHOOSE(CONTROL!$C$38, 0.0256, 0)</f>
        <v>21.431000000000001</v>
      </c>
      <c r="G166" s="10">
        <f>19.6409 * CHOOSE(CONTROL!$C$15, $E$9, 100%, $G$9) + CHOOSE(CONTROL!$C$38, 0.0347, 0)</f>
        <v>19.675599999999999</v>
      </c>
      <c r="H166" s="10">
        <f>19.6409 * CHOOSE(CONTROL!$C$15, $E$9, 100%, $G$9) + CHOOSE(CONTROL!$C$38, 0.0347, 0)</f>
        <v>19.675599999999999</v>
      </c>
      <c r="I166" s="10">
        <f>19.6424 * CHOOSE(CONTROL!$C$15, $E$9, 100%, $G$9) + CHOOSE(CONTROL!$C$38, 0.0347, 0)</f>
        <v>19.677099999999999</v>
      </c>
      <c r="J166" s="26">
        <f>130.5843</f>
        <v>130.58430000000001</v>
      </c>
    </row>
    <row r="167" spans="1:10" ht="15" x14ac:dyDescent="0.2">
      <c r="A167" s="16">
        <v>46357</v>
      </c>
      <c r="B167" s="10">
        <f>22.1577 * CHOOSE(CONTROL!$C$15, $E$9, 100%, $G$9) + CHOOSE(CONTROL!$C$38, 0.0256, 0)</f>
        <v>22.183299999999999</v>
      </c>
      <c r="C167" s="10">
        <f>20.2385 * CHOOSE(CONTROL!$C$15, $E$9, 100%, $G$9) + CHOOSE(CONTROL!$C$38, 0.0347, 0)</f>
        <v>20.273199999999999</v>
      </c>
      <c r="D167" s="10">
        <f>20.2307 * CHOOSE(CONTROL!$C$15, $E$9, 100%, $G$9) + CHOOSE(CONTROL!$C$38, 0.0347, 0)</f>
        <v>20.2654</v>
      </c>
      <c r="E167" s="28">
        <f>22.0015 * CHOOSE(CONTROL!$C$15, $E$9, 100%, $G$9) + CHOOSE(CONTROL!$C$38, 0.0347, 0)</f>
        <v>22.036200000000001</v>
      </c>
      <c r="F167" s="27">
        <f>22.0015 * CHOOSE(CONTROL!$C$15, $E$9, 100%, $G$9) + CHOOSE(CONTROL!$C$38, 0.0256, 0)</f>
        <v>22.027100000000001</v>
      </c>
      <c r="G167" s="10">
        <f>20.237 * CHOOSE(CONTROL!$C$15, $E$9, 100%, $G$9) + CHOOSE(CONTROL!$C$38, 0.0347, 0)</f>
        <v>20.271699999999999</v>
      </c>
      <c r="H167" s="10">
        <f>20.237 * CHOOSE(CONTROL!$C$15, $E$9, 100%, $G$9) + CHOOSE(CONTROL!$C$38, 0.0347, 0)</f>
        <v>20.271699999999999</v>
      </c>
      <c r="I167" s="10">
        <f>20.2385 * CHOOSE(CONTROL!$C$15, $E$9, 100%, $G$9) + CHOOSE(CONTROL!$C$38, 0.0347, 0)</f>
        <v>20.273199999999999</v>
      </c>
      <c r="J167" s="26">
        <f>126.7092</f>
        <v>126.7092</v>
      </c>
    </row>
    <row r="168" spans="1:10" ht="15" x14ac:dyDescent="0.2">
      <c r="A168" s="16">
        <v>46388</v>
      </c>
      <c r="B168" s="10">
        <f>23.4366 * CHOOSE(CONTROL!$C$15, $E$9, 100%, $G$9) + CHOOSE(CONTROL!$C$38, 0.0256, 0)</f>
        <v>23.462199999999999</v>
      </c>
      <c r="C168" s="10">
        <f>21.4977 * CHOOSE(CONTROL!$C$15, $E$9, 100%, $G$9) + CHOOSE(CONTROL!$C$38, 0.0347, 0)</f>
        <v>21.532399999999999</v>
      </c>
      <c r="D168" s="10">
        <f>21.4898 * CHOOSE(CONTROL!$C$15, $E$9, 100%, $G$9) + CHOOSE(CONTROL!$C$38, 0.0347, 0)</f>
        <v>21.5245</v>
      </c>
      <c r="E168" s="28">
        <f>23.2804 * CHOOSE(CONTROL!$C$15, $E$9, 100%, $G$9) + CHOOSE(CONTROL!$C$38, 0.0347, 0)</f>
        <v>23.315100000000001</v>
      </c>
      <c r="F168" s="27">
        <f>23.2804 * CHOOSE(CONTROL!$C$15, $E$9, 100%, $G$9) + CHOOSE(CONTROL!$C$38, 0.0256, 0)</f>
        <v>23.306000000000001</v>
      </c>
      <c r="G168" s="10">
        <f>21.4961 * CHOOSE(CONTROL!$C$15, $E$9, 100%, $G$9) + CHOOSE(CONTROL!$C$38, 0.0347, 0)</f>
        <v>21.530799999999999</v>
      </c>
      <c r="H168" s="10">
        <f>21.4961 * CHOOSE(CONTROL!$C$15, $E$9, 100%, $G$9) + CHOOSE(CONTROL!$C$38, 0.0347, 0)</f>
        <v>21.530799999999999</v>
      </c>
      <c r="I168" s="10">
        <f>21.4977 * CHOOSE(CONTROL!$C$15, $E$9, 100%, $G$9) + CHOOSE(CONTROL!$C$38, 0.0347, 0)</f>
        <v>21.532399999999999</v>
      </c>
      <c r="J168" s="26">
        <f>128.7566</f>
        <v>128.75659999999999</v>
      </c>
    </row>
    <row r="169" spans="1:10" ht="15" x14ac:dyDescent="0.2">
      <c r="A169" s="16">
        <v>46419</v>
      </c>
      <c r="B169" s="10">
        <f>23.6574 * CHOOSE(CONTROL!$C$15, $E$9, 100%, $G$9) + CHOOSE(CONTROL!$C$38, 0.0256, 0)</f>
        <v>23.683</v>
      </c>
      <c r="C169" s="10">
        <f>21.7184 * CHOOSE(CONTROL!$C$15, $E$9, 100%, $G$9) + CHOOSE(CONTROL!$C$38, 0.0347, 0)</f>
        <v>21.7531</v>
      </c>
      <c r="D169" s="10">
        <f>21.7106 * CHOOSE(CONTROL!$C$15, $E$9, 100%, $G$9) + CHOOSE(CONTROL!$C$38, 0.0347, 0)</f>
        <v>21.7453</v>
      </c>
      <c r="E169" s="28">
        <f>23.5011 * CHOOSE(CONTROL!$C$15, $E$9, 100%, $G$9) + CHOOSE(CONTROL!$C$38, 0.0347, 0)</f>
        <v>23.535800000000002</v>
      </c>
      <c r="F169" s="27">
        <f>23.5011 * CHOOSE(CONTROL!$C$15, $E$9, 100%, $G$9) + CHOOSE(CONTROL!$C$38, 0.0256, 0)</f>
        <v>23.526700000000002</v>
      </c>
      <c r="G169" s="10">
        <f>21.7169 * CHOOSE(CONTROL!$C$15, $E$9, 100%, $G$9) + CHOOSE(CONTROL!$C$38, 0.0347, 0)</f>
        <v>21.7516</v>
      </c>
      <c r="H169" s="10">
        <f>21.7169 * CHOOSE(CONTROL!$C$15, $E$9, 100%, $G$9) + CHOOSE(CONTROL!$C$38, 0.0347, 0)</f>
        <v>21.7516</v>
      </c>
      <c r="I169" s="10">
        <f>21.7184 * CHOOSE(CONTROL!$C$15, $E$9, 100%, $G$9) + CHOOSE(CONTROL!$C$38, 0.0347, 0)</f>
        <v>21.7531</v>
      </c>
      <c r="J169" s="26">
        <f>128.3987</f>
        <v>128.39869999999999</v>
      </c>
    </row>
    <row r="170" spans="1:10" ht="15" x14ac:dyDescent="0.2">
      <c r="A170" s="16">
        <v>46447</v>
      </c>
      <c r="B170" s="10">
        <f>23.1463 * CHOOSE(CONTROL!$C$15, $E$9, 100%, $G$9) + CHOOSE(CONTROL!$C$38, 0.0256, 0)</f>
        <v>23.171900000000001</v>
      </c>
      <c r="C170" s="10">
        <f>21.2074 * CHOOSE(CONTROL!$C$15, $E$9, 100%, $G$9) + CHOOSE(CONTROL!$C$38, 0.0347, 0)</f>
        <v>21.242100000000001</v>
      </c>
      <c r="D170" s="10">
        <f>21.1996 * CHOOSE(CONTROL!$C$15, $E$9, 100%, $G$9) + CHOOSE(CONTROL!$C$38, 0.0347, 0)</f>
        <v>21.234300000000001</v>
      </c>
      <c r="E170" s="28">
        <f>22.9901 * CHOOSE(CONTROL!$C$15, $E$9, 100%, $G$9) + CHOOSE(CONTROL!$C$38, 0.0347, 0)</f>
        <v>23.024800000000003</v>
      </c>
      <c r="F170" s="27">
        <f>22.9901 * CHOOSE(CONTROL!$C$15, $E$9, 100%, $G$9) + CHOOSE(CONTROL!$C$38, 0.0256, 0)</f>
        <v>23.015700000000002</v>
      </c>
      <c r="G170" s="10">
        <f>21.2058 * CHOOSE(CONTROL!$C$15, $E$9, 100%, $G$9) + CHOOSE(CONTROL!$C$38, 0.0347, 0)</f>
        <v>21.240500000000001</v>
      </c>
      <c r="H170" s="10">
        <f>21.2058 * CHOOSE(CONTROL!$C$15, $E$9, 100%, $G$9) + CHOOSE(CONTROL!$C$38, 0.0347, 0)</f>
        <v>21.240500000000001</v>
      </c>
      <c r="I170" s="10">
        <f>21.2074 * CHOOSE(CONTROL!$C$15, $E$9, 100%, $G$9) + CHOOSE(CONTROL!$C$38, 0.0347, 0)</f>
        <v>21.242100000000001</v>
      </c>
      <c r="J170" s="26">
        <f>135.1661</f>
        <v>135.1661</v>
      </c>
    </row>
    <row r="171" spans="1:10" ht="15" x14ac:dyDescent="0.2">
      <c r="A171" s="16">
        <v>46478</v>
      </c>
      <c r="B171" s="10">
        <f>22.6512 * CHOOSE(CONTROL!$C$15, $E$9, 100%, $G$9) + CHOOSE(CONTROL!$C$38, 0.0256, 0)</f>
        <v>22.6768</v>
      </c>
      <c r="C171" s="10">
        <f>20.7122 * CHOOSE(CONTROL!$C$15, $E$9, 100%, $G$9) + CHOOSE(CONTROL!$C$38, 0.0347, 0)</f>
        <v>20.7469</v>
      </c>
      <c r="D171" s="10">
        <f>20.7044 * CHOOSE(CONTROL!$C$15, $E$9, 100%, $G$9) + CHOOSE(CONTROL!$C$38, 0.0347, 0)</f>
        <v>20.739100000000001</v>
      </c>
      <c r="E171" s="28">
        <f>22.4949 * CHOOSE(CONTROL!$C$15, $E$9, 100%, $G$9) + CHOOSE(CONTROL!$C$38, 0.0347, 0)</f>
        <v>22.529600000000002</v>
      </c>
      <c r="F171" s="27">
        <f>22.4949 * CHOOSE(CONTROL!$C$15, $E$9, 100%, $G$9) + CHOOSE(CONTROL!$C$38, 0.0256, 0)</f>
        <v>22.520500000000002</v>
      </c>
      <c r="G171" s="10">
        <f>20.7106 * CHOOSE(CONTROL!$C$15, $E$9, 100%, $G$9) + CHOOSE(CONTROL!$C$38, 0.0347, 0)</f>
        <v>20.7453</v>
      </c>
      <c r="H171" s="10">
        <f>20.7106 * CHOOSE(CONTROL!$C$15, $E$9, 100%, $G$9) + CHOOSE(CONTROL!$C$38, 0.0347, 0)</f>
        <v>20.7453</v>
      </c>
      <c r="I171" s="10">
        <f>20.7122 * CHOOSE(CONTROL!$C$15, $E$9, 100%, $G$9) + CHOOSE(CONTROL!$C$38, 0.0347, 0)</f>
        <v>20.7469</v>
      </c>
      <c r="J171" s="26">
        <f>143.9417</f>
        <v>143.9417</v>
      </c>
    </row>
    <row r="172" spans="1:10" ht="15" x14ac:dyDescent="0.2">
      <c r="A172" s="16">
        <v>46508</v>
      </c>
      <c r="B172" s="10">
        <f>22.135 * CHOOSE(CONTROL!$C$15, $E$9, 100%, $G$9) + CHOOSE(CONTROL!$C$38, 0.0256, 0)</f>
        <v>22.160600000000002</v>
      </c>
      <c r="C172" s="10">
        <f>20.1961 * CHOOSE(CONTROL!$C$15, $E$9, 100%, $G$9) + CHOOSE(CONTROL!$C$38, 0.0347, 0)</f>
        <v>20.230800000000002</v>
      </c>
      <c r="D172" s="10">
        <f>20.1883 * CHOOSE(CONTROL!$C$15, $E$9, 100%, $G$9) + CHOOSE(CONTROL!$C$38, 0.0347, 0)</f>
        <v>20.223000000000003</v>
      </c>
      <c r="E172" s="28">
        <f>21.9788 * CHOOSE(CONTROL!$C$15, $E$9, 100%, $G$9) + CHOOSE(CONTROL!$C$38, 0.0347, 0)</f>
        <v>22.013500000000001</v>
      </c>
      <c r="F172" s="27">
        <f>21.9788 * CHOOSE(CONTROL!$C$15, $E$9, 100%, $G$9) + CHOOSE(CONTROL!$C$38, 0.0256, 0)</f>
        <v>22.0044</v>
      </c>
      <c r="G172" s="10">
        <f>20.1945 * CHOOSE(CONTROL!$C$15, $E$9, 100%, $G$9) + CHOOSE(CONTROL!$C$38, 0.0347, 0)</f>
        <v>20.229200000000002</v>
      </c>
      <c r="H172" s="10">
        <f>20.1945 * CHOOSE(CONTROL!$C$15, $E$9, 100%, $G$9) + CHOOSE(CONTROL!$C$38, 0.0347, 0)</f>
        <v>20.229200000000002</v>
      </c>
      <c r="I172" s="10">
        <f>20.1961 * CHOOSE(CONTROL!$C$15, $E$9, 100%, $G$9) + CHOOSE(CONTROL!$C$38, 0.0347, 0)</f>
        <v>20.230800000000002</v>
      </c>
      <c r="J172" s="26">
        <f>148.7721</f>
        <v>148.77209999999999</v>
      </c>
    </row>
    <row r="173" spans="1:10" ht="15" x14ac:dyDescent="0.2">
      <c r="A173" s="16">
        <v>46539</v>
      </c>
      <c r="B173" s="10">
        <f>21.7732 * CHOOSE(CONTROL!$C$15, $E$9, 100%, $G$9) + CHOOSE(CONTROL!$C$38, 0.0256, 0)</f>
        <v>21.7988</v>
      </c>
      <c r="C173" s="10">
        <f>19.8343 * CHOOSE(CONTROL!$C$15, $E$9, 100%, $G$9) + CHOOSE(CONTROL!$C$38, 0.0347, 0)</f>
        <v>19.869</v>
      </c>
      <c r="D173" s="10">
        <f>19.8264 * CHOOSE(CONTROL!$C$15, $E$9, 100%, $G$9) + CHOOSE(CONTROL!$C$38, 0.0347, 0)</f>
        <v>19.8611</v>
      </c>
      <c r="E173" s="28">
        <f>21.617 * CHOOSE(CONTROL!$C$15, $E$9, 100%, $G$9) + CHOOSE(CONTROL!$C$38, 0.0347, 0)</f>
        <v>21.651700000000002</v>
      </c>
      <c r="F173" s="27">
        <f>21.617 * CHOOSE(CONTROL!$C$15, $E$9, 100%, $G$9) + CHOOSE(CONTROL!$C$38, 0.0256, 0)</f>
        <v>21.642600000000002</v>
      </c>
      <c r="G173" s="10">
        <f>19.8327 * CHOOSE(CONTROL!$C$15, $E$9, 100%, $G$9) + CHOOSE(CONTROL!$C$38, 0.0347, 0)</f>
        <v>19.8674</v>
      </c>
      <c r="H173" s="10">
        <f>19.8327 * CHOOSE(CONTROL!$C$15, $E$9, 100%, $G$9) + CHOOSE(CONTROL!$C$38, 0.0347, 0)</f>
        <v>19.8674</v>
      </c>
      <c r="I173" s="10">
        <f>19.8343 * CHOOSE(CONTROL!$C$15, $E$9, 100%, $G$9) + CHOOSE(CONTROL!$C$38, 0.0347, 0)</f>
        <v>19.869</v>
      </c>
      <c r="J173" s="26">
        <f>150.9157</f>
        <v>150.91569999999999</v>
      </c>
    </row>
    <row r="174" spans="1:10" ht="15" x14ac:dyDescent="0.2">
      <c r="A174" s="16">
        <v>46569</v>
      </c>
      <c r="B174" s="10">
        <f>21.5667 * CHOOSE(CONTROL!$C$15, $E$9, 100%, $G$9) + CHOOSE(CONTROL!$C$38, 0.0256, 0)</f>
        <v>21.592300000000002</v>
      </c>
      <c r="C174" s="10">
        <f>19.6278 * CHOOSE(CONTROL!$C$15, $E$9, 100%, $G$9) + CHOOSE(CONTROL!$C$38, 0.0347, 0)</f>
        <v>19.662500000000001</v>
      </c>
      <c r="D174" s="10">
        <f>19.62 * CHOOSE(CONTROL!$C$15, $E$9, 100%, $G$9) + CHOOSE(CONTROL!$C$38, 0.0347, 0)</f>
        <v>19.654700000000002</v>
      </c>
      <c r="E174" s="28">
        <f>21.4105 * CHOOSE(CONTROL!$C$15, $E$9, 100%, $G$9) + CHOOSE(CONTROL!$C$38, 0.0347, 0)</f>
        <v>21.4452</v>
      </c>
      <c r="F174" s="27">
        <f>21.4105 * CHOOSE(CONTROL!$C$15, $E$9, 100%, $G$9) + CHOOSE(CONTROL!$C$38, 0.0256, 0)</f>
        <v>21.4361</v>
      </c>
      <c r="G174" s="10">
        <f>19.6262 * CHOOSE(CONTROL!$C$15, $E$9, 100%, $G$9) + CHOOSE(CONTROL!$C$38, 0.0347, 0)</f>
        <v>19.660900000000002</v>
      </c>
      <c r="H174" s="10">
        <f>19.6262 * CHOOSE(CONTROL!$C$15, $E$9, 100%, $G$9) + CHOOSE(CONTROL!$C$38, 0.0347, 0)</f>
        <v>19.660900000000002</v>
      </c>
      <c r="I174" s="10">
        <f>19.6278 * CHOOSE(CONTROL!$C$15, $E$9, 100%, $G$9) + CHOOSE(CONTROL!$C$38, 0.0347, 0)</f>
        <v>19.662500000000001</v>
      </c>
      <c r="J174" s="26">
        <f>150.21</f>
        <v>150.21</v>
      </c>
    </row>
    <row r="175" spans="1:10" ht="15" x14ac:dyDescent="0.2">
      <c r="A175" s="16">
        <v>46600</v>
      </c>
      <c r="B175" s="10">
        <f>21.6686 * CHOOSE(CONTROL!$C$15, $E$9, 100%, $G$9) + CHOOSE(CONTROL!$C$38, 0.0256, 0)</f>
        <v>21.694200000000002</v>
      </c>
      <c r="C175" s="10">
        <f>19.7297 * CHOOSE(CONTROL!$C$15, $E$9, 100%, $G$9) + CHOOSE(CONTROL!$C$38, 0.0347, 0)</f>
        <v>19.764400000000002</v>
      </c>
      <c r="D175" s="10">
        <f>19.7219 * CHOOSE(CONTROL!$C$15, $E$9, 100%, $G$9) + CHOOSE(CONTROL!$C$38, 0.0347, 0)</f>
        <v>19.756600000000002</v>
      </c>
      <c r="E175" s="28">
        <f>21.5124 * CHOOSE(CONTROL!$C$15, $E$9, 100%, $G$9) + CHOOSE(CONTROL!$C$38, 0.0347, 0)</f>
        <v>21.5471</v>
      </c>
      <c r="F175" s="27">
        <f>21.5124 * CHOOSE(CONTROL!$C$15, $E$9, 100%, $G$9) + CHOOSE(CONTROL!$C$38, 0.0256, 0)</f>
        <v>21.538</v>
      </c>
      <c r="G175" s="10">
        <f>19.7281 * CHOOSE(CONTROL!$C$15, $E$9, 100%, $G$9) + CHOOSE(CONTROL!$C$38, 0.0347, 0)</f>
        <v>19.762800000000002</v>
      </c>
      <c r="H175" s="10">
        <f>19.7281 * CHOOSE(CONTROL!$C$15, $E$9, 100%, $G$9) + CHOOSE(CONTROL!$C$38, 0.0347, 0)</f>
        <v>19.762800000000002</v>
      </c>
      <c r="I175" s="10">
        <f>19.7297 * CHOOSE(CONTROL!$C$15, $E$9, 100%, $G$9) + CHOOSE(CONTROL!$C$38, 0.0347, 0)</f>
        <v>19.764400000000002</v>
      </c>
      <c r="J175" s="26">
        <f>146.7131</f>
        <v>146.7131</v>
      </c>
    </row>
    <row r="176" spans="1:10" ht="15" x14ac:dyDescent="0.2">
      <c r="A176" s="16">
        <v>46631</v>
      </c>
      <c r="B176" s="10">
        <f>21.9454 * CHOOSE(CONTROL!$C$15, $E$9, 100%, $G$9) + CHOOSE(CONTROL!$C$38, 0.0256, 0)</f>
        <v>21.971</v>
      </c>
      <c r="C176" s="10">
        <f>20.0065 * CHOOSE(CONTROL!$C$15, $E$9, 100%, $G$9) + CHOOSE(CONTROL!$C$38, 0.0347, 0)</f>
        <v>20.0412</v>
      </c>
      <c r="D176" s="10">
        <f>19.9987 * CHOOSE(CONTROL!$C$15, $E$9, 100%, $G$9) + CHOOSE(CONTROL!$C$38, 0.0347, 0)</f>
        <v>20.0334</v>
      </c>
      <c r="E176" s="28">
        <f>21.7892 * CHOOSE(CONTROL!$C$15, $E$9, 100%, $G$9) + CHOOSE(CONTROL!$C$38, 0.0347, 0)</f>
        <v>21.823900000000002</v>
      </c>
      <c r="F176" s="27">
        <f>21.7892 * CHOOSE(CONTROL!$C$15, $E$9, 100%, $G$9) + CHOOSE(CONTROL!$C$38, 0.0256, 0)</f>
        <v>21.814800000000002</v>
      </c>
      <c r="G176" s="10">
        <f>20.0049 * CHOOSE(CONTROL!$C$15, $E$9, 100%, $G$9) + CHOOSE(CONTROL!$C$38, 0.0347, 0)</f>
        <v>20.0396</v>
      </c>
      <c r="H176" s="10">
        <f>20.0049 * CHOOSE(CONTROL!$C$15, $E$9, 100%, $G$9) + CHOOSE(CONTROL!$C$38, 0.0347, 0)</f>
        <v>20.0396</v>
      </c>
      <c r="I176" s="10">
        <f>20.0065 * CHOOSE(CONTROL!$C$15, $E$9, 100%, $G$9) + CHOOSE(CONTROL!$C$38, 0.0347, 0)</f>
        <v>20.0412</v>
      </c>
      <c r="J176" s="26">
        <f>141.8366</f>
        <v>141.8366</v>
      </c>
    </row>
    <row r="177" spans="1:10" ht="15" x14ac:dyDescent="0.2">
      <c r="A177" s="16">
        <v>46661</v>
      </c>
      <c r="B177" s="10">
        <f>22.1772 * CHOOSE(CONTROL!$C$15, $E$9, 100%, $G$9) + CHOOSE(CONTROL!$C$38, 0.0256, 0)</f>
        <v>22.2028</v>
      </c>
      <c r="C177" s="10">
        <f>20.2383 * CHOOSE(CONTROL!$C$15, $E$9, 100%, $G$9) + CHOOSE(CONTROL!$C$38, 0.0347, 0)</f>
        <v>20.273</v>
      </c>
      <c r="D177" s="10">
        <f>20.2305 * CHOOSE(CONTROL!$C$15, $E$9, 100%, $G$9) + CHOOSE(CONTROL!$C$38, 0.0347, 0)</f>
        <v>20.2652</v>
      </c>
      <c r="E177" s="28">
        <f>22.021 * CHOOSE(CONTROL!$C$15, $E$9, 100%, $G$9) + CHOOSE(CONTROL!$C$38, 0.0347, 0)</f>
        <v>22.055700000000002</v>
      </c>
      <c r="F177" s="27">
        <f>22.021 * CHOOSE(CONTROL!$C$15, $E$9, 100%, $G$9) + CHOOSE(CONTROL!$C$38, 0.0256, 0)</f>
        <v>22.046600000000002</v>
      </c>
      <c r="G177" s="10">
        <f>20.2367 * CHOOSE(CONTROL!$C$15, $E$9, 100%, $G$9) + CHOOSE(CONTROL!$C$38, 0.0347, 0)</f>
        <v>20.2714</v>
      </c>
      <c r="H177" s="10">
        <f>20.2367 * CHOOSE(CONTROL!$C$15, $E$9, 100%, $G$9) + CHOOSE(CONTROL!$C$38, 0.0347, 0)</f>
        <v>20.2714</v>
      </c>
      <c r="I177" s="10">
        <f>20.2383 * CHOOSE(CONTROL!$C$15, $E$9, 100%, $G$9) + CHOOSE(CONTROL!$C$38, 0.0347, 0)</f>
        <v>20.273</v>
      </c>
      <c r="J177" s="26">
        <f>136.9318</f>
        <v>136.93180000000001</v>
      </c>
    </row>
    <row r="178" spans="1:10" ht="15" x14ac:dyDescent="0.2">
      <c r="A178" s="16">
        <v>46692</v>
      </c>
      <c r="B178" s="10">
        <f>22.3707 * CHOOSE(CONTROL!$C$15, $E$9, 100%, $G$9) + CHOOSE(CONTROL!$C$38, 0.0256, 0)</f>
        <v>22.3963</v>
      </c>
      <c r="C178" s="10">
        <f>20.4317 * CHOOSE(CONTROL!$C$15, $E$9, 100%, $G$9) + CHOOSE(CONTROL!$C$38, 0.0347, 0)</f>
        <v>20.4664</v>
      </c>
      <c r="D178" s="10">
        <f>20.4239 * CHOOSE(CONTROL!$C$15, $E$9, 100%, $G$9) + CHOOSE(CONTROL!$C$38, 0.0347, 0)</f>
        <v>20.458600000000001</v>
      </c>
      <c r="E178" s="28">
        <f>22.2144 * CHOOSE(CONTROL!$C$15, $E$9, 100%, $G$9) + CHOOSE(CONTROL!$C$38, 0.0347, 0)</f>
        <v>22.249100000000002</v>
      </c>
      <c r="F178" s="27">
        <f>22.2144 * CHOOSE(CONTROL!$C$15, $E$9, 100%, $G$9) + CHOOSE(CONTROL!$C$38, 0.0256, 0)</f>
        <v>22.240000000000002</v>
      </c>
      <c r="G178" s="10">
        <f>20.4302 * CHOOSE(CONTROL!$C$15, $E$9, 100%, $G$9) + CHOOSE(CONTROL!$C$38, 0.0347, 0)</f>
        <v>20.4649</v>
      </c>
      <c r="H178" s="10">
        <f>20.4302 * CHOOSE(CONTROL!$C$15, $E$9, 100%, $G$9) + CHOOSE(CONTROL!$C$38, 0.0347, 0)</f>
        <v>20.4649</v>
      </c>
      <c r="I178" s="10">
        <f>20.4317 * CHOOSE(CONTROL!$C$15, $E$9, 100%, $G$9) + CHOOSE(CONTROL!$C$38, 0.0347, 0)</f>
        <v>20.4664</v>
      </c>
      <c r="J178" s="26">
        <f>135.9561</f>
        <v>135.95609999999999</v>
      </c>
    </row>
    <row r="179" spans="1:10" ht="15" x14ac:dyDescent="0.2">
      <c r="A179" s="16">
        <v>46722</v>
      </c>
      <c r="B179" s="10">
        <f>22.9668 * CHOOSE(CONTROL!$C$15, $E$9, 100%, $G$9) + CHOOSE(CONTROL!$C$38, 0.0256, 0)</f>
        <v>22.9924</v>
      </c>
      <c r="C179" s="10">
        <f>21.0278 * CHOOSE(CONTROL!$C$15, $E$9, 100%, $G$9) + CHOOSE(CONTROL!$C$38, 0.0347, 0)</f>
        <v>21.0625</v>
      </c>
      <c r="D179" s="10">
        <f>21.02 * CHOOSE(CONTROL!$C$15, $E$9, 100%, $G$9) + CHOOSE(CONTROL!$C$38, 0.0347, 0)</f>
        <v>21.0547</v>
      </c>
      <c r="E179" s="28">
        <f>22.8105 * CHOOSE(CONTROL!$C$15, $E$9, 100%, $G$9) + CHOOSE(CONTROL!$C$38, 0.0347, 0)</f>
        <v>22.845200000000002</v>
      </c>
      <c r="F179" s="27">
        <f>22.8105 * CHOOSE(CONTROL!$C$15, $E$9, 100%, $G$9) + CHOOSE(CONTROL!$C$38, 0.0256, 0)</f>
        <v>22.836100000000002</v>
      </c>
      <c r="G179" s="10">
        <f>21.0262 * CHOOSE(CONTROL!$C$15, $E$9, 100%, $G$9) + CHOOSE(CONTROL!$C$38, 0.0347, 0)</f>
        <v>21.0609</v>
      </c>
      <c r="H179" s="10">
        <f>21.0262 * CHOOSE(CONTROL!$C$15, $E$9, 100%, $G$9) + CHOOSE(CONTROL!$C$38, 0.0347, 0)</f>
        <v>21.0609</v>
      </c>
      <c r="I179" s="10">
        <f>21.0278 * CHOOSE(CONTROL!$C$15, $E$9, 100%, $G$9) + CHOOSE(CONTROL!$C$38, 0.0347, 0)</f>
        <v>21.0625</v>
      </c>
      <c r="J179" s="26">
        <f>131.9216</f>
        <v>131.92160000000001</v>
      </c>
    </row>
    <row r="180" spans="1:10" ht="15" x14ac:dyDescent="0.2">
      <c r="A180" s="16">
        <v>46753</v>
      </c>
      <c r="B180" s="10">
        <f>24.3557 * CHOOSE(CONTROL!$C$15, $E$9, 100%, $G$9) + CHOOSE(CONTROL!$C$38, 0.0256, 0)</f>
        <v>24.3813</v>
      </c>
      <c r="C180" s="10">
        <f>22.3943 * CHOOSE(CONTROL!$C$15, $E$9, 100%, $G$9) + CHOOSE(CONTROL!$C$38, 0.0347, 0)</f>
        <v>22.429000000000002</v>
      </c>
      <c r="D180" s="10">
        <f>22.3865 * CHOOSE(CONTROL!$C$15, $E$9, 100%, $G$9) + CHOOSE(CONTROL!$C$38, 0.0347, 0)</f>
        <v>22.421200000000002</v>
      </c>
      <c r="E180" s="28">
        <f>24.1994 * CHOOSE(CONTROL!$C$15, $E$9, 100%, $G$9) + CHOOSE(CONTROL!$C$38, 0.0347, 0)</f>
        <v>24.234100000000002</v>
      </c>
      <c r="F180" s="27">
        <f>24.1994 * CHOOSE(CONTROL!$C$15, $E$9, 100%, $G$9) + CHOOSE(CONTROL!$C$38, 0.0256, 0)</f>
        <v>24.225000000000001</v>
      </c>
      <c r="G180" s="10">
        <f>22.3927 * CHOOSE(CONTROL!$C$15, $E$9, 100%, $G$9) + CHOOSE(CONTROL!$C$38, 0.0347, 0)</f>
        <v>22.427400000000002</v>
      </c>
      <c r="H180" s="10">
        <f>22.3927 * CHOOSE(CONTROL!$C$15, $E$9, 100%, $G$9) + CHOOSE(CONTROL!$C$38, 0.0347, 0)</f>
        <v>22.427400000000002</v>
      </c>
      <c r="I180" s="10">
        <f>22.3943 * CHOOSE(CONTROL!$C$15, $E$9, 100%, $G$9) + CHOOSE(CONTROL!$C$38, 0.0347, 0)</f>
        <v>22.429000000000002</v>
      </c>
      <c r="J180" s="26">
        <f>134.0463</f>
        <v>134.0463</v>
      </c>
    </row>
    <row r="181" spans="1:10" ht="15" x14ac:dyDescent="0.2">
      <c r="A181" s="16">
        <v>46784</v>
      </c>
      <c r="B181" s="10">
        <f>24.5764 * CHOOSE(CONTROL!$C$15, $E$9, 100%, $G$9) + CHOOSE(CONTROL!$C$38, 0.0256, 0)</f>
        <v>24.602</v>
      </c>
      <c r="C181" s="10">
        <f>22.6151 * CHOOSE(CONTROL!$C$15, $E$9, 100%, $G$9) + CHOOSE(CONTROL!$C$38, 0.0347, 0)</f>
        <v>22.649800000000003</v>
      </c>
      <c r="D181" s="10">
        <f>22.6072 * CHOOSE(CONTROL!$C$15, $E$9, 100%, $G$9) + CHOOSE(CONTROL!$C$38, 0.0347, 0)</f>
        <v>22.6419</v>
      </c>
      <c r="E181" s="28">
        <f>24.4202 * CHOOSE(CONTROL!$C$15, $E$9, 100%, $G$9) + CHOOSE(CONTROL!$C$38, 0.0347, 0)</f>
        <v>24.454900000000002</v>
      </c>
      <c r="F181" s="27">
        <f>24.4202 * CHOOSE(CONTROL!$C$15, $E$9, 100%, $G$9) + CHOOSE(CONTROL!$C$38, 0.0256, 0)</f>
        <v>24.445800000000002</v>
      </c>
      <c r="G181" s="10">
        <f>22.6135 * CHOOSE(CONTROL!$C$15, $E$9, 100%, $G$9) + CHOOSE(CONTROL!$C$38, 0.0347, 0)</f>
        <v>22.648199999999999</v>
      </c>
      <c r="H181" s="10">
        <f>22.6135 * CHOOSE(CONTROL!$C$15, $E$9, 100%, $G$9) + CHOOSE(CONTROL!$C$38, 0.0347, 0)</f>
        <v>22.648199999999999</v>
      </c>
      <c r="I181" s="10">
        <f>22.6151 * CHOOSE(CONTROL!$C$15, $E$9, 100%, $G$9) + CHOOSE(CONTROL!$C$38, 0.0347, 0)</f>
        <v>22.649800000000003</v>
      </c>
      <c r="J181" s="26">
        <f>133.6737</f>
        <v>133.6737</v>
      </c>
    </row>
    <row r="182" spans="1:10" ht="15" x14ac:dyDescent="0.2">
      <c r="A182" s="16">
        <v>46813</v>
      </c>
      <c r="B182" s="10">
        <f>24.0654 * CHOOSE(CONTROL!$C$15, $E$9, 100%, $G$9) + CHOOSE(CONTROL!$C$38, 0.0256, 0)</f>
        <v>24.091000000000001</v>
      </c>
      <c r="C182" s="10">
        <f>22.104 * CHOOSE(CONTROL!$C$15, $E$9, 100%, $G$9) + CHOOSE(CONTROL!$C$38, 0.0347, 0)</f>
        <v>22.1387</v>
      </c>
      <c r="D182" s="10">
        <f>22.0962 * CHOOSE(CONTROL!$C$15, $E$9, 100%, $G$9) + CHOOSE(CONTROL!$C$38, 0.0347, 0)</f>
        <v>22.1309</v>
      </c>
      <c r="E182" s="28">
        <f>23.9091 * CHOOSE(CONTROL!$C$15, $E$9, 100%, $G$9) + CHOOSE(CONTROL!$C$38, 0.0347, 0)</f>
        <v>23.9438</v>
      </c>
      <c r="F182" s="27">
        <f>23.9091 * CHOOSE(CONTROL!$C$15, $E$9, 100%, $G$9) + CHOOSE(CONTROL!$C$38, 0.0256, 0)</f>
        <v>23.934699999999999</v>
      </c>
      <c r="G182" s="10">
        <f>22.1025 * CHOOSE(CONTROL!$C$15, $E$9, 100%, $G$9) + CHOOSE(CONTROL!$C$38, 0.0347, 0)</f>
        <v>22.1372</v>
      </c>
      <c r="H182" s="10">
        <f>22.1025 * CHOOSE(CONTROL!$C$15, $E$9, 100%, $G$9) + CHOOSE(CONTROL!$C$38, 0.0347, 0)</f>
        <v>22.1372</v>
      </c>
      <c r="I182" s="10">
        <f>22.104 * CHOOSE(CONTROL!$C$15, $E$9, 100%, $G$9) + CHOOSE(CONTROL!$C$38, 0.0347, 0)</f>
        <v>22.1387</v>
      </c>
      <c r="J182" s="26">
        <f>140.7191</f>
        <v>140.7191</v>
      </c>
    </row>
    <row r="183" spans="1:10" ht="15" x14ac:dyDescent="0.2">
      <c r="A183" s="16">
        <v>46844</v>
      </c>
      <c r="B183" s="10">
        <f>23.5702 * CHOOSE(CONTROL!$C$15, $E$9, 100%, $G$9) + CHOOSE(CONTROL!$C$38, 0.0256, 0)</f>
        <v>23.595800000000001</v>
      </c>
      <c r="C183" s="10">
        <f>21.6088 * CHOOSE(CONTROL!$C$15, $E$9, 100%, $G$9) + CHOOSE(CONTROL!$C$38, 0.0347, 0)</f>
        <v>21.6435</v>
      </c>
      <c r="D183" s="10">
        <f>21.601 * CHOOSE(CONTROL!$C$15, $E$9, 100%, $G$9) + CHOOSE(CONTROL!$C$38, 0.0347, 0)</f>
        <v>21.6357</v>
      </c>
      <c r="E183" s="28">
        <f>23.414 * CHOOSE(CONTROL!$C$15, $E$9, 100%, $G$9) + CHOOSE(CONTROL!$C$38, 0.0347, 0)</f>
        <v>23.448700000000002</v>
      </c>
      <c r="F183" s="27">
        <f>23.414 * CHOOSE(CONTROL!$C$15, $E$9, 100%, $G$9) + CHOOSE(CONTROL!$C$38, 0.0256, 0)</f>
        <v>23.439600000000002</v>
      </c>
      <c r="G183" s="10">
        <f>21.6073 * CHOOSE(CONTROL!$C$15, $E$9, 100%, $G$9) + CHOOSE(CONTROL!$C$38, 0.0347, 0)</f>
        <v>21.641999999999999</v>
      </c>
      <c r="H183" s="10">
        <f>21.6073 * CHOOSE(CONTROL!$C$15, $E$9, 100%, $G$9) + CHOOSE(CONTROL!$C$38, 0.0347, 0)</f>
        <v>21.641999999999999</v>
      </c>
      <c r="I183" s="10">
        <f>21.6088 * CHOOSE(CONTROL!$C$15, $E$9, 100%, $G$9) + CHOOSE(CONTROL!$C$38, 0.0347, 0)</f>
        <v>21.6435</v>
      </c>
      <c r="J183" s="26">
        <f>149.8553</f>
        <v>149.8553</v>
      </c>
    </row>
    <row r="184" spans="1:10" ht="15" x14ac:dyDescent="0.2">
      <c r="A184" s="16">
        <v>46874</v>
      </c>
      <c r="B184" s="10">
        <f>23.0541 * CHOOSE(CONTROL!$C$15, $E$9, 100%, $G$9) + CHOOSE(CONTROL!$C$38, 0.0256, 0)</f>
        <v>23.079699999999999</v>
      </c>
      <c r="C184" s="10">
        <f>21.0927 * CHOOSE(CONTROL!$C$15, $E$9, 100%, $G$9) + CHOOSE(CONTROL!$C$38, 0.0347, 0)</f>
        <v>21.127400000000002</v>
      </c>
      <c r="D184" s="10">
        <f>21.0849 * CHOOSE(CONTROL!$C$15, $E$9, 100%, $G$9) + CHOOSE(CONTROL!$C$38, 0.0347, 0)</f>
        <v>21.119600000000002</v>
      </c>
      <c r="E184" s="28">
        <f>22.8979 * CHOOSE(CONTROL!$C$15, $E$9, 100%, $G$9) + CHOOSE(CONTROL!$C$38, 0.0347, 0)</f>
        <v>22.932600000000001</v>
      </c>
      <c r="F184" s="27">
        <f>22.8979 * CHOOSE(CONTROL!$C$15, $E$9, 100%, $G$9) + CHOOSE(CONTROL!$C$38, 0.0256, 0)</f>
        <v>22.923500000000001</v>
      </c>
      <c r="G184" s="10">
        <f>21.0912 * CHOOSE(CONTROL!$C$15, $E$9, 100%, $G$9) + CHOOSE(CONTROL!$C$38, 0.0347, 0)</f>
        <v>21.125900000000001</v>
      </c>
      <c r="H184" s="10">
        <f>21.0912 * CHOOSE(CONTROL!$C$15, $E$9, 100%, $G$9) + CHOOSE(CONTROL!$C$38, 0.0347, 0)</f>
        <v>21.125900000000001</v>
      </c>
      <c r="I184" s="10">
        <f>21.0927 * CHOOSE(CONTROL!$C$15, $E$9, 100%, $G$9) + CHOOSE(CONTROL!$C$38, 0.0347, 0)</f>
        <v>21.127400000000002</v>
      </c>
      <c r="J184" s="26">
        <f>154.8841</f>
        <v>154.88409999999999</v>
      </c>
    </row>
    <row r="185" spans="1:10" ht="15" x14ac:dyDescent="0.2">
      <c r="A185" s="16">
        <v>46905</v>
      </c>
      <c r="B185" s="10">
        <f>22.6923 * CHOOSE(CONTROL!$C$15, $E$9, 100%, $G$9) + CHOOSE(CONTROL!$C$38, 0.0256, 0)</f>
        <v>22.7179</v>
      </c>
      <c r="C185" s="10">
        <f>20.7309 * CHOOSE(CONTROL!$C$15, $E$9, 100%, $G$9) + CHOOSE(CONTROL!$C$38, 0.0347, 0)</f>
        <v>20.765599999999999</v>
      </c>
      <c r="D185" s="10">
        <f>20.7231 * CHOOSE(CONTROL!$C$15, $E$9, 100%, $G$9) + CHOOSE(CONTROL!$C$38, 0.0347, 0)</f>
        <v>20.7578</v>
      </c>
      <c r="E185" s="28">
        <f>22.536 * CHOOSE(CONTROL!$C$15, $E$9, 100%, $G$9) + CHOOSE(CONTROL!$C$38, 0.0347, 0)</f>
        <v>22.570700000000002</v>
      </c>
      <c r="F185" s="27">
        <f>22.536 * CHOOSE(CONTROL!$C$15, $E$9, 100%, $G$9) + CHOOSE(CONTROL!$C$38, 0.0256, 0)</f>
        <v>22.561600000000002</v>
      </c>
      <c r="G185" s="10">
        <f>20.7293 * CHOOSE(CONTROL!$C$15, $E$9, 100%, $G$9) + CHOOSE(CONTROL!$C$38, 0.0347, 0)</f>
        <v>20.763999999999999</v>
      </c>
      <c r="H185" s="10">
        <f>20.7293 * CHOOSE(CONTROL!$C$15, $E$9, 100%, $G$9) + CHOOSE(CONTROL!$C$38, 0.0347, 0)</f>
        <v>20.763999999999999</v>
      </c>
      <c r="I185" s="10">
        <f>20.7309 * CHOOSE(CONTROL!$C$15, $E$9, 100%, $G$9) + CHOOSE(CONTROL!$C$38, 0.0347, 0)</f>
        <v>20.765599999999999</v>
      </c>
      <c r="J185" s="26">
        <f>157.1158</f>
        <v>157.11580000000001</v>
      </c>
    </row>
    <row r="186" spans="1:10" ht="15" x14ac:dyDescent="0.2">
      <c r="A186" s="16">
        <v>46935</v>
      </c>
      <c r="B186" s="10">
        <f>22.4858 * CHOOSE(CONTROL!$C$15, $E$9, 100%, $G$9) + CHOOSE(CONTROL!$C$38, 0.0256, 0)</f>
        <v>22.511400000000002</v>
      </c>
      <c r="C186" s="10">
        <f>20.5244 * CHOOSE(CONTROL!$C$15, $E$9, 100%, $G$9) + CHOOSE(CONTROL!$C$38, 0.0347, 0)</f>
        <v>20.559100000000001</v>
      </c>
      <c r="D186" s="10">
        <f>20.5166 * CHOOSE(CONTROL!$C$15, $E$9, 100%, $G$9) + CHOOSE(CONTROL!$C$38, 0.0347, 0)</f>
        <v>20.551300000000001</v>
      </c>
      <c r="E186" s="28">
        <f>22.3295 * CHOOSE(CONTROL!$C$15, $E$9, 100%, $G$9) + CHOOSE(CONTROL!$C$38, 0.0347, 0)</f>
        <v>22.3642</v>
      </c>
      <c r="F186" s="27">
        <f>22.3295 * CHOOSE(CONTROL!$C$15, $E$9, 100%, $G$9) + CHOOSE(CONTROL!$C$38, 0.0256, 0)</f>
        <v>22.3551</v>
      </c>
      <c r="G186" s="10">
        <f>20.5228 * CHOOSE(CONTROL!$C$15, $E$9, 100%, $G$9) + CHOOSE(CONTROL!$C$38, 0.0347, 0)</f>
        <v>20.557500000000001</v>
      </c>
      <c r="H186" s="10">
        <f>20.5228 * CHOOSE(CONTROL!$C$15, $E$9, 100%, $G$9) + CHOOSE(CONTROL!$C$38, 0.0347, 0)</f>
        <v>20.557500000000001</v>
      </c>
      <c r="I186" s="10">
        <f>20.5244 * CHOOSE(CONTROL!$C$15, $E$9, 100%, $G$9) + CHOOSE(CONTROL!$C$38, 0.0347, 0)</f>
        <v>20.559100000000001</v>
      </c>
      <c r="J186" s="26">
        <f>156.3811</f>
        <v>156.3811</v>
      </c>
    </row>
    <row r="187" spans="1:10" ht="15" x14ac:dyDescent="0.2">
      <c r="A187" s="16">
        <v>46966</v>
      </c>
      <c r="B187" s="10">
        <f>22.5877 * CHOOSE(CONTROL!$C$15, $E$9, 100%, $G$9) + CHOOSE(CONTROL!$C$38, 0.0256, 0)</f>
        <v>22.613300000000002</v>
      </c>
      <c r="C187" s="10">
        <f>20.6263 * CHOOSE(CONTROL!$C$15, $E$9, 100%, $G$9) + CHOOSE(CONTROL!$C$38, 0.0347, 0)</f>
        <v>20.661000000000001</v>
      </c>
      <c r="D187" s="10">
        <f>20.6185 * CHOOSE(CONTROL!$C$15, $E$9, 100%, $G$9) + CHOOSE(CONTROL!$C$38, 0.0347, 0)</f>
        <v>20.653200000000002</v>
      </c>
      <c r="E187" s="28">
        <f>22.4314 * CHOOSE(CONTROL!$C$15, $E$9, 100%, $G$9) + CHOOSE(CONTROL!$C$38, 0.0347, 0)</f>
        <v>22.466100000000001</v>
      </c>
      <c r="F187" s="27">
        <f>22.4314 * CHOOSE(CONTROL!$C$15, $E$9, 100%, $G$9) + CHOOSE(CONTROL!$C$38, 0.0256, 0)</f>
        <v>22.457000000000001</v>
      </c>
      <c r="G187" s="10">
        <f>20.6248 * CHOOSE(CONTROL!$C$15, $E$9, 100%, $G$9) + CHOOSE(CONTROL!$C$38, 0.0347, 0)</f>
        <v>20.659500000000001</v>
      </c>
      <c r="H187" s="10">
        <f>20.6248 * CHOOSE(CONTROL!$C$15, $E$9, 100%, $G$9) + CHOOSE(CONTROL!$C$38, 0.0347, 0)</f>
        <v>20.659500000000001</v>
      </c>
      <c r="I187" s="10">
        <f>20.6263 * CHOOSE(CONTROL!$C$15, $E$9, 100%, $G$9) + CHOOSE(CONTROL!$C$38, 0.0347, 0)</f>
        <v>20.661000000000001</v>
      </c>
      <c r="J187" s="26">
        <f>152.7406</f>
        <v>152.7406</v>
      </c>
    </row>
    <row r="188" spans="1:10" ht="15" x14ac:dyDescent="0.2">
      <c r="A188" s="16">
        <v>46997</v>
      </c>
      <c r="B188" s="10">
        <f>22.8645 * CHOOSE(CONTROL!$C$15, $E$9, 100%, $G$9) + CHOOSE(CONTROL!$C$38, 0.0256, 0)</f>
        <v>22.8901</v>
      </c>
      <c r="C188" s="10">
        <f>20.9031 * CHOOSE(CONTROL!$C$15, $E$9, 100%, $G$9) + CHOOSE(CONTROL!$C$38, 0.0347, 0)</f>
        <v>20.937799999999999</v>
      </c>
      <c r="D188" s="10">
        <f>20.8953 * CHOOSE(CONTROL!$C$15, $E$9, 100%, $G$9) + CHOOSE(CONTROL!$C$38, 0.0347, 0)</f>
        <v>20.93</v>
      </c>
      <c r="E188" s="28">
        <f>22.7082 * CHOOSE(CONTROL!$C$15, $E$9, 100%, $G$9) + CHOOSE(CONTROL!$C$38, 0.0347, 0)</f>
        <v>22.742900000000002</v>
      </c>
      <c r="F188" s="27">
        <f>22.7082 * CHOOSE(CONTROL!$C$15, $E$9, 100%, $G$9) + CHOOSE(CONTROL!$C$38, 0.0256, 0)</f>
        <v>22.733800000000002</v>
      </c>
      <c r="G188" s="10">
        <f>20.9016 * CHOOSE(CONTROL!$C$15, $E$9, 100%, $G$9) + CHOOSE(CONTROL!$C$38, 0.0347, 0)</f>
        <v>20.936299999999999</v>
      </c>
      <c r="H188" s="10">
        <f>20.9016 * CHOOSE(CONTROL!$C$15, $E$9, 100%, $G$9) + CHOOSE(CONTROL!$C$38, 0.0347, 0)</f>
        <v>20.936299999999999</v>
      </c>
      <c r="I188" s="10">
        <f>20.9031 * CHOOSE(CONTROL!$C$15, $E$9, 100%, $G$9) + CHOOSE(CONTROL!$C$38, 0.0347, 0)</f>
        <v>20.937799999999999</v>
      </c>
      <c r="J188" s="26">
        <f>147.6637</f>
        <v>147.66370000000001</v>
      </c>
    </row>
    <row r="189" spans="1:10" ht="15" x14ac:dyDescent="0.2">
      <c r="A189" s="16">
        <v>47027</v>
      </c>
      <c r="B189" s="10">
        <f>23.0963 * CHOOSE(CONTROL!$C$15, $E$9, 100%, $G$9) + CHOOSE(CONTROL!$C$38, 0.0256, 0)</f>
        <v>23.1219</v>
      </c>
      <c r="C189" s="10">
        <f>21.1349 * CHOOSE(CONTROL!$C$15, $E$9, 100%, $G$9) + CHOOSE(CONTROL!$C$38, 0.0347, 0)</f>
        <v>21.169599999999999</v>
      </c>
      <c r="D189" s="10">
        <f>21.1271 * CHOOSE(CONTROL!$C$15, $E$9, 100%, $G$9) + CHOOSE(CONTROL!$C$38, 0.0347, 0)</f>
        <v>21.161799999999999</v>
      </c>
      <c r="E189" s="28">
        <f>22.9401 * CHOOSE(CONTROL!$C$15, $E$9, 100%, $G$9) + CHOOSE(CONTROL!$C$38, 0.0347, 0)</f>
        <v>22.974800000000002</v>
      </c>
      <c r="F189" s="27">
        <f>22.9401 * CHOOSE(CONTROL!$C$15, $E$9, 100%, $G$9) + CHOOSE(CONTROL!$C$38, 0.0256, 0)</f>
        <v>22.965700000000002</v>
      </c>
      <c r="G189" s="10">
        <f>21.1334 * CHOOSE(CONTROL!$C$15, $E$9, 100%, $G$9) + CHOOSE(CONTROL!$C$38, 0.0347, 0)</f>
        <v>21.168100000000003</v>
      </c>
      <c r="H189" s="10">
        <f>21.1334 * CHOOSE(CONTROL!$C$15, $E$9, 100%, $G$9) + CHOOSE(CONTROL!$C$38, 0.0347, 0)</f>
        <v>21.168100000000003</v>
      </c>
      <c r="I189" s="10">
        <f>21.1349 * CHOOSE(CONTROL!$C$15, $E$9, 100%, $G$9) + CHOOSE(CONTROL!$C$38, 0.0347, 0)</f>
        <v>21.169599999999999</v>
      </c>
      <c r="J189" s="26">
        <f>142.5574</f>
        <v>142.5574</v>
      </c>
    </row>
    <row r="190" spans="1:10" ht="15" x14ac:dyDescent="0.2">
      <c r="A190" s="16">
        <v>47058</v>
      </c>
      <c r="B190" s="10">
        <f>23.2897 * CHOOSE(CONTROL!$C$15, $E$9, 100%, $G$9) + CHOOSE(CONTROL!$C$38, 0.0256, 0)</f>
        <v>23.315300000000001</v>
      </c>
      <c r="C190" s="10">
        <f>21.3284 * CHOOSE(CONTROL!$C$15, $E$9, 100%, $G$9) + CHOOSE(CONTROL!$C$38, 0.0347, 0)</f>
        <v>21.363099999999999</v>
      </c>
      <c r="D190" s="10">
        <f>21.3206 * CHOOSE(CONTROL!$C$15, $E$9, 100%, $G$9) + CHOOSE(CONTROL!$C$38, 0.0347, 0)</f>
        <v>21.3553</v>
      </c>
      <c r="E190" s="28">
        <f>23.1335 * CHOOSE(CONTROL!$C$15, $E$9, 100%, $G$9) + CHOOSE(CONTROL!$C$38, 0.0347, 0)</f>
        <v>23.168200000000002</v>
      </c>
      <c r="F190" s="27">
        <f>23.1335 * CHOOSE(CONTROL!$C$15, $E$9, 100%, $G$9) + CHOOSE(CONTROL!$C$38, 0.0256, 0)</f>
        <v>23.159100000000002</v>
      </c>
      <c r="G190" s="10">
        <f>21.3268 * CHOOSE(CONTROL!$C$15, $E$9, 100%, $G$9) + CHOOSE(CONTROL!$C$38, 0.0347, 0)</f>
        <v>21.361499999999999</v>
      </c>
      <c r="H190" s="10">
        <f>21.3268 * CHOOSE(CONTROL!$C$15, $E$9, 100%, $G$9) + CHOOSE(CONTROL!$C$38, 0.0347, 0)</f>
        <v>21.361499999999999</v>
      </c>
      <c r="I190" s="10">
        <f>21.3284 * CHOOSE(CONTROL!$C$15, $E$9, 100%, $G$9) + CHOOSE(CONTROL!$C$38, 0.0347, 0)</f>
        <v>21.363099999999999</v>
      </c>
      <c r="J190" s="26">
        <f>141.5416</f>
        <v>141.54159999999999</v>
      </c>
    </row>
    <row r="191" spans="1:10" ht="15" x14ac:dyDescent="0.2">
      <c r="A191" s="16">
        <v>47088</v>
      </c>
      <c r="B191" s="10">
        <f>23.8858 * CHOOSE(CONTROL!$C$15, $E$9, 100%, $G$9) + CHOOSE(CONTROL!$C$38, 0.0256, 0)</f>
        <v>23.9114</v>
      </c>
      <c r="C191" s="10">
        <f>21.9245 * CHOOSE(CONTROL!$C$15, $E$9, 100%, $G$9) + CHOOSE(CONTROL!$C$38, 0.0347, 0)</f>
        <v>21.959199999999999</v>
      </c>
      <c r="D191" s="10">
        <f>21.9166 * CHOOSE(CONTROL!$C$15, $E$9, 100%, $G$9) + CHOOSE(CONTROL!$C$38, 0.0347, 0)</f>
        <v>21.9513</v>
      </c>
      <c r="E191" s="28">
        <f>23.7296 * CHOOSE(CONTROL!$C$15, $E$9, 100%, $G$9) + CHOOSE(CONTROL!$C$38, 0.0347, 0)</f>
        <v>23.764300000000002</v>
      </c>
      <c r="F191" s="27">
        <f>23.7296 * CHOOSE(CONTROL!$C$15, $E$9, 100%, $G$9) + CHOOSE(CONTROL!$C$38, 0.0256, 0)</f>
        <v>23.755200000000002</v>
      </c>
      <c r="G191" s="10">
        <f>21.9229 * CHOOSE(CONTROL!$C$15, $E$9, 100%, $G$9) + CHOOSE(CONTROL!$C$38, 0.0347, 0)</f>
        <v>21.957599999999999</v>
      </c>
      <c r="H191" s="10">
        <f>21.9229 * CHOOSE(CONTROL!$C$15, $E$9, 100%, $G$9) + CHOOSE(CONTROL!$C$38, 0.0347, 0)</f>
        <v>21.957599999999999</v>
      </c>
      <c r="I191" s="10">
        <f>21.9245 * CHOOSE(CONTROL!$C$15, $E$9, 100%, $G$9) + CHOOSE(CONTROL!$C$38, 0.0347, 0)</f>
        <v>21.959199999999999</v>
      </c>
      <c r="J191" s="26">
        <f>137.3414</f>
        <v>137.34139999999999</v>
      </c>
    </row>
    <row r="192" spans="1:10" ht="15" x14ac:dyDescent="0.2">
      <c r="A192" s="16">
        <v>47119</v>
      </c>
      <c r="B192" s="10">
        <f>25.2958 * CHOOSE(CONTROL!$C$15, $E$9, 100%, $G$9) + CHOOSE(CONTROL!$C$38, 0.0256, 0)</f>
        <v>25.321400000000001</v>
      </c>
      <c r="C192" s="10">
        <f>23.3115 * CHOOSE(CONTROL!$C$15, $E$9, 100%, $G$9) + CHOOSE(CONTROL!$C$38, 0.0347, 0)</f>
        <v>23.3462</v>
      </c>
      <c r="D192" s="10">
        <f>23.3037 * CHOOSE(CONTROL!$C$15, $E$9, 100%, $G$9) + CHOOSE(CONTROL!$C$38, 0.0347, 0)</f>
        <v>23.3384</v>
      </c>
      <c r="E192" s="28">
        <f>25.1395 * CHOOSE(CONTROL!$C$15, $E$9, 100%, $G$9) + CHOOSE(CONTROL!$C$38, 0.0347, 0)</f>
        <v>25.174200000000003</v>
      </c>
      <c r="F192" s="27">
        <f>25.1395 * CHOOSE(CONTROL!$C$15, $E$9, 100%, $G$9) + CHOOSE(CONTROL!$C$38, 0.0256, 0)</f>
        <v>25.165100000000002</v>
      </c>
      <c r="G192" s="10">
        <f>23.3099 * CHOOSE(CONTROL!$C$15, $E$9, 100%, $G$9) + CHOOSE(CONTROL!$C$38, 0.0347, 0)</f>
        <v>23.3446</v>
      </c>
      <c r="H192" s="10">
        <f>23.3099 * CHOOSE(CONTROL!$C$15, $E$9, 100%, $G$9) + CHOOSE(CONTROL!$C$38, 0.0347, 0)</f>
        <v>23.3446</v>
      </c>
      <c r="I192" s="10">
        <f>23.3115 * CHOOSE(CONTROL!$C$15, $E$9, 100%, $G$9) + CHOOSE(CONTROL!$C$38, 0.0347, 0)</f>
        <v>23.3462</v>
      </c>
      <c r="J192" s="26">
        <f>139.5568</f>
        <v>139.55680000000001</v>
      </c>
    </row>
    <row r="193" spans="1:10" ht="15" x14ac:dyDescent="0.2">
      <c r="A193" s="16">
        <v>47150</v>
      </c>
      <c r="B193" s="10">
        <f>25.5165 * CHOOSE(CONTROL!$C$15, $E$9, 100%, $G$9) + CHOOSE(CONTROL!$C$38, 0.0256, 0)</f>
        <v>25.542100000000001</v>
      </c>
      <c r="C193" s="10">
        <f>23.5322 * CHOOSE(CONTROL!$C$15, $E$9, 100%, $G$9) + CHOOSE(CONTROL!$C$38, 0.0347, 0)</f>
        <v>23.5669</v>
      </c>
      <c r="D193" s="10">
        <f>23.5244 * CHOOSE(CONTROL!$C$15, $E$9, 100%, $G$9) + CHOOSE(CONTROL!$C$38, 0.0347, 0)</f>
        <v>23.559100000000001</v>
      </c>
      <c r="E193" s="28">
        <f>25.3603 * CHOOSE(CONTROL!$C$15, $E$9, 100%, $G$9) + CHOOSE(CONTROL!$C$38, 0.0347, 0)</f>
        <v>25.395</v>
      </c>
      <c r="F193" s="27">
        <f>25.3603 * CHOOSE(CONTROL!$C$15, $E$9, 100%, $G$9) + CHOOSE(CONTROL!$C$38, 0.0256, 0)</f>
        <v>25.385899999999999</v>
      </c>
      <c r="G193" s="10">
        <f>23.5307 * CHOOSE(CONTROL!$C$15, $E$9, 100%, $G$9) + CHOOSE(CONTROL!$C$38, 0.0347, 0)</f>
        <v>23.5654</v>
      </c>
      <c r="H193" s="10">
        <f>23.5307 * CHOOSE(CONTROL!$C$15, $E$9, 100%, $G$9) + CHOOSE(CONTROL!$C$38, 0.0347, 0)</f>
        <v>23.5654</v>
      </c>
      <c r="I193" s="10">
        <f>23.5322 * CHOOSE(CONTROL!$C$15, $E$9, 100%, $G$9) + CHOOSE(CONTROL!$C$38, 0.0347, 0)</f>
        <v>23.5669</v>
      </c>
      <c r="J193" s="26">
        <f>139.1689</f>
        <v>139.16890000000001</v>
      </c>
    </row>
    <row r="194" spans="1:10" ht="15" x14ac:dyDescent="0.2">
      <c r="A194" s="16">
        <v>47178</v>
      </c>
      <c r="B194" s="10">
        <f>25.0055 * CHOOSE(CONTROL!$C$15, $E$9, 100%, $G$9) + CHOOSE(CONTROL!$C$38, 0.0256, 0)</f>
        <v>25.031100000000002</v>
      </c>
      <c r="C194" s="10">
        <f>23.0212 * CHOOSE(CONTROL!$C$15, $E$9, 100%, $G$9) + CHOOSE(CONTROL!$C$38, 0.0347, 0)</f>
        <v>23.055900000000001</v>
      </c>
      <c r="D194" s="10">
        <f>23.0134 * CHOOSE(CONTROL!$C$15, $E$9, 100%, $G$9) + CHOOSE(CONTROL!$C$38, 0.0347, 0)</f>
        <v>23.048100000000002</v>
      </c>
      <c r="E194" s="28">
        <f>24.8493 * CHOOSE(CONTROL!$C$15, $E$9, 100%, $G$9) + CHOOSE(CONTROL!$C$38, 0.0347, 0)</f>
        <v>24.884</v>
      </c>
      <c r="F194" s="27">
        <f>24.8493 * CHOOSE(CONTROL!$C$15, $E$9, 100%, $G$9) + CHOOSE(CONTROL!$C$38, 0.0256, 0)</f>
        <v>24.8749</v>
      </c>
      <c r="G194" s="10">
        <f>23.0197 * CHOOSE(CONTROL!$C$15, $E$9, 100%, $G$9) + CHOOSE(CONTROL!$C$38, 0.0347, 0)</f>
        <v>23.054400000000001</v>
      </c>
      <c r="H194" s="10">
        <f>23.0197 * CHOOSE(CONTROL!$C$15, $E$9, 100%, $G$9) + CHOOSE(CONTROL!$C$38, 0.0347, 0)</f>
        <v>23.054400000000001</v>
      </c>
      <c r="I194" s="10">
        <f>23.0212 * CHOOSE(CONTROL!$C$15, $E$9, 100%, $G$9) + CHOOSE(CONTROL!$C$38, 0.0347, 0)</f>
        <v>23.055900000000001</v>
      </c>
      <c r="J194" s="26">
        <f>146.5039</f>
        <v>146.50389999999999</v>
      </c>
    </row>
    <row r="195" spans="1:10" ht="15" x14ac:dyDescent="0.2">
      <c r="A195" s="16">
        <v>47209</v>
      </c>
      <c r="B195" s="10">
        <f>24.5103 * CHOOSE(CONTROL!$C$15, $E$9, 100%, $G$9) + CHOOSE(CONTROL!$C$38, 0.0256, 0)</f>
        <v>24.535900000000002</v>
      </c>
      <c r="C195" s="10">
        <f>22.526 * CHOOSE(CONTROL!$C$15, $E$9, 100%, $G$9) + CHOOSE(CONTROL!$C$38, 0.0347, 0)</f>
        <v>22.560700000000001</v>
      </c>
      <c r="D195" s="10">
        <f>22.5182 * CHOOSE(CONTROL!$C$15, $E$9, 100%, $G$9) + CHOOSE(CONTROL!$C$38, 0.0347, 0)</f>
        <v>22.552900000000001</v>
      </c>
      <c r="E195" s="28">
        <f>24.3541 * CHOOSE(CONTROL!$C$15, $E$9, 100%, $G$9) + CHOOSE(CONTROL!$C$38, 0.0347, 0)</f>
        <v>24.3888</v>
      </c>
      <c r="F195" s="27">
        <f>24.3541 * CHOOSE(CONTROL!$C$15, $E$9, 100%, $G$9) + CHOOSE(CONTROL!$C$38, 0.0256, 0)</f>
        <v>24.3797</v>
      </c>
      <c r="G195" s="10">
        <f>22.5245 * CHOOSE(CONTROL!$C$15, $E$9, 100%, $G$9) + CHOOSE(CONTROL!$C$38, 0.0347, 0)</f>
        <v>22.559200000000001</v>
      </c>
      <c r="H195" s="10">
        <f>22.5245 * CHOOSE(CONTROL!$C$15, $E$9, 100%, $G$9) + CHOOSE(CONTROL!$C$38, 0.0347, 0)</f>
        <v>22.559200000000001</v>
      </c>
      <c r="I195" s="10">
        <f>22.526 * CHOOSE(CONTROL!$C$15, $E$9, 100%, $G$9) + CHOOSE(CONTROL!$C$38, 0.0347, 0)</f>
        <v>22.560700000000001</v>
      </c>
      <c r="J195" s="26">
        <f>156.0157</f>
        <v>156.01570000000001</v>
      </c>
    </row>
    <row r="196" spans="1:10" ht="15" x14ac:dyDescent="0.2">
      <c r="A196" s="16">
        <v>47239</v>
      </c>
      <c r="B196" s="10">
        <f>23.9942 * CHOOSE(CONTROL!$C$15, $E$9, 100%, $G$9) + CHOOSE(CONTROL!$C$38, 0.0256, 0)</f>
        <v>24.0198</v>
      </c>
      <c r="C196" s="10">
        <f>22.0099 * CHOOSE(CONTROL!$C$15, $E$9, 100%, $G$9) + CHOOSE(CONTROL!$C$38, 0.0347, 0)</f>
        <v>22.044599999999999</v>
      </c>
      <c r="D196" s="10">
        <f>22.0021 * CHOOSE(CONTROL!$C$15, $E$9, 100%, $G$9) + CHOOSE(CONTROL!$C$38, 0.0347, 0)</f>
        <v>22.036799999999999</v>
      </c>
      <c r="E196" s="28">
        <f>23.838 * CHOOSE(CONTROL!$C$15, $E$9, 100%, $G$9) + CHOOSE(CONTROL!$C$38, 0.0347, 0)</f>
        <v>23.872700000000002</v>
      </c>
      <c r="F196" s="27">
        <f>23.838 * CHOOSE(CONTROL!$C$15, $E$9, 100%, $G$9) + CHOOSE(CONTROL!$C$38, 0.0256, 0)</f>
        <v>23.863600000000002</v>
      </c>
      <c r="G196" s="10">
        <f>22.0084 * CHOOSE(CONTROL!$C$15, $E$9, 100%, $G$9) + CHOOSE(CONTROL!$C$38, 0.0347, 0)</f>
        <v>22.043100000000003</v>
      </c>
      <c r="H196" s="10">
        <f>22.0084 * CHOOSE(CONTROL!$C$15, $E$9, 100%, $G$9) + CHOOSE(CONTROL!$C$38, 0.0347, 0)</f>
        <v>22.043100000000003</v>
      </c>
      <c r="I196" s="10">
        <f>22.0099 * CHOOSE(CONTROL!$C$15, $E$9, 100%, $G$9) + CHOOSE(CONTROL!$C$38, 0.0347, 0)</f>
        <v>22.044599999999999</v>
      </c>
      <c r="J196" s="26">
        <f>161.2513</f>
        <v>161.25129999999999</v>
      </c>
    </row>
    <row r="197" spans="1:10" ht="15" x14ac:dyDescent="0.2">
      <c r="A197" s="16">
        <v>47270</v>
      </c>
      <c r="B197" s="10">
        <f>23.6324 * CHOOSE(CONTROL!$C$15, $E$9, 100%, $G$9) + CHOOSE(CONTROL!$C$38, 0.0256, 0)</f>
        <v>23.658000000000001</v>
      </c>
      <c r="C197" s="10">
        <f>21.6481 * CHOOSE(CONTROL!$C$15, $E$9, 100%, $G$9) + CHOOSE(CONTROL!$C$38, 0.0347, 0)</f>
        <v>21.6828</v>
      </c>
      <c r="D197" s="10">
        <f>21.6403 * CHOOSE(CONTROL!$C$15, $E$9, 100%, $G$9) + CHOOSE(CONTROL!$C$38, 0.0347, 0)</f>
        <v>21.675000000000001</v>
      </c>
      <c r="E197" s="28">
        <f>23.4761 * CHOOSE(CONTROL!$C$15, $E$9, 100%, $G$9) + CHOOSE(CONTROL!$C$38, 0.0347, 0)</f>
        <v>23.5108</v>
      </c>
      <c r="F197" s="27">
        <f>23.4761 * CHOOSE(CONTROL!$C$15, $E$9, 100%, $G$9) + CHOOSE(CONTROL!$C$38, 0.0256, 0)</f>
        <v>23.5017</v>
      </c>
      <c r="G197" s="10">
        <f>21.6465 * CHOOSE(CONTROL!$C$15, $E$9, 100%, $G$9) + CHOOSE(CONTROL!$C$38, 0.0347, 0)</f>
        <v>21.6812</v>
      </c>
      <c r="H197" s="10">
        <f>21.6465 * CHOOSE(CONTROL!$C$15, $E$9, 100%, $G$9) + CHOOSE(CONTROL!$C$38, 0.0347, 0)</f>
        <v>21.6812</v>
      </c>
      <c r="I197" s="10">
        <f>21.6481 * CHOOSE(CONTROL!$C$15, $E$9, 100%, $G$9) + CHOOSE(CONTROL!$C$38, 0.0347, 0)</f>
        <v>21.6828</v>
      </c>
      <c r="J197" s="26">
        <f>163.5747</f>
        <v>163.57470000000001</v>
      </c>
    </row>
    <row r="198" spans="1:10" ht="15" x14ac:dyDescent="0.2">
      <c r="A198" s="16">
        <v>47300</v>
      </c>
      <c r="B198" s="10">
        <f>23.4259 * CHOOSE(CONTROL!$C$15, $E$9, 100%, $G$9) + CHOOSE(CONTROL!$C$38, 0.0256, 0)</f>
        <v>23.451499999999999</v>
      </c>
      <c r="C198" s="10">
        <f>21.4416 * CHOOSE(CONTROL!$C$15, $E$9, 100%, $G$9) + CHOOSE(CONTROL!$C$38, 0.0347, 0)</f>
        <v>21.476300000000002</v>
      </c>
      <c r="D198" s="10">
        <f>21.4338 * CHOOSE(CONTROL!$C$15, $E$9, 100%, $G$9) + CHOOSE(CONTROL!$C$38, 0.0347, 0)</f>
        <v>21.468500000000002</v>
      </c>
      <c r="E198" s="28">
        <f>23.2696 * CHOOSE(CONTROL!$C$15, $E$9, 100%, $G$9) + CHOOSE(CONTROL!$C$38, 0.0347, 0)</f>
        <v>23.304300000000001</v>
      </c>
      <c r="F198" s="27">
        <f>23.2696 * CHOOSE(CONTROL!$C$15, $E$9, 100%, $G$9) + CHOOSE(CONTROL!$C$38, 0.0256, 0)</f>
        <v>23.295200000000001</v>
      </c>
      <c r="G198" s="10">
        <f>21.44 * CHOOSE(CONTROL!$C$15, $E$9, 100%, $G$9) + CHOOSE(CONTROL!$C$38, 0.0347, 0)</f>
        <v>21.474700000000002</v>
      </c>
      <c r="H198" s="10">
        <f>21.44 * CHOOSE(CONTROL!$C$15, $E$9, 100%, $G$9) + CHOOSE(CONTROL!$C$38, 0.0347, 0)</f>
        <v>21.474700000000002</v>
      </c>
      <c r="I198" s="10">
        <f>21.4416 * CHOOSE(CONTROL!$C$15, $E$9, 100%, $G$9) + CHOOSE(CONTROL!$C$38, 0.0347, 0)</f>
        <v>21.476300000000002</v>
      </c>
      <c r="J198" s="26">
        <f>162.8097</f>
        <v>162.80969999999999</v>
      </c>
    </row>
    <row r="199" spans="1:10" ht="15" x14ac:dyDescent="0.2">
      <c r="A199" s="16">
        <v>47331</v>
      </c>
      <c r="B199" s="10">
        <f>23.5278 * CHOOSE(CONTROL!$C$15, $E$9, 100%, $G$9) + CHOOSE(CONTROL!$C$38, 0.0256, 0)</f>
        <v>23.5534</v>
      </c>
      <c r="C199" s="10">
        <f>21.5435 * CHOOSE(CONTROL!$C$15, $E$9, 100%, $G$9) + CHOOSE(CONTROL!$C$38, 0.0347, 0)</f>
        <v>21.578200000000002</v>
      </c>
      <c r="D199" s="10">
        <f>21.5357 * CHOOSE(CONTROL!$C$15, $E$9, 100%, $G$9) + CHOOSE(CONTROL!$C$38, 0.0347, 0)</f>
        <v>21.570399999999999</v>
      </c>
      <c r="E199" s="28">
        <f>23.3716 * CHOOSE(CONTROL!$C$15, $E$9, 100%, $G$9) + CHOOSE(CONTROL!$C$38, 0.0347, 0)</f>
        <v>23.406300000000002</v>
      </c>
      <c r="F199" s="27">
        <f>23.3716 * CHOOSE(CONTROL!$C$15, $E$9, 100%, $G$9) + CHOOSE(CONTROL!$C$38, 0.0256, 0)</f>
        <v>23.397200000000002</v>
      </c>
      <c r="G199" s="10">
        <f>21.5419 * CHOOSE(CONTROL!$C$15, $E$9, 100%, $G$9) + CHOOSE(CONTROL!$C$38, 0.0347, 0)</f>
        <v>21.576599999999999</v>
      </c>
      <c r="H199" s="10">
        <f>21.5419 * CHOOSE(CONTROL!$C$15, $E$9, 100%, $G$9) + CHOOSE(CONTROL!$C$38, 0.0347, 0)</f>
        <v>21.576599999999999</v>
      </c>
      <c r="I199" s="10">
        <f>21.5435 * CHOOSE(CONTROL!$C$15, $E$9, 100%, $G$9) + CHOOSE(CONTROL!$C$38, 0.0347, 0)</f>
        <v>21.578200000000002</v>
      </c>
      <c r="J199" s="26">
        <f>159.0196</f>
        <v>159.0196</v>
      </c>
    </row>
    <row r="200" spans="1:10" ht="15" x14ac:dyDescent="0.2">
      <c r="A200" s="16">
        <v>47362</v>
      </c>
      <c r="B200" s="10">
        <f>23.8046 * CHOOSE(CONTROL!$C$15, $E$9, 100%, $G$9) + CHOOSE(CONTROL!$C$38, 0.0256, 0)</f>
        <v>23.830200000000001</v>
      </c>
      <c r="C200" s="10">
        <f>21.8203 * CHOOSE(CONTROL!$C$15, $E$9, 100%, $G$9) + CHOOSE(CONTROL!$C$38, 0.0347, 0)</f>
        <v>21.855</v>
      </c>
      <c r="D200" s="10">
        <f>21.8125 * CHOOSE(CONTROL!$C$15, $E$9, 100%, $G$9) + CHOOSE(CONTROL!$C$38, 0.0347, 0)</f>
        <v>21.847200000000001</v>
      </c>
      <c r="E200" s="28">
        <f>23.6484 * CHOOSE(CONTROL!$C$15, $E$9, 100%, $G$9) + CHOOSE(CONTROL!$C$38, 0.0347, 0)</f>
        <v>23.6831</v>
      </c>
      <c r="F200" s="27">
        <f>23.6484 * CHOOSE(CONTROL!$C$15, $E$9, 100%, $G$9) + CHOOSE(CONTROL!$C$38, 0.0256, 0)</f>
        <v>23.673999999999999</v>
      </c>
      <c r="G200" s="10">
        <f>21.8187 * CHOOSE(CONTROL!$C$15, $E$9, 100%, $G$9) + CHOOSE(CONTROL!$C$38, 0.0347, 0)</f>
        <v>21.853400000000001</v>
      </c>
      <c r="H200" s="10">
        <f>21.8187 * CHOOSE(CONTROL!$C$15, $E$9, 100%, $G$9) + CHOOSE(CONTROL!$C$38, 0.0347, 0)</f>
        <v>21.853400000000001</v>
      </c>
      <c r="I200" s="10">
        <f>21.8203 * CHOOSE(CONTROL!$C$15, $E$9, 100%, $G$9) + CHOOSE(CONTROL!$C$38, 0.0347, 0)</f>
        <v>21.855</v>
      </c>
      <c r="J200" s="26">
        <f>153.734</f>
        <v>153.73400000000001</v>
      </c>
    </row>
    <row r="201" spans="1:10" ht="15" x14ac:dyDescent="0.2">
      <c r="A201" s="16">
        <v>47392</v>
      </c>
      <c r="B201" s="10">
        <f>24.0364 * CHOOSE(CONTROL!$C$15, $E$9, 100%, $G$9) + CHOOSE(CONTROL!$C$38, 0.0256, 0)</f>
        <v>24.062000000000001</v>
      </c>
      <c r="C201" s="10">
        <f>22.0521 * CHOOSE(CONTROL!$C$15, $E$9, 100%, $G$9) + CHOOSE(CONTROL!$C$38, 0.0347, 0)</f>
        <v>22.0868</v>
      </c>
      <c r="D201" s="10">
        <f>22.0443 * CHOOSE(CONTROL!$C$15, $E$9, 100%, $G$9) + CHOOSE(CONTROL!$C$38, 0.0347, 0)</f>
        <v>22.079000000000001</v>
      </c>
      <c r="E201" s="28">
        <f>23.8802 * CHOOSE(CONTROL!$C$15, $E$9, 100%, $G$9) + CHOOSE(CONTROL!$C$38, 0.0347, 0)</f>
        <v>23.914899999999999</v>
      </c>
      <c r="F201" s="27">
        <f>23.8802 * CHOOSE(CONTROL!$C$15, $E$9, 100%, $G$9) + CHOOSE(CONTROL!$C$38, 0.0256, 0)</f>
        <v>23.905799999999999</v>
      </c>
      <c r="G201" s="10">
        <f>22.0506 * CHOOSE(CONTROL!$C$15, $E$9, 100%, $G$9) + CHOOSE(CONTROL!$C$38, 0.0347, 0)</f>
        <v>22.0853</v>
      </c>
      <c r="H201" s="10">
        <f>22.0506 * CHOOSE(CONTROL!$C$15, $E$9, 100%, $G$9) + CHOOSE(CONTROL!$C$38, 0.0347, 0)</f>
        <v>22.0853</v>
      </c>
      <c r="I201" s="10">
        <f>22.0521 * CHOOSE(CONTROL!$C$15, $E$9, 100%, $G$9) + CHOOSE(CONTROL!$C$38, 0.0347, 0)</f>
        <v>22.0868</v>
      </c>
      <c r="J201" s="26">
        <f>148.4178</f>
        <v>148.4178</v>
      </c>
    </row>
    <row r="202" spans="1:10" ht="15" x14ac:dyDescent="0.2">
      <c r="A202" s="16">
        <v>47423</v>
      </c>
      <c r="B202" s="10">
        <f>24.2299 * CHOOSE(CONTROL!$C$15, $E$9, 100%, $G$9) + CHOOSE(CONTROL!$C$38, 0.0256, 0)</f>
        <v>24.255500000000001</v>
      </c>
      <c r="C202" s="10">
        <f>22.2456 * CHOOSE(CONTROL!$C$15, $E$9, 100%, $G$9) + CHOOSE(CONTROL!$C$38, 0.0347, 0)</f>
        <v>22.2803</v>
      </c>
      <c r="D202" s="10">
        <f>22.2378 * CHOOSE(CONTROL!$C$15, $E$9, 100%, $G$9) + CHOOSE(CONTROL!$C$38, 0.0347, 0)</f>
        <v>22.272500000000001</v>
      </c>
      <c r="E202" s="28">
        <f>24.0736 * CHOOSE(CONTROL!$C$15, $E$9, 100%, $G$9) + CHOOSE(CONTROL!$C$38, 0.0347, 0)</f>
        <v>24.1083</v>
      </c>
      <c r="F202" s="27">
        <f>24.0736 * CHOOSE(CONTROL!$C$15, $E$9, 100%, $G$9) + CHOOSE(CONTROL!$C$38, 0.0256, 0)</f>
        <v>24.0992</v>
      </c>
      <c r="G202" s="10">
        <f>22.244 * CHOOSE(CONTROL!$C$15, $E$9, 100%, $G$9) + CHOOSE(CONTROL!$C$38, 0.0347, 0)</f>
        <v>22.278700000000001</v>
      </c>
      <c r="H202" s="10">
        <f>22.244 * CHOOSE(CONTROL!$C$15, $E$9, 100%, $G$9) + CHOOSE(CONTROL!$C$38, 0.0347, 0)</f>
        <v>22.278700000000001</v>
      </c>
      <c r="I202" s="10">
        <f>22.2456 * CHOOSE(CONTROL!$C$15, $E$9, 100%, $G$9) + CHOOSE(CONTROL!$C$38, 0.0347, 0)</f>
        <v>22.2803</v>
      </c>
      <c r="J202" s="26">
        <f>147.3602</f>
        <v>147.36019999999999</v>
      </c>
    </row>
    <row r="203" spans="1:10" ht="15" x14ac:dyDescent="0.2">
      <c r="A203" s="16">
        <v>47453</v>
      </c>
      <c r="B203" s="10">
        <f>24.8259 * CHOOSE(CONTROL!$C$15, $E$9, 100%, $G$9) + CHOOSE(CONTROL!$C$38, 0.0256, 0)</f>
        <v>24.851500000000001</v>
      </c>
      <c r="C203" s="10">
        <f>22.8416 * CHOOSE(CONTROL!$C$15, $E$9, 100%, $G$9) + CHOOSE(CONTROL!$C$38, 0.0347, 0)</f>
        <v>22.876300000000001</v>
      </c>
      <c r="D203" s="10">
        <f>22.8338 * CHOOSE(CONTROL!$C$15, $E$9, 100%, $G$9) + CHOOSE(CONTROL!$C$38, 0.0347, 0)</f>
        <v>22.868500000000001</v>
      </c>
      <c r="E203" s="28">
        <f>24.6697 * CHOOSE(CONTROL!$C$15, $E$9, 100%, $G$9) + CHOOSE(CONTROL!$C$38, 0.0347, 0)</f>
        <v>24.7044</v>
      </c>
      <c r="F203" s="27">
        <f>24.6697 * CHOOSE(CONTROL!$C$15, $E$9, 100%, $G$9) + CHOOSE(CONTROL!$C$38, 0.0256, 0)</f>
        <v>24.6953</v>
      </c>
      <c r="G203" s="10">
        <f>22.8401 * CHOOSE(CONTROL!$C$15, $E$9, 100%, $G$9) + CHOOSE(CONTROL!$C$38, 0.0347, 0)</f>
        <v>22.8748</v>
      </c>
      <c r="H203" s="10">
        <f>22.8401 * CHOOSE(CONTROL!$C$15, $E$9, 100%, $G$9) + CHOOSE(CONTROL!$C$38, 0.0347, 0)</f>
        <v>22.8748</v>
      </c>
      <c r="I203" s="10">
        <f>22.8416 * CHOOSE(CONTROL!$C$15, $E$9, 100%, $G$9) + CHOOSE(CONTROL!$C$38, 0.0347, 0)</f>
        <v>22.876300000000001</v>
      </c>
      <c r="J203" s="26">
        <f>142.9873</f>
        <v>142.9873</v>
      </c>
    </row>
    <row r="204" spans="1:10" ht="15" x14ac:dyDescent="0.2">
      <c r="A204" s="16">
        <v>47484</v>
      </c>
      <c r="B204" s="10">
        <f>26.2743 * CHOOSE(CONTROL!$C$15, $E$9, 100%, $G$9) + CHOOSE(CONTROL!$C$38, 0.0256, 0)</f>
        <v>26.299900000000001</v>
      </c>
      <c r="C204" s="10">
        <f>24.2662 * CHOOSE(CONTROL!$C$15, $E$9, 100%, $G$9) + CHOOSE(CONTROL!$C$38, 0.0347, 0)</f>
        <v>24.300900000000002</v>
      </c>
      <c r="D204" s="10">
        <f>24.2584 * CHOOSE(CONTROL!$C$15, $E$9, 100%, $G$9) + CHOOSE(CONTROL!$C$38, 0.0347, 0)</f>
        <v>24.293100000000003</v>
      </c>
      <c r="E204" s="28">
        <f>26.1181 * CHOOSE(CONTROL!$C$15, $E$9, 100%, $G$9) + CHOOSE(CONTROL!$C$38, 0.0347, 0)</f>
        <v>26.152799999999999</v>
      </c>
      <c r="F204" s="27">
        <f>26.1181 * CHOOSE(CONTROL!$C$15, $E$9, 100%, $G$9) + CHOOSE(CONTROL!$C$38, 0.0256, 0)</f>
        <v>26.143699999999999</v>
      </c>
      <c r="G204" s="10">
        <f>24.2646 * CHOOSE(CONTROL!$C$15, $E$9, 100%, $G$9) + CHOOSE(CONTROL!$C$38, 0.0347, 0)</f>
        <v>24.299300000000002</v>
      </c>
      <c r="H204" s="10">
        <f>24.2646 * CHOOSE(CONTROL!$C$15, $E$9, 100%, $G$9) + CHOOSE(CONTROL!$C$38, 0.0347, 0)</f>
        <v>24.299300000000002</v>
      </c>
      <c r="I204" s="10">
        <f>24.2662 * CHOOSE(CONTROL!$C$15, $E$9, 100%, $G$9) + CHOOSE(CONTROL!$C$38, 0.0347, 0)</f>
        <v>24.300900000000002</v>
      </c>
      <c r="J204" s="26">
        <f>145.2881</f>
        <v>145.28809999999999</v>
      </c>
    </row>
    <row r="205" spans="1:10" ht="15" x14ac:dyDescent="0.2">
      <c r="A205" s="16">
        <v>47515</v>
      </c>
      <c r="B205" s="10">
        <f>26.4951 * CHOOSE(CONTROL!$C$15, $E$9, 100%, $G$9) + CHOOSE(CONTROL!$C$38, 0.0256, 0)</f>
        <v>26.520700000000001</v>
      </c>
      <c r="C205" s="10">
        <f>24.4869 * CHOOSE(CONTROL!$C$15, $E$9, 100%, $G$9) + CHOOSE(CONTROL!$C$38, 0.0347, 0)</f>
        <v>24.521599999999999</v>
      </c>
      <c r="D205" s="10">
        <f>24.4791 * CHOOSE(CONTROL!$C$15, $E$9, 100%, $G$9) + CHOOSE(CONTROL!$C$38, 0.0347, 0)</f>
        <v>24.5138</v>
      </c>
      <c r="E205" s="28">
        <f>26.3388 * CHOOSE(CONTROL!$C$15, $E$9, 100%, $G$9) + CHOOSE(CONTROL!$C$38, 0.0347, 0)</f>
        <v>26.3735</v>
      </c>
      <c r="F205" s="27">
        <f>26.3388 * CHOOSE(CONTROL!$C$15, $E$9, 100%, $G$9) + CHOOSE(CONTROL!$C$38, 0.0256, 0)</f>
        <v>26.3644</v>
      </c>
      <c r="G205" s="10">
        <f>24.4854 * CHOOSE(CONTROL!$C$15, $E$9, 100%, $G$9) + CHOOSE(CONTROL!$C$38, 0.0347, 0)</f>
        <v>24.520099999999999</v>
      </c>
      <c r="H205" s="10">
        <f>24.4854 * CHOOSE(CONTROL!$C$15, $E$9, 100%, $G$9) + CHOOSE(CONTROL!$C$38, 0.0347, 0)</f>
        <v>24.520099999999999</v>
      </c>
      <c r="I205" s="10">
        <f>24.4869 * CHOOSE(CONTROL!$C$15, $E$9, 100%, $G$9) + CHOOSE(CONTROL!$C$38, 0.0347, 0)</f>
        <v>24.521599999999999</v>
      </c>
      <c r="J205" s="26">
        <f>144.8843</f>
        <v>144.8843</v>
      </c>
    </row>
    <row r="206" spans="1:10" ht="15" x14ac:dyDescent="0.2">
      <c r="A206" s="16">
        <v>47543</v>
      </c>
      <c r="B206" s="10">
        <f>25.9841 * CHOOSE(CONTROL!$C$15, $E$9, 100%, $G$9) + CHOOSE(CONTROL!$C$38, 0.0256, 0)</f>
        <v>26.009700000000002</v>
      </c>
      <c r="C206" s="10">
        <f>23.9759 * CHOOSE(CONTROL!$C$15, $E$9, 100%, $G$9) + CHOOSE(CONTROL!$C$38, 0.0347, 0)</f>
        <v>24.0106</v>
      </c>
      <c r="D206" s="10">
        <f>23.9681 * CHOOSE(CONTROL!$C$15, $E$9, 100%, $G$9) + CHOOSE(CONTROL!$C$38, 0.0347, 0)</f>
        <v>24.002800000000001</v>
      </c>
      <c r="E206" s="28">
        <f>25.8278 * CHOOSE(CONTROL!$C$15, $E$9, 100%, $G$9) + CHOOSE(CONTROL!$C$38, 0.0347, 0)</f>
        <v>25.862500000000001</v>
      </c>
      <c r="F206" s="27">
        <f>25.8278 * CHOOSE(CONTROL!$C$15, $E$9, 100%, $G$9) + CHOOSE(CONTROL!$C$38, 0.0256, 0)</f>
        <v>25.853400000000001</v>
      </c>
      <c r="G206" s="10">
        <f>23.9743 * CHOOSE(CONTROL!$C$15, $E$9, 100%, $G$9) + CHOOSE(CONTROL!$C$38, 0.0347, 0)</f>
        <v>24.009</v>
      </c>
      <c r="H206" s="10">
        <f>23.9743 * CHOOSE(CONTROL!$C$15, $E$9, 100%, $G$9) + CHOOSE(CONTROL!$C$38, 0.0347, 0)</f>
        <v>24.009</v>
      </c>
      <c r="I206" s="10">
        <f>23.9759 * CHOOSE(CONTROL!$C$15, $E$9, 100%, $G$9) + CHOOSE(CONTROL!$C$38, 0.0347, 0)</f>
        <v>24.0106</v>
      </c>
      <c r="J206" s="26">
        <f>152.5205</f>
        <v>152.5205</v>
      </c>
    </row>
    <row r="207" spans="1:10" ht="15" x14ac:dyDescent="0.2">
      <c r="A207" s="16">
        <v>47574</v>
      </c>
      <c r="B207" s="10">
        <f>25.4889 * CHOOSE(CONTROL!$C$15, $E$9, 100%, $G$9) + CHOOSE(CONTROL!$C$38, 0.0256, 0)</f>
        <v>25.514500000000002</v>
      </c>
      <c r="C207" s="10">
        <f>23.4807 * CHOOSE(CONTROL!$C$15, $E$9, 100%, $G$9) + CHOOSE(CONTROL!$C$38, 0.0347, 0)</f>
        <v>23.5154</v>
      </c>
      <c r="D207" s="10">
        <f>23.4729 * CHOOSE(CONTROL!$C$15, $E$9, 100%, $G$9) + CHOOSE(CONTROL!$C$38, 0.0347, 0)</f>
        <v>23.5076</v>
      </c>
      <c r="E207" s="28">
        <f>25.3326 * CHOOSE(CONTROL!$C$15, $E$9, 100%, $G$9) + CHOOSE(CONTROL!$C$38, 0.0347, 0)</f>
        <v>25.3673</v>
      </c>
      <c r="F207" s="27">
        <f>25.3326 * CHOOSE(CONTROL!$C$15, $E$9, 100%, $G$9) + CHOOSE(CONTROL!$C$38, 0.0256, 0)</f>
        <v>25.3582</v>
      </c>
      <c r="G207" s="10">
        <f>23.4792 * CHOOSE(CONTROL!$C$15, $E$9, 100%, $G$9) + CHOOSE(CONTROL!$C$38, 0.0347, 0)</f>
        <v>23.5139</v>
      </c>
      <c r="H207" s="10">
        <f>23.4792 * CHOOSE(CONTROL!$C$15, $E$9, 100%, $G$9) + CHOOSE(CONTROL!$C$38, 0.0347, 0)</f>
        <v>23.5139</v>
      </c>
      <c r="I207" s="10">
        <f>23.4807 * CHOOSE(CONTROL!$C$15, $E$9, 100%, $G$9) + CHOOSE(CONTROL!$C$38, 0.0347, 0)</f>
        <v>23.5154</v>
      </c>
      <c r="J207" s="26">
        <f>162.4229</f>
        <v>162.4229</v>
      </c>
    </row>
    <row r="208" spans="1:10" ht="15" x14ac:dyDescent="0.2">
      <c r="A208" s="16">
        <v>47604</v>
      </c>
      <c r="B208" s="10">
        <f>24.9728 * CHOOSE(CONTROL!$C$15, $E$9, 100%, $G$9) + CHOOSE(CONTROL!$C$38, 0.0256, 0)</f>
        <v>24.9984</v>
      </c>
      <c r="C208" s="10">
        <f>22.9646 * CHOOSE(CONTROL!$C$15, $E$9, 100%, $G$9) + CHOOSE(CONTROL!$C$38, 0.0347, 0)</f>
        <v>22.999300000000002</v>
      </c>
      <c r="D208" s="10">
        <f>22.9568 * CHOOSE(CONTROL!$C$15, $E$9, 100%, $G$9) + CHOOSE(CONTROL!$C$38, 0.0347, 0)</f>
        <v>22.991500000000002</v>
      </c>
      <c r="E208" s="28">
        <f>24.8165 * CHOOSE(CONTROL!$C$15, $E$9, 100%, $G$9) + CHOOSE(CONTROL!$C$38, 0.0347, 0)</f>
        <v>24.851200000000002</v>
      </c>
      <c r="F208" s="27">
        <f>24.8165 * CHOOSE(CONTROL!$C$15, $E$9, 100%, $G$9) + CHOOSE(CONTROL!$C$38, 0.0256, 0)</f>
        <v>24.842100000000002</v>
      </c>
      <c r="G208" s="10">
        <f>22.963 * CHOOSE(CONTROL!$C$15, $E$9, 100%, $G$9) + CHOOSE(CONTROL!$C$38, 0.0347, 0)</f>
        <v>22.997700000000002</v>
      </c>
      <c r="H208" s="10">
        <f>22.963 * CHOOSE(CONTROL!$C$15, $E$9, 100%, $G$9) + CHOOSE(CONTROL!$C$38, 0.0347, 0)</f>
        <v>22.997700000000002</v>
      </c>
      <c r="I208" s="10">
        <f>22.9646 * CHOOSE(CONTROL!$C$15, $E$9, 100%, $G$9) + CHOOSE(CONTROL!$C$38, 0.0347, 0)</f>
        <v>22.999300000000002</v>
      </c>
      <c r="J208" s="26">
        <f>167.8735</f>
        <v>167.87350000000001</v>
      </c>
    </row>
    <row r="209" spans="1:10" ht="15" x14ac:dyDescent="0.2">
      <c r="A209" s="16">
        <v>47635</v>
      </c>
      <c r="B209" s="10">
        <f>24.6109 * CHOOSE(CONTROL!$C$15, $E$9, 100%, $G$9) + CHOOSE(CONTROL!$C$38, 0.0256, 0)</f>
        <v>24.636500000000002</v>
      </c>
      <c r="C209" s="10">
        <f>22.6028 * CHOOSE(CONTROL!$C$15, $E$9, 100%, $G$9) + CHOOSE(CONTROL!$C$38, 0.0347, 0)</f>
        <v>22.637499999999999</v>
      </c>
      <c r="D209" s="10">
        <f>22.595 * CHOOSE(CONTROL!$C$15, $E$9, 100%, $G$9) + CHOOSE(CONTROL!$C$38, 0.0347, 0)</f>
        <v>22.6297</v>
      </c>
      <c r="E209" s="28">
        <f>24.4547 * CHOOSE(CONTROL!$C$15, $E$9, 100%, $G$9) + CHOOSE(CONTROL!$C$38, 0.0347, 0)</f>
        <v>24.4894</v>
      </c>
      <c r="F209" s="27">
        <f>24.4547 * CHOOSE(CONTROL!$C$15, $E$9, 100%, $G$9) + CHOOSE(CONTROL!$C$38, 0.0256, 0)</f>
        <v>24.4803</v>
      </c>
      <c r="G209" s="10">
        <f>22.6012 * CHOOSE(CONTROL!$C$15, $E$9, 100%, $G$9) + CHOOSE(CONTROL!$C$38, 0.0347, 0)</f>
        <v>22.635899999999999</v>
      </c>
      <c r="H209" s="10">
        <f>22.6012 * CHOOSE(CONTROL!$C$15, $E$9, 100%, $G$9) + CHOOSE(CONTROL!$C$38, 0.0347, 0)</f>
        <v>22.635899999999999</v>
      </c>
      <c r="I209" s="10">
        <f>22.6028 * CHOOSE(CONTROL!$C$15, $E$9, 100%, $G$9) + CHOOSE(CONTROL!$C$38, 0.0347, 0)</f>
        <v>22.637499999999999</v>
      </c>
      <c r="J209" s="26">
        <f>170.2924</f>
        <v>170.29239999999999</v>
      </c>
    </row>
    <row r="210" spans="1:10" ht="15" x14ac:dyDescent="0.2">
      <c r="A210" s="16">
        <v>47665</v>
      </c>
      <c r="B210" s="10">
        <f>24.4045 * CHOOSE(CONTROL!$C$15, $E$9, 100%, $G$9) + CHOOSE(CONTROL!$C$38, 0.0256, 0)</f>
        <v>24.430099999999999</v>
      </c>
      <c r="C210" s="10">
        <f>22.3963 * CHOOSE(CONTROL!$C$15, $E$9, 100%, $G$9) + CHOOSE(CONTROL!$C$38, 0.0347, 0)</f>
        <v>22.431000000000001</v>
      </c>
      <c r="D210" s="10">
        <f>22.3885 * CHOOSE(CONTROL!$C$15, $E$9, 100%, $G$9) + CHOOSE(CONTROL!$C$38, 0.0347, 0)</f>
        <v>22.423200000000001</v>
      </c>
      <c r="E210" s="28">
        <f>24.2482 * CHOOSE(CONTROL!$C$15, $E$9, 100%, $G$9) + CHOOSE(CONTROL!$C$38, 0.0347, 0)</f>
        <v>24.282900000000001</v>
      </c>
      <c r="F210" s="27">
        <f>24.2482 * CHOOSE(CONTROL!$C$15, $E$9, 100%, $G$9) + CHOOSE(CONTROL!$C$38, 0.0256, 0)</f>
        <v>24.273800000000001</v>
      </c>
      <c r="G210" s="10">
        <f>22.3947 * CHOOSE(CONTROL!$C$15, $E$9, 100%, $G$9) + CHOOSE(CONTROL!$C$38, 0.0347, 0)</f>
        <v>22.429400000000001</v>
      </c>
      <c r="H210" s="10">
        <f>22.3947 * CHOOSE(CONTROL!$C$15, $E$9, 100%, $G$9) + CHOOSE(CONTROL!$C$38, 0.0347, 0)</f>
        <v>22.429400000000001</v>
      </c>
      <c r="I210" s="10">
        <f>22.3963 * CHOOSE(CONTROL!$C$15, $E$9, 100%, $G$9) + CHOOSE(CONTROL!$C$38, 0.0347, 0)</f>
        <v>22.431000000000001</v>
      </c>
      <c r="J210" s="26">
        <f>169.496</f>
        <v>169.49600000000001</v>
      </c>
    </row>
    <row r="211" spans="1:10" ht="15" x14ac:dyDescent="0.2">
      <c r="A211" s="16">
        <v>47696</v>
      </c>
      <c r="B211" s="10">
        <f>24.5064 * CHOOSE(CONTROL!$C$15, $E$9, 100%, $G$9) + CHOOSE(CONTROL!$C$38, 0.0256, 0)</f>
        <v>24.532</v>
      </c>
      <c r="C211" s="10">
        <f>22.4982 * CHOOSE(CONTROL!$C$15, $E$9, 100%, $G$9) + CHOOSE(CONTROL!$C$38, 0.0347, 0)</f>
        <v>22.532900000000001</v>
      </c>
      <c r="D211" s="10">
        <f>22.4904 * CHOOSE(CONTROL!$C$15, $E$9, 100%, $G$9) + CHOOSE(CONTROL!$C$38, 0.0347, 0)</f>
        <v>22.525100000000002</v>
      </c>
      <c r="E211" s="28">
        <f>24.3501 * CHOOSE(CONTROL!$C$15, $E$9, 100%, $G$9) + CHOOSE(CONTROL!$C$38, 0.0347, 0)</f>
        <v>24.384800000000002</v>
      </c>
      <c r="F211" s="27">
        <f>24.3501 * CHOOSE(CONTROL!$C$15, $E$9, 100%, $G$9) + CHOOSE(CONTROL!$C$38, 0.0256, 0)</f>
        <v>24.375700000000002</v>
      </c>
      <c r="G211" s="10">
        <f>22.4966 * CHOOSE(CONTROL!$C$15, $E$9, 100%, $G$9) + CHOOSE(CONTROL!$C$38, 0.0347, 0)</f>
        <v>22.531300000000002</v>
      </c>
      <c r="H211" s="10">
        <f>22.4966 * CHOOSE(CONTROL!$C$15, $E$9, 100%, $G$9) + CHOOSE(CONTROL!$C$38, 0.0347, 0)</f>
        <v>22.531300000000002</v>
      </c>
      <c r="I211" s="10">
        <f>22.4982 * CHOOSE(CONTROL!$C$15, $E$9, 100%, $G$9) + CHOOSE(CONTROL!$C$38, 0.0347, 0)</f>
        <v>22.532900000000001</v>
      </c>
      <c r="J211" s="26">
        <f>165.5502</f>
        <v>165.55019999999999</v>
      </c>
    </row>
    <row r="212" spans="1:10" ht="15" x14ac:dyDescent="0.2">
      <c r="A212" s="16">
        <v>47727</v>
      </c>
      <c r="B212" s="10">
        <f>24.7832 * CHOOSE(CONTROL!$C$15, $E$9, 100%, $G$9) + CHOOSE(CONTROL!$C$38, 0.0256, 0)</f>
        <v>24.808800000000002</v>
      </c>
      <c r="C212" s="10">
        <f>22.775 * CHOOSE(CONTROL!$C$15, $E$9, 100%, $G$9) + CHOOSE(CONTROL!$C$38, 0.0347, 0)</f>
        <v>22.809699999999999</v>
      </c>
      <c r="D212" s="10">
        <f>22.7672 * CHOOSE(CONTROL!$C$15, $E$9, 100%, $G$9) + CHOOSE(CONTROL!$C$38, 0.0347, 0)</f>
        <v>22.8019</v>
      </c>
      <c r="E212" s="28">
        <f>24.6269 * CHOOSE(CONTROL!$C$15, $E$9, 100%, $G$9) + CHOOSE(CONTROL!$C$38, 0.0347, 0)</f>
        <v>24.6616</v>
      </c>
      <c r="F212" s="27">
        <f>24.6269 * CHOOSE(CONTROL!$C$15, $E$9, 100%, $G$9) + CHOOSE(CONTROL!$C$38, 0.0256, 0)</f>
        <v>24.6525</v>
      </c>
      <c r="G212" s="10">
        <f>22.7734 * CHOOSE(CONTROL!$C$15, $E$9, 100%, $G$9) + CHOOSE(CONTROL!$C$38, 0.0347, 0)</f>
        <v>22.8081</v>
      </c>
      <c r="H212" s="10">
        <f>22.7734 * CHOOSE(CONTROL!$C$15, $E$9, 100%, $G$9) + CHOOSE(CONTROL!$C$38, 0.0347, 0)</f>
        <v>22.8081</v>
      </c>
      <c r="I212" s="10">
        <f>22.775 * CHOOSE(CONTROL!$C$15, $E$9, 100%, $G$9) + CHOOSE(CONTROL!$C$38, 0.0347, 0)</f>
        <v>22.809699999999999</v>
      </c>
      <c r="J212" s="26">
        <f>160.0476</f>
        <v>160.04759999999999</v>
      </c>
    </row>
    <row r="213" spans="1:10" ht="15" x14ac:dyDescent="0.2">
      <c r="A213" s="16">
        <v>47757</v>
      </c>
      <c r="B213" s="10">
        <f>25.015 * CHOOSE(CONTROL!$C$15, $E$9, 100%, $G$9) + CHOOSE(CONTROL!$C$38, 0.0256, 0)</f>
        <v>25.040600000000001</v>
      </c>
      <c r="C213" s="10">
        <f>23.0068 * CHOOSE(CONTROL!$C$15, $E$9, 100%, $G$9) + CHOOSE(CONTROL!$C$38, 0.0347, 0)</f>
        <v>23.041499999999999</v>
      </c>
      <c r="D213" s="10">
        <f>22.999 * CHOOSE(CONTROL!$C$15, $E$9, 100%, $G$9) + CHOOSE(CONTROL!$C$38, 0.0347, 0)</f>
        <v>23.0337</v>
      </c>
      <c r="E213" s="28">
        <f>24.8587 * CHOOSE(CONTROL!$C$15, $E$9, 100%, $G$9) + CHOOSE(CONTROL!$C$38, 0.0347, 0)</f>
        <v>24.8934</v>
      </c>
      <c r="F213" s="27">
        <f>24.8587 * CHOOSE(CONTROL!$C$15, $E$9, 100%, $G$9) + CHOOSE(CONTROL!$C$38, 0.0256, 0)</f>
        <v>24.8843</v>
      </c>
      <c r="G213" s="10">
        <f>23.0053 * CHOOSE(CONTROL!$C$15, $E$9, 100%, $G$9) + CHOOSE(CONTROL!$C$38, 0.0347, 0)</f>
        <v>23.04</v>
      </c>
      <c r="H213" s="10">
        <f>23.0053 * CHOOSE(CONTROL!$C$15, $E$9, 100%, $G$9) + CHOOSE(CONTROL!$C$38, 0.0347, 0)</f>
        <v>23.04</v>
      </c>
      <c r="I213" s="10">
        <f>23.0068 * CHOOSE(CONTROL!$C$15, $E$9, 100%, $G$9) + CHOOSE(CONTROL!$C$38, 0.0347, 0)</f>
        <v>23.041499999999999</v>
      </c>
      <c r="J213" s="26">
        <f>154.513</f>
        <v>154.51300000000001</v>
      </c>
    </row>
    <row r="214" spans="1:10" ht="15" x14ac:dyDescent="0.2">
      <c r="A214" s="16">
        <v>47788</v>
      </c>
      <c r="B214" s="10">
        <f>25.2084 * CHOOSE(CONTROL!$C$15, $E$9, 100%, $G$9) + CHOOSE(CONTROL!$C$38, 0.0256, 0)</f>
        <v>25.234000000000002</v>
      </c>
      <c r="C214" s="10">
        <f>23.2003 * CHOOSE(CONTROL!$C$15, $E$9, 100%, $G$9) + CHOOSE(CONTROL!$C$38, 0.0347, 0)</f>
        <v>23.234999999999999</v>
      </c>
      <c r="D214" s="10">
        <f>23.1924 * CHOOSE(CONTROL!$C$15, $E$9, 100%, $G$9) + CHOOSE(CONTROL!$C$38, 0.0347, 0)</f>
        <v>23.2271</v>
      </c>
      <c r="E214" s="28">
        <f>25.0522 * CHOOSE(CONTROL!$C$15, $E$9, 100%, $G$9) + CHOOSE(CONTROL!$C$38, 0.0347, 0)</f>
        <v>25.0869</v>
      </c>
      <c r="F214" s="27">
        <f>25.0522 * CHOOSE(CONTROL!$C$15, $E$9, 100%, $G$9) + CHOOSE(CONTROL!$C$38, 0.0256, 0)</f>
        <v>25.0778</v>
      </c>
      <c r="G214" s="10">
        <f>23.1987 * CHOOSE(CONTROL!$C$15, $E$9, 100%, $G$9) + CHOOSE(CONTROL!$C$38, 0.0347, 0)</f>
        <v>23.2334</v>
      </c>
      <c r="H214" s="10">
        <f>23.1987 * CHOOSE(CONTROL!$C$15, $E$9, 100%, $G$9) + CHOOSE(CONTROL!$C$38, 0.0347, 0)</f>
        <v>23.2334</v>
      </c>
      <c r="I214" s="10">
        <f>23.2003 * CHOOSE(CONTROL!$C$15, $E$9, 100%, $G$9) + CHOOSE(CONTROL!$C$38, 0.0347, 0)</f>
        <v>23.234999999999999</v>
      </c>
      <c r="J214" s="26">
        <f>153.412</f>
        <v>153.41200000000001</v>
      </c>
    </row>
    <row r="215" spans="1:10" ht="15" x14ac:dyDescent="0.2">
      <c r="A215" s="16">
        <v>47818</v>
      </c>
      <c r="B215" s="10">
        <f>25.8045 * CHOOSE(CONTROL!$C$15, $E$9, 100%, $G$9) + CHOOSE(CONTROL!$C$38, 0.0256, 0)</f>
        <v>25.830100000000002</v>
      </c>
      <c r="C215" s="10">
        <f>23.7963 * CHOOSE(CONTROL!$C$15, $E$9, 100%, $G$9) + CHOOSE(CONTROL!$C$38, 0.0347, 0)</f>
        <v>23.831</v>
      </c>
      <c r="D215" s="10">
        <f>23.7885 * CHOOSE(CONTROL!$C$15, $E$9, 100%, $G$9) + CHOOSE(CONTROL!$C$38, 0.0347, 0)</f>
        <v>23.8232</v>
      </c>
      <c r="E215" s="28">
        <f>25.6482 * CHOOSE(CONTROL!$C$15, $E$9, 100%, $G$9) + CHOOSE(CONTROL!$C$38, 0.0347, 0)</f>
        <v>25.6829</v>
      </c>
      <c r="F215" s="27">
        <f>25.6482 * CHOOSE(CONTROL!$C$15, $E$9, 100%, $G$9) + CHOOSE(CONTROL!$C$38, 0.0256, 0)</f>
        <v>25.6738</v>
      </c>
      <c r="G215" s="10">
        <f>23.7948 * CHOOSE(CONTROL!$C$15, $E$9, 100%, $G$9) + CHOOSE(CONTROL!$C$38, 0.0347, 0)</f>
        <v>23.829499999999999</v>
      </c>
      <c r="H215" s="10">
        <f>23.7948 * CHOOSE(CONTROL!$C$15, $E$9, 100%, $G$9) + CHOOSE(CONTROL!$C$38, 0.0347, 0)</f>
        <v>23.829499999999999</v>
      </c>
      <c r="I215" s="10">
        <f>23.7963 * CHOOSE(CONTROL!$C$15, $E$9, 100%, $G$9) + CHOOSE(CONTROL!$C$38, 0.0347, 0)</f>
        <v>23.831</v>
      </c>
      <c r="J215" s="26">
        <f>148.8595</f>
        <v>148.8595</v>
      </c>
    </row>
    <row r="216" spans="1:10" ht="15" x14ac:dyDescent="0.2">
      <c r="A216" s="16">
        <v>47849</v>
      </c>
      <c r="B216" s="10">
        <f>26.7104 * CHOOSE(CONTROL!$C$15, $E$9, 100%, $G$9) + CHOOSE(CONTROL!$C$38, 0.0256, 0)</f>
        <v>26.736000000000001</v>
      </c>
      <c r="C216" s="10">
        <f>24.6695 * CHOOSE(CONTROL!$C$15, $E$9, 100%, $G$9) + CHOOSE(CONTROL!$C$38, 0.0347, 0)</f>
        <v>24.7042</v>
      </c>
      <c r="D216" s="10">
        <f>24.6617 * CHOOSE(CONTROL!$C$15, $E$9, 100%, $G$9) + CHOOSE(CONTROL!$C$38, 0.0347, 0)</f>
        <v>24.696400000000001</v>
      </c>
      <c r="E216" s="28">
        <f>26.5541 * CHOOSE(CONTROL!$C$15, $E$9, 100%, $G$9) + CHOOSE(CONTROL!$C$38, 0.0347, 0)</f>
        <v>26.588799999999999</v>
      </c>
      <c r="F216" s="27">
        <f>26.5541 * CHOOSE(CONTROL!$C$15, $E$9, 100%, $G$9) + CHOOSE(CONTROL!$C$38, 0.0256, 0)</f>
        <v>26.579699999999999</v>
      </c>
      <c r="G216" s="10">
        <f>24.6679 * CHOOSE(CONTROL!$C$15, $E$9, 100%, $G$9) + CHOOSE(CONTROL!$C$38, 0.0347, 0)</f>
        <v>24.7026</v>
      </c>
      <c r="H216" s="10">
        <f>24.6679 * CHOOSE(CONTROL!$C$15, $E$9, 100%, $G$9) + CHOOSE(CONTROL!$C$38, 0.0347, 0)</f>
        <v>24.7026</v>
      </c>
      <c r="I216" s="10">
        <f>24.6695 * CHOOSE(CONTROL!$C$15, $E$9, 100%, $G$9) + CHOOSE(CONTROL!$C$38, 0.0347, 0)</f>
        <v>24.7042</v>
      </c>
      <c r="J216" s="26">
        <f>147.8624</f>
        <v>147.86240000000001</v>
      </c>
    </row>
    <row r="217" spans="1:10" ht="15" x14ac:dyDescent="0.2">
      <c r="A217" s="16">
        <v>47880</v>
      </c>
      <c r="B217" s="10">
        <f>26.9311 * CHOOSE(CONTROL!$C$15, $E$9, 100%, $G$9) + CHOOSE(CONTROL!$C$38, 0.0256, 0)</f>
        <v>26.956700000000001</v>
      </c>
      <c r="C217" s="10">
        <f>24.8902 * CHOOSE(CONTROL!$C$15, $E$9, 100%, $G$9) + CHOOSE(CONTROL!$C$38, 0.0347, 0)</f>
        <v>24.924900000000001</v>
      </c>
      <c r="D217" s="10">
        <f>24.8824 * CHOOSE(CONTROL!$C$15, $E$9, 100%, $G$9) + CHOOSE(CONTROL!$C$38, 0.0347, 0)</f>
        <v>24.917100000000001</v>
      </c>
      <c r="E217" s="28">
        <f>26.7749 * CHOOSE(CONTROL!$C$15, $E$9, 100%, $G$9) + CHOOSE(CONTROL!$C$38, 0.0347, 0)</f>
        <v>26.8096</v>
      </c>
      <c r="F217" s="27">
        <f>26.7749 * CHOOSE(CONTROL!$C$15, $E$9, 100%, $G$9) + CHOOSE(CONTROL!$C$38, 0.0256, 0)</f>
        <v>26.8005</v>
      </c>
      <c r="G217" s="10">
        <f>24.8887 * CHOOSE(CONTROL!$C$15, $E$9, 100%, $G$9) + CHOOSE(CONTROL!$C$38, 0.0347, 0)</f>
        <v>24.923400000000001</v>
      </c>
      <c r="H217" s="10">
        <f>24.8887 * CHOOSE(CONTROL!$C$15, $E$9, 100%, $G$9) + CHOOSE(CONTROL!$C$38, 0.0347, 0)</f>
        <v>24.923400000000001</v>
      </c>
      <c r="I217" s="10">
        <f>24.8902 * CHOOSE(CONTROL!$C$15, $E$9, 100%, $G$9) + CHOOSE(CONTROL!$C$38, 0.0347, 0)</f>
        <v>24.924900000000001</v>
      </c>
      <c r="J217" s="26">
        <f>147.4514</f>
        <v>147.45140000000001</v>
      </c>
    </row>
    <row r="218" spans="1:10" ht="15" x14ac:dyDescent="0.2">
      <c r="A218" s="16">
        <v>47908</v>
      </c>
      <c r="B218" s="10">
        <f>26.4201 * CHOOSE(CONTROL!$C$15, $E$9, 100%, $G$9) + CHOOSE(CONTROL!$C$38, 0.0256, 0)</f>
        <v>26.445700000000002</v>
      </c>
      <c r="C218" s="10">
        <f>24.3792 * CHOOSE(CONTROL!$C$15, $E$9, 100%, $G$9) + CHOOSE(CONTROL!$C$38, 0.0347, 0)</f>
        <v>24.413900000000002</v>
      </c>
      <c r="D218" s="10">
        <f>24.3714 * CHOOSE(CONTROL!$C$15, $E$9, 100%, $G$9) + CHOOSE(CONTROL!$C$38, 0.0347, 0)</f>
        <v>24.406100000000002</v>
      </c>
      <c r="E218" s="28">
        <f>26.2638 * CHOOSE(CONTROL!$C$15, $E$9, 100%, $G$9) + CHOOSE(CONTROL!$C$38, 0.0347, 0)</f>
        <v>26.298500000000001</v>
      </c>
      <c r="F218" s="27">
        <f>26.2638 * CHOOSE(CONTROL!$C$15, $E$9, 100%, $G$9) + CHOOSE(CONTROL!$C$38, 0.0256, 0)</f>
        <v>26.289400000000001</v>
      </c>
      <c r="G218" s="10">
        <f>24.3776 * CHOOSE(CONTROL!$C$15, $E$9, 100%, $G$9) + CHOOSE(CONTROL!$C$38, 0.0347, 0)</f>
        <v>24.412300000000002</v>
      </c>
      <c r="H218" s="10">
        <f>24.3776 * CHOOSE(CONTROL!$C$15, $E$9, 100%, $G$9) + CHOOSE(CONTROL!$C$38, 0.0347, 0)</f>
        <v>24.412300000000002</v>
      </c>
      <c r="I218" s="10">
        <f>24.3792 * CHOOSE(CONTROL!$C$15, $E$9, 100%, $G$9) + CHOOSE(CONTROL!$C$38, 0.0347, 0)</f>
        <v>24.413900000000002</v>
      </c>
      <c r="J218" s="26">
        <f>155.2229</f>
        <v>155.22290000000001</v>
      </c>
    </row>
    <row r="219" spans="1:10" ht="15" x14ac:dyDescent="0.2">
      <c r="A219" s="16">
        <v>47939</v>
      </c>
      <c r="B219" s="10">
        <f>25.9249 * CHOOSE(CONTROL!$C$15, $E$9, 100%, $G$9) + CHOOSE(CONTROL!$C$38, 0.0256, 0)</f>
        <v>25.950500000000002</v>
      </c>
      <c r="C219" s="10">
        <f>23.884 * CHOOSE(CONTROL!$C$15, $E$9, 100%, $G$9) + CHOOSE(CONTROL!$C$38, 0.0347, 0)</f>
        <v>23.918700000000001</v>
      </c>
      <c r="D219" s="10">
        <f>23.8762 * CHOOSE(CONTROL!$C$15, $E$9, 100%, $G$9) + CHOOSE(CONTROL!$C$38, 0.0347, 0)</f>
        <v>23.910900000000002</v>
      </c>
      <c r="E219" s="28">
        <f>25.7687 * CHOOSE(CONTROL!$C$15, $E$9, 100%, $G$9) + CHOOSE(CONTROL!$C$38, 0.0347, 0)</f>
        <v>25.8034</v>
      </c>
      <c r="F219" s="27">
        <f>25.7687 * CHOOSE(CONTROL!$C$15, $E$9, 100%, $G$9) + CHOOSE(CONTROL!$C$38, 0.0256, 0)</f>
        <v>25.7943</v>
      </c>
      <c r="G219" s="10">
        <f>23.8825 * CHOOSE(CONTROL!$C$15, $E$9, 100%, $G$9) + CHOOSE(CONTROL!$C$38, 0.0347, 0)</f>
        <v>23.917200000000001</v>
      </c>
      <c r="H219" s="10">
        <f>23.8825 * CHOOSE(CONTROL!$C$15, $E$9, 100%, $G$9) + CHOOSE(CONTROL!$C$38, 0.0347, 0)</f>
        <v>23.917200000000001</v>
      </c>
      <c r="I219" s="10">
        <f>23.884 * CHOOSE(CONTROL!$C$15, $E$9, 100%, $G$9) + CHOOSE(CONTROL!$C$38, 0.0347, 0)</f>
        <v>23.918700000000001</v>
      </c>
      <c r="J219" s="26">
        <f>165.3007</f>
        <v>165.30070000000001</v>
      </c>
    </row>
    <row r="220" spans="1:10" ht="15" x14ac:dyDescent="0.2">
      <c r="A220" s="16">
        <v>47969</v>
      </c>
      <c r="B220" s="10">
        <f>25.4088 * CHOOSE(CONTROL!$C$15, $E$9, 100%, $G$9) + CHOOSE(CONTROL!$C$38, 0.0256, 0)</f>
        <v>25.4344</v>
      </c>
      <c r="C220" s="10">
        <f>23.3679 * CHOOSE(CONTROL!$C$15, $E$9, 100%, $G$9) + CHOOSE(CONTROL!$C$38, 0.0347, 0)</f>
        <v>23.4026</v>
      </c>
      <c r="D220" s="10">
        <f>23.3601 * CHOOSE(CONTROL!$C$15, $E$9, 100%, $G$9) + CHOOSE(CONTROL!$C$38, 0.0347, 0)</f>
        <v>23.3948</v>
      </c>
      <c r="E220" s="28">
        <f>25.2526 * CHOOSE(CONTROL!$C$15, $E$9, 100%, $G$9) + CHOOSE(CONTROL!$C$38, 0.0347, 0)</f>
        <v>25.287300000000002</v>
      </c>
      <c r="F220" s="27">
        <f>25.2526 * CHOOSE(CONTROL!$C$15, $E$9, 100%, $G$9) + CHOOSE(CONTROL!$C$38, 0.0256, 0)</f>
        <v>25.278200000000002</v>
      </c>
      <c r="G220" s="10">
        <f>23.3664 * CHOOSE(CONTROL!$C$15, $E$9, 100%, $G$9) + CHOOSE(CONTROL!$C$38, 0.0347, 0)</f>
        <v>23.4011</v>
      </c>
      <c r="H220" s="10">
        <f>23.3664 * CHOOSE(CONTROL!$C$15, $E$9, 100%, $G$9) + CHOOSE(CONTROL!$C$38, 0.0347, 0)</f>
        <v>23.4011</v>
      </c>
      <c r="I220" s="10">
        <f>23.3679 * CHOOSE(CONTROL!$C$15, $E$9, 100%, $G$9) + CHOOSE(CONTROL!$C$38, 0.0347, 0)</f>
        <v>23.4026</v>
      </c>
      <c r="J220" s="26">
        <f>170.8479</f>
        <v>170.84790000000001</v>
      </c>
    </row>
    <row r="221" spans="1:10" ht="15" x14ac:dyDescent="0.2">
      <c r="A221" s="16">
        <v>48000</v>
      </c>
      <c r="B221" s="10">
        <f>25.047 * CHOOSE(CONTROL!$C$15, $E$9, 100%, $G$9) + CHOOSE(CONTROL!$C$38, 0.0256, 0)</f>
        <v>25.072600000000001</v>
      </c>
      <c r="C221" s="10">
        <f>23.0061 * CHOOSE(CONTROL!$C$15, $E$9, 100%, $G$9) + CHOOSE(CONTROL!$C$38, 0.0347, 0)</f>
        <v>23.040800000000001</v>
      </c>
      <c r="D221" s="10">
        <f>22.9983 * CHOOSE(CONTROL!$C$15, $E$9, 100%, $G$9) + CHOOSE(CONTROL!$C$38, 0.0347, 0)</f>
        <v>23.033000000000001</v>
      </c>
      <c r="E221" s="28">
        <f>24.8907 * CHOOSE(CONTROL!$C$15, $E$9, 100%, $G$9) + CHOOSE(CONTROL!$C$38, 0.0347, 0)</f>
        <v>24.9254</v>
      </c>
      <c r="F221" s="27">
        <f>24.8907 * CHOOSE(CONTROL!$C$15, $E$9, 100%, $G$9) + CHOOSE(CONTROL!$C$38, 0.0256, 0)</f>
        <v>24.9163</v>
      </c>
      <c r="G221" s="10">
        <f>23.0045 * CHOOSE(CONTROL!$C$15, $E$9, 100%, $G$9) + CHOOSE(CONTROL!$C$38, 0.0347, 0)</f>
        <v>23.039200000000001</v>
      </c>
      <c r="H221" s="10">
        <f>23.0045 * CHOOSE(CONTROL!$C$15, $E$9, 100%, $G$9) + CHOOSE(CONTROL!$C$38, 0.0347, 0)</f>
        <v>23.039200000000001</v>
      </c>
      <c r="I221" s="10">
        <f>23.0061 * CHOOSE(CONTROL!$C$15, $E$9, 100%, $G$9) + CHOOSE(CONTROL!$C$38, 0.0347, 0)</f>
        <v>23.040800000000001</v>
      </c>
      <c r="J221" s="26">
        <f>173.3096</f>
        <v>173.30959999999999</v>
      </c>
    </row>
    <row r="222" spans="1:10" ht="15" x14ac:dyDescent="0.2">
      <c r="A222" s="16">
        <v>48030</v>
      </c>
      <c r="B222" s="10">
        <f>24.8405 * CHOOSE(CONTROL!$C$15, $E$9, 100%, $G$9) + CHOOSE(CONTROL!$C$38, 0.0256, 0)</f>
        <v>24.866099999999999</v>
      </c>
      <c r="C222" s="10">
        <f>22.7996 * CHOOSE(CONTROL!$C$15, $E$9, 100%, $G$9) + CHOOSE(CONTROL!$C$38, 0.0347, 0)</f>
        <v>22.834300000000002</v>
      </c>
      <c r="D222" s="10">
        <f>22.7918 * CHOOSE(CONTROL!$C$15, $E$9, 100%, $G$9) + CHOOSE(CONTROL!$C$38, 0.0347, 0)</f>
        <v>22.826499999999999</v>
      </c>
      <c r="E222" s="28">
        <f>24.6842 * CHOOSE(CONTROL!$C$15, $E$9, 100%, $G$9) + CHOOSE(CONTROL!$C$38, 0.0347, 0)</f>
        <v>24.718900000000001</v>
      </c>
      <c r="F222" s="27">
        <f>24.6842 * CHOOSE(CONTROL!$C$15, $E$9, 100%, $G$9) + CHOOSE(CONTROL!$C$38, 0.0256, 0)</f>
        <v>24.709800000000001</v>
      </c>
      <c r="G222" s="10">
        <f>22.798 * CHOOSE(CONTROL!$C$15, $E$9, 100%, $G$9) + CHOOSE(CONTROL!$C$38, 0.0347, 0)</f>
        <v>22.832699999999999</v>
      </c>
      <c r="H222" s="10">
        <f>22.798 * CHOOSE(CONTROL!$C$15, $E$9, 100%, $G$9) + CHOOSE(CONTROL!$C$38, 0.0347, 0)</f>
        <v>22.832699999999999</v>
      </c>
      <c r="I222" s="10">
        <f>22.7996 * CHOOSE(CONTROL!$C$15, $E$9, 100%, $G$9) + CHOOSE(CONTROL!$C$38, 0.0347, 0)</f>
        <v>22.834300000000002</v>
      </c>
      <c r="J222" s="26">
        <f>172.4991</f>
        <v>172.4991</v>
      </c>
    </row>
    <row r="223" spans="1:10" ht="15" x14ac:dyDescent="0.2">
      <c r="A223" s="16">
        <v>48061</v>
      </c>
      <c r="B223" s="10">
        <f>24.9424 * CHOOSE(CONTROL!$C$15, $E$9, 100%, $G$9) + CHOOSE(CONTROL!$C$38, 0.0256, 0)</f>
        <v>24.968</v>
      </c>
      <c r="C223" s="10">
        <f>22.9015 * CHOOSE(CONTROL!$C$15, $E$9, 100%, $G$9) + CHOOSE(CONTROL!$C$38, 0.0347, 0)</f>
        <v>22.936199999999999</v>
      </c>
      <c r="D223" s="10">
        <f>22.8937 * CHOOSE(CONTROL!$C$15, $E$9, 100%, $G$9) + CHOOSE(CONTROL!$C$38, 0.0347, 0)</f>
        <v>22.9284</v>
      </c>
      <c r="E223" s="28">
        <f>24.7861 * CHOOSE(CONTROL!$C$15, $E$9, 100%, $G$9) + CHOOSE(CONTROL!$C$38, 0.0347, 0)</f>
        <v>24.820800000000002</v>
      </c>
      <c r="F223" s="27">
        <f>24.7861 * CHOOSE(CONTROL!$C$15, $E$9, 100%, $G$9) + CHOOSE(CONTROL!$C$38, 0.0256, 0)</f>
        <v>24.811700000000002</v>
      </c>
      <c r="G223" s="10">
        <f>22.8999 * CHOOSE(CONTROL!$C$15, $E$9, 100%, $G$9) + CHOOSE(CONTROL!$C$38, 0.0347, 0)</f>
        <v>22.9346</v>
      </c>
      <c r="H223" s="10">
        <f>22.8999 * CHOOSE(CONTROL!$C$15, $E$9, 100%, $G$9) + CHOOSE(CONTROL!$C$38, 0.0347, 0)</f>
        <v>22.9346</v>
      </c>
      <c r="I223" s="10">
        <f>22.9015 * CHOOSE(CONTROL!$C$15, $E$9, 100%, $G$9) + CHOOSE(CONTROL!$C$38, 0.0347, 0)</f>
        <v>22.936199999999999</v>
      </c>
      <c r="J223" s="26">
        <f>168.4834</f>
        <v>168.48339999999999</v>
      </c>
    </row>
    <row r="224" spans="1:10" ht="15" x14ac:dyDescent="0.2">
      <c r="A224" s="16">
        <v>48092</v>
      </c>
      <c r="B224" s="10">
        <f>25.2192 * CHOOSE(CONTROL!$C$15, $E$9, 100%, $G$9) + CHOOSE(CONTROL!$C$38, 0.0256, 0)</f>
        <v>25.244800000000001</v>
      </c>
      <c r="C224" s="10">
        <f>23.1783 * CHOOSE(CONTROL!$C$15, $E$9, 100%, $G$9) + CHOOSE(CONTROL!$C$38, 0.0347, 0)</f>
        <v>23.213000000000001</v>
      </c>
      <c r="D224" s="10">
        <f>23.1705 * CHOOSE(CONTROL!$C$15, $E$9, 100%, $G$9) + CHOOSE(CONTROL!$C$38, 0.0347, 0)</f>
        <v>23.205200000000001</v>
      </c>
      <c r="E224" s="28">
        <f>25.0629 * CHOOSE(CONTROL!$C$15, $E$9, 100%, $G$9) + CHOOSE(CONTROL!$C$38, 0.0347, 0)</f>
        <v>25.0976</v>
      </c>
      <c r="F224" s="27">
        <f>25.0629 * CHOOSE(CONTROL!$C$15, $E$9, 100%, $G$9) + CHOOSE(CONTROL!$C$38, 0.0256, 0)</f>
        <v>25.0885</v>
      </c>
      <c r="G224" s="10">
        <f>23.1767 * CHOOSE(CONTROL!$C$15, $E$9, 100%, $G$9) + CHOOSE(CONTROL!$C$38, 0.0347, 0)</f>
        <v>23.211400000000001</v>
      </c>
      <c r="H224" s="10">
        <f>23.1767 * CHOOSE(CONTROL!$C$15, $E$9, 100%, $G$9) + CHOOSE(CONTROL!$C$38, 0.0347, 0)</f>
        <v>23.211400000000001</v>
      </c>
      <c r="I224" s="10">
        <f>23.1783 * CHOOSE(CONTROL!$C$15, $E$9, 100%, $G$9) + CHOOSE(CONTROL!$C$38, 0.0347, 0)</f>
        <v>23.213000000000001</v>
      </c>
      <c r="J224" s="26">
        <f>162.8833</f>
        <v>162.88329999999999</v>
      </c>
    </row>
    <row r="225" spans="1:10" ht="15" x14ac:dyDescent="0.2">
      <c r="A225" s="16">
        <v>48122</v>
      </c>
      <c r="B225" s="10">
        <f>25.451 * CHOOSE(CONTROL!$C$15, $E$9, 100%, $G$9) + CHOOSE(CONTROL!$C$38, 0.0256, 0)</f>
        <v>25.476600000000001</v>
      </c>
      <c r="C225" s="10">
        <f>23.4101 * CHOOSE(CONTROL!$C$15, $E$9, 100%, $G$9) + CHOOSE(CONTROL!$C$38, 0.0347, 0)</f>
        <v>23.444800000000001</v>
      </c>
      <c r="D225" s="10">
        <f>23.4023 * CHOOSE(CONTROL!$C$15, $E$9, 100%, $G$9) + CHOOSE(CONTROL!$C$38, 0.0347, 0)</f>
        <v>23.437000000000001</v>
      </c>
      <c r="E225" s="28">
        <f>25.2948 * CHOOSE(CONTROL!$C$15, $E$9, 100%, $G$9) + CHOOSE(CONTROL!$C$38, 0.0347, 0)</f>
        <v>25.329499999999999</v>
      </c>
      <c r="F225" s="27">
        <f>25.2948 * CHOOSE(CONTROL!$C$15, $E$9, 100%, $G$9) + CHOOSE(CONTROL!$C$38, 0.0256, 0)</f>
        <v>25.320399999999999</v>
      </c>
      <c r="G225" s="10">
        <f>23.4086 * CHOOSE(CONTROL!$C$15, $E$9, 100%, $G$9) + CHOOSE(CONTROL!$C$38, 0.0347, 0)</f>
        <v>23.443300000000001</v>
      </c>
      <c r="H225" s="10">
        <f>23.4086 * CHOOSE(CONTROL!$C$15, $E$9, 100%, $G$9) + CHOOSE(CONTROL!$C$38, 0.0347, 0)</f>
        <v>23.443300000000001</v>
      </c>
      <c r="I225" s="10">
        <f>23.4101 * CHOOSE(CONTROL!$C$15, $E$9, 100%, $G$9) + CHOOSE(CONTROL!$C$38, 0.0347, 0)</f>
        <v>23.444800000000001</v>
      </c>
      <c r="J225" s="26">
        <f>157.2506</f>
        <v>157.25059999999999</v>
      </c>
    </row>
    <row r="226" spans="1:10" ht="15" x14ac:dyDescent="0.2">
      <c r="A226" s="16">
        <v>48153</v>
      </c>
      <c r="B226" s="10">
        <f>25.6444 * CHOOSE(CONTROL!$C$15, $E$9, 100%, $G$9) + CHOOSE(CONTROL!$C$38, 0.0256, 0)</f>
        <v>25.67</v>
      </c>
      <c r="C226" s="10">
        <f>23.6036 * CHOOSE(CONTROL!$C$15, $E$9, 100%, $G$9) + CHOOSE(CONTROL!$C$38, 0.0347, 0)</f>
        <v>23.638300000000001</v>
      </c>
      <c r="D226" s="10">
        <f>23.5958 * CHOOSE(CONTROL!$C$15, $E$9, 100%, $G$9) + CHOOSE(CONTROL!$C$38, 0.0347, 0)</f>
        <v>23.630500000000001</v>
      </c>
      <c r="E226" s="28">
        <f>25.4882 * CHOOSE(CONTROL!$C$15, $E$9, 100%, $G$9) + CHOOSE(CONTROL!$C$38, 0.0347, 0)</f>
        <v>25.5229</v>
      </c>
      <c r="F226" s="27">
        <f>25.4882 * CHOOSE(CONTROL!$C$15, $E$9, 100%, $G$9) + CHOOSE(CONTROL!$C$38, 0.0256, 0)</f>
        <v>25.5138</v>
      </c>
      <c r="G226" s="10">
        <f>23.602 * CHOOSE(CONTROL!$C$15, $E$9, 100%, $G$9) + CHOOSE(CONTROL!$C$38, 0.0347, 0)</f>
        <v>23.636700000000001</v>
      </c>
      <c r="H226" s="10">
        <f>23.602 * CHOOSE(CONTROL!$C$15, $E$9, 100%, $G$9) + CHOOSE(CONTROL!$C$38, 0.0347, 0)</f>
        <v>23.636700000000001</v>
      </c>
      <c r="I226" s="10">
        <f>23.6036 * CHOOSE(CONTROL!$C$15, $E$9, 100%, $G$9) + CHOOSE(CONTROL!$C$38, 0.0347, 0)</f>
        <v>23.638300000000001</v>
      </c>
      <c r="J226" s="26">
        <f>156.1302</f>
        <v>156.1302</v>
      </c>
    </row>
    <row r="227" spans="1:10" ht="15" x14ac:dyDescent="0.2">
      <c r="A227" s="16">
        <v>48183</v>
      </c>
      <c r="B227" s="10">
        <f>26.2405 * CHOOSE(CONTROL!$C$15, $E$9, 100%, $G$9) + CHOOSE(CONTROL!$C$38, 0.0256, 0)</f>
        <v>26.266100000000002</v>
      </c>
      <c r="C227" s="10">
        <f>24.1996 * CHOOSE(CONTROL!$C$15, $E$9, 100%, $G$9) + CHOOSE(CONTROL!$C$38, 0.0347, 0)</f>
        <v>24.234300000000001</v>
      </c>
      <c r="D227" s="10">
        <f>24.1918 * CHOOSE(CONTROL!$C$15, $E$9, 100%, $G$9) + CHOOSE(CONTROL!$C$38, 0.0347, 0)</f>
        <v>24.226500000000001</v>
      </c>
      <c r="E227" s="28">
        <f>26.0843 * CHOOSE(CONTROL!$C$15, $E$9, 100%, $G$9) + CHOOSE(CONTROL!$C$38, 0.0347, 0)</f>
        <v>26.119</v>
      </c>
      <c r="F227" s="27">
        <f>26.0843 * CHOOSE(CONTROL!$C$15, $E$9, 100%, $G$9) + CHOOSE(CONTROL!$C$38, 0.0256, 0)</f>
        <v>26.1099</v>
      </c>
      <c r="G227" s="10">
        <f>24.1981 * CHOOSE(CONTROL!$C$15, $E$9, 100%, $G$9) + CHOOSE(CONTROL!$C$38, 0.0347, 0)</f>
        <v>24.232800000000001</v>
      </c>
      <c r="H227" s="10">
        <f>24.1981 * CHOOSE(CONTROL!$C$15, $E$9, 100%, $G$9) + CHOOSE(CONTROL!$C$38, 0.0347, 0)</f>
        <v>24.232800000000001</v>
      </c>
      <c r="I227" s="10">
        <f>24.1996 * CHOOSE(CONTROL!$C$15, $E$9, 100%, $G$9) + CHOOSE(CONTROL!$C$38, 0.0347, 0)</f>
        <v>24.234300000000001</v>
      </c>
      <c r="J227" s="26">
        <f>151.497</f>
        <v>151.49700000000001</v>
      </c>
    </row>
    <row r="228" spans="1:10" ht="15" x14ac:dyDescent="0.2">
      <c r="A228" s="16">
        <v>48214</v>
      </c>
      <c r="B228" s="10">
        <f>27.1541 * CHOOSE(CONTROL!$C$15, $E$9, 100%, $G$9) + CHOOSE(CONTROL!$C$38, 0.0256, 0)</f>
        <v>27.1797</v>
      </c>
      <c r="C228" s="10">
        <f>25.0799 * CHOOSE(CONTROL!$C$15, $E$9, 100%, $G$9) + CHOOSE(CONTROL!$C$38, 0.0347, 0)</f>
        <v>25.114599999999999</v>
      </c>
      <c r="D228" s="10">
        <f>25.0721 * CHOOSE(CONTROL!$C$15, $E$9, 100%, $G$9) + CHOOSE(CONTROL!$C$38, 0.0347, 0)</f>
        <v>25.1068</v>
      </c>
      <c r="E228" s="28">
        <f>26.9978 * CHOOSE(CONTROL!$C$15, $E$9, 100%, $G$9) + CHOOSE(CONTROL!$C$38, 0.0347, 0)</f>
        <v>27.032500000000002</v>
      </c>
      <c r="F228" s="27">
        <f>26.9978 * CHOOSE(CONTROL!$C$15, $E$9, 100%, $G$9) + CHOOSE(CONTROL!$C$38, 0.0256, 0)</f>
        <v>27.023400000000002</v>
      </c>
      <c r="G228" s="10">
        <f>25.0783 * CHOOSE(CONTROL!$C$15, $E$9, 100%, $G$9) + CHOOSE(CONTROL!$C$38, 0.0347, 0)</f>
        <v>25.113</v>
      </c>
      <c r="H228" s="10">
        <f>25.0783 * CHOOSE(CONTROL!$C$15, $E$9, 100%, $G$9) + CHOOSE(CONTROL!$C$38, 0.0347, 0)</f>
        <v>25.113</v>
      </c>
      <c r="I228" s="10">
        <f>25.0799 * CHOOSE(CONTROL!$C$15, $E$9, 100%, $G$9) + CHOOSE(CONTROL!$C$38, 0.0347, 0)</f>
        <v>25.114599999999999</v>
      </c>
      <c r="J228" s="26">
        <f>150.4822</f>
        <v>150.48220000000001</v>
      </c>
    </row>
    <row r="229" spans="1:10" ht="15" x14ac:dyDescent="0.2">
      <c r="A229" s="16">
        <v>48245</v>
      </c>
      <c r="B229" s="10">
        <f>27.3749 * CHOOSE(CONTROL!$C$15, $E$9, 100%, $G$9) + CHOOSE(CONTROL!$C$38, 0.0256, 0)</f>
        <v>27.400500000000001</v>
      </c>
      <c r="C229" s="10">
        <f>25.3007 * CHOOSE(CONTROL!$C$15, $E$9, 100%, $G$9) + CHOOSE(CONTROL!$C$38, 0.0347, 0)</f>
        <v>25.3354</v>
      </c>
      <c r="D229" s="10">
        <f>25.2929 * CHOOSE(CONTROL!$C$15, $E$9, 100%, $G$9) + CHOOSE(CONTROL!$C$38, 0.0347, 0)</f>
        <v>25.3276</v>
      </c>
      <c r="E229" s="28">
        <f>27.2186 * CHOOSE(CONTROL!$C$15, $E$9, 100%, $G$9) + CHOOSE(CONTROL!$C$38, 0.0347, 0)</f>
        <v>27.253299999999999</v>
      </c>
      <c r="F229" s="27">
        <f>27.2186 * CHOOSE(CONTROL!$C$15, $E$9, 100%, $G$9) + CHOOSE(CONTROL!$C$38, 0.0256, 0)</f>
        <v>27.244199999999999</v>
      </c>
      <c r="G229" s="10">
        <f>25.2991 * CHOOSE(CONTROL!$C$15, $E$9, 100%, $G$9) + CHOOSE(CONTROL!$C$38, 0.0347, 0)</f>
        <v>25.3338</v>
      </c>
      <c r="H229" s="10">
        <f>25.2991 * CHOOSE(CONTROL!$C$15, $E$9, 100%, $G$9) + CHOOSE(CONTROL!$C$38, 0.0347, 0)</f>
        <v>25.3338</v>
      </c>
      <c r="I229" s="10">
        <f>25.3007 * CHOOSE(CONTROL!$C$15, $E$9, 100%, $G$9) + CHOOSE(CONTROL!$C$38, 0.0347, 0)</f>
        <v>25.3354</v>
      </c>
      <c r="J229" s="26">
        <f>150.0639</f>
        <v>150.06389999999999</v>
      </c>
    </row>
    <row r="230" spans="1:10" ht="15" x14ac:dyDescent="0.2">
      <c r="A230" s="16">
        <v>48274</v>
      </c>
      <c r="B230" s="10">
        <f>26.8638 * CHOOSE(CONTROL!$C$15, $E$9, 100%, $G$9) + CHOOSE(CONTROL!$C$38, 0.0256, 0)</f>
        <v>26.889400000000002</v>
      </c>
      <c r="C230" s="10">
        <f>24.7896 * CHOOSE(CONTROL!$C$15, $E$9, 100%, $G$9) + CHOOSE(CONTROL!$C$38, 0.0347, 0)</f>
        <v>24.824300000000001</v>
      </c>
      <c r="D230" s="10">
        <f>24.7818 * CHOOSE(CONTROL!$C$15, $E$9, 100%, $G$9) + CHOOSE(CONTROL!$C$38, 0.0347, 0)</f>
        <v>24.816500000000001</v>
      </c>
      <c r="E230" s="28">
        <f>26.7076 * CHOOSE(CONTROL!$C$15, $E$9, 100%, $G$9) + CHOOSE(CONTROL!$C$38, 0.0347, 0)</f>
        <v>26.7423</v>
      </c>
      <c r="F230" s="27">
        <f>26.7076 * CHOOSE(CONTROL!$C$15, $E$9, 100%, $G$9) + CHOOSE(CONTROL!$C$38, 0.0256, 0)</f>
        <v>26.7332</v>
      </c>
      <c r="G230" s="10">
        <f>24.7881 * CHOOSE(CONTROL!$C$15, $E$9, 100%, $G$9) + CHOOSE(CONTROL!$C$38, 0.0347, 0)</f>
        <v>24.822800000000001</v>
      </c>
      <c r="H230" s="10">
        <f>24.7881 * CHOOSE(CONTROL!$C$15, $E$9, 100%, $G$9) + CHOOSE(CONTROL!$C$38, 0.0347, 0)</f>
        <v>24.822800000000001</v>
      </c>
      <c r="I230" s="10">
        <f>24.7896 * CHOOSE(CONTROL!$C$15, $E$9, 100%, $G$9) + CHOOSE(CONTROL!$C$38, 0.0347, 0)</f>
        <v>24.824300000000001</v>
      </c>
      <c r="J230" s="26">
        <f>157.9732</f>
        <v>157.97319999999999</v>
      </c>
    </row>
    <row r="231" spans="1:10" ht="15" x14ac:dyDescent="0.2">
      <c r="A231" s="16">
        <v>48305</v>
      </c>
      <c r="B231" s="10">
        <f>26.3686 * CHOOSE(CONTROL!$C$15, $E$9, 100%, $G$9) + CHOOSE(CONTROL!$C$38, 0.0256, 0)</f>
        <v>26.394200000000001</v>
      </c>
      <c r="C231" s="10">
        <f>24.2945 * CHOOSE(CONTROL!$C$15, $E$9, 100%, $G$9) + CHOOSE(CONTROL!$C$38, 0.0347, 0)</f>
        <v>24.3292</v>
      </c>
      <c r="D231" s="10">
        <f>24.2866 * CHOOSE(CONTROL!$C$15, $E$9, 100%, $G$9) + CHOOSE(CONTROL!$C$38, 0.0347, 0)</f>
        <v>24.321300000000001</v>
      </c>
      <c r="E231" s="28">
        <f>26.2124 * CHOOSE(CONTROL!$C$15, $E$9, 100%, $G$9) + CHOOSE(CONTROL!$C$38, 0.0347, 0)</f>
        <v>26.2471</v>
      </c>
      <c r="F231" s="27">
        <f>26.2124 * CHOOSE(CONTROL!$C$15, $E$9, 100%, $G$9) + CHOOSE(CONTROL!$C$38, 0.0256, 0)</f>
        <v>26.238</v>
      </c>
      <c r="G231" s="10">
        <f>24.2929 * CHOOSE(CONTROL!$C$15, $E$9, 100%, $G$9) + CHOOSE(CONTROL!$C$38, 0.0347, 0)</f>
        <v>24.3276</v>
      </c>
      <c r="H231" s="10">
        <f>24.2929 * CHOOSE(CONTROL!$C$15, $E$9, 100%, $G$9) + CHOOSE(CONTROL!$C$38, 0.0347, 0)</f>
        <v>24.3276</v>
      </c>
      <c r="I231" s="10">
        <f>24.2945 * CHOOSE(CONTROL!$C$15, $E$9, 100%, $G$9) + CHOOSE(CONTROL!$C$38, 0.0347, 0)</f>
        <v>24.3292</v>
      </c>
      <c r="J231" s="26">
        <f>168.2295</f>
        <v>168.2295</v>
      </c>
    </row>
    <row r="232" spans="1:10" ht="15" x14ac:dyDescent="0.2">
      <c r="A232" s="16">
        <v>48335</v>
      </c>
      <c r="B232" s="10">
        <f>25.8525 * CHOOSE(CONTROL!$C$15, $E$9, 100%, $G$9) + CHOOSE(CONTROL!$C$38, 0.0256, 0)</f>
        <v>25.8781</v>
      </c>
      <c r="C232" s="10">
        <f>23.7783 * CHOOSE(CONTROL!$C$15, $E$9, 100%, $G$9) + CHOOSE(CONTROL!$C$38, 0.0347, 0)</f>
        <v>23.813000000000002</v>
      </c>
      <c r="D232" s="10">
        <f>23.7705 * CHOOSE(CONTROL!$C$15, $E$9, 100%, $G$9) + CHOOSE(CONTROL!$C$38, 0.0347, 0)</f>
        <v>23.805199999999999</v>
      </c>
      <c r="E232" s="28">
        <f>25.6963 * CHOOSE(CONTROL!$C$15, $E$9, 100%, $G$9) + CHOOSE(CONTROL!$C$38, 0.0347, 0)</f>
        <v>25.731000000000002</v>
      </c>
      <c r="F232" s="27">
        <f>25.6963 * CHOOSE(CONTROL!$C$15, $E$9, 100%, $G$9) + CHOOSE(CONTROL!$C$38, 0.0256, 0)</f>
        <v>25.721900000000002</v>
      </c>
      <c r="G232" s="10">
        <f>23.7768 * CHOOSE(CONTROL!$C$15, $E$9, 100%, $G$9) + CHOOSE(CONTROL!$C$38, 0.0347, 0)</f>
        <v>23.811500000000002</v>
      </c>
      <c r="H232" s="10">
        <f>23.7768 * CHOOSE(CONTROL!$C$15, $E$9, 100%, $G$9) + CHOOSE(CONTROL!$C$38, 0.0347, 0)</f>
        <v>23.811500000000002</v>
      </c>
      <c r="I232" s="10">
        <f>23.7783 * CHOOSE(CONTROL!$C$15, $E$9, 100%, $G$9) + CHOOSE(CONTROL!$C$38, 0.0347, 0)</f>
        <v>23.813000000000002</v>
      </c>
      <c r="J232" s="26">
        <f>173.875</f>
        <v>173.875</v>
      </c>
    </row>
    <row r="233" spans="1:10" ht="15" x14ac:dyDescent="0.2">
      <c r="A233" s="16">
        <v>48366</v>
      </c>
      <c r="B233" s="10">
        <f>25.4907 * CHOOSE(CONTROL!$C$15, $E$9, 100%, $G$9) + CHOOSE(CONTROL!$C$38, 0.0256, 0)</f>
        <v>25.516300000000001</v>
      </c>
      <c r="C233" s="10">
        <f>23.4165 * CHOOSE(CONTROL!$C$15, $E$9, 100%, $G$9) + CHOOSE(CONTROL!$C$38, 0.0347, 0)</f>
        <v>23.4512</v>
      </c>
      <c r="D233" s="10">
        <f>23.4087 * CHOOSE(CONTROL!$C$15, $E$9, 100%, $G$9) + CHOOSE(CONTROL!$C$38, 0.0347, 0)</f>
        <v>23.4434</v>
      </c>
      <c r="E233" s="28">
        <f>25.3344 * CHOOSE(CONTROL!$C$15, $E$9, 100%, $G$9) + CHOOSE(CONTROL!$C$38, 0.0347, 0)</f>
        <v>25.3691</v>
      </c>
      <c r="F233" s="27">
        <f>25.3344 * CHOOSE(CONTROL!$C$15, $E$9, 100%, $G$9) + CHOOSE(CONTROL!$C$38, 0.0256, 0)</f>
        <v>25.36</v>
      </c>
      <c r="G233" s="10">
        <f>23.415 * CHOOSE(CONTROL!$C$15, $E$9, 100%, $G$9) + CHOOSE(CONTROL!$C$38, 0.0347, 0)</f>
        <v>23.4497</v>
      </c>
      <c r="H233" s="10">
        <f>23.415 * CHOOSE(CONTROL!$C$15, $E$9, 100%, $G$9) + CHOOSE(CONTROL!$C$38, 0.0347, 0)</f>
        <v>23.4497</v>
      </c>
      <c r="I233" s="10">
        <f>23.4165 * CHOOSE(CONTROL!$C$15, $E$9, 100%, $G$9) + CHOOSE(CONTROL!$C$38, 0.0347, 0)</f>
        <v>23.4512</v>
      </c>
      <c r="J233" s="26">
        <f>176.3804</f>
        <v>176.38040000000001</v>
      </c>
    </row>
    <row r="234" spans="1:10" ht="15" x14ac:dyDescent="0.2">
      <c r="A234" s="16">
        <v>48396</v>
      </c>
      <c r="B234" s="10">
        <f>25.2842 * CHOOSE(CONTROL!$C$15, $E$9, 100%, $G$9) + CHOOSE(CONTROL!$C$38, 0.0256, 0)</f>
        <v>25.309799999999999</v>
      </c>
      <c r="C234" s="10">
        <f>23.21 * CHOOSE(CONTROL!$C$15, $E$9, 100%, $G$9) + CHOOSE(CONTROL!$C$38, 0.0347, 0)</f>
        <v>23.244700000000002</v>
      </c>
      <c r="D234" s="10">
        <f>23.2022 * CHOOSE(CONTROL!$C$15, $E$9, 100%, $G$9) + CHOOSE(CONTROL!$C$38, 0.0347, 0)</f>
        <v>23.236900000000002</v>
      </c>
      <c r="E234" s="28">
        <f>25.128 * CHOOSE(CONTROL!$C$15, $E$9, 100%, $G$9) + CHOOSE(CONTROL!$C$38, 0.0347, 0)</f>
        <v>25.162700000000001</v>
      </c>
      <c r="F234" s="27">
        <f>25.128 * CHOOSE(CONTROL!$C$15, $E$9, 100%, $G$9) + CHOOSE(CONTROL!$C$38, 0.0256, 0)</f>
        <v>25.153600000000001</v>
      </c>
      <c r="G234" s="10">
        <f>23.2085 * CHOOSE(CONTROL!$C$15, $E$9, 100%, $G$9) + CHOOSE(CONTROL!$C$38, 0.0347, 0)</f>
        <v>23.243200000000002</v>
      </c>
      <c r="H234" s="10">
        <f>23.2085 * CHOOSE(CONTROL!$C$15, $E$9, 100%, $G$9) + CHOOSE(CONTROL!$C$38, 0.0347, 0)</f>
        <v>23.243200000000002</v>
      </c>
      <c r="I234" s="10">
        <f>23.21 * CHOOSE(CONTROL!$C$15, $E$9, 100%, $G$9) + CHOOSE(CONTROL!$C$38, 0.0347, 0)</f>
        <v>23.244700000000002</v>
      </c>
      <c r="J234" s="26">
        <f>175.5555</f>
        <v>175.55549999999999</v>
      </c>
    </row>
    <row r="235" spans="1:10" ht="15" x14ac:dyDescent="0.2">
      <c r="A235" s="16">
        <v>48427</v>
      </c>
      <c r="B235" s="10">
        <f>25.3861 * CHOOSE(CONTROL!$C$15, $E$9, 100%, $G$9) + CHOOSE(CONTROL!$C$38, 0.0256, 0)</f>
        <v>25.4117</v>
      </c>
      <c r="C235" s="10">
        <f>23.3119 * CHOOSE(CONTROL!$C$15, $E$9, 100%, $G$9) + CHOOSE(CONTROL!$C$38, 0.0347, 0)</f>
        <v>23.346600000000002</v>
      </c>
      <c r="D235" s="10">
        <f>23.3041 * CHOOSE(CONTROL!$C$15, $E$9, 100%, $G$9) + CHOOSE(CONTROL!$C$38, 0.0347, 0)</f>
        <v>23.338799999999999</v>
      </c>
      <c r="E235" s="28">
        <f>25.2299 * CHOOSE(CONTROL!$C$15, $E$9, 100%, $G$9) + CHOOSE(CONTROL!$C$38, 0.0347, 0)</f>
        <v>25.264600000000002</v>
      </c>
      <c r="F235" s="27">
        <f>25.2299 * CHOOSE(CONTROL!$C$15, $E$9, 100%, $G$9) + CHOOSE(CONTROL!$C$38, 0.0256, 0)</f>
        <v>25.255500000000001</v>
      </c>
      <c r="G235" s="10">
        <f>23.3104 * CHOOSE(CONTROL!$C$15, $E$9, 100%, $G$9) + CHOOSE(CONTROL!$C$38, 0.0347, 0)</f>
        <v>23.345100000000002</v>
      </c>
      <c r="H235" s="10">
        <f>23.3104 * CHOOSE(CONTROL!$C$15, $E$9, 100%, $G$9) + CHOOSE(CONTROL!$C$38, 0.0347, 0)</f>
        <v>23.345100000000002</v>
      </c>
      <c r="I235" s="10">
        <f>23.3119 * CHOOSE(CONTROL!$C$15, $E$9, 100%, $G$9) + CHOOSE(CONTROL!$C$38, 0.0347, 0)</f>
        <v>23.346600000000002</v>
      </c>
      <c r="J235" s="26">
        <f>171.4686</f>
        <v>171.46860000000001</v>
      </c>
    </row>
    <row r="236" spans="1:10" ht="15" x14ac:dyDescent="0.2">
      <c r="A236" s="16">
        <v>48458</v>
      </c>
      <c r="B236" s="10">
        <f>25.6629 * CHOOSE(CONTROL!$C$15, $E$9, 100%, $G$9) + CHOOSE(CONTROL!$C$38, 0.0256, 0)</f>
        <v>25.688500000000001</v>
      </c>
      <c r="C236" s="10">
        <f>23.5887 * CHOOSE(CONTROL!$C$15, $E$9, 100%, $G$9) + CHOOSE(CONTROL!$C$38, 0.0347, 0)</f>
        <v>23.6234</v>
      </c>
      <c r="D236" s="10">
        <f>23.5809 * CHOOSE(CONTROL!$C$15, $E$9, 100%, $G$9) + CHOOSE(CONTROL!$C$38, 0.0347, 0)</f>
        <v>23.615600000000001</v>
      </c>
      <c r="E236" s="28">
        <f>25.5067 * CHOOSE(CONTROL!$C$15, $E$9, 100%, $G$9) + CHOOSE(CONTROL!$C$38, 0.0347, 0)</f>
        <v>25.541399999999999</v>
      </c>
      <c r="F236" s="27">
        <f>25.5067 * CHOOSE(CONTROL!$C$15, $E$9, 100%, $G$9) + CHOOSE(CONTROL!$C$38, 0.0256, 0)</f>
        <v>25.532299999999999</v>
      </c>
      <c r="G236" s="10">
        <f>23.5872 * CHOOSE(CONTROL!$C$15, $E$9, 100%, $G$9) + CHOOSE(CONTROL!$C$38, 0.0347, 0)</f>
        <v>23.6219</v>
      </c>
      <c r="H236" s="10">
        <f>23.5872 * CHOOSE(CONTROL!$C$15, $E$9, 100%, $G$9) + CHOOSE(CONTROL!$C$38, 0.0347, 0)</f>
        <v>23.6219</v>
      </c>
      <c r="I236" s="10">
        <f>23.5887 * CHOOSE(CONTROL!$C$15, $E$9, 100%, $G$9) + CHOOSE(CONTROL!$C$38, 0.0347, 0)</f>
        <v>23.6234</v>
      </c>
      <c r="J236" s="26">
        <f>165.7693</f>
        <v>165.76929999999999</v>
      </c>
    </row>
    <row r="237" spans="1:10" ht="15" x14ac:dyDescent="0.2">
      <c r="A237" s="16">
        <v>48488</v>
      </c>
      <c r="B237" s="10">
        <f>25.8947 * CHOOSE(CONTROL!$C$15, $E$9, 100%, $G$9) + CHOOSE(CONTROL!$C$38, 0.0256, 0)</f>
        <v>25.920300000000001</v>
      </c>
      <c r="C237" s="10">
        <f>23.8206 * CHOOSE(CONTROL!$C$15, $E$9, 100%, $G$9) + CHOOSE(CONTROL!$C$38, 0.0347, 0)</f>
        <v>23.8553</v>
      </c>
      <c r="D237" s="10">
        <f>23.8127 * CHOOSE(CONTROL!$C$15, $E$9, 100%, $G$9) + CHOOSE(CONTROL!$C$38, 0.0347, 0)</f>
        <v>23.8474</v>
      </c>
      <c r="E237" s="28">
        <f>25.7385 * CHOOSE(CONTROL!$C$15, $E$9, 100%, $G$9) + CHOOSE(CONTROL!$C$38, 0.0347, 0)</f>
        <v>25.773199999999999</v>
      </c>
      <c r="F237" s="27">
        <f>25.7385 * CHOOSE(CONTROL!$C$15, $E$9, 100%, $G$9) + CHOOSE(CONTROL!$C$38, 0.0256, 0)</f>
        <v>25.764099999999999</v>
      </c>
      <c r="G237" s="10">
        <f>23.819 * CHOOSE(CONTROL!$C$15, $E$9, 100%, $G$9) + CHOOSE(CONTROL!$C$38, 0.0347, 0)</f>
        <v>23.8537</v>
      </c>
      <c r="H237" s="10">
        <f>23.819 * CHOOSE(CONTROL!$C$15, $E$9, 100%, $G$9) + CHOOSE(CONTROL!$C$38, 0.0347, 0)</f>
        <v>23.8537</v>
      </c>
      <c r="I237" s="10">
        <f>23.8206 * CHOOSE(CONTROL!$C$15, $E$9, 100%, $G$9) + CHOOSE(CONTROL!$C$38, 0.0347, 0)</f>
        <v>23.8553</v>
      </c>
      <c r="J237" s="26">
        <f>160.0368</f>
        <v>160.0368</v>
      </c>
    </row>
    <row r="238" spans="1:10" ht="15" x14ac:dyDescent="0.2">
      <c r="A238" s="16">
        <v>48519</v>
      </c>
      <c r="B238" s="10">
        <f>26.0882 * CHOOSE(CONTROL!$C$15, $E$9, 100%, $G$9) + CHOOSE(CONTROL!$C$38, 0.0256, 0)</f>
        <v>26.113800000000001</v>
      </c>
      <c r="C238" s="10">
        <f>24.014 * CHOOSE(CONTROL!$C$15, $E$9, 100%, $G$9) + CHOOSE(CONTROL!$C$38, 0.0347, 0)</f>
        <v>24.0487</v>
      </c>
      <c r="D238" s="10">
        <f>24.0062 * CHOOSE(CONTROL!$C$15, $E$9, 100%, $G$9) + CHOOSE(CONTROL!$C$38, 0.0347, 0)</f>
        <v>24.040900000000001</v>
      </c>
      <c r="E238" s="28">
        <f>25.9319 * CHOOSE(CONTROL!$C$15, $E$9, 100%, $G$9) + CHOOSE(CONTROL!$C$38, 0.0347, 0)</f>
        <v>25.9666</v>
      </c>
      <c r="F238" s="27">
        <f>25.9319 * CHOOSE(CONTROL!$C$15, $E$9, 100%, $G$9) + CHOOSE(CONTROL!$C$38, 0.0256, 0)</f>
        <v>25.9575</v>
      </c>
      <c r="G238" s="10">
        <f>24.0124 * CHOOSE(CONTROL!$C$15, $E$9, 100%, $G$9) + CHOOSE(CONTROL!$C$38, 0.0347, 0)</f>
        <v>24.0471</v>
      </c>
      <c r="H238" s="10">
        <f>24.0124 * CHOOSE(CONTROL!$C$15, $E$9, 100%, $G$9) + CHOOSE(CONTROL!$C$38, 0.0347, 0)</f>
        <v>24.0471</v>
      </c>
      <c r="I238" s="10">
        <f>24.014 * CHOOSE(CONTROL!$C$15, $E$9, 100%, $G$9) + CHOOSE(CONTROL!$C$38, 0.0347, 0)</f>
        <v>24.0487</v>
      </c>
      <c r="J238" s="26">
        <f>158.8965</f>
        <v>158.8965</v>
      </c>
    </row>
    <row r="239" spans="1:10" ht="15" x14ac:dyDescent="0.2">
      <c r="A239" s="16">
        <v>48549</v>
      </c>
      <c r="B239" s="10">
        <f>26.6842 * CHOOSE(CONTROL!$C$15, $E$9, 100%, $G$9) + CHOOSE(CONTROL!$C$38, 0.0256, 0)</f>
        <v>26.709800000000001</v>
      </c>
      <c r="C239" s="10">
        <f>24.6101 * CHOOSE(CONTROL!$C$15, $E$9, 100%, $G$9) + CHOOSE(CONTROL!$C$38, 0.0347, 0)</f>
        <v>24.6448</v>
      </c>
      <c r="D239" s="10">
        <f>24.6023 * CHOOSE(CONTROL!$C$15, $E$9, 100%, $G$9) + CHOOSE(CONTROL!$C$38, 0.0347, 0)</f>
        <v>24.637</v>
      </c>
      <c r="E239" s="28">
        <f>26.528 * CHOOSE(CONTROL!$C$15, $E$9, 100%, $G$9) + CHOOSE(CONTROL!$C$38, 0.0347, 0)</f>
        <v>26.5627</v>
      </c>
      <c r="F239" s="27">
        <f>26.528 * CHOOSE(CONTROL!$C$15, $E$9, 100%, $G$9) + CHOOSE(CONTROL!$C$38, 0.0256, 0)</f>
        <v>26.553599999999999</v>
      </c>
      <c r="G239" s="10">
        <f>24.6085 * CHOOSE(CONTROL!$C$15, $E$9, 100%, $G$9) + CHOOSE(CONTROL!$C$38, 0.0347, 0)</f>
        <v>24.6432</v>
      </c>
      <c r="H239" s="10">
        <f>24.6085 * CHOOSE(CONTROL!$C$15, $E$9, 100%, $G$9) + CHOOSE(CONTROL!$C$38, 0.0347, 0)</f>
        <v>24.6432</v>
      </c>
      <c r="I239" s="10">
        <f>24.6101 * CHOOSE(CONTROL!$C$15, $E$9, 100%, $G$9) + CHOOSE(CONTROL!$C$38, 0.0347, 0)</f>
        <v>24.6448</v>
      </c>
      <c r="J239" s="26">
        <f>154.1813</f>
        <v>154.18129999999999</v>
      </c>
    </row>
    <row r="240" spans="1:10" ht="15" x14ac:dyDescent="0.2">
      <c r="A240" s="16">
        <v>48580</v>
      </c>
      <c r="B240" s="10">
        <f>27.6057 * CHOOSE(CONTROL!$C$15, $E$9, 100%, $G$9) + CHOOSE(CONTROL!$C$38, 0.0256, 0)</f>
        <v>27.6313</v>
      </c>
      <c r="C240" s="10">
        <f>25.4976 * CHOOSE(CONTROL!$C$15, $E$9, 100%, $G$9) + CHOOSE(CONTROL!$C$38, 0.0347, 0)</f>
        <v>25.532299999999999</v>
      </c>
      <c r="D240" s="10">
        <f>25.4898 * CHOOSE(CONTROL!$C$15, $E$9, 100%, $G$9) + CHOOSE(CONTROL!$C$38, 0.0347, 0)</f>
        <v>25.5245</v>
      </c>
      <c r="E240" s="28">
        <f>27.4494 * CHOOSE(CONTROL!$C$15, $E$9, 100%, $G$9) + CHOOSE(CONTROL!$C$38, 0.0347, 0)</f>
        <v>27.484100000000002</v>
      </c>
      <c r="F240" s="27">
        <f>27.4494 * CHOOSE(CONTROL!$C$15, $E$9, 100%, $G$9) + CHOOSE(CONTROL!$C$38, 0.0256, 0)</f>
        <v>27.475000000000001</v>
      </c>
      <c r="G240" s="10">
        <f>25.496 * CHOOSE(CONTROL!$C$15, $E$9, 100%, $G$9) + CHOOSE(CONTROL!$C$38, 0.0347, 0)</f>
        <v>25.5307</v>
      </c>
      <c r="H240" s="10">
        <f>25.496 * CHOOSE(CONTROL!$C$15, $E$9, 100%, $G$9) + CHOOSE(CONTROL!$C$38, 0.0347, 0)</f>
        <v>25.5307</v>
      </c>
      <c r="I240" s="10">
        <f>25.4976 * CHOOSE(CONTROL!$C$15, $E$9, 100%, $G$9) + CHOOSE(CONTROL!$C$38, 0.0347, 0)</f>
        <v>25.532299999999999</v>
      </c>
      <c r="J240" s="26">
        <f>153.1485</f>
        <v>153.14850000000001</v>
      </c>
    </row>
    <row r="241" spans="1:10" ht="15" x14ac:dyDescent="0.2">
      <c r="A241" s="16">
        <v>48611</v>
      </c>
      <c r="B241" s="10">
        <f>27.8264 * CHOOSE(CONTROL!$C$15, $E$9, 100%, $G$9) + CHOOSE(CONTROL!$C$38, 0.0256, 0)</f>
        <v>27.852</v>
      </c>
      <c r="C241" s="10">
        <f>25.7184 * CHOOSE(CONTROL!$C$15, $E$9, 100%, $G$9) + CHOOSE(CONTROL!$C$38, 0.0347, 0)</f>
        <v>25.7531</v>
      </c>
      <c r="D241" s="10">
        <f>25.7105 * CHOOSE(CONTROL!$C$15, $E$9, 100%, $G$9) + CHOOSE(CONTROL!$C$38, 0.0347, 0)</f>
        <v>25.745200000000001</v>
      </c>
      <c r="E241" s="28">
        <f>27.6702 * CHOOSE(CONTROL!$C$15, $E$9, 100%, $G$9) + CHOOSE(CONTROL!$C$38, 0.0347, 0)</f>
        <v>27.704900000000002</v>
      </c>
      <c r="F241" s="27">
        <f>27.6702 * CHOOSE(CONTROL!$C$15, $E$9, 100%, $G$9) + CHOOSE(CONTROL!$C$38, 0.0256, 0)</f>
        <v>27.695800000000002</v>
      </c>
      <c r="G241" s="10">
        <f>25.7168 * CHOOSE(CONTROL!$C$15, $E$9, 100%, $G$9) + CHOOSE(CONTROL!$C$38, 0.0347, 0)</f>
        <v>25.7515</v>
      </c>
      <c r="H241" s="10">
        <f>25.7168 * CHOOSE(CONTROL!$C$15, $E$9, 100%, $G$9) + CHOOSE(CONTROL!$C$38, 0.0347, 0)</f>
        <v>25.7515</v>
      </c>
      <c r="I241" s="10">
        <f>25.7184 * CHOOSE(CONTROL!$C$15, $E$9, 100%, $G$9) + CHOOSE(CONTROL!$C$38, 0.0347, 0)</f>
        <v>25.7531</v>
      </c>
      <c r="J241" s="26">
        <f>152.7228</f>
        <v>152.72280000000001</v>
      </c>
    </row>
    <row r="242" spans="1:10" ht="15" x14ac:dyDescent="0.2">
      <c r="A242" s="16">
        <v>48639</v>
      </c>
      <c r="B242" s="10">
        <f>27.3154 * CHOOSE(CONTROL!$C$15, $E$9, 100%, $G$9) + CHOOSE(CONTROL!$C$38, 0.0256, 0)</f>
        <v>27.341000000000001</v>
      </c>
      <c r="C242" s="10">
        <f>25.2073 * CHOOSE(CONTROL!$C$15, $E$9, 100%, $G$9) + CHOOSE(CONTROL!$C$38, 0.0347, 0)</f>
        <v>25.242000000000001</v>
      </c>
      <c r="D242" s="10">
        <f>25.1995 * CHOOSE(CONTROL!$C$15, $E$9, 100%, $G$9) + CHOOSE(CONTROL!$C$38, 0.0347, 0)</f>
        <v>25.234200000000001</v>
      </c>
      <c r="E242" s="28">
        <f>27.1591 * CHOOSE(CONTROL!$C$15, $E$9, 100%, $G$9) + CHOOSE(CONTROL!$C$38, 0.0347, 0)</f>
        <v>27.1938</v>
      </c>
      <c r="F242" s="27">
        <f>27.1591 * CHOOSE(CONTROL!$C$15, $E$9, 100%, $G$9) + CHOOSE(CONTROL!$C$38, 0.0256, 0)</f>
        <v>27.184699999999999</v>
      </c>
      <c r="G242" s="10">
        <f>25.2058 * CHOOSE(CONTROL!$C$15, $E$9, 100%, $G$9) + CHOOSE(CONTROL!$C$38, 0.0347, 0)</f>
        <v>25.240500000000001</v>
      </c>
      <c r="H242" s="10">
        <f>25.2058 * CHOOSE(CONTROL!$C$15, $E$9, 100%, $G$9) + CHOOSE(CONTROL!$C$38, 0.0347, 0)</f>
        <v>25.240500000000001</v>
      </c>
      <c r="I242" s="10">
        <f>25.2073 * CHOOSE(CONTROL!$C$15, $E$9, 100%, $G$9) + CHOOSE(CONTROL!$C$38, 0.0347, 0)</f>
        <v>25.242000000000001</v>
      </c>
      <c r="J242" s="26">
        <f>160.7721</f>
        <v>160.77209999999999</v>
      </c>
    </row>
    <row r="243" spans="1:10" ht="15" x14ac:dyDescent="0.2">
      <c r="A243" s="16">
        <v>48670</v>
      </c>
      <c r="B243" s="10">
        <f>26.8202 * CHOOSE(CONTROL!$C$15, $E$9, 100%, $G$9) + CHOOSE(CONTROL!$C$38, 0.0256, 0)</f>
        <v>26.845800000000001</v>
      </c>
      <c r="C243" s="10">
        <f>24.7121 * CHOOSE(CONTROL!$C$15, $E$9, 100%, $G$9) + CHOOSE(CONTROL!$C$38, 0.0347, 0)</f>
        <v>24.7468</v>
      </c>
      <c r="D243" s="10">
        <f>24.7043 * CHOOSE(CONTROL!$C$15, $E$9, 100%, $G$9) + CHOOSE(CONTROL!$C$38, 0.0347, 0)</f>
        <v>24.739000000000001</v>
      </c>
      <c r="E243" s="28">
        <f>26.664 * CHOOSE(CONTROL!$C$15, $E$9, 100%, $G$9) + CHOOSE(CONTROL!$C$38, 0.0347, 0)</f>
        <v>26.698700000000002</v>
      </c>
      <c r="F243" s="27">
        <f>26.664 * CHOOSE(CONTROL!$C$15, $E$9, 100%, $G$9) + CHOOSE(CONTROL!$C$38, 0.0256, 0)</f>
        <v>26.689600000000002</v>
      </c>
      <c r="G243" s="10">
        <f>24.7106 * CHOOSE(CONTROL!$C$15, $E$9, 100%, $G$9) + CHOOSE(CONTROL!$C$38, 0.0347, 0)</f>
        <v>24.7453</v>
      </c>
      <c r="H243" s="10">
        <f>24.7106 * CHOOSE(CONTROL!$C$15, $E$9, 100%, $G$9) + CHOOSE(CONTROL!$C$38, 0.0347, 0)</f>
        <v>24.7453</v>
      </c>
      <c r="I243" s="10">
        <f>24.7121 * CHOOSE(CONTROL!$C$15, $E$9, 100%, $G$9) + CHOOSE(CONTROL!$C$38, 0.0347, 0)</f>
        <v>24.7468</v>
      </c>
      <c r="J243" s="26">
        <f>171.2103</f>
        <v>171.21029999999999</v>
      </c>
    </row>
    <row r="244" spans="1:10" ht="15" x14ac:dyDescent="0.2">
      <c r="A244" s="16">
        <v>48700</v>
      </c>
      <c r="B244" s="10">
        <f>26.3041 * CHOOSE(CONTROL!$C$15, $E$9, 100%, $G$9) + CHOOSE(CONTROL!$C$38, 0.0256, 0)</f>
        <v>26.329699999999999</v>
      </c>
      <c r="C244" s="10">
        <f>24.196 * CHOOSE(CONTROL!$C$15, $E$9, 100%, $G$9) + CHOOSE(CONTROL!$C$38, 0.0347, 0)</f>
        <v>24.230700000000002</v>
      </c>
      <c r="D244" s="10">
        <f>24.1882 * CHOOSE(CONTROL!$C$15, $E$9, 100%, $G$9) + CHOOSE(CONTROL!$C$38, 0.0347, 0)</f>
        <v>24.222899999999999</v>
      </c>
      <c r="E244" s="28">
        <f>26.1479 * CHOOSE(CONTROL!$C$15, $E$9, 100%, $G$9) + CHOOSE(CONTROL!$C$38, 0.0347, 0)</f>
        <v>26.182600000000001</v>
      </c>
      <c r="F244" s="27">
        <f>26.1479 * CHOOSE(CONTROL!$C$15, $E$9, 100%, $G$9) + CHOOSE(CONTROL!$C$38, 0.0256, 0)</f>
        <v>26.173500000000001</v>
      </c>
      <c r="G244" s="10">
        <f>24.1945 * CHOOSE(CONTROL!$C$15, $E$9, 100%, $G$9) + CHOOSE(CONTROL!$C$38, 0.0347, 0)</f>
        <v>24.229200000000002</v>
      </c>
      <c r="H244" s="10">
        <f>24.1945 * CHOOSE(CONTROL!$C$15, $E$9, 100%, $G$9) + CHOOSE(CONTROL!$C$38, 0.0347, 0)</f>
        <v>24.229200000000002</v>
      </c>
      <c r="I244" s="10">
        <f>24.196 * CHOOSE(CONTROL!$C$15, $E$9, 100%, $G$9) + CHOOSE(CONTROL!$C$38, 0.0347, 0)</f>
        <v>24.230700000000002</v>
      </c>
      <c r="J244" s="26">
        <f>176.9557</f>
        <v>176.95570000000001</v>
      </c>
    </row>
    <row r="245" spans="1:10" ht="15" x14ac:dyDescent="0.2">
      <c r="A245" s="16">
        <v>48731</v>
      </c>
      <c r="B245" s="10">
        <f>25.9423 * CHOOSE(CONTROL!$C$15, $E$9, 100%, $G$9) + CHOOSE(CONTROL!$C$38, 0.0256, 0)</f>
        <v>25.9679</v>
      </c>
      <c r="C245" s="10">
        <f>23.8342 * CHOOSE(CONTROL!$C$15, $E$9, 100%, $G$9) + CHOOSE(CONTROL!$C$38, 0.0347, 0)</f>
        <v>23.8689</v>
      </c>
      <c r="D245" s="10">
        <f>23.8264 * CHOOSE(CONTROL!$C$15, $E$9, 100%, $G$9) + CHOOSE(CONTROL!$C$38, 0.0347, 0)</f>
        <v>23.8611</v>
      </c>
      <c r="E245" s="28">
        <f>25.786 * CHOOSE(CONTROL!$C$15, $E$9, 100%, $G$9) + CHOOSE(CONTROL!$C$38, 0.0347, 0)</f>
        <v>25.820700000000002</v>
      </c>
      <c r="F245" s="27">
        <f>25.786 * CHOOSE(CONTROL!$C$15, $E$9, 100%, $G$9) + CHOOSE(CONTROL!$C$38, 0.0256, 0)</f>
        <v>25.811600000000002</v>
      </c>
      <c r="G245" s="10">
        <f>23.8326 * CHOOSE(CONTROL!$C$15, $E$9, 100%, $G$9) + CHOOSE(CONTROL!$C$38, 0.0347, 0)</f>
        <v>23.8673</v>
      </c>
      <c r="H245" s="10">
        <f>23.8326 * CHOOSE(CONTROL!$C$15, $E$9, 100%, $G$9) + CHOOSE(CONTROL!$C$38, 0.0347, 0)</f>
        <v>23.8673</v>
      </c>
      <c r="I245" s="10">
        <f>23.8342 * CHOOSE(CONTROL!$C$15, $E$9, 100%, $G$9) + CHOOSE(CONTROL!$C$38, 0.0347, 0)</f>
        <v>23.8689</v>
      </c>
      <c r="J245" s="26">
        <f>179.5055</f>
        <v>179.50550000000001</v>
      </c>
    </row>
    <row r="246" spans="1:10" ht="15" x14ac:dyDescent="0.2">
      <c r="A246" s="16">
        <v>48761</v>
      </c>
      <c r="B246" s="10">
        <f>25.7358 * CHOOSE(CONTROL!$C$15, $E$9, 100%, $G$9) + CHOOSE(CONTROL!$C$38, 0.0256, 0)</f>
        <v>25.761400000000002</v>
      </c>
      <c r="C246" s="10">
        <f>23.6277 * CHOOSE(CONTROL!$C$15, $E$9, 100%, $G$9) + CHOOSE(CONTROL!$C$38, 0.0347, 0)</f>
        <v>23.662400000000002</v>
      </c>
      <c r="D246" s="10">
        <f>23.6199 * CHOOSE(CONTROL!$C$15, $E$9, 100%, $G$9) + CHOOSE(CONTROL!$C$38, 0.0347, 0)</f>
        <v>23.654600000000002</v>
      </c>
      <c r="E246" s="28">
        <f>25.5795 * CHOOSE(CONTROL!$C$15, $E$9, 100%, $G$9) + CHOOSE(CONTROL!$C$38, 0.0347, 0)</f>
        <v>25.6142</v>
      </c>
      <c r="F246" s="27">
        <f>25.5795 * CHOOSE(CONTROL!$C$15, $E$9, 100%, $G$9) + CHOOSE(CONTROL!$C$38, 0.0256, 0)</f>
        <v>25.6051</v>
      </c>
      <c r="G246" s="10">
        <f>23.6261 * CHOOSE(CONTROL!$C$15, $E$9, 100%, $G$9) + CHOOSE(CONTROL!$C$38, 0.0347, 0)</f>
        <v>23.660800000000002</v>
      </c>
      <c r="H246" s="10">
        <f>23.6261 * CHOOSE(CONTROL!$C$15, $E$9, 100%, $G$9) + CHOOSE(CONTROL!$C$38, 0.0347, 0)</f>
        <v>23.660800000000002</v>
      </c>
      <c r="I246" s="10">
        <f>23.6277 * CHOOSE(CONTROL!$C$15, $E$9, 100%, $G$9) + CHOOSE(CONTROL!$C$38, 0.0347, 0)</f>
        <v>23.662400000000002</v>
      </c>
      <c r="J246" s="26">
        <f>178.666</f>
        <v>178.666</v>
      </c>
    </row>
    <row r="247" spans="1:10" ht="15" x14ac:dyDescent="0.2">
      <c r="A247" s="16">
        <v>48792</v>
      </c>
      <c r="B247" s="10">
        <f>25.8377 * CHOOSE(CONTROL!$C$15, $E$9, 100%, $G$9) + CHOOSE(CONTROL!$C$38, 0.0256, 0)</f>
        <v>25.863300000000002</v>
      </c>
      <c r="C247" s="10">
        <f>23.7296 * CHOOSE(CONTROL!$C$15, $E$9, 100%, $G$9) + CHOOSE(CONTROL!$C$38, 0.0347, 0)</f>
        <v>23.764300000000002</v>
      </c>
      <c r="D247" s="10">
        <f>23.7218 * CHOOSE(CONTROL!$C$15, $E$9, 100%, $G$9) + CHOOSE(CONTROL!$C$38, 0.0347, 0)</f>
        <v>23.756500000000003</v>
      </c>
      <c r="E247" s="28">
        <f>25.6814 * CHOOSE(CONTROL!$C$15, $E$9, 100%, $G$9) + CHOOSE(CONTROL!$C$38, 0.0347, 0)</f>
        <v>25.716100000000001</v>
      </c>
      <c r="F247" s="27">
        <f>25.6814 * CHOOSE(CONTROL!$C$15, $E$9, 100%, $G$9) + CHOOSE(CONTROL!$C$38, 0.0256, 0)</f>
        <v>25.707000000000001</v>
      </c>
      <c r="G247" s="10">
        <f>23.7281 * CHOOSE(CONTROL!$C$15, $E$9, 100%, $G$9) + CHOOSE(CONTROL!$C$38, 0.0347, 0)</f>
        <v>23.762800000000002</v>
      </c>
      <c r="H247" s="10">
        <f>23.7281 * CHOOSE(CONTROL!$C$15, $E$9, 100%, $G$9) + CHOOSE(CONTROL!$C$38, 0.0347, 0)</f>
        <v>23.762800000000002</v>
      </c>
      <c r="I247" s="10">
        <f>23.7296 * CHOOSE(CONTROL!$C$15, $E$9, 100%, $G$9) + CHOOSE(CONTROL!$C$38, 0.0347, 0)</f>
        <v>23.764300000000002</v>
      </c>
      <c r="J247" s="26">
        <f>174.5067</f>
        <v>174.5067</v>
      </c>
    </row>
    <row r="248" spans="1:10" ht="15" x14ac:dyDescent="0.2">
      <c r="A248" s="16">
        <v>48823</v>
      </c>
      <c r="B248" s="10">
        <f>26.1145 * CHOOSE(CONTROL!$C$15, $E$9, 100%, $G$9) + CHOOSE(CONTROL!$C$38, 0.0256, 0)</f>
        <v>26.1401</v>
      </c>
      <c r="C248" s="10">
        <f>24.0064 * CHOOSE(CONTROL!$C$15, $E$9, 100%, $G$9) + CHOOSE(CONTROL!$C$38, 0.0347, 0)</f>
        <v>24.0411</v>
      </c>
      <c r="D248" s="10">
        <f>23.9986 * CHOOSE(CONTROL!$C$15, $E$9, 100%, $G$9) + CHOOSE(CONTROL!$C$38, 0.0347, 0)</f>
        <v>24.033300000000001</v>
      </c>
      <c r="E248" s="28">
        <f>25.9582 * CHOOSE(CONTROL!$C$15, $E$9, 100%, $G$9) + CHOOSE(CONTROL!$C$38, 0.0347, 0)</f>
        <v>25.992900000000002</v>
      </c>
      <c r="F248" s="27">
        <f>25.9582 * CHOOSE(CONTROL!$C$15, $E$9, 100%, $G$9) + CHOOSE(CONTROL!$C$38, 0.0256, 0)</f>
        <v>25.983800000000002</v>
      </c>
      <c r="G248" s="10">
        <f>24.0049 * CHOOSE(CONTROL!$C$15, $E$9, 100%, $G$9) + CHOOSE(CONTROL!$C$38, 0.0347, 0)</f>
        <v>24.0396</v>
      </c>
      <c r="H248" s="10">
        <f>24.0049 * CHOOSE(CONTROL!$C$15, $E$9, 100%, $G$9) + CHOOSE(CONTROL!$C$38, 0.0347, 0)</f>
        <v>24.0396</v>
      </c>
      <c r="I248" s="10">
        <f>24.0064 * CHOOSE(CONTROL!$C$15, $E$9, 100%, $G$9) + CHOOSE(CONTROL!$C$38, 0.0347, 0)</f>
        <v>24.0411</v>
      </c>
      <c r="J248" s="26">
        <f>168.7064</f>
        <v>168.7064</v>
      </c>
    </row>
    <row r="249" spans="1:10" ht="15" x14ac:dyDescent="0.2">
      <c r="A249" s="16">
        <v>48853</v>
      </c>
      <c r="B249" s="10">
        <f>26.3463 * CHOOSE(CONTROL!$C$15, $E$9, 100%, $G$9) + CHOOSE(CONTROL!$C$38, 0.0256, 0)</f>
        <v>26.3719</v>
      </c>
      <c r="C249" s="10">
        <f>24.2382 * CHOOSE(CONTROL!$C$15, $E$9, 100%, $G$9) + CHOOSE(CONTROL!$C$38, 0.0347, 0)</f>
        <v>24.2729</v>
      </c>
      <c r="D249" s="10">
        <f>24.2304 * CHOOSE(CONTROL!$C$15, $E$9, 100%, $G$9) + CHOOSE(CONTROL!$C$38, 0.0347, 0)</f>
        <v>24.2651</v>
      </c>
      <c r="E249" s="28">
        <f>26.1901 * CHOOSE(CONTROL!$C$15, $E$9, 100%, $G$9) + CHOOSE(CONTROL!$C$38, 0.0347, 0)</f>
        <v>26.224800000000002</v>
      </c>
      <c r="F249" s="27">
        <f>26.1901 * CHOOSE(CONTROL!$C$15, $E$9, 100%, $G$9) + CHOOSE(CONTROL!$C$38, 0.0256, 0)</f>
        <v>26.215700000000002</v>
      </c>
      <c r="G249" s="10">
        <f>24.2367 * CHOOSE(CONTROL!$C$15, $E$9, 100%, $G$9) + CHOOSE(CONTROL!$C$38, 0.0347, 0)</f>
        <v>24.2714</v>
      </c>
      <c r="H249" s="10">
        <f>24.2367 * CHOOSE(CONTROL!$C$15, $E$9, 100%, $G$9) + CHOOSE(CONTROL!$C$38, 0.0347, 0)</f>
        <v>24.2714</v>
      </c>
      <c r="I249" s="10">
        <f>24.2382 * CHOOSE(CONTROL!$C$15, $E$9, 100%, $G$9) + CHOOSE(CONTROL!$C$38, 0.0347, 0)</f>
        <v>24.2729</v>
      </c>
      <c r="J249" s="26">
        <f>162.8724</f>
        <v>162.8724</v>
      </c>
    </row>
    <row r="250" spans="1:10" ht="15" x14ac:dyDescent="0.2">
      <c r="A250" s="16">
        <v>48884</v>
      </c>
      <c r="B250" s="10">
        <f>26.5397 * CHOOSE(CONTROL!$C$15, $E$9, 100%, $G$9) + CHOOSE(CONTROL!$C$38, 0.0256, 0)</f>
        <v>26.565300000000001</v>
      </c>
      <c r="C250" s="10">
        <f>24.4317 * CHOOSE(CONTROL!$C$15, $E$9, 100%, $G$9) + CHOOSE(CONTROL!$C$38, 0.0347, 0)</f>
        <v>24.4664</v>
      </c>
      <c r="D250" s="10">
        <f>24.4239 * CHOOSE(CONTROL!$C$15, $E$9, 100%, $G$9) + CHOOSE(CONTROL!$C$38, 0.0347, 0)</f>
        <v>24.458600000000001</v>
      </c>
      <c r="E250" s="28">
        <f>26.3835 * CHOOSE(CONTROL!$C$15, $E$9, 100%, $G$9) + CHOOSE(CONTROL!$C$38, 0.0347, 0)</f>
        <v>26.418200000000002</v>
      </c>
      <c r="F250" s="27">
        <f>26.3835 * CHOOSE(CONTROL!$C$15, $E$9, 100%, $G$9) + CHOOSE(CONTROL!$C$38, 0.0256, 0)</f>
        <v>26.409100000000002</v>
      </c>
      <c r="G250" s="10">
        <f>24.4301 * CHOOSE(CONTROL!$C$15, $E$9, 100%, $G$9) + CHOOSE(CONTROL!$C$38, 0.0347, 0)</f>
        <v>24.4648</v>
      </c>
      <c r="H250" s="10">
        <f>24.4301 * CHOOSE(CONTROL!$C$15, $E$9, 100%, $G$9) + CHOOSE(CONTROL!$C$38, 0.0347, 0)</f>
        <v>24.4648</v>
      </c>
      <c r="I250" s="10">
        <f>24.4317 * CHOOSE(CONTROL!$C$15, $E$9, 100%, $G$9) + CHOOSE(CONTROL!$C$38, 0.0347, 0)</f>
        <v>24.4664</v>
      </c>
      <c r="J250" s="26">
        <f>161.7119</f>
        <v>161.71190000000001</v>
      </c>
    </row>
    <row r="251" spans="1:10" ht="15" x14ac:dyDescent="0.2">
      <c r="A251" s="16">
        <v>48914</v>
      </c>
      <c r="B251" s="10">
        <f>27.1358 * CHOOSE(CONTROL!$C$15, $E$9, 100%, $G$9) + CHOOSE(CONTROL!$C$38, 0.0256, 0)</f>
        <v>27.1614</v>
      </c>
      <c r="C251" s="10">
        <f>25.0277 * CHOOSE(CONTROL!$C$15, $E$9, 100%, $G$9) + CHOOSE(CONTROL!$C$38, 0.0347, 0)</f>
        <v>25.0624</v>
      </c>
      <c r="D251" s="10">
        <f>25.0199 * CHOOSE(CONTROL!$C$15, $E$9, 100%, $G$9) + CHOOSE(CONTROL!$C$38, 0.0347, 0)</f>
        <v>25.054600000000001</v>
      </c>
      <c r="E251" s="28">
        <f>26.9796 * CHOOSE(CONTROL!$C$15, $E$9, 100%, $G$9) + CHOOSE(CONTROL!$C$38, 0.0347, 0)</f>
        <v>27.014300000000002</v>
      </c>
      <c r="F251" s="27">
        <f>26.9796 * CHOOSE(CONTROL!$C$15, $E$9, 100%, $G$9) + CHOOSE(CONTROL!$C$38, 0.0256, 0)</f>
        <v>27.005200000000002</v>
      </c>
      <c r="G251" s="10">
        <f>25.0262 * CHOOSE(CONTROL!$C$15, $E$9, 100%, $G$9) + CHOOSE(CONTROL!$C$38, 0.0347, 0)</f>
        <v>25.0609</v>
      </c>
      <c r="H251" s="10">
        <f>25.0262 * CHOOSE(CONTROL!$C$15, $E$9, 100%, $G$9) + CHOOSE(CONTROL!$C$38, 0.0347, 0)</f>
        <v>25.0609</v>
      </c>
      <c r="I251" s="10">
        <f>25.0277 * CHOOSE(CONTROL!$C$15, $E$9, 100%, $G$9) + CHOOSE(CONTROL!$C$38, 0.0347, 0)</f>
        <v>25.0624</v>
      </c>
      <c r="J251" s="26">
        <f>156.9131</f>
        <v>156.91309999999999</v>
      </c>
    </row>
    <row r="252" spans="1:10" ht="15" x14ac:dyDescent="0.2">
      <c r="A252" s="16">
        <v>48945</v>
      </c>
      <c r="B252" s="10">
        <f>28.0652 * CHOOSE(CONTROL!$C$15, $E$9, 100%, $G$9) + CHOOSE(CONTROL!$C$38, 0.0256, 0)</f>
        <v>28.090800000000002</v>
      </c>
      <c r="C252" s="10">
        <f>25.9227 * CHOOSE(CONTROL!$C$15, $E$9, 100%, $G$9) + CHOOSE(CONTROL!$C$38, 0.0347, 0)</f>
        <v>25.9574</v>
      </c>
      <c r="D252" s="10">
        <f>25.9148 * CHOOSE(CONTROL!$C$15, $E$9, 100%, $G$9) + CHOOSE(CONTROL!$C$38, 0.0347, 0)</f>
        <v>25.9495</v>
      </c>
      <c r="E252" s="28">
        <f>27.909 * CHOOSE(CONTROL!$C$15, $E$9, 100%, $G$9) + CHOOSE(CONTROL!$C$38, 0.0347, 0)</f>
        <v>27.9437</v>
      </c>
      <c r="F252" s="27">
        <f>27.909 * CHOOSE(CONTROL!$C$15, $E$9, 100%, $G$9) + CHOOSE(CONTROL!$C$38, 0.0256, 0)</f>
        <v>27.9346</v>
      </c>
      <c r="G252" s="10">
        <f>25.9211 * CHOOSE(CONTROL!$C$15, $E$9, 100%, $G$9) + CHOOSE(CONTROL!$C$38, 0.0347, 0)</f>
        <v>25.9558</v>
      </c>
      <c r="H252" s="10">
        <f>25.9211 * CHOOSE(CONTROL!$C$15, $E$9, 100%, $G$9) + CHOOSE(CONTROL!$C$38, 0.0347, 0)</f>
        <v>25.9558</v>
      </c>
      <c r="I252" s="10">
        <f>25.9227 * CHOOSE(CONTROL!$C$15, $E$9, 100%, $G$9) + CHOOSE(CONTROL!$C$38, 0.0347, 0)</f>
        <v>25.9574</v>
      </c>
      <c r="J252" s="26">
        <f>155.862</f>
        <v>155.86199999999999</v>
      </c>
    </row>
    <row r="253" spans="1:10" ht="15" x14ac:dyDescent="0.2">
      <c r="A253" s="16">
        <v>48976</v>
      </c>
      <c r="B253" s="10">
        <f>28.286 * CHOOSE(CONTROL!$C$15, $E$9, 100%, $G$9) + CHOOSE(CONTROL!$C$38, 0.0256, 0)</f>
        <v>28.311600000000002</v>
      </c>
      <c r="C253" s="10">
        <f>26.1434 * CHOOSE(CONTROL!$C$15, $E$9, 100%, $G$9) + CHOOSE(CONTROL!$C$38, 0.0347, 0)</f>
        <v>26.178100000000001</v>
      </c>
      <c r="D253" s="10">
        <f>26.1356 * CHOOSE(CONTROL!$C$15, $E$9, 100%, $G$9) + CHOOSE(CONTROL!$C$38, 0.0347, 0)</f>
        <v>26.170300000000001</v>
      </c>
      <c r="E253" s="28">
        <f>28.1297 * CHOOSE(CONTROL!$C$15, $E$9, 100%, $G$9) + CHOOSE(CONTROL!$C$38, 0.0347, 0)</f>
        <v>28.164400000000001</v>
      </c>
      <c r="F253" s="27">
        <f>28.1297 * CHOOSE(CONTROL!$C$15, $E$9, 100%, $G$9) + CHOOSE(CONTROL!$C$38, 0.0256, 0)</f>
        <v>28.1553</v>
      </c>
      <c r="G253" s="10">
        <f>26.1419 * CHOOSE(CONTROL!$C$15, $E$9, 100%, $G$9) + CHOOSE(CONTROL!$C$38, 0.0347, 0)</f>
        <v>26.176600000000001</v>
      </c>
      <c r="H253" s="10">
        <f>26.1419 * CHOOSE(CONTROL!$C$15, $E$9, 100%, $G$9) + CHOOSE(CONTROL!$C$38, 0.0347, 0)</f>
        <v>26.176600000000001</v>
      </c>
      <c r="I253" s="10">
        <f>26.1434 * CHOOSE(CONTROL!$C$15, $E$9, 100%, $G$9) + CHOOSE(CONTROL!$C$38, 0.0347, 0)</f>
        <v>26.178100000000001</v>
      </c>
      <c r="J253" s="26">
        <f>155.4287</f>
        <v>155.42869999999999</v>
      </c>
    </row>
    <row r="254" spans="1:10" ht="15" x14ac:dyDescent="0.2">
      <c r="A254" s="16">
        <v>49004</v>
      </c>
      <c r="B254" s="10">
        <f>27.7749 * CHOOSE(CONTROL!$C$15, $E$9, 100%, $G$9) + CHOOSE(CONTROL!$C$38, 0.0256, 0)</f>
        <v>27.8005</v>
      </c>
      <c r="C254" s="10">
        <f>25.6324 * CHOOSE(CONTROL!$C$15, $E$9, 100%, $G$9) + CHOOSE(CONTROL!$C$38, 0.0347, 0)</f>
        <v>25.667100000000001</v>
      </c>
      <c r="D254" s="10">
        <f>25.6246 * CHOOSE(CONTROL!$C$15, $E$9, 100%, $G$9) + CHOOSE(CONTROL!$C$38, 0.0347, 0)</f>
        <v>25.659300000000002</v>
      </c>
      <c r="E254" s="28">
        <f>27.6187 * CHOOSE(CONTROL!$C$15, $E$9, 100%, $G$9) + CHOOSE(CONTROL!$C$38, 0.0347, 0)</f>
        <v>27.653400000000001</v>
      </c>
      <c r="F254" s="27">
        <f>27.6187 * CHOOSE(CONTROL!$C$15, $E$9, 100%, $G$9) + CHOOSE(CONTROL!$C$38, 0.0256, 0)</f>
        <v>27.644300000000001</v>
      </c>
      <c r="G254" s="10">
        <f>25.6308 * CHOOSE(CONTROL!$C$15, $E$9, 100%, $G$9) + CHOOSE(CONTROL!$C$38, 0.0347, 0)</f>
        <v>25.665500000000002</v>
      </c>
      <c r="H254" s="10">
        <f>25.6308 * CHOOSE(CONTROL!$C$15, $E$9, 100%, $G$9) + CHOOSE(CONTROL!$C$38, 0.0347, 0)</f>
        <v>25.665500000000002</v>
      </c>
      <c r="I254" s="10">
        <f>25.6324 * CHOOSE(CONTROL!$C$15, $E$9, 100%, $G$9) + CHOOSE(CONTROL!$C$38, 0.0347, 0)</f>
        <v>25.667100000000001</v>
      </c>
      <c r="J254" s="26">
        <f>163.6207</f>
        <v>163.6207</v>
      </c>
    </row>
    <row r="255" spans="1:10" ht="15" x14ac:dyDescent="0.2">
      <c r="A255" s="16">
        <v>49035</v>
      </c>
      <c r="B255" s="10">
        <f>27.2798 * CHOOSE(CONTROL!$C$15, $E$9, 100%, $G$9) + CHOOSE(CONTROL!$C$38, 0.0256, 0)</f>
        <v>27.305400000000002</v>
      </c>
      <c r="C255" s="10">
        <f>25.1372 * CHOOSE(CONTROL!$C$15, $E$9, 100%, $G$9) + CHOOSE(CONTROL!$C$38, 0.0347, 0)</f>
        <v>25.171900000000001</v>
      </c>
      <c r="D255" s="10">
        <f>25.1294 * CHOOSE(CONTROL!$C$15, $E$9, 100%, $G$9) + CHOOSE(CONTROL!$C$38, 0.0347, 0)</f>
        <v>25.164100000000001</v>
      </c>
      <c r="E255" s="28">
        <f>27.1235 * CHOOSE(CONTROL!$C$15, $E$9, 100%, $G$9) + CHOOSE(CONTROL!$C$38, 0.0347, 0)</f>
        <v>27.158200000000001</v>
      </c>
      <c r="F255" s="27">
        <f>27.1235 * CHOOSE(CONTROL!$C$15, $E$9, 100%, $G$9) + CHOOSE(CONTROL!$C$38, 0.0256, 0)</f>
        <v>27.149100000000001</v>
      </c>
      <c r="G255" s="10">
        <f>25.1356 * CHOOSE(CONTROL!$C$15, $E$9, 100%, $G$9) + CHOOSE(CONTROL!$C$38, 0.0347, 0)</f>
        <v>25.170300000000001</v>
      </c>
      <c r="H255" s="10">
        <f>25.1356 * CHOOSE(CONTROL!$C$15, $E$9, 100%, $G$9) + CHOOSE(CONTROL!$C$38, 0.0347, 0)</f>
        <v>25.170300000000001</v>
      </c>
      <c r="I255" s="10">
        <f>25.1372 * CHOOSE(CONTROL!$C$15, $E$9, 100%, $G$9) + CHOOSE(CONTROL!$C$38, 0.0347, 0)</f>
        <v>25.171900000000001</v>
      </c>
      <c r="J255" s="26">
        <f>174.2438</f>
        <v>174.24379999999999</v>
      </c>
    </row>
    <row r="256" spans="1:10" ht="15" x14ac:dyDescent="0.2">
      <c r="A256" s="16">
        <v>49065</v>
      </c>
      <c r="B256" s="10">
        <f>26.7636 * CHOOSE(CONTROL!$C$15, $E$9, 100%, $G$9) + CHOOSE(CONTROL!$C$38, 0.0256, 0)</f>
        <v>26.789200000000001</v>
      </c>
      <c r="C256" s="10">
        <f>24.6211 * CHOOSE(CONTROL!$C$15, $E$9, 100%, $G$9) + CHOOSE(CONTROL!$C$38, 0.0347, 0)</f>
        <v>24.655799999999999</v>
      </c>
      <c r="D256" s="10">
        <f>24.6133 * CHOOSE(CONTROL!$C$15, $E$9, 100%, $G$9) + CHOOSE(CONTROL!$C$38, 0.0347, 0)</f>
        <v>24.648</v>
      </c>
      <c r="E256" s="28">
        <f>26.6074 * CHOOSE(CONTROL!$C$15, $E$9, 100%, $G$9) + CHOOSE(CONTROL!$C$38, 0.0347, 0)</f>
        <v>26.642099999999999</v>
      </c>
      <c r="F256" s="27">
        <f>26.6074 * CHOOSE(CONTROL!$C$15, $E$9, 100%, $G$9) + CHOOSE(CONTROL!$C$38, 0.0256, 0)</f>
        <v>26.632999999999999</v>
      </c>
      <c r="G256" s="10">
        <f>24.6195 * CHOOSE(CONTROL!$C$15, $E$9, 100%, $G$9) + CHOOSE(CONTROL!$C$38, 0.0347, 0)</f>
        <v>24.654199999999999</v>
      </c>
      <c r="H256" s="10">
        <f>24.6195 * CHOOSE(CONTROL!$C$15, $E$9, 100%, $G$9) + CHOOSE(CONTROL!$C$38, 0.0347, 0)</f>
        <v>24.654199999999999</v>
      </c>
      <c r="I256" s="10">
        <f>24.6211 * CHOOSE(CONTROL!$C$15, $E$9, 100%, $G$9) + CHOOSE(CONTROL!$C$38, 0.0347, 0)</f>
        <v>24.655799999999999</v>
      </c>
      <c r="J256" s="26">
        <f>180.0911</f>
        <v>180.09110000000001</v>
      </c>
    </row>
    <row r="257" spans="1:10" ht="15" x14ac:dyDescent="0.2">
      <c r="A257" s="16">
        <v>49096</v>
      </c>
      <c r="B257" s="10">
        <f>26.4018 * CHOOSE(CONTROL!$C$15, $E$9, 100%, $G$9) + CHOOSE(CONTROL!$C$38, 0.0256, 0)</f>
        <v>26.427400000000002</v>
      </c>
      <c r="C257" s="10">
        <f>24.2593 * CHOOSE(CONTROL!$C$15, $E$9, 100%, $G$9) + CHOOSE(CONTROL!$C$38, 0.0347, 0)</f>
        <v>24.294</v>
      </c>
      <c r="D257" s="10">
        <f>24.2514 * CHOOSE(CONTROL!$C$15, $E$9, 100%, $G$9) + CHOOSE(CONTROL!$C$38, 0.0347, 0)</f>
        <v>24.286100000000001</v>
      </c>
      <c r="E257" s="28">
        <f>26.2456 * CHOOSE(CONTROL!$C$15, $E$9, 100%, $G$9) + CHOOSE(CONTROL!$C$38, 0.0347, 0)</f>
        <v>26.2803</v>
      </c>
      <c r="F257" s="27">
        <f>26.2456 * CHOOSE(CONTROL!$C$15, $E$9, 100%, $G$9) + CHOOSE(CONTROL!$C$38, 0.0256, 0)</f>
        <v>26.2712</v>
      </c>
      <c r="G257" s="10">
        <f>24.2577 * CHOOSE(CONTROL!$C$15, $E$9, 100%, $G$9) + CHOOSE(CONTROL!$C$38, 0.0347, 0)</f>
        <v>24.292400000000001</v>
      </c>
      <c r="H257" s="10">
        <f>24.2577 * CHOOSE(CONTROL!$C$15, $E$9, 100%, $G$9) + CHOOSE(CONTROL!$C$38, 0.0347, 0)</f>
        <v>24.292400000000001</v>
      </c>
      <c r="I257" s="10">
        <f>24.2593 * CHOOSE(CONTROL!$C$15, $E$9, 100%, $G$9) + CHOOSE(CONTROL!$C$38, 0.0347, 0)</f>
        <v>24.294</v>
      </c>
      <c r="J257" s="26">
        <f>182.686</f>
        <v>182.68600000000001</v>
      </c>
    </row>
    <row r="258" spans="1:10" ht="15" x14ac:dyDescent="0.2">
      <c r="A258" s="16">
        <v>49126</v>
      </c>
      <c r="B258" s="10">
        <f>26.1953 * CHOOSE(CONTROL!$C$15, $E$9, 100%, $G$9) + CHOOSE(CONTROL!$C$38, 0.0256, 0)</f>
        <v>26.2209</v>
      </c>
      <c r="C258" s="10">
        <f>24.0528 * CHOOSE(CONTROL!$C$15, $E$9, 100%, $G$9) + CHOOSE(CONTROL!$C$38, 0.0347, 0)</f>
        <v>24.087500000000002</v>
      </c>
      <c r="D258" s="10">
        <f>24.045 * CHOOSE(CONTROL!$C$15, $E$9, 100%, $G$9) + CHOOSE(CONTROL!$C$38, 0.0347, 0)</f>
        <v>24.079700000000003</v>
      </c>
      <c r="E258" s="28">
        <f>26.0391 * CHOOSE(CONTROL!$C$15, $E$9, 100%, $G$9) + CHOOSE(CONTROL!$C$38, 0.0347, 0)</f>
        <v>26.073800000000002</v>
      </c>
      <c r="F258" s="27">
        <f>26.0391 * CHOOSE(CONTROL!$C$15, $E$9, 100%, $G$9) + CHOOSE(CONTROL!$C$38, 0.0256, 0)</f>
        <v>26.064700000000002</v>
      </c>
      <c r="G258" s="10">
        <f>24.0512 * CHOOSE(CONTROL!$C$15, $E$9, 100%, $G$9) + CHOOSE(CONTROL!$C$38, 0.0347, 0)</f>
        <v>24.085900000000002</v>
      </c>
      <c r="H258" s="10">
        <f>24.0512 * CHOOSE(CONTROL!$C$15, $E$9, 100%, $G$9) + CHOOSE(CONTROL!$C$38, 0.0347, 0)</f>
        <v>24.085900000000002</v>
      </c>
      <c r="I258" s="10">
        <f>24.0528 * CHOOSE(CONTROL!$C$15, $E$9, 100%, $G$9) + CHOOSE(CONTROL!$C$38, 0.0347, 0)</f>
        <v>24.087500000000002</v>
      </c>
      <c r="J258" s="26">
        <f>181.8316</f>
        <v>181.83160000000001</v>
      </c>
    </row>
    <row r="259" spans="1:10" ht="15" x14ac:dyDescent="0.2">
      <c r="A259" s="16">
        <v>49157</v>
      </c>
      <c r="B259" s="10">
        <f>26.2972 * CHOOSE(CONTROL!$C$15, $E$9, 100%, $G$9) + CHOOSE(CONTROL!$C$38, 0.0256, 0)</f>
        <v>26.322800000000001</v>
      </c>
      <c r="C259" s="10">
        <f>24.1547 * CHOOSE(CONTROL!$C$15, $E$9, 100%, $G$9) + CHOOSE(CONTROL!$C$38, 0.0347, 0)</f>
        <v>24.189399999999999</v>
      </c>
      <c r="D259" s="10">
        <f>24.1469 * CHOOSE(CONTROL!$C$15, $E$9, 100%, $G$9) + CHOOSE(CONTROL!$C$38, 0.0347, 0)</f>
        <v>24.1816</v>
      </c>
      <c r="E259" s="28">
        <f>26.141 * CHOOSE(CONTROL!$C$15, $E$9, 100%, $G$9) + CHOOSE(CONTROL!$C$38, 0.0347, 0)</f>
        <v>26.175699999999999</v>
      </c>
      <c r="F259" s="27">
        <f>26.141 * CHOOSE(CONTROL!$C$15, $E$9, 100%, $G$9) + CHOOSE(CONTROL!$C$38, 0.0256, 0)</f>
        <v>26.166599999999999</v>
      </c>
      <c r="G259" s="10">
        <f>24.1531 * CHOOSE(CONTROL!$C$15, $E$9, 100%, $G$9) + CHOOSE(CONTROL!$C$38, 0.0347, 0)</f>
        <v>24.187799999999999</v>
      </c>
      <c r="H259" s="10">
        <f>24.1531 * CHOOSE(CONTROL!$C$15, $E$9, 100%, $G$9) + CHOOSE(CONTROL!$C$38, 0.0347, 0)</f>
        <v>24.187799999999999</v>
      </c>
      <c r="I259" s="10">
        <f>24.1547 * CHOOSE(CONTROL!$C$15, $E$9, 100%, $G$9) + CHOOSE(CONTROL!$C$38, 0.0347, 0)</f>
        <v>24.189399999999999</v>
      </c>
      <c r="J259" s="26">
        <f>177.5986</f>
        <v>177.5986</v>
      </c>
    </row>
    <row r="260" spans="1:10" ht="15" x14ac:dyDescent="0.2">
      <c r="A260" s="16">
        <v>49188</v>
      </c>
      <c r="B260" s="10">
        <f>26.574 * CHOOSE(CONTROL!$C$15, $E$9, 100%, $G$9) + CHOOSE(CONTROL!$C$38, 0.0256, 0)</f>
        <v>26.599600000000002</v>
      </c>
      <c r="C260" s="10">
        <f>24.4315 * CHOOSE(CONTROL!$C$15, $E$9, 100%, $G$9) + CHOOSE(CONTROL!$C$38, 0.0347, 0)</f>
        <v>24.466200000000001</v>
      </c>
      <c r="D260" s="10">
        <f>24.4237 * CHOOSE(CONTROL!$C$15, $E$9, 100%, $G$9) + CHOOSE(CONTROL!$C$38, 0.0347, 0)</f>
        <v>24.458400000000001</v>
      </c>
      <c r="E260" s="28">
        <f>26.4178 * CHOOSE(CONTROL!$C$15, $E$9, 100%, $G$9) + CHOOSE(CONTROL!$C$38, 0.0347, 0)</f>
        <v>26.452500000000001</v>
      </c>
      <c r="F260" s="27">
        <f>26.4178 * CHOOSE(CONTROL!$C$15, $E$9, 100%, $G$9) + CHOOSE(CONTROL!$C$38, 0.0256, 0)</f>
        <v>26.4434</v>
      </c>
      <c r="G260" s="10">
        <f>24.4299 * CHOOSE(CONTROL!$C$15, $E$9, 100%, $G$9) + CHOOSE(CONTROL!$C$38, 0.0347, 0)</f>
        <v>24.464600000000001</v>
      </c>
      <c r="H260" s="10">
        <f>24.4299 * CHOOSE(CONTROL!$C$15, $E$9, 100%, $G$9) + CHOOSE(CONTROL!$C$38, 0.0347, 0)</f>
        <v>24.464600000000001</v>
      </c>
      <c r="I260" s="10">
        <f>24.4315 * CHOOSE(CONTROL!$C$15, $E$9, 100%, $G$9) + CHOOSE(CONTROL!$C$38, 0.0347, 0)</f>
        <v>24.466200000000001</v>
      </c>
      <c r="J260" s="26">
        <f>171.6956</f>
        <v>171.69560000000001</v>
      </c>
    </row>
    <row r="261" spans="1:10" ht="15" x14ac:dyDescent="0.2">
      <c r="A261" s="16">
        <v>49218</v>
      </c>
      <c r="B261" s="10">
        <f>26.8059 * CHOOSE(CONTROL!$C$15, $E$9, 100%, $G$9) + CHOOSE(CONTROL!$C$38, 0.0256, 0)</f>
        <v>26.831500000000002</v>
      </c>
      <c r="C261" s="10">
        <f>24.6633 * CHOOSE(CONTROL!$C$15, $E$9, 100%, $G$9) + CHOOSE(CONTROL!$C$38, 0.0347, 0)</f>
        <v>24.698</v>
      </c>
      <c r="D261" s="10">
        <f>24.6555 * CHOOSE(CONTROL!$C$15, $E$9, 100%, $G$9) + CHOOSE(CONTROL!$C$38, 0.0347, 0)</f>
        <v>24.690200000000001</v>
      </c>
      <c r="E261" s="28">
        <f>26.6496 * CHOOSE(CONTROL!$C$15, $E$9, 100%, $G$9) + CHOOSE(CONTROL!$C$38, 0.0347, 0)</f>
        <v>26.6843</v>
      </c>
      <c r="F261" s="27">
        <f>26.6496 * CHOOSE(CONTROL!$C$15, $E$9, 100%, $G$9) + CHOOSE(CONTROL!$C$38, 0.0256, 0)</f>
        <v>26.6752</v>
      </c>
      <c r="G261" s="10">
        <f>24.6617 * CHOOSE(CONTROL!$C$15, $E$9, 100%, $G$9) + CHOOSE(CONTROL!$C$38, 0.0347, 0)</f>
        <v>24.696400000000001</v>
      </c>
      <c r="H261" s="10">
        <f>24.6617 * CHOOSE(CONTROL!$C$15, $E$9, 100%, $G$9) + CHOOSE(CONTROL!$C$38, 0.0347, 0)</f>
        <v>24.696400000000001</v>
      </c>
      <c r="I261" s="10">
        <f>24.6633 * CHOOSE(CONTROL!$C$15, $E$9, 100%, $G$9) + CHOOSE(CONTROL!$C$38, 0.0347, 0)</f>
        <v>24.698</v>
      </c>
      <c r="J261" s="26">
        <f>165.7582</f>
        <v>165.75819999999999</v>
      </c>
    </row>
    <row r="262" spans="1:10" ht="15" x14ac:dyDescent="0.2">
      <c r="A262" s="16">
        <v>49249</v>
      </c>
      <c r="B262" s="10">
        <f>26.9993 * CHOOSE(CONTROL!$C$15, $E$9, 100%, $G$9) + CHOOSE(CONTROL!$C$38, 0.0256, 0)</f>
        <v>27.024900000000002</v>
      </c>
      <c r="C262" s="10">
        <f>24.8567 * CHOOSE(CONTROL!$C$15, $E$9, 100%, $G$9) + CHOOSE(CONTROL!$C$38, 0.0347, 0)</f>
        <v>24.891400000000001</v>
      </c>
      <c r="D262" s="10">
        <f>24.8489 * CHOOSE(CONTROL!$C$15, $E$9, 100%, $G$9) + CHOOSE(CONTROL!$C$38, 0.0347, 0)</f>
        <v>24.883600000000001</v>
      </c>
      <c r="E262" s="28">
        <f>26.843 * CHOOSE(CONTROL!$C$15, $E$9, 100%, $G$9) + CHOOSE(CONTROL!$C$38, 0.0347, 0)</f>
        <v>26.877700000000001</v>
      </c>
      <c r="F262" s="27">
        <f>26.843 * CHOOSE(CONTROL!$C$15, $E$9, 100%, $G$9) + CHOOSE(CONTROL!$C$38, 0.0256, 0)</f>
        <v>26.868600000000001</v>
      </c>
      <c r="G262" s="10">
        <f>24.8552 * CHOOSE(CONTROL!$C$15, $E$9, 100%, $G$9) + CHOOSE(CONTROL!$C$38, 0.0347, 0)</f>
        <v>24.889900000000001</v>
      </c>
      <c r="H262" s="10">
        <f>24.8552 * CHOOSE(CONTROL!$C$15, $E$9, 100%, $G$9) + CHOOSE(CONTROL!$C$38, 0.0347, 0)</f>
        <v>24.889900000000001</v>
      </c>
      <c r="I262" s="10">
        <f>24.8567 * CHOOSE(CONTROL!$C$15, $E$9, 100%, $G$9) + CHOOSE(CONTROL!$C$38, 0.0347, 0)</f>
        <v>24.891400000000001</v>
      </c>
      <c r="J262" s="26">
        <f>164.5771</f>
        <v>164.5771</v>
      </c>
    </row>
    <row r="263" spans="1:10" ht="15" x14ac:dyDescent="0.2">
      <c r="A263" s="16">
        <v>49279</v>
      </c>
      <c r="B263" s="10">
        <f>27.5954 * CHOOSE(CONTROL!$C$15, $E$9, 100%, $G$9) + CHOOSE(CONTROL!$C$38, 0.0256, 0)</f>
        <v>27.621000000000002</v>
      </c>
      <c r="C263" s="10">
        <f>25.4528 * CHOOSE(CONTROL!$C$15, $E$9, 100%, $G$9) + CHOOSE(CONTROL!$C$38, 0.0347, 0)</f>
        <v>25.487500000000001</v>
      </c>
      <c r="D263" s="10">
        <f>25.445 * CHOOSE(CONTROL!$C$15, $E$9, 100%, $G$9) + CHOOSE(CONTROL!$C$38, 0.0347, 0)</f>
        <v>25.479700000000001</v>
      </c>
      <c r="E263" s="28">
        <f>27.4391 * CHOOSE(CONTROL!$C$15, $E$9, 100%, $G$9) + CHOOSE(CONTROL!$C$38, 0.0347, 0)</f>
        <v>27.473800000000001</v>
      </c>
      <c r="F263" s="27">
        <f>27.4391 * CHOOSE(CONTROL!$C$15, $E$9, 100%, $G$9) + CHOOSE(CONTROL!$C$38, 0.0256, 0)</f>
        <v>27.464700000000001</v>
      </c>
      <c r="G263" s="10">
        <f>25.4512 * CHOOSE(CONTROL!$C$15, $E$9, 100%, $G$9) + CHOOSE(CONTROL!$C$38, 0.0347, 0)</f>
        <v>25.485900000000001</v>
      </c>
      <c r="H263" s="10">
        <f>25.4512 * CHOOSE(CONTROL!$C$15, $E$9, 100%, $G$9) + CHOOSE(CONTROL!$C$38, 0.0347, 0)</f>
        <v>25.485900000000001</v>
      </c>
      <c r="I263" s="10">
        <f>25.4528 * CHOOSE(CONTROL!$C$15, $E$9, 100%, $G$9) + CHOOSE(CONTROL!$C$38, 0.0347, 0)</f>
        <v>25.487500000000001</v>
      </c>
      <c r="J263" s="26">
        <f>159.6933</f>
        <v>159.69329999999999</v>
      </c>
    </row>
    <row r="264" spans="1:10" ht="15" x14ac:dyDescent="0.2">
      <c r="A264" s="16">
        <v>49310</v>
      </c>
      <c r="B264" s="10">
        <f>28.5329 * CHOOSE(CONTROL!$C$15, $E$9, 100%, $G$9) + CHOOSE(CONTROL!$C$38, 0.0256, 0)</f>
        <v>28.558500000000002</v>
      </c>
      <c r="C264" s="10">
        <f>26.3552 * CHOOSE(CONTROL!$C$15, $E$9, 100%, $G$9) + CHOOSE(CONTROL!$C$38, 0.0347, 0)</f>
        <v>26.389900000000001</v>
      </c>
      <c r="D264" s="10">
        <f>26.3474 * CHOOSE(CONTROL!$C$15, $E$9, 100%, $G$9) + CHOOSE(CONTROL!$C$38, 0.0347, 0)</f>
        <v>26.382100000000001</v>
      </c>
      <c r="E264" s="28">
        <f>28.3766 * CHOOSE(CONTROL!$C$15, $E$9, 100%, $G$9) + CHOOSE(CONTROL!$C$38, 0.0347, 0)</f>
        <v>28.411300000000001</v>
      </c>
      <c r="F264" s="27">
        <f>28.3766 * CHOOSE(CONTROL!$C$15, $E$9, 100%, $G$9) + CHOOSE(CONTROL!$C$38, 0.0256, 0)</f>
        <v>28.402200000000001</v>
      </c>
      <c r="G264" s="10">
        <f>26.3537 * CHOOSE(CONTROL!$C$15, $E$9, 100%, $G$9) + CHOOSE(CONTROL!$C$38, 0.0347, 0)</f>
        <v>26.388400000000001</v>
      </c>
      <c r="H264" s="10">
        <f>26.3537 * CHOOSE(CONTROL!$C$15, $E$9, 100%, $G$9) + CHOOSE(CONTROL!$C$38, 0.0347, 0)</f>
        <v>26.388400000000001</v>
      </c>
      <c r="I264" s="10">
        <f>26.3552 * CHOOSE(CONTROL!$C$15, $E$9, 100%, $G$9) + CHOOSE(CONTROL!$C$38, 0.0347, 0)</f>
        <v>26.389900000000001</v>
      </c>
      <c r="J264" s="26">
        <f>158.6236</f>
        <v>158.62360000000001</v>
      </c>
    </row>
    <row r="265" spans="1:10" ht="15" x14ac:dyDescent="0.2">
      <c r="A265" s="16">
        <v>49341</v>
      </c>
      <c r="B265" s="10">
        <f>28.7536 * CHOOSE(CONTROL!$C$15, $E$9, 100%, $G$9) + CHOOSE(CONTROL!$C$38, 0.0256, 0)</f>
        <v>28.779199999999999</v>
      </c>
      <c r="C265" s="10">
        <f>26.576 * CHOOSE(CONTROL!$C$15, $E$9, 100%, $G$9) + CHOOSE(CONTROL!$C$38, 0.0347, 0)</f>
        <v>26.610700000000001</v>
      </c>
      <c r="D265" s="10">
        <f>26.5682 * CHOOSE(CONTROL!$C$15, $E$9, 100%, $G$9) + CHOOSE(CONTROL!$C$38, 0.0347, 0)</f>
        <v>26.602900000000002</v>
      </c>
      <c r="E265" s="28">
        <f>28.5974 * CHOOSE(CONTROL!$C$15, $E$9, 100%, $G$9) + CHOOSE(CONTROL!$C$38, 0.0347, 0)</f>
        <v>28.632100000000001</v>
      </c>
      <c r="F265" s="27">
        <f>28.5974 * CHOOSE(CONTROL!$C$15, $E$9, 100%, $G$9) + CHOOSE(CONTROL!$C$38, 0.0256, 0)</f>
        <v>28.623000000000001</v>
      </c>
      <c r="G265" s="10">
        <f>26.5744 * CHOOSE(CONTROL!$C$15, $E$9, 100%, $G$9) + CHOOSE(CONTROL!$C$38, 0.0347, 0)</f>
        <v>26.609100000000002</v>
      </c>
      <c r="H265" s="10">
        <f>26.5744 * CHOOSE(CONTROL!$C$15, $E$9, 100%, $G$9) + CHOOSE(CONTROL!$C$38, 0.0347, 0)</f>
        <v>26.609100000000002</v>
      </c>
      <c r="I265" s="10">
        <f>26.576 * CHOOSE(CONTROL!$C$15, $E$9, 100%, $G$9) + CHOOSE(CONTROL!$C$38, 0.0347, 0)</f>
        <v>26.610700000000001</v>
      </c>
      <c r="J265" s="26">
        <f>158.1826</f>
        <v>158.18260000000001</v>
      </c>
    </row>
    <row r="266" spans="1:10" ht="15" x14ac:dyDescent="0.2">
      <c r="A266" s="16">
        <v>49369</v>
      </c>
      <c r="B266" s="10">
        <f>28.2426 * CHOOSE(CONTROL!$C$15, $E$9, 100%, $G$9) + CHOOSE(CONTROL!$C$38, 0.0256, 0)</f>
        <v>28.2682</v>
      </c>
      <c r="C266" s="10">
        <f>26.065 * CHOOSE(CONTROL!$C$15, $E$9, 100%, $G$9) + CHOOSE(CONTROL!$C$38, 0.0347, 0)</f>
        <v>26.099700000000002</v>
      </c>
      <c r="D266" s="10">
        <f>26.0571 * CHOOSE(CONTROL!$C$15, $E$9, 100%, $G$9) + CHOOSE(CONTROL!$C$38, 0.0347, 0)</f>
        <v>26.091799999999999</v>
      </c>
      <c r="E266" s="28">
        <f>28.0864 * CHOOSE(CONTROL!$C$15, $E$9, 100%, $G$9) + CHOOSE(CONTROL!$C$38, 0.0347, 0)</f>
        <v>28.121100000000002</v>
      </c>
      <c r="F266" s="27">
        <f>28.0864 * CHOOSE(CONTROL!$C$15, $E$9, 100%, $G$9) + CHOOSE(CONTROL!$C$38, 0.0256, 0)</f>
        <v>28.112000000000002</v>
      </c>
      <c r="G266" s="10">
        <f>26.0634 * CHOOSE(CONTROL!$C$15, $E$9, 100%, $G$9) + CHOOSE(CONTROL!$C$38, 0.0347, 0)</f>
        <v>26.098100000000002</v>
      </c>
      <c r="H266" s="10">
        <f>26.0634 * CHOOSE(CONTROL!$C$15, $E$9, 100%, $G$9) + CHOOSE(CONTROL!$C$38, 0.0347, 0)</f>
        <v>26.098100000000002</v>
      </c>
      <c r="I266" s="10">
        <f>26.065 * CHOOSE(CONTROL!$C$15, $E$9, 100%, $G$9) + CHOOSE(CONTROL!$C$38, 0.0347, 0)</f>
        <v>26.099700000000002</v>
      </c>
      <c r="J266" s="26">
        <f>166.5198</f>
        <v>166.5198</v>
      </c>
    </row>
    <row r="267" spans="1:10" ht="15" x14ac:dyDescent="0.2">
      <c r="A267" s="16">
        <v>49400</v>
      </c>
      <c r="B267" s="10">
        <f>27.7474 * CHOOSE(CONTROL!$C$15, $E$9, 100%, $G$9) + CHOOSE(CONTROL!$C$38, 0.0256, 0)</f>
        <v>27.773</v>
      </c>
      <c r="C267" s="10">
        <f>25.5698 * CHOOSE(CONTROL!$C$15, $E$9, 100%, $G$9) + CHOOSE(CONTROL!$C$38, 0.0347, 0)</f>
        <v>25.604500000000002</v>
      </c>
      <c r="D267" s="10">
        <f>25.562 * CHOOSE(CONTROL!$C$15, $E$9, 100%, $G$9) + CHOOSE(CONTROL!$C$38, 0.0347, 0)</f>
        <v>25.596700000000002</v>
      </c>
      <c r="E267" s="28">
        <f>27.5912 * CHOOSE(CONTROL!$C$15, $E$9, 100%, $G$9) + CHOOSE(CONTROL!$C$38, 0.0347, 0)</f>
        <v>27.625900000000001</v>
      </c>
      <c r="F267" s="27">
        <f>27.5912 * CHOOSE(CONTROL!$C$15, $E$9, 100%, $G$9) + CHOOSE(CONTROL!$C$38, 0.0256, 0)</f>
        <v>27.616800000000001</v>
      </c>
      <c r="G267" s="10">
        <f>25.5682 * CHOOSE(CONTROL!$C$15, $E$9, 100%, $G$9) + CHOOSE(CONTROL!$C$38, 0.0347, 0)</f>
        <v>25.602900000000002</v>
      </c>
      <c r="H267" s="10">
        <f>25.5682 * CHOOSE(CONTROL!$C$15, $E$9, 100%, $G$9) + CHOOSE(CONTROL!$C$38, 0.0347, 0)</f>
        <v>25.602900000000002</v>
      </c>
      <c r="I267" s="10">
        <f>25.5698 * CHOOSE(CONTROL!$C$15, $E$9, 100%, $G$9) + CHOOSE(CONTROL!$C$38, 0.0347, 0)</f>
        <v>25.604500000000002</v>
      </c>
      <c r="J267" s="26">
        <f>177.3311</f>
        <v>177.33109999999999</v>
      </c>
    </row>
    <row r="268" spans="1:10" ht="15" x14ac:dyDescent="0.2">
      <c r="A268" s="16">
        <v>49430</v>
      </c>
      <c r="B268" s="10">
        <f>27.2313 * CHOOSE(CONTROL!$C$15, $E$9, 100%, $G$9) + CHOOSE(CONTROL!$C$38, 0.0256, 0)</f>
        <v>27.256900000000002</v>
      </c>
      <c r="C268" s="10">
        <f>25.0537 * CHOOSE(CONTROL!$C$15, $E$9, 100%, $G$9) + CHOOSE(CONTROL!$C$38, 0.0347, 0)</f>
        <v>25.0884</v>
      </c>
      <c r="D268" s="10">
        <f>25.0459 * CHOOSE(CONTROL!$C$15, $E$9, 100%, $G$9) + CHOOSE(CONTROL!$C$38, 0.0347, 0)</f>
        <v>25.0806</v>
      </c>
      <c r="E268" s="28">
        <f>27.0751 * CHOOSE(CONTROL!$C$15, $E$9, 100%, $G$9) + CHOOSE(CONTROL!$C$38, 0.0347, 0)</f>
        <v>27.1098</v>
      </c>
      <c r="F268" s="27">
        <f>27.0751 * CHOOSE(CONTROL!$C$15, $E$9, 100%, $G$9) + CHOOSE(CONTROL!$C$38, 0.0256, 0)</f>
        <v>27.1007</v>
      </c>
      <c r="G268" s="10">
        <f>25.0521 * CHOOSE(CONTROL!$C$15, $E$9, 100%, $G$9) + CHOOSE(CONTROL!$C$38, 0.0347, 0)</f>
        <v>25.0868</v>
      </c>
      <c r="H268" s="10">
        <f>25.0521 * CHOOSE(CONTROL!$C$15, $E$9, 100%, $G$9) + CHOOSE(CONTROL!$C$38, 0.0347, 0)</f>
        <v>25.0868</v>
      </c>
      <c r="I268" s="10">
        <f>25.0537 * CHOOSE(CONTROL!$C$15, $E$9, 100%, $G$9) + CHOOSE(CONTROL!$C$38, 0.0347, 0)</f>
        <v>25.0884</v>
      </c>
      <c r="J268" s="26">
        <f>183.2819</f>
        <v>183.28190000000001</v>
      </c>
    </row>
    <row r="269" spans="1:10" ht="15" x14ac:dyDescent="0.2">
      <c r="A269" s="15">
        <v>49461</v>
      </c>
      <c r="B269" s="10">
        <f>26.8695 * CHOOSE(CONTROL!$C$15, $E$9, 100%, $G$9) + CHOOSE(CONTROL!$C$38, 0.0256, 0)</f>
        <v>26.895099999999999</v>
      </c>
      <c r="C269" s="10">
        <f>24.6918 * CHOOSE(CONTROL!$C$15, $E$9, 100%, $G$9) + CHOOSE(CONTROL!$C$38, 0.0347, 0)</f>
        <v>24.726500000000001</v>
      </c>
      <c r="D269" s="10">
        <f>24.684 * CHOOSE(CONTROL!$C$15, $E$9, 100%, $G$9) + CHOOSE(CONTROL!$C$38, 0.0347, 0)</f>
        <v>24.718700000000002</v>
      </c>
      <c r="E269" s="28">
        <f>26.7132 * CHOOSE(CONTROL!$C$15, $E$9, 100%, $G$9) + CHOOSE(CONTROL!$C$38, 0.0347, 0)</f>
        <v>26.747900000000001</v>
      </c>
      <c r="F269" s="27">
        <f>26.7132 * CHOOSE(CONTROL!$C$15, $E$9, 100%, $G$9) + CHOOSE(CONTROL!$C$38, 0.0256, 0)</f>
        <v>26.738800000000001</v>
      </c>
      <c r="G269" s="10">
        <f>24.6903 * CHOOSE(CONTROL!$C$15, $E$9, 100%, $G$9) + CHOOSE(CONTROL!$C$38, 0.0347, 0)</f>
        <v>24.725000000000001</v>
      </c>
      <c r="H269" s="10">
        <f>24.6903 * CHOOSE(CONTROL!$C$15, $E$9, 100%, $G$9) + CHOOSE(CONTROL!$C$38, 0.0347, 0)</f>
        <v>24.725000000000001</v>
      </c>
      <c r="I269" s="10">
        <f>24.6918 * CHOOSE(CONTROL!$C$15, $E$9, 100%, $G$9) + CHOOSE(CONTROL!$C$38, 0.0347, 0)</f>
        <v>24.726500000000001</v>
      </c>
      <c r="J269" s="26">
        <f>185.9228</f>
        <v>185.9228</v>
      </c>
    </row>
    <row r="270" spans="1:10" ht="15" x14ac:dyDescent="0.2">
      <c r="A270" s="15">
        <v>49491</v>
      </c>
      <c r="B270" s="10">
        <f>26.663 * CHOOSE(CONTROL!$C$15, $E$9, 100%, $G$9) + CHOOSE(CONTROL!$C$38, 0.0256, 0)</f>
        <v>26.688600000000001</v>
      </c>
      <c r="C270" s="10">
        <f>24.4853 * CHOOSE(CONTROL!$C$15, $E$9, 100%, $G$9) + CHOOSE(CONTROL!$C$38, 0.0347, 0)</f>
        <v>24.52</v>
      </c>
      <c r="D270" s="10">
        <f>24.4775 * CHOOSE(CONTROL!$C$15, $E$9, 100%, $G$9) + CHOOSE(CONTROL!$C$38, 0.0347, 0)</f>
        <v>24.5122</v>
      </c>
      <c r="E270" s="28">
        <f>26.5067 * CHOOSE(CONTROL!$C$15, $E$9, 100%, $G$9) + CHOOSE(CONTROL!$C$38, 0.0347, 0)</f>
        <v>26.541399999999999</v>
      </c>
      <c r="F270" s="27">
        <f>26.5067 * CHOOSE(CONTROL!$C$15, $E$9, 100%, $G$9) + CHOOSE(CONTROL!$C$38, 0.0256, 0)</f>
        <v>26.532299999999999</v>
      </c>
      <c r="G270" s="10">
        <f>24.4838 * CHOOSE(CONTROL!$C$15, $E$9, 100%, $G$9) + CHOOSE(CONTROL!$C$38, 0.0347, 0)</f>
        <v>24.5185</v>
      </c>
      <c r="H270" s="10">
        <f>24.4838 * CHOOSE(CONTROL!$C$15, $E$9, 100%, $G$9) + CHOOSE(CONTROL!$C$38, 0.0347, 0)</f>
        <v>24.5185</v>
      </c>
      <c r="I270" s="10">
        <f>24.4853 * CHOOSE(CONTROL!$C$15, $E$9, 100%, $G$9) + CHOOSE(CONTROL!$C$38, 0.0347, 0)</f>
        <v>24.52</v>
      </c>
      <c r="J270" s="26">
        <f>185.0533</f>
        <v>185.05330000000001</v>
      </c>
    </row>
    <row r="271" spans="1:10" ht="15" x14ac:dyDescent="0.2">
      <c r="A271" s="15">
        <v>49522</v>
      </c>
      <c r="B271" s="10">
        <f>26.7649 * CHOOSE(CONTROL!$C$15, $E$9, 100%, $G$9) + CHOOSE(CONTROL!$C$38, 0.0256, 0)</f>
        <v>26.790500000000002</v>
      </c>
      <c r="C271" s="10">
        <f>24.5873 * CHOOSE(CONTROL!$C$15, $E$9, 100%, $G$9) + CHOOSE(CONTROL!$C$38, 0.0347, 0)</f>
        <v>24.622</v>
      </c>
      <c r="D271" s="10">
        <f>24.5794 * CHOOSE(CONTROL!$C$15, $E$9, 100%, $G$9) + CHOOSE(CONTROL!$C$38, 0.0347, 0)</f>
        <v>24.614100000000001</v>
      </c>
      <c r="E271" s="28">
        <f>26.6087 * CHOOSE(CONTROL!$C$15, $E$9, 100%, $G$9) + CHOOSE(CONTROL!$C$38, 0.0347, 0)</f>
        <v>26.6434</v>
      </c>
      <c r="F271" s="27">
        <f>26.6087 * CHOOSE(CONTROL!$C$15, $E$9, 100%, $G$9) + CHOOSE(CONTROL!$C$38, 0.0256, 0)</f>
        <v>26.6343</v>
      </c>
      <c r="G271" s="10">
        <f>24.5857 * CHOOSE(CONTROL!$C$15, $E$9, 100%, $G$9) + CHOOSE(CONTROL!$C$38, 0.0347, 0)</f>
        <v>24.6204</v>
      </c>
      <c r="H271" s="10">
        <f>24.5857 * CHOOSE(CONTROL!$C$15, $E$9, 100%, $G$9) + CHOOSE(CONTROL!$C$38, 0.0347, 0)</f>
        <v>24.6204</v>
      </c>
      <c r="I271" s="10">
        <f>24.5873 * CHOOSE(CONTROL!$C$15, $E$9, 100%, $G$9) + CHOOSE(CONTROL!$C$38, 0.0347, 0)</f>
        <v>24.622</v>
      </c>
      <c r="J271" s="26">
        <f>180.7454</f>
        <v>180.74539999999999</v>
      </c>
    </row>
    <row r="272" spans="1:10" ht="15" x14ac:dyDescent="0.2">
      <c r="A272" s="15">
        <v>49553</v>
      </c>
      <c r="B272" s="10">
        <f>27.0417 * CHOOSE(CONTROL!$C$15, $E$9, 100%, $G$9) + CHOOSE(CONTROL!$C$38, 0.0256, 0)</f>
        <v>27.067299999999999</v>
      </c>
      <c r="C272" s="10">
        <f>24.8641 * CHOOSE(CONTROL!$C$15, $E$9, 100%, $G$9) + CHOOSE(CONTROL!$C$38, 0.0347, 0)</f>
        <v>24.898800000000001</v>
      </c>
      <c r="D272" s="10">
        <f>24.8562 * CHOOSE(CONTROL!$C$15, $E$9, 100%, $G$9) + CHOOSE(CONTROL!$C$38, 0.0347, 0)</f>
        <v>24.890900000000002</v>
      </c>
      <c r="E272" s="28">
        <f>26.8854 * CHOOSE(CONTROL!$C$15, $E$9, 100%, $G$9) + CHOOSE(CONTROL!$C$38, 0.0347, 0)</f>
        <v>26.920100000000001</v>
      </c>
      <c r="F272" s="27">
        <f>26.8854 * CHOOSE(CONTROL!$C$15, $E$9, 100%, $G$9) + CHOOSE(CONTROL!$C$38, 0.0256, 0)</f>
        <v>26.911000000000001</v>
      </c>
      <c r="G272" s="10">
        <f>24.8625 * CHOOSE(CONTROL!$C$15, $E$9, 100%, $G$9) + CHOOSE(CONTROL!$C$38, 0.0347, 0)</f>
        <v>24.897200000000002</v>
      </c>
      <c r="H272" s="10">
        <f>24.8625 * CHOOSE(CONTROL!$C$15, $E$9, 100%, $G$9) + CHOOSE(CONTROL!$C$38, 0.0347, 0)</f>
        <v>24.897200000000002</v>
      </c>
      <c r="I272" s="10">
        <f>24.8641 * CHOOSE(CONTROL!$C$15, $E$9, 100%, $G$9) + CHOOSE(CONTROL!$C$38, 0.0347, 0)</f>
        <v>24.898800000000001</v>
      </c>
      <c r="J272" s="26">
        <f>174.7377</f>
        <v>174.73769999999999</v>
      </c>
    </row>
    <row r="273" spans="1:10" ht="15" x14ac:dyDescent="0.2">
      <c r="A273" s="15">
        <v>49583</v>
      </c>
      <c r="B273" s="10">
        <f>27.2735 * CHOOSE(CONTROL!$C$15, $E$9, 100%, $G$9) + CHOOSE(CONTROL!$C$38, 0.0256, 0)</f>
        <v>27.299099999999999</v>
      </c>
      <c r="C273" s="10">
        <f>25.0959 * CHOOSE(CONTROL!$C$15, $E$9, 100%, $G$9) + CHOOSE(CONTROL!$C$38, 0.0347, 0)</f>
        <v>25.130600000000001</v>
      </c>
      <c r="D273" s="10">
        <f>25.0881 * CHOOSE(CONTROL!$C$15, $E$9, 100%, $G$9) + CHOOSE(CONTROL!$C$38, 0.0347, 0)</f>
        <v>25.122800000000002</v>
      </c>
      <c r="E273" s="28">
        <f>27.1173 * CHOOSE(CONTROL!$C$15, $E$9, 100%, $G$9) + CHOOSE(CONTROL!$C$38, 0.0347, 0)</f>
        <v>27.152000000000001</v>
      </c>
      <c r="F273" s="27">
        <f>27.1173 * CHOOSE(CONTROL!$C$15, $E$9, 100%, $G$9) + CHOOSE(CONTROL!$C$38, 0.0256, 0)</f>
        <v>27.142900000000001</v>
      </c>
      <c r="G273" s="10">
        <f>25.0943 * CHOOSE(CONTROL!$C$15, $E$9, 100%, $G$9) + CHOOSE(CONTROL!$C$38, 0.0347, 0)</f>
        <v>25.129000000000001</v>
      </c>
      <c r="H273" s="10">
        <f>25.0943 * CHOOSE(CONTROL!$C$15, $E$9, 100%, $G$9) + CHOOSE(CONTROL!$C$38, 0.0347, 0)</f>
        <v>25.129000000000001</v>
      </c>
      <c r="I273" s="10">
        <f>25.0959 * CHOOSE(CONTROL!$C$15, $E$9, 100%, $G$9) + CHOOSE(CONTROL!$C$38, 0.0347, 0)</f>
        <v>25.130600000000001</v>
      </c>
      <c r="J273" s="26">
        <f>168.6951</f>
        <v>168.6951</v>
      </c>
    </row>
    <row r="274" spans="1:10" ht="15" x14ac:dyDescent="0.2">
      <c r="A274" s="15">
        <v>49614</v>
      </c>
      <c r="B274" s="10">
        <f>27.467 * CHOOSE(CONTROL!$C$15, $E$9, 100%, $G$9) + CHOOSE(CONTROL!$C$38, 0.0256, 0)</f>
        <v>27.492599999999999</v>
      </c>
      <c r="C274" s="10">
        <f>25.2893 * CHOOSE(CONTROL!$C$15, $E$9, 100%, $G$9) + CHOOSE(CONTROL!$C$38, 0.0347, 0)</f>
        <v>25.324000000000002</v>
      </c>
      <c r="D274" s="10">
        <f>25.2815 * CHOOSE(CONTROL!$C$15, $E$9, 100%, $G$9) + CHOOSE(CONTROL!$C$38, 0.0347, 0)</f>
        <v>25.316200000000002</v>
      </c>
      <c r="E274" s="28">
        <f>27.3107 * CHOOSE(CONTROL!$C$15, $E$9, 100%, $G$9) + CHOOSE(CONTROL!$C$38, 0.0347, 0)</f>
        <v>27.345400000000001</v>
      </c>
      <c r="F274" s="27">
        <f>27.3107 * CHOOSE(CONTROL!$C$15, $E$9, 100%, $G$9) + CHOOSE(CONTROL!$C$38, 0.0256, 0)</f>
        <v>27.336300000000001</v>
      </c>
      <c r="G274" s="10">
        <f>25.2878 * CHOOSE(CONTROL!$C$15, $E$9, 100%, $G$9) + CHOOSE(CONTROL!$C$38, 0.0347, 0)</f>
        <v>25.322500000000002</v>
      </c>
      <c r="H274" s="10">
        <f>25.2878 * CHOOSE(CONTROL!$C$15, $E$9, 100%, $G$9) + CHOOSE(CONTROL!$C$38, 0.0347, 0)</f>
        <v>25.322500000000002</v>
      </c>
      <c r="I274" s="10">
        <f>25.2893 * CHOOSE(CONTROL!$C$15, $E$9, 100%, $G$9) + CHOOSE(CONTROL!$C$38, 0.0347, 0)</f>
        <v>25.324000000000002</v>
      </c>
      <c r="J274" s="26">
        <f>167.4931</f>
        <v>167.4931</v>
      </c>
    </row>
    <row r="275" spans="1:10" ht="15" x14ac:dyDescent="0.2">
      <c r="A275" s="15">
        <v>49644</v>
      </c>
      <c r="B275" s="10">
        <f>28.063 * CHOOSE(CONTROL!$C$15, $E$9, 100%, $G$9) + CHOOSE(CONTROL!$C$38, 0.0256, 0)</f>
        <v>28.0886</v>
      </c>
      <c r="C275" s="10">
        <f>25.8854 * CHOOSE(CONTROL!$C$15, $E$9, 100%, $G$9) + CHOOSE(CONTROL!$C$38, 0.0347, 0)</f>
        <v>25.920100000000001</v>
      </c>
      <c r="D275" s="10">
        <f>25.8776 * CHOOSE(CONTROL!$C$15, $E$9, 100%, $G$9) + CHOOSE(CONTROL!$C$38, 0.0347, 0)</f>
        <v>25.912300000000002</v>
      </c>
      <c r="E275" s="28">
        <f>27.9068 * CHOOSE(CONTROL!$C$15, $E$9, 100%, $G$9) + CHOOSE(CONTROL!$C$38, 0.0347, 0)</f>
        <v>27.941500000000001</v>
      </c>
      <c r="F275" s="27">
        <f>27.9068 * CHOOSE(CONTROL!$C$15, $E$9, 100%, $G$9) + CHOOSE(CONTROL!$C$38, 0.0256, 0)</f>
        <v>27.932400000000001</v>
      </c>
      <c r="G275" s="10">
        <f>25.8838 * CHOOSE(CONTROL!$C$15, $E$9, 100%, $G$9) + CHOOSE(CONTROL!$C$38, 0.0347, 0)</f>
        <v>25.918500000000002</v>
      </c>
      <c r="H275" s="10">
        <f>25.8838 * CHOOSE(CONTROL!$C$15, $E$9, 100%, $G$9) + CHOOSE(CONTROL!$C$38, 0.0347, 0)</f>
        <v>25.918500000000002</v>
      </c>
      <c r="I275" s="10">
        <f>25.8854 * CHOOSE(CONTROL!$C$15, $E$9, 100%, $G$9) + CHOOSE(CONTROL!$C$38, 0.0347, 0)</f>
        <v>25.920100000000001</v>
      </c>
      <c r="J275" s="26">
        <f>162.5227</f>
        <v>162.52269999999999</v>
      </c>
    </row>
    <row r="276" spans="1:10" ht="15" x14ac:dyDescent="0.2">
      <c r="A276" s="15">
        <v>49675</v>
      </c>
      <c r="B276" s="10">
        <f>29.0088 * CHOOSE(CONTROL!$C$15, $E$9, 100%, $G$9) + CHOOSE(CONTROL!$C$38, 0.0256, 0)</f>
        <v>29.034400000000002</v>
      </c>
      <c r="C276" s="10">
        <f>26.7954 * CHOOSE(CONTROL!$C$15, $E$9, 100%, $G$9) + CHOOSE(CONTROL!$C$38, 0.0347, 0)</f>
        <v>26.830100000000002</v>
      </c>
      <c r="D276" s="10">
        <f>26.7876 * CHOOSE(CONTROL!$C$15, $E$9, 100%, $G$9) + CHOOSE(CONTROL!$C$38, 0.0347, 0)</f>
        <v>26.822300000000002</v>
      </c>
      <c r="E276" s="28">
        <f>28.8526 * CHOOSE(CONTROL!$C$15, $E$9, 100%, $G$9) + CHOOSE(CONTROL!$C$38, 0.0347, 0)</f>
        <v>28.8873</v>
      </c>
      <c r="F276" s="27">
        <f>28.8526 * CHOOSE(CONTROL!$C$15, $E$9, 100%, $G$9) + CHOOSE(CONTROL!$C$38, 0.0256, 0)</f>
        <v>28.8782</v>
      </c>
      <c r="G276" s="10">
        <f>26.7939 * CHOOSE(CONTROL!$C$15, $E$9, 100%, $G$9) + CHOOSE(CONTROL!$C$38, 0.0347, 0)</f>
        <v>26.828600000000002</v>
      </c>
      <c r="H276" s="10">
        <f>26.7939 * CHOOSE(CONTROL!$C$15, $E$9, 100%, $G$9) + CHOOSE(CONTROL!$C$38, 0.0347, 0)</f>
        <v>26.828600000000002</v>
      </c>
      <c r="I276" s="10">
        <f>26.7954 * CHOOSE(CONTROL!$C$15, $E$9, 100%, $G$9) + CHOOSE(CONTROL!$C$38, 0.0347, 0)</f>
        <v>26.830100000000002</v>
      </c>
      <c r="J276" s="26">
        <f>161.4341</f>
        <v>161.4341</v>
      </c>
    </row>
    <row r="277" spans="1:10" ht="15" x14ac:dyDescent="0.2">
      <c r="A277" s="15">
        <v>49706</v>
      </c>
      <c r="B277" s="10">
        <f>29.2296 * CHOOSE(CONTROL!$C$15, $E$9, 100%, $G$9) + CHOOSE(CONTROL!$C$38, 0.0256, 0)</f>
        <v>29.255200000000002</v>
      </c>
      <c r="C277" s="10">
        <f>27.0162 * CHOOSE(CONTROL!$C$15, $E$9, 100%, $G$9) + CHOOSE(CONTROL!$C$38, 0.0347, 0)</f>
        <v>27.050900000000002</v>
      </c>
      <c r="D277" s="10">
        <f>27.0084 * CHOOSE(CONTROL!$C$15, $E$9, 100%, $G$9) + CHOOSE(CONTROL!$C$38, 0.0347, 0)</f>
        <v>27.043100000000003</v>
      </c>
      <c r="E277" s="28">
        <f>29.0733 * CHOOSE(CONTROL!$C$15, $E$9, 100%, $G$9) + CHOOSE(CONTROL!$C$38, 0.0347, 0)</f>
        <v>29.108000000000001</v>
      </c>
      <c r="F277" s="27">
        <f>29.0733 * CHOOSE(CONTROL!$C$15, $E$9, 100%, $G$9) + CHOOSE(CONTROL!$C$38, 0.0256, 0)</f>
        <v>29.0989</v>
      </c>
      <c r="G277" s="10">
        <f>27.0146 * CHOOSE(CONTROL!$C$15, $E$9, 100%, $G$9) + CHOOSE(CONTROL!$C$38, 0.0347, 0)</f>
        <v>27.049300000000002</v>
      </c>
      <c r="H277" s="10">
        <f>27.0146 * CHOOSE(CONTROL!$C$15, $E$9, 100%, $G$9) + CHOOSE(CONTROL!$C$38, 0.0347, 0)</f>
        <v>27.049300000000002</v>
      </c>
      <c r="I277" s="10">
        <f>27.0162 * CHOOSE(CONTROL!$C$15, $E$9, 100%, $G$9) + CHOOSE(CONTROL!$C$38, 0.0347, 0)</f>
        <v>27.050900000000002</v>
      </c>
      <c r="J277" s="26">
        <f>160.9853</f>
        <v>160.9853</v>
      </c>
    </row>
    <row r="278" spans="1:10" ht="15" x14ac:dyDescent="0.2">
      <c r="A278" s="15">
        <v>49735</v>
      </c>
      <c r="B278" s="10">
        <f>28.7185 * CHOOSE(CONTROL!$C$15, $E$9, 100%, $G$9) + CHOOSE(CONTROL!$C$38, 0.0256, 0)</f>
        <v>28.7441</v>
      </c>
      <c r="C278" s="10">
        <f>26.5052 * CHOOSE(CONTROL!$C$15, $E$9, 100%, $G$9) + CHOOSE(CONTROL!$C$38, 0.0347, 0)</f>
        <v>26.539899999999999</v>
      </c>
      <c r="D278" s="10">
        <f>26.4974 * CHOOSE(CONTROL!$C$15, $E$9, 100%, $G$9) + CHOOSE(CONTROL!$C$38, 0.0347, 0)</f>
        <v>26.5321</v>
      </c>
      <c r="E278" s="28">
        <f>28.5623 * CHOOSE(CONTROL!$C$15, $E$9, 100%, $G$9) + CHOOSE(CONTROL!$C$38, 0.0347, 0)</f>
        <v>28.597000000000001</v>
      </c>
      <c r="F278" s="27">
        <f>28.5623 * CHOOSE(CONTROL!$C$15, $E$9, 100%, $G$9) + CHOOSE(CONTROL!$C$38, 0.0256, 0)</f>
        <v>28.587900000000001</v>
      </c>
      <c r="G278" s="10">
        <f>26.5036 * CHOOSE(CONTROL!$C$15, $E$9, 100%, $G$9) + CHOOSE(CONTROL!$C$38, 0.0347, 0)</f>
        <v>26.5383</v>
      </c>
      <c r="H278" s="10">
        <f>26.5036 * CHOOSE(CONTROL!$C$15, $E$9, 100%, $G$9) + CHOOSE(CONTROL!$C$38, 0.0347, 0)</f>
        <v>26.5383</v>
      </c>
      <c r="I278" s="10">
        <f>26.5052 * CHOOSE(CONTROL!$C$15, $E$9, 100%, $G$9) + CHOOSE(CONTROL!$C$38, 0.0347, 0)</f>
        <v>26.539899999999999</v>
      </c>
      <c r="J278" s="26">
        <f>169.4702</f>
        <v>169.47020000000001</v>
      </c>
    </row>
    <row r="279" spans="1:10" ht="15" x14ac:dyDescent="0.2">
      <c r="A279" s="15">
        <v>49766</v>
      </c>
      <c r="B279" s="10">
        <f>28.2234 * CHOOSE(CONTROL!$C$15, $E$9, 100%, $G$9) + CHOOSE(CONTROL!$C$38, 0.0256, 0)</f>
        <v>28.249000000000002</v>
      </c>
      <c r="C279" s="10">
        <f>26.01 * CHOOSE(CONTROL!$C$15, $E$9, 100%, $G$9) + CHOOSE(CONTROL!$C$38, 0.0347, 0)</f>
        <v>26.044700000000002</v>
      </c>
      <c r="D279" s="10">
        <f>26.0022 * CHOOSE(CONTROL!$C$15, $E$9, 100%, $G$9) + CHOOSE(CONTROL!$C$38, 0.0347, 0)</f>
        <v>26.036899999999999</v>
      </c>
      <c r="E279" s="28">
        <f>28.0671 * CHOOSE(CONTROL!$C$15, $E$9, 100%, $G$9) + CHOOSE(CONTROL!$C$38, 0.0347, 0)</f>
        <v>28.101800000000001</v>
      </c>
      <c r="F279" s="27">
        <f>28.0671 * CHOOSE(CONTROL!$C$15, $E$9, 100%, $G$9) + CHOOSE(CONTROL!$C$38, 0.0256, 0)</f>
        <v>28.092700000000001</v>
      </c>
      <c r="G279" s="10">
        <f>26.0084 * CHOOSE(CONTROL!$C$15, $E$9, 100%, $G$9) + CHOOSE(CONTROL!$C$38, 0.0347, 0)</f>
        <v>26.043100000000003</v>
      </c>
      <c r="H279" s="10">
        <f>26.0084 * CHOOSE(CONTROL!$C$15, $E$9, 100%, $G$9) + CHOOSE(CONTROL!$C$38, 0.0347, 0)</f>
        <v>26.043100000000003</v>
      </c>
      <c r="I279" s="10">
        <f>26.01 * CHOOSE(CONTROL!$C$15, $E$9, 100%, $G$9) + CHOOSE(CONTROL!$C$38, 0.0347, 0)</f>
        <v>26.044700000000002</v>
      </c>
      <c r="J279" s="26">
        <f>180.473</f>
        <v>180.47300000000001</v>
      </c>
    </row>
    <row r="280" spans="1:10" ht="15" x14ac:dyDescent="0.2">
      <c r="A280" s="15">
        <v>49796</v>
      </c>
      <c r="B280" s="10">
        <f>27.7072 * CHOOSE(CONTROL!$C$15, $E$9, 100%, $G$9) + CHOOSE(CONTROL!$C$38, 0.0256, 0)</f>
        <v>27.732800000000001</v>
      </c>
      <c r="C280" s="10">
        <f>25.4939 * CHOOSE(CONTROL!$C$15, $E$9, 100%, $G$9) + CHOOSE(CONTROL!$C$38, 0.0347, 0)</f>
        <v>25.528600000000001</v>
      </c>
      <c r="D280" s="10">
        <f>25.4861 * CHOOSE(CONTROL!$C$15, $E$9, 100%, $G$9) + CHOOSE(CONTROL!$C$38, 0.0347, 0)</f>
        <v>25.520800000000001</v>
      </c>
      <c r="E280" s="28">
        <f>27.551 * CHOOSE(CONTROL!$C$15, $E$9, 100%, $G$9) + CHOOSE(CONTROL!$C$38, 0.0347, 0)</f>
        <v>27.585699999999999</v>
      </c>
      <c r="F280" s="27">
        <f>27.551 * CHOOSE(CONTROL!$C$15, $E$9, 100%, $G$9) + CHOOSE(CONTROL!$C$38, 0.0256, 0)</f>
        <v>27.576599999999999</v>
      </c>
      <c r="G280" s="10">
        <f>25.4923 * CHOOSE(CONTROL!$C$15, $E$9, 100%, $G$9) + CHOOSE(CONTROL!$C$38, 0.0347, 0)</f>
        <v>25.527000000000001</v>
      </c>
      <c r="H280" s="10">
        <f>25.4923 * CHOOSE(CONTROL!$C$15, $E$9, 100%, $G$9) + CHOOSE(CONTROL!$C$38, 0.0347, 0)</f>
        <v>25.527000000000001</v>
      </c>
      <c r="I280" s="10">
        <f>25.4939 * CHOOSE(CONTROL!$C$15, $E$9, 100%, $G$9) + CHOOSE(CONTROL!$C$38, 0.0347, 0)</f>
        <v>25.528600000000001</v>
      </c>
      <c r="J280" s="26">
        <f>186.5293</f>
        <v>186.52930000000001</v>
      </c>
    </row>
    <row r="281" spans="1:10" ht="15" x14ac:dyDescent="0.2">
      <c r="A281" s="15">
        <v>49827</v>
      </c>
      <c r="B281" s="10">
        <f>27.3454 * CHOOSE(CONTROL!$C$15, $E$9, 100%, $G$9) + CHOOSE(CONTROL!$C$38, 0.0256, 0)</f>
        <v>27.371000000000002</v>
      </c>
      <c r="C281" s="10">
        <f>25.1321 * CHOOSE(CONTROL!$C$15, $E$9, 100%, $G$9) + CHOOSE(CONTROL!$C$38, 0.0347, 0)</f>
        <v>25.166800000000002</v>
      </c>
      <c r="D281" s="10">
        <f>25.1242 * CHOOSE(CONTROL!$C$15, $E$9, 100%, $G$9) + CHOOSE(CONTROL!$C$38, 0.0347, 0)</f>
        <v>25.158899999999999</v>
      </c>
      <c r="E281" s="28">
        <f>27.1892 * CHOOSE(CONTROL!$C$15, $E$9, 100%, $G$9) + CHOOSE(CONTROL!$C$38, 0.0347, 0)</f>
        <v>27.2239</v>
      </c>
      <c r="F281" s="27">
        <f>27.1892 * CHOOSE(CONTROL!$C$15, $E$9, 100%, $G$9) + CHOOSE(CONTROL!$C$38, 0.0256, 0)</f>
        <v>27.2148</v>
      </c>
      <c r="G281" s="10">
        <f>25.1305 * CHOOSE(CONTROL!$C$15, $E$9, 100%, $G$9) + CHOOSE(CONTROL!$C$38, 0.0347, 0)</f>
        <v>25.165200000000002</v>
      </c>
      <c r="H281" s="10">
        <f>25.1305 * CHOOSE(CONTROL!$C$15, $E$9, 100%, $G$9) + CHOOSE(CONTROL!$C$38, 0.0347, 0)</f>
        <v>25.165200000000002</v>
      </c>
      <c r="I281" s="10">
        <f>25.1321 * CHOOSE(CONTROL!$C$15, $E$9, 100%, $G$9) + CHOOSE(CONTROL!$C$38, 0.0347, 0)</f>
        <v>25.166800000000002</v>
      </c>
      <c r="J281" s="26">
        <f>189.217</f>
        <v>189.21700000000001</v>
      </c>
    </row>
    <row r="282" spans="1:10" ht="15" x14ac:dyDescent="0.2">
      <c r="A282" s="15">
        <v>49857</v>
      </c>
      <c r="B282" s="10">
        <f>27.1389 * CHOOSE(CONTROL!$C$15, $E$9, 100%, $G$9) + CHOOSE(CONTROL!$C$38, 0.0256, 0)</f>
        <v>27.1645</v>
      </c>
      <c r="C282" s="10">
        <f>24.9256 * CHOOSE(CONTROL!$C$15, $E$9, 100%, $G$9) + CHOOSE(CONTROL!$C$38, 0.0347, 0)</f>
        <v>24.9603</v>
      </c>
      <c r="D282" s="10">
        <f>24.9177 * CHOOSE(CONTROL!$C$15, $E$9, 100%, $G$9) + CHOOSE(CONTROL!$C$38, 0.0347, 0)</f>
        <v>24.952400000000001</v>
      </c>
      <c r="E282" s="28">
        <f>26.9827 * CHOOSE(CONTROL!$C$15, $E$9, 100%, $G$9) + CHOOSE(CONTROL!$C$38, 0.0347, 0)</f>
        <v>27.017400000000002</v>
      </c>
      <c r="F282" s="27">
        <f>26.9827 * CHOOSE(CONTROL!$C$15, $E$9, 100%, $G$9) + CHOOSE(CONTROL!$C$38, 0.0256, 0)</f>
        <v>27.008300000000002</v>
      </c>
      <c r="G282" s="10">
        <f>24.924 * CHOOSE(CONTROL!$C$15, $E$9, 100%, $G$9) + CHOOSE(CONTROL!$C$38, 0.0347, 0)</f>
        <v>24.9587</v>
      </c>
      <c r="H282" s="10">
        <f>24.924 * CHOOSE(CONTROL!$C$15, $E$9, 100%, $G$9) + CHOOSE(CONTROL!$C$38, 0.0347, 0)</f>
        <v>24.9587</v>
      </c>
      <c r="I282" s="10">
        <f>24.9256 * CHOOSE(CONTROL!$C$15, $E$9, 100%, $G$9) + CHOOSE(CONTROL!$C$38, 0.0347, 0)</f>
        <v>24.9603</v>
      </c>
      <c r="J282" s="26">
        <f>188.3321</f>
        <v>188.3321</v>
      </c>
    </row>
    <row r="283" spans="1:10" ht="15" x14ac:dyDescent="0.2">
      <c r="A283" s="15">
        <v>49888</v>
      </c>
      <c r="B283" s="10">
        <f>27.2408 * CHOOSE(CONTROL!$C$15, $E$9, 100%, $G$9) + CHOOSE(CONTROL!$C$38, 0.0256, 0)</f>
        <v>27.266400000000001</v>
      </c>
      <c r="C283" s="10">
        <f>25.0275 * CHOOSE(CONTROL!$C$15, $E$9, 100%, $G$9) + CHOOSE(CONTROL!$C$38, 0.0347, 0)</f>
        <v>25.062200000000001</v>
      </c>
      <c r="D283" s="10">
        <f>25.0197 * CHOOSE(CONTROL!$C$15, $E$9, 100%, $G$9) + CHOOSE(CONTROL!$C$38, 0.0347, 0)</f>
        <v>25.054400000000001</v>
      </c>
      <c r="E283" s="28">
        <f>27.0846 * CHOOSE(CONTROL!$C$15, $E$9, 100%, $G$9) + CHOOSE(CONTROL!$C$38, 0.0347, 0)</f>
        <v>27.119299999999999</v>
      </c>
      <c r="F283" s="27">
        <f>27.0846 * CHOOSE(CONTROL!$C$15, $E$9, 100%, $G$9) + CHOOSE(CONTROL!$C$38, 0.0256, 0)</f>
        <v>27.110199999999999</v>
      </c>
      <c r="G283" s="10">
        <f>25.0259 * CHOOSE(CONTROL!$C$15, $E$9, 100%, $G$9) + CHOOSE(CONTROL!$C$38, 0.0347, 0)</f>
        <v>25.060600000000001</v>
      </c>
      <c r="H283" s="10">
        <f>25.0259 * CHOOSE(CONTROL!$C$15, $E$9, 100%, $G$9) + CHOOSE(CONTROL!$C$38, 0.0347, 0)</f>
        <v>25.060600000000001</v>
      </c>
      <c r="I283" s="10">
        <f>25.0275 * CHOOSE(CONTROL!$C$15, $E$9, 100%, $G$9) + CHOOSE(CONTROL!$C$38, 0.0347, 0)</f>
        <v>25.062200000000001</v>
      </c>
      <c r="J283" s="26">
        <f>183.9478</f>
        <v>183.9478</v>
      </c>
    </row>
    <row r="284" spans="1:10" ht="15" x14ac:dyDescent="0.2">
      <c r="A284" s="15">
        <v>49919</v>
      </c>
      <c r="B284" s="10">
        <f>27.5176 * CHOOSE(CONTROL!$C$15, $E$9, 100%, $G$9) + CHOOSE(CONTROL!$C$38, 0.0256, 0)</f>
        <v>27.543200000000002</v>
      </c>
      <c r="C284" s="10">
        <f>25.3043 * CHOOSE(CONTROL!$C$15, $E$9, 100%, $G$9) + CHOOSE(CONTROL!$C$38, 0.0347, 0)</f>
        <v>25.339000000000002</v>
      </c>
      <c r="D284" s="10">
        <f>25.2965 * CHOOSE(CONTROL!$C$15, $E$9, 100%, $G$9) + CHOOSE(CONTROL!$C$38, 0.0347, 0)</f>
        <v>25.331200000000003</v>
      </c>
      <c r="E284" s="28">
        <f>27.3614 * CHOOSE(CONTROL!$C$15, $E$9, 100%, $G$9) + CHOOSE(CONTROL!$C$38, 0.0347, 0)</f>
        <v>27.396100000000001</v>
      </c>
      <c r="F284" s="27">
        <f>27.3614 * CHOOSE(CONTROL!$C$15, $E$9, 100%, $G$9) + CHOOSE(CONTROL!$C$38, 0.0256, 0)</f>
        <v>27.387</v>
      </c>
      <c r="G284" s="10">
        <f>25.3027 * CHOOSE(CONTROL!$C$15, $E$9, 100%, $G$9) + CHOOSE(CONTROL!$C$38, 0.0347, 0)</f>
        <v>25.337400000000002</v>
      </c>
      <c r="H284" s="10">
        <f>25.3027 * CHOOSE(CONTROL!$C$15, $E$9, 100%, $G$9) + CHOOSE(CONTROL!$C$38, 0.0347, 0)</f>
        <v>25.337400000000002</v>
      </c>
      <c r="I284" s="10">
        <f>25.3043 * CHOOSE(CONTROL!$C$15, $E$9, 100%, $G$9) + CHOOSE(CONTROL!$C$38, 0.0347, 0)</f>
        <v>25.339000000000002</v>
      </c>
      <c r="J284" s="26">
        <f>177.8337</f>
        <v>177.83369999999999</v>
      </c>
    </row>
    <row r="285" spans="1:10" ht="15" x14ac:dyDescent="0.2">
      <c r="A285" s="15">
        <v>49949</v>
      </c>
      <c r="B285" s="10">
        <f>27.7495 * CHOOSE(CONTROL!$C$15, $E$9, 100%, $G$9) + CHOOSE(CONTROL!$C$38, 0.0256, 0)</f>
        <v>27.775100000000002</v>
      </c>
      <c r="C285" s="10">
        <f>25.5361 * CHOOSE(CONTROL!$C$15, $E$9, 100%, $G$9) + CHOOSE(CONTROL!$C$38, 0.0347, 0)</f>
        <v>25.570800000000002</v>
      </c>
      <c r="D285" s="10">
        <f>25.5283 * CHOOSE(CONTROL!$C$15, $E$9, 100%, $G$9) + CHOOSE(CONTROL!$C$38, 0.0347, 0)</f>
        <v>25.563000000000002</v>
      </c>
      <c r="E285" s="28">
        <f>27.5932 * CHOOSE(CONTROL!$C$15, $E$9, 100%, $G$9) + CHOOSE(CONTROL!$C$38, 0.0347, 0)</f>
        <v>27.6279</v>
      </c>
      <c r="F285" s="27">
        <f>27.5932 * CHOOSE(CONTROL!$C$15, $E$9, 100%, $G$9) + CHOOSE(CONTROL!$C$38, 0.0256, 0)</f>
        <v>27.6188</v>
      </c>
      <c r="G285" s="10">
        <f>25.5345 * CHOOSE(CONTROL!$C$15, $E$9, 100%, $G$9) + CHOOSE(CONTROL!$C$38, 0.0347, 0)</f>
        <v>25.569200000000002</v>
      </c>
      <c r="H285" s="10">
        <f>25.5345 * CHOOSE(CONTROL!$C$15, $E$9, 100%, $G$9) + CHOOSE(CONTROL!$C$38, 0.0347, 0)</f>
        <v>25.569200000000002</v>
      </c>
      <c r="I285" s="10">
        <f>25.5361 * CHOOSE(CONTROL!$C$15, $E$9, 100%, $G$9) + CHOOSE(CONTROL!$C$38, 0.0347, 0)</f>
        <v>25.570800000000002</v>
      </c>
      <c r="J285" s="26">
        <f>171.684</f>
        <v>171.684</v>
      </c>
    </row>
    <row r="286" spans="1:10" ht="15" x14ac:dyDescent="0.2">
      <c r="A286" s="15">
        <v>49980</v>
      </c>
      <c r="B286" s="10">
        <f>27.9429 * CHOOSE(CONTROL!$C$15, $E$9, 100%, $G$9) + CHOOSE(CONTROL!$C$38, 0.0256, 0)</f>
        <v>27.968500000000002</v>
      </c>
      <c r="C286" s="10">
        <f>25.7295 * CHOOSE(CONTROL!$C$15, $E$9, 100%, $G$9) + CHOOSE(CONTROL!$C$38, 0.0347, 0)</f>
        <v>25.764200000000002</v>
      </c>
      <c r="D286" s="10">
        <f>25.7217 * CHOOSE(CONTROL!$C$15, $E$9, 100%, $G$9) + CHOOSE(CONTROL!$C$38, 0.0347, 0)</f>
        <v>25.756399999999999</v>
      </c>
      <c r="E286" s="28">
        <f>27.7866 * CHOOSE(CONTROL!$C$15, $E$9, 100%, $G$9) + CHOOSE(CONTROL!$C$38, 0.0347, 0)</f>
        <v>27.821300000000001</v>
      </c>
      <c r="F286" s="27">
        <f>27.7866 * CHOOSE(CONTROL!$C$15, $E$9, 100%, $G$9) + CHOOSE(CONTROL!$C$38, 0.0256, 0)</f>
        <v>27.812200000000001</v>
      </c>
      <c r="G286" s="10">
        <f>25.728 * CHOOSE(CONTROL!$C$15, $E$9, 100%, $G$9) + CHOOSE(CONTROL!$C$38, 0.0347, 0)</f>
        <v>25.762700000000002</v>
      </c>
      <c r="H286" s="10">
        <f>25.728 * CHOOSE(CONTROL!$C$15, $E$9, 100%, $G$9) + CHOOSE(CONTROL!$C$38, 0.0347, 0)</f>
        <v>25.762700000000002</v>
      </c>
      <c r="I286" s="10">
        <f>25.7295 * CHOOSE(CONTROL!$C$15, $E$9, 100%, $G$9) + CHOOSE(CONTROL!$C$38, 0.0347, 0)</f>
        <v>25.764200000000002</v>
      </c>
      <c r="J286" s="26">
        <f>170.4607</f>
        <v>170.4607</v>
      </c>
    </row>
    <row r="287" spans="1:10" ht="15" x14ac:dyDescent="0.2">
      <c r="A287" s="15">
        <v>50010</v>
      </c>
      <c r="B287" s="10">
        <f>28.539 * CHOOSE(CONTROL!$C$15, $E$9, 100%, $G$9) + CHOOSE(CONTROL!$C$38, 0.0256, 0)</f>
        <v>28.564600000000002</v>
      </c>
      <c r="C287" s="10">
        <f>26.3256 * CHOOSE(CONTROL!$C$15, $E$9, 100%, $G$9) + CHOOSE(CONTROL!$C$38, 0.0347, 0)</f>
        <v>26.360300000000002</v>
      </c>
      <c r="D287" s="10">
        <f>26.3178 * CHOOSE(CONTROL!$C$15, $E$9, 100%, $G$9) + CHOOSE(CONTROL!$C$38, 0.0347, 0)</f>
        <v>26.352499999999999</v>
      </c>
      <c r="E287" s="28">
        <f>28.3827 * CHOOSE(CONTROL!$C$15, $E$9, 100%, $G$9) + CHOOSE(CONTROL!$C$38, 0.0347, 0)</f>
        <v>28.417400000000001</v>
      </c>
      <c r="F287" s="27">
        <f>28.3827 * CHOOSE(CONTROL!$C$15, $E$9, 100%, $G$9) + CHOOSE(CONTROL!$C$38, 0.0256, 0)</f>
        <v>28.408300000000001</v>
      </c>
      <c r="G287" s="10">
        <f>26.324 * CHOOSE(CONTROL!$C$15, $E$9, 100%, $G$9) + CHOOSE(CONTROL!$C$38, 0.0347, 0)</f>
        <v>26.358700000000002</v>
      </c>
      <c r="H287" s="10">
        <f>26.324 * CHOOSE(CONTROL!$C$15, $E$9, 100%, $G$9) + CHOOSE(CONTROL!$C$38, 0.0347, 0)</f>
        <v>26.358700000000002</v>
      </c>
      <c r="I287" s="10">
        <f>26.3256 * CHOOSE(CONTROL!$C$15, $E$9, 100%, $G$9) + CHOOSE(CONTROL!$C$38, 0.0347, 0)</f>
        <v>26.360300000000002</v>
      </c>
      <c r="J287" s="26">
        <f>165.4023</f>
        <v>165.4023</v>
      </c>
    </row>
    <row r="288" spans="1:10" ht="15" x14ac:dyDescent="0.2">
      <c r="A288" s="15">
        <v>50041</v>
      </c>
      <c r="B288" s="10">
        <f>29.4932 * CHOOSE(CONTROL!$C$15, $E$9, 100%, $G$9) + CHOOSE(CONTROL!$C$38, 0.0256, 0)</f>
        <v>29.518800000000002</v>
      </c>
      <c r="C288" s="10">
        <f>27.2434 * CHOOSE(CONTROL!$C$15, $E$9, 100%, $G$9) + CHOOSE(CONTROL!$C$38, 0.0347, 0)</f>
        <v>27.278100000000002</v>
      </c>
      <c r="D288" s="10">
        <f>27.2356 * CHOOSE(CONTROL!$C$15, $E$9, 100%, $G$9) + CHOOSE(CONTROL!$C$38, 0.0347, 0)</f>
        <v>27.270300000000002</v>
      </c>
      <c r="E288" s="28">
        <f>29.3369 * CHOOSE(CONTROL!$C$15, $E$9, 100%, $G$9) + CHOOSE(CONTROL!$C$38, 0.0347, 0)</f>
        <v>29.371600000000001</v>
      </c>
      <c r="F288" s="27">
        <f>29.3369 * CHOOSE(CONTROL!$C$15, $E$9, 100%, $G$9) + CHOOSE(CONTROL!$C$38, 0.0256, 0)</f>
        <v>29.362500000000001</v>
      </c>
      <c r="G288" s="10">
        <f>27.2419 * CHOOSE(CONTROL!$C$15, $E$9, 100%, $G$9) + CHOOSE(CONTROL!$C$38, 0.0347, 0)</f>
        <v>27.276600000000002</v>
      </c>
      <c r="H288" s="10">
        <f>27.2419 * CHOOSE(CONTROL!$C$15, $E$9, 100%, $G$9) + CHOOSE(CONTROL!$C$38, 0.0347, 0)</f>
        <v>27.276600000000002</v>
      </c>
      <c r="I288" s="10">
        <f>27.2434 * CHOOSE(CONTROL!$C$15, $E$9, 100%, $G$9) + CHOOSE(CONTROL!$C$38, 0.0347, 0)</f>
        <v>27.278100000000002</v>
      </c>
      <c r="J288" s="26">
        <f>164.2944</f>
        <v>164.2944</v>
      </c>
    </row>
    <row r="289" spans="1:10" ht="15" x14ac:dyDescent="0.2">
      <c r="A289" s="15">
        <v>50072</v>
      </c>
      <c r="B289" s="10">
        <f>29.7139 * CHOOSE(CONTROL!$C$15, $E$9, 100%, $G$9) + CHOOSE(CONTROL!$C$38, 0.0256, 0)</f>
        <v>29.7395</v>
      </c>
      <c r="C289" s="10">
        <f>27.4642 * CHOOSE(CONTROL!$C$15, $E$9, 100%, $G$9) + CHOOSE(CONTROL!$C$38, 0.0347, 0)</f>
        <v>27.498900000000003</v>
      </c>
      <c r="D289" s="10">
        <f>27.4564 * CHOOSE(CONTROL!$C$15, $E$9, 100%, $G$9) + CHOOSE(CONTROL!$C$38, 0.0347, 0)</f>
        <v>27.491099999999999</v>
      </c>
      <c r="E289" s="28">
        <f>29.5577 * CHOOSE(CONTROL!$C$15, $E$9, 100%, $G$9) + CHOOSE(CONTROL!$C$38, 0.0347, 0)</f>
        <v>29.592400000000001</v>
      </c>
      <c r="F289" s="27">
        <f>29.5577 * CHOOSE(CONTROL!$C$15, $E$9, 100%, $G$9) + CHOOSE(CONTROL!$C$38, 0.0256, 0)</f>
        <v>29.583300000000001</v>
      </c>
      <c r="G289" s="10">
        <f>27.4626 * CHOOSE(CONTROL!$C$15, $E$9, 100%, $G$9) + CHOOSE(CONTROL!$C$38, 0.0347, 0)</f>
        <v>27.497299999999999</v>
      </c>
      <c r="H289" s="10">
        <f>27.4626 * CHOOSE(CONTROL!$C$15, $E$9, 100%, $G$9) + CHOOSE(CONTROL!$C$38, 0.0347, 0)</f>
        <v>27.497299999999999</v>
      </c>
      <c r="I289" s="10">
        <f>27.4642 * CHOOSE(CONTROL!$C$15, $E$9, 100%, $G$9) + CHOOSE(CONTROL!$C$38, 0.0347, 0)</f>
        <v>27.498900000000003</v>
      </c>
      <c r="J289" s="26">
        <f>163.8377</f>
        <v>163.83770000000001</v>
      </c>
    </row>
    <row r="290" spans="1:10" ht="15" x14ac:dyDescent="0.2">
      <c r="A290" s="15">
        <v>50100</v>
      </c>
      <c r="B290" s="10">
        <f>29.2029 * CHOOSE(CONTROL!$C$15, $E$9, 100%, $G$9) + CHOOSE(CONTROL!$C$38, 0.0256, 0)</f>
        <v>29.2285</v>
      </c>
      <c r="C290" s="10">
        <f>26.9532 * CHOOSE(CONTROL!$C$15, $E$9, 100%, $G$9) + CHOOSE(CONTROL!$C$38, 0.0347, 0)</f>
        <v>26.9879</v>
      </c>
      <c r="D290" s="10">
        <f>26.9454 * CHOOSE(CONTROL!$C$15, $E$9, 100%, $G$9) + CHOOSE(CONTROL!$C$38, 0.0347, 0)</f>
        <v>26.9801</v>
      </c>
      <c r="E290" s="28">
        <f>29.0466 * CHOOSE(CONTROL!$C$15, $E$9, 100%, $G$9) + CHOOSE(CONTROL!$C$38, 0.0347, 0)</f>
        <v>29.081300000000002</v>
      </c>
      <c r="F290" s="27">
        <f>29.0466 * CHOOSE(CONTROL!$C$15, $E$9, 100%, $G$9) + CHOOSE(CONTROL!$C$38, 0.0256, 0)</f>
        <v>29.072200000000002</v>
      </c>
      <c r="G290" s="10">
        <f>26.9516 * CHOOSE(CONTROL!$C$15, $E$9, 100%, $G$9) + CHOOSE(CONTROL!$C$38, 0.0347, 0)</f>
        <v>26.9863</v>
      </c>
      <c r="H290" s="10">
        <f>26.9516 * CHOOSE(CONTROL!$C$15, $E$9, 100%, $G$9) + CHOOSE(CONTROL!$C$38, 0.0347, 0)</f>
        <v>26.9863</v>
      </c>
      <c r="I290" s="10">
        <f>26.9532 * CHOOSE(CONTROL!$C$15, $E$9, 100%, $G$9) + CHOOSE(CONTROL!$C$38, 0.0347, 0)</f>
        <v>26.9879</v>
      </c>
      <c r="J290" s="26">
        <f>172.4729</f>
        <v>172.47290000000001</v>
      </c>
    </row>
    <row r="291" spans="1:10" ht="15" x14ac:dyDescent="0.2">
      <c r="A291" s="15">
        <v>50131</v>
      </c>
      <c r="B291" s="10">
        <f>28.7077 * CHOOSE(CONTROL!$C$15, $E$9, 100%, $G$9) + CHOOSE(CONTROL!$C$38, 0.0256, 0)</f>
        <v>28.7333</v>
      </c>
      <c r="C291" s="10">
        <f>26.458 * CHOOSE(CONTROL!$C$15, $E$9, 100%, $G$9) + CHOOSE(CONTROL!$C$38, 0.0347, 0)</f>
        <v>26.492699999999999</v>
      </c>
      <c r="D291" s="10">
        <f>26.4502 * CHOOSE(CONTROL!$C$15, $E$9, 100%, $G$9) + CHOOSE(CONTROL!$C$38, 0.0347, 0)</f>
        <v>26.4849</v>
      </c>
      <c r="E291" s="28">
        <f>28.5515 * CHOOSE(CONTROL!$C$15, $E$9, 100%, $G$9) + CHOOSE(CONTROL!$C$38, 0.0347, 0)</f>
        <v>28.586200000000002</v>
      </c>
      <c r="F291" s="27">
        <f>28.5515 * CHOOSE(CONTROL!$C$15, $E$9, 100%, $G$9) + CHOOSE(CONTROL!$C$38, 0.0256, 0)</f>
        <v>28.577100000000002</v>
      </c>
      <c r="G291" s="10">
        <f>26.4564 * CHOOSE(CONTROL!$C$15, $E$9, 100%, $G$9) + CHOOSE(CONTROL!$C$38, 0.0347, 0)</f>
        <v>26.491099999999999</v>
      </c>
      <c r="H291" s="10">
        <f>26.4564 * CHOOSE(CONTROL!$C$15, $E$9, 100%, $G$9) + CHOOSE(CONTROL!$C$38, 0.0347, 0)</f>
        <v>26.491099999999999</v>
      </c>
      <c r="I291" s="10">
        <f>26.458 * CHOOSE(CONTROL!$C$15, $E$9, 100%, $G$9) + CHOOSE(CONTROL!$C$38, 0.0347, 0)</f>
        <v>26.492699999999999</v>
      </c>
      <c r="J291" s="26">
        <f>183.6707</f>
        <v>183.67070000000001</v>
      </c>
    </row>
    <row r="292" spans="1:10" ht="15" x14ac:dyDescent="0.2">
      <c r="A292" s="15">
        <v>50161</v>
      </c>
      <c r="B292" s="10">
        <f>28.1916 * CHOOSE(CONTROL!$C$15, $E$9, 100%, $G$9) + CHOOSE(CONTROL!$C$38, 0.0256, 0)</f>
        <v>28.217200000000002</v>
      </c>
      <c r="C292" s="10">
        <f>25.9419 * CHOOSE(CONTROL!$C$15, $E$9, 100%, $G$9) + CHOOSE(CONTROL!$C$38, 0.0347, 0)</f>
        <v>25.976600000000001</v>
      </c>
      <c r="D292" s="10">
        <f>25.9341 * CHOOSE(CONTROL!$C$15, $E$9, 100%, $G$9) + CHOOSE(CONTROL!$C$38, 0.0347, 0)</f>
        <v>25.968800000000002</v>
      </c>
      <c r="E292" s="28">
        <f>28.0353 * CHOOSE(CONTROL!$C$15, $E$9, 100%, $G$9) + CHOOSE(CONTROL!$C$38, 0.0347, 0)</f>
        <v>28.07</v>
      </c>
      <c r="F292" s="27">
        <f>28.0353 * CHOOSE(CONTROL!$C$15, $E$9, 100%, $G$9) + CHOOSE(CONTROL!$C$38, 0.0256, 0)</f>
        <v>28.0609</v>
      </c>
      <c r="G292" s="10">
        <f>25.9403 * CHOOSE(CONTROL!$C$15, $E$9, 100%, $G$9) + CHOOSE(CONTROL!$C$38, 0.0347, 0)</f>
        <v>25.975000000000001</v>
      </c>
      <c r="H292" s="10">
        <f>25.9403 * CHOOSE(CONTROL!$C$15, $E$9, 100%, $G$9) + CHOOSE(CONTROL!$C$38, 0.0347, 0)</f>
        <v>25.975000000000001</v>
      </c>
      <c r="I292" s="10">
        <f>25.9419 * CHOOSE(CONTROL!$C$15, $E$9, 100%, $G$9) + CHOOSE(CONTROL!$C$38, 0.0347, 0)</f>
        <v>25.976600000000001</v>
      </c>
      <c r="J292" s="26">
        <f>189.8343</f>
        <v>189.83430000000001</v>
      </c>
    </row>
    <row r="293" spans="1:10" ht="15" x14ac:dyDescent="0.2">
      <c r="A293" s="15">
        <v>50192</v>
      </c>
      <c r="B293" s="10">
        <f>27.8298 * CHOOSE(CONTROL!$C$15, $E$9, 100%, $G$9) + CHOOSE(CONTROL!$C$38, 0.0256, 0)</f>
        <v>27.855399999999999</v>
      </c>
      <c r="C293" s="10">
        <f>25.58 * CHOOSE(CONTROL!$C$15, $E$9, 100%, $G$9) + CHOOSE(CONTROL!$C$38, 0.0347, 0)</f>
        <v>25.614699999999999</v>
      </c>
      <c r="D293" s="10">
        <f>25.5722 * CHOOSE(CONTROL!$C$15, $E$9, 100%, $G$9) + CHOOSE(CONTROL!$C$38, 0.0347, 0)</f>
        <v>25.6069</v>
      </c>
      <c r="E293" s="28">
        <f>27.6735 * CHOOSE(CONTROL!$C$15, $E$9, 100%, $G$9) + CHOOSE(CONTROL!$C$38, 0.0347, 0)</f>
        <v>27.708200000000001</v>
      </c>
      <c r="F293" s="27">
        <f>27.6735 * CHOOSE(CONTROL!$C$15, $E$9, 100%, $G$9) + CHOOSE(CONTROL!$C$38, 0.0256, 0)</f>
        <v>27.699100000000001</v>
      </c>
      <c r="G293" s="10">
        <f>25.5785 * CHOOSE(CONTROL!$C$15, $E$9, 100%, $G$9) + CHOOSE(CONTROL!$C$38, 0.0347, 0)</f>
        <v>25.613199999999999</v>
      </c>
      <c r="H293" s="10">
        <f>25.5785 * CHOOSE(CONTROL!$C$15, $E$9, 100%, $G$9) + CHOOSE(CONTROL!$C$38, 0.0347, 0)</f>
        <v>25.613199999999999</v>
      </c>
      <c r="I293" s="10">
        <f>25.58 * CHOOSE(CONTROL!$C$15, $E$9, 100%, $G$9) + CHOOSE(CONTROL!$C$38, 0.0347, 0)</f>
        <v>25.614699999999999</v>
      </c>
      <c r="J293" s="26">
        <f>192.5696</f>
        <v>192.56960000000001</v>
      </c>
    </row>
    <row r="294" spans="1:10" ht="15" x14ac:dyDescent="0.2">
      <c r="A294" s="15">
        <v>50222</v>
      </c>
      <c r="B294" s="10">
        <f>27.6233 * CHOOSE(CONTROL!$C$15, $E$9, 100%, $G$9) + CHOOSE(CONTROL!$C$38, 0.0256, 0)</f>
        <v>27.648900000000001</v>
      </c>
      <c r="C294" s="10">
        <f>25.3736 * CHOOSE(CONTROL!$C$15, $E$9, 100%, $G$9) + CHOOSE(CONTROL!$C$38, 0.0347, 0)</f>
        <v>25.408300000000001</v>
      </c>
      <c r="D294" s="10">
        <f>25.3657 * CHOOSE(CONTROL!$C$15, $E$9, 100%, $G$9) + CHOOSE(CONTROL!$C$38, 0.0347, 0)</f>
        <v>25.400400000000001</v>
      </c>
      <c r="E294" s="28">
        <f>27.467 * CHOOSE(CONTROL!$C$15, $E$9, 100%, $G$9) + CHOOSE(CONTROL!$C$38, 0.0347, 0)</f>
        <v>27.5017</v>
      </c>
      <c r="F294" s="27">
        <f>27.467 * CHOOSE(CONTROL!$C$15, $E$9, 100%, $G$9) + CHOOSE(CONTROL!$C$38, 0.0256, 0)</f>
        <v>27.492599999999999</v>
      </c>
      <c r="G294" s="10">
        <f>25.372 * CHOOSE(CONTROL!$C$15, $E$9, 100%, $G$9) + CHOOSE(CONTROL!$C$38, 0.0347, 0)</f>
        <v>25.406700000000001</v>
      </c>
      <c r="H294" s="10">
        <f>25.372 * CHOOSE(CONTROL!$C$15, $E$9, 100%, $G$9) + CHOOSE(CONTROL!$C$38, 0.0347, 0)</f>
        <v>25.406700000000001</v>
      </c>
      <c r="I294" s="10">
        <f>25.3736 * CHOOSE(CONTROL!$C$15, $E$9, 100%, $G$9) + CHOOSE(CONTROL!$C$38, 0.0347, 0)</f>
        <v>25.408300000000001</v>
      </c>
      <c r="J294" s="26">
        <f>191.669</f>
        <v>191.66900000000001</v>
      </c>
    </row>
    <row r="295" spans="1:10" ht="15" x14ac:dyDescent="0.2">
      <c r="A295" s="15">
        <v>50253</v>
      </c>
      <c r="B295" s="10">
        <f>27.7252 * CHOOSE(CONTROL!$C$15, $E$9, 100%, $G$9) + CHOOSE(CONTROL!$C$38, 0.0256, 0)</f>
        <v>27.750800000000002</v>
      </c>
      <c r="C295" s="10">
        <f>25.4755 * CHOOSE(CONTROL!$C$15, $E$9, 100%, $G$9) + CHOOSE(CONTROL!$C$38, 0.0347, 0)</f>
        <v>25.510200000000001</v>
      </c>
      <c r="D295" s="10">
        <f>25.4677 * CHOOSE(CONTROL!$C$15, $E$9, 100%, $G$9) + CHOOSE(CONTROL!$C$38, 0.0347, 0)</f>
        <v>25.502400000000002</v>
      </c>
      <c r="E295" s="28">
        <f>27.5689 * CHOOSE(CONTROL!$C$15, $E$9, 100%, $G$9) + CHOOSE(CONTROL!$C$38, 0.0347, 0)</f>
        <v>27.6036</v>
      </c>
      <c r="F295" s="27">
        <f>27.5689 * CHOOSE(CONTROL!$C$15, $E$9, 100%, $G$9) + CHOOSE(CONTROL!$C$38, 0.0256, 0)</f>
        <v>27.5945</v>
      </c>
      <c r="G295" s="10">
        <f>25.4739 * CHOOSE(CONTROL!$C$15, $E$9, 100%, $G$9) + CHOOSE(CONTROL!$C$38, 0.0347, 0)</f>
        <v>25.508600000000001</v>
      </c>
      <c r="H295" s="10">
        <f>25.4739 * CHOOSE(CONTROL!$C$15, $E$9, 100%, $G$9) + CHOOSE(CONTROL!$C$38, 0.0347, 0)</f>
        <v>25.508600000000001</v>
      </c>
      <c r="I295" s="10">
        <f>25.4755 * CHOOSE(CONTROL!$C$15, $E$9, 100%, $G$9) + CHOOSE(CONTROL!$C$38, 0.0347, 0)</f>
        <v>25.510200000000001</v>
      </c>
      <c r="J295" s="26">
        <f>187.207</f>
        <v>187.20699999999999</v>
      </c>
    </row>
    <row r="296" spans="1:10" ht="15" x14ac:dyDescent="0.2">
      <c r="A296" s="15">
        <v>50284</v>
      </c>
      <c r="B296" s="10">
        <f>28.002 * CHOOSE(CONTROL!$C$15, $E$9, 100%, $G$9) + CHOOSE(CONTROL!$C$38, 0.0256, 0)</f>
        <v>28.0276</v>
      </c>
      <c r="C296" s="10">
        <f>25.7523 * CHOOSE(CONTROL!$C$15, $E$9, 100%, $G$9) + CHOOSE(CONTROL!$C$38, 0.0347, 0)</f>
        <v>25.787000000000003</v>
      </c>
      <c r="D296" s="10">
        <f>25.7444 * CHOOSE(CONTROL!$C$15, $E$9, 100%, $G$9) + CHOOSE(CONTROL!$C$38, 0.0347, 0)</f>
        <v>25.7791</v>
      </c>
      <c r="E296" s="28">
        <f>27.8457 * CHOOSE(CONTROL!$C$15, $E$9, 100%, $G$9) + CHOOSE(CONTROL!$C$38, 0.0347, 0)</f>
        <v>27.880400000000002</v>
      </c>
      <c r="F296" s="27">
        <f>27.8457 * CHOOSE(CONTROL!$C$15, $E$9, 100%, $G$9) + CHOOSE(CONTROL!$C$38, 0.0256, 0)</f>
        <v>27.871300000000002</v>
      </c>
      <c r="G296" s="10">
        <f>25.7507 * CHOOSE(CONTROL!$C$15, $E$9, 100%, $G$9) + CHOOSE(CONTROL!$C$38, 0.0347, 0)</f>
        <v>25.785399999999999</v>
      </c>
      <c r="H296" s="10">
        <f>25.7507 * CHOOSE(CONTROL!$C$15, $E$9, 100%, $G$9) + CHOOSE(CONTROL!$C$38, 0.0347, 0)</f>
        <v>25.785399999999999</v>
      </c>
      <c r="I296" s="10">
        <f>25.7523 * CHOOSE(CONTROL!$C$15, $E$9, 100%, $G$9) + CHOOSE(CONTROL!$C$38, 0.0347, 0)</f>
        <v>25.787000000000003</v>
      </c>
      <c r="J296" s="26">
        <f>180.9846</f>
        <v>180.9846</v>
      </c>
    </row>
    <row r="297" spans="1:10" ht="15" x14ac:dyDescent="0.2">
      <c r="A297" s="15">
        <v>50314</v>
      </c>
      <c r="B297" s="10">
        <f>28.2338 * CHOOSE(CONTROL!$C$15, $E$9, 100%, $G$9) + CHOOSE(CONTROL!$C$38, 0.0256, 0)</f>
        <v>28.259399999999999</v>
      </c>
      <c r="C297" s="10">
        <f>25.9841 * CHOOSE(CONTROL!$C$15, $E$9, 100%, $G$9) + CHOOSE(CONTROL!$C$38, 0.0347, 0)</f>
        <v>26.018800000000002</v>
      </c>
      <c r="D297" s="10">
        <f>25.9763 * CHOOSE(CONTROL!$C$15, $E$9, 100%, $G$9) + CHOOSE(CONTROL!$C$38, 0.0347, 0)</f>
        <v>26.010999999999999</v>
      </c>
      <c r="E297" s="28">
        <f>28.0775 * CHOOSE(CONTROL!$C$15, $E$9, 100%, $G$9) + CHOOSE(CONTROL!$C$38, 0.0347, 0)</f>
        <v>28.112200000000001</v>
      </c>
      <c r="F297" s="27">
        <f>28.0775 * CHOOSE(CONTROL!$C$15, $E$9, 100%, $G$9) + CHOOSE(CONTROL!$C$38, 0.0256, 0)</f>
        <v>28.103100000000001</v>
      </c>
      <c r="G297" s="10">
        <f>25.9825 * CHOOSE(CONTROL!$C$15, $E$9, 100%, $G$9) + CHOOSE(CONTROL!$C$38, 0.0347, 0)</f>
        <v>26.017200000000003</v>
      </c>
      <c r="H297" s="10">
        <f>25.9825 * CHOOSE(CONTROL!$C$15, $E$9, 100%, $G$9) + CHOOSE(CONTROL!$C$38, 0.0347, 0)</f>
        <v>26.017200000000003</v>
      </c>
      <c r="I297" s="10">
        <f>25.9841 * CHOOSE(CONTROL!$C$15, $E$9, 100%, $G$9) + CHOOSE(CONTROL!$C$38, 0.0347, 0)</f>
        <v>26.018800000000002</v>
      </c>
      <c r="J297" s="26">
        <f>174.726</f>
        <v>174.726</v>
      </c>
    </row>
    <row r="298" spans="1:10" ht="15" x14ac:dyDescent="0.2">
      <c r="A298" s="15">
        <v>50345</v>
      </c>
      <c r="B298" s="10">
        <f>28.4272 * CHOOSE(CONTROL!$C$15, $E$9, 100%, $G$9) + CHOOSE(CONTROL!$C$38, 0.0256, 0)</f>
        <v>28.4528</v>
      </c>
      <c r="C298" s="10">
        <f>26.1775 * CHOOSE(CONTROL!$C$15, $E$9, 100%, $G$9) + CHOOSE(CONTROL!$C$38, 0.0347, 0)</f>
        <v>26.212199999999999</v>
      </c>
      <c r="D298" s="10">
        <f>26.1697 * CHOOSE(CONTROL!$C$15, $E$9, 100%, $G$9) + CHOOSE(CONTROL!$C$38, 0.0347, 0)</f>
        <v>26.2044</v>
      </c>
      <c r="E298" s="28">
        <f>28.271 * CHOOSE(CONTROL!$C$15, $E$9, 100%, $G$9) + CHOOSE(CONTROL!$C$38, 0.0347, 0)</f>
        <v>28.305700000000002</v>
      </c>
      <c r="F298" s="27">
        <f>28.271 * CHOOSE(CONTROL!$C$15, $E$9, 100%, $G$9) + CHOOSE(CONTROL!$C$38, 0.0256, 0)</f>
        <v>28.296600000000002</v>
      </c>
      <c r="G298" s="10">
        <f>26.176 * CHOOSE(CONTROL!$C$15, $E$9, 100%, $G$9) + CHOOSE(CONTROL!$C$38, 0.0347, 0)</f>
        <v>26.210699999999999</v>
      </c>
      <c r="H298" s="10">
        <f>26.176 * CHOOSE(CONTROL!$C$15, $E$9, 100%, $G$9) + CHOOSE(CONTROL!$C$38, 0.0347, 0)</f>
        <v>26.210699999999999</v>
      </c>
      <c r="I298" s="10">
        <f>26.1775 * CHOOSE(CONTROL!$C$15, $E$9, 100%, $G$9) + CHOOSE(CONTROL!$C$38, 0.0347, 0)</f>
        <v>26.212199999999999</v>
      </c>
      <c r="J298" s="26">
        <f>173.481</f>
        <v>173.48099999999999</v>
      </c>
    </row>
    <row r="299" spans="1:10" ht="15" x14ac:dyDescent="0.2">
      <c r="A299" s="15">
        <v>50375</v>
      </c>
      <c r="B299" s="10">
        <f>29.0233 * CHOOSE(CONTROL!$C$15, $E$9, 100%, $G$9) + CHOOSE(CONTROL!$C$38, 0.0256, 0)</f>
        <v>29.0489</v>
      </c>
      <c r="C299" s="10">
        <f>26.7736 * CHOOSE(CONTROL!$C$15, $E$9, 100%, $G$9) + CHOOSE(CONTROL!$C$38, 0.0347, 0)</f>
        <v>26.808299999999999</v>
      </c>
      <c r="D299" s="10">
        <f>26.7658 * CHOOSE(CONTROL!$C$15, $E$9, 100%, $G$9) + CHOOSE(CONTROL!$C$38, 0.0347, 0)</f>
        <v>26.8005</v>
      </c>
      <c r="E299" s="28">
        <f>28.8671 * CHOOSE(CONTROL!$C$15, $E$9, 100%, $G$9) + CHOOSE(CONTROL!$C$38, 0.0347, 0)</f>
        <v>28.901800000000001</v>
      </c>
      <c r="F299" s="27">
        <f>28.8671 * CHOOSE(CONTROL!$C$15, $E$9, 100%, $G$9) + CHOOSE(CONTROL!$C$38, 0.0256, 0)</f>
        <v>28.892700000000001</v>
      </c>
      <c r="G299" s="10">
        <f>26.772 * CHOOSE(CONTROL!$C$15, $E$9, 100%, $G$9) + CHOOSE(CONTROL!$C$38, 0.0347, 0)</f>
        <v>26.806699999999999</v>
      </c>
      <c r="H299" s="10">
        <f>26.772 * CHOOSE(CONTROL!$C$15, $E$9, 100%, $G$9) + CHOOSE(CONTROL!$C$38, 0.0347, 0)</f>
        <v>26.806699999999999</v>
      </c>
      <c r="I299" s="10">
        <f>26.7736 * CHOOSE(CONTROL!$C$15, $E$9, 100%, $G$9) + CHOOSE(CONTROL!$C$38, 0.0347, 0)</f>
        <v>26.808299999999999</v>
      </c>
      <c r="J299" s="26">
        <f>168.3329</f>
        <v>168.3329</v>
      </c>
    </row>
    <row r="300" spans="1:10" ht="15.75" x14ac:dyDescent="0.25">
      <c r="A300" s="14">
        <v>50436</v>
      </c>
      <c r="B300" s="10">
        <f>29.986 * CHOOSE(CONTROL!$C$15, $E$9, 100%, $G$9) + CHOOSE(CONTROL!$C$38, 0.0256, 0)</f>
        <v>30.011600000000001</v>
      </c>
      <c r="C300" s="10">
        <f>27.6994 * CHOOSE(CONTROL!$C$15, $E$9, 100%, $G$9) + CHOOSE(CONTROL!$C$38, 0.0347, 0)</f>
        <v>27.734100000000002</v>
      </c>
      <c r="D300" s="10">
        <f>27.6915 * CHOOSE(CONTROL!$C$15, $E$9, 100%, $G$9) + CHOOSE(CONTROL!$C$38, 0.0347, 0)</f>
        <v>27.726200000000002</v>
      </c>
      <c r="E300" s="28">
        <f>29.8298 * CHOOSE(CONTROL!$C$15, $E$9, 100%, $G$9) + CHOOSE(CONTROL!$C$38, 0.0347, 0)</f>
        <v>29.8645</v>
      </c>
      <c r="F300" s="27">
        <f>29.8298 * CHOOSE(CONTROL!$C$15, $E$9, 100%, $G$9) + CHOOSE(CONTROL!$C$38, 0.0256, 0)</f>
        <v>29.855399999999999</v>
      </c>
      <c r="G300" s="10">
        <f>27.6978 * CHOOSE(CONTROL!$C$15, $E$9, 100%, $G$9) + CHOOSE(CONTROL!$C$38, 0.0347, 0)</f>
        <v>27.732500000000002</v>
      </c>
      <c r="H300" s="10">
        <f>27.6978 * CHOOSE(CONTROL!$C$15, $E$9, 100%, $G$9) + CHOOSE(CONTROL!$C$38, 0.0347, 0)</f>
        <v>27.732500000000002</v>
      </c>
      <c r="I300" s="10">
        <f>27.6994 * CHOOSE(CONTROL!$C$15, $E$9, 100%, $G$9) + CHOOSE(CONTROL!$C$38, 0.0347, 0)</f>
        <v>27.734100000000002</v>
      </c>
      <c r="J300" s="26">
        <f>167.2054</f>
        <v>167.2054</v>
      </c>
    </row>
    <row r="301" spans="1:10" ht="15.75" x14ac:dyDescent="0.25">
      <c r="A301" s="14">
        <v>50464</v>
      </c>
      <c r="B301" s="10">
        <f>30.2068 * CHOOSE(CONTROL!$C$15, $E$9, 100%, $G$9) + CHOOSE(CONTROL!$C$38, 0.0256, 0)</f>
        <v>30.232400000000002</v>
      </c>
      <c r="C301" s="10">
        <f>27.9201 * CHOOSE(CONTROL!$C$15, $E$9, 100%, $G$9) + CHOOSE(CONTROL!$C$38, 0.0347, 0)</f>
        <v>27.954800000000002</v>
      </c>
      <c r="D301" s="10">
        <f>27.9123 * CHOOSE(CONTROL!$C$15, $E$9, 100%, $G$9) + CHOOSE(CONTROL!$C$38, 0.0347, 0)</f>
        <v>27.946999999999999</v>
      </c>
      <c r="E301" s="28">
        <f>30.0506 * CHOOSE(CONTROL!$C$15, $E$9, 100%, $G$9) + CHOOSE(CONTROL!$C$38, 0.0347, 0)</f>
        <v>30.0853</v>
      </c>
      <c r="F301" s="27">
        <f>30.0506 * CHOOSE(CONTROL!$C$15, $E$9, 100%, $G$9) + CHOOSE(CONTROL!$C$38, 0.0256, 0)</f>
        <v>30.0762</v>
      </c>
      <c r="G301" s="10">
        <f>27.9186 * CHOOSE(CONTROL!$C$15, $E$9, 100%, $G$9) + CHOOSE(CONTROL!$C$38, 0.0347, 0)</f>
        <v>27.953300000000002</v>
      </c>
      <c r="H301" s="10">
        <f>27.9186 * CHOOSE(CONTROL!$C$15, $E$9, 100%, $G$9) + CHOOSE(CONTROL!$C$38, 0.0347, 0)</f>
        <v>27.953300000000002</v>
      </c>
      <c r="I301" s="10">
        <f>27.9201 * CHOOSE(CONTROL!$C$15, $E$9, 100%, $G$9) + CHOOSE(CONTROL!$C$38, 0.0347, 0)</f>
        <v>27.954800000000002</v>
      </c>
      <c r="J301" s="26">
        <f>166.7406</f>
        <v>166.7406</v>
      </c>
    </row>
    <row r="302" spans="1:10" ht="15.75" x14ac:dyDescent="0.25">
      <c r="A302" s="14">
        <v>50495</v>
      </c>
      <c r="B302" s="10">
        <f>29.6958 * CHOOSE(CONTROL!$C$15, $E$9, 100%, $G$9) + CHOOSE(CONTROL!$C$38, 0.0256, 0)</f>
        <v>29.721399999999999</v>
      </c>
      <c r="C302" s="10">
        <f>27.4091 * CHOOSE(CONTROL!$C$15, $E$9, 100%, $G$9) + CHOOSE(CONTROL!$C$38, 0.0347, 0)</f>
        <v>27.4438</v>
      </c>
      <c r="D302" s="10">
        <f>27.4013 * CHOOSE(CONTROL!$C$15, $E$9, 100%, $G$9) + CHOOSE(CONTROL!$C$38, 0.0347, 0)</f>
        <v>27.436</v>
      </c>
      <c r="E302" s="28">
        <f>29.5395 * CHOOSE(CONTROL!$C$15, $E$9, 100%, $G$9) + CHOOSE(CONTROL!$C$38, 0.0347, 0)</f>
        <v>29.574200000000001</v>
      </c>
      <c r="F302" s="27">
        <f>29.5395 * CHOOSE(CONTROL!$C$15, $E$9, 100%, $G$9) + CHOOSE(CONTROL!$C$38, 0.0256, 0)</f>
        <v>29.565100000000001</v>
      </c>
      <c r="G302" s="10">
        <f>27.4075 * CHOOSE(CONTROL!$C$15, $E$9, 100%, $G$9) + CHOOSE(CONTROL!$C$38, 0.0347, 0)</f>
        <v>27.4422</v>
      </c>
      <c r="H302" s="10">
        <f>27.4075 * CHOOSE(CONTROL!$C$15, $E$9, 100%, $G$9) + CHOOSE(CONTROL!$C$38, 0.0347, 0)</f>
        <v>27.4422</v>
      </c>
      <c r="I302" s="10">
        <f>27.4091 * CHOOSE(CONTROL!$C$15, $E$9, 100%, $G$9) + CHOOSE(CONTROL!$C$38, 0.0347, 0)</f>
        <v>27.4438</v>
      </c>
      <c r="J302" s="26">
        <f>175.5288</f>
        <v>175.52879999999999</v>
      </c>
    </row>
    <row r="303" spans="1:10" ht="15.75" x14ac:dyDescent="0.25">
      <c r="A303" s="14">
        <v>50525</v>
      </c>
      <c r="B303" s="10">
        <f>29.2006 * CHOOSE(CONTROL!$C$15, $E$9, 100%, $G$9) + CHOOSE(CONTROL!$C$38, 0.0256, 0)</f>
        <v>29.226200000000002</v>
      </c>
      <c r="C303" s="10">
        <f>26.9139 * CHOOSE(CONTROL!$C$15, $E$9, 100%, $G$9) + CHOOSE(CONTROL!$C$38, 0.0347, 0)</f>
        <v>26.948600000000003</v>
      </c>
      <c r="D303" s="10">
        <f>26.9061 * CHOOSE(CONTROL!$C$15, $E$9, 100%, $G$9) + CHOOSE(CONTROL!$C$38, 0.0347, 0)</f>
        <v>26.940799999999999</v>
      </c>
      <c r="E303" s="28">
        <f>29.0443 * CHOOSE(CONTROL!$C$15, $E$9, 100%, $G$9) + CHOOSE(CONTROL!$C$38, 0.0347, 0)</f>
        <v>29.079000000000001</v>
      </c>
      <c r="F303" s="27">
        <f>29.0443 * CHOOSE(CONTROL!$C$15, $E$9, 100%, $G$9) + CHOOSE(CONTROL!$C$38, 0.0256, 0)</f>
        <v>29.069900000000001</v>
      </c>
      <c r="G303" s="10">
        <f>26.9123 * CHOOSE(CONTROL!$C$15, $E$9, 100%, $G$9) + CHOOSE(CONTROL!$C$38, 0.0347, 0)</f>
        <v>26.946999999999999</v>
      </c>
      <c r="H303" s="10">
        <f>26.9123 * CHOOSE(CONTROL!$C$15, $E$9, 100%, $G$9) + CHOOSE(CONTROL!$C$38, 0.0347, 0)</f>
        <v>26.946999999999999</v>
      </c>
      <c r="I303" s="10">
        <f>26.9139 * CHOOSE(CONTROL!$C$15, $E$9, 100%, $G$9) + CHOOSE(CONTROL!$C$38, 0.0347, 0)</f>
        <v>26.948600000000003</v>
      </c>
      <c r="J303" s="26">
        <f>186.925</f>
        <v>186.92500000000001</v>
      </c>
    </row>
    <row r="304" spans="1:10" ht="15.75" x14ac:dyDescent="0.25">
      <c r="A304" s="14">
        <v>50556</v>
      </c>
      <c r="B304" s="10">
        <f>28.6845 * CHOOSE(CONTROL!$C$15, $E$9, 100%, $G$9) + CHOOSE(CONTROL!$C$38, 0.0256, 0)</f>
        <v>28.710100000000001</v>
      </c>
      <c r="C304" s="10">
        <f>26.3978 * CHOOSE(CONTROL!$C$15, $E$9, 100%, $G$9) + CHOOSE(CONTROL!$C$38, 0.0347, 0)</f>
        <v>26.432500000000001</v>
      </c>
      <c r="D304" s="10">
        <f>26.39 * CHOOSE(CONTROL!$C$15, $E$9, 100%, $G$9) + CHOOSE(CONTROL!$C$38, 0.0347, 0)</f>
        <v>26.424700000000001</v>
      </c>
      <c r="E304" s="28">
        <f>28.5282 * CHOOSE(CONTROL!$C$15, $E$9, 100%, $G$9) + CHOOSE(CONTROL!$C$38, 0.0347, 0)</f>
        <v>28.562899999999999</v>
      </c>
      <c r="F304" s="27">
        <f>28.5282 * CHOOSE(CONTROL!$C$15, $E$9, 100%, $G$9) + CHOOSE(CONTROL!$C$38, 0.0256, 0)</f>
        <v>28.553799999999999</v>
      </c>
      <c r="G304" s="10">
        <f>26.3962 * CHOOSE(CONTROL!$C$15, $E$9, 100%, $G$9) + CHOOSE(CONTROL!$C$38, 0.0347, 0)</f>
        <v>26.430900000000001</v>
      </c>
      <c r="H304" s="10">
        <f>26.3962 * CHOOSE(CONTROL!$C$15, $E$9, 100%, $G$9) + CHOOSE(CONTROL!$C$38, 0.0347, 0)</f>
        <v>26.430900000000001</v>
      </c>
      <c r="I304" s="10">
        <f>26.3978 * CHOOSE(CONTROL!$C$15, $E$9, 100%, $G$9) + CHOOSE(CONTROL!$C$38, 0.0347, 0)</f>
        <v>26.432500000000001</v>
      </c>
      <c r="J304" s="26">
        <f>193.1978</f>
        <v>193.1978</v>
      </c>
    </row>
    <row r="305" spans="1:10" ht="15.75" x14ac:dyDescent="0.25">
      <c r="A305" s="14">
        <v>50586</v>
      </c>
      <c r="B305" s="10">
        <f>28.3227 * CHOOSE(CONTROL!$C$15, $E$9, 100%, $G$9) + CHOOSE(CONTROL!$C$38, 0.0256, 0)</f>
        <v>28.348300000000002</v>
      </c>
      <c r="C305" s="10">
        <f>26.036 * CHOOSE(CONTROL!$C$15, $E$9, 100%, $G$9) + CHOOSE(CONTROL!$C$38, 0.0347, 0)</f>
        <v>26.070700000000002</v>
      </c>
      <c r="D305" s="10">
        <f>26.0281 * CHOOSE(CONTROL!$C$15, $E$9, 100%, $G$9) + CHOOSE(CONTROL!$C$38, 0.0347, 0)</f>
        <v>26.062799999999999</v>
      </c>
      <c r="E305" s="28">
        <f>28.1664 * CHOOSE(CONTROL!$C$15, $E$9, 100%, $G$9) + CHOOSE(CONTROL!$C$38, 0.0347, 0)</f>
        <v>28.2011</v>
      </c>
      <c r="F305" s="27">
        <f>28.1664 * CHOOSE(CONTROL!$C$15, $E$9, 100%, $G$9) + CHOOSE(CONTROL!$C$38, 0.0256, 0)</f>
        <v>28.192</v>
      </c>
      <c r="G305" s="10">
        <f>26.0344 * CHOOSE(CONTROL!$C$15, $E$9, 100%, $G$9) + CHOOSE(CONTROL!$C$38, 0.0347, 0)</f>
        <v>26.069100000000002</v>
      </c>
      <c r="H305" s="10">
        <f>26.0344 * CHOOSE(CONTROL!$C$15, $E$9, 100%, $G$9) + CHOOSE(CONTROL!$C$38, 0.0347, 0)</f>
        <v>26.069100000000002</v>
      </c>
      <c r="I305" s="10">
        <f>26.036 * CHOOSE(CONTROL!$C$15, $E$9, 100%, $G$9) + CHOOSE(CONTROL!$C$38, 0.0347, 0)</f>
        <v>26.070700000000002</v>
      </c>
      <c r="J305" s="26">
        <f>195.9816</f>
        <v>195.98159999999999</v>
      </c>
    </row>
    <row r="306" spans="1:10" ht="15.75" x14ac:dyDescent="0.25">
      <c r="A306" s="14">
        <v>50617</v>
      </c>
      <c r="B306" s="10">
        <f>28.1162 * CHOOSE(CONTROL!$C$15, $E$9, 100%, $G$9) + CHOOSE(CONTROL!$C$38, 0.0256, 0)</f>
        <v>28.1418</v>
      </c>
      <c r="C306" s="10">
        <f>25.8295 * CHOOSE(CONTROL!$C$15, $E$9, 100%, $G$9) + CHOOSE(CONTROL!$C$38, 0.0347, 0)</f>
        <v>25.8642</v>
      </c>
      <c r="D306" s="10">
        <f>25.8217 * CHOOSE(CONTROL!$C$15, $E$9, 100%, $G$9) + CHOOSE(CONTROL!$C$38, 0.0347, 0)</f>
        <v>25.856400000000001</v>
      </c>
      <c r="E306" s="28">
        <f>27.9599 * CHOOSE(CONTROL!$C$15, $E$9, 100%, $G$9) + CHOOSE(CONTROL!$C$38, 0.0347, 0)</f>
        <v>27.994600000000002</v>
      </c>
      <c r="F306" s="27">
        <f>27.9599 * CHOOSE(CONTROL!$C$15, $E$9, 100%, $G$9) + CHOOSE(CONTROL!$C$38, 0.0256, 0)</f>
        <v>27.985500000000002</v>
      </c>
      <c r="G306" s="10">
        <f>25.8279 * CHOOSE(CONTROL!$C$15, $E$9, 100%, $G$9) + CHOOSE(CONTROL!$C$38, 0.0347, 0)</f>
        <v>25.8626</v>
      </c>
      <c r="H306" s="10">
        <f>25.8279 * CHOOSE(CONTROL!$C$15, $E$9, 100%, $G$9) + CHOOSE(CONTROL!$C$38, 0.0347, 0)</f>
        <v>25.8626</v>
      </c>
      <c r="I306" s="10">
        <f>25.8295 * CHOOSE(CONTROL!$C$15, $E$9, 100%, $G$9) + CHOOSE(CONTROL!$C$38, 0.0347, 0)</f>
        <v>25.8642</v>
      </c>
      <c r="J306" s="26">
        <f>195.065</f>
        <v>195.065</v>
      </c>
    </row>
    <row r="307" spans="1:10" ht="15.75" x14ac:dyDescent="0.25">
      <c r="A307" s="14">
        <v>50648</v>
      </c>
      <c r="B307" s="10">
        <f>28.2181 * CHOOSE(CONTROL!$C$15, $E$9, 100%, $G$9) + CHOOSE(CONTROL!$C$38, 0.0256, 0)</f>
        <v>28.2437</v>
      </c>
      <c r="C307" s="10">
        <f>25.9314 * CHOOSE(CONTROL!$C$15, $E$9, 100%, $G$9) + CHOOSE(CONTROL!$C$38, 0.0347, 0)</f>
        <v>25.966100000000001</v>
      </c>
      <c r="D307" s="10">
        <f>25.9236 * CHOOSE(CONTROL!$C$15, $E$9, 100%, $G$9) + CHOOSE(CONTROL!$C$38, 0.0347, 0)</f>
        <v>25.958300000000001</v>
      </c>
      <c r="E307" s="28">
        <f>28.0618 * CHOOSE(CONTROL!$C$15, $E$9, 100%, $G$9) + CHOOSE(CONTROL!$C$38, 0.0347, 0)</f>
        <v>28.096500000000002</v>
      </c>
      <c r="F307" s="27">
        <f>28.0618 * CHOOSE(CONTROL!$C$15, $E$9, 100%, $G$9) + CHOOSE(CONTROL!$C$38, 0.0256, 0)</f>
        <v>28.087400000000002</v>
      </c>
      <c r="G307" s="10">
        <f>25.9298 * CHOOSE(CONTROL!$C$15, $E$9, 100%, $G$9) + CHOOSE(CONTROL!$C$38, 0.0347, 0)</f>
        <v>25.964500000000001</v>
      </c>
      <c r="H307" s="10">
        <f>25.9298 * CHOOSE(CONTROL!$C$15, $E$9, 100%, $G$9) + CHOOSE(CONTROL!$C$38, 0.0347, 0)</f>
        <v>25.964500000000001</v>
      </c>
      <c r="I307" s="10">
        <f>25.9314 * CHOOSE(CONTROL!$C$15, $E$9, 100%, $G$9) + CHOOSE(CONTROL!$C$38, 0.0347, 0)</f>
        <v>25.966100000000001</v>
      </c>
      <c r="J307" s="26">
        <f>190.524</f>
        <v>190.524</v>
      </c>
    </row>
    <row r="308" spans="1:10" ht="15.75" x14ac:dyDescent="0.25">
      <c r="A308" s="14">
        <v>50678</v>
      </c>
      <c r="B308" s="10">
        <f>28.4949 * CHOOSE(CONTROL!$C$15, $E$9, 100%, $G$9) + CHOOSE(CONTROL!$C$38, 0.0256, 0)</f>
        <v>28.520500000000002</v>
      </c>
      <c r="C308" s="10">
        <f>26.2082 * CHOOSE(CONTROL!$C$15, $E$9, 100%, $G$9) + CHOOSE(CONTROL!$C$38, 0.0347, 0)</f>
        <v>26.242900000000002</v>
      </c>
      <c r="D308" s="10">
        <f>26.2004 * CHOOSE(CONTROL!$C$15, $E$9, 100%, $G$9) + CHOOSE(CONTROL!$C$38, 0.0347, 0)</f>
        <v>26.235099999999999</v>
      </c>
      <c r="E308" s="28">
        <f>28.3386 * CHOOSE(CONTROL!$C$15, $E$9, 100%, $G$9) + CHOOSE(CONTROL!$C$38, 0.0347, 0)</f>
        <v>28.3733</v>
      </c>
      <c r="F308" s="27">
        <f>28.3386 * CHOOSE(CONTROL!$C$15, $E$9, 100%, $G$9) + CHOOSE(CONTROL!$C$38, 0.0256, 0)</f>
        <v>28.3642</v>
      </c>
      <c r="G308" s="10">
        <f>26.2066 * CHOOSE(CONTROL!$C$15, $E$9, 100%, $G$9) + CHOOSE(CONTROL!$C$38, 0.0347, 0)</f>
        <v>26.241300000000003</v>
      </c>
      <c r="H308" s="10">
        <f>26.2066 * CHOOSE(CONTROL!$C$15, $E$9, 100%, $G$9) + CHOOSE(CONTROL!$C$38, 0.0347, 0)</f>
        <v>26.241300000000003</v>
      </c>
      <c r="I308" s="10">
        <f>26.2082 * CHOOSE(CONTROL!$C$15, $E$9, 100%, $G$9) + CHOOSE(CONTROL!$C$38, 0.0347, 0)</f>
        <v>26.242900000000002</v>
      </c>
      <c r="J308" s="26">
        <f>184.1913</f>
        <v>184.19130000000001</v>
      </c>
    </row>
    <row r="309" spans="1:10" ht="15.75" x14ac:dyDescent="0.25">
      <c r="A309" s="14">
        <v>50709</v>
      </c>
      <c r="B309" s="10">
        <f>28.7267 * CHOOSE(CONTROL!$C$15, $E$9, 100%, $G$9) + CHOOSE(CONTROL!$C$38, 0.0256, 0)</f>
        <v>28.752300000000002</v>
      </c>
      <c r="C309" s="10">
        <f>26.44 * CHOOSE(CONTROL!$C$15, $E$9, 100%, $G$9) + CHOOSE(CONTROL!$C$38, 0.0347, 0)</f>
        <v>26.474700000000002</v>
      </c>
      <c r="D309" s="10">
        <f>26.4322 * CHOOSE(CONTROL!$C$15, $E$9, 100%, $G$9) + CHOOSE(CONTROL!$C$38, 0.0347, 0)</f>
        <v>26.466900000000003</v>
      </c>
      <c r="E309" s="28">
        <f>28.5704 * CHOOSE(CONTROL!$C$15, $E$9, 100%, $G$9) + CHOOSE(CONTROL!$C$38, 0.0347, 0)</f>
        <v>28.6051</v>
      </c>
      <c r="F309" s="27">
        <f>28.5704 * CHOOSE(CONTROL!$C$15, $E$9, 100%, $G$9) + CHOOSE(CONTROL!$C$38, 0.0256, 0)</f>
        <v>28.596</v>
      </c>
      <c r="G309" s="10">
        <f>26.4384 * CHOOSE(CONTROL!$C$15, $E$9, 100%, $G$9) + CHOOSE(CONTROL!$C$38, 0.0347, 0)</f>
        <v>26.473100000000002</v>
      </c>
      <c r="H309" s="10">
        <f>26.4384 * CHOOSE(CONTROL!$C$15, $E$9, 100%, $G$9) + CHOOSE(CONTROL!$C$38, 0.0347, 0)</f>
        <v>26.473100000000002</v>
      </c>
      <c r="I309" s="10">
        <f>26.44 * CHOOSE(CONTROL!$C$15, $E$9, 100%, $G$9) + CHOOSE(CONTROL!$C$38, 0.0347, 0)</f>
        <v>26.474700000000002</v>
      </c>
      <c r="J309" s="26">
        <f>177.8218</f>
        <v>177.8218</v>
      </c>
    </row>
    <row r="310" spans="1:10" ht="15.75" x14ac:dyDescent="0.25">
      <c r="A310" s="14">
        <v>50739</v>
      </c>
      <c r="B310" s="10">
        <f>28.9201 * CHOOSE(CONTROL!$C$15, $E$9, 100%, $G$9) + CHOOSE(CONTROL!$C$38, 0.0256, 0)</f>
        <v>28.945700000000002</v>
      </c>
      <c r="C310" s="10">
        <f>26.6334 * CHOOSE(CONTROL!$C$15, $E$9, 100%, $G$9) + CHOOSE(CONTROL!$C$38, 0.0347, 0)</f>
        <v>26.668100000000003</v>
      </c>
      <c r="D310" s="10">
        <f>26.6256 * CHOOSE(CONTROL!$C$15, $E$9, 100%, $G$9) + CHOOSE(CONTROL!$C$38, 0.0347, 0)</f>
        <v>26.660299999999999</v>
      </c>
      <c r="E310" s="28">
        <f>28.7639 * CHOOSE(CONTROL!$C$15, $E$9, 100%, $G$9) + CHOOSE(CONTROL!$C$38, 0.0347, 0)</f>
        <v>28.7986</v>
      </c>
      <c r="F310" s="27">
        <f>28.7639 * CHOOSE(CONTROL!$C$15, $E$9, 100%, $G$9) + CHOOSE(CONTROL!$C$38, 0.0256, 0)</f>
        <v>28.7895</v>
      </c>
      <c r="G310" s="10">
        <f>26.6319 * CHOOSE(CONTROL!$C$15, $E$9, 100%, $G$9) + CHOOSE(CONTROL!$C$38, 0.0347, 0)</f>
        <v>26.666600000000003</v>
      </c>
      <c r="H310" s="10">
        <f>26.6319 * CHOOSE(CONTROL!$C$15, $E$9, 100%, $G$9) + CHOOSE(CONTROL!$C$38, 0.0347, 0)</f>
        <v>26.666600000000003</v>
      </c>
      <c r="I310" s="10">
        <f>26.6334 * CHOOSE(CONTROL!$C$15, $E$9, 100%, $G$9) + CHOOSE(CONTROL!$C$38, 0.0347, 0)</f>
        <v>26.668100000000003</v>
      </c>
      <c r="J310" s="26">
        <f>176.5547</f>
        <v>176.5547</v>
      </c>
    </row>
    <row r="311" spans="1:10" ht="15.75" x14ac:dyDescent="0.25">
      <c r="A311" s="14">
        <v>50770</v>
      </c>
      <c r="B311" s="10">
        <f>29.5162 * CHOOSE(CONTROL!$C$15, $E$9, 100%, $G$9) + CHOOSE(CONTROL!$C$38, 0.0256, 0)</f>
        <v>29.541800000000002</v>
      </c>
      <c r="C311" s="10">
        <f>27.2295 * CHOOSE(CONTROL!$C$15, $E$9, 100%, $G$9) + CHOOSE(CONTROL!$C$38, 0.0347, 0)</f>
        <v>27.264200000000002</v>
      </c>
      <c r="D311" s="10">
        <f>27.2217 * CHOOSE(CONTROL!$C$15, $E$9, 100%, $G$9) + CHOOSE(CONTROL!$C$38, 0.0347, 0)</f>
        <v>27.256399999999999</v>
      </c>
      <c r="E311" s="28">
        <f>29.36 * CHOOSE(CONTROL!$C$15, $E$9, 100%, $G$9) + CHOOSE(CONTROL!$C$38, 0.0347, 0)</f>
        <v>29.3947</v>
      </c>
      <c r="F311" s="27">
        <f>29.36 * CHOOSE(CONTROL!$C$15, $E$9, 100%, $G$9) + CHOOSE(CONTROL!$C$38, 0.0256, 0)</f>
        <v>29.3856</v>
      </c>
      <c r="G311" s="10">
        <f>27.2279 * CHOOSE(CONTROL!$C$15, $E$9, 100%, $G$9) + CHOOSE(CONTROL!$C$38, 0.0347, 0)</f>
        <v>27.262600000000003</v>
      </c>
      <c r="H311" s="10">
        <f>27.2279 * CHOOSE(CONTROL!$C$15, $E$9, 100%, $G$9) + CHOOSE(CONTROL!$C$38, 0.0347, 0)</f>
        <v>27.262600000000003</v>
      </c>
      <c r="I311" s="10">
        <f>27.2295 * CHOOSE(CONTROL!$C$15, $E$9, 100%, $G$9) + CHOOSE(CONTROL!$C$38, 0.0347, 0)</f>
        <v>27.264200000000002</v>
      </c>
      <c r="J311" s="26">
        <f>171.3155</f>
        <v>171.31549999999999</v>
      </c>
    </row>
    <row r="312" spans="1:10" ht="15.75" x14ac:dyDescent="0.25">
      <c r="A312" s="14">
        <v>50801</v>
      </c>
      <c r="B312" s="10">
        <f>30.4877 * CHOOSE(CONTROL!$C$15, $E$9, 100%, $G$9) + CHOOSE(CONTROL!$C$38, 0.0256, 0)</f>
        <v>30.513300000000001</v>
      </c>
      <c r="C312" s="10">
        <f>28.1633 * CHOOSE(CONTROL!$C$15, $E$9, 100%, $G$9) + CHOOSE(CONTROL!$C$38, 0.0347, 0)</f>
        <v>28.198</v>
      </c>
      <c r="D312" s="10">
        <f>28.1555 * CHOOSE(CONTROL!$C$15, $E$9, 100%, $G$9) + CHOOSE(CONTROL!$C$38, 0.0347, 0)</f>
        <v>28.190200000000001</v>
      </c>
      <c r="E312" s="28">
        <f>30.3314 * CHOOSE(CONTROL!$C$15, $E$9, 100%, $G$9) + CHOOSE(CONTROL!$C$38, 0.0347, 0)</f>
        <v>30.366099999999999</v>
      </c>
      <c r="F312" s="27">
        <f>30.3314 * CHOOSE(CONTROL!$C$15, $E$9, 100%, $G$9) + CHOOSE(CONTROL!$C$38, 0.0256, 0)</f>
        <v>30.356999999999999</v>
      </c>
      <c r="G312" s="10">
        <f>28.1618 * CHOOSE(CONTROL!$C$15, $E$9, 100%, $G$9) + CHOOSE(CONTROL!$C$38, 0.0347, 0)</f>
        <v>28.1965</v>
      </c>
      <c r="H312" s="10">
        <f>28.1618 * CHOOSE(CONTROL!$C$15, $E$9, 100%, $G$9) + CHOOSE(CONTROL!$C$38, 0.0347, 0)</f>
        <v>28.1965</v>
      </c>
      <c r="I312" s="10">
        <f>28.1633 * CHOOSE(CONTROL!$C$15, $E$9, 100%, $G$9) + CHOOSE(CONTROL!$C$38, 0.0347, 0)</f>
        <v>28.198</v>
      </c>
      <c r="J312" s="26">
        <f>170.1679</f>
        <v>170.1679</v>
      </c>
    </row>
    <row r="313" spans="1:10" ht="15.75" x14ac:dyDescent="0.25">
      <c r="A313" s="14">
        <v>50829</v>
      </c>
      <c r="B313" s="10">
        <f>30.7084 * CHOOSE(CONTROL!$C$15, $E$9, 100%, $G$9) + CHOOSE(CONTROL!$C$38, 0.0256, 0)</f>
        <v>30.734000000000002</v>
      </c>
      <c r="C313" s="10">
        <f>28.3841 * CHOOSE(CONTROL!$C$15, $E$9, 100%, $G$9) + CHOOSE(CONTROL!$C$38, 0.0347, 0)</f>
        <v>28.418800000000001</v>
      </c>
      <c r="D313" s="10">
        <f>28.3763 * CHOOSE(CONTROL!$C$15, $E$9, 100%, $G$9) + CHOOSE(CONTROL!$C$38, 0.0347, 0)</f>
        <v>28.411000000000001</v>
      </c>
      <c r="E313" s="28">
        <f>30.5522 * CHOOSE(CONTROL!$C$15, $E$9, 100%, $G$9) + CHOOSE(CONTROL!$C$38, 0.0347, 0)</f>
        <v>30.5869</v>
      </c>
      <c r="F313" s="27">
        <f>30.5522 * CHOOSE(CONTROL!$C$15, $E$9, 100%, $G$9) + CHOOSE(CONTROL!$C$38, 0.0256, 0)</f>
        <v>30.5778</v>
      </c>
      <c r="G313" s="10">
        <f>28.3825 * CHOOSE(CONTROL!$C$15, $E$9, 100%, $G$9) + CHOOSE(CONTROL!$C$38, 0.0347, 0)</f>
        <v>28.417200000000001</v>
      </c>
      <c r="H313" s="10">
        <f>28.3825 * CHOOSE(CONTROL!$C$15, $E$9, 100%, $G$9) + CHOOSE(CONTROL!$C$38, 0.0347, 0)</f>
        <v>28.417200000000001</v>
      </c>
      <c r="I313" s="10">
        <f>28.3841 * CHOOSE(CONTROL!$C$15, $E$9, 100%, $G$9) + CHOOSE(CONTROL!$C$38, 0.0347, 0)</f>
        <v>28.418800000000001</v>
      </c>
      <c r="J313" s="26">
        <f>169.6949</f>
        <v>169.69489999999999</v>
      </c>
    </row>
    <row r="314" spans="1:10" ht="15.75" x14ac:dyDescent="0.25">
      <c r="A314" s="14">
        <v>50860</v>
      </c>
      <c r="B314" s="10">
        <f>30.1974 * CHOOSE(CONTROL!$C$15, $E$9, 100%, $G$9) + CHOOSE(CONTROL!$C$38, 0.0256, 0)</f>
        <v>30.222999999999999</v>
      </c>
      <c r="C314" s="10">
        <f>27.873 * CHOOSE(CONTROL!$C$15, $E$9, 100%, $G$9) + CHOOSE(CONTROL!$C$38, 0.0347, 0)</f>
        <v>27.907700000000002</v>
      </c>
      <c r="D314" s="10">
        <f>27.8652 * CHOOSE(CONTROL!$C$15, $E$9, 100%, $G$9) + CHOOSE(CONTROL!$C$38, 0.0347, 0)</f>
        <v>27.899900000000002</v>
      </c>
      <c r="E314" s="28">
        <f>30.0411 * CHOOSE(CONTROL!$C$15, $E$9, 100%, $G$9) + CHOOSE(CONTROL!$C$38, 0.0347, 0)</f>
        <v>30.075800000000001</v>
      </c>
      <c r="F314" s="27">
        <f>30.0411 * CHOOSE(CONTROL!$C$15, $E$9, 100%, $G$9) + CHOOSE(CONTROL!$C$38, 0.0256, 0)</f>
        <v>30.066700000000001</v>
      </c>
      <c r="G314" s="10">
        <f>27.8715 * CHOOSE(CONTROL!$C$15, $E$9, 100%, $G$9) + CHOOSE(CONTROL!$C$38, 0.0347, 0)</f>
        <v>27.906200000000002</v>
      </c>
      <c r="H314" s="10">
        <f>27.8715 * CHOOSE(CONTROL!$C$15, $E$9, 100%, $G$9) + CHOOSE(CONTROL!$C$38, 0.0347, 0)</f>
        <v>27.906200000000002</v>
      </c>
      <c r="I314" s="10">
        <f>27.873 * CHOOSE(CONTROL!$C$15, $E$9, 100%, $G$9) + CHOOSE(CONTROL!$C$38, 0.0347, 0)</f>
        <v>27.907700000000002</v>
      </c>
      <c r="J314" s="26">
        <f>178.6388</f>
        <v>178.6388</v>
      </c>
    </row>
    <row r="315" spans="1:10" ht="15.75" x14ac:dyDescent="0.25">
      <c r="A315" s="14">
        <v>50890</v>
      </c>
      <c r="B315" s="10">
        <f>29.7022 * CHOOSE(CONTROL!$C$15, $E$9, 100%, $G$9) + CHOOSE(CONTROL!$C$38, 0.0256, 0)</f>
        <v>29.727800000000002</v>
      </c>
      <c r="C315" s="10">
        <f>27.3779 * CHOOSE(CONTROL!$C$15, $E$9, 100%, $G$9) + CHOOSE(CONTROL!$C$38, 0.0347, 0)</f>
        <v>27.412600000000001</v>
      </c>
      <c r="D315" s="10">
        <f>27.3701 * CHOOSE(CONTROL!$C$15, $E$9, 100%, $G$9) + CHOOSE(CONTROL!$C$38, 0.0347, 0)</f>
        <v>27.404800000000002</v>
      </c>
      <c r="E315" s="28">
        <f>29.546 * CHOOSE(CONTROL!$C$15, $E$9, 100%, $G$9) + CHOOSE(CONTROL!$C$38, 0.0347, 0)</f>
        <v>29.5807</v>
      </c>
      <c r="F315" s="27">
        <f>29.546 * CHOOSE(CONTROL!$C$15, $E$9, 100%, $G$9) + CHOOSE(CONTROL!$C$38, 0.0256, 0)</f>
        <v>29.5716</v>
      </c>
      <c r="G315" s="10">
        <f>27.3763 * CHOOSE(CONTROL!$C$15, $E$9, 100%, $G$9) + CHOOSE(CONTROL!$C$38, 0.0347, 0)</f>
        <v>27.411000000000001</v>
      </c>
      <c r="H315" s="10">
        <f>27.3763 * CHOOSE(CONTROL!$C$15, $E$9, 100%, $G$9) + CHOOSE(CONTROL!$C$38, 0.0347, 0)</f>
        <v>27.411000000000001</v>
      </c>
      <c r="I315" s="10">
        <f>27.3779 * CHOOSE(CONTROL!$C$15, $E$9, 100%, $G$9) + CHOOSE(CONTROL!$C$38, 0.0347, 0)</f>
        <v>27.412600000000001</v>
      </c>
      <c r="J315" s="26">
        <f>190.2369</f>
        <v>190.23689999999999</v>
      </c>
    </row>
    <row r="316" spans="1:10" ht="15.75" x14ac:dyDescent="0.25">
      <c r="A316" s="14">
        <v>50921</v>
      </c>
      <c r="B316" s="10">
        <f>29.1861 * CHOOSE(CONTROL!$C$15, $E$9, 100%, $G$9) + CHOOSE(CONTROL!$C$38, 0.0256, 0)</f>
        <v>29.2117</v>
      </c>
      <c r="C316" s="10">
        <f>26.8618 * CHOOSE(CONTROL!$C$15, $E$9, 100%, $G$9) + CHOOSE(CONTROL!$C$38, 0.0347, 0)</f>
        <v>26.8965</v>
      </c>
      <c r="D316" s="10">
        <f>26.8539 * CHOOSE(CONTROL!$C$15, $E$9, 100%, $G$9) + CHOOSE(CONTROL!$C$38, 0.0347, 0)</f>
        <v>26.8886</v>
      </c>
      <c r="E316" s="28">
        <f>29.0298 * CHOOSE(CONTROL!$C$15, $E$9, 100%, $G$9) + CHOOSE(CONTROL!$C$38, 0.0347, 0)</f>
        <v>29.064500000000002</v>
      </c>
      <c r="F316" s="27">
        <f>29.0298 * CHOOSE(CONTROL!$C$15, $E$9, 100%, $G$9) + CHOOSE(CONTROL!$C$38, 0.0256, 0)</f>
        <v>29.055400000000002</v>
      </c>
      <c r="G316" s="10">
        <f>26.8602 * CHOOSE(CONTROL!$C$15, $E$9, 100%, $G$9) + CHOOSE(CONTROL!$C$38, 0.0347, 0)</f>
        <v>26.8949</v>
      </c>
      <c r="H316" s="10">
        <f>26.8602 * CHOOSE(CONTROL!$C$15, $E$9, 100%, $G$9) + CHOOSE(CONTROL!$C$38, 0.0347, 0)</f>
        <v>26.8949</v>
      </c>
      <c r="I316" s="10">
        <f>26.8618 * CHOOSE(CONTROL!$C$15, $E$9, 100%, $G$9) + CHOOSE(CONTROL!$C$38, 0.0347, 0)</f>
        <v>26.8965</v>
      </c>
      <c r="J316" s="26">
        <f>196.6209</f>
        <v>196.62090000000001</v>
      </c>
    </row>
    <row r="317" spans="1:10" ht="15.75" x14ac:dyDescent="0.25">
      <c r="A317" s="14">
        <v>50951</v>
      </c>
      <c r="B317" s="10">
        <f>28.8243 * CHOOSE(CONTROL!$C$15, $E$9, 100%, $G$9) + CHOOSE(CONTROL!$C$38, 0.0256, 0)</f>
        <v>28.849900000000002</v>
      </c>
      <c r="C317" s="10">
        <f>26.4999 * CHOOSE(CONTROL!$C$15, $E$9, 100%, $G$9) + CHOOSE(CONTROL!$C$38, 0.0347, 0)</f>
        <v>26.534600000000001</v>
      </c>
      <c r="D317" s="10">
        <f>26.4921 * CHOOSE(CONTROL!$C$15, $E$9, 100%, $G$9) + CHOOSE(CONTROL!$C$38, 0.0347, 0)</f>
        <v>26.526800000000001</v>
      </c>
      <c r="E317" s="28">
        <f>28.668 * CHOOSE(CONTROL!$C$15, $E$9, 100%, $G$9) + CHOOSE(CONTROL!$C$38, 0.0347, 0)</f>
        <v>28.7027</v>
      </c>
      <c r="F317" s="27">
        <f>28.668 * CHOOSE(CONTROL!$C$15, $E$9, 100%, $G$9) + CHOOSE(CONTROL!$C$38, 0.0256, 0)</f>
        <v>28.6936</v>
      </c>
      <c r="G317" s="10">
        <f>26.4984 * CHOOSE(CONTROL!$C$15, $E$9, 100%, $G$9) + CHOOSE(CONTROL!$C$38, 0.0347, 0)</f>
        <v>26.533100000000001</v>
      </c>
      <c r="H317" s="10">
        <f>26.4984 * CHOOSE(CONTROL!$C$15, $E$9, 100%, $G$9) + CHOOSE(CONTROL!$C$38, 0.0347, 0)</f>
        <v>26.533100000000001</v>
      </c>
      <c r="I317" s="10">
        <f>26.4999 * CHOOSE(CONTROL!$C$15, $E$9, 100%, $G$9) + CHOOSE(CONTROL!$C$38, 0.0347, 0)</f>
        <v>26.534600000000001</v>
      </c>
      <c r="J317" s="26">
        <f>199.454</f>
        <v>199.45400000000001</v>
      </c>
    </row>
    <row r="318" spans="1:10" ht="15.75" x14ac:dyDescent="0.25">
      <c r="A318" s="14">
        <v>50982</v>
      </c>
      <c r="B318" s="10">
        <f>28.6178 * CHOOSE(CONTROL!$C$15, $E$9, 100%, $G$9) + CHOOSE(CONTROL!$C$38, 0.0256, 0)</f>
        <v>28.6434</v>
      </c>
      <c r="C318" s="10">
        <f>26.2934 * CHOOSE(CONTROL!$C$15, $E$9, 100%, $G$9) + CHOOSE(CONTROL!$C$38, 0.0347, 0)</f>
        <v>26.328099999999999</v>
      </c>
      <c r="D318" s="10">
        <f>26.2856 * CHOOSE(CONTROL!$C$15, $E$9, 100%, $G$9) + CHOOSE(CONTROL!$C$38, 0.0347, 0)</f>
        <v>26.3203</v>
      </c>
      <c r="E318" s="28">
        <f>28.4615 * CHOOSE(CONTROL!$C$15, $E$9, 100%, $G$9) + CHOOSE(CONTROL!$C$38, 0.0347, 0)</f>
        <v>28.496200000000002</v>
      </c>
      <c r="F318" s="27">
        <f>28.4615 * CHOOSE(CONTROL!$C$15, $E$9, 100%, $G$9) + CHOOSE(CONTROL!$C$38, 0.0256, 0)</f>
        <v>28.487100000000002</v>
      </c>
      <c r="G318" s="10">
        <f>26.2919 * CHOOSE(CONTROL!$C$15, $E$9, 100%, $G$9) + CHOOSE(CONTROL!$C$38, 0.0347, 0)</f>
        <v>26.326599999999999</v>
      </c>
      <c r="H318" s="10">
        <f>26.2919 * CHOOSE(CONTROL!$C$15, $E$9, 100%, $G$9) + CHOOSE(CONTROL!$C$38, 0.0347, 0)</f>
        <v>26.326599999999999</v>
      </c>
      <c r="I318" s="10">
        <f>26.2934 * CHOOSE(CONTROL!$C$15, $E$9, 100%, $G$9) + CHOOSE(CONTROL!$C$38, 0.0347, 0)</f>
        <v>26.328099999999999</v>
      </c>
      <c r="J318" s="26">
        <f>198.5212</f>
        <v>198.52119999999999</v>
      </c>
    </row>
    <row r="319" spans="1:10" ht="15.75" x14ac:dyDescent="0.25">
      <c r="A319" s="14">
        <v>51013</v>
      </c>
      <c r="B319" s="10">
        <f>28.7197 * CHOOSE(CONTROL!$C$15, $E$9, 100%, $G$9) + CHOOSE(CONTROL!$C$38, 0.0256, 0)</f>
        <v>28.7453</v>
      </c>
      <c r="C319" s="10">
        <f>26.3953 * CHOOSE(CONTROL!$C$15, $E$9, 100%, $G$9) + CHOOSE(CONTROL!$C$38, 0.0347, 0)</f>
        <v>26.43</v>
      </c>
      <c r="D319" s="10">
        <f>26.3875 * CHOOSE(CONTROL!$C$15, $E$9, 100%, $G$9) + CHOOSE(CONTROL!$C$38, 0.0347, 0)</f>
        <v>26.4222</v>
      </c>
      <c r="E319" s="28">
        <f>28.5634 * CHOOSE(CONTROL!$C$15, $E$9, 100%, $G$9) + CHOOSE(CONTROL!$C$38, 0.0347, 0)</f>
        <v>28.598100000000002</v>
      </c>
      <c r="F319" s="27">
        <f>28.5634 * CHOOSE(CONTROL!$C$15, $E$9, 100%, $G$9) + CHOOSE(CONTROL!$C$38, 0.0256, 0)</f>
        <v>28.589000000000002</v>
      </c>
      <c r="G319" s="10">
        <f>26.3938 * CHOOSE(CONTROL!$C$15, $E$9, 100%, $G$9) + CHOOSE(CONTROL!$C$38, 0.0347, 0)</f>
        <v>26.4285</v>
      </c>
      <c r="H319" s="10">
        <f>26.3938 * CHOOSE(CONTROL!$C$15, $E$9, 100%, $G$9) + CHOOSE(CONTROL!$C$38, 0.0347, 0)</f>
        <v>26.4285</v>
      </c>
      <c r="I319" s="10">
        <f>26.3953 * CHOOSE(CONTROL!$C$15, $E$9, 100%, $G$9) + CHOOSE(CONTROL!$C$38, 0.0347, 0)</f>
        <v>26.43</v>
      </c>
      <c r="J319" s="26">
        <f>193.8997</f>
        <v>193.8997</v>
      </c>
    </row>
    <row r="320" spans="1:10" ht="15.75" x14ac:dyDescent="0.25">
      <c r="A320" s="14">
        <v>51043</v>
      </c>
      <c r="B320" s="10">
        <f>28.9965 * CHOOSE(CONTROL!$C$15, $E$9, 100%, $G$9) + CHOOSE(CONTROL!$C$38, 0.0256, 0)</f>
        <v>29.022100000000002</v>
      </c>
      <c r="C320" s="10">
        <f>26.6721 * CHOOSE(CONTROL!$C$15, $E$9, 100%, $G$9) + CHOOSE(CONTROL!$C$38, 0.0347, 0)</f>
        <v>26.706800000000001</v>
      </c>
      <c r="D320" s="10">
        <f>26.6643 * CHOOSE(CONTROL!$C$15, $E$9, 100%, $G$9) + CHOOSE(CONTROL!$C$38, 0.0347, 0)</f>
        <v>26.699000000000002</v>
      </c>
      <c r="E320" s="28">
        <f>28.8402 * CHOOSE(CONTROL!$C$15, $E$9, 100%, $G$9) + CHOOSE(CONTROL!$C$38, 0.0347, 0)</f>
        <v>28.8749</v>
      </c>
      <c r="F320" s="27">
        <f>28.8402 * CHOOSE(CONTROL!$C$15, $E$9, 100%, $G$9) + CHOOSE(CONTROL!$C$38, 0.0256, 0)</f>
        <v>28.8658</v>
      </c>
      <c r="G320" s="10">
        <f>26.6706 * CHOOSE(CONTROL!$C$15, $E$9, 100%, $G$9) + CHOOSE(CONTROL!$C$38, 0.0347, 0)</f>
        <v>26.705300000000001</v>
      </c>
      <c r="H320" s="10">
        <f>26.6706 * CHOOSE(CONTROL!$C$15, $E$9, 100%, $G$9) + CHOOSE(CONTROL!$C$38, 0.0347, 0)</f>
        <v>26.705300000000001</v>
      </c>
      <c r="I320" s="10">
        <f>26.6721 * CHOOSE(CONTROL!$C$15, $E$9, 100%, $G$9) + CHOOSE(CONTROL!$C$38, 0.0347, 0)</f>
        <v>26.706800000000001</v>
      </c>
      <c r="J320" s="26">
        <f>187.4548</f>
        <v>187.45480000000001</v>
      </c>
    </row>
    <row r="321" spans="1:10" ht="15.75" x14ac:dyDescent="0.25">
      <c r="A321" s="14">
        <v>51074</v>
      </c>
      <c r="B321" s="10">
        <f>29.2283 * CHOOSE(CONTROL!$C$15, $E$9, 100%, $G$9) + CHOOSE(CONTROL!$C$38, 0.0256, 0)</f>
        <v>29.253900000000002</v>
      </c>
      <c r="C321" s="10">
        <f>26.904 * CHOOSE(CONTROL!$C$15, $E$9, 100%, $G$9) + CHOOSE(CONTROL!$C$38, 0.0347, 0)</f>
        <v>26.938700000000001</v>
      </c>
      <c r="D321" s="10">
        <f>26.8961 * CHOOSE(CONTROL!$C$15, $E$9, 100%, $G$9) + CHOOSE(CONTROL!$C$38, 0.0347, 0)</f>
        <v>26.930800000000001</v>
      </c>
      <c r="E321" s="28">
        <f>29.072 * CHOOSE(CONTROL!$C$15, $E$9, 100%, $G$9) + CHOOSE(CONTROL!$C$38, 0.0347, 0)</f>
        <v>29.1067</v>
      </c>
      <c r="F321" s="27">
        <f>29.072 * CHOOSE(CONTROL!$C$15, $E$9, 100%, $G$9) + CHOOSE(CONTROL!$C$38, 0.0256, 0)</f>
        <v>29.0976</v>
      </c>
      <c r="G321" s="10">
        <f>26.9024 * CHOOSE(CONTROL!$C$15, $E$9, 100%, $G$9) + CHOOSE(CONTROL!$C$38, 0.0347, 0)</f>
        <v>26.937100000000001</v>
      </c>
      <c r="H321" s="10">
        <f>26.9024 * CHOOSE(CONTROL!$C$15, $E$9, 100%, $G$9) + CHOOSE(CONTROL!$C$38, 0.0347, 0)</f>
        <v>26.937100000000001</v>
      </c>
      <c r="I321" s="10">
        <f>26.904 * CHOOSE(CONTROL!$C$15, $E$9, 100%, $G$9) + CHOOSE(CONTROL!$C$38, 0.0347, 0)</f>
        <v>26.938700000000001</v>
      </c>
      <c r="J321" s="26">
        <f>180.9724</f>
        <v>180.97239999999999</v>
      </c>
    </row>
    <row r="322" spans="1:10" ht="15.75" x14ac:dyDescent="0.25">
      <c r="A322" s="14">
        <v>51104</v>
      </c>
      <c r="B322" s="10">
        <f>29.4217 * CHOOSE(CONTROL!$C$15, $E$9, 100%, $G$9) + CHOOSE(CONTROL!$C$38, 0.0256, 0)</f>
        <v>29.447300000000002</v>
      </c>
      <c r="C322" s="10">
        <f>27.0974 * CHOOSE(CONTROL!$C$15, $E$9, 100%, $G$9) + CHOOSE(CONTROL!$C$38, 0.0347, 0)</f>
        <v>27.132100000000001</v>
      </c>
      <c r="D322" s="10">
        <f>27.0896 * CHOOSE(CONTROL!$C$15, $E$9, 100%, $G$9) + CHOOSE(CONTROL!$C$38, 0.0347, 0)</f>
        <v>27.124300000000002</v>
      </c>
      <c r="E322" s="28">
        <f>29.2655 * CHOOSE(CONTROL!$C$15, $E$9, 100%, $G$9) + CHOOSE(CONTROL!$C$38, 0.0347, 0)</f>
        <v>29.3002</v>
      </c>
      <c r="F322" s="27">
        <f>29.2655 * CHOOSE(CONTROL!$C$15, $E$9, 100%, $G$9) + CHOOSE(CONTROL!$C$38, 0.0256, 0)</f>
        <v>29.2911</v>
      </c>
      <c r="G322" s="10">
        <f>27.0958 * CHOOSE(CONTROL!$C$15, $E$9, 100%, $G$9) + CHOOSE(CONTROL!$C$38, 0.0347, 0)</f>
        <v>27.130500000000001</v>
      </c>
      <c r="H322" s="10">
        <f>27.0958 * CHOOSE(CONTROL!$C$15, $E$9, 100%, $G$9) + CHOOSE(CONTROL!$C$38, 0.0347, 0)</f>
        <v>27.130500000000001</v>
      </c>
      <c r="I322" s="10">
        <f>27.0974 * CHOOSE(CONTROL!$C$15, $E$9, 100%, $G$9) + CHOOSE(CONTROL!$C$38, 0.0347, 0)</f>
        <v>27.132100000000001</v>
      </c>
      <c r="J322" s="26">
        <f>179.683</f>
        <v>179.68299999999999</v>
      </c>
    </row>
    <row r="323" spans="1:10" ht="15.75" x14ac:dyDescent="0.25">
      <c r="A323" s="14">
        <v>51135</v>
      </c>
      <c r="B323" s="10">
        <f>30.0178 * CHOOSE(CONTROL!$C$15, $E$9, 100%, $G$9) + CHOOSE(CONTROL!$C$38, 0.0256, 0)</f>
        <v>30.043400000000002</v>
      </c>
      <c r="C323" s="10">
        <f>27.6935 * CHOOSE(CONTROL!$C$15, $E$9, 100%, $G$9) + CHOOSE(CONTROL!$C$38, 0.0347, 0)</f>
        <v>27.728200000000001</v>
      </c>
      <c r="D323" s="10">
        <f>27.6857 * CHOOSE(CONTROL!$C$15, $E$9, 100%, $G$9) + CHOOSE(CONTROL!$C$38, 0.0347, 0)</f>
        <v>27.720400000000001</v>
      </c>
      <c r="E323" s="28">
        <f>29.8616 * CHOOSE(CONTROL!$C$15, $E$9, 100%, $G$9) + CHOOSE(CONTROL!$C$38, 0.0347, 0)</f>
        <v>29.8963</v>
      </c>
      <c r="F323" s="27">
        <f>29.8616 * CHOOSE(CONTROL!$C$15, $E$9, 100%, $G$9) + CHOOSE(CONTROL!$C$38, 0.0256, 0)</f>
        <v>29.8872</v>
      </c>
      <c r="G323" s="10">
        <f>27.6919 * CHOOSE(CONTROL!$C$15, $E$9, 100%, $G$9) + CHOOSE(CONTROL!$C$38, 0.0347, 0)</f>
        <v>27.726600000000001</v>
      </c>
      <c r="H323" s="10">
        <f>27.6919 * CHOOSE(CONTROL!$C$15, $E$9, 100%, $G$9) + CHOOSE(CONTROL!$C$38, 0.0347, 0)</f>
        <v>27.726600000000001</v>
      </c>
      <c r="I323" s="10">
        <f>27.6935 * CHOOSE(CONTROL!$C$15, $E$9, 100%, $G$9) + CHOOSE(CONTROL!$C$38, 0.0347, 0)</f>
        <v>27.728200000000001</v>
      </c>
      <c r="J323" s="26">
        <f>174.3509</f>
        <v>174.3509</v>
      </c>
    </row>
    <row r="324" spans="1:10" ht="15.75" x14ac:dyDescent="0.25">
      <c r="A324" s="14">
        <v>51166</v>
      </c>
      <c r="B324" s="10">
        <f>30.9981 * CHOOSE(CONTROL!$C$15, $E$9, 100%, $G$9) + CHOOSE(CONTROL!$C$38, 0.0256, 0)</f>
        <v>31.023700000000002</v>
      </c>
      <c r="C324" s="10">
        <f>28.6355 * CHOOSE(CONTROL!$C$15, $E$9, 100%, $G$9) + CHOOSE(CONTROL!$C$38, 0.0347, 0)</f>
        <v>28.670200000000001</v>
      </c>
      <c r="D324" s="10">
        <f>28.6277 * CHOOSE(CONTROL!$C$15, $E$9, 100%, $G$9) + CHOOSE(CONTROL!$C$38, 0.0347, 0)</f>
        <v>28.662400000000002</v>
      </c>
      <c r="E324" s="28">
        <f>30.8419 * CHOOSE(CONTROL!$C$15, $E$9, 100%, $G$9) + CHOOSE(CONTROL!$C$38, 0.0347, 0)</f>
        <v>30.8766</v>
      </c>
      <c r="F324" s="27">
        <f>30.8419 * CHOOSE(CONTROL!$C$15, $E$9, 100%, $G$9) + CHOOSE(CONTROL!$C$38, 0.0256, 0)</f>
        <v>30.8675</v>
      </c>
      <c r="G324" s="10">
        <f>28.6339 * CHOOSE(CONTROL!$C$15, $E$9, 100%, $G$9) + CHOOSE(CONTROL!$C$38, 0.0347, 0)</f>
        <v>28.668600000000001</v>
      </c>
      <c r="H324" s="10">
        <f>28.6339 * CHOOSE(CONTROL!$C$15, $E$9, 100%, $G$9) + CHOOSE(CONTROL!$C$38, 0.0347, 0)</f>
        <v>28.668600000000001</v>
      </c>
      <c r="I324" s="10">
        <f>28.6355 * CHOOSE(CONTROL!$C$15, $E$9, 100%, $G$9) + CHOOSE(CONTROL!$C$38, 0.0347, 0)</f>
        <v>28.670200000000001</v>
      </c>
      <c r="J324" s="26">
        <f>173.183</f>
        <v>173.18299999999999</v>
      </c>
    </row>
    <row r="325" spans="1:10" ht="15.75" x14ac:dyDescent="0.25">
      <c r="A325" s="14">
        <v>51194</v>
      </c>
      <c r="B325" s="10">
        <f>31.2189 * CHOOSE(CONTROL!$C$15, $E$9, 100%, $G$9) + CHOOSE(CONTROL!$C$38, 0.0256, 0)</f>
        <v>31.244500000000002</v>
      </c>
      <c r="C325" s="10">
        <f>28.8562 * CHOOSE(CONTROL!$C$15, $E$9, 100%, $G$9) + CHOOSE(CONTROL!$C$38, 0.0347, 0)</f>
        <v>28.890900000000002</v>
      </c>
      <c r="D325" s="10">
        <f>28.8484 * CHOOSE(CONTROL!$C$15, $E$9, 100%, $G$9) + CHOOSE(CONTROL!$C$38, 0.0347, 0)</f>
        <v>28.883100000000002</v>
      </c>
      <c r="E325" s="28">
        <f>31.0626 * CHOOSE(CONTROL!$C$15, $E$9, 100%, $G$9) + CHOOSE(CONTROL!$C$38, 0.0347, 0)</f>
        <v>31.097300000000001</v>
      </c>
      <c r="F325" s="27">
        <f>31.0626 * CHOOSE(CONTROL!$C$15, $E$9, 100%, $G$9) + CHOOSE(CONTROL!$C$38, 0.0256, 0)</f>
        <v>31.088200000000001</v>
      </c>
      <c r="G325" s="10">
        <f>28.8547 * CHOOSE(CONTROL!$C$15, $E$9, 100%, $G$9) + CHOOSE(CONTROL!$C$38, 0.0347, 0)</f>
        <v>28.889400000000002</v>
      </c>
      <c r="H325" s="10">
        <f>28.8547 * CHOOSE(CONTROL!$C$15, $E$9, 100%, $G$9) + CHOOSE(CONTROL!$C$38, 0.0347, 0)</f>
        <v>28.889400000000002</v>
      </c>
      <c r="I325" s="10">
        <f>28.8562 * CHOOSE(CONTROL!$C$15, $E$9, 100%, $G$9) + CHOOSE(CONTROL!$C$38, 0.0347, 0)</f>
        <v>28.890900000000002</v>
      </c>
      <c r="J325" s="26">
        <f>172.7016</f>
        <v>172.70160000000001</v>
      </c>
    </row>
    <row r="326" spans="1:10" ht="15.75" x14ac:dyDescent="0.25">
      <c r="A326" s="14">
        <v>51226</v>
      </c>
      <c r="B326" s="10">
        <f>30.7079 * CHOOSE(CONTROL!$C$15, $E$9, 100%, $G$9) + CHOOSE(CONTROL!$C$38, 0.0256, 0)</f>
        <v>30.733499999999999</v>
      </c>
      <c r="C326" s="10">
        <f>28.3452 * CHOOSE(CONTROL!$C$15, $E$9, 100%, $G$9) + CHOOSE(CONTROL!$C$38, 0.0347, 0)</f>
        <v>28.379899999999999</v>
      </c>
      <c r="D326" s="10">
        <f>28.3374 * CHOOSE(CONTROL!$C$15, $E$9, 100%, $G$9) + CHOOSE(CONTROL!$C$38, 0.0347, 0)</f>
        <v>28.3721</v>
      </c>
      <c r="E326" s="28">
        <f>30.5516 * CHOOSE(CONTROL!$C$15, $E$9, 100%, $G$9) + CHOOSE(CONTROL!$C$38, 0.0347, 0)</f>
        <v>30.586300000000001</v>
      </c>
      <c r="F326" s="27">
        <f>30.5516 * CHOOSE(CONTROL!$C$15, $E$9, 100%, $G$9) + CHOOSE(CONTROL!$C$38, 0.0256, 0)</f>
        <v>30.577200000000001</v>
      </c>
      <c r="G326" s="10">
        <f>28.3436 * CHOOSE(CONTROL!$C$15, $E$9, 100%, $G$9) + CHOOSE(CONTROL!$C$38, 0.0347, 0)</f>
        <v>28.378299999999999</v>
      </c>
      <c r="H326" s="10">
        <f>28.3436 * CHOOSE(CONTROL!$C$15, $E$9, 100%, $G$9) + CHOOSE(CONTROL!$C$38, 0.0347, 0)</f>
        <v>28.378299999999999</v>
      </c>
      <c r="I326" s="10">
        <f>28.3452 * CHOOSE(CONTROL!$C$15, $E$9, 100%, $G$9) + CHOOSE(CONTROL!$C$38, 0.0347, 0)</f>
        <v>28.379899999999999</v>
      </c>
      <c r="J326" s="26">
        <f>181.804</f>
        <v>181.804</v>
      </c>
    </row>
    <row r="327" spans="1:10" ht="15.75" x14ac:dyDescent="0.25">
      <c r="A327" s="14">
        <v>51256</v>
      </c>
      <c r="B327" s="10">
        <f>30.2127 * CHOOSE(CONTROL!$C$15, $E$9, 100%, $G$9) + CHOOSE(CONTROL!$C$38, 0.0256, 0)</f>
        <v>30.238300000000002</v>
      </c>
      <c r="C327" s="10">
        <f>27.85 * CHOOSE(CONTROL!$C$15, $E$9, 100%, $G$9) + CHOOSE(CONTROL!$C$38, 0.0347, 0)</f>
        <v>27.884700000000002</v>
      </c>
      <c r="D327" s="10">
        <f>27.8422 * CHOOSE(CONTROL!$C$15, $E$9, 100%, $G$9) + CHOOSE(CONTROL!$C$38, 0.0347, 0)</f>
        <v>27.876899999999999</v>
      </c>
      <c r="E327" s="28">
        <f>30.0564 * CHOOSE(CONTROL!$C$15, $E$9, 100%, $G$9) + CHOOSE(CONTROL!$C$38, 0.0347, 0)</f>
        <v>30.091100000000001</v>
      </c>
      <c r="F327" s="27">
        <f>30.0564 * CHOOSE(CONTROL!$C$15, $E$9, 100%, $G$9) + CHOOSE(CONTROL!$C$38, 0.0256, 0)</f>
        <v>30.082000000000001</v>
      </c>
      <c r="G327" s="10">
        <f>27.8485 * CHOOSE(CONTROL!$C$15, $E$9, 100%, $G$9) + CHOOSE(CONTROL!$C$38, 0.0347, 0)</f>
        <v>27.883200000000002</v>
      </c>
      <c r="H327" s="10">
        <f>27.8485 * CHOOSE(CONTROL!$C$15, $E$9, 100%, $G$9) + CHOOSE(CONTROL!$C$38, 0.0347, 0)</f>
        <v>27.883200000000002</v>
      </c>
      <c r="I327" s="10">
        <f>27.85 * CHOOSE(CONTROL!$C$15, $E$9, 100%, $G$9) + CHOOSE(CONTROL!$C$38, 0.0347, 0)</f>
        <v>27.884700000000002</v>
      </c>
      <c r="J327" s="26">
        <f>193.6076</f>
        <v>193.60759999999999</v>
      </c>
    </row>
    <row r="328" spans="1:10" ht="15.75" x14ac:dyDescent="0.25">
      <c r="A328" s="14">
        <v>51287</v>
      </c>
      <c r="B328" s="10">
        <f>29.6966 * CHOOSE(CONTROL!$C$15, $E$9, 100%, $G$9) + CHOOSE(CONTROL!$C$38, 0.0256, 0)</f>
        <v>29.722200000000001</v>
      </c>
      <c r="C328" s="10">
        <f>27.3339 * CHOOSE(CONTROL!$C$15, $E$9, 100%, $G$9) + CHOOSE(CONTROL!$C$38, 0.0347, 0)</f>
        <v>27.368600000000001</v>
      </c>
      <c r="D328" s="10">
        <f>27.3261 * CHOOSE(CONTROL!$C$15, $E$9, 100%, $G$9) + CHOOSE(CONTROL!$C$38, 0.0347, 0)</f>
        <v>27.360800000000001</v>
      </c>
      <c r="E328" s="28">
        <f>29.5403 * CHOOSE(CONTROL!$C$15, $E$9, 100%, $G$9) + CHOOSE(CONTROL!$C$38, 0.0347, 0)</f>
        <v>29.574999999999999</v>
      </c>
      <c r="F328" s="27">
        <f>29.5403 * CHOOSE(CONTROL!$C$15, $E$9, 100%, $G$9) + CHOOSE(CONTROL!$C$38, 0.0256, 0)</f>
        <v>29.565899999999999</v>
      </c>
      <c r="G328" s="10">
        <f>27.3324 * CHOOSE(CONTROL!$C$15, $E$9, 100%, $G$9) + CHOOSE(CONTROL!$C$38, 0.0347, 0)</f>
        <v>27.367100000000001</v>
      </c>
      <c r="H328" s="10">
        <f>27.3324 * CHOOSE(CONTROL!$C$15, $E$9, 100%, $G$9) + CHOOSE(CONTROL!$C$38, 0.0347, 0)</f>
        <v>27.367100000000001</v>
      </c>
      <c r="I328" s="10">
        <f>27.3339 * CHOOSE(CONTROL!$C$15, $E$9, 100%, $G$9) + CHOOSE(CONTROL!$C$38, 0.0347, 0)</f>
        <v>27.368600000000001</v>
      </c>
      <c r="J328" s="26">
        <f>200.1046</f>
        <v>200.1046</v>
      </c>
    </row>
    <row r="329" spans="1:10" ht="15.75" x14ac:dyDescent="0.25">
      <c r="A329" s="14">
        <v>51317</v>
      </c>
      <c r="B329" s="10">
        <f>29.3347 * CHOOSE(CONTROL!$C$15, $E$9, 100%, $G$9) + CHOOSE(CONTROL!$C$38, 0.0256, 0)</f>
        <v>29.360300000000002</v>
      </c>
      <c r="C329" s="10">
        <f>26.9721 * CHOOSE(CONTROL!$C$15, $E$9, 100%, $G$9) + CHOOSE(CONTROL!$C$38, 0.0347, 0)</f>
        <v>27.006800000000002</v>
      </c>
      <c r="D329" s="10">
        <f>26.9643 * CHOOSE(CONTROL!$C$15, $E$9, 100%, $G$9) + CHOOSE(CONTROL!$C$38, 0.0347, 0)</f>
        <v>26.999000000000002</v>
      </c>
      <c r="E329" s="28">
        <f>29.1785 * CHOOSE(CONTROL!$C$15, $E$9, 100%, $G$9) + CHOOSE(CONTROL!$C$38, 0.0347, 0)</f>
        <v>29.213200000000001</v>
      </c>
      <c r="F329" s="27">
        <f>29.1785 * CHOOSE(CONTROL!$C$15, $E$9, 100%, $G$9) + CHOOSE(CONTROL!$C$38, 0.0256, 0)</f>
        <v>29.2041</v>
      </c>
      <c r="G329" s="10">
        <f>26.9705 * CHOOSE(CONTROL!$C$15, $E$9, 100%, $G$9) + CHOOSE(CONTROL!$C$38, 0.0347, 0)</f>
        <v>27.005200000000002</v>
      </c>
      <c r="H329" s="10">
        <f>26.9705 * CHOOSE(CONTROL!$C$15, $E$9, 100%, $G$9) + CHOOSE(CONTROL!$C$38, 0.0347, 0)</f>
        <v>27.005200000000002</v>
      </c>
      <c r="I329" s="10">
        <f>26.9721 * CHOOSE(CONTROL!$C$15, $E$9, 100%, $G$9) + CHOOSE(CONTROL!$C$38, 0.0347, 0)</f>
        <v>27.006800000000002</v>
      </c>
      <c r="J329" s="26">
        <f>202.9879</f>
        <v>202.9879</v>
      </c>
    </row>
    <row r="330" spans="1:10" ht="15.75" x14ac:dyDescent="0.25">
      <c r="A330" s="14">
        <v>51348</v>
      </c>
      <c r="B330" s="10">
        <f>29.1282 * CHOOSE(CONTROL!$C$15, $E$9, 100%, $G$9) + CHOOSE(CONTROL!$C$38, 0.0256, 0)</f>
        <v>29.1538</v>
      </c>
      <c r="C330" s="10">
        <f>26.7656 * CHOOSE(CONTROL!$C$15, $E$9, 100%, $G$9) + CHOOSE(CONTROL!$C$38, 0.0347, 0)</f>
        <v>26.8003</v>
      </c>
      <c r="D330" s="10">
        <f>26.7578 * CHOOSE(CONTROL!$C$15, $E$9, 100%, $G$9) + CHOOSE(CONTROL!$C$38, 0.0347, 0)</f>
        <v>26.7925</v>
      </c>
      <c r="E330" s="28">
        <f>28.972 * CHOOSE(CONTROL!$C$15, $E$9, 100%, $G$9) + CHOOSE(CONTROL!$C$38, 0.0347, 0)</f>
        <v>29.006700000000002</v>
      </c>
      <c r="F330" s="27">
        <f>28.972 * CHOOSE(CONTROL!$C$15, $E$9, 100%, $G$9) + CHOOSE(CONTROL!$C$38, 0.0256, 0)</f>
        <v>28.997600000000002</v>
      </c>
      <c r="G330" s="10">
        <f>26.764 * CHOOSE(CONTROL!$C$15, $E$9, 100%, $G$9) + CHOOSE(CONTROL!$C$38, 0.0347, 0)</f>
        <v>26.7987</v>
      </c>
      <c r="H330" s="10">
        <f>26.764 * CHOOSE(CONTROL!$C$15, $E$9, 100%, $G$9) + CHOOSE(CONTROL!$C$38, 0.0347, 0)</f>
        <v>26.7987</v>
      </c>
      <c r="I330" s="10">
        <f>26.7656 * CHOOSE(CONTROL!$C$15, $E$9, 100%, $G$9) + CHOOSE(CONTROL!$C$38, 0.0347, 0)</f>
        <v>26.8003</v>
      </c>
      <c r="J330" s="26">
        <f>202.0386</f>
        <v>202.0386</v>
      </c>
    </row>
    <row r="331" spans="1:10" ht="15.75" x14ac:dyDescent="0.25">
      <c r="A331" s="14">
        <v>51379</v>
      </c>
      <c r="B331" s="10">
        <f>29.2301 * CHOOSE(CONTROL!$C$15, $E$9, 100%, $G$9) + CHOOSE(CONTROL!$C$38, 0.0256, 0)</f>
        <v>29.255700000000001</v>
      </c>
      <c r="C331" s="10">
        <f>26.8675 * CHOOSE(CONTROL!$C$15, $E$9, 100%, $G$9) + CHOOSE(CONTROL!$C$38, 0.0347, 0)</f>
        <v>26.902200000000001</v>
      </c>
      <c r="D331" s="10">
        <f>26.8597 * CHOOSE(CONTROL!$C$15, $E$9, 100%, $G$9) + CHOOSE(CONTROL!$C$38, 0.0347, 0)</f>
        <v>26.894400000000001</v>
      </c>
      <c r="E331" s="28">
        <f>29.0739 * CHOOSE(CONTROL!$C$15, $E$9, 100%, $G$9) + CHOOSE(CONTROL!$C$38, 0.0347, 0)</f>
        <v>29.108599999999999</v>
      </c>
      <c r="F331" s="27">
        <f>29.0739 * CHOOSE(CONTROL!$C$15, $E$9, 100%, $G$9) + CHOOSE(CONTROL!$C$38, 0.0256, 0)</f>
        <v>29.099499999999999</v>
      </c>
      <c r="G331" s="10">
        <f>26.8659 * CHOOSE(CONTROL!$C$15, $E$9, 100%, $G$9) + CHOOSE(CONTROL!$C$38, 0.0347, 0)</f>
        <v>26.900600000000001</v>
      </c>
      <c r="H331" s="10">
        <f>26.8659 * CHOOSE(CONTROL!$C$15, $E$9, 100%, $G$9) + CHOOSE(CONTROL!$C$38, 0.0347, 0)</f>
        <v>26.900600000000001</v>
      </c>
      <c r="I331" s="10">
        <f>26.8675 * CHOOSE(CONTROL!$C$15, $E$9, 100%, $G$9) + CHOOSE(CONTROL!$C$38, 0.0347, 0)</f>
        <v>26.902200000000001</v>
      </c>
      <c r="J331" s="26">
        <f>197.3352</f>
        <v>197.33519999999999</v>
      </c>
    </row>
    <row r="332" spans="1:10" ht="15.75" x14ac:dyDescent="0.25">
      <c r="A332" s="14">
        <v>51409</v>
      </c>
      <c r="B332" s="10">
        <f>29.5069 * CHOOSE(CONTROL!$C$15, $E$9, 100%, $G$9) + CHOOSE(CONTROL!$C$38, 0.0256, 0)</f>
        <v>29.532500000000002</v>
      </c>
      <c r="C332" s="10">
        <f>27.1443 * CHOOSE(CONTROL!$C$15, $E$9, 100%, $G$9) + CHOOSE(CONTROL!$C$38, 0.0347, 0)</f>
        <v>27.179000000000002</v>
      </c>
      <c r="D332" s="10">
        <f>27.1365 * CHOOSE(CONTROL!$C$15, $E$9, 100%, $G$9) + CHOOSE(CONTROL!$C$38, 0.0347, 0)</f>
        <v>27.171200000000002</v>
      </c>
      <c r="E332" s="28">
        <f>29.3507 * CHOOSE(CONTROL!$C$15, $E$9, 100%, $G$9) + CHOOSE(CONTROL!$C$38, 0.0347, 0)</f>
        <v>29.385400000000001</v>
      </c>
      <c r="F332" s="27">
        <f>29.3507 * CHOOSE(CONTROL!$C$15, $E$9, 100%, $G$9) + CHOOSE(CONTROL!$C$38, 0.0256, 0)</f>
        <v>29.376300000000001</v>
      </c>
      <c r="G332" s="10">
        <f>27.1427 * CHOOSE(CONTROL!$C$15, $E$9, 100%, $G$9) + CHOOSE(CONTROL!$C$38, 0.0347, 0)</f>
        <v>27.177400000000002</v>
      </c>
      <c r="H332" s="10">
        <f>27.1427 * CHOOSE(CONTROL!$C$15, $E$9, 100%, $G$9) + CHOOSE(CONTROL!$C$38, 0.0347, 0)</f>
        <v>27.177400000000002</v>
      </c>
      <c r="I332" s="10">
        <f>27.1443 * CHOOSE(CONTROL!$C$15, $E$9, 100%, $G$9) + CHOOSE(CONTROL!$C$38, 0.0347, 0)</f>
        <v>27.179000000000002</v>
      </c>
      <c r="J332" s="26">
        <f>190.7762</f>
        <v>190.77619999999999</v>
      </c>
    </row>
    <row r="333" spans="1:10" ht="15.75" x14ac:dyDescent="0.25">
      <c r="A333" s="14">
        <v>51440</v>
      </c>
      <c r="B333" s="10">
        <f>29.7388 * CHOOSE(CONTROL!$C$15, $E$9, 100%, $G$9) + CHOOSE(CONTROL!$C$38, 0.0256, 0)</f>
        <v>29.764400000000002</v>
      </c>
      <c r="C333" s="10">
        <f>27.3761 * CHOOSE(CONTROL!$C$15, $E$9, 100%, $G$9) + CHOOSE(CONTROL!$C$38, 0.0347, 0)</f>
        <v>27.410800000000002</v>
      </c>
      <c r="D333" s="10">
        <f>27.3683 * CHOOSE(CONTROL!$C$15, $E$9, 100%, $G$9) + CHOOSE(CONTROL!$C$38, 0.0347, 0)</f>
        <v>27.403000000000002</v>
      </c>
      <c r="E333" s="28">
        <f>29.5825 * CHOOSE(CONTROL!$C$15, $E$9, 100%, $G$9) + CHOOSE(CONTROL!$C$38, 0.0347, 0)</f>
        <v>29.6172</v>
      </c>
      <c r="F333" s="27">
        <f>29.5825 * CHOOSE(CONTROL!$C$15, $E$9, 100%, $G$9) + CHOOSE(CONTROL!$C$38, 0.0256, 0)</f>
        <v>29.6081</v>
      </c>
      <c r="G333" s="10">
        <f>27.3746 * CHOOSE(CONTROL!$C$15, $E$9, 100%, $G$9) + CHOOSE(CONTROL!$C$38, 0.0347, 0)</f>
        <v>27.409300000000002</v>
      </c>
      <c r="H333" s="10">
        <f>27.3746 * CHOOSE(CONTROL!$C$15, $E$9, 100%, $G$9) + CHOOSE(CONTROL!$C$38, 0.0347, 0)</f>
        <v>27.409300000000002</v>
      </c>
      <c r="I333" s="10">
        <f>27.3761 * CHOOSE(CONTROL!$C$15, $E$9, 100%, $G$9) + CHOOSE(CONTROL!$C$38, 0.0347, 0)</f>
        <v>27.410800000000002</v>
      </c>
      <c r="J333" s="26">
        <f>184.1789</f>
        <v>184.1789</v>
      </c>
    </row>
    <row r="334" spans="1:10" ht="15.75" x14ac:dyDescent="0.25">
      <c r="A334" s="14">
        <v>51470</v>
      </c>
      <c r="B334" s="10">
        <f>29.9322 * CHOOSE(CONTROL!$C$15, $E$9, 100%, $G$9) + CHOOSE(CONTROL!$C$38, 0.0256, 0)</f>
        <v>29.957800000000002</v>
      </c>
      <c r="C334" s="10">
        <f>27.5696 * CHOOSE(CONTROL!$C$15, $E$9, 100%, $G$9) + CHOOSE(CONTROL!$C$38, 0.0347, 0)</f>
        <v>27.604300000000002</v>
      </c>
      <c r="D334" s="10">
        <f>27.5617 * CHOOSE(CONTROL!$C$15, $E$9, 100%, $G$9) + CHOOSE(CONTROL!$C$38, 0.0347, 0)</f>
        <v>27.596399999999999</v>
      </c>
      <c r="E334" s="28">
        <f>29.776 * CHOOSE(CONTROL!$C$15, $E$9, 100%, $G$9) + CHOOSE(CONTROL!$C$38, 0.0347, 0)</f>
        <v>29.810700000000001</v>
      </c>
      <c r="F334" s="27">
        <f>29.776 * CHOOSE(CONTROL!$C$15, $E$9, 100%, $G$9) + CHOOSE(CONTROL!$C$38, 0.0256, 0)</f>
        <v>29.801600000000001</v>
      </c>
      <c r="G334" s="10">
        <f>27.568 * CHOOSE(CONTROL!$C$15, $E$9, 100%, $G$9) + CHOOSE(CONTROL!$C$38, 0.0347, 0)</f>
        <v>27.602700000000002</v>
      </c>
      <c r="H334" s="10">
        <f>27.568 * CHOOSE(CONTROL!$C$15, $E$9, 100%, $G$9) + CHOOSE(CONTROL!$C$38, 0.0347, 0)</f>
        <v>27.602700000000002</v>
      </c>
      <c r="I334" s="10">
        <f>27.5696 * CHOOSE(CONTROL!$C$15, $E$9, 100%, $G$9) + CHOOSE(CONTROL!$C$38, 0.0347, 0)</f>
        <v>27.604300000000002</v>
      </c>
      <c r="J334" s="26">
        <f>182.8666</f>
        <v>182.86660000000001</v>
      </c>
    </row>
    <row r="335" spans="1:10" ht="15.75" x14ac:dyDescent="0.25">
      <c r="A335" s="14">
        <v>51501</v>
      </c>
      <c r="B335" s="10">
        <f>30.5283 * CHOOSE(CONTROL!$C$15, $E$9, 100%, $G$9) + CHOOSE(CONTROL!$C$38, 0.0256, 0)</f>
        <v>30.553900000000002</v>
      </c>
      <c r="C335" s="10">
        <f>28.1656 * CHOOSE(CONTROL!$C$15, $E$9, 100%, $G$9) + CHOOSE(CONTROL!$C$38, 0.0347, 0)</f>
        <v>28.200300000000002</v>
      </c>
      <c r="D335" s="10">
        <f>28.1578 * CHOOSE(CONTROL!$C$15, $E$9, 100%, $G$9) + CHOOSE(CONTROL!$C$38, 0.0347, 0)</f>
        <v>28.192500000000003</v>
      </c>
      <c r="E335" s="28">
        <f>30.372 * CHOOSE(CONTROL!$C$15, $E$9, 100%, $G$9) + CHOOSE(CONTROL!$C$38, 0.0347, 0)</f>
        <v>30.406700000000001</v>
      </c>
      <c r="F335" s="27">
        <f>30.372 * CHOOSE(CONTROL!$C$15, $E$9, 100%, $G$9) + CHOOSE(CONTROL!$C$38, 0.0256, 0)</f>
        <v>30.397600000000001</v>
      </c>
      <c r="G335" s="10">
        <f>28.1641 * CHOOSE(CONTROL!$C$15, $E$9, 100%, $G$9) + CHOOSE(CONTROL!$C$38, 0.0347, 0)</f>
        <v>28.198800000000002</v>
      </c>
      <c r="H335" s="10">
        <f>28.1641 * CHOOSE(CONTROL!$C$15, $E$9, 100%, $G$9) + CHOOSE(CONTROL!$C$38, 0.0347, 0)</f>
        <v>28.198800000000002</v>
      </c>
      <c r="I335" s="10">
        <f>28.1656 * CHOOSE(CONTROL!$C$15, $E$9, 100%, $G$9) + CHOOSE(CONTROL!$C$38, 0.0347, 0)</f>
        <v>28.200300000000002</v>
      </c>
      <c r="J335" s="26">
        <f>177.44</f>
        <v>177.44</v>
      </c>
    </row>
    <row r="336" spans="1:10" ht="15.75" x14ac:dyDescent="0.25">
      <c r="A336" s="14">
        <v>51532</v>
      </c>
      <c r="B336" s="10">
        <f>31.5176 * CHOOSE(CONTROL!$C$15, $E$9, 100%, $G$9) + CHOOSE(CONTROL!$C$38, 0.0256, 0)</f>
        <v>31.543200000000002</v>
      </c>
      <c r="C336" s="10">
        <f>29.116 * CHOOSE(CONTROL!$C$15, $E$9, 100%, $G$9) + CHOOSE(CONTROL!$C$38, 0.0347, 0)</f>
        <v>29.150700000000001</v>
      </c>
      <c r="D336" s="10">
        <f>29.1082 * CHOOSE(CONTROL!$C$15, $E$9, 100%, $G$9) + CHOOSE(CONTROL!$C$38, 0.0347, 0)</f>
        <v>29.142900000000001</v>
      </c>
      <c r="E336" s="28">
        <f>31.3614 * CHOOSE(CONTROL!$C$15, $E$9, 100%, $G$9) + CHOOSE(CONTROL!$C$38, 0.0347, 0)</f>
        <v>31.396100000000001</v>
      </c>
      <c r="F336" s="27">
        <f>31.3614 * CHOOSE(CONTROL!$C$15, $E$9, 100%, $G$9) + CHOOSE(CONTROL!$C$38, 0.0256, 0)</f>
        <v>31.387</v>
      </c>
      <c r="G336" s="10">
        <f>29.1144 * CHOOSE(CONTROL!$C$15, $E$9, 100%, $G$9) + CHOOSE(CONTROL!$C$38, 0.0347, 0)</f>
        <v>29.149100000000001</v>
      </c>
      <c r="H336" s="10">
        <f>29.1144 * CHOOSE(CONTROL!$C$15, $E$9, 100%, $G$9) + CHOOSE(CONTROL!$C$38, 0.0347, 0)</f>
        <v>29.149100000000001</v>
      </c>
      <c r="I336" s="10">
        <f>29.116 * CHOOSE(CONTROL!$C$15, $E$9, 100%, $G$9) + CHOOSE(CONTROL!$C$38, 0.0347, 0)</f>
        <v>29.150700000000001</v>
      </c>
      <c r="J336" s="26">
        <f>176.2514</f>
        <v>176.25139999999999</v>
      </c>
    </row>
    <row r="337" spans="1:10" ht="15.75" x14ac:dyDescent="0.25">
      <c r="A337" s="14">
        <v>51560</v>
      </c>
      <c r="B337" s="10">
        <f>31.7384 * CHOOSE(CONTROL!$C$15, $E$9, 100%, $G$9) + CHOOSE(CONTROL!$C$38, 0.0256, 0)</f>
        <v>31.763999999999999</v>
      </c>
      <c r="C337" s="10">
        <f>29.3367 * CHOOSE(CONTROL!$C$15, $E$9, 100%, $G$9) + CHOOSE(CONTROL!$C$38, 0.0347, 0)</f>
        <v>29.371400000000001</v>
      </c>
      <c r="D337" s="10">
        <f>29.3289 * CHOOSE(CONTROL!$C$15, $E$9, 100%, $G$9) + CHOOSE(CONTROL!$C$38, 0.0347, 0)</f>
        <v>29.363600000000002</v>
      </c>
      <c r="E337" s="28">
        <f>31.5821 * CHOOSE(CONTROL!$C$15, $E$9, 100%, $G$9) + CHOOSE(CONTROL!$C$38, 0.0347, 0)</f>
        <v>31.616800000000001</v>
      </c>
      <c r="F337" s="27">
        <f>31.5821 * CHOOSE(CONTROL!$C$15, $E$9, 100%, $G$9) + CHOOSE(CONTROL!$C$38, 0.0256, 0)</f>
        <v>31.607700000000001</v>
      </c>
      <c r="G337" s="10">
        <f>29.3352 * CHOOSE(CONTROL!$C$15, $E$9, 100%, $G$9) + CHOOSE(CONTROL!$C$38, 0.0347, 0)</f>
        <v>29.369900000000001</v>
      </c>
      <c r="H337" s="10">
        <f>29.3352 * CHOOSE(CONTROL!$C$15, $E$9, 100%, $G$9) + CHOOSE(CONTROL!$C$38, 0.0347, 0)</f>
        <v>29.369900000000001</v>
      </c>
      <c r="I337" s="10">
        <f>29.3367 * CHOOSE(CONTROL!$C$15, $E$9, 100%, $G$9) + CHOOSE(CONTROL!$C$38, 0.0347, 0)</f>
        <v>29.371400000000001</v>
      </c>
      <c r="J337" s="26">
        <f>175.7615</f>
        <v>175.76150000000001</v>
      </c>
    </row>
    <row r="338" spans="1:10" ht="15.75" x14ac:dyDescent="0.25">
      <c r="A338" s="14">
        <v>51591</v>
      </c>
      <c r="B338" s="10">
        <f>31.2273 * CHOOSE(CONTROL!$C$15, $E$9, 100%, $G$9) + CHOOSE(CONTROL!$C$38, 0.0256, 0)</f>
        <v>31.2529</v>
      </c>
      <c r="C338" s="10">
        <f>28.8257 * CHOOSE(CONTROL!$C$15, $E$9, 100%, $G$9) + CHOOSE(CONTROL!$C$38, 0.0347, 0)</f>
        <v>28.860400000000002</v>
      </c>
      <c r="D338" s="10">
        <f>28.8179 * CHOOSE(CONTROL!$C$15, $E$9, 100%, $G$9) + CHOOSE(CONTROL!$C$38, 0.0347, 0)</f>
        <v>28.852600000000002</v>
      </c>
      <c r="E338" s="28">
        <f>31.0711 * CHOOSE(CONTROL!$C$15, $E$9, 100%, $G$9) + CHOOSE(CONTROL!$C$38, 0.0347, 0)</f>
        <v>31.105800000000002</v>
      </c>
      <c r="F338" s="27">
        <f>31.0711 * CHOOSE(CONTROL!$C$15, $E$9, 100%, $G$9) + CHOOSE(CONTROL!$C$38, 0.0256, 0)</f>
        <v>31.096700000000002</v>
      </c>
      <c r="G338" s="10">
        <f>28.8241 * CHOOSE(CONTROL!$C$15, $E$9, 100%, $G$9) + CHOOSE(CONTROL!$C$38, 0.0347, 0)</f>
        <v>28.858800000000002</v>
      </c>
      <c r="H338" s="10">
        <f>28.8241 * CHOOSE(CONTROL!$C$15, $E$9, 100%, $G$9) + CHOOSE(CONTROL!$C$38, 0.0347, 0)</f>
        <v>28.858800000000002</v>
      </c>
      <c r="I338" s="10">
        <f>28.8257 * CHOOSE(CONTROL!$C$15, $E$9, 100%, $G$9) + CHOOSE(CONTROL!$C$38, 0.0347, 0)</f>
        <v>28.860400000000002</v>
      </c>
      <c r="J338" s="26">
        <f>185.0252</f>
        <v>185.02520000000001</v>
      </c>
    </row>
    <row r="339" spans="1:10" ht="15.75" x14ac:dyDescent="0.25">
      <c r="A339" s="14">
        <v>51621</v>
      </c>
      <c r="B339" s="10">
        <f>30.7322 * CHOOSE(CONTROL!$C$15, $E$9, 100%, $G$9) + CHOOSE(CONTROL!$C$38, 0.0256, 0)</f>
        <v>30.7578</v>
      </c>
      <c r="C339" s="10">
        <f>28.3305 * CHOOSE(CONTROL!$C$15, $E$9, 100%, $G$9) + CHOOSE(CONTROL!$C$38, 0.0347, 0)</f>
        <v>28.365200000000002</v>
      </c>
      <c r="D339" s="10">
        <f>28.3227 * CHOOSE(CONTROL!$C$15, $E$9, 100%, $G$9) + CHOOSE(CONTROL!$C$38, 0.0347, 0)</f>
        <v>28.357400000000002</v>
      </c>
      <c r="E339" s="28">
        <f>30.5759 * CHOOSE(CONTROL!$C$15, $E$9, 100%, $G$9) + CHOOSE(CONTROL!$C$38, 0.0347, 0)</f>
        <v>30.610600000000002</v>
      </c>
      <c r="F339" s="27">
        <f>30.5759 * CHOOSE(CONTROL!$C$15, $E$9, 100%, $G$9) + CHOOSE(CONTROL!$C$38, 0.0256, 0)</f>
        <v>30.601500000000001</v>
      </c>
      <c r="G339" s="10">
        <f>28.329 * CHOOSE(CONTROL!$C$15, $E$9, 100%, $G$9) + CHOOSE(CONTROL!$C$38, 0.0347, 0)</f>
        <v>28.363700000000001</v>
      </c>
      <c r="H339" s="10">
        <f>28.329 * CHOOSE(CONTROL!$C$15, $E$9, 100%, $G$9) + CHOOSE(CONTROL!$C$38, 0.0347, 0)</f>
        <v>28.363700000000001</v>
      </c>
      <c r="I339" s="10">
        <f>28.3305 * CHOOSE(CONTROL!$C$15, $E$9, 100%, $G$9) + CHOOSE(CONTROL!$C$38, 0.0347, 0)</f>
        <v>28.365200000000002</v>
      </c>
      <c r="J339" s="26">
        <f>197.0379</f>
        <v>197.03790000000001</v>
      </c>
    </row>
    <row r="340" spans="1:10" ht="15.75" x14ac:dyDescent="0.25">
      <c r="A340" s="14">
        <v>51652</v>
      </c>
      <c r="B340" s="10">
        <f>30.216 * CHOOSE(CONTROL!$C$15, $E$9, 100%, $G$9) + CHOOSE(CONTROL!$C$38, 0.0256, 0)</f>
        <v>30.241600000000002</v>
      </c>
      <c r="C340" s="10">
        <f>27.8144 * CHOOSE(CONTROL!$C$15, $E$9, 100%, $G$9) + CHOOSE(CONTROL!$C$38, 0.0347, 0)</f>
        <v>27.8491</v>
      </c>
      <c r="D340" s="10">
        <f>27.8066 * CHOOSE(CONTROL!$C$15, $E$9, 100%, $G$9) + CHOOSE(CONTROL!$C$38, 0.0347, 0)</f>
        <v>27.8413</v>
      </c>
      <c r="E340" s="28">
        <f>30.0598 * CHOOSE(CONTROL!$C$15, $E$9, 100%, $G$9) + CHOOSE(CONTROL!$C$38, 0.0347, 0)</f>
        <v>30.0945</v>
      </c>
      <c r="F340" s="27">
        <f>30.0598 * CHOOSE(CONTROL!$C$15, $E$9, 100%, $G$9) + CHOOSE(CONTROL!$C$38, 0.0256, 0)</f>
        <v>30.0854</v>
      </c>
      <c r="G340" s="10">
        <f>27.8129 * CHOOSE(CONTROL!$C$15, $E$9, 100%, $G$9) + CHOOSE(CONTROL!$C$38, 0.0347, 0)</f>
        <v>27.8476</v>
      </c>
      <c r="H340" s="10">
        <f>27.8129 * CHOOSE(CONTROL!$C$15, $E$9, 100%, $G$9) + CHOOSE(CONTROL!$C$38, 0.0347, 0)</f>
        <v>27.8476</v>
      </c>
      <c r="I340" s="10">
        <f>27.8144 * CHOOSE(CONTROL!$C$15, $E$9, 100%, $G$9) + CHOOSE(CONTROL!$C$38, 0.0347, 0)</f>
        <v>27.8491</v>
      </c>
      <c r="J340" s="26">
        <f>203.6501</f>
        <v>203.65010000000001</v>
      </c>
    </row>
    <row r="341" spans="1:10" ht="15.75" x14ac:dyDescent="0.25">
      <c r="A341" s="14">
        <v>51682</v>
      </c>
      <c r="B341" s="10">
        <f>29.8542 * CHOOSE(CONTROL!$C$15, $E$9, 100%, $G$9) + CHOOSE(CONTROL!$C$38, 0.0256, 0)</f>
        <v>29.879799999999999</v>
      </c>
      <c r="C341" s="10">
        <f>27.4526 * CHOOSE(CONTROL!$C$15, $E$9, 100%, $G$9) + CHOOSE(CONTROL!$C$38, 0.0347, 0)</f>
        <v>27.487300000000001</v>
      </c>
      <c r="D341" s="10">
        <f>27.4448 * CHOOSE(CONTROL!$C$15, $E$9, 100%, $G$9) + CHOOSE(CONTROL!$C$38, 0.0347, 0)</f>
        <v>27.479500000000002</v>
      </c>
      <c r="E341" s="28">
        <f>29.698 * CHOOSE(CONTROL!$C$15, $E$9, 100%, $G$9) + CHOOSE(CONTROL!$C$38, 0.0347, 0)</f>
        <v>29.732700000000001</v>
      </c>
      <c r="F341" s="27">
        <f>29.698 * CHOOSE(CONTROL!$C$15, $E$9, 100%, $G$9) + CHOOSE(CONTROL!$C$38, 0.0256, 0)</f>
        <v>29.723600000000001</v>
      </c>
      <c r="G341" s="10">
        <f>27.451 * CHOOSE(CONTROL!$C$15, $E$9, 100%, $G$9) + CHOOSE(CONTROL!$C$38, 0.0347, 0)</f>
        <v>27.485700000000001</v>
      </c>
      <c r="H341" s="10">
        <f>27.451 * CHOOSE(CONTROL!$C$15, $E$9, 100%, $G$9) + CHOOSE(CONTROL!$C$38, 0.0347, 0)</f>
        <v>27.485700000000001</v>
      </c>
      <c r="I341" s="10">
        <f>27.4526 * CHOOSE(CONTROL!$C$15, $E$9, 100%, $G$9) + CHOOSE(CONTROL!$C$38, 0.0347, 0)</f>
        <v>27.487300000000001</v>
      </c>
      <c r="J341" s="26">
        <f>206.5845</f>
        <v>206.58449999999999</v>
      </c>
    </row>
    <row r="342" spans="1:10" ht="15.75" x14ac:dyDescent="0.25">
      <c r="A342" s="14">
        <v>51713</v>
      </c>
      <c r="B342" s="10">
        <f>29.6477 * CHOOSE(CONTROL!$C$15, $E$9, 100%, $G$9) + CHOOSE(CONTROL!$C$38, 0.0256, 0)</f>
        <v>29.673300000000001</v>
      </c>
      <c r="C342" s="10">
        <f>27.2461 * CHOOSE(CONTROL!$C$15, $E$9, 100%, $G$9) + CHOOSE(CONTROL!$C$38, 0.0347, 0)</f>
        <v>27.280799999999999</v>
      </c>
      <c r="D342" s="10">
        <f>27.2383 * CHOOSE(CONTROL!$C$15, $E$9, 100%, $G$9) + CHOOSE(CONTROL!$C$38, 0.0347, 0)</f>
        <v>27.273</v>
      </c>
      <c r="E342" s="28">
        <f>29.4915 * CHOOSE(CONTROL!$C$15, $E$9, 100%, $G$9) + CHOOSE(CONTROL!$C$38, 0.0347, 0)</f>
        <v>29.526199999999999</v>
      </c>
      <c r="F342" s="27">
        <f>29.4915 * CHOOSE(CONTROL!$C$15, $E$9, 100%, $G$9) + CHOOSE(CONTROL!$C$38, 0.0256, 0)</f>
        <v>29.517099999999999</v>
      </c>
      <c r="G342" s="10">
        <f>27.2445 * CHOOSE(CONTROL!$C$15, $E$9, 100%, $G$9) + CHOOSE(CONTROL!$C$38, 0.0347, 0)</f>
        <v>27.279199999999999</v>
      </c>
      <c r="H342" s="10">
        <f>27.2445 * CHOOSE(CONTROL!$C$15, $E$9, 100%, $G$9) + CHOOSE(CONTROL!$C$38, 0.0347, 0)</f>
        <v>27.279199999999999</v>
      </c>
      <c r="I342" s="10">
        <f>27.2461 * CHOOSE(CONTROL!$C$15, $E$9, 100%, $G$9) + CHOOSE(CONTROL!$C$38, 0.0347, 0)</f>
        <v>27.280799999999999</v>
      </c>
      <c r="J342" s="26">
        <f>205.6184</f>
        <v>205.61840000000001</v>
      </c>
    </row>
    <row r="343" spans="1:10" ht="15.75" x14ac:dyDescent="0.25">
      <c r="A343" s="14">
        <v>51744</v>
      </c>
      <c r="B343" s="10">
        <f>29.7496 * CHOOSE(CONTROL!$C$15, $E$9, 100%, $G$9) + CHOOSE(CONTROL!$C$38, 0.0256, 0)</f>
        <v>29.775200000000002</v>
      </c>
      <c r="C343" s="10">
        <f>27.348 * CHOOSE(CONTROL!$C$15, $E$9, 100%, $G$9) + CHOOSE(CONTROL!$C$38, 0.0347, 0)</f>
        <v>27.3827</v>
      </c>
      <c r="D343" s="10">
        <f>27.3402 * CHOOSE(CONTROL!$C$15, $E$9, 100%, $G$9) + CHOOSE(CONTROL!$C$38, 0.0347, 0)</f>
        <v>27.3749</v>
      </c>
      <c r="E343" s="28">
        <f>29.5934 * CHOOSE(CONTROL!$C$15, $E$9, 100%, $G$9) + CHOOSE(CONTROL!$C$38, 0.0347, 0)</f>
        <v>29.6281</v>
      </c>
      <c r="F343" s="27">
        <f>29.5934 * CHOOSE(CONTROL!$C$15, $E$9, 100%, $G$9) + CHOOSE(CONTROL!$C$38, 0.0256, 0)</f>
        <v>29.619</v>
      </c>
      <c r="G343" s="10">
        <f>27.3464 * CHOOSE(CONTROL!$C$15, $E$9, 100%, $G$9) + CHOOSE(CONTROL!$C$38, 0.0347, 0)</f>
        <v>27.3811</v>
      </c>
      <c r="H343" s="10">
        <f>27.3464 * CHOOSE(CONTROL!$C$15, $E$9, 100%, $G$9) + CHOOSE(CONTROL!$C$38, 0.0347, 0)</f>
        <v>27.3811</v>
      </c>
      <c r="I343" s="10">
        <f>27.348 * CHOOSE(CONTROL!$C$15, $E$9, 100%, $G$9) + CHOOSE(CONTROL!$C$38, 0.0347, 0)</f>
        <v>27.3827</v>
      </c>
      <c r="J343" s="26">
        <f>200.8317</f>
        <v>200.83170000000001</v>
      </c>
    </row>
    <row r="344" spans="1:10" ht="15.75" x14ac:dyDescent="0.25">
      <c r="A344" s="14">
        <v>51774</v>
      </c>
      <c r="B344" s="10">
        <f>30.0264 * CHOOSE(CONTROL!$C$15, $E$9, 100%, $G$9) + CHOOSE(CONTROL!$C$38, 0.0256, 0)</f>
        <v>30.052</v>
      </c>
      <c r="C344" s="10">
        <f>27.6248 * CHOOSE(CONTROL!$C$15, $E$9, 100%, $G$9) + CHOOSE(CONTROL!$C$38, 0.0347, 0)</f>
        <v>27.659500000000001</v>
      </c>
      <c r="D344" s="10">
        <f>27.617 * CHOOSE(CONTROL!$C$15, $E$9, 100%, $G$9) + CHOOSE(CONTROL!$C$38, 0.0347, 0)</f>
        <v>27.651700000000002</v>
      </c>
      <c r="E344" s="28">
        <f>29.8702 * CHOOSE(CONTROL!$C$15, $E$9, 100%, $G$9) + CHOOSE(CONTROL!$C$38, 0.0347, 0)</f>
        <v>29.904900000000001</v>
      </c>
      <c r="F344" s="27">
        <f>29.8702 * CHOOSE(CONTROL!$C$15, $E$9, 100%, $G$9) + CHOOSE(CONTROL!$C$38, 0.0256, 0)</f>
        <v>29.895800000000001</v>
      </c>
      <c r="G344" s="10">
        <f>27.6232 * CHOOSE(CONTROL!$C$15, $E$9, 100%, $G$9) + CHOOSE(CONTROL!$C$38, 0.0347, 0)</f>
        <v>27.657900000000001</v>
      </c>
      <c r="H344" s="10">
        <f>27.6232 * CHOOSE(CONTROL!$C$15, $E$9, 100%, $G$9) + CHOOSE(CONTROL!$C$38, 0.0347, 0)</f>
        <v>27.657900000000001</v>
      </c>
      <c r="I344" s="10">
        <f>27.6248 * CHOOSE(CONTROL!$C$15, $E$9, 100%, $G$9) + CHOOSE(CONTROL!$C$38, 0.0347, 0)</f>
        <v>27.659500000000001</v>
      </c>
      <c r="J344" s="26">
        <f>194.1564</f>
        <v>194.15639999999999</v>
      </c>
    </row>
    <row r="345" spans="1:10" ht="15.75" x14ac:dyDescent="0.25">
      <c r="A345" s="14">
        <v>51805</v>
      </c>
      <c r="B345" s="10">
        <f>30.2583 * CHOOSE(CONTROL!$C$15, $E$9, 100%, $G$9) + CHOOSE(CONTROL!$C$38, 0.0256, 0)</f>
        <v>30.283899999999999</v>
      </c>
      <c r="C345" s="10">
        <f>27.8566 * CHOOSE(CONTROL!$C$15, $E$9, 100%, $G$9) + CHOOSE(CONTROL!$C$38, 0.0347, 0)</f>
        <v>27.891300000000001</v>
      </c>
      <c r="D345" s="10">
        <f>27.8488 * CHOOSE(CONTROL!$C$15, $E$9, 100%, $G$9) + CHOOSE(CONTROL!$C$38, 0.0347, 0)</f>
        <v>27.883500000000002</v>
      </c>
      <c r="E345" s="28">
        <f>30.102 * CHOOSE(CONTROL!$C$15, $E$9, 100%, $G$9) + CHOOSE(CONTROL!$C$38, 0.0347, 0)</f>
        <v>30.136700000000001</v>
      </c>
      <c r="F345" s="27">
        <f>30.102 * CHOOSE(CONTROL!$C$15, $E$9, 100%, $G$9) + CHOOSE(CONTROL!$C$38, 0.0256, 0)</f>
        <v>30.127600000000001</v>
      </c>
      <c r="G345" s="10">
        <f>27.8551 * CHOOSE(CONTROL!$C$15, $E$9, 100%, $G$9) + CHOOSE(CONTROL!$C$38, 0.0347, 0)</f>
        <v>27.889800000000001</v>
      </c>
      <c r="H345" s="10">
        <f>27.8551 * CHOOSE(CONTROL!$C$15, $E$9, 100%, $G$9) + CHOOSE(CONTROL!$C$38, 0.0347, 0)</f>
        <v>27.889800000000001</v>
      </c>
      <c r="I345" s="10">
        <f>27.8566 * CHOOSE(CONTROL!$C$15, $E$9, 100%, $G$9) + CHOOSE(CONTROL!$C$38, 0.0347, 0)</f>
        <v>27.891300000000001</v>
      </c>
      <c r="J345" s="26">
        <f>187.4422</f>
        <v>187.44220000000001</v>
      </c>
    </row>
    <row r="346" spans="1:10" ht="15.75" x14ac:dyDescent="0.25">
      <c r="A346" s="14">
        <v>51835</v>
      </c>
      <c r="B346" s="10">
        <f>30.4517 * CHOOSE(CONTROL!$C$15, $E$9, 100%, $G$9) + CHOOSE(CONTROL!$C$38, 0.0256, 0)</f>
        <v>30.4773</v>
      </c>
      <c r="C346" s="10">
        <f>28.0501 * CHOOSE(CONTROL!$C$15, $E$9, 100%, $G$9) + CHOOSE(CONTROL!$C$38, 0.0347, 0)</f>
        <v>28.084800000000001</v>
      </c>
      <c r="D346" s="10">
        <f>28.0423 * CHOOSE(CONTROL!$C$15, $E$9, 100%, $G$9) + CHOOSE(CONTROL!$C$38, 0.0347, 0)</f>
        <v>28.077000000000002</v>
      </c>
      <c r="E346" s="28">
        <f>30.2954 * CHOOSE(CONTROL!$C$15, $E$9, 100%, $G$9) + CHOOSE(CONTROL!$C$38, 0.0347, 0)</f>
        <v>30.330100000000002</v>
      </c>
      <c r="F346" s="27">
        <f>30.2954 * CHOOSE(CONTROL!$C$15, $E$9, 100%, $G$9) + CHOOSE(CONTROL!$C$38, 0.0256, 0)</f>
        <v>30.321000000000002</v>
      </c>
      <c r="G346" s="10">
        <f>28.0485 * CHOOSE(CONTROL!$C$15, $E$9, 100%, $G$9) + CHOOSE(CONTROL!$C$38, 0.0347, 0)</f>
        <v>28.083200000000001</v>
      </c>
      <c r="H346" s="10">
        <f>28.0485 * CHOOSE(CONTROL!$C$15, $E$9, 100%, $G$9) + CHOOSE(CONTROL!$C$38, 0.0347, 0)</f>
        <v>28.083200000000001</v>
      </c>
      <c r="I346" s="10">
        <f>28.0501 * CHOOSE(CONTROL!$C$15, $E$9, 100%, $G$9) + CHOOSE(CONTROL!$C$38, 0.0347, 0)</f>
        <v>28.084800000000001</v>
      </c>
      <c r="J346" s="26">
        <f>186.1067</f>
        <v>186.10669999999999</v>
      </c>
    </row>
    <row r="347" spans="1:10" ht="15.75" x14ac:dyDescent="0.25">
      <c r="A347" s="14">
        <v>51866</v>
      </c>
      <c r="B347" s="10">
        <f>31.0478 * CHOOSE(CONTROL!$C$15, $E$9, 100%, $G$9) + CHOOSE(CONTROL!$C$38, 0.0256, 0)</f>
        <v>31.073399999999999</v>
      </c>
      <c r="C347" s="10">
        <f>28.6461 * CHOOSE(CONTROL!$C$15, $E$9, 100%, $G$9) + CHOOSE(CONTROL!$C$38, 0.0347, 0)</f>
        <v>28.680800000000001</v>
      </c>
      <c r="D347" s="10">
        <f>28.6383 * CHOOSE(CONTROL!$C$15, $E$9, 100%, $G$9) + CHOOSE(CONTROL!$C$38, 0.0347, 0)</f>
        <v>28.673000000000002</v>
      </c>
      <c r="E347" s="28">
        <f>30.8915 * CHOOSE(CONTROL!$C$15, $E$9, 100%, $G$9) + CHOOSE(CONTROL!$C$38, 0.0347, 0)</f>
        <v>30.926200000000001</v>
      </c>
      <c r="F347" s="27">
        <f>30.8915 * CHOOSE(CONTROL!$C$15, $E$9, 100%, $G$9) + CHOOSE(CONTROL!$C$38, 0.0256, 0)</f>
        <v>30.917100000000001</v>
      </c>
      <c r="G347" s="10">
        <f>28.6446 * CHOOSE(CONTROL!$C$15, $E$9, 100%, $G$9) + CHOOSE(CONTROL!$C$38, 0.0347, 0)</f>
        <v>28.679300000000001</v>
      </c>
      <c r="H347" s="10">
        <f>28.6446 * CHOOSE(CONTROL!$C$15, $E$9, 100%, $G$9) + CHOOSE(CONTROL!$C$38, 0.0347, 0)</f>
        <v>28.679300000000001</v>
      </c>
      <c r="I347" s="10">
        <f>28.6461 * CHOOSE(CONTROL!$C$15, $E$9, 100%, $G$9) + CHOOSE(CONTROL!$C$38, 0.0347, 0)</f>
        <v>28.680800000000001</v>
      </c>
      <c r="J347" s="26">
        <f>180.5839</f>
        <v>180.5839</v>
      </c>
    </row>
    <row r="348" spans="1:10" ht="15.75" x14ac:dyDescent="0.25">
      <c r="A348" s="14">
        <v>51897</v>
      </c>
      <c r="B348" s="10">
        <f>32.0463 * CHOOSE(CONTROL!$C$15, $E$9, 100%, $G$9) + CHOOSE(CONTROL!$C$38, 0.0256, 0)</f>
        <v>32.071899999999999</v>
      </c>
      <c r="C348" s="10">
        <f>29.605 * CHOOSE(CONTROL!$C$15, $E$9, 100%, $G$9) + CHOOSE(CONTROL!$C$38, 0.0347, 0)</f>
        <v>29.639700000000001</v>
      </c>
      <c r="D348" s="10">
        <f>29.5972 * CHOOSE(CONTROL!$C$15, $E$9, 100%, $G$9) + CHOOSE(CONTROL!$C$38, 0.0347, 0)</f>
        <v>29.631900000000002</v>
      </c>
      <c r="E348" s="28">
        <f>31.89 * CHOOSE(CONTROL!$C$15, $E$9, 100%, $G$9) + CHOOSE(CONTROL!$C$38, 0.0347, 0)</f>
        <v>31.924700000000001</v>
      </c>
      <c r="F348" s="27">
        <f>31.89 * CHOOSE(CONTROL!$C$15, $E$9, 100%, $G$9) + CHOOSE(CONTROL!$C$38, 0.0256, 0)</f>
        <v>31.915600000000001</v>
      </c>
      <c r="G348" s="10">
        <f>29.6034 * CHOOSE(CONTROL!$C$15, $E$9, 100%, $G$9) + CHOOSE(CONTROL!$C$38, 0.0347, 0)</f>
        <v>29.638100000000001</v>
      </c>
      <c r="H348" s="10">
        <f>29.6034 * CHOOSE(CONTROL!$C$15, $E$9, 100%, $G$9) + CHOOSE(CONTROL!$C$38, 0.0347, 0)</f>
        <v>29.638100000000001</v>
      </c>
      <c r="I348" s="10">
        <f>29.605 * CHOOSE(CONTROL!$C$15, $E$9, 100%, $G$9) + CHOOSE(CONTROL!$C$38, 0.0347, 0)</f>
        <v>29.639700000000001</v>
      </c>
      <c r="J348" s="26">
        <f>179.3743</f>
        <v>179.37430000000001</v>
      </c>
    </row>
    <row r="349" spans="1:10" ht="15.75" x14ac:dyDescent="0.25">
      <c r="A349" s="14">
        <v>51925</v>
      </c>
      <c r="B349" s="10">
        <f>32.267 * CHOOSE(CONTROL!$C$15, $E$9, 100%, $G$9) + CHOOSE(CONTROL!$C$38, 0.0256, 0)</f>
        <v>32.2926</v>
      </c>
      <c r="C349" s="10">
        <f>29.8257 * CHOOSE(CONTROL!$C$15, $E$9, 100%, $G$9) + CHOOSE(CONTROL!$C$38, 0.0347, 0)</f>
        <v>29.860400000000002</v>
      </c>
      <c r="D349" s="10">
        <f>29.8179 * CHOOSE(CONTROL!$C$15, $E$9, 100%, $G$9) + CHOOSE(CONTROL!$C$38, 0.0347, 0)</f>
        <v>29.852600000000002</v>
      </c>
      <c r="E349" s="28">
        <f>32.1108 * CHOOSE(CONTROL!$C$15, $E$9, 100%, $G$9) + CHOOSE(CONTROL!$C$38, 0.0347, 0)</f>
        <v>32.145499999999998</v>
      </c>
      <c r="F349" s="27">
        <f>32.1108 * CHOOSE(CONTROL!$C$15, $E$9, 100%, $G$9) + CHOOSE(CONTROL!$C$38, 0.0256, 0)</f>
        <v>32.136399999999995</v>
      </c>
      <c r="G349" s="10">
        <f>29.8242 * CHOOSE(CONTROL!$C$15, $E$9, 100%, $G$9) + CHOOSE(CONTROL!$C$38, 0.0347, 0)</f>
        <v>29.858900000000002</v>
      </c>
      <c r="H349" s="10">
        <f>29.8242 * CHOOSE(CONTROL!$C$15, $E$9, 100%, $G$9) + CHOOSE(CONTROL!$C$38, 0.0347, 0)</f>
        <v>29.858900000000002</v>
      </c>
      <c r="I349" s="10">
        <f>29.8257 * CHOOSE(CONTROL!$C$15, $E$9, 100%, $G$9) + CHOOSE(CONTROL!$C$38, 0.0347, 0)</f>
        <v>29.860400000000002</v>
      </c>
      <c r="J349" s="26">
        <f>178.8757</f>
        <v>178.87569999999999</v>
      </c>
    </row>
    <row r="350" spans="1:10" ht="15.75" x14ac:dyDescent="0.25">
      <c r="A350" s="14">
        <v>51956</v>
      </c>
      <c r="B350" s="10">
        <f>31.756 * CHOOSE(CONTROL!$C$15, $E$9, 100%, $G$9) + CHOOSE(CONTROL!$C$38, 0.0256, 0)</f>
        <v>31.781600000000001</v>
      </c>
      <c r="C350" s="10">
        <f>29.3147 * CHOOSE(CONTROL!$C$15, $E$9, 100%, $G$9) + CHOOSE(CONTROL!$C$38, 0.0347, 0)</f>
        <v>29.349399999999999</v>
      </c>
      <c r="D350" s="10">
        <f>29.3069 * CHOOSE(CONTROL!$C$15, $E$9, 100%, $G$9) + CHOOSE(CONTROL!$C$38, 0.0347, 0)</f>
        <v>29.3416</v>
      </c>
      <c r="E350" s="28">
        <f>31.5998 * CHOOSE(CONTROL!$C$15, $E$9, 100%, $G$9) + CHOOSE(CONTROL!$C$38, 0.0347, 0)</f>
        <v>31.634499999999999</v>
      </c>
      <c r="F350" s="27">
        <f>31.5998 * CHOOSE(CONTROL!$C$15, $E$9, 100%, $G$9) + CHOOSE(CONTROL!$C$38, 0.0256, 0)</f>
        <v>31.625399999999999</v>
      </c>
      <c r="G350" s="10">
        <f>29.3131 * CHOOSE(CONTROL!$C$15, $E$9, 100%, $G$9) + CHOOSE(CONTROL!$C$38, 0.0347, 0)</f>
        <v>29.347799999999999</v>
      </c>
      <c r="H350" s="10">
        <f>29.3131 * CHOOSE(CONTROL!$C$15, $E$9, 100%, $G$9) + CHOOSE(CONTROL!$C$38, 0.0347, 0)</f>
        <v>29.347799999999999</v>
      </c>
      <c r="I350" s="10">
        <f>29.3147 * CHOOSE(CONTROL!$C$15, $E$9, 100%, $G$9) + CHOOSE(CONTROL!$C$38, 0.0347, 0)</f>
        <v>29.349399999999999</v>
      </c>
      <c r="J350" s="26">
        <f>188.3035</f>
        <v>188.30350000000001</v>
      </c>
    </row>
    <row r="351" spans="1:10" ht="15.75" x14ac:dyDescent="0.25">
      <c r="A351" s="14">
        <v>51986</v>
      </c>
      <c r="B351" s="10">
        <f>31.2608 * CHOOSE(CONTROL!$C$15, $E$9, 100%, $G$9) + CHOOSE(CONTROL!$C$38, 0.0256, 0)</f>
        <v>31.2864</v>
      </c>
      <c r="C351" s="10">
        <f>28.8195 * CHOOSE(CONTROL!$C$15, $E$9, 100%, $G$9) + CHOOSE(CONTROL!$C$38, 0.0347, 0)</f>
        <v>28.854200000000002</v>
      </c>
      <c r="D351" s="10">
        <f>28.8117 * CHOOSE(CONTROL!$C$15, $E$9, 100%, $G$9) + CHOOSE(CONTROL!$C$38, 0.0347, 0)</f>
        <v>28.846399999999999</v>
      </c>
      <c r="E351" s="28">
        <f>31.1046 * CHOOSE(CONTROL!$C$15, $E$9, 100%, $G$9) + CHOOSE(CONTROL!$C$38, 0.0347, 0)</f>
        <v>31.139300000000002</v>
      </c>
      <c r="F351" s="27">
        <f>31.1046 * CHOOSE(CONTROL!$C$15, $E$9, 100%, $G$9) + CHOOSE(CONTROL!$C$38, 0.0256, 0)</f>
        <v>31.130200000000002</v>
      </c>
      <c r="G351" s="10">
        <f>28.818 * CHOOSE(CONTROL!$C$15, $E$9, 100%, $G$9) + CHOOSE(CONTROL!$C$38, 0.0347, 0)</f>
        <v>28.852700000000002</v>
      </c>
      <c r="H351" s="10">
        <f>28.818 * CHOOSE(CONTROL!$C$15, $E$9, 100%, $G$9) + CHOOSE(CONTROL!$C$38, 0.0347, 0)</f>
        <v>28.852700000000002</v>
      </c>
      <c r="I351" s="10">
        <f>28.8195 * CHOOSE(CONTROL!$C$15, $E$9, 100%, $G$9) + CHOOSE(CONTROL!$C$38, 0.0347, 0)</f>
        <v>28.854200000000002</v>
      </c>
      <c r="J351" s="26">
        <f>200.5291</f>
        <v>200.5291</v>
      </c>
    </row>
    <row r="352" spans="1:10" ht="15.75" x14ac:dyDescent="0.25">
      <c r="A352" s="14">
        <v>52017</v>
      </c>
      <c r="B352" s="10">
        <f>30.7447 * CHOOSE(CONTROL!$C$15, $E$9, 100%, $G$9) + CHOOSE(CONTROL!$C$38, 0.0256, 0)</f>
        <v>30.770300000000002</v>
      </c>
      <c r="C352" s="10">
        <f>28.3034 * CHOOSE(CONTROL!$C$15, $E$9, 100%, $G$9) + CHOOSE(CONTROL!$C$38, 0.0347, 0)</f>
        <v>28.338100000000001</v>
      </c>
      <c r="D352" s="10">
        <f>28.2956 * CHOOSE(CONTROL!$C$15, $E$9, 100%, $G$9) + CHOOSE(CONTROL!$C$38, 0.0347, 0)</f>
        <v>28.330300000000001</v>
      </c>
      <c r="E352" s="28">
        <f>30.5885 * CHOOSE(CONTROL!$C$15, $E$9, 100%, $G$9) + CHOOSE(CONTROL!$C$38, 0.0347, 0)</f>
        <v>30.623200000000001</v>
      </c>
      <c r="F352" s="27">
        <f>30.5885 * CHOOSE(CONTROL!$C$15, $E$9, 100%, $G$9) + CHOOSE(CONTROL!$C$38, 0.0256, 0)</f>
        <v>30.614100000000001</v>
      </c>
      <c r="G352" s="10">
        <f>28.3018 * CHOOSE(CONTROL!$C$15, $E$9, 100%, $G$9) + CHOOSE(CONTROL!$C$38, 0.0347, 0)</f>
        <v>28.336500000000001</v>
      </c>
      <c r="H352" s="10">
        <f>28.3018 * CHOOSE(CONTROL!$C$15, $E$9, 100%, $G$9) + CHOOSE(CONTROL!$C$38, 0.0347, 0)</f>
        <v>28.336500000000001</v>
      </c>
      <c r="I352" s="10">
        <f>28.3034 * CHOOSE(CONTROL!$C$15, $E$9, 100%, $G$9) + CHOOSE(CONTROL!$C$38, 0.0347, 0)</f>
        <v>28.338100000000001</v>
      </c>
      <c r="J352" s="26">
        <f>207.2584</f>
        <v>207.25839999999999</v>
      </c>
    </row>
    <row r="353" spans="1:10" ht="15.75" x14ac:dyDescent="0.25">
      <c r="A353" s="14">
        <v>52047</v>
      </c>
      <c r="B353" s="10">
        <f>30.3829 * CHOOSE(CONTROL!$C$15, $E$9, 100%, $G$9) + CHOOSE(CONTROL!$C$38, 0.0256, 0)</f>
        <v>30.4085</v>
      </c>
      <c r="C353" s="10">
        <f>27.9416 * CHOOSE(CONTROL!$C$15, $E$9, 100%, $G$9) + CHOOSE(CONTROL!$C$38, 0.0347, 0)</f>
        <v>27.976300000000002</v>
      </c>
      <c r="D353" s="10">
        <f>27.9338 * CHOOSE(CONTROL!$C$15, $E$9, 100%, $G$9) + CHOOSE(CONTROL!$C$38, 0.0347, 0)</f>
        <v>27.968500000000002</v>
      </c>
      <c r="E353" s="28">
        <f>30.2266 * CHOOSE(CONTROL!$C$15, $E$9, 100%, $G$9) + CHOOSE(CONTROL!$C$38, 0.0347, 0)</f>
        <v>30.261300000000002</v>
      </c>
      <c r="F353" s="27">
        <f>30.2266 * CHOOSE(CONTROL!$C$15, $E$9, 100%, $G$9) + CHOOSE(CONTROL!$C$38, 0.0256, 0)</f>
        <v>30.252200000000002</v>
      </c>
      <c r="G353" s="10">
        <f>27.94 * CHOOSE(CONTROL!$C$15, $E$9, 100%, $G$9) + CHOOSE(CONTROL!$C$38, 0.0347, 0)</f>
        <v>27.974700000000002</v>
      </c>
      <c r="H353" s="10">
        <f>27.94 * CHOOSE(CONTROL!$C$15, $E$9, 100%, $G$9) + CHOOSE(CONTROL!$C$38, 0.0347, 0)</f>
        <v>27.974700000000002</v>
      </c>
      <c r="I353" s="10">
        <f>27.9416 * CHOOSE(CONTROL!$C$15, $E$9, 100%, $G$9) + CHOOSE(CONTROL!$C$38, 0.0347, 0)</f>
        <v>27.976300000000002</v>
      </c>
      <c r="J353" s="26">
        <f>210.2448</f>
        <v>210.2448</v>
      </c>
    </row>
    <row r="354" spans="1:10" ht="15.75" x14ac:dyDescent="0.25">
      <c r="A354" s="14">
        <v>52078</v>
      </c>
      <c r="B354" s="10">
        <f>30.1764 * CHOOSE(CONTROL!$C$15, $E$9, 100%, $G$9) + CHOOSE(CONTROL!$C$38, 0.0256, 0)</f>
        <v>30.202000000000002</v>
      </c>
      <c r="C354" s="10">
        <f>27.7351 * CHOOSE(CONTROL!$C$15, $E$9, 100%, $G$9) + CHOOSE(CONTROL!$C$38, 0.0347, 0)</f>
        <v>27.7698</v>
      </c>
      <c r="D354" s="10">
        <f>27.7273 * CHOOSE(CONTROL!$C$15, $E$9, 100%, $G$9) + CHOOSE(CONTROL!$C$38, 0.0347, 0)</f>
        <v>27.762</v>
      </c>
      <c r="E354" s="28">
        <f>30.0201 * CHOOSE(CONTROL!$C$15, $E$9, 100%, $G$9) + CHOOSE(CONTROL!$C$38, 0.0347, 0)</f>
        <v>30.0548</v>
      </c>
      <c r="F354" s="27">
        <f>30.0201 * CHOOSE(CONTROL!$C$15, $E$9, 100%, $G$9) + CHOOSE(CONTROL!$C$38, 0.0256, 0)</f>
        <v>30.0457</v>
      </c>
      <c r="G354" s="10">
        <f>27.7335 * CHOOSE(CONTROL!$C$15, $E$9, 100%, $G$9) + CHOOSE(CONTROL!$C$38, 0.0347, 0)</f>
        <v>27.7682</v>
      </c>
      <c r="H354" s="10">
        <f>27.7335 * CHOOSE(CONTROL!$C$15, $E$9, 100%, $G$9) + CHOOSE(CONTROL!$C$38, 0.0347, 0)</f>
        <v>27.7682</v>
      </c>
      <c r="I354" s="10">
        <f>27.7351 * CHOOSE(CONTROL!$C$15, $E$9, 100%, $G$9) + CHOOSE(CONTROL!$C$38, 0.0347, 0)</f>
        <v>27.7698</v>
      </c>
      <c r="J354" s="26">
        <f>209.2615</f>
        <v>209.26150000000001</v>
      </c>
    </row>
    <row r="355" spans="1:10" ht="15.75" x14ac:dyDescent="0.25">
      <c r="A355" s="14">
        <v>52109</v>
      </c>
      <c r="B355" s="10">
        <f>30.2783 * CHOOSE(CONTROL!$C$15, $E$9, 100%, $G$9) + CHOOSE(CONTROL!$C$38, 0.0256, 0)</f>
        <v>30.303900000000002</v>
      </c>
      <c r="C355" s="10">
        <f>27.837 * CHOOSE(CONTROL!$C$15, $E$9, 100%, $G$9) + CHOOSE(CONTROL!$C$38, 0.0347, 0)</f>
        <v>27.871700000000001</v>
      </c>
      <c r="D355" s="10">
        <f>27.8292 * CHOOSE(CONTROL!$C$15, $E$9, 100%, $G$9) + CHOOSE(CONTROL!$C$38, 0.0347, 0)</f>
        <v>27.863900000000001</v>
      </c>
      <c r="E355" s="28">
        <f>30.122 * CHOOSE(CONTROL!$C$15, $E$9, 100%, $G$9) + CHOOSE(CONTROL!$C$38, 0.0347, 0)</f>
        <v>30.156700000000001</v>
      </c>
      <c r="F355" s="27">
        <f>30.122 * CHOOSE(CONTROL!$C$15, $E$9, 100%, $G$9) + CHOOSE(CONTROL!$C$38, 0.0256, 0)</f>
        <v>30.147600000000001</v>
      </c>
      <c r="G355" s="10">
        <f>27.8354 * CHOOSE(CONTROL!$C$15, $E$9, 100%, $G$9) + CHOOSE(CONTROL!$C$38, 0.0347, 0)</f>
        <v>27.870100000000001</v>
      </c>
      <c r="H355" s="10">
        <f>27.8354 * CHOOSE(CONTROL!$C$15, $E$9, 100%, $G$9) + CHOOSE(CONTROL!$C$38, 0.0347, 0)</f>
        <v>27.870100000000001</v>
      </c>
      <c r="I355" s="10">
        <f>27.837 * CHOOSE(CONTROL!$C$15, $E$9, 100%, $G$9) + CHOOSE(CONTROL!$C$38, 0.0347, 0)</f>
        <v>27.871700000000001</v>
      </c>
      <c r="J355" s="26">
        <f>204.39</f>
        <v>204.39</v>
      </c>
    </row>
    <row r="356" spans="1:10" ht="15.75" x14ac:dyDescent="0.25">
      <c r="A356" s="14">
        <v>52139</v>
      </c>
      <c r="B356" s="10">
        <f>30.5551 * CHOOSE(CONTROL!$C$15, $E$9, 100%, $G$9) + CHOOSE(CONTROL!$C$38, 0.0256, 0)</f>
        <v>30.5807</v>
      </c>
      <c r="C356" s="10">
        <f>28.1138 * CHOOSE(CONTROL!$C$15, $E$9, 100%, $G$9) + CHOOSE(CONTROL!$C$38, 0.0347, 0)</f>
        <v>28.148500000000002</v>
      </c>
      <c r="D356" s="10">
        <f>28.106 * CHOOSE(CONTROL!$C$15, $E$9, 100%, $G$9) + CHOOSE(CONTROL!$C$38, 0.0347, 0)</f>
        <v>28.140700000000002</v>
      </c>
      <c r="E356" s="28">
        <f>30.3988 * CHOOSE(CONTROL!$C$15, $E$9, 100%, $G$9) + CHOOSE(CONTROL!$C$38, 0.0347, 0)</f>
        <v>30.433500000000002</v>
      </c>
      <c r="F356" s="27">
        <f>30.3988 * CHOOSE(CONTROL!$C$15, $E$9, 100%, $G$9) + CHOOSE(CONTROL!$C$38, 0.0256, 0)</f>
        <v>30.424400000000002</v>
      </c>
      <c r="G356" s="10">
        <f>28.1122 * CHOOSE(CONTROL!$C$15, $E$9, 100%, $G$9) + CHOOSE(CONTROL!$C$38, 0.0347, 0)</f>
        <v>28.146900000000002</v>
      </c>
      <c r="H356" s="10">
        <f>28.1122 * CHOOSE(CONTROL!$C$15, $E$9, 100%, $G$9) + CHOOSE(CONTROL!$C$38, 0.0347, 0)</f>
        <v>28.146900000000002</v>
      </c>
      <c r="I356" s="10">
        <f>28.1138 * CHOOSE(CONTROL!$C$15, $E$9, 100%, $G$9) + CHOOSE(CONTROL!$C$38, 0.0347, 0)</f>
        <v>28.148500000000002</v>
      </c>
      <c r="J356" s="26">
        <f>197.5964</f>
        <v>197.59639999999999</v>
      </c>
    </row>
    <row r="357" spans="1:10" ht="15.75" x14ac:dyDescent="0.25">
      <c r="A357" s="14">
        <v>52170</v>
      </c>
      <c r="B357" s="10">
        <f>30.7869 * CHOOSE(CONTROL!$C$15, $E$9, 100%, $G$9) + CHOOSE(CONTROL!$C$38, 0.0256, 0)</f>
        <v>30.8125</v>
      </c>
      <c r="C357" s="10">
        <f>28.3456 * CHOOSE(CONTROL!$C$15, $E$9, 100%, $G$9) + CHOOSE(CONTROL!$C$38, 0.0347, 0)</f>
        <v>28.380300000000002</v>
      </c>
      <c r="D357" s="10">
        <f>28.3378 * CHOOSE(CONTROL!$C$15, $E$9, 100%, $G$9) + CHOOSE(CONTROL!$C$38, 0.0347, 0)</f>
        <v>28.372500000000002</v>
      </c>
      <c r="E357" s="28">
        <f>30.6307 * CHOOSE(CONTROL!$C$15, $E$9, 100%, $G$9) + CHOOSE(CONTROL!$C$38, 0.0347, 0)</f>
        <v>30.665400000000002</v>
      </c>
      <c r="F357" s="27">
        <f>30.6307 * CHOOSE(CONTROL!$C$15, $E$9, 100%, $G$9) + CHOOSE(CONTROL!$C$38, 0.0256, 0)</f>
        <v>30.656300000000002</v>
      </c>
      <c r="G357" s="10">
        <f>28.3441 * CHOOSE(CONTROL!$C$15, $E$9, 100%, $G$9) + CHOOSE(CONTROL!$C$38, 0.0347, 0)</f>
        <v>28.378800000000002</v>
      </c>
      <c r="H357" s="10">
        <f>28.3441 * CHOOSE(CONTROL!$C$15, $E$9, 100%, $G$9) + CHOOSE(CONTROL!$C$38, 0.0347, 0)</f>
        <v>28.378800000000002</v>
      </c>
      <c r="I357" s="10">
        <f>28.3456 * CHOOSE(CONTROL!$C$15, $E$9, 100%, $G$9) + CHOOSE(CONTROL!$C$38, 0.0347, 0)</f>
        <v>28.380300000000002</v>
      </c>
      <c r="J357" s="26">
        <f>190.7634</f>
        <v>190.76339999999999</v>
      </c>
    </row>
    <row r="358" spans="1:10" ht="15.75" x14ac:dyDescent="0.25">
      <c r="A358" s="14">
        <v>52200</v>
      </c>
      <c r="B358" s="10">
        <f>30.9804 * CHOOSE(CONTROL!$C$15, $E$9, 100%, $G$9) + CHOOSE(CONTROL!$C$38, 0.0256, 0)</f>
        <v>31.006</v>
      </c>
      <c r="C358" s="10">
        <f>28.5391 * CHOOSE(CONTROL!$C$15, $E$9, 100%, $G$9) + CHOOSE(CONTROL!$C$38, 0.0347, 0)</f>
        <v>28.573800000000002</v>
      </c>
      <c r="D358" s="10">
        <f>28.5312 * CHOOSE(CONTROL!$C$15, $E$9, 100%, $G$9) + CHOOSE(CONTROL!$C$38, 0.0347, 0)</f>
        <v>28.565899999999999</v>
      </c>
      <c r="E358" s="28">
        <f>30.8241 * CHOOSE(CONTROL!$C$15, $E$9, 100%, $G$9) + CHOOSE(CONTROL!$C$38, 0.0347, 0)</f>
        <v>30.858800000000002</v>
      </c>
      <c r="F358" s="27">
        <f>30.8241 * CHOOSE(CONTROL!$C$15, $E$9, 100%, $G$9) + CHOOSE(CONTROL!$C$38, 0.0256, 0)</f>
        <v>30.849700000000002</v>
      </c>
      <c r="G358" s="10">
        <f>28.5375 * CHOOSE(CONTROL!$C$15, $E$9, 100%, $G$9) + CHOOSE(CONTROL!$C$38, 0.0347, 0)</f>
        <v>28.572200000000002</v>
      </c>
      <c r="H358" s="10">
        <f>28.5375 * CHOOSE(CONTROL!$C$15, $E$9, 100%, $G$9) + CHOOSE(CONTROL!$C$38, 0.0347, 0)</f>
        <v>28.572200000000002</v>
      </c>
      <c r="I358" s="10">
        <f>28.5391 * CHOOSE(CONTROL!$C$15, $E$9, 100%, $G$9) + CHOOSE(CONTROL!$C$38, 0.0347, 0)</f>
        <v>28.573800000000002</v>
      </c>
      <c r="J358" s="26">
        <f>189.4041</f>
        <v>189.4041</v>
      </c>
    </row>
    <row r="359" spans="1:10" ht="15.75" x14ac:dyDescent="0.25">
      <c r="A359" s="14">
        <v>52231</v>
      </c>
      <c r="B359" s="10">
        <f>31.5764 * CHOOSE(CONTROL!$C$15, $E$9, 100%, $G$9) + CHOOSE(CONTROL!$C$38, 0.0256, 0)</f>
        <v>31.602</v>
      </c>
      <c r="C359" s="10">
        <f>29.1351 * CHOOSE(CONTROL!$C$15, $E$9, 100%, $G$9) + CHOOSE(CONTROL!$C$38, 0.0347, 0)</f>
        <v>29.169800000000002</v>
      </c>
      <c r="D359" s="10">
        <f>29.1273 * CHOOSE(CONTROL!$C$15, $E$9, 100%, $G$9) + CHOOSE(CONTROL!$C$38, 0.0347, 0)</f>
        <v>29.162000000000003</v>
      </c>
      <c r="E359" s="28">
        <f>31.4202 * CHOOSE(CONTROL!$C$15, $E$9, 100%, $G$9) + CHOOSE(CONTROL!$C$38, 0.0347, 0)</f>
        <v>31.454900000000002</v>
      </c>
      <c r="F359" s="27">
        <f>31.4202 * CHOOSE(CONTROL!$C$15, $E$9, 100%, $G$9) + CHOOSE(CONTROL!$C$38, 0.0256, 0)</f>
        <v>31.445800000000002</v>
      </c>
      <c r="G359" s="10">
        <f>29.1336 * CHOOSE(CONTROL!$C$15, $E$9, 100%, $G$9) + CHOOSE(CONTROL!$C$38, 0.0347, 0)</f>
        <v>29.168300000000002</v>
      </c>
      <c r="H359" s="10">
        <f>29.1336 * CHOOSE(CONTROL!$C$15, $E$9, 100%, $G$9) + CHOOSE(CONTROL!$C$38, 0.0347, 0)</f>
        <v>29.168300000000002</v>
      </c>
      <c r="I359" s="10">
        <f>29.1351 * CHOOSE(CONTROL!$C$15, $E$9, 100%, $G$9) + CHOOSE(CONTROL!$C$38, 0.0347, 0)</f>
        <v>29.169800000000002</v>
      </c>
      <c r="J359" s="26">
        <f>183.7835</f>
        <v>183.7835</v>
      </c>
    </row>
    <row r="360" spans="1:10" ht="15.75" x14ac:dyDescent="0.25">
      <c r="A360" s="14">
        <v>52262</v>
      </c>
      <c r="B360" s="10">
        <f>32.5843 * CHOOSE(CONTROL!$C$15, $E$9, 100%, $G$9) + CHOOSE(CONTROL!$C$38, 0.0256, 0)</f>
        <v>32.609899999999996</v>
      </c>
      <c r="C360" s="10">
        <f>30.1026 * CHOOSE(CONTROL!$C$15, $E$9, 100%, $G$9) + CHOOSE(CONTROL!$C$38, 0.0347, 0)</f>
        <v>30.1373</v>
      </c>
      <c r="D360" s="10">
        <f>30.0948 * CHOOSE(CONTROL!$C$15, $E$9, 100%, $G$9) + CHOOSE(CONTROL!$C$38, 0.0347, 0)</f>
        <v>30.1295</v>
      </c>
      <c r="E360" s="28">
        <f>32.428 * CHOOSE(CONTROL!$C$15, $E$9, 100%, $G$9) + CHOOSE(CONTROL!$C$38, 0.0347, 0)</f>
        <v>32.462699999999998</v>
      </c>
      <c r="F360" s="27">
        <f>32.428 * CHOOSE(CONTROL!$C$15, $E$9, 100%, $G$9) + CHOOSE(CONTROL!$C$38, 0.0256, 0)</f>
        <v>32.453599999999994</v>
      </c>
      <c r="G360" s="10">
        <f>30.101 * CHOOSE(CONTROL!$C$15, $E$9, 100%, $G$9) + CHOOSE(CONTROL!$C$38, 0.0347, 0)</f>
        <v>30.1357</v>
      </c>
      <c r="H360" s="10">
        <f>30.101 * CHOOSE(CONTROL!$C$15, $E$9, 100%, $G$9) + CHOOSE(CONTROL!$C$38, 0.0347, 0)</f>
        <v>30.1357</v>
      </c>
      <c r="I360" s="10">
        <f>30.1026 * CHOOSE(CONTROL!$C$15, $E$9, 100%, $G$9) + CHOOSE(CONTROL!$C$38, 0.0347, 0)</f>
        <v>30.1373</v>
      </c>
      <c r="J360" s="26">
        <f>182.5525</f>
        <v>182.55250000000001</v>
      </c>
    </row>
    <row r="361" spans="1:10" ht="15.75" x14ac:dyDescent="0.25">
      <c r="A361" s="14">
        <v>52290</v>
      </c>
      <c r="B361" s="10">
        <f>32.805 * CHOOSE(CONTROL!$C$15, $E$9, 100%, $G$9) + CHOOSE(CONTROL!$C$38, 0.0256, 0)</f>
        <v>32.830599999999997</v>
      </c>
      <c r="C361" s="10">
        <f>30.3234 * CHOOSE(CONTROL!$C$15, $E$9, 100%, $G$9) + CHOOSE(CONTROL!$C$38, 0.0347, 0)</f>
        <v>30.3581</v>
      </c>
      <c r="D361" s="10">
        <f>30.3156 * CHOOSE(CONTROL!$C$15, $E$9, 100%, $G$9) + CHOOSE(CONTROL!$C$38, 0.0347, 0)</f>
        <v>30.350300000000001</v>
      </c>
      <c r="E361" s="28">
        <f>32.6488 * CHOOSE(CONTROL!$C$15, $E$9, 100%, $G$9) + CHOOSE(CONTROL!$C$38, 0.0347, 0)</f>
        <v>32.683500000000002</v>
      </c>
      <c r="F361" s="27">
        <f>32.6488 * CHOOSE(CONTROL!$C$15, $E$9, 100%, $G$9) + CHOOSE(CONTROL!$C$38, 0.0256, 0)</f>
        <v>32.674399999999999</v>
      </c>
      <c r="G361" s="10">
        <f>30.3218 * CHOOSE(CONTROL!$C$15, $E$9, 100%, $G$9) + CHOOSE(CONTROL!$C$38, 0.0347, 0)</f>
        <v>30.3565</v>
      </c>
      <c r="H361" s="10">
        <f>30.3218 * CHOOSE(CONTROL!$C$15, $E$9, 100%, $G$9) + CHOOSE(CONTROL!$C$38, 0.0347, 0)</f>
        <v>30.3565</v>
      </c>
      <c r="I361" s="10">
        <f>30.3234 * CHOOSE(CONTROL!$C$15, $E$9, 100%, $G$9) + CHOOSE(CONTROL!$C$38, 0.0347, 0)</f>
        <v>30.3581</v>
      </c>
      <c r="J361" s="26">
        <f>182.045</f>
        <v>182.04499999999999</v>
      </c>
    </row>
    <row r="362" spans="1:10" ht="15.75" x14ac:dyDescent="0.25">
      <c r="A362" s="14">
        <v>52321</v>
      </c>
      <c r="B362" s="10">
        <f>32.294 * CHOOSE(CONTROL!$C$15, $E$9, 100%, $G$9) + CHOOSE(CONTROL!$C$38, 0.0256, 0)</f>
        <v>32.319599999999994</v>
      </c>
      <c r="C362" s="10">
        <f>29.8123 * CHOOSE(CONTROL!$C$15, $E$9, 100%, $G$9) + CHOOSE(CONTROL!$C$38, 0.0347, 0)</f>
        <v>29.847000000000001</v>
      </c>
      <c r="D362" s="10">
        <f>29.8045 * CHOOSE(CONTROL!$C$15, $E$9, 100%, $G$9) + CHOOSE(CONTROL!$C$38, 0.0347, 0)</f>
        <v>29.839200000000002</v>
      </c>
      <c r="E362" s="28">
        <f>32.1378 * CHOOSE(CONTROL!$C$15, $E$9, 100%, $G$9) + CHOOSE(CONTROL!$C$38, 0.0347, 0)</f>
        <v>32.172499999999999</v>
      </c>
      <c r="F362" s="27">
        <f>32.1378 * CHOOSE(CONTROL!$C$15, $E$9, 100%, $G$9) + CHOOSE(CONTROL!$C$38, 0.0256, 0)</f>
        <v>32.163399999999996</v>
      </c>
      <c r="G362" s="10">
        <f>29.8108 * CHOOSE(CONTROL!$C$15, $E$9, 100%, $G$9) + CHOOSE(CONTROL!$C$38, 0.0347, 0)</f>
        <v>29.845500000000001</v>
      </c>
      <c r="H362" s="10">
        <f>29.8108 * CHOOSE(CONTROL!$C$15, $E$9, 100%, $G$9) + CHOOSE(CONTROL!$C$38, 0.0347, 0)</f>
        <v>29.845500000000001</v>
      </c>
      <c r="I362" s="10">
        <f>29.8123 * CHOOSE(CONTROL!$C$15, $E$9, 100%, $G$9) + CHOOSE(CONTROL!$C$38, 0.0347, 0)</f>
        <v>29.847000000000001</v>
      </c>
      <c r="J362" s="26">
        <f>191.6399</f>
        <v>191.63990000000001</v>
      </c>
    </row>
    <row r="363" spans="1:10" ht="15.75" x14ac:dyDescent="0.25">
      <c r="A363" s="14">
        <v>52351</v>
      </c>
      <c r="B363" s="10">
        <f>31.7988 * CHOOSE(CONTROL!$C$15, $E$9, 100%, $G$9) + CHOOSE(CONTROL!$C$38, 0.0256, 0)</f>
        <v>31.824400000000001</v>
      </c>
      <c r="C363" s="10">
        <f>29.3172 * CHOOSE(CONTROL!$C$15, $E$9, 100%, $G$9) + CHOOSE(CONTROL!$C$38, 0.0347, 0)</f>
        <v>29.351900000000001</v>
      </c>
      <c r="D363" s="10">
        <f>29.3093 * CHOOSE(CONTROL!$C$15, $E$9, 100%, $G$9) + CHOOSE(CONTROL!$C$38, 0.0347, 0)</f>
        <v>29.344000000000001</v>
      </c>
      <c r="E363" s="28">
        <f>31.6426 * CHOOSE(CONTROL!$C$15, $E$9, 100%, $G$9) + CHOOSE(CONTROL!$C$38, 0.0347, 0)</f>
        <v>31.677300000000002</v>
      </c>
      <c r="F363" s="27">
        <f>31.6426 * CHOOSE(CONTROL!$C$15, $E$9, 100%, $G$9) + CHOOSE(CONTROL!$C$38, 0.0256, 0)</f>
        <v>31.668200000000002</v>
      </c>
      <c r="G363" s="10">
        <f>29.3156 * CHOOSE(CONTROL!$C$15, $E$9, 100%, $G$9) + CHOOSE(CONTROL!$C$38, 0.0347, 0)</f>
        <v>29.350300000000001</v>
      </c>
      <c r="H363" s="10">
        <f>29.3156 * CHOOSE(CONTROL!$C$15, $E$9, 100%, $G$9) + CHOOSE(CONTROL!$C$38, 0.0347, 0)</f>
        <v>29.350300000000001</v>
      </c>
      <c r="I363" s="10">
        <f>29.3172 * CHOOSE(CONTROL!$C$15, $E$9, 100%, $G$9) + CHOOSE(CONTROL!$C$38, 0.0347, 0)</f>
        <v>29.351900000000001</v>
      </c>
      <c r="J363" s="26">
        <f>204.0821</f>
        <v>204.0821</v>
      </c>
    </row>
    <row r="364" spans="1:10" ht="15.75" x14ac:dyDescent="0.25">
      <c r="A364" s="14">
        <v>52382</v>
      </c>
      <c r="B364" s="10">
        <f>31.2827 * CHOOSE(CONTROL!$C$15, $E$9, 100%, $G$9) + CHOOSE(CONTROL!$C$38, 0.0256, 0)</f>
        <v>31.308299999999999</v>
      </c>
      <c r="C364" s="10">
        <f>28.801 * CHOOSE(CONTROL!$C$15, $E$9, 100%, $G$9) + CHOOSE(CONTROL!$C$38, 0.0347, 0)</f>
        <v>28.835699999999999</v>
      </c>
      <c r="D364" s="10">
        <f>28.7932 * CHOOSE(CONTROL!$C$15, $E$9, 100%, $G$9) + CHOOSE(CONTROL!$C$38, 0.0347, 0)</f>
        <v>28.8279</v>
      </c>
      <c r="E364" s="28">
        <f>31.1265 * CHOOSE(CONTROL!$C$15, $E$9, 100%, $G$9) + CHOOSE(CONTROL!$C$38, 0.0347, 0)</f>
        <v>31.161200000000001</v>
      </c>
      <c r="F364" s="27">
        <f>31.1265 * CHOOSE(CONTROL!$C$15, $E$9, 100%, $G$9) + CHOOSE(CONTROL!$C$38, 0.0256, 0)</f>
        <v>31.152100000000001</v>
      </c>
      <c r="G364" s="10">
        <f>28.7995 * CHOOSE(CONTROL!$C$15, $E$9, 100%, $G$9) + CHOOSE(CONTROL!$C$38, 0.0347, 0)</f>
        <v>28.834199999999999</v>
      </c>
      <c r="H364" s="10">
        <f>28.7995 * CHOOSE(CONTROL!$C$15, $E$9, 100%, $G$9) + CHOOSE(CONTROL!$C$38, 0.0347, 0)</f>
        <v>28.834199999999999</v>
      </c>
      <c r="I364" s="10">
        <f>28.801 * CHOOSE(CONTROL!$C$15, $E$9, 100%, $G$9) + CHOOSE(CONTROL!$C$38, 0.0347, 0)</f>
        <v>28.835699999999999</v>
      </c>
      <c r="J364" s="26">
        <f>210.9306</f>
        <v>210.9306</v>
      </c>
    </row>
    <row r="365" spans="1:10" ht="15.75" x14ac:dyDescent="0.25">
      <c r="A365" s="14">
        <v>52412</v>
      </c>
      <c r="B365" s="10">
        <f>30.9209 * CHOOSE(CONTROL!$C$15, $E$9, 100%, $G$9) + CHOOSE(CONTROL!$C$38, 0.0256, 0)</f>
        <v>30.9465</v>
      </c>
      <c r="C365" s="10">
        <f>28.4392 * CHOOSE(CONTROL!$C$15, $E$9, 100%, $G$9) + CHOOSE(CONTROL!$C$38, 0.0347, 0)</f>
        <v>28.4739</v>
      </c>
      <c r="D365" s="10">
        <f>28.4314 * CHOOSE(CONTROL!$C$15, $E$9, 100%, $G$9) + CHOOSE(CONTROL!$C$38, 0.0347, 0)</f>
        <v>28.466100000000001</v>
      </c>
      <c r="E365" s="28">
        <f>30.7646 * CHOOSE(CONTROL!$C$15, $E$9, 100%, $G$9) + CHOOSE(CONTROL!$C$38, 0.0347, 0)</f>
        <v>30.799300000000002</v>
      </c>
      <c r="F365" s="27">
        <f>30.7646 * CHOOSE(CONTROL!$C$15, $E$9, 100%, $G$9) + CHOOSE(CONTROL!$C$38, 0.0256, 0)</f>
        <v>30.790200000000002</v>
      </c>
      <c r="G365" s="10">
        <f>28.4376 * CHOOSE(CONTROL!$C$15, $E$9, 100%, $G$9) + CHOOSE(CONTROL!$C$38, 0.0347, 0)</f>
        <v>28.472300000000001</v>
      </c>
      <c r="H365" s="10">
        <f>28.4376 * CHOOSE(CONTROL!$C$15, $E$9, 100%, $G$9) + CHOOSE(CONTROL!$C$38, 0.0347, 0)</f>
        <v>28.472300000000001</v>
      </c>
      <c r="I365" s="10">
        <f>28.4392 * CHOOSE(CONTROL!$C$15, $E$9, 100%, $G$9) + CHOOSE(CONTROL!$C$38, 0.0347, 0)</f>
        <v>28.4739</v>
      </c>
      <c r="J365" s="26">
        <f>213.9699</f>
        <v>213.9699</v>
      </c>
    </row>
    <row r="366" spans="1:10" ht="15.75" x14ac:dyDescent="0.25">
      <c r="A366" s="14">
        <v>52443</v>
      </c>
      <c r="B366" s="10">
        <f>30.7144 * CHOOSE(CONTROL!$C$15, $E$9, 100%, $G$9) + CHOOSE(CONTROL!$C$38, 0.0256, 0)</f>
        <v>30.740000000000002</v>
      </c>
      <c r="C366" s="10">
        <f>28.2327 * CHOOSE(CONTROL!$C$15, $E$9, 100%, $G$9) + CHOOSE(CONTROL!$C$38, 0.0347, 0)</f>
        <v>28.267400000000002</v>
      </c>
      <c r="D366" s="10">
        <f>28.2249 * CHOOSE(CONTROL!$C$15, $E$9, 100%, $G$9) + CHOOSE(CONTROL!$C$38, 0.0347, 0)</f>
        <v>28.259600000000002</v>
      </c>
      <c r="E366" s="28">
        <f>30.5581 * CHOOSE(CONTROL!$C$15, $E$9, 100%, $G$9) + CHOOSE(CONTROL!$C$38, 0.0347, 0)</f>
        <v>30.5928</v>
      </c>
      <c r="F366" s="27">
        <f>30.5581 * CHOOSE(CONTROL!$C$15, $E$9, 100%, $G$9) + CHOOSE(CONTROL!$C$38, 0.0256, 0)</f>
        <v>30.5837</v>
      </c>
      <c r="G366" s="10">
        <f>28.2312 * CHOOSE(CONTROL!$C$15, $E$9, 100%, $G$9) + CHOOSE(CONTROL!$C$38, 0.0347, 0)</f>
        <v>28.265900000000002</v>
      </c>
      <c r="H366" s="10">
        <f>28.2312 * CHOOSE(CONTROL!$C$15, $E$9, 100%, $G$9) + CHOOSE(CONTROL!$C$38, 0.0347, 0)</f>
        <v>28.265900000000002</v>
      </c>
      <c r="I366" s="10">
        <f>28.2327 * CHOOSE(CONTROL!$C$15, $E$9, 100%, $G$9) + CHOOSE(CONTROL!$C$38, 0.0347, 0)</f>
        <v>28.267400000000002</v>
      </c>
      <c r="J366" s="26">
        <f>212.9693</f>
        <v>212.9693</v>
      </c>
    </row>
    <row r="367" spans="1:10" ht="15.75" x14ac:dyDescent="0.25">
      <c r="A367" s="14">
        <v>52474</v>
      </c>
      <c r="B367" s="10">
        <f>30.8163 * CHOOSE(CONTROL!$C$15, $E$9, 100%, $G$9) + CHOOSE(CONTROL!$C$38, 0.0256, 0)</f>
        <v>30.841899999999999</v>
      </c>
      <c r="C367" s="10">
        <f>28.3346 * CHOOSE(CONTROL!$C$15, $E$9, 100%, $G$9) + CHOOSE(CONTROL!$C$38, 0.0347, 0)</f>
        <v>28.369299999999999</v>
      </c>
      <c r="D367" s="10">
        <f>28.3268 * CHOOSE(CONTROL!$C$15, $E$9, 100%, $G$9) + CHOOSE(CONTROL!$C$38, 0.0347, 0)</f>
        <v>28.361499999999999</v>
      </c>
      <c r="E367" s="28">
        <f>30.6601 * CHOOSE(CONTROL!$C$15, $E$9, 100%, $G$9) + CHOOSE(CONTROL!$C$38, 0.0347, 0)</f>
        <v>30.694800000000001</v>
      </c>
      <c r="F367" s="27">
        <f>30.6601 * CHOOSE(CONTROL!$C$15, $E$9, 100%, $G$9) + CHOOSE(CONTROL!$C$38, 0.0256, 0)</f>
        <v>30.685700000000001</v>
      </c>
      <c r="G367" s="10">
        <f>28.3331 * CHOOSE(CONTROL!$C$15, $E$9, 100%, $G$9) + CHOOSE(CONTROL!$C$38, 0.0347, 0)</f>
        <v>28.367800000000003</v>
      </c>
      <c r="H367" s="10">
        <f>28.3331 * CHOOSE(CONTROL!$C$15, $E$9, 100%, $G$9) + CHOOSE(CONTROL!$C$38, 0.0347, 0)</f>
        <v>28.367800000000003</v>
      </c>
      <c r="I367" s="10">
        <f>28.3346 * CHOOSE(CONTROL!$C$15, $E$9, 100%, $G$9) + CHOOSE(CONTROL!$C$38, 0.0347, 0)</f>
        <v>28.369299999999999</v>
      </c>
      <c r="J367" s="26">
        <f>208.0114</f>
        <v>208.01140000000001</v>
      </c>
    </row>
    <row r="368" spans="1:10" ht="15.75" x14ac:dyDescent="0.25">
      <c r="A368" s="14">
        <v>52504</v>
      </c>
      <c r="B368" s="10">
        <f>31.0931 * CHOOSE(CONTROL!$C$15, $E$9, 100%, $G$9) + CHOOSE(CONTROL!$C$38, 0.0256, 0)</f>
        <v>31.1187</v>
      </c>
      <c r="C368" s="10">
        <f>28.6114 * CHOOSE(CONTROL!$C$15, $E$9, 100%, $G$9) + CHOOSE(CONTROL!$C$38, 0.0347, 0)</f>
        <v>28.646100000000001</v>
      </c>
      <c r="D368" s="10">
        <f>28.6036 * CHOOSE(CONTROL!$C$15, $E$9, 100%, $G$9) + CHOOSE(CONTROL!$C$38, 0.0347, 0)</f>
        <v>28.638300000000001</v>
      </c>
      <c r="E368" s="28">
        <f>30.9369 * CHOOSE(CONTROL!$C$15, $E$9, 100%, $G$9) + CHOOSE(CONTROL!$C$38, 0.0347, 0)</f>
        <v>30.971600000000002</v>
      </c>
      <c r="F368" s="27">
        <f>30.9369 * CHOOSE(CONTROL!$C$15, $E$9, 100%, $G$9) + CHOOSE(CONTROL!$C$38, 0.0256, 0)</f>
        <v>30.962500000000002</v>
      </c>
      <c r="G368" s="10">
        <f>28.6099 * CHOOSE(CONTROL!$C$15, $E$9, 100%, $G$9) + CHOOSE(CONTROL!$C$38, 0.0347, 0)</f>
        <v>28.644600000000001</v>
      </c>
      <c r="H368" s="10">
        <f>28.6099 * CHOOSE(CONTROL!$C$15, $E$9, 100%, $G$9) + CHOOSE(CONTROL!$C$38, 0.0347, 0)</f>
        <v>28.644600000000001</v>
      </c>
      <c r="I368" s="10">
        <f>28.6114 * CHOOSE(CONTROL!$C$15, $E$9, 100%, $G$9) + CHOOSE(CONTROL!$C$38, 0.0347, 0)</f>
        <v>28.646100000000001</v>
      </c>
      <c r="J368" s="26">
        <f>201.0975</f>
        <v>201.0975</v>
      </c>
    </row>
    <row r="369" spans="1:10" ht="15.75" x14ac:dyDescent="0.25">
      <c r="A369" s="14">
        <v>52535</v>
      </c>
      <c r="B369" s="10">
        <f>31.3249 * CHOOSE(CONTROL!$C$15, $E$9, 100%, $G$9) + CHOOSE(CONTROL!$C$38, 0.0256, 0)</f>
        <v>31.3505</v>
      </c>
      <c r="C369" s="10">
        <f>28.8433 * CHOOSE(CONTROL!$C$15, $E$9, 100%, $G$9) + CHOOSE(CONTROL!$C$38, 0.0347, 0)</f>
        <v>28.878</v>
      </c>
      <c r="D369" s="10">
        <f>28.8354 * CHOOSE(CONTROL!$C$15, $E$9, 100%, $G$9) + CHOOSE(CONTROL!$C$38, 0.0347, 0)</f>
        <v>28.870100000000001</v>
      </c>
      <c r="E369" s="28">
        <f>31.1687 * CHOOSE(CONTROL!$C$15, $E$9, 100%, $G$9) + CHOOSE(CONTROL!$C$38, 0.0347, 0)</f>
        <v>31.203400000000002</v>
      </c>
      <c r="F369" s="27">
        <f>31.1687 * CHOOSE(CONTROL!$C$15, $E$9, 100%, $G$9) + CHOOSE(CONTROL!$C$38, 0.0256, 0)</f>
        <v>31.194300000000002</v>
      </c>
      <c r="G369" s="10">
        <f>28.8417 * CHOOSE(CONTROL!$C$15, $E$9, 100%, $G$9) + CHOOSE(CONTROL!$C$38, 0.0347, 0)</f>
        <v>28.8764</v>
      </c>
      <c r="H369" s="10">
        <f>28.8417 * CHOOSE(CONTROL!$C$15, $E$9, 100%, $G$9) + CHOOSE(CONTROL!$C$38, 0.0347, 0)</f>
        <v>28.8764</v>
      </c>
      <c r="I369" s="10">
        <f>28.8433 * CHOOSE(CONTROL!$C$15, $E$9, 100%, $G$9) + CHOOSE(CONTROL!$C$38, 0.0347, 0)</f>
        <v>28.878</v>
      </c>
      <c r="J369" s="26">
        <f>194.1433</f>
        <v>194.14330000000001</v>
      </c>
    </row>
    <row r="370" spans="1:10" ht="15.75" x14ac:dyDescent="0.25">
      <c r="A370" s="14">
        <v>52565</v>
      </c>
      <c r="B370" s="10">
        <f>31.5184 * CHOOSE(CONTROL!$C$15, $E$9, 100%, $G$9) + CHOOSE(CONTROL!$C$38, 0.0256, 0)</f>
        <v>31.544</v>
      </c>
      <c r="C370" s="10">
        <f>29.0367 * CHOOSE(CONTROL!$C$15, $E$9, 100%, $G$9) + CHOOSE(CONTROL!$C$38, 0.0347, 0)</f>
        <v>29.071400000000001</v>
      </c>
      <c r="D370" s="10">
        <f>29.0289 * CHOOSE(CONTROL!$C$15, $E$9, 100%, $G$9) + CHOOSE(CONTROL!$C$38, 0.0347, 0)</f>
        <v>29.063600000000001</v>
      </c>
      <c r="E370" s="28">
        <f>31.3621 * CHOOSE(CONTROL!$C$15, $E$9, 100%, $G$9) + CHOOSE(CONTROL!$C$38, 0.0347, 0)</f>
        <v>31.396800000000002</v>
      </c>
      <c r="F370" s="27">
        <f>31.3621 * CHOOSE(CONTROL!$C$15, $E$9, 100%, $G$9) + CHOOSE(CONTROL!$C$38, 0.0256, 0)</f>
        <v>31.387700000000002</v>
      </c>
      <c r="G370" s="10">
        <f>29.0351 * CHOOSE(CONTROL!$C$15, $E$9, 100%, $G$9) + CHOOSE(CONTROL!$C$38, 0.0347, 0)</f>
        <v>29.069800000000001</v>
      </c>
      <c r="H370" s="10">
        <f>29.0351 * CHOOSE(CONTROL!$C$15, $E$9, 100%, $G$9) + CHOOSE(CONTROL!$C$38, 0.0347, 0)</f>
        <v>29.069800000000001</v>
      </c>
      <c r="I370" s="10">
        <f>29.0367 * CHOOSE(CONTROL!$C$15, $E$9, 100%, $G$9) + CHOOSE(CONTROL!$C$38, 0.0347, 0)</f>
        <v>29.071400000000001</v>
      </c>
      <c r="J370" s="26">
        <f>192.76</f>
        <v>192.76</v>
      </c>
    </row>
    <row r="371" spans="1:10" ht="15.75" x14ac:dyDescent="0.25">
      <c r="A371" s="14">
        <v>52596</v>
      </c>
      <c r="B371" s="10">
        <f>32.1144 * CHOOSE(CONTROL!$C$15, $E$9, 100%, $G$9) + CHOOSE(CONTROL!$C$38, 0.0256, 0)</f>
        <v>32.14</v>
      </c>
      <c r="C371" s="10">
        <f>29.6328 * CHOOSE(CONTROL!$C$15, $E$9, 100%, $G$9) + CHOOSE(CONTROL!$C$38, 0.0347, 0)</f>
        <v>29.6675</v>
      </c>
      <c r="D371" s="10">
        <f>29.6249 * CHOOSE(CONTROL!$C$15, $E$9, 100%, $G$9) + CHOOSE(CONTROL!$C$38, 0.0347, 0)</f>
        <v>29.659600000000001</v>
      </c>
      <c r="E371" s="28">
        <f>31.9582 * CHOOSE(CONTROL!$C$15, $E$9, 100%, $G$9) + CHOOSE(CONTROL!$C$38, 0.0347, 0)</f>
        <v>31.992900000000002</v>
      </c>
      <c r="F371" s="27">
        <f>31.9582 * CHOOSE(CONTROL!$C$15, $E$9, 100%, $G$9) + CHOOSE(CONTROL!$C$38, 0.0256, 0)</f>
        <v>31.983800000000002</v>
      </c>
      <c r="G371" s="10">
        <f>29.6312 * CHOOSE(CONTROL!$C$15, $E$9, 100%, $G$9) + CHOOSE(CONTROL!$C$38, 0.0347, 0)</f>
        <v>29.665900000000001</v>
      </c>
      <c r="H371" s="10">
        <f>29.6312 * CHOOSE(CONTROL!$C$15, $E$9, 100%, $G$9) + CHOOSE(CONTROL!$C$38, 0.0347, 0)</f>
        <v>29.665900000000001</v>
      </c>
      <c r="I371" s="10">
        <f>29.6328 * CHOOSE(CONTROL!$C$15, $E$9, 100%, $G$9) + CHOOSE(CONTROL!$C$38, 0.0347, 0)</f>
        <v>29.6675</v>
      </c>
      <c r="J371" s="26">
        <f>187.0398</f>
        <v>187.03980000000001</v>
      </c>
    </row>
    <row r="372" spans="1:10" ht="15.75" x14ac:dyDescent="0.25">
      <c r="A372" s="14">
        <v>52627</v>
      </c>
      <c r="B372" s="10">
        <f>33.1318 * CHOOSE(CONTROL!$C$15, $E$9, 100%, $G$9) + CHOOSE(CONTROL!$C$38, 0.0256, 0)</f>
        <v>33.157399999999996</v>
      </c>
      <c r="C372" s="10">
        <f>30.609 * CHOOSE(CONTROL!$C$15, $E$9, 100%, $G$9) + CHOOSE(CONTROL!$C$38, 0.0347, 0)</f>
        <v>30.643700000000003</v>
      </c>
      <c r="D372" s="10">
        <f>30.6012 * CHOOSE(CONTROL!$C$15, $E$9, 100%, $G$9) + CHOOSE(CONTROL!$C$38, 0.0347, 0)</f>
        <v>30.635899999999999</v>
      </c>
      <c r="E372" s="28">
        <f>32.9755 * CHOOSE(CONTROL!$C$15, $E$9, 100%, $G$9) + CHOOSE(CONTROL!$C$38, 0.0347, 0)</f>
        <v>33.010199999999998</v>
      </c>
      <c r="F372" s="27">
        <f>32.9755 * CHOOSE(CONTROL!$C$15, $E$9, 100%, $G$9) + CHOOSE(CONTROL!$C$38, 0.0256, 0)</f>
        <v>33.001099999999994</v>
      </c>
      <c r="G372" s="10">
        <f>30.6075 * CHOOSE(CONTROL!$C$15, $E$9, 100%, $G$9) + CHOOSE(CONTROL!$C$38, 0.0347, 0)</f>
        <v>30.642200000000003</v>
      </c>
      <c r="H372" s="10">
        <f>30.6075 * CHOOSE(CONTROL!$C$15, $E$9, 100%, $G$9) + CHOOSE(CONTROL!$C$38, 0.0347, 0)</f>
        <v>30.642200000000003</v>
      </c>
      <c r="I372" s="10">
        <f>30.609 * CHOOSE(CONTROL!$C$15, $E$9, 100%, $G$9) + CHOOSE(CONTROL!$C$38, 0.0347, 0)</f>
        <v>30.643700000000003</v>
      </c>
      <c r="J372" s="26">
        <f>185.787</f>
        <v>185.78700000000001</v>
      </c>
    </row>
    <row r="373" spans="1:10" ht="15.75" x14ac:dyDescent="0.25">
      <c r="A373" s="14">
        <v>52655</v>
      </c>
      <c r="B373" s="10">
        <f>33.3526 * CHOOSE(CONTROL!$C$15, $E$9, 100%, $G$9) + CHOOSE(CONTROL!$C$38, 0.0256, 0)</f>
        <v>33.3782</v>
      </c>
      <c r="C373" s="10">
        <f>30.8298 * CHOOSE(CONTROL!$C$15, $E$9, 100%, $G$9) + CHOOSE(CONTROL!$C$38, 0.0347, 0)</f>
        <v>30.8645</v>
      </c>
      <c r="D373" s="10">
        <f>30.822 * CHOOSE(CONTROL!$C$15, $E$9, 100%, $G$9) + CHOOSE(CONTROL!$C$38, 0.0347, 0)</f>
        <v>30.8567</v>
      </c>
      <c r="E373" s="28">
        <f>33.1963 * CHOOSE(CONTROL!$C$15, $E$9, 100%, $G$9) + CHOOSE(CONTROL!$C$38, 0.0347, 0)</f>
        <v>33.231000000000002</v>
      </c>
      <c r="F373" s="27">
        <f>33.1963 * CHOOSE(CONTROL!$C$15, $E$9, 100%, $G$9) + CHOOSE(CONTROL!$C$38, 0.0256, 0)</f>
        <v>33.221899999999998</v>
      </c>
      <c r="G373" s="10">
        <f>30.8282 * CHOOSE(CONTROL!$C$15, $E$9, 100%, $G$9) + CHOOSE(CONTROL!$C$38, 0.0347, 0)</f>
        <v>30.8629</v>
      </c>
      <c r="H373" s="10">
        <f>30.8282 * CHOOSE(CONTROL!$C$15, $E$9, 100%, $G$9) + CHOOSE(CONTROL!$C$38, 0.0347, 0)</f>
        <v>30.8629</v>
      </c>
      <c r="I373" s="10">
        <f>30.8298 * CHOOSE(CONTROL!$C$15, $E$9, 100%, $G$9) + CHOOSE(CONTROL!$C$38, 0.0347, 0)</f>
        <v>30.8645</v>
      </c>
      <c r="J373" s="26">
        <f>185.2705</f>
        <v>185.2705</v>
      </c>
    </row>
    <row r="374" spans="1:10" ht="15.75" x14ac:dyDescent="0.25">
      <c r="A374" s="14">
        <v>52687</v>
      </c>
      <c r="B374" s="10">
        <f>32.8415 * CHOOSE(CONTROL!$C$15, $E$9, 100%, $G$9) + CHOOSE(CONTROL!$C$38, 0.0256, 0)</f>
        <v>32.867100000000001</v>
      </c>
      <c r="C374" s="10">
        <f>30.3188 * CHOOSE(CONTROL!$C$15, $E$9, 100%, $G$9) + CHOOSE(CONTROL!$C$38, 0.0347, 0)</f>
        <v>30.3535</v>
      </c>
      <c r="D374" s="10">
        <f>30.311 * CHOOSE(CONTROL!$C$15, $E$9, 100%, $G$9) + CHOOSE(CONTROL!$C$38, 0.0347, 0)</f>
        <v>30.345700000000001</v>
      </c>
      <c r="E374" s="28">
        <f>32.6853 * CHOOSE(CONTROL!$C$15, $E$9, 100%, $G$9) + CHOOSE(CONTROL!$C$38, 0.0347, 0)</f>
        <v>32.72</v>
      </c>
      <c r="F374" s="27">
        <f>32.6853 * CHOOSE(CONTROL!$C$15, $E$9, 100%, $G$9) + CHOOSE(CONTROL!$C$38, 0.0256, 0)</f>
        <v>32.710899999999995</v>
      </c>
      <c r="G374" s="10">
        <f>30.3172 * CHOOSE(CONTROL!$C$15, $E$9, 100%, $G$9) + CHOOSE(CONTROL!$C$38, 0.0347, 0)</f>
        <v>30.351900000000001</v>
      </c>
      <c r="H374" s="10">
        <f>30.3172 * CHOOSE(CONTROL!$C$15, $E$9, 100%, $G$9) + CHOOSE(CONTROL!$C$38, 0.0347, 0)</f>
        <v>30.351900000000001</v>
      </c>
      <c r="I374" s="10">
        <f>30.3188 * CHOOSE(CONTROL!$C$15, $E$9, 100%, $G$9) + CHOOSE(CONTROL!$C$38, 0.0347, 0)</f>
        <v>30.3535</v>
      </c>
      <c r="J374" s="26">
        <f>195.0354</f>
        <v>195.03540000000001</v>
      </c>
    </row>
    <row r="375" spans="1:10" ht="15.75" x14ac:dyDescent="0.25">
      <c r="A375" s="14">
        <v>52717</v>
      </c>
      <c r="B375" s="10">
        <f>32.3463 * CHOOSE(CONTROL!$C$15, $E$9, 100%, $G$9) + CHOOSE(CONTROL!$C$38, 0.0256, 0)</f>
        <v>32.371899999999997</v>
      </c>
      <c r="C375" s="10">
        <f>29.8236 * CHOOSE(CONTROL!$C$15, $E$9, 100%, $G$9) + CHOOSE(CONTROL!$C$38, 0.0347, 0)</f>
        <v>29.8583</v>
      </c>
      <c r="D375" s="10">
        <f>29.8158 * CHOOSE(CONTROL!$C$15, $E$9, 100%, $G$9) + CHOOSE(CONTROL!$C$38, 0.0347, 0)</f>
        <v>29.8505</v>
      </c>
      <c r="E375" s="28">
        <f>32.1901 * CHOOSE(CONTROL!$C$15, $E$9, 100%, $G$9) + CHOOSE(CONTROL!$C$38, 0.0347, 0)</f>
        <v>32.224800000000002</v>
      </c>
      <c r="F375" s="27">
        <f>32.1901 * CHOOSE(CONTROL!$C$15, $E$9, 100%, $G$9) + CHOOSE(CONTROL!$C$38, 0.0256, 0)</f>
        <v>32.215699999999998</v>
      </c>
      <c r="G375" s="10">
        <f>29.822 * CHOOSE(CONTROL!$C$15, $E$9, 100%, $G$9) + CHOOSE(CONTROL!$C$38, 0.0347, 0)</f>
        <v>29.8567</v>
      </c>
      <c r="H375" s="10">
        <f>29.822 * CHOOSE(CONTROL!$C$15, $E$9, 100%, $G$9) + CHOOSE(CONTROL!$C$38, 0.0347, 0)</f>
        <v>29.8567</v>
      </c>
      <c r="I375" s="10">
        <f>29.8236 * CHOOSE(CONTROL!$C$15, $E$9, 100%, $G$9) + CHOOSE(CONTROL!$C$38, 0.0347, 0)</f>
        <v>29.8583</v>
      </c>
      <c r="J375" s="26">
        <f>207.698</f>
        <v>207.69800000000001</v>
      </c>
    </row>
    <row r="376" spans="1:10" ht="15.75" x14ac:dyDescent="0.25">
      <c r="A376" s="14">
        <v>52748</v>
      </c>
      <c r="B376" s="10">
        <f>31.8302 * CHOOSE(CONTROL!$C$15, $E$9, 100%, $G$9) + CHOOSE(CONTROL!$C$38, 0.0256, 0)</f>
        <v>31.855800000000002</v>
      </c>
      <c r="C376" s="10">
        <f>29.3075 * CHOOSE(CONTROL!$C$15, $E$9, 100%, $G$9) + CHOOSE(CONTROL!$C$38, 0.0347, 0)</f>
        <v>29.342200000000002</v>
      </c>
      <c r="D376" s="10">
        <f>29.2997 * CHOOSE(CONTROL!$C$15, $E$9, 100%, $G$9) + CHOOSE(CONTROL!$C$38, 0.0347, 0)</f>
        <v>29.334400000000002</v>
      </c>
      <c r="E376" s="28">
        <f>31.674 * CHOOSE(CONTROL!$C$15, $E$9, 100%, $G$9) + CHOOSE(CONTROL!$C$38, 0.0347, 0)</f>
        <v>31.7087</v>
      </c>
      <c r="F376" s="27">
        <f>31.674 * CHOOSE(CONTROL!$C$15, $E$9, 100%, $G$9) + CHOOSE(CONTROL!$C$38, 0.0256, 0)</f>
        <v>31.6996</v>
      </c>
      <c r="G376" s="10">
        <f>29.3059 * CHOOSE(CONTROL!$C$15, $E$9, 100%, $G$9) + CHOOSE(CONTROL!$C$38, 0.0347, 0)</f>
        <v>29.340600000000002</v>
      </c>
      <c r="H376" s="10">
        <f>29.3059 * CHOOSE(CONTROL!$C$15, $E$9, 100%, $G$9) + CHOOSE(CONTROL!$C$38, 0.0347, 0)</f>
        <v>29.340600000000002</v>
      </c>
      <c r="I376" s="10">
        <f>29.3075 * CHOOSE(CONTROL!$C$15, $E$9, 100%, $G$9) + CHOOSE(CONTROL!$C$38, 0.0347, 0)</f>
        <v>29.342200000000002</v>
      </c>
      <c r="J376" s="26">
        <f>214.6679</f>
        <v>214.6679</v>
      </c>
    </row>
    <row r="377" spans="1:10" ht="15.75" x14ac:dyDescent="0.25">
      <c r="A377" s="14">
        <v>52778</v>
      </c>
      <c r="B377" s="10">
        <f>31.4684 * CHOOSE(CONTROL!$C$15, $E$9, 100%, $G$9) + CHOOSE(CONTROL!$C$38, 0.0256, 0)</f>
        <v>31.494</v>
      </c>
      <c r="C377" s="10">
        <f>28.9456 * CHOOSE(CONTROL!$C$15, $E$9, 100%, $G$9) + CHOOSE(CONTROL!$C$38, 0.0347, 0)</f>
        <v>28.9803</v>
      </c>
      <c r="D377" s="10">
        <f>28.9378 * CHOOSE(CONTROL!$C$15, $E$9, 100%, $G$9) + CHOOSE(CONTROL!$C$38, 0.0347, 0)</f>
        <v>28.9725</v>
      </c>
      <c r="E377" s="28">
        <f>31.3121 * CHOOSE(CONTROL!$C$15, $E$9, 100%, $G$9) + CHOOSE(CONTROL!$C$38, 0.0347, 0)</f>
        <v>31.346800000000002</v>
      </c>
      <c r="F377" s="27">
        <f>31.3121 * CHOOSE(CONTROL!$C$15, $E$9, 100%, $G$9) + CHOOSE(CONTROL!$C$38, 0.0256, 0)</f>
        <v>31.337700000000002</v>
      </c>
      <c r="G377" s="10">
        <f>28.9441 * CHOOSE(CONTROL!$C$15, $E$9, 100%, $G$9) + CHOOSE(CONTROL!$C$38, 0.0347, 0)</f>
        <v>28.9788</v>
      </c>
      <c r="H377" s="10">
        <f>28.9441 * CHOOSE(CONTROL!$C$15, $E$9, 100%, $G$9) + CHOOSE(CONTROL!$C$38, 0.0347, 0)</f>
        <v>28.9788</v>
      </c>
      <c r="I377" s="10">
        <f>28.9456 * CHOOSE(CONTROL!$C$15, $E$9, 100%, $G$9) + CHOOSE(CONTROL!$C$38, 0.0347, 0)</f>
        <v>28.9803</v>
      </c>
      <c r="J377" s="26">
        <f>217.7611</f>
        <v>217.7611</v>
      </c>
    </row>
    <row r="378" spans="1:10" ht="15.75" x14ac:dyDescent="0.25">
      <c r="A378" s="14">
        <v>52809</v>
      </c>
      <c r="B378" s="10">
        <f>31.2619 * CHOOSE(CONTROL!$C$15, $E$9, 100%, $G$9) + CHOOSE(CONTROL!$C$38, 0.0256, 0)</f>
        <v>31.287500000000001</v>
      </c>
      <c r="C378" s="10">
        <f>28.7391 * CHOOSE(CONTROL!$C$15, $E$9, 100%, $G$9) + CHOOSE(CONTROL!$C$38, 0.0347, 0)</f>
        <v>28.773800000000001</v>
      </c>
      <c r="D378" s="10">
        <f>28.7313 * CHOOSE(CONTROL!$C$15, $E$9, 100%, $G$9) + CHOOSE(CONTROL!$C$38, 0.0347, 0)</f>
        <v>28.766000000000002</v>
      </c>
      <c r="E378" s="28">
        <f>31.1057 * CHOOSE(CONTROL!$C$15, $E$9, 100%, $G$9) + CHOOSE(CONTROL!$C$38, 0.0347, 0)</f>
        <v>31.1404</v>
      </c>
      <c r="F378" s="27">
        <f>31.1057 * CHOOSE(CONTROL!$C$15, $E$9, 100%, $G$9) + CHOOSE(CONTROL!$C$38, 0.0256, 0)</f>
        <v>31.1313</v>
      </c>
      <c r="G378" s="10">
        <f>28.7376 * CHOOSE(CONTROL!$C$15, $E$9, 100%, $G$9) + CHOOSE(CONTROL!$C$38, 0.0347, 0)</f>
        <v>28.772300000000001</v>
      </c>
      <c r="H378" s="10">
        <f>28.7376 * CHOOSE(CONTROL!$C$15, $E$9, 100%, $G$9) + CHOOSE(CONTROL!$C$38, 0.0347, 0)</f>
        <v>28.772300000000001</v>
      </c>
      <c r="I378" s="10">
        <f>28.7391 * CHOOSE(CONTROL!$C$15, $E$9, 100%, $G$9) + CHOOSE(CONTROL!$C$38, 0.0347, 0)</f>
        <v>28.773800000000001</v>
      </c>
      <c r="J378" s="26">
        <f>216.7427</f>
        <v>216.74270000000001</v>
      </c>
    </row>
    <row r="379" spans="1:10" ht="15.75" x14ac:dyDescent="0.25">
      <c r="A379" s="14">
        <v>52840</v>
      </c>
      <c r="B379" s="10">
        <f>31.3638 * CHOOSE(CONTROL!$C$15, $E$9, 100%, $G$9) + CHOOSE(CONTROL!$C$38, 0.0256, 0)</f>
        <v>31.389400000000002</v>
      </c>
      <c r="C379" s="10">
        <f>28.8411 * CHOOSE(CONTROL!$C$15, $E$9, 100%, $G$9) + CHOOSE(CONTROL!$C$38, 0.0347, 0)</f>
        <v>28.875800000000002</v>
      </c>
      <c r="D379" s="10">
        <f>28.8332 * CHOOSE(CONTROL!$C$15, $E$9, 100%, $G$9) + CHOOSE(CONTROL!$C$38, 0.0347, 0)</f>
        <v>28.867900000000002</v>
      </c>
      <c r="E379" s="28">
        <f>31.2076 * CHOOSE(CONTROL!$C$15, $E$9, 100%, $G$9) + CHOOSE(CONTROL!$C$38, 0.0347, 0)</f>
        <v>31.2423</v>
      </c>
      <c r="F379" s="27">
        <f>31.2076 * CHOOSE(CONTROL!$C$15, $E$9, 100%, $G$9) + CHOOSE(CONTROL!$C$38, 0.0256, 0)</f>
        <v>31.2332</v>
      </c>
      <c r="G379" s="10">
        <f>28.8395 * CHOOSE(CONTROL!$C$15, $E$9, 100%, $G$9) + CHOOSE(CONTROL!$C$38, 0.0347, 0)</f>
        <v>28.874200000000002</v>
      </c>
      <c r="H379" s="10">
        <f>28.8395 * CHOOSE(CONTROL!$C$15, $E$9, 100%, $G$9) + CHOOSE(CONTROL!$C$38, 0.0347, 0)</f>
        <v>28.874200000000002</v>
      </c>
      <c r="I379" s="10">
        <f>28.8411 * CHOOSE(CONTROL!$C$15, $E$9, 100%, $G$9) + CHOOSE(CONTROL!$C$38, 0.0347, 0)</f>
        <v>28.875800000000002</v>
      </c>
      <c r="J379" s="26">
        <f>211.697</f>
        <v>211.697</v>
      </c>
    </row>
    <row r="380" spans="1:10" ht="15.75" x14ac:dyDescent="0.25">
      <c r="A380" s="14">
        <v>52870</v>
      </c>
      <c r="B380" s="10">
        <f>31.6406 * CHOOSE(CONTROL!$C$15, $E$9, 100%, $G$9) + CHOOSE(CONTROL!$C$38, 0.0256, 0)</f>
        <v>31.6662</v>
      </c>
      <c r="C380" s="10">
        <f>29.1179 * CHOOSE(CONTROL!$C$15, $E$9, 100%, $G$9) + CHOOSE(CONTROL!$C$38, 0.0347, 0)</f>
        <v>29.1526</v>
      </c>
      <c r="D380" s="10">
        <f>29.11 * CHOOSE(CONTROL!$C$15, $E$9, 100%, $G$9) + CHOOSE(CONTROL!$C$38, 0.0347, 0)</f>
        <v>29.1447</v>
      </c>
      <c r="E380" s="28">
        <f>31.4844 * CHOOSE(CONTROL!$C$15, $E$9, 100%, $G$9) + CHOOSE(CONTROL!$C$38, 0.0347, 0)</f>
        <v>31.519100000000002</v>
      </c>
      <c r="F380" s="27">
        <f>31.4844 * CHOOSE(CONTROL!$C$15, $E$9, 100%, $G$9) + CHOOSE(CONTROL!$C$38, 0.0256, 0)</f>
        <v>31.51</v>
      </c>
      <c r="G380" s="10">
        <f>29.1163 * CHOOSE(CONTROL!$C$15, $E$9, 100%, $G$9) + CHOOSE(CONTROL!$C$38, 0.0347, 0)</f>
        <v>29.151</v>
      </c>
      <c r="H380" s="10">
        <f>29.1163 * CHOOSE(CONTROL!$C$15, $E$9, 100%, $G$9) + CHOOSE(CONTROL!$C$38, 0.0347, 0)</f>
        <v>29.151</v>
      </c>
      <c r="I380" s="10">
        <f>29.1179 * CHOOSE(CONTROL!$C$15, $E$9, 100%, $G$9) + CHOOSE(CONTROL!$C$38, 0.0347, 0)</f>
        <v>29.1526</v>
      </c>
      <c r="J380" s="26">
        <f>204.6605</f>
        <v>204.66050000000001</v>
      </c>
    </row>
    <row r="381" spans="1:10" ht="15.75" x14ac:dyDescent="0.25">
      <c r="A381" s="14">
        <v>52901</v>
      </c>
      <c r="B381" s="10">
        <f>31.8724 * CHOOSE(CONTROL!$C$15, $E$9, 100%, $G$9) + CHOOSE(CONTROL!$C$38, 0.0256, 0)</f>
        <v>31.898</v>
      </c>
      <c r="C381" s="10">
        <f>29.3497 * CHOOSE(CONTROL!$C$15, $E$9, 100%, $G$9) + CHOOSE(CONTROL!$C$38, 0.0347, 0)</f>
        <v>29.384399999999999</v>
      </c>
      <c r="D381" s="10">
        <f>29.3419 * CHOOSE(CONTROL!$C$15, $E$9, 100%, $G$9) + CHOOSE(CONTROL!$C$38, 0.0347, 0)</f>
        <v>29.3766</v>
      </c>
      <c r="E381" s="28">
        <f>31.7162 * CHOOSE(CONTROL!$C$15, $E$9, 100%, $G$9) + CHOOSE(CONTROL!$C$38, 0.0347, 0)</f>
        <v>31.750900000000001</v>
      </c>
      <c r="F381" s="27">
        <f>31.7162 * CHOOSE(CONTROL!$C$15, $E$9, 100%, $G$9) + CHOOSE(CONTROL!$C$38, 0.0256, 0)</f>
        <v>31.741800000000001</v>
      </c>
      <c r="G381" s="10">
        <f>29.3481 * CHOOSE(CONTROL!$C$15, $E$9, 100%, $G$9) + CHOOSE(CONTROL!$C$38, 0.0347, 0)</f>
        <v>29.3828</v>
      </c>
      <c r="H381" s="10">
        <f>29.3481 * CHOOSE(CONTROL!$C$15, $E$9, 100%, $G$9) + CHOOSE(CONTROL!$C$38, 0.0347, 0)</f>
        <v>29.3828</v>
      </c>
      <c r="I381" s="10">
        <f>29.3497 * CHOOSE(CONTROL!$C$15, $E$9, 100%, $G$9) + CHOOSE(CONTROL!$C$38, 0.0347, 0)</f>
        <v>29.384399999999999</v>
      </c>
      <c r="J381" s="26">
        <f>197.5832</f>
        <v>197.58320000000001</v>
      </c>
    </row>
    <row r="382" spans="1:10" ht="15.75" x14ac:dyDescent="0.25">
      <c r="A382" s="14">
        <v>52931</v>
      </c>
      <c r="B382" s="10">
        <f>32.0659 * CHOOSE(CONTROL!$C$15, $E$9, 100%, $G$9) + CHOOSE(CONTROL!$C$38, 0.0256, 0)</f>
        <v>32.091499999999996</v>
      </c>
      <c r="C382" s="10">
        <f>29.5431 * CHOOSE(CONTROL!$C$15, $E$9, 100%, $G$9) + CHOOSE(CONTROL!$C$38, 0.0347, 0)</f>
        <v>29.5778</v>
      </c>
      <c r="D382" s="10">
        <f>29.5353 * CHOOSE(CONTROL!$C$15, $E$9, 100%, $G$9) + CHOOSE(CONTROL!$C$38, 0.0347, 0)</f>
        <v>29.57</v>
      </c>
      <c r="E382" s="28">
        <f>31.9096 * CHOOSE(CONTROL!$C$15, $E$9, 100%, $G$9) + CHOOSE(CONTROL!$C$38, 0.0347, 0)</f>
        <v>31.944300000000002</v>
      </c>
      <c r="F382" s="27">
        <f>31.9096 * CHOOSE(CONTROL!$C$15, $E$9, 100%, $G$9) + CHOOSE(CONTROL!$C$38, 0.0256, 0)</f>
        <v>31.935200000000002</v>
      </c>
      <c r="G382" s="10">
        <f>29.5416 * CHOOSE(CONTROL!$C$15, $E$9, 100%, $G$9) + CHOOSE(CONTROL!$C$38, 0.0347, 0)</f>
        <v>29.5763</v>
      </c>
      <c r="H382" s="10">
        <f>29.5416 * CHOOSE(CONTROL!$C$15, $E$9, 100%, $G$9) + CHOOSE(CONTROL!$C$38, 0.0347, 0)</f>
        <v>29.5763</v>
      </c>
      <c r="I382" s="10">
        <f>29.5431 * CHOOSE(CONTROL!$C$15, $E$9, 100%, $G$9) + CHOOSE(CONTROL!$C$38, 0.0347, 0)</f>
        <v>29.5778</v>
      </c>
      <c r="J382" s="26">
        <f>196.1753</f>
        <v>196.17529999999999</v>
      </c>
    </row>
    <row r="383" spans="1:10" ht="15.75" x14ac:dyDescent="0.25">
      <c r="A383" s="14">
        <v>52962</v>
      </c>
      <c r="B383" s="10">
        <f>32.6619 * CHOOSE(CONTROL!$C$15, $E$9, 100%, $G$9) + CHOOSE(CONTROL!$C$38, 0.0256, 0)</f>
        <v>32.6875</v>
      </c>
      <c r="C383" s="10">
        <f>30.1392 * CHOOSE(CONTROL!$C$15, $E$9, 100%, $G$9) + CHOOSE(CONTROL!$C$38, 0.0347, 0)</f>
        <v>30.1739</v>
      </c>
      <c r="D383" s="10">
        <f>30.1314 * CHOOSE(CONTROL!$C$15, $E$9, 100%, $G$9) + CHOOSE(CONTROL!$C$38, 0.0347, 0)</f>
        <v>30.1661</v>
      </c>
      <c r="E383" s="28">
        <f>32.5057 * CHOOSE(CONTROL!$C$15, $E$9, 100%, $G$9) + CHOOSE(CONTROL!$C$38, 0.0347, 0)</f>
        <v>32.540399999999998</v>
      </c>
      <c r="F383" s="27">
        <f>32.5057 * CHOOSE(CONTROL!$C$15, $E$9, 100%, $G$9) + CHOOSE(CONTROL!$C$38, 0.0256, 0)</f>
        <v>32.531299999999995</v>
      </c>
      <c r="G383" s="10">
        <f>30.1376 * CHOOSE(CONTROL!$C$15, $E$9, 100%, $G$9) + CHOOSE(CONTROL!$C$38, 0.0347, 0)</f>
        <v>30.1723</v>
      </c>
      <c r="H383" s="10">
        <f>30.1376 * CHOOSE(CONTROL!$C$15, $E$9, 100%, $G$9) + CHOOSE(CONTROL!$C$38, 0.0347, 0)</f>
        <v>30.1723</v>
      </c>
      <c r="I383" s="10">
        <f>30.1392 * CHOOSE(CONTROL!$C$15, $E$9, 100%, $G$9) + CHOOSE(CONTROL!$C$38, 0.0347, 0)</f>
        <v>30.1739</v>
      </c>
      <c r="J383" s="26">
        <f>190.3538</f>
        <v>190.35380000000001</v>
      </c>
    </row>
    <row r="384" spans="1:10" ht="15.75" x14ac:dyDescent="0.25">
      <c r="A384" s="14">
        <v>52993</v>
      </c>
      <c r="B384" s="10">
        <f>33.689 * CHOOSE(CONTROL!$C$15, $E$9, 100%, $G$9) + CHOOSE(CONTROL!$C$38, 0.0256, 0)</f>
        <v>33.714599999999997</v>
      </c>
      <c r="C384" s="10">
        <f>31.1244 * CHOOSE(CONTROL!$C$15, $E$9, 100%, $G$9) + CHOOSE(CONTROL!$C$38, 0.0347, 0)</f>
        <v>31.159100000000002</v>
      </c>
      <c r="D384" s="10">
        <f>31.1166 * CHOOSE(CONTROL!$C$15, $E$9, 100%, $G$9) + CHOOSE(CONTROL!$C$38, 0.0347, 0)</f>
        <v>31.151299999999999</v>
      </c>
      <c r="E384" s="28">
        <f>33.5327 * CHOOSE(CONTROL!$C$15, $E$9, 100%, $G$9) + CHOOSE(CONTROL!$C$38, 0.0347, 0)</f>
        <v>33.567399999999999</v>
      </c>
      <c r="F384" s="27">
        <f>33.5327 * CHOOSE(CONTROL!$C$15, $E$9, 100%, $G$9) + CHOOSE(CONTROL!$C$38, 0.0256, 0)</f>
        <v>33.558299999999996</v>
      </c>
      <c r="G384" s="10">
        <f>31.1228 * CHOOSE(CONTROL!$C$15, $E$9, 100%, $G$9) + CHOOSE(CONTROL!$C$38, 0.0347, 0)</f>
        <v>31.157500000000002</v>
      </c>
      <c r="H384" s="10">
        <f>31.1228 * CHOOSE(CONTROL!$C$15, $E$9, 100%, $G$9) + CHOOSE(CONTROL!$C$38, 0.0347, 0)</f>
        <v>31.157500000000002</v>
      </c>
      <c r="I384" s="10">
        <f>31.1244 * CHOOSE(CONTROL!$C$15, $E$9, 100%, $G$9) + CHOOSE(CONTROL!$C$38, 0.0347, 0)</f>
        <v>31.159100000000002</v>
      </c>
      <c r="J384" s="26">
        <f>189.0787</f>
        <v>189.0787</v>
      </c>
    </row>
    <row r="385" spans="1:10" ht="15.75" x14ac:dyDescent="0.25">
      <c r="A385" s="14">
        <v>53021</v>
      </c>
      <c r="B385" s="10">
        <f>33.9097 * CHOOSE(CONTROL!$C$15, $E$9, 100%, $G$9) + CHOOSE(CONTROL!$C$38, 0.0256, 0)</f>
        <v>33.935299999999998</v>
      </c>
      <c r="C385" s="10">
        <f>31.3452 * CHOOSE(CONTROL!$C$15, $E$9, 100%, $G$9) + CHOOSE(CONTROL!$C$38, 0.0347, 0)</f>
        <v>31.379899999999999</v>
      </c>
      <c r="D385" s="10">
        <f>31.3374 * CHOOSE(CONTROL!$C$15, $E$9, 100%, $G$9) + CHOOSE(CONTROL!$C$38, 0.0347, 0)</f>
        <v>31.3721</v>
      </c>
      <c r="E385" s="28">
        <f>33.7535 * CHOOSE(CONTROL!$C$15, $E$9, 100%, $G$9) + CHOOSE(CONTROL!$C$38, 0.0347, 0)</f>
        <v>33.788200000000003</v>
      </c>
      <c r="F385" s="27">
        <f>33.7535 * CHOOSE(CONTROL!$C$15, $E$9, 100%, $G$9) + CHOOSE(CONTROL!$C$38, 0.0256, 0)</f>
        <v>33.7791</v>
      </c>
      <c r="G385" s="10">
        <f>31.3436 * CHOOSE(CONTROL!$C$15, $E$9, 100%, $G$9) + CHOOSE(CONTROL!$C$38, 0.0347, 0)</f>
        <v>31.378299999999999</v>
      </c>
      <c r="H385" s="10">
        <f>31.3436 * CHOOSE(CONTROL!$C$15, $E$9, 100%, $G$9) + CHOOSE(CONTROL!$C$38, 0.0347, 0)</f>
        <v>31.378299999999999</v>
      </c>
      <c r="I385" s="10">
        <f>31.3452 * CHOOSE(CONTROL!$C$15, $E$9, 100%, $G$9) + CHOOSE(CONTROL!$C$38, 0.0347, 0)</f>
        <v>31.379899999999999</v>
      </c>
      <c r="J385" s="26">
        <f>188.5532</f>
        <v>188.5532</v>
      </c>
    </row>
    <row r="386" spans="1:10" ht="15.75" x14ac:dyDescent="0.25">
      <c r="A386" s="14">
        <v>53052</v>
      </c>
      <c r="B386" s="10">
        <f>33.3987 * CHOOSE(CONTROL!$C$15, $E$9, 100%, $G$9) + CHOOSE(CONTROL!$C$38, 0.0256, 0)</f>
        <v>33.424299999999995</v>
      </c>
      <c r="C386" s="10">
        <f>30.8341 * CHOOSE(CONTROL!$C$15, $E$9, 100%, $G$9) + CHOOSE(CONTROL!$C$38, 0.0347, 0)</f>
        <v>30.8688</v>
      </c>
      <c r="D386" s="10">
        <f>30.8263 * CHOOSE(CONTROL!$C$15, $E$9, 100%, $G$9) + CHOOSE(CONTROL!$C$38, 0.0347, 0)</f>
        <v>30.861000000000001</v>
      </c>
      <c r="E386" s="28">
        <f>33.2425 * CHOOSE(CONTROL!$C$15, $E$9, 100%, $G$9) + CHOOSE(CONTROL!$C$38, 0.0347, 0)</f>
        <v>33.277200000000001</v>
      </c>
      <c r="F386" s="27">
        <f>33.2425 * CHOOSE(CONTROL!$C$15, $E$9, 100%, $G$9) + CHOOSE(CONTROL!$C$38, 0.0256, 0)</f>
        <v>33.268099999999997</v>
      </c>
      <c r="G386" s="10">
        <f>30.8326 * CHOOSE(CONTROL!$C$15, $E$9, 100%, $G$9) + CHOOSE(CONTROL!$C$38, 0.0347, 0)</f>
        <v>30.8673</v>
      </c>
      <c r="H386" s="10">
        <f>30.8326 * CHOOSE(CONTROL!$C$15, $E$9, 100%, $G$9) + CHOOSE(CONTROL!$C$38, 0.0347, 0)</f>
        <v>30.8673</v>
      </c>
      <c r="I386" s="10">
        <f>30.8341 * CHOOSE(CONTROL!$C$15, $E$9, 100%, $G$9) + CHOOSE(CONTROL!$C$38, 0.0347, 0)</f>
        <v>30.8688</v>
      </c>
      <c r="J386" s="26">
        <f>198.491</f>
        <v>198.49100000000001</v>
      </c>
    </row>
    <row r="387" spans="1:10" ht="15.75" x14ac:dyDescent="0.25">
      <c r="A387" s="14">
        <v>53082</v>
      </c>
      <c r="B387" s="10">
        <f>32.9035 * CHOOSE(CONTROL!$C$15, $E$9, 100%, $G$9) + CHOOSE(CONTROL!$C$38, 0.0256, 0)</f>
        <v>32.929099999999998</v>
      </c>
      <c r="C387" s="10">
        <f>30.339 * CHOOSE(CONTROL!$C$15, $E$9, 100%, $G$9) + CHOOSE(CONTROL!$C$38, 0.0347, 0)</f>
        <v>30.373699999999999</v>
      </c>
      <c r="D387" s="10">
        <f>30.3311 * CHOOSE(CONTROL!$C$15, $E$9, 100%, $G$9) + CHOOSE(CONTROL!$C$38, 0.0347, 0)</f>
        <v>30.3658</v>
      </c>
      <c r="E387" s="28">
        <f>32.7473 * CHOOSE(CONTROL!$C$15, $E$9, 100%, $G$9) + CHOOSE(CONTROL!$C$38, 0.0347, 0)</f>
        <v>32.782000000000004</v>
      </c>
      <c r="F387" s="27">
        <f>32.7473 * CHOOSE(CONTROL!$C$15, $E$9, 100%, $G$9) + CHOOSE(CONTROL!$C$38, 0.0256, 0)</f>
        <v>32.7729</v>
      </c>
      <c r="G387" s="10">
        <f>30.3374 * CHOOSE(CONTROL!$C$15, $E$9, 100%, $G$9) + CHOOSE(CONTROL!$C$38, 0.0347, 0)</f>
        <v>30.3721</v>
      </c>
      <c r="H387" s="10">
        <f>30.3374 * CHOOSE(CONTROL!$C$15, $E$9, 100%, $G$9) + CHOOSE(CONTROL!$C$38, 0.0347, 0)</f>
        <v>30.3721</v>
      </c>
      <c r="I387" s="10">
        <f>30.339 * CHOOSE(CONTROL!$C$15, $E$9, 100%, $G$9) + CHOOSE(CONTROL!$C$38, 0.0347, 0)</f>
        <v>30.373699999999999</v>
      </c>
      <c r="J387" s="26">
        <f>211.378</f>
        <v>211.37799999999999</v>
      </c>
    </row>
    <row r="388" spans="1:10" ht="15.75" x14ac:dyDescent="0.25">
      <c r="A388" s="14">
        <v>53113</v>
      </c>
      <c r="B388" s="10">
        <f>32.3874 * CHOOSE(CONTROL!$C$15, $E$9, 100%, $G$9) + CHOOSE(CONTROL!$C$38, 0.0256, 0)</f>
        <v>32.412999999999997</v>
      </c>
      <c r="C388" s="10">
        <f>29.8228 * CHOOSE(CONTROL!$C$15, $E$9, 100%, $G$9) + CHOOSE(CONTROL!$C$38, 0.0347, 0)</f>
        <v>29.857500000000002</v>
      </c>
      <c r="D388" s="10">
        <f>29.815 * CHOOSE(CONTROL!$C$15, $E$9, 100%, $G$9) + CHOOSE(CONTROL!$C$38, 0.0347, 0)</f>
        <v>29.849700000000002</v>
      </c>
      <c r="E388" s="28">
        <f>32.2312 * CHOOSE(CONTROL!$C$15, $E$9, 100%, $G$9) + CHOOSE(CONTROL!$C$38, 0.0347, 0)</f>
        <v>32.265900000000002</v>
      </c>
      <c r="F388" s="27">
        <f>32.2312 * CHOOSE(CONTROL!$C$15, $E$9, 100%, $G$9) + CHOOSE(CONTROL!$C$38, 0.0256, 0)</f>
        <v>32.256799999999998</v>
      </c>
      <c r="G388" s="10">
        <f>29.8213 * CHOOSE(CONTROL!$C$15, $E$9, 100%, $G$9) + CHOOSE(CONTROL!$C$38, 0.0347, 0)</f>
        <v>29.856000000000002</v>
      </c>
      <c r="H388" s="10">
        <f>29.8213 * CHOOSE(CONTROL!$C$15, $E$9, 100%, $G$9) + CHOOSE(CONTROL!$C$38, 0.0347, 0)</f>
        <v>29.856000000000002</v>
      </c>
      <c r="I388" s="10">
        <f>29.8228 * CHOOSE(CONTROL!$C$15, $E$9, 100%, $G$9) + CHOOSE(CONTROL!$C$38, 0.0347, 0)</f>
        <v>29.857500000000002</v>
      </c>
      <c r="J388" s="26">
        <f>218.4714</f>
        <v>218.47139999999999</v>
      </c>
    </row>
    <row r="389" spans="1:10" ht="15.75" x14ac:dyDescent="0.25">
      <c r="A389" s="14">
        <v>53143</v>
      </c>
      <c r="B389" s="10">
        <f>32.0256 * CHOOSE(CONTROL!$C$15, $E$9, 100%, $G$9) + CHOOSE(CONTROL!$C$38, 0.0256, 0)</f>
        <v>32.051199999999994</v>
      </c>
      <c r="C389" s="10">
        <f>29.461 * CHOOSE(CONTROL!$C$15, $E$9, 100%, $G$9) + CHOOSE(CONTROL!$C$38, 0.0347, 0)</f>
        <v>29.495699999999999</v>
      </c>
      <c r="D389" s="10">
        <f>29.4532 * CHOOSE(CONTROL!$C$15, $E$9, 100%, $G$9) + CHOOSE(CONTROL!$C$38, 0.0347, 0)</f>
        <v>29.4879</v>
      </c>
      <c r="E389" s="28">
        <f>31.8693 * CHOOSE(CONTROL!$C$15, $E$9, 100%, $G$9) + CHOOSE(CONTROL!$C$38, 0.0347, 0)</f>
        <v>31.904</v>
      </c>
      <c r="F389" s="27">
        <f>31.8693 * CHOOSE(CONTROL!$C$15, $E$9, 100%, $G$9) + CHOOSE(CONTROL!$C$38, 0.0256, 0)</f>
        <v>31.8949</v>
      </c>
      <c r="G389" s="10">
        <f>29.4594 * CHOOSE(CONTROL!$C$15, $E$9, 100%, $G$9) + CHOOSE(CONTROL!$C$38, 0.0347, 0)</f>
        <v>29.4941</v>
      </c>
      <c r="H389" s="10">
        <f>29.4594 * CHOOSE(CONTROL!$C$15, $E$9, 100%, $G$9) + CHOOSE(CONTROL!$C$38, 0.0347, 0)</f>
        <v>29.4941</v>
      </c>
      <c r="I389" s="10">
        <f>29.461 * CHOOSE(CONTROL!$C$15, $E$9, 100%, $G$9) + CHOOSE(CONTROL!$C$38, 0.0347, 0)</f>
        <v>29.495699999999999</v>
      </c>
      <c r="J389" s="26">
        <f>221.6194</f>
        <v>221.61940000000001</v>
      </c>
    </row>
    <row r="390" spans="1:10" ht="15.75" x14ac:dyDescent="0.25">
      <c r="A390" s="14">
        <v>53174</v>
      </c>
      <c r="B390" s="10">
        <f>31.8191 * CHOOSE(CONTROL!$C$15, $E$9, 100%, $G$9) + CHOOSE(CONTROL!$C$38, 0.0256, 0)</f>
        <v>31.8447</v>
      </c>
      <c r="C390" s="10">
        <f>29.2545 * CHOOSE(CONTROL!$C$15, $E$9, 100%, $G$9) + CHOOSE(CONTROL!$C$38, 0.0347, 0)</f>
        <v>29.289200000000001</v>
      </c>
      <c r="D390" s="10">
        <f>29.2467 * CHOOSE(CONTROL!$C$15, $E$9, 100%, $G$9) + CHOOSE(CONTROL!$C$38, 0.0347, 0)</f>
        <v>29.281400000000001</v>
      </c>
      <c r="E390" s="28">
        <f>31.6628 * CHOOSE(CONTROL!$C$15, $E$9, 100%, $G$9) + CHOOSE(CONTROL!$C$38, 0.0347, 0)</f>
        <v>31.697500000000002</v>
      </c>
      <c r="F390" s="27">
        <f>31.6628 * CHOOSE(CONTROL!$C$15, $E$9, 100%, $G$9) + CHOOSE(CONTROL!$C$38, 0.0256, 0)</f>
        <v>31.688400000000001</v>
      </c>
      <c r="G390" s="10">
        <f>29.253 * CHOOSE(CONTROL!$C$15, $E$9, 100%, $G$9) + CHOOSE(CONTROL!$C$38, 0.0347, 0)</f>
        <v>29.287700000000001</v>
      </c>
      <c r="H390" s="10">
        <f>29.253 * CHOOSE(CONTROL!$C$15, $E$9, 100%, $G$9) + CHOOSE(CONTROL!$C$38, 0.0347, 0)</f>
        <v>29.287700000000001</v>
      </c>
      <c r="I390" s="10">
        <f>29.2545 * CHOOSE(CONTROL!$C$15, $E$9, 100%, $G$9) + CHOOSE(CONTROL!$C$38, 0.0347, 0)</f>
        <v>29.289200000000001</v>
      </c>
      <c r="J390" s="26">
        <f>220.5829</f>
        <v>220.5829</v>
      </c>
    </row>
    <row r="391" spans="1:10" ht="15.75" x14ac:dyDescent="0.25">
      <c r="A391" s="14">
        <v>53205</v>
      </c>
      <c r="B391" s="10">
        <f>31.921 * CHOOSE(CONTROL!$C$15, $E$9, 100%, $G$9) + CHOOSE(CONTROL!$C$38, 0.0256, 0)</f>
        <v>31.9466</v>
      </c>
      <c r="C391" s="10">
        <f>29.3564 * CHOOSE(CONTROL!$C$15, $E$9, 100%, $G$9) + CHOOSE(CONTROL!$C$38, 0.0347, 0)</f>
        <v>29.391100000000002</v>
      </c>
      <c r="D391" s="10">
        <f>29.3486 * CHOOSE(CONTROL!$C$15, $E$9, 100%, $G$9) + CHOOSE(CONTROL!$C$38, 0.0347, 0)</f>
        <v>29.383300000000002</v>
      </c>
      <c r="E391" s="28">
        <f>31.7648 * CHOOSE(CONTROL!$C$15, $E$9, 100%, $G$9) + CHOOSE(CONTROL!$C$38, 0.0347, 0)</f>
        <v>31.799500000000002</v>
      </c>
      <c r="F391" s="27">
        <f>31.7648 * CHOOSE(CONTROL!$C$15, $E$9, 100%, $G$9) + CHOOSE(CONTROL!$C$38, 0.0256, 0)</f>
        <v>31.790400000000002</v>
      </c>
      <c r="G391" s="10">
        <f>29.3549 * CHOOSE(CONTROL!$C$15, $E$9, 100%, $G$9) + CHOOSE(CONTROL!$C$38, 0.0347, 0)</f>
        <v>29.389600000000002</v>
      </c>
      <c r="H391" s="10">
        <f>29.3549 * CHOOSE(CONTROL!$C$15, $E$9, 100%, $G$9) + CHOOSE(CONTROL!$C$38, 0.0347, 0)</f>
        <v>29.389600000000002</v>
      </c>
      <c r="I391" s="10">
        <f>29.3564 * CHOOSE(CONTROL!$C$15, $E$9, 100%, $G$9) + CHOOSE(CONTROL!$C$38, 0.0347, 0)</f>
        <v>29.391100000000002</v>
      </c>
      <c r="J391" s="26">
        <f>215.4479</f>
        <v>215.4479</v>
      </c>
    </row>
    <row r="392" spans="1:10" ht="15.75" x14ac:dyDescent="0.25">
      <c r="A392" s="14">
        <v>53235</v>
      </c>
      <c r="B392" s="10">
        <f>32.1978 * CHOOSE(CONTROL!$C$15, $E$9, 100%, $G$9) + CHOOSE(CONTROL!$C$38, 0.0256, 0)</f>
        <v>32.223399999999998</v>
      </c>
      <c r="C392" s="10">
        <f>29.6332 * CHOOSE(CONTROL!$C$15, $E$9, 100%, $G$9) + CHOOSE(CONTROL!$C$38, 0.0347, 0)</f>
        <v>29.667899999999999</v>
      </c>
      <c r="D392" s="10">
        <f>29.6254 * CHOOSE(CONTROL!$C$15, $E$9, 100%, $G$9) + CHOOSE(CONTROL!$C$38, 0.0347, 0)</f>
        <v>29.6601</v>
      </c>
      <c r="E392" s="28">
        <f>32.0415 * CHOOSE(CONTROL!$C$15, $E$9, 100%, $G$9) + CHOOSE(CONTROL!$C$38, 0.0347, 0)</f>
        <v>32.0762</v>
      </c>
      <c r="F392" s="27">
        <f>32.0415 * CHOOSE(CONTROL!$C$15, $E$9, 100%, $G$9) + CHOOSE(CONTROL!$C$38, 0.0256, 0)</f>
        <v>32.067099999999996</v>
      </c>
      <c r="G392" s="10">
        <f>29.6317 * CHOOSE(CONTROL!$C$15, $E$9, 100%, $G$9) + CHOOSE(CONTROL!$C$38, 0.0347, 0)</f>
        <v>29.666399999999999</v>
      </c>
      <c r="H392" s="10">
        <f>29.6317 * CHOOSE(CONTROL!$C$15, $E$9, 100%, $G$9) + CHOOSE(CONTROL!$C$38, 0.0347, 0)</f>
        <v>29.666399999999999</v>
      </c>
      <c r="I392" s="10">
        <f>29.6332 * CHOOSE(CONTROL!$C$15, $E$9, 100%, $G$9) + CHOOSE(CONTROL!$C$38, 0.0347, 0)</f>
        <v>29.667899999999999</v>
      </c>
      <c r="J392" s="26">
        <f>208.2867</f>
        <v>208.2867</v>
      </c>
    </row>
    <row r="393" spans="1:10" ht="15.75" x14ac:dyDescent="0.25">
      <c r="A393" s="14">
        <v>53266</v>
      </c>
      <c r="B393" s="10">
        <f>32.4296 * CHOOSE(CONTROL!$C$15, $E$9, 100%, $G$9) + CHOOSE(CONTROL!$C$38, 0.0256, 0)</f>
        <v>32.455199999999998</v>
      </c>
      <c r="C393" s="10">
        <f>29.8651 * CHOOSE(CONTROL!$C$15, $E$9, 100%, $G$9) + CHOOSE(CONTROL!$C$38, 0.0347, 0)</f>
        <v>29.899800000000003</v>
      </c>
      <c r="D393" s="10">
        <f>29.8572 * CHOOSE(CONTROL!$C$15, $E$9, 100%, $G$9) + CHOOSE(CONTROL!$C$38, 0.0347, 0)</f>
        <v>29.8919</v>
      </c>
      <c r="E393" s="28">
        <f>32.2734 * CHOOSE(CONTROL!$C$15, $E$9, 100%, $G$9) + CHOOSE(CONTROL!$C$38, 0.0347, 0)</f>
        <v>32.308100000000003</v>
      </c>
      <c r="F393" s="27">
        <f>32.2734 * CHOOSE(CONTROL!$C$15, $E$9, 100%, $G$9) + CHOOSE(CONTROL!$C$38, 0.0256, 0)</f>
        <v>32.298999999999999</v>
      </c>
      <c r="G393" s="10">
        <f>29.8635 * CHOOSE(CONTROL!$C$15, $E$9, 100%, $G$9) + CHOOSE(CONTROL!$C$38, 0.0347, 0)</f>
        <v>29.898199999999999</v>
      </c>
      <c r="H393" s="10">
        <f>29.8635 * CHOOSE(CONTROL!$C$15, $E$9, 100%, $G$9) + CHOOSE(CONTROL!$C$38, 0.0347, 0)</f>
        <v>29.898199999999999</v>
      </c>
      <c r="I393" s="10">
        <f>29.8651 * CHOOSE(CONTROL!$C$15, $E$9, 100%, $G$9) + CHOOSE(CONTROL!$C$38, 0.0347, 0)</f>
        <v>29.899800000000003</v>
      </c>
      <c r="J393" s="26">
        <f>201.084</f>
        <v>201.084</v>
      </c>
    </row>
    <row r="394" spans="1:10" ht="15.75" x14ac:dyDescent="0.25">
      <c r="A394" s="14">
        <v>53296</v>
      </c>
      <c r="B394" s="10">
        <f>32.6231 * CHOOSE(CONTROL!$C$15, $E$9, 100%, $G$9) + CHOOSE(CONTROL!$C$38, 0.0256, 0)</f>
        <v>32.648699999999998</v>
      </c>
      <c r="C394" s="10">
        <f>30.0585 * CHOOSE(CONTROL!$C$15, $E$9, 100%, $G$9) + CHOOSE(CONTROL!$C$38, 0.0347, 0)</f>
        <v>30.0932</v>
      </c>
      <c r="D394" s="10">
        <f>30.0507 * CHOOSE(CONTROL!$C$15, $E$9, 100%, $G$9) + CHOOSE(CONTROL!$C$38, 0.0347, 0)</f>
        <v>30.0854</v>
      </c>
      <c r="E394" s="28">
        <f>32.4668 * CHOOSE(CONTROL!$C$15, $E$9, 100%, $G$9) + CHOOSE(CONTROL!$C$38, 0.0347, 0)</f>
        <v>32.5015</v>
      </c>
      <c r="F394" s="27">
        <f>32.4668 * CHOOSE(CONTROL!$C$15, $E$9, 100%, $G$9) + CHOOSE(CONTROL!$C$38, 0.0256, 0)</f>
        <v>32.492399999999996</v>
      </c>
      <c r="G394" s="10">
        <f>30.0569 * CHOOSE(CONTROL!$C$15, $E$9, 100%, $G$9) + CHOOSE(CONTROL!$C$38, 0.0347, 0)</f>
        <v>30.0916</v>
      </c>
      <c r="H394" s="10">
        <f>30.0569 * CHOOSE(CONTROL!$C$15, $E$9, 100%, $G$9) + CHOOSE(CONTROL!$C$38, 0.0347, 0)</f>
        <v>30.0916</v>
      </c>
      <c r="I394" s="10">
        <f>30.0585 * CHOOSE(CONTROL!$C$15, $E$9, 100%, $G$9) + CHOOSE(CONTROL!$C$38, 0.0347, 0)</f>
        <v>30.0932</v>
      </c>
      <c r="J394" s="26">
        <f>199.6512</f>
        <v>199.65119999999999</v>
      </c>
    </row>
    <row r="395" spans="1:10" ht="15.75" x14ac:dyDescent="0.25">
      <c r="A395" s="14">
        <v>53327</v>
      </c>
      <c r="B395" s="10">
        <f>33.2191 * CHOOSE(CONTROL!$C$15, $E$9, 100%, $G$9) + CHOOSE(CONTROL!$C$38, 0.0256, 0)</f>
        <v>33.244699999999995</v>
      </c>
      <c r="C395" s="10">
        <f>30.6546 * CHOOSE(CONTROL!$C$15, $E$9, 100%, $G$9) + CHOOSE(CONTROL!$C$38, 0.0347, 0)</f>
        <v>30.689299999999999</v>
      </c>
      <c r="D395" s="10">
        <f>30.6467 * CHOOSE(CONTROL!$C$15, $E$9, 100%, $G$9) + CHOOSE(CONTROL!$C$38, 0.0347, 0)</f>
        <v>30.6814</v>
      </c>
      <c r="E395" s="28">
        <f>33.0629 * CHOOSE(CONTROL!$C$15, $E$9, 100%, $G$9) + CHOOSE(CONTROL!$C$38, 0.0347, 0)</f>
        <v>33.0976</v>
      </c>
      <c r="F395" s="27">
        <f>33.0629 * CHOOSE(CONTROL!$C$15, $E$9, 100%, $G$9) + CHOOSE(CONTROL!$C$38, 0.0256, 0)</f>
        <v>33.088499999999996</v>
      </c>
      <c r="G395" s="10">
        <f>30.653 * CHOOSE(CONTROL!$C$15, $E$9, 100%, $G$9) + CHOOSE(CONTROL!$C$38, 0.0347, 0)</f>
        <v>30.6877</v>
      </c>
      <c r="H395" s="10">
        <f>30.653 * CHOOSE(CONTROL!$C$15, $E$9, 100%, $G$9) + CHOOSE(CONTROL!$C$38, 0.0347, 0)</f>
        <v>30.6877</v>
      </c>
      <c r="I395" s="10">
        <f>30.6546 * CHOOSE(CONTROL!$C$15, $E$9, 100%, $G$9) + CHOOSE(CONTROL!$C$38, 0.0347, 0)</f>
        <v>30.689299999999999</v>
      </c>
      <c r="J395" s="26">
        <f>193.7265</f>
        <v>193.72649999999999</v>
      </c>
    </row>
    <row r="396" spans="1:10" ht="15.75" x14ac:dyDescent="0.25">
      <c r="A396" s="14">
        <v>53358</v>
      </c>
      <c r="B396" s="10">
        <f>34.256 * CHOOSE(CONTROL!$C$15, $E$9, 100%, $G$9) + CHOOSE(CONTROL!$C$38, 0.0256, 0)</f>
        <v>34.281599999999997</v>
      </c>
      <c r="C396" s="10">
        <f>31.6489 * CHOOSE(CONTROL!$C$15, $E$9, 100%, $G$9) + CHOOSE(CONTROL!$C$38, 0.0347, 0)</f>
        <v>31.683600000000002</v>
      </c>
      <c r="D396" s="10">
        <f>31.6411 * CHOOSE(CONTROL!$C$15, $E$9, 100%, $G$9) + CHOOSE(CONTROL!$C$38, 0.0347, 0)</f>
        <v>31.675800000000002</v>
      </c>
      <c r="E396" s="28">
        <f>34.0998 * CHOOSE(CONTROL!$C$15, $E$9, 100%, $G$9) + CHOOSE(CONTROL!$C$38, 0.0347, 0)</f>
        <v>34.134500000000003</v>
      </c>
      <c r="F396" s="27">
        <f>34.0998 * CHOOSE(CONTROL!$C$15, $E$9, 100%, $G$9) + CHOOSE(CONTROL!$C$38, 0.0256, 0)</f>
        <v>34.125399999999999</v>
      </c>
      <c r="G396" s="10">
        <f>31.6473 * CHOOSE(CONTROL!$C$15, $E$9, 100%, $G$9) + CHOOSE(CONTROL!$C$38, 0.0347, 0)</f>
        <v>31.682000000000002</v>
      </c>
      <c r="H396" s="10">
        <f>31.6473 * CHOOSE(CONTROL!$C$15, $E$9, 100%, $G$9) + CHOOSE(CONTROL!$C$38, 0.0347, 0)</f>
        <v>31.682000000000002</v>
      </c>
      <c r="I396" s="10">
        <f>31.6489 * CHOOSE(CONTROL!$C$15, $E$9, 100%, $G$9) + CHOOSE(CONTROL!$C$38, 0.0347, 0)</f>
        <v>31.683600000000002</v>
      </c>
      <c r="J396" s="26">
        <f>192.4289</f>
        <v>192.4289</v>
      </c>
    </row>
    <row r="397" spans="1:10" ht="15.75" x14ac:dyDescent="0.25">
      <c r="A397" s="14">
        <v>53386</v>
      </c>
      <c r="B397" s="10">
        <f>34.4768 * CHOOSE(CONTROL!$C$15, $E$9, 100%, $G$9) + CHOOSE(CONTROL!$C$38, 0.0256, 0)</f>
        <v>34.502399999999994</v>
      </c>
      <c r="C397" s="10">
        <f>31.8696 * CHOOSE(CONTROL!$C$15, $E$9, 100%, $G$9) + CHOOSE(CONTROL!$C$38, 0.0347, 0)</f>
        <v>31.904299999999999</v>
      </c>
      <c r="D397" s="10">
        <f>31.8618 * CHOOSE(CONTROL!$C$15, $E$9, 100%, $G$9) + CHOOSE(CONTROL!$C$38, 0.0347, 0)</f>
        <v>31.8965</v>
      </c>
      <c r="E397" s="28">
        <f>34.3205 * CHOOSE(CONTROL!$C$15, $E$9, 100%, $G$9) + CHOOSE(CONTROL!$C$38, 0.0347, 0)</f>
        <v>34.355200000000004</v>
      </c>
      <c r="F397" s="27">
        <f>34.3205 * CHOOSE(CONTROL!$C$15, $E$9, 100%, $G$9) + CHOOSE(CONTROL!$C$38, 0.0256, 0)</f>
        <v>34.3461</v>
      </c>
      <c r="G397" s="10">
        <f>31.8681 * CHOOSE(CONTROL!$C$15, $E$9, 100%, $G$9) + CHOOSE(CONTROL!$C$38, 0.0347, 0)</f>
        <v>31.902799999999999</v>
      </c>
      <c r="H397" s="10">
        <f>31.8681 * CHOOSE(CONTROL!$C$15, $E$9, 100%, $G$9) + CHOOSE(CONTROL!$C$38, 0.0347, 0)</f>
        <v>31.902799999999999</v>
      </c>
      <c r="I397" s="10">
        <f>31.8696 * CHOOSE(CONTROL!$C$15, $E$9, 100%, $G$9) + CHOOSE(CONTROL!$C$38, 0.0347, 0)</f>
        <v>31.904299999999999</v>
      </c>
      <c r="J397" s="26">
        <f>191.894</f>
        <v>191.89400000000001</v>
      </c>
    </row>
    <row r="398" spans="1:10" ht="15.75" x14ac:dyDescent="0.25">
      <c r="A398" s="14">
        <v>53417</v>
      </c>
      <c r="B398" s="10">
        <f>33.9657 * CHOOSE(CONTROL!$C$15, $E$9, 100%, $G$9) + CHOOSE(CONTROL!$C$38, 0.0256, 0)</f>
        <v>33.991299999999995</v>
      </c>
      <c r="C398" s="10">
        <f>31.3586 * CHOOSE(CONTROL!$C$15, $E$9, 100%, $G$9) + CHOOSE(CONTROL!$C$38, 0.0347, 0)</f>
        <v>31.3933</v>
      </c>
      <c r="D398" s="10">
        <f>31.3508 * CHOOSE(CONTROL!$C$15, $E$9, 100%, $G$9) + CHOOSE(CONTROL!$C$38, 0.0347, 0)</f>
        <v>31.3855</v>
      </c>
      <c r="E398" s="28">
        <f>33.8095 * CHOOSE(CONTROL!$C$15, $E$9, 100%, $G$9) + CHOOSE(CONTROL!$C$38, 0.0347, 0)</f>
        <v>33.844200000000001</v>
      </c>
      <c r="F398" s="27">
        <f>33.8095 * CHOOSE(CONTROL!$C$15, $E$9, 100%, $G$9) + CHOOSE(CONTROL!$C$38, 0.0256, 0)</f>
        <v>33.835099999999997</v>
      </c>
      <c r="G398" s="10">
        <f>31.3571 * CHOOSE(CONTROL!$C$15, $E$9, 100%, $G$9) + CHOOSE(CONTROL!$C$38, 0.0347, 0)</f>
        <v>31.3918</v>
      </c>
      <c r="H398" s="10">
        <f>31.3571 * CHOOSE(CONTROL!$C$15, $E$9, 100%, $G$9) + CHOOSE(CONTROL!$C$38, 0.0347, 0)</f>
        <v>31.3918</v>
      </c>
      <c r="I398" s="10">
        <f>31.3586 * CHOOSE(CONTROL!$C$15, $E$9, 100%, $G$9) + CHOOSE(CONTROL!$C$38, 0.0347, 0)</f>
        <v>31.3933</v>
      </c>
      <c r="J398" s="26">
        <f>202.0079</f>
        <v>202.00790000000001</v>
      </c>
    </row>
    <row r="399" spans="1:10" ht="15.75" x14ac:dyDescent="0.25">
      <c r="A399" s="14">
        <v>53447</v>
      </c>
      <c r="B399" s="10">
        <f>33.4706 * CHOOSE(CONTROL!$C$15, $E$9, 100%, $G$9) + CHOOSE(CONTROL!$C$38, 0.0256, 0)</f>
        <v>33.496199999999995</v>
      </c>
      <c r="C399" s="10">
        <f>30.8634 * CHOOSE(CONTROL!$C$15, $E$9, 100%, $G$9) + CHOOSE(CONTROL!$C$38, 0.0347, 0)</f>
        <v>30.898099999999999</v>
      </c>
      <c r="D399" s="10">
        <f>30.8556 * CHOOSE(CONTROL!$C$15, $E$9, 100%, $G$9) + CHOOSE(CONTROL!$C$38, 0.0347, 0)</f>
        <v>30.8903</v>
      </c>
      <c r="E399" s="28">
        <f>33.3143 * CHOOSE(CONTROL!$C$15, $E$9, 100%, $G$9) + CHOOSE(CONTROL!$C$38, 0.0347, 0)</f>
        <v>33.349000000000004</v>
      </c>
      <c r="F399" s="27">
        <f>33.3143 * CHOOSE(CONTROL!$C$15, $E$9, 100%, $G$9) + CHOOSE(CONTROL!$C$38, 0.0256, 0)</f>
        <v>33.3399</v>
      </c>
      <c r="G399" s="10">
        <f>30.8619 * CHOOSE(CONTROL!$C$15, $E$9, 100%, $G$9) + CHOOSE(CONTROL!$C$38, 0.0347, 0)</f>
        <v>30.896599999999999</v>
      </c>
      <c r="H399" s="10">
        <f>30.8619 * CHOOSE(CONTROL!$C$15, $E$9, 100%, $G$9) + CHOOSE(CONTROL!$C$38, 0.0347, 0)</f>
        <v>30.896599999999999</v>
      </c>
      <c r="I399" s="10">
        <f>30.8634 * CHOOSE(CONTROL!$C$15, $E$9, 100%, $G$9) + CHOOSE(CONTROL!$C$38, 0.0347, 0)</f>
        <v>30.898099999999999</v>
      </c>
      <c r="J399" s="26">
        <f>215.1232</f>
        <v>215.1232</v>
      </c>
    </row>
    <row r="400" spans="1:10" ht="15.75" x14ac:dyDescent="0.25">
      <c r="A400" s="14">
        <v>53478</v>
      </c>
      <c r="B400" s="10">
        <f>32.9544 * CHOOSE(CONTROL!$C$15, $E$9, 100%, $G$9) + CHOOSE(CONTROL!$C$38, 0.0256, 0)</f>
        <v>32.979999999999997</v>
      </c>
      <c r="C400" s="10">
        <f>30.3473 * CHOOSE(CONTROL!$C$15, $E$9, 100%, $G$9) + CHOOSE(CONTROL!$C$38, 0.0347, 0)</f>
        <v>30.382000000000001</v>
      </c>
      <c r="D400" s="10">
        <f>30.3395 * CHOOSE(CONTROL!$C$15, $E$9, 100%, $G$9) + CHOOSE(CONTROL!$C$38, 0.0347, 0)</f>
        <v>30.374200000000002</v>
      </c>
      <c r="E400" s="28">
        <f>32.7982 * CHOOSE(CONTROL!$C$15, $E$9, 100%, $G$9) + CHOOSE(CONTROL!$C$38, 0.0347, 0)</f>
        <v>32.832900000000002</v>
      </c>
      <c r="F400" s="27">
        <f>32.7982 * CHOOSE(CONTROL!$C$15, $E$9, 100%, $G$9) + CHOOSE(CONTROL!$C$38, 0.0256, 0)</f>
        <v>32.823799999999999</v>
      </c>
      <c r="G400" s="10">
        <f>30.3458 * CHOOSE(CONTROL!$C$15, $E$9, 100%, $G$9) + CHOOSE(CONTROL!$C$38, 0.0347, 0)</f>
        <v>30.380500000000001</v>
      </c>
      <c r="H400" s="10">
        <f>30.3458 * CHOOSE(CONTROL!$C$15, $E$9, 100%, $G$9) + CHOOSE(CONTROL!$C$38, 0.0347, 0)</f>
        <v>30.380500000000001</v>
      </c>
      <c r="I400" s="10">
        <f>30.3473 * CHOOSE(CONTROL!$C$15, $E$9, 100%, $G$9) + CHOOSE(CONTROL!$C$38, 0.0347, 0)</f>
        <v>30.382000000000001</v>
      </c>
      <c r="J400" s="26">
        <f>222.3423</f>
        <v>222.34229999999999</v>
      </c>
    </row>
    <row r="401" spans="1:10" ht="15.75" x14ac:dyDescent="0.25">
      <c r="A401" s="14">
        <v>53508</v>
      </c>
      <c r="B401" s="10">
        <f>32.5926 * CHOOSE(CONTROL!$C$15, $E$9, 100%, $G$9) + CHOOSE(CONTROL!$C$38, 0.0256, 0)</f>
        <v>32.618199999999995</v>
      </c>
      <c r="C401" s="10">
        <f>29.9855 * CHOOSE(CONTROL!$C$15, $E$9, 100%, $G$9) + CHOOSE(CONTROL!$C$38, 0.0347, 0)</f>
        <v>30.020199999999999</v>
      </c>
      <c r="D401" s="10">
        <f>29.9777 * CHOOSE(CONTROL!$C$15, $E$9, 100%, $G$9) + CHOOSE(CONTROL!$C$38, 0.0347, 0)</f>
        <v>30.0124</v>
      </c>
      <c r="E401" s="28">
        <f>32.4364 * CHOOSE(CONTROL!$C$15, $E$9, 100%, $G$9) + CHOOSE(CONTROL!$C$38, 0.0347, 0)</f>
        <v>32.4711</v>
      </c>
      <c r="F401" s="27">
        <f>32.4364 * CHOOSE(CONTROL!$C$15, $E$9, 100%, $G$9) + CHOOSE(CONTROL!$C$38, 0.0256, 0)</f>
        <v>32.461999999999996</v>
      </c>
      <c r="G401" s="10">
        <f>29.9839 * CHOOSE(CONTROL!$C$15, $E$9, 100%, $G$9) + CHOOSE(CONTROL!$C$38, 0.0347, 0)</f>
        <v>30.018599999999999</v>
      </c>
      <c r="H401" s="10">
        <f>29.9839 * CHOOSE(CONTROL!$C$15, $E$9, 100%, $G$9) + CHOOSE(CONTROL!$C$38, 0.0347, 0)</f>
        <v>30.018599999999999</v>
      </c>
      <c r="I401" s="10">
        <f>29.9855 * CHOOSE(CONTROL!$C$15, $E$9, 100%, $G$9) + CHOOSE(CONTROL!$C$38, 0.0347, 0)</f>
        <v>30.020199999999999</v>
      </c>
      <c r="J401" s="26">
        <f>225.5461</f>
        <v>225.5461</v>
      </c>
    </row>
    <row r="402" spans="1:10" ht="15.75" x14ac:dyDescent="0.25">
      <c r="A402" s="14">
        <v>53539</v>
      </c>
      <c r="B402" s="10">
        <f>32.3861 * CHOOSE(CONTROL!$C$15, $E$9, 100%, $G$9) + CHOOSE(CONTROL!$C$38, 0.0256, 0)</f>
        <v>32.411699999999996</v>
      </c>
      <c r="C402" s="10">
        <f>29.779 * CHOOSE(CONTROL!$C$15, $E$9, 100%, $G$9) + CHOOSE(CONTROL!$C$38, 0.0347, 0)</f>
        <v>29.813700000000001</v>
      </c>
      <c r="D402" s="10">
        <f>29.7712 * CHOOSE(CONTROL!$C$15, $E$9, 100%, $G$9) + CHOOSE(CONTROL!$C$38, 0.0347, 0)</f>
        <v>29.805900000000001</v>
      </c>
      <c r="E402" s="28">
        <f>32.2299 * CHOOSE(CONTROL!$C$15, $E$9, 100%, $G$9) + CHOOSE(CONTROL!$C$38, 0.0347, 0)</f>
        <v>32.264600000000002</v>
      </c>
      <c r="F402" s="27">
        <f>32.2299 * CHOOSE(CONTROL!$C$15, $E$9, 100%, $G$9) + CHOOSE(CONTROL!$C$38, 0.0256, 0)</f>
        <v>32.255499999999998</v>
      </c>
      <c r="G402" s="10">
        <f>29.7774 * CHOOSE(CONTROL!$C$15, $E$9, 100%, $G$9) + CHOOSE(CONTROL!$C$38, 0.0347, 0)</f>
        <v>29.812100000000001</v>
      </c>
      <c r="H402" s="10">
        <f>29.7774 * CHOOSE(CONTROL!$C$15, $E$9, 100%, $G$9) + CHOOSE(CONTROL!$C$38, 0.0347, 0)</f>
        <v>29.812100000000001</v>
      </c>
      <c r="I402" s="10">
        <f>29.779 * CHOOSE(CONTROL!$C$15, $E$9, 100%, $G$9) + CHOOSE(CONTROL!$C$38, 0.0347, 0)</f>
        <v>29.813700000000001</v>
      </c>
      <c r="J402" s="26">
        <f>224.4912</f>
        <v>224.49119999999999</v>
      </c>
    </row>
    <row r="403" spans="1:10" ht="15.75" x14ac:dyDescent="0.25">
      <c r="A403" s="14">
        <v>53570</v>
      </c>
      <c r="B403" s="10">
        <f>32.488 * CHOOSE(CONTROL!$C$15, $E$9, 100%, $G$9) + CHOOSE(CONTROL!$C$38, 0.0256, 0)</f>
        <v>32.513599999999997</v>
      </c>
      <c r="C403" s="10">
        <f>29.8809 * CHOOSE(CONTROL!$C$15, $E$9, 100%, $G$9) + CHOOSE(CONTROL!$C$38, 0.0347, 0)</f>
        <v>29.915600000000001</v>
      </c>
      <c r="D403" s="10">
        <f>29.8731 * CHOOSE(CONTROL!$C$15, $E$9, 100%, $G$9) + CHOOSE(CONTROL!$C$38, 0.0347, 0)</f>
        <v>29.907800000000002</v>
      </c>
      <c r="E403" s="28">
        <f>32.3318 * CHOOSE(CONTROL!$C$15, $E$9, 100%, $G$9) + CHOOSE(CONTROL!$C$38, 0.0347, 0)</f>
        <v>32.366500000000002</v>
      </c>
      <c r="F403" s="27">
        <f>32.3318 * CHOOSE(CONTROL!$C$15, $E$9, 100%, $G$9) + CHOOSE(CONTROL!$C$38, 0.0256, 0)</f>
        <v>32.357399999999998</v>
      </c>
      <c r="G403" s="10">
        <f>29.8793 * CHOOSE(CONTROL!$C$15, $E$9, 100%, $G$9) + CHOOSE(CONTROL!$C$38, 0.0347, 0)</f>
        <v>29.914000000000001</v>
      </c>
      <c r="H403" s="10">
        <f>29.8793 * CHOOSE(CONTROL!$C$15, $E$9, 100%, $G$9) + CHOOSE(CONTROL!$C$38, 0.0347, 0)</f>
        <v>29.914000000000001</v>
      </c>
      <c r="I403" s="10">
        <f>29.8809 * CHOOSE(CONTROL!$C$15, $E$9, 100%, $G$9) + CHOOSE(CONTROL!$C$38, 0.0347, 0)</f>
        <v>29.915600000000001</v>
      </c>
      <c r="J403" s="26">
        <f>219.2652</f>
        <v>219.26519999999999</v>
      </c>
    </row>
    <row r="404" spans="1:10" ht="15.75" x14ac:dyDescent="0.25">
      <c r="A404" s="14">
        <v>53600</v>
      </c>
      <c r="B404" s="10">
        <f>32.7648 * CHOOSE(CONTROL!$C$15, $E$9, 100%, $G$9) + CHOOSE(CONTROL!$C$38, 0.0256, 0)</f>
        <v>32.790399999999998</v>
      </c>
      <c r="C404" s="10">
        <f>30.1577 * CHOOSE(CONTROL!$C$15, $E$9, 100%, $G$9) + CHOOSE(CONTROL!$C$38, 0.0347, 0)</f>
        <v>30.192399999999999</v>
      </c>
      <c r="D404" s="10">
        <f>30.1499 * CHOOSE(CONTROL!$C$15, $E$9, 100%, $G$9) + CHOOSE(CONTROL!$C$38, 0.0347, 0)</f>
        <v>30.1846</v>
      </c>
      <c r="E404" s="28">
        <f>32.6086 * CHOOSE(CONTROL!$C$15, $E$9, 100%, $G$9) + CHOOSE(CONTROL!$C$38, 0.0347, 0)</f>
        <v>32.643300000000004</v>
      </c>
      <c r="F404" s="27">
        <f>32.6086 * CHOOSE(CONTROL!$C$15, $E$9, 100%, $G$9) + CHOOSE(CONTROL!$C$38, 0.0256, 0)</f>
        <v>32.6342</v>
      </c>
      <c r="G404" s="10">
        <f>30.1561 * CHOOSE(CONTROL!$C$15, $E$9, 100%, $G$9) + CHOOSE(CONTROL!$C$38, 0.0347, 0)</f>
        <v>30.190799999999999</v>
      </c>
      <c r="H404" s="10">
        <f>30.1561 * CHOOSE(CONTROL!$C$15, $E$9, 100%, $G$9) + CHOOSE(CONTROL!$C$38, 0.0347, 0)</f>
        <v>30.190799999999999</v>
      </c>
      <c r="I404" s="10">
        <f>30.1577 * CHOOSE(CONTROL!$C$15, $E$9, 100%, $G$9) + CHOOSE(CONTROL!$C$38, 0.0347, 0)</f>
        <v>30.192399999999999</v>
      </c>
      <c r="J404" s="26">
        <f>211.9772</f>
        <v>211.97720000000001</v>
      </c>
    </row>
    <row r="405" spans="1:10" ht="15.75" x14ac:dyDescent="0.25">
      <c r="A405" s="14">
        <v>53631</v>
      </c>
      <c r="B405" s="10">
        <f>32.9967 * CHOOSE(CONTROL!$C$15, $E$9, 100%, $G$9) + CHOOSE(CONTROL!$C$38, 0.0256, 0)</f>
        <v>33.022299999999994</v>
      </c>
      <c r="C405" s="10">
        <f>30.3895 * CHOOSE(CONTROL!$C$15, $E$9, 100%, $G$9) + CHOOSE(CONTROL!$C$38, 0.0347, 0)</f>
        <v>30.424200000000003</v>
      </c>
      <c r="D405" s="10">
        <f>30.3817 * CHOOSE(CONTROL!$C$15, $E$9, 100%, $G$9) + CHOOSE(CONTROL!$C$38, 0.0347, 0)</f>
        <v>30.416399999999999</v>
      </c>
      <c r="E405" s="28">
        <f>32.8404 * CHOOSE(CONTROL!$C$15, $E$9, 100%, $G$9) + CHOOSE(CONTROL!$C$38, 0.0347, 0)</f>
        <v>32.875100000000003</v>
      </c>
      <c r="F405" s="27">
        <f>32.8404 * CHOOSE(CONTROL!$C$15, $E$9, 100%, $G$9) + CHOOSE(CONTROL!$C$38, 0.0256, 0)</f>
        <v>32.866</v>
      </c>
      <c r="G405" s="10">
        <f>30.388 * CHOOSE(CONTROL!$C$15, $E$9, 100%, $G$9) + CHOOSE(CONTROL!$C$38, 0.0347, 0)</f>
        <v>30.422700000000003</v>
      </c>
      <c r="H405" s="10">
        <f>30.388 * CHOOSE(CONTROL!$C$15, $E$9, 100%, $G$9) + CHOOSE(CONTROL!$C$38, 0.0347, 0)</f>
        <v>30.422700000000003</v>
      </c>
      <c r="I405" s="10">
        <f>30.3895 * CHOOSE(CONTROL!$C$15, $E$9, 100%, $G$9) + CHOOSE(CONTROL!$C$38, 0.0347, 0)</f>
        <v>30.424200000000003</v>
      </c>
      <c r="J405" s="26">
        <f>204.6468</f>
        <v>204.64680000000001</v>
      </c>
    </row>
    <row r="406" spans="1:10" ht="15.75" x14ac:dyDescent="0.25">
      <c r="A406" s="14">
        <v>53661</v>
      </c>
      <c r="B406" s="10">
        <f>33.1901 * CHOOSE(CONTROL!$C$15, $E$9, 100%, $G$9) + CHOOSE(CONTROL!$C$38, 0.0256, 0)</f>
        <v>33.215699999999998</v>
      </c>
      <c r="C406" s="10">
        <f>30.583 * CHOOSE(CONTROL!$C$15, $E$9, 100%, $G$9) + CHOOSE(CONTROL!$C$38, 0.0347, 0)</f>
        <v>30.617699999999999</v>
      </c>
      <c r="D406" s="10">
        <f>30.5752 * CHOOSE(CONTROL!$C$15, $E$9, 100%, $G$9) + CHOOSE(CONTROL!$C$38, 0.0347, 0)</f>
        <v>30.6099</v>
      </c>
      <c r="E406" s="28">
        <f>33.0338 * CHOOSE(CONTROL!$C$15, $E$9, 100%, $G$9) + CHOOSE(CONTROL!$C$38, 0.0347, 0)</f>
        <v>33.0685</v>
      </c>
      <c r="F406" s="27">
        <f>33.0338 * CHOOSE(CONTROL!$C$15, $E$9, 100%, $G$9) + CHOOSE(CONTROL!$C$38, 0.0256, 0)</f>
        <v>33.059399999999997</v>
      </c>
      <c r="G406" s="10">
        <f>30.5814 * CHOOSE(CONTROL!$C$15, $E$9, 100%, $G$9) + CHOOSE(CONTROL!$C$38, 0.0347, 0)</f>
        <v>30.616099999999999</v>
      </c>
      <c r="H406" s="10">
        <f>30.5814 * CHOOSE(CONTROL!$C$15, $E$9, 100%, $G$9) + CHOOSE(CONTROL!$C$38, 0.0347, 0)</f>
        <v>30.616099999999999</v>
      </c>
      <c r="I406" s="10">
        <f>30.583 * CHOOSE(CONTROL!$C$15, $E$9, 100%, $G$9) + CHOOSE(CONTROL!$C$38, 0.0347, 0)</f>
        <v>30.617699999999999</v>
      </c>
      <c r="J406" s="26">
        <f>203.1886</f>
        <v>203.18860000000001</v>
      </c>
    </row>
    <row r="407" spans="1:10" ht="15.75" x14ac:dyDescent="0.25">
      <c r="A407" s="14">
        <v>53692</v>
      </c>
      <c r="B407" s="10">
        <f>33.7862 * CHOOSE(CONTROL!$C$15, $E$9, 100%, $G$9) + CHOOSE(CONTROL!$C$38, 0.0256, 0)</f>
        <v>33.811799999999998</v>
      </c>
      <c r="C407" s="10">
        <f>31.179 * CHOOSE(CONTROL!$C$15, $E$9, 100%, $G$9) + CHOOSE(CONTROL!$C$38, 0.0347, 0)</f>
        <v>31.213699999999999</v>
      </c>
      <c r="D407" s="10">
        <f>31.1712 * CHOOSE(CONTROL!$C$15, $E$9, 100%, $G$9) + CHOOSE(CONTROL!$C$38, 0.0347, 0)</f>
        <v>31.2059</v>
      </c>
      <c r="E407" s="28">
        <f>33.6299 * CHOOSE(CONTROL!$C$15, $E$9, 100%, $G$9) + CHOOSE(CONTROL!$C$38, 0.0347, 0)</f>
        <v>33.6646</v>
      </c>
      <c r="F407" s="27">
        <f>33.6299 * CHOOSE(CONTROL!$C$15, $E$9, 100%, $G$9) + CHOOSE(CONTROL!$C$38, 0.0256, 0)</f>
        <v>33.655499999999996</v>
      </c>
      <c r="G407" s="10">
        <f>31.1775 * CHOOSE(CONTROL!$C$15, $E$9, 100%, $G$9) + CHOOSE(CONTROL!$C$38, 0.0347, 0)</f>
        <v>31.212199999999999</v>
      </c>
      <c r="H407" s="10">
        <f>31.1775 * CHOOSE(CONTROL!$C$15, $E$9, 100%, $G$9) + CHOOSE(CONTROL!$C$38, 0.0347, 0)</f>
        <v>31.212199999999999</v>
      </c>
      <c r="I407" s="10">
        <f>31.179 * CHOOSE(CONTROL!$C$15, $E$9, 100%, $G$9) + CHOOSE(CONTROL!$C$38, 0.0347, 0)</f>
        <v>31.213699999999999</v>
      </c>
      <c r="J407" s="26">
        <f>197.159</f>
        <v>197.15899999999999</v>
      </c>
    </row>
    <row r="408" spans="1:10" ht="15.75" x14ac:dyDescent="0.25">
      <c r="A408" s="14">
        <v>53723</v>
      </c>
      <c r="B408" s="10">
        <f>34.8331 * CHOOSE(CONTROL!$C$15, $E$9, 100%, $G$9) + CHOOSE(CONTROL!$C$38, 0.0256, 0)</f>
        <v>34.858699999999999</v>
      </c>
      <c r="C408" s="10">
        <f>32.1826 * CHOOSE(CONTROL!$C$15, $E$9, 100%, $G$9) + CHOOSE(CONTROL!$C$38, 0.0347, 0)</f>
        <v>32.217300000000002</v>
      </c>
      <c r="D408" s="10">
        <f>32.1748 * CHOOSE(CONTROL!$C$15, $E$9, 100%, $G$9) + CHOOSE(CONTROL!$C$38, 0.0347, 0)</f>
        <v>32.209499999999998</v>
      </c>
      <c r="E408" s="28">
        <f>34.6768 * CHOOSE(CONTROL!$C$15, $E$9, 100%, $G$9) + CHOOSE(CONTROL!$C$38, 0.0347, 0)</f>
        <v>34.711500000000001</v>
      </c>
      <c r="F408" s="27">
        <f>34.6768 * CHOOSE(CONTROL!$C$15, $E$9, 100%, $G$9) + CHOOSE(CONTROL!$C$38, 0.0256, 0)</f>
        <v>34.702399999999997</v>
      </c>
      <c r="G408" s="10">
        <f>32.1811 * CHOOSE(CONTROL!$C$15, $E$9, 100%, $G$9) + CHOOSE(CONTROL!$C$38, 0.0347, 0)</f>
        <v>32.215800000000002</v>
      </c>
      <c r="H408" s="10">
        <f>32.1811 * CHOOSE(CONTROL!$C$15, $E$9, 100%, $G$9) + CHOOSE(CONTROL!$C$38, 0.0347, 0)</f>
        <v>32.215800000000002</v>
      </c>
      <c r="I408" s="10">
        <f>32.1826 * CHOOSE(CONTROL!$C$15, $E$9, 100%, $G$9) + CHOOSE(CONTROL!$C$38, 0.0347, 0)</f>
        <v>32.217300000000002</v>
      </c>
      <c r="J408" s="26">
        <f>195.8383</f>
        <v>195.8383</v>
      </c>
    </row>
    <row r="409" spans="1:10" ht="15.75" x14ac:dyDescent="0.25">
      <c r="A409" s="14">
        <v>53751</v>
      </c>
      <c r="B409" s="10">
        <f>35.0538 * CHOOSE(CONTROL!$C$15, $E$9, 100%, $G$9) + CHOOSE(CONTROL!$C$38, 0.0256, 0)</f>
        <v>35.0794</v>
      </c>
      <c r="C409" s="10">
        <f>32.4034 * CHOOSE(CONTROL!$C$15, $E$9, 100%, $G$9) + CHOOSE(CONTROL!$C$38, 0.0347, 0)</f>
        <v>32.438099999999999</v>
      </c>
      <c r="D409" s="10">
        <f>32.3956 * CHOOSE(CONTROL!$C$15, $E$9, 100%, $G$9) + CHOOSE(CONTROL!$C$38, 0.0347, 0)</f>
        <v>32.430300000000003</v>
      </c>
      <c r="E409" s="28">
        <f>34.8976 * CHOOSE(CONTROL!$C$15, $E$9, 100%, $G$9) + CHOOSE(CONTROL!$C$38, 0.0347, 0)</f>
        <v>34.932299999999998</v>
      </c>
      <c r="F409" s="27">
        <f>34.8976 * CHOOSE(CONTROL!$C$15, $E$9, 100%, $G$9) + CHOOSE(CONTROL!$C$38, 0.0256, 0)</f>
        <v>34.923199999999994</v>
      </c>
      <c r="G409" s="10">
        <f>32.4018 * CHOOSE(CONTROL!$C$15, $E$9, 100%, $G$9) + CHOOSE(CONTROL!$C$38, 0.0347, 0)</f>
        <v>32.436500000000002</v>
      </c>
      <c r="H409" s="10">
        <f>32.4018 * CHOOSE(CONTROL!$C$15, $E$9, 100%, $G$9) + CHOOSE(CONTROL!$C$38, 0.0347, 0)</f>
        <v>32.436500000000002</v>
      </c>
      <c r="I409" s="10">
        <f>32.4034 * CHOOSE(CONTROL!$C$15, $E$9, 100%, $G$9) + CHOOSE(CONTROL!$C$38, 0.0347, 0)</f>
        <v>32.438099999999999</v>
      </c>
      <c r="J409" s="26">
        <f>195.294</f>
        <v>195.29400000000001</v>
      </c>
    </row>
    <row r="410" spans="1:10" ht="15.75" x14ac:dyDescent="0.25">
      <c r="A410" s="14">
        <v>53782</v>
      </c>
      <c r="B410" s="10">
        <f>34.5428 * CHOOSE(CONTROL!$C$15, $E$9, 100%, $G$9) + CHOOSE(CONTROL!$C$38, 0.0256, 0)</f>
        <v>34.568399999999997</v>
      </c>
      <c r="C410" s="10">
        <f>31.8924 * CHOOSE(CONTROL!$C$15, $E$9, 100%, $G$9) + CHOOSE(CONTROL!$C$38, 0.0347, 0)</f>
        <v>31.927099999999999</v>
      </c>
      <c r="D410" s="10">
        <f>31.8846 * CHOOSE(CONTROL!$C$15, $E$9, 100%, $G$9) + CHOOSE(CONTROL!$C$38, 0.0347, 0)</f>
        <v>31.9193</v>
      </c>
      <c r="E410" s="28">
        <f>34.3865 * CHOOSE(CONTROL!$C$15, $E$9, 100%, $G$9) + CHOOSE(CONTROL!$C$38, 0.0347, 0)</f>
        <v>34.421199999999999</v>
      </c>
      <c r="F410" s="27">
        <f>34.3865 * CHOOSE(CONTROL!$C$15, $E$9, 100%, $G$9) + CHOOSE(CONTROL!$C$38, 0.0256, 0)</f>
        <v>34.412099999999995</v>
      </c>
      <c r="G410" s="10">
        <f>31.8908 * CHOOSE(CONTROL!$C$15, $E$9, 100%, $G$9) + CHOOSE(CONTROL!$C$38, 0.0347, 0)</f>
        <v>31.9255</v>
      </c>
      <c r="H410" s="10">
        <f>31.8908 * CHOOSE(CONTROL!$C$15, $E$9, 100%, $G$9) + CHOOSE(CONTROL!$C$38, 0.0347, 0)</f>
        <v>31.9255</v>
      </c>
      <c r="I410" s="10">
        <f>31.8924 * CHOOSE(CONTROL!$C$15, $E$9, 100%, $G$9) + CHOOSE(CONTROL!$C$38, 0.0347, 0)</f>
        <v>31.927099999999999</v>
      </c>
      <c r="J410" s="26">
        <f>205.5871</f>
        <v>205.58709999999999</v>
      </c>
    </row>
    <row r="411" spans="1:10" ht="15.75" x14ac:dyDescent="0.25">
      <c r="A411" s="14">
        <v>53812</v>
      </c>
      <c r="B411" s="10">
        <f>34.0476 * CHOOSE(CONTROL!$C$15, $E$9, 100%, $G$9) + CHOOSE(CONTROL!$C$38, 0.0256, 0)</f>
        <v>34.0732</v>
      </c>
      <c r="C411" s="10">
        <f>31.3972 * CHOOSE(CONTROL!$C$15, $E$9, 100%, $G$9) + CHOOSE(CONTROL!$C$38, 0.0347, 0)</f>
        <v>31.431900000000002</v>
      </c>
      <c r="D411" s="10">
        <f>31.3894 * CHOOSE(CONTROL!$C$15, $E$9, 100%, $G$9) + CHOOSE(CONTROL!$C$38, 0.0347, 0)</f>
        <v>31.424099999999999</v>
      </c>
      <c r="E411" s="28">
        <f>33.8914 * CHOOSE(CONTROL!$C$15, $E$9, 100%, $G$9) + CHOOSE(CONTROL!$C$38, 0.0347, 0)</f>
        <v>33.926099999999998</v>
      </c>
      <c r="F411" s="27">
        <f>33.8914 * CHOOSE(CONTROL!$C$15, $E$9, 100%, $G$9) + CHOOSE(CONTROL!$C$38, 0.0256, 0)</f>
        <v>33.916999999999994</v>
      </c>
      <c r="G411" s="10">
        <f>31.3956 * CHOOSE(CONTROL!$C$15, $E$9, 100%, $G$9) + CHOOSE(CONTROL!$C$38, 0.0347, 0)</f>
        <v>31.430300000000003</v>
      </c>
      <c r="H411" s="10">
        <f>31.3956 * CHOOSE(CONTROL!$C$15, $E$9, 100%, $G$9) + CHOOSE(CONTROL!$C$38, 0.0347, 0)</f>
        <v>31.430300000000003</v>
      </c>
      <c r="I411" s="10">
        <f>31.3972 * CHOOSE(CONTROL!$C$15, $E$9, 100%, $G$9) + CHOOSE(CONTROL!$C$38, 0.0347, 0)</f>
        <v>31.431900000000002</v>
      </c>
      <c r="J411" s="26">
        <f>218.9348</f>
        <v>218.9348</v>
      </c>
    </row>
    <row r="412" spans="1:10" ht="15.75" x14ac:dyDescent="0.25">
      <c r="A412" s="14">
        <v>53843</v>
      </c>
      <c r="B412" s="10">
        <f>33.5315 * CHOOSE(CONTROL!$C$15, $E$9, 100%, $G$9) + CHOOSE(CONTROL!$C$38, 0.0256, 0)</f>
        <v>33.557099999999998</v>
      </c>
      <c r="C412" s="10">
        <f>30.8811 * CHOOSE(CONTROL!$C$15, $E$9, 100%, $G$9) + CHOOSE(CONTROL!$C$38, 0.0347, 0)</f>
        <v>30.915800000000001</v>
      </c>
      <c r="D412" s="10">
        <f>30.8733 * CHOOSE(CONTROL!$C$15, $E$9, 100%, $G$9) + CHOOSE(CONTROL!$C$38, 0.0347, 0)</f>
        <v>30.908000000000001</v>
      </c>
      <c r="E412" s="28">
        <f>33.3752 * CHOOSE(CONTROL!$C$15, $E$9, 100%, $G$9) + CHOOSE(CONTROL!$C$38, 0.0347, 0)</f>
        <v>33.4099</v>
      </c>
      <c r="F412" s="27">
        <f>33.3752 * CHOOSE(CONTROL!$C$15, $E$9, 100%, $G$9) + CHOOSE(CONTROL!$C$38, 0.0256, 0)</f>
        <v>33.400799999999997</v>
      </c>
      <c r="G412" s="10">
        <f>30.8795 * CHOOSE(CONTROL!$C$15, $E$9, 100%, $G$9) + CHOOSE(CONTROL!$C$38, 0.0347, 0)</f>
        <v>30.914200000000001</v>
      </c>
      <c r="H412" s="10">
        <f>30.8795 * CHOOSE(CONTROL!$C$15, $E$9, 100%, $G$9) + CHOOSE(CONTROL!$C$38, 0.0347, 0)</f>
        <v>30.914200000000001</v>
      </c>
      <c r="I412" s="10">
        <f>30.8811 * CHOOSE(CONTROL!$C$15, $E$9, 100%, $G$9) + CHOOSE(CONTROL!$C$38, 0.0347, 0)</f>
        <v>30.915800000000001</v>
      </c>
      <c r="J412" s="26">
        <f>226.2818</f>
        <v>226.2818</v>
      </c>
    </row>
    <row r="413" spans="1:10" ht="15.75" x14ac:dyDescent="0.25">
      <c r="A413" s="14">
        <v>53873</v>
      </c>
      <c r="B413" s="10">
        <f>33.1697 * CHOOSE(CONTROL!$C$15, $E$9, 100%, $G$9) + CHOOSE(CONTROL!$C$38, 0.0256, 0)</f>
        <v>33.195299999999996</v>
      </c>
      <c r="C413" s="10">
        <f>30.5192 * CHOOSE(CONTROL!$C$15, $E$9, 100%, $G$9) + CHOOSE(CONTROL!$C$38, 0.0347, 0)</f>
        <v>30.553900000000002</v>
      </c>
      <c r="D413" s="10">
        <f>30.5114 * CHOOSE(CONTROL!$C$15, $E$9, 100%, $G$9) + CHOOSE(CONTROL!$C$38, 0.0347, 0)</f>
        <v>30.546099999999999</v>
      </c>
      <c r="E413" s="28">
        <f>33.0134 * CHOOSE(CONTROL!$C$15, $E$9, 100%, $G$9) + CHOOSE(CONTROL!$C$38, 0.0347, 0)</f>
        <v>33.048099999999998</v>
      </c>
      <c r="F413" s="27">
        <f>33.0134 * CHOOSE(CONTROL!$C$15, $E$9, 100%, $G$9) + CHOOSE(CONTROL!$C$38, 0.0256, 0)</f>
        <v>33.038999999999994</v>
      </c>
      <c r="G413" s="10">
        <f>30.5177 * CHOOSE(CONTROL!$C$15, $E$9, 100%, $G$9) + CHOOSE(CONTROL!$C$38, 0.0347, 0)</f>
        <v>30.552400000000002</v>
      </c>
      <c r="H413" s="10">
        <f>30.5177 * CHOOSE(CONTROL!$C$15, $E$9, 100%, $G$9) + CHOOSE(CONTROL!$C$38, 0.0347, 0)</f>
        <v>30.552400000000002</v>
      </c>
      <c r="I413" s="10">
        <f>30.5192 * CHOOSE(CONTROL!$C$15, $E$9, 100%, $G$9) + CHOOSE(CONTROL!$C$38, 0.0347, 0)</f>
        <v>30.553900000000002</v>
      </c>
      <c r="J413" s="26">
        <f>229.5423</f>
        <v>229.54230000000001</v>
      </c>
    </row>
    <row r="414" spans="1:10" ht="15.75" x14ac:dyDescent="0.25">
      <c r="A414" s="14">
        <v>53904</v>
      </c>
      <c r="B414" s="10">
        <f>32.9632 * CHOOSE(CONTROL!$C$15, $E$9, 100%, $G$9) + CHOOSE(CONTROL!$C$38, 0.0256, 0)</f>
        <v>32.988799999999998</v>
      </c>
      <c r="C414" s="10">
        <f>30.3127 * CHOOSE(CONTROL!$C$15, $E$9, 100%, $G$9) + CHOOSE(CONTROL!$C$38, 0.0347, 0)</f>
        <v>30.3474</v>
      </c>
      <c r="D414" s="10">
        <f>30.3049 * CHOOSE(CONTROL!$C$15, $E$9, 100%, $G$9) + CHOOSE(CONTROL!$C$38, 0.0347, 0)</f>
        <v>30.339600000000001</v>
      </c>
      <c r="E414" s="28">
        <f>32.8069 * CHOOSE(CONTROL!$C$15, $E$9, 100%, $G$9) + CHOOSE(CONTROL!$C$38, 0.0347, 0)</f>
        <v>32.8416</v>
      </c>
      <c r="F414" s="27">
        <f>32.8069 * CHOOSE(CONTROL!$C$15, $E$9, 100%, $G$9) + CHOOSE(CONTROL!$C$38, 0.0256, 0)</f>
        <v>32.832499999999996</v>
      </c>
      <c r="G414" s="10">
        <f>30.3112 * CHOOSE(CONTROL!$C$15, $E$9, 100%, $G$9) + CHOOSE(CONTROL!$C$38, 0.0347, 0)</f>
        <v>30.3459</v>
      </c>
      <c r="H414" s="10">
        <f>30.3112 * CHOOSE(CONTROL!$C$15, $E$9, 100%, $G$9) + CHOOSE(CONTROL!$C$38, 0.0347, 0)</f>
        <v>30.3459</v>
      </c>
      <c r="I414" s="10">
        <f>30.3127 * CHOOSE(CONTROL!$C$15, $E$9, 100%, $G$9) + CHOOSE(CONTROL!$C$38, 0.0347, 0)</f>
        <v>30.3474</v>
      </c>
      <c r="J414" s="26">
        <f>228.4688</f>
        <v>228.46879999999999</v>
      </c>
    </row>
    <row r="415" spans="1:10" ht="15.75" x14ac:dyDescent="0.25">
      <c r="A415" s="14">
        <v>53935</v>
      </c>
      <c r="B415" s="10">
        <f>33.0651 * CHOOSE(CONTROL!$C$15, $E$9, 100%, $G$9) + CHOOSE(CONTROL!$C$38, 0.0256, 0)</f>
        <v>33.090699999999998</v>
      </c>
      <c r="C415" s="10">
        <f>30.4147 * CHOOSE(CONTROL!$C$15, $E$9, 100%, $G$9) + CHOOSE(CONTROL!$C$38, 0.0347, 0)</f>
        <v>30.449400000000001</v>
      </c>
      <c r="D415" s="10">
        <f>30.4068 * CHOOSE(CONTROL!$C$15, $E$9, 100%, $G$9) + CHOOSE(CONTROL!$C$38, 0.0347, 0)</f>
        <v>30.441500000000001</v>
      </c>
      <c r="E415" s="28">
        <f>32.9088 * CHOOSE(CONTROL!$C$15, $E$9, 100%, $G$9) + CHOOSE(CONTROL!$C$38, 0.0347, 0)</f>
        <v>32.9435</v>
      </c>
      <c r="F415" s="27">
        <f>32.9088 * CHOOSE(CONTROL!$C$15, $E$9, 100%, $G$9) + CHOOSE(CONTROL!$C$38, 0.0256, 0)</f>
        <v>32.934399999999997</v>
      </c>
      <c r="G415" s="10">
        <f>30.4131 * CHOOSE(CONTROL!$C$15, $E$9, 100%, $G$9) + CHOOSE(CONTROL!$C$38, 0.0347, 0)</f>
        <v>30.447800000000001</v>
      </c>
      <c r="H415" s="10">
        <f>30.4131 * CHOOSE(CONTROL!$C$15, $E$9, 100%, $G$9) + CHOOSE(CONTROL!$C$38, 0.0347, 0)</f>
        <v>30.447800000000001</v>
      </c>
      <c r="I415" s="10">
        <f>30.4147 * CHOOSE(CONTROL!$C$15, $E$9, 100%, $G$9) + CHOOSE(CONTROL!$C$38, 0.0347, 0)</f>
        <v>30.449400000000001</v>
      </c>
      <c r="J415" s="26">
        <f>223.1502</f>
        <v>223.15020000000001</v>
      </c>
    </row>
    <row r="416" spans="1:10" ht="15.75" x14ac:dyDescent="0.25">
      <c r="A416" s="14">
        <v>53965</v>
      </c>
      <c r="B416" s="10">
        <f>33.3419 * CHOOSE(CONTROL!$C$15, $E$9, 100%, $G$9) + CHOOSE(CONTROL!$C$38, 0.0256, 0)</f>
        <v>33.3675</v>
      </c>
      <c r="C416" s="10">
        <f>30.6915 * CHOOSE(CONTROL!$C$15, $E$9, 100%, $G$9) + CHOOSE(CONTROL!$C$38, 0.0347, 0)</f>
        <v>30.726200000000002</v>
      </c>
      <c r="D416" s="10">
        <f>30.6836 * CHOOSE(CONTROL!$C$15, $E$9, 100%, $G$9) + CHOOSE(CONTROL!$C$38, 0.0347, 0)</f>
        <v>30.718299999999999</v>
      </c>
      <c r="E416" s="28">
        <f>33.1856 * CHOOSE(CONTROL!$C$15, $E$9, 100%, $G$9) + CHOOSE(CONTROL!$C$38, 0.0347, 0)</f>
        <v>33.220300000000002</v>
      </c>
      <c r="F416" s="27">
        <f>33.1856 * CHOOSE(CONTROL!$C$15, $E$9, 100%, $G$9) + CHOOSE(CONTROL!$C$38, 0.0256, 0)</f>
        <v>33.211199999999998</v>
      </c>
      <c r="G416" s="10">
        <f>30.6899 * CHOOSE(CONTROL!$C$15, $E$9, 100%, $G$9) + CHOOSE(CONTROL!$C$38, 0.0347, 0)</f>
        <v>30.724600000000002</v>
      </c>
      <c r="H416" s="10">
        <f>30.6899 * CHOOSE(CONTROL!$C$15, $E$9, 100%, $G$9) + CHOOSE(CONTROL!$C$38, 0.0347, 0)</f>
        <v>30.724600000000002</v>
      </c>
      <c r="I416" s="10">
        <f>30.6915 * CHOOSE(CONTROL!$C$15, $E$9, 100%, $G$9) + CHOOSE(CONTROL!$C$38, 0.0347, 0)</f>
        <v>30.726200000000002</v>
      </c>
      <c r="J416" s="26">
        <f>215.733</f>
        <v>215.733</v>
      </c>
    </row>
    <row r="417" spans="1:10" ht="15.75" x14ac:dyDescent="0.25">
      <c r="A417" s="14">
        <v>53996</v>
      </c>
      <c r="B417" s="10">
        <f>33.5737 * CHOOSE(CONTROL!$C$15, $E$9, 100%, $G$9) + CHOOSE(CONTROL!$C$38, 0.0256, 0)</f>
        <v>33.599299999999999</v>
      </c>
      <c r="C417" s="10">
        <f>30.9233 * CHOOSE(CONTROL!$C$15, $E$9, 100%, $G$9) + CHOOSE(CONTROL!$C$38, 0.0347, 0)</f>
        <v>30.958000000000002</v>
      </c>
      <c r="D417" s="10">
        <f>30.9155 * CHOOSE(CONTROL!$C$15, $E$9, 100%, $G$9) + CHOOSE(CONTROL!$C$38, 0.0347, 0)</f>
        <v>30.950200000000002</v>
      </c>
      <c r="E417" s="28">
        <f>33.4175 * CHOOSE(CONTROL!$C$15, $E$9, 100%, $G$9) + CHOOSE(CONTROL!$C$38, 0.0347, 0)</f>
        <v>33.452199999999998</v>
      </c>
      <c r="F417" s="27">
        <f>33.4175 * CHOOSE(CONTROL!$C$15, $E$9, 100%, $G$9) + CHOOSE(CONTROL!$C$38, 0.0256, 0)</f>
        <v>33.443099999999994</v>
      </c>
      <c r="G417" s="10">
        <f>30.9217 * CHOOSE(CONTROL!$C$15, $E$9, 100%, $G$9) + CHOOSE(CONTROL!$C$38, 0.0347, 0)</f>
        <v>30.956400000000002</v>
      </c>
      <c r="H417" s="10">
        <f>30.9217 * CHOOSE(CONTROL!$C$15, $E$9, 100%, $G$9) + CHOOSE(CONTROL!$C$38, 0.0347, 0)</f>
        <v>30.956400000000002</v>
      </c>
      <c r="I417" s="10">
        <f>30.9233 * CHOOSE(CONTROL!$C$15, $E$9, 100%, $G$9) + CHOOSE(CONTROL!$C$38, 0.0347, 0)</f>
        <v>30.958000000000002</v>
      </c>
      <c r="J417" s="26">
        <f>208.2728</f>
        <v>208.27279999999999</v>
      </c>
    </row>
    <row r="418" spans="1:10" ht="15.75" x14ac:dyDescent="0.25">
      <c r="A418" s="14">
        <v>54026</v>
      </c>
      <c r="B418" s="10">
        <f>33.7671 * CHOOSE(CONTROL!$C$15, $E$9, 100%, $G$9) + CHOOSE(CONTROL!$C$38, 0.0256, 0)</f>
        <v>33.792699999999996</v>
      </c>
      <c r="C418" s="10">
        <f>31.1167 * CHOOSE(CONTROL!$C$15, $E$9, 100%, $G$9) + CHOOSE(CONTROL!$C$38, 0.0347, 0)</f>
        <v>31.151400000000002</v>
      </c>
      <c r="D418" s="10">
        <f>31.1089 * CHOOSE(CONTROL!$C$15, $E$9, 100%, $G$9) + CHOOSE(CONTROL!$C$38, 0.0347, 0)</f>
        <v>31.143599999999999</v>
      </c>
      <c r="E418" s="28">
        <f>33.6109 * CHOOSE(CONTROL!$C$15, $E$9, 100%, $G$9) + CHOOSE(CONTROL!$C$38, 0.0347, 0)</f>
        <v>33.645600000000002</v>
      </c>
      <c r="F418" s="27">
        <f>33.6109 * CHOOSE(CONTROL!$C$15, $E$9, 100%, $G$9) + CHOOSE(CONTROL!$C$38, 0.0256, 0)</f>
        <v>33.636499999999998</v>
      </c>
      <c r="G418" s="10">
        <f>31.1152 * CHOOSE(CONTROL!$C$15, $E$9, 100%, $G$9) + CHOOSE(CONTROL!$C$38, 0.0347, 0)</f>
        <v>31.149900000000002</v>
      </c>
      <c r="H418" s="10">
        <f>31.1152 * CHOOSE(CONTROL!$C$15, $E$9, 100%, $G$9) + CHOOSE(CONTROL!$C$38, 0.0347, 0)</f>
        <v>31.149900000000002</v>
      </c>
      <c r="I418" s="10">
        <f>31.1167 * CHOOSE(CONTROL!$C$15, $E$9, 100%, $G$9) + CHOOSE(CONTROL!$C$38, 0.0347, 0)</f>
        <v>31.151400000000002</v>
      </c>
      <c r="J418" s="26">
        <f>206.7888</f>
        <v>206.78880000000001</v>
      </c>
    </row>
    <row r="419" spans="1:10" ht="15.75" x14ac:dyDescent="0.25">
      <c r="A419" s="14">
        <v>54057</v>
      </c>
      <c r="B419" s="10">
        <f>34.3632 * CHOOSE(CONTROL!$C$15, $E$9, 100%, $G$9) + CHOOSE(CONTROL!$C$38, 0.0256, 0)</f>
        <v>34.388799999999996</v>
      </c>
      <c r="C419" s="10">
        <f>31.7128 * CHOOSE(CONTROL!$C$15, $E$9, 100%, $G$9) + CHOOSE(CONTROL!$C$38, 0.0347, 0)</f>
        <v>31.747500000000002</v>
      </c>
      <c r="D419" s="10">
        <f>31.705 * CHOOSE(CONTROL!$C$15, $E$9, 100%, $G$9) + CHOOSE(CONTROL!$C$38, 0.0347, 0)</f>
        <v>31.739699999999999</v>
      </c>
      <c r="E419" s="28">
        <f>34.207 * CHOOSE(CONTROL!$C$15, $E$9, 100%, $G$9) + CHOOSE(CONTROL!$C$38, 0.0347, 0)</f>
        <v>34.241700000000002</v>
      </c>
      <c r="F419" s="27">
        <f>34.207 * CHOOSE(CONTROL!$C$15, $E$9, 100%, $G$9) + CHOOSE(CONTROL!$C$38, 0.0256, 0)</f>
        <v>34.232599999999998</v>
      </c>
      <c r="G419" s="10">
        <f>31.7112 * CHOOSE(CONTROL!$C$15, $E$9, 100%, $G$9) + CHOOSE(CONTROL!$C$38, 0.0347, 0)</f>
        <v>31.745900000000002</v>
      </c>
      <c r="H419" s="10">
        <f>31.7112 * CHOOSE(CONTROL!$C$15, $E$9, 100%, $G$9) + CHOOSE(CONTROL!$C$38, 0.0347, 0)</f>
        <v>31.745900000000002</v>
      </c>
      <c r="I419" s="10">
        <f>31.7128 * CHOOSE(CONTROL!$C$15, $E$9, 100%, $G$9) + CHOOSE(CONTROL!$C$38, 0.0347, 0)</f>
        <v>31.747500000000002</v>
      </c>
      <c r="J419" s="26">
        <f>200.6523</f>
        <v>200.6523</v>
      </c>
    </row>
    <row r="420" spans="1:10" ht="15.75" x14ac:dyDescent="0.25">
      <c r="A420" s="14">
        <v>54088</v>
      </c>
      <c r="B420" s="10">
        <f>35.4203 * CHOOSE(CONTROL!$C$15, $E$9, 100%, $G$9) + CHOOSE(CONTROL!$C$38, 0.0256, 0)</f>
        <v>35.445899999999995</v>
      </c>
      <c r="C420" s="10">
        <f>32.7258 * CHOOSE(CONTROL!$C$15, $E$9, 100%, $G$9) + CHOOSE(CONTROL!$C$38, 0.0347, 0)</f>
        <v>32.7605</v>
      </c>
      <c r="D420" s="10">
        <f>32.718 * CHOOSE(CONTROL!$C$15, $E$9, 100%, $G$9) + CHOOSE(CONTROL!$C$38, 0.0347, 0)</f>
        <v>32.752700000000004</v>
      </c>
      <c r="E420" s="28">
        <f>35.2641 * CHOOSE(CONTROL!$C$15, $E$9, 100%, $G$9) + CHOOSE(CONTROL!$C$38, 0.0347, 0)</f>
        <v>35.2988</v>
      </c>
      <c r="F420" s="27">
        <f>35.2641 * CHOOSE(CONTROL!$C$15, $E$9, 100%, $G$9) + CHOOSE(CONTROL!$C$38, 0.0256, 0)</f>
        <v>35.289699999999996</v>
      </c>
      <c r="G420" s="10">
        <f>32.7242 * CHOOSE(CONTROL!$C$15, $E$9, 100%, $G$9) + CHOOSE(CONTROL!$C$38, 0.0347, 0)</f>
        <v>32.758900000000004</v>
      </c>
      <c r="H420" s="10">
        <f>32.7242 * CHOOSE(CONTROL!$C$15, $E$9, 100%, $G$9) + CHOOSE(CONTROL!$C$38, 0.0347, 0)</f>
        <v>32.758900000000004</v>
      </c>
      <c r="I420" s="10">
        <f>32.7258 * CHOOSE(CONTROL!$C$15, $E$9, 100%, $G$9) + CHOOSE(CONTROL!$C$38, 0.0347, 0)</f>
        <v>32.7605</v>
      </c>
      <c r="J420" s="26">
        <f>199.3082</f>
        <v>199.3082</v>
      </c>
    </row>
    <row r="421" spans="1:10" ht="15.75" x14ac:dyDescent="0.25">
      <c r="A421" s="14">
        <v>54116</v>
      </c>
      <c r="B421" s="10">
        <f>35.6411 * CHOOSE(CONTROL!$C$15, $E$9, 100%, $G$9) + CHOOSE(CONTROL!$C$38, 0.0256, 0)</f>
        <v>35.666699999999999</v>
      </c>
      <c r="C421" s="10">
        <f>32.9466 * CHOOSE(CONTROL!$C$15, $E$9, 100%, $G$9) + CHOOSE(CONTROL!$C$38, 0.0347, 0)</f>
        <v>32.981299999999997</v>
      </c>
      <c r="D421" s="10">
        <f>32.9388 * CHOOSE(CONTROL!$C$15, $E$9, 100%, $G$9) + CHOOSE(CONTROL!$C$38, 0.0347, 0)</f>
        <v>32.973500000000001</v>
      </c>
      <c r="E421" s="28">
        <f>35.4848 * CHOOSE(CONTROL!$C$15, $E$9, 100%, $G$9) + CHOOSE(CONTROL!$C$38, 0.0347, 0)</f>
        <v>35.519500000000001</v>
      </c>
      <c r="F421" s="27">
        <f>35.4848 * CHOOSE(CONTROL!$C$15, $E$9, 100%, $G$9) + CHOOSE(CONTROL!$C$38, 0.0256, 0)</f>
        <v>35.510399999999997</v>
      </c>
      <c r="G421" s="10">
        <f>32.945 * CHOOSE(CONTROL!$C$15, $E$9, 100%, $G$9) + CHOOSE(CONTROL!$C$38, 0.0347, 0)</f>
        <v>32.979700000000001</v>
      </c>
      <c r="H421" s="10">
        <f>32.945 * CHOOSE(CONTROL!$C$15, $E$9, 100%, $G$9) + CHOOSE(CONTROL!$C$38, 0.0347, 0)</f>
        <v>32.979700000000001</v>
      </c>
      <c r="I421" s="10">
        <f>32.9466 * CHOOSE(CONTROL!$C$15, $E$9, 100%, $G$9) + CHOOSE(CONTROL!$C$38, 0.0347, 0)</f>
        <v>32.981299999999997</v>
      </c>
      <c r="J421" s="26">
        <f>198.7542</f>
        <v>198.7542</v>
      </c>
    </row>
    <row r="422" spans="1:10" ht="15.75" x14ac:dyDescent="0.25">
      <c r="A422" s="14">
        <v>54148</v>
      </c>
      <c r="B422" s="10">
        <f>35.13 * CHOOSE(CONTROL!$C$15, $E$9, 100%, $G$9) + CHOOSE(CONTROL!$C$38, 0.0256, 0)</f>
        <v>35.1556</v>
      </c>
      <c r="C422" s="10">
        <f>32.4355 * CHOOSE(CONTROL!$C$15, $E$9, 100%, $G$9) + CHOOSE(CONTROL!$C$38, 0.0347, 0)</f>
        <v>32.470199999999998</v>
      </c>
      <c r="D422" s="10">
        <f>32.4277 * CHOOSE(CONTROL!$C$15, $E$9, 100%, $G$9) + CHOOSE(CONTROL!$C$38, 0.0347, 0)</f>
        <v>32.462400000000002</v>
      </c>
      <c r="E422" s="28">
        <f>34.9738 * CHOOSE(CONTROL!$C$15, $E$9, 100%, $G$9) + CHOOSE(CONTROL!$C$38, 0.0347, 0)</f>
        <v>35.008499999999998</v>
      </c>
      <c r="F422" s="27">
        <f>34.9738 * CHOOSE(CONTROL!$C$15, $E$9, 100%, $G$9) + CHOOSE(CONTROL!$C$38, 0.0256, 0)</f>
        <v>34.999399999999994</v>
      </c>
      <c r="G422" s="10">
        <f>32.434 * CHOOSE(CONTROL!$C$15, $E$9, 100%, $G$9) + CHOOSE(CONTROL!$C$38, 0.0347, 0)</f>
        <v>32.468699999999998</v>
      </c>
      <c r="H422" s="10">
        <f>32.434 * CHOOSE(CONTROL!$C$15, $E$9, 100%, $G$9) + CHOOSE(CONTROL!$C$38, 0.0347, 0)</f>
        <v>32.468699999999998</v>
      </c>
      <c r="I422" s="10">
        <f>32.4355 * CHOOSE(CONTROL!$C$15, $E$9, 100%, $G$9) + CHOOSE(CONTROL!$C$38, 0.0347, 0)</f>
        <v>32.470199999999998</v>
      </c>
      <c r="J422" s="26">
        <f>209.2297</f>
        <v>209.22970000000001</v>
      </c>
    </row>
    <row r="423" spans="1:10" ht="15.75" x14ac:dyDescent="0.25">
      <c r="A423" s="14">
        <v>54178</v>
      </c>
      <c r="B423" s="10">
        <f>34.6349 * CHOOSE(CONTROL!$C$15, $E$9, 100%, $G$9) + CHOOSE(CONTROL!$C$38, 0.0256, 0)</f>
        <v>34.660499999999999</v>
      </c>
      <c r="C423" s="10">
        <f>31.9404 * CHOOSE(CONTROL!$C$15, $E$9, 100%, $G$9) + CHOOSE(CONTROL!$C$38, 0.0347, 0)</f>
        <v>31.975100000000001</v>
      </c>
      <c r="D423" s="10">
        <f>31.9325 * CHOOSE(CONTROL!$C$15, $E$9, 100%, $G$9) + CHOOSE(CONTROL!$C$38, 0.0347, 0)</f>
        <v>31.967200000000002</v>
      </c>
      <c r="E423" s="28">
        <f>34.4786 * CHOOSE(CONTROL!$C$15, $E$9, 100%, $G$9) + CHOOSE(CONTROL!$C$38, 0.0347, 0)</f>
        <v>34.513300000000001</v>
      </c>
      <c r="F423" s="27">
        <f>34.4786 * CHOOSE(CONTROL!$C$15, $E$9, 100%, $G$9) + CHOOSE(CONTROL!$C$38, 0.0256, 0)</f>
        <v>34.504199999999997</v>
      </c>
      <c r="G423" s="10">
        <f>31.9388 * CHOOSE(CONTROL!$C$15, $E$9, 100%, $G$9) + CHOOSE(CONTROL!$C$38, 0.0347, 0)</f>
        <v>31.973500000000001</v>
      </c>
      <c r="H423" s="10">
        <f>31.9388 * CHOOSE(CONTROL!$C$15, $E$9, 100%, $G$9) + CHOOSE(CONTROL!$C$38, 0.0347, 0)</f>
        <v>31.973500000000001</v>
      </c>
      <c r="I423" s="10">
        <f>31.9404 * CHOOSE(CONTROL!$C$15, $E$9, 100%, $G$9) + CHOOSE(CONTROL!$C$38, 0.0347, 0)</f>
        <v>31.975100000000001</v>
      </c>
      <c r="J423" s="26">
        <f>222.8139</f>
        <v>222.81389999999999</v>
      </c>
    </row>
    <row r="424" spans="1:10" ht="15.75" x14ac:dyDescent="0.25">
      <c r="A424" s="14">
        <v>54209</v>
      </c>
      <c r="B424" s="10">
        <f>34.1187 * CHOOSE(CONTROL!$C$15, $E$9, 100%, $G$9) + CHOOSE(CONTROL!$C$38, 0.0256, 0)</f>
        <v>34.144299999999994</v>
      </c>
      <c r="C424" s="10">
        <f>31.4242 * CHOOSE(CONTROL!$C$15, $E$9, 100%, $G$9) + CHOOSE(CONTROL!$C$38, 0.0347, 0)</f>
        <v>31.4589</v>
      </c>
      <c r="D424" s="10">
        <f>31.4164 * CHOOSE(CONTROL!$C$15, $E$9, 100%, $G$9) + CHOOSE(CONTROL!$C$38, 0.0347, 0)</f>
        <v>31.4511</v>
      </c>
      <c r="E424" s="28">
        <f>33.9625 * CHOOSE(CONTROL!$C$15, $E$9, 100%, $G$9) + CHOOSE(CONTROL!$C$38, 0.0347, 0)</f>
        <v>33.997199999999999</v>
      </c>
      <c r="F424" s="27">
        <f>33.9625 * CHOOSE(CONTROL!$C$15, $E$9, 100%, $G$9) + CHOOSE(CONTROL!$C$38, 0.0256, 0)</f>
        <v>33.988099999999996</v>
      </c>
      <c r="G424" s="10">
        <f>31.4227 * CHOOSE(CONTROL!$C$15, $E$9, 100%, $G$9) + CHOOSE(CONTROL!$C$38, 0.0347, 0)</f>
        <v>31.4574</v>
      </c>
      <c r="H424" s="10">
        <f>31.4227 * CHOOSE(CONTROL!$C$15, $E$9, 100%, $G$9) + CHOOSE(CONTROL!$C$38, 0.0347, 0)</f>
        <v>31.4574</v>
      </c>
      <c r="I424" s="10">
        <f>31.4242 * CHOOSE(CONTROL!$C$15, $E$9, 100%, $G$9) + CHOOSE(CONTROL!$C$38, 0.0347, 0)</f>
        <v>31.4589</v>
      </c>
      <c r="J424" s="26">
        <f>230.2911</f>
        <v>230.2911</v>
      </c>
    </row>
    <row r="425" spans="1:10" ht="15.75" x14ac:dyDescent="0.25">
      <c r="A425" s="14">
        <v>54239</v>
      </c>
      <c r="B425" s="10">
        <f>33.7569 * CHOOSE(CONTROL!$C$15, $E$9, 100%, $G$9) + CHOOSE(CONTROL!$C$38, 0.0256, 0)</f>
        <v>33.782499999999999</v>
      </c>
      <c r="C425" s="10">
        <f>31.0624 * CHOOSE(CONTROL!$C$15, $E$9, 100%, $G$9) + CHOOSE(CONTROL!$C$38, 0.0347, 0)</f>
        <v>31.097100000000001</v>
      </c>
      <c r="D425" s="10">
        <f>31.0546 * CHOOSE(CONTROL!$C$15, $E$9, 100%, $G$9) + CHOOSE(CONTROL!$C$38, 0.0347, 0)</f>
        <v>31.089300000000001</v>
      </c>
      <c r="E425" s="28">
        <f>33.6007 * CHOOSE(CONTROL!$C$15, $E$9, 100%, $G$9) + CHOOSE(CONTROL!$C$38, 0.0347, 0)</f>
        <v>33.635400000000004</v>
      </c>
      <c r="F425" s="27">
        <f>33.6007 * CHOOSE(CONTROL!$C$15, $E$9, 100%, $G$9) + CHOOSE(CONTROL!$C$38, 0.0256, 0)</f>
        <v>33.626300000000001</v>
      </c>
      <c r="G425" s="10">
        <f>31.0609 * CHOOSE(CONTROL!$C$15, $E$9, 100%, $G$9) + CHOOSE(CONTROL!$C$38, 0.0347, 0)</f>
        <v>31.095600000000001</v>
      </c>
      <c r="H425" s="10">
        <f>31.0609 * CHOOSE(CONTROL!$C$15, $E$9, 100%, $G$9) + CHOOSE(CONTROL!$C$38, 0.0347, 0)</f>
        <v>31.095600000000001</v>
      </c>
      <c r="I425" s="10">
        <f>31.0624 * CHOOSE(CONTROL!$C$15, $E$9, 100%, $G$9) + CHOOSE(CONTROL!$C$38, 0.0347, 0)</f>
        <v>31.097100000000001</v>
      </c>
      <c r="J425" s="26">
        <f>233.6094</f>
        <v>233.60939999999999</v>
      </c>
    </row>
    <row r="426" spans="1:10" ht="15.75" x14ac:dyDescent="0.25">
      <c r="A426" s="14">
        <v>54270</v>
      </c>
      <c r="B426" s="10">
        <f>33.5504 * CHOOSE(CONTROL!$C$15, $E$9, 100%, $G$9) + CHOOSE(CONTROL!$C$38, 0.0256, 0)</f>
        <v>33.576000000000001</v>
      </c>
      <c r="C426" s="10">
        <f>30.8559 * CHOOSE(CONTROL!$C$15, $E$9, 100%, $G$9) + CHOOSE(CONTROL!$C$38, 0.0347, 0)</f>
        <v>30.890599999999999</v>
      </c>
      <c r="D426" s="10">
        <f>30.8481 * CHOOSE(CONTROL!$C$15, $E$9, 100%, $G$9) + CHOOSE(CONTROL!$C$38, 0.0347, 0)</f>
        <v>30.8828</v>
      </c>
      <c r="E426" s="28">
        <f>33.3942 * CHOOSE(CONTROL!$C$15, $E$9, 100%, $G$9) + CHOOSE(CONTROL!$C$38, 0.0347, 0)</f>
        <v>33.428899999999999</v>
      </c>
      <c r="F426" s="27">
        <f>33.3942 * CHOOSE(CONTROL!$C$15, $E$9, 100%, $G$9) + CHOOSE(CONTROL!$C$38, 0.0256, 0)</f>
        <v>33.419799999999995</v>
      </c>
      <c r="G426" s="10">
        <f>30.8544 * CHOOSE(CONTROL!$C$15, $E$9, 100%, $G$9) + CHOOSE(CONTROL!$C$38, 0.0347, 0)</f>
        <v>30.889099999999999</v>
      </c>
      <c r="H426" s="10">
        <f>30.8544 * CHOOSE(CONTROL!$C$15, $E$9, 100%, $G$9) + CHOOSE(CONTROL!$C$38, 0.0347, 0)</f>
        <v>30.889099999999999</v>
      </c>
      <c r="I426" s="10">
        <f>30.8559 * CHOOSE(CONTROL!$C$15, $E$9, 100%, $G$9) + CHOOSE(CONTROL!$C$38, 0.0347, 0)</f>
        <v>30.890599999999999</v>
      </c>
      <c r="J426" s="26">
        <f>232.5168</f>
        <v>232.51679999999999</v>
      </c>
    </row>
    <row r="427" spans="1:10" ht="15.75" x14ac:dyDescent="0.25">
      <c r="A427" s="14">
        <v>54301</v>
      </c>
      <c r="B427" s="10">
        <f>33.6523 * CHOOSE(CONTROL!$C$15, $E$9, 100%, $G$9) + CHOOSE(CONTROL!$C$38, 0.0256, 0)</f>
        <v>33.677899999999994</v>
      </c>
      <c r="C427" s="10">
        <f>30.9578 * CHOOSE(CONTROL!$C$15, $E$9, 100%, $G$9) + CHOOSE(CONTROL!$C$38, 0.0347, 0)</f>
        <v>30.9925</v>
      </c>
      <c r="D427" s="10">
        <f>30.95 * CHOOSE(CONTROL!$C$15, $E$9, 100%, $G$9) + CHOOSE(CONTROL!$C$38, 0.0347, 0)</f>
        <v>30.9847</v>
      </c>
      <c r="E427" s="28">
        <f>33.4961 * CHOOSE(CONTROL!$C$15, $E$9, 100%, $G$9) + CHOOSE(CONTROL!$C$38, 0.0347, 0)</f>
        <v>33.530799999999999</v>
      </c>
      <c r="F427" s="27">
        <f>33.4961 * CHOOSE(CONTROL!$C$15, $E$9, 100%, $G$9) + CHOOSE(CONTROL!$C$38, 0.0256, 0)</f>
        <v>33.521699999999996</v>
      </c>
      <c r="G427" s="10">
        <f>30.9563 * CHOOSE(CONTROL!$C$15, $E$9, 100%, $G$9) + CHOOSE(CONTROL!$C$38, 0.0347, 0)</f>
        <v>30.991</v>
      </c>
      <c r="H427" s="10">
        <f>30.9563 * CHOOSE(CONTROL!$C$15, $E$9, 100%, $G$9) + CHOOSE(CONTROL!$C$38, 0.0347, 0)</f>
        <v>30.991</v>
      </c>
      <c r="I427" s="10">
        <f>30.9578 * CHOOSE(CONTROL!$C$15, $E$9, 100%, $G$9) + CHOOSE(CONTROL!$C$38, 0.0347, 0)</f>
        <v>30.9925</v>
      </c>
      <c r="J427" s="26">
        <f>227.104</f>
        <v>227.10400000000001</v>
      </c>
    </row>
    <row r="428" spans="1:10" ht="15.75" x14ac:dyDescent="0.25">
      <c r="A428" s="14">
        <v>54331</v>
      </c>
      <c r="B428" s="10">
        <f>33.9291 * CHOOSE(CONTROL!$C$15, $E$9, 100%, $G$9) + CHOOSE(CONTROL!$C$38, 0.0256, 0)</f>
        <v>33.954699999999995</v>
      </c>
      <c r="C428" s="10">
        <f>31.2346 * CHOOSE(CONTROL!$C$15, $E$9, 100%, $G$9) + CHOOSE(CONTROL!$C$38, 0.0347, 0)</f>
        <v>31.269300000000001</v>
      </c>
      <c r="D428" s="10">
        <f>31.2268 * CHOOSE(CONTROL!$C$15, $E$9, 100%, $G$9) + CHOOSE(CONTROL!$C$38, 0.0347, 0)</f>
        <v>31.261500000000002</v>
      </c>
      <c r="E428" s="28">
        <f>33.7729 * CHOOSE(CONTROL!$C$15, $E$9, 100%, $G$9) + CHOOSE(CONTROL!$C$38, 0.0347, 0)</f>
        <v>33.807600000000001</v>
      </c>
      <c r="F428" s="27">
        <f>33.7729 * CHOOSE(CONTROL!$C$15, $E$9, 100%, $G$9) + CHOOSE(CONTROL!$C$38, 0.0256, 0)</f>
        <v>33.798499999999997</v>
      </c>
      <c r="G428" s="10">
        <f>31.2331 * CHOOSE(CONTROL!$C$15, $E$9, 100%, $G$9) + CHOOSE(CONTROL!$C$38, 0.0347, 0)</f>
        <v>31.267800000000001</v>
      </c>
      <c r="H428" s="10">
        <f>31.2331 * CHOOSE(CONTROL!$C$15, $E$9, 100%, $G$9) + CHOOSE(CONTROL!$C$38, 0.0347, 0)</f>
        <v>31.267800000000001</v>
      </c>
      <c r="I428" s="10">
        <f>31.2346 * CHOOSE(CONTROL!$C$15, $E$9, 100%, $G$9) + CHOOSE(CONTROL!$C$38, 0.0347, 0)</f>
        <v>31.269300000000001</v>
      </c>
      <c r="J428" s="26">
        <f>219.5554</f>
        <v>219.55539999999999</v>
      </c>
    </row>
    <row r="429" spans="1:10" ht="15.75" x14ac:dyDescent="0.25">
      <c r="A429" s="14">
        <v>54362</v>
      </c>
      <c r="B429" s="10">
        <f>34.1609 * CHOOSE(CONTROL!$C$15, $E$9, 100%, $G$9) + CHOOSE(CONTROL!$C$38, 0.0256, 0)</f>
        <v>34.186499999999995</v>
      </c>
      <c r="C429" s="10">
        <f>31.4665 * CHOOSE(CONTROL!$C$15, $E$9, 100%, $G$9) + CHOOSE(CONTROL!$C$38, 0.0347, 0)</f>
        <v>31.501200000000001</v>
      </c>
      <c r="D429" s="10">
        <f>31.4586 * CHOOSE(CONTROL!$C$15, $E$9, 100%, $G$9) + CHOOSE(CONTROL!$C$38, 0.0347, 0)</f>
        <v>31.493300000000001</v>
      </c>
      <c r="E429" s="28">
        <f>34.0047 * CHOOSE(CONTROL!$C$15, $E$9, 100%, $G$9) + CHOOSE(CONTROL!$C$38, 0.0347, 0)</f>
        <v>34.039400000000001</v>
      </c>
      <c r="F429" s="27">
        <f>34.0047 * CHOOSE(CONTROL!$C$15, $E$9, 100%, $G$9) + CHOOSE(CONTROL!$C$38, 0.0256, 0)</f>
        <v>34.030299999999997</v>
      </c>
      <c r="G429" s="10">
        <f>31.4649 * CHOOSE(CONTROL!$C$15, $E$9, 100%, $G$9) + CHOOSE(CONTROL!$C$38, 0.0347, 0)</f>
        <v>31.499600000000001</v>
      </c>
      <c r="H429" s="10">
        <f>31.4649 * CHOOSE(CONTROL!$C$15, $E$9, 100%, $G$9) + CHOOSE(CONTROL!$C$38, 0.0347, 0)</f>
        <v>31.499600000000001</v>
      </c>
      <c r="I429" s="10">
        <f>31.4665 * CHOOSE(CONTROL!$C$15, $E$9, 100%, $G$9) + CHOOSE(CONTROL!$C$38, 0.0347, 0)</f>
        <v>31.501200000000001</v>
      </c>
      <c r="J429" s="26">
        <f>211.963</f>
        <v>211.96299999999999</v>
      </c>
    </row>
    <row r="430" spans="1:10" ht="15.75" x14ac:dyDescent="0.25">
      <c r="A430" s="14">
        <v>54392</v>
      </c>
      <c r="B430" s="10">
        <f>34.3544 * CHOOSE(CONTROL!$C$15, $E$9, 100%, $G$9) + CHOOSE(CONTROL!$C$38, 0.0256, 0)</f>
        <v>34.379999999999995</v>
      </c>
      <c r="C430" s="10">
        <f>31.6599 * CHOOSE(CONTROL!$C$15, $E$9, 100%, $G$9) + CHOOSE(CONTROL!$C$38, 0.0347, 0)</f>
        <v>31.694600000000001</v>
      </c>
      <c r="D430" s="10">
        <f>31.6521 * CHOOSE(CONTROL!$C$15, $E$9, 100%, $G$9) + CHOOSE(CONTROL!$C$38, 0.0347, 0)</f>
        <v>31.686800000000002</v>
      </c>
      <c r="E430" s="28">
        <f>34.1981 * CHOOSE(CONTROL!$C$15, $E$9, 100%, $G$9) + CHOOSE(CONTROL!$C$38, 0.0347, 0)</f>
        <v>34.232799999999997</v>
      </c>
      <c r="F430" s="27">
        <f>34.1981 * CHOOSE(CONTROL!$C$15, $E$9, 100%, $G$9) + CHOOSE(CONTROL!$C$38, 0.0256, 0)</f>
        <v>34.223699999999994</v>
      </c>
      <c r="G430" s="10">
        <f>31.6583 * CHOOSE(CONTROL!$C$15, $E$9, 100%, $G$9) + CHOOSE(CONTROL!$C$38, 0.0347, 0)</f>
        <v>31.693000000000001</v>
      </c>
      <c r="H430" s="10">
        <f>31.6583 * CHOOSE(CONTROL!$C$15, $E$9, 100%, $G$9) + CHOOSE(CONTROL!$C$38, 0.0347, 0)</f>
        <v>31.693000000000001</v>
      </c>
      <c r="I430" s="10">
        <f>31.6599 * CHOOSE(CONTROL!$C$15, $E$9, 100%, $G$9) + CHOOSE(CONTROL!$C$38, 0.0347, 0)</f>
        <v>31.694600000000001</v>
      </c>
      <c r="J430" s="26">
        <f>210.4527</f>
        <v>210.45269999999999</v>
      </c>
    </row>
    <row r="431" spans="1:10" ht="15.75" x14ac:dyDescent="0.25">
      <c r="A431" s="14">
        <v>54423</v>
      </c>
      <c r="B431" s="10">
        <f>34.9505 * CHOOSE(CONTROL!$C$15, $E$9, 100%, $G$9) + CHOOSE(CONTROL!$C$38, 0.0256, 0)</f>
        <v>34.976099999999995</v>
      </c>
      <c r="C431" s="10">
        <f>32.256 * CHOOSE(CONTROL!$C$15, $E$9, 100%, $G$9) + CHOOSE(CONTROL!$C$38, 0.0347, 0)</f>
        <v>32.290700000000001</v>
      </c>
      <c r="D431" s="10">
        <f>32.2482 * CHOOSE(CONTROL!$C$15, $E$9, 100%, $G$9) + CHOOSE(CONTROL!$C$38, 0.0347, 0)</f>
        <v>32.282899999999998</v>
      </c>
      <c r="E431" s="28">
        <f>34.7942 * CHOOSE(CONTROL!$C$15, $E$9, 100%, $G$9) + CHOOSE(CONTROL!$C$38, 0.0347, 0)</f>
        <v>34.828899999999997</v>
      </c>
      <c r="F431" s="27">
        <f>34.7942 * CHOOSE(CONTROL!$C$15, $E$9, 100%, $G$9) + CHOOSE(CONTROL!$C$38, 0.0256, 0)</f>
        <v>34.819799999999994</v>
      </c>
      <c r="G431" s="10">
        <f>32.2544 * CHOOSE(CONTROL!$C$15, $E$9, 100%, $G$9) + CHOOSE(CONTROL!$C$38, 0.0347, 0)</f>
        <v>32.289099999999998</v>
      </c>
      <c r="H431" s="10">
        <f>32.2544 * CHOOSE(CONTROL!$C$15, $E$9, 100%, $G$9) + CHOOSE(CONTROL!$C$38, 0.0347, 0)</f>
        <v>32.289099999999998</v>
      </c>
      <c r="I431" s="10">
        <f>32.256 * CHOOSE(CONTROL!$C$15, $E$9, 100%, $G$9) + CHOOSE(CONTROL!$C$38, 0.0347, 0)</f>
        <v>32.290700000000001</v>
      </c>
      <c r="J431" s="26">
        <f>204.2075</f>
        <v>204.20750000000001</v>
      </c>
    </row>
    <row r="432" spans="1:10" ht="15.75" x14ac:dyDescent="0.25">
      <c r="A432" s="14">
        <v>54454</v>
      </c>
      <c r="B432" s="10">
        <f>36.0179 * CHOOSE(CONTROL!$C$15, $E$9, 100%, $G$9) + CHOOSE(CONTROL!$C$38, 0.0256, 0)</f>
        <v>36.043499999999995</v>
      </c>
      <c r="C432" s="10">
        <f>33.2786 * CHOOSE(CONTROL!$C$15, $E$9, 100%, $G$9) + CHOOSE(CONTROL!$C$38, 0.0347, 0)</f>
        <v>33.313299999999998</v>
      </c>
      <c r="D432" s="10">
        <f>33.2708 * CHOOSE(CONTROL!$C$15, $E$9, 100%, $G$9) + CHOOSE(CONTROL!$C$38, 0.0347, 0)</f>
        <v>33.305500000000002</v>
      </c>
      <c r="E432" s="28">
        <f>35.8617 * CHOOSE(CONTROL!$C$15, $E$9, 100%, $G$9) + CHOOSE(CONTROL!$C$38, 0.0347, 0)</f>
        <v>35.8964</v>
      </c>
      <c r="F432" s="27">
        <f>35.8617 * CHOOSE(CONTROL!$C$15, $E$9, 100%, $G$9) + CHOOSE(CONTROL!$C$38, 0.0256, 0)</f>
        <v>35.887299999999996</v>
      </c>
      <c r="G432" s="10">
        <f>33.277 * CHOOSE(CONTROL!$C$15, $E$9, 100%, $G$9) + CHOOSE(CONTROL!$C$38, 0.0347, 0)</f>
        <v>33.311700000000002</v>
      </c>
      <c r="H432" s="10">
        <f>33.277 * CHOOSE(CONTROL!$C$15, $E$9, 100%, $G$9) + CHOOSE(CONTROL!$C$38, 0.0347, 0)</f>
        <v>33.311700000000002</v>
      </c>
      <c r="I432" s="10">
        <f>33.2786 * CHOOSE(CONTROL!$C$15, $E$9, 100%, $G$9) + CHOOSE(CONTROL!$C$38, 0.0347, 0)</f>
        <v>33.313299999999998</v>
      </c>
      <c r="J432" s="26">
        <f>202.8396</f>
        <v>202.83959999999999</v>
      </c>
    </row>
    <row r="433" spans="1:10" ht="15.75" x14ac:dyDescent="0.25">
      <c r="A433" s="14">
        <v>54482</v>
      </c>
      <c r="B433" s="10">
        <f>36.2387 * CHOOSE(CONTROL!$C$15, $E$9, 100%, $G$9) + CHOOSE(CONTROL!$C$38, 0.0256, 0)</f>
        <v>36.264299999999999</v>
      </c>
      <c r="C433" s="10">
        <f>33.4993 * CHOOSE(CONTROL!$C$15, $E$9, 100%, $G$9) + CHOOSE(CONTROL!$C$38, 0.0347, 0)</f>
        <v>33.533999999999999</v>
      </c>
      <c r="D433" s="10">
        <f>33.4915 * CHOOSE(CONTROL!$C$15, $E$9, 100%, $G$9) + CHOOSE(CONTROL!$C$38, 0.0347, 0)</f>
        <v>33.526200000000003</v>
      </c>
      <c r="E433" s="28">
        <f>36.0824 * CHOOSE(CONTROL!$C$15, $E$9, 100%, $G$9) + CHOOSE(CONTROL!$C$38, 0.0347, 0)</f>
        <v>36.117100000000001</v>
      </c>
      <c r="F433" s="27">
        <f>36.0824 * CHOOSE(CONTROL!$C$15, $E$9, 100%, $G$9) + CHOOSE(CONTROL!$C$38, 0.0256, 0)</f>
        <v>36.107999999999997</v>
      </c>
      <c r="G433" s="10">
        <f>33.4978 * CHOOSE(CONTROL!$C$15, $E$9, 100%, $G$9) + CHOOSE(CONTROL!$C$38, 0.0347, 0)</f>
        <v>33.532499999999999</v>
      </c>
      <c r="H433" s="10">
        <f>33.4978 * CHOOSE(CONTROL!$C$15, $E$9, 100%, $G$9) + CHOOSE(CONTROL!$C$38, 0.0347, 0)</f>
        <v>33.532499999999999</v>
      </c>
      <c r="I433" s="10">
        <f>33.4993 * CHOOSE(CONTROL!$C$15, $E$9, 100%, $G$9) + CHOOSE(CONTROL!$C$38, 0.0347, 0)</f>
        <v>33.533999999999999</v>
      </c>
      <c r="J433" s="26">
        <f>202.2758</f>
        <v>202.2758</v>
      </c>
    </row>
    <row r="434" spans="1:10" ht="15.75" x14ac:dyDescent="0.25">
      <c r="A434" s="14">
        <v>54513</v>
      </c>
      <c r="B434" s="10">
        <f>35.7277 * CHOOSE(CONTROL!$C$15, $E$9, 100%, $G$9) + CHOOSE(CONTROL!$C$38, 0.0256, 0)</f>
        <v>35.753299999999996</v>
      </c>
      <c r="C434" s="10">
        <f>32.9883 * CHOOSE(CONTROL!$C$15, $E$9, 100%, $G$9) + CHOOSE(CONTROL!$C$38, 0.0347, 0)</f>
        <v>33.023000000000003</v>
      </c>
      <c r="D434" s="10">
        <f>32.9805 * CHOOSE(CONTROL!$C$15, $E$9, 100%, $G$9) + CHOOSE(CONTROL!$C$38, 0.0347, 0)</f>
        <v>33.0152</v>
      </c>
      <c r="E434" s="28">
        <f>35.5714 * CHOOSE(CONTROL!$C$15, $E$9, 100%, $G$9) + CHOOSE(CONTROL!$C$38, 0.0347, 0)</f>
        <v>35.606099999999998</v>
      </c>
      <c r="F434" s="27">
        <f>35.5714 * CHOOSE(CONTROL!$C$15, $E$9, 100%, $G$9) + CHOOSE(CONTROL!$C$38, 0.0256, 0)</f>
        <v>35.596999999999994</v>
      </c>
      <c r="G434" s="10">
        <f>32.9868 * CHOOSE(CONTROL!$C$15, $E$9, 100%, $G$9) + CHOOSE(CONTROL!$C$38, 0.0347, 0)</f>
        <v>33.021500000000003</v>
      </c>
      <c r="H434" s="10">
        <f>32.9868 * CHOOSE(CONTROL!$C$15, $E$9, 100%, $G$9) + CHOOSE(CONTROL!$C$38, 0.0347, 0)</f>
        <v>33.021500000000003</v>
      </c>
      <c r="I434" s="10">
        <f>32.9883 * CHOOSE(CONTROL!$C$15, $E$9, 100%, $G$9) + CHOOSE(CONTROL!$C$38, 0.0347, 0)</f>
        <v>33.023000000000003</v>
      </c>
      <c r="J434" s="26">
        <f>212.9369</f>
        <v>212.93690000000001</v>
      </c>
    </row>
    <row r="435" spans="1:10" ht="15.75" x14ac:dyDescent="0.25">
      <c r="A435" s="14">
        <v>54543</v>
      </c>
      <c r="B435" s="10">
        <f>35.2325 * CHOOSE(CONTROL!$C$15, $E$9, 100%, $G$9) + CHOOSE(CONTROL!$C$38, 0.0256, 0)</f>
        <v>35.258099999999999</v>
      </c>
      <c r="C435" s="10">
        <f>32.4931 * CHOOSE(CONTROL!$C$15, $E$9, 100%, $G$9) + CHOOSE(CONTROL!$C$38, 0.0347, 0)</f>
        <v>32.527799999999999</v>
      </c>
      <c r="D435" s="10">
        <f>32.4853 * CHOOSE(CONTROL!$C$15, $E$9, 100%, $G$9) + CHOOSE(CONTROL!$C$38, 0.0347, 0)</f>
        <v>32.520000000000003</v>
      </c>
      <c r="E435" s="28">
        <f>35.0762 * CHOOSE(CONTROL!$C$15, $E$9, 100%, $G$9) + CHOOSE(CONTROL!$C$38, 0.0347, 0)</f>
        <v>35.110900000000001</v>
      </c>
      <c r="F435" s="27">
        <f>35.0762 * CHOOSE(CONTROL!$C$15, $E$9, 100%, $G$9) + CHOOSE(CONTROL!$C$38, 0.0256, 0)</f>
        <v>35.101799999999997</v>
      </c>
      <c r="G435" s="10">
        <f>32.4916 * CHOOSE(CONTROL!$C$15, $E$9, 100%, $G$9) + CHOOSE(CONTROL!$C$38, 0.0347, 0)</f>
        <v>32.526299999999999</v>
      </c>
      <c r="H435" s="10">
        <f>32.4916 * CHOOSE(CONTROL!$C$15, $E$9, 100%, $G$9) + CHOOSE(CONTROL!$C$38, 0.0347, 0)</f>
        <v>32.526299999999999</v>
      </c>
      <c r="I435" s="10">
        <f>32.4931 * CHOOSE(CONTROL!$C$15, $E$9, 100%, $G$9) + CHOOSE(CONTROL!$C$38, 0.0347, 0)</f>
        <v>32.527799999999999</v>
      </c>
      <c r="J435" s="26">
        <f>226.7618</f>
        <v>226.76179999999999</v>
      </c>
    </row>
    <row r="436" spans="1:10" ht="15.75" x14ac:dyDescent="0.25">
      <c r="A436" s="14">
        <v>54574</v>
      </c>
      <c r="B436" s="10">
        <f>34.7164 * CHOOSE(CONTROL!$C$15, $E$9, 100%, $G$9) + CHOOSE(CONTROL!$C$38, 0.0256, 0)</f>
        <v>34.741999999999997</v>
      </c>
      <c r="C436" s="10">
        <f>31.977 * CHOOSE(CONTROL!$C$15, $E$9, 100%, $G$9) + CHOOSE(CONTROL!$C$38, 0.0347, 0)</f>
        <v>32.011699999999998</v>
      </c>
      <c r="D436" s="10">
        <f>31.9692 * CHOOSE(CONTROL!$C$15, $E$9, 100%, $G$9) + CHOOSE(CONTROL!$C$38, 0.0347, 0)</f>
        <v>32.003900000000002</v>
      </c>
      <c r="E436" s="28">
        <f>34.5601 * CHOOSE(CONTROL!$C$15, $E$9, 100%, $G$9) + CHOOSE(CONTROL!$C$38, 0.0347, 0)</f>
        <v>34.594799999999999</v>
      </c>
      <c r="F436" s="27">
        <f>34.5601 * CHOOSE(CONTROL!$C$15, $E$9, 100%, $G$9) + CHOOSE(CONTROL!$C$38, 0.0256, 0)</f>
        <v>34.585699999999996</v>
      </c>
      <c r="G436" s="10">
        <f>31.9755 * CHOOSE(CONTROL!$C$15, $E$9, 100%, $G$9) + CHOOSE(CONTROL!$C$38, 0.0347, 0)</f>
        <v>32.010199999999998</v>
      </c>
      <c r="H436" s="10">
        <f>31.9755 * CHOOSE(CONTROL!$C$15, $E$9, 100%, $G$9) + CHOOSE(CONTROL!$C$38, 0.0347, 0)</f>
        <v>32.010199999999998</v>
      </c>
      <c r="I436" s="10">
        <f>31.977 * CHOOSE(CONTROL!$C$15, $E$9, 100%, $G$9) + CHOOSE(CONTROL!$C$38, 0.0347, 0)</f>
        <v>32.011699999999998</v>
      </c>
      <c r="J436" s="26">
        <f>234.3714</f>
        <v>234.37139999999999</v>
      </c>
    </row>
    <row r="437" spans="1:10" ht="15.75" x14ac:dyDescent="0.25">
      <c r="A437" s="14">
        <v>54604</v>
      </c>
      <c r="B437" s="10">
        <f>34.3545 * CHOOSE(CONTROL!$C$15, $E$9, 100%, $G$9) + CHOOSE(CONTROL!$C$38, 0.0256, 0)</f>
        <v>34.380099999999999</v>
      </c>
      <c r="C437" s="10">
        <f>31.6152 * CHOOSE(CONTROL!$C$15, $E$9, 100%, $G$9) + CHOOSE(CONTROL!$C$38, 0.0347, 0)</f>
        <v>31.649900000000002</v>
      </c>
      <c r="D437" s="10">
        <f>31.6074 * CHOOSE(CONTROL!$C$15, $E$9, 100%, $G$9) + CHOOSE(CONTROL!$C$38, 0.0347, 0)</f>
        <v>31.642099999999999</v>
      </c>
      <c r="E437" s="28">
        <f>34.1983 * CHOOSE(CONTROL!$C$15, $E$9, 100%, $G$9) + CHOOSE(CONTROL!$C$38, 0.0347, 0)</f>
        <v>34.233000000000004</v>
      </c>
      <c r="F437" s="27">
        <f>34.1983 * CHOOSE(CONTROL!$C$15, $E$9, 100%, $G$9) + CHOOSE(CONTROL!$C$38, 0.0256, 0)</f>
        <v>34.2239</v>
      </c>
      <c r="G437" s="10">
        <f>31.6136 * CHOOSE(CONTROL!$C$15, $E$9, 100%, $G$9) + CHOOSE(CONTROL!$C$38, 0.0347, 0)</f>
        <v>31.648300000000003</v>
      </c>
      <c r="H437" s="10">
        <f>31.6136 * CHOOSE(CONTROL!$C$15, $E$9, 100%, $G$9) + CHOOSE(CONTROL!$C$38, 0.0347, 0)</f>
        <v>31.648300000000003</v>
      </c>
      <c r="I437" s="10">
        <f>31.6152 * CHOOSE(CONTROL!$C$15, $E$9, 100%, $G$9) + CHOOSE(CONTROL!$C$38, 0.0347, 0)</f>
        <v>31.649900000000002</v>
      </c>
      <c r="J437" s="26">
        <f>237.7485</f>
        <v>237.74850000000001</v>
      </c>
    </row>
    <row r="438" spans="1:10" ht="15.75" x14ac:dyDescent="0.25">
      <c r="A438" s="14">
        <v>54635</v>
      </c>
      <c r="B438" s="10">
        <f>34.148 * CHOOSE(CONTROL!$C$15, $E$9, 100%, $G$9) + CHOOSE(CONTROL!$C$38, 0.0256, 0)</f>
        <v>34.1736</v>
      </c>
      <c r="C438" s="10">
        <f>31.4087 * CHOOSE(CONTROL!$C$15, $E$9, 100%, $G$9) + CHOOSE(CONTROL!$C$38, 0.0347, 0)</f>
        <v>31.4434</v>
      </c>
      <c r="D438" s="10">
        <f>31.4009 * CHOOSE(CONTROL!$C$15, $E$9, 100%, $G$9) + CHOOSE(CONTROL!$C$38, 0.0347, 0)</f>
        <v>31.435600000000001</v>
      </c>
      <c r="E438" s="28">
        <f>33.9918 * CHOOSE(CONTROL!$C$15, $E$9, 100%, $G$9) + CHOOSE(CONTROL!$C$38, 0.0347, 0)</f>
        <v>34.026499999999999</v>
      </c>
      <c r="F438" s="27">
        <f>33.9918 * CHOOSE(CONTROL!$C$15, $E$9, 100%, $G$9) + CHOOSE(CONTROL!$C$38, 0.0256, 0)</f>
        <v>34.017399999999995</v>
      </c>
      <c r="G438" s="10">
        <f>31.4071 * CHOOSE(CONTROL!$C$15, $E$9, 100%, $G$9) + CHOOSE(CONTROL!$C$38, 0.0347, 0)</f>
        <v>31.441800000000001</v>
      </c>
      <c r="H438" s="10">
        <f>31.4071 * CHOOSE(CONTROL!$C$15, $E$9, 100%, $G$9) + CHOOSE(CONTROL!$C$38, 0.0347, 0)</f>
        <v>31.441800000000001</v>
      </c>
      <c r="I438" s="10">
        <f>31.4087 * CHOOSE(CONTROL!$C$15, $E$9, 100%, $G$9) + CHOOSE(CONTROL!$C$38, 0.0347, 0)</f>
        <v>31.4434</v>
      </c>
      <c r="J438" s="26">
        <f>236.6366</f>
        <v>236.63659999999999</v>
      </c>
    </row>
    <row r="439" spans="1:10" ht="15.75" x14ac:dyDescent="0.25">
      <c r="A439" s="14">
        <v>54666</v>
      </c>
      <c r="B439" s="10">
        <f>34.2499 * CHOOSE(CONTROL!$C$15, $E$9, 100%, $G$9) + CHOOSE(CONTROL!$C$38, 0.0256, 0)</f>
        <v>34.275499999999994</v>
      </c>
      <c r="C439" s="10">
        <f>31.5106 * CHOOSE(CONTROL!$C$15, $E$9, 100%, $G$9) + CHOOSE(CONTROL!$C$38, 0.0347, 0)</f>
        <v>31.545300000000001</v>
      </c>
      <c r="D439" s="10">
        <f>31.5028 * CHOOSE(CONTROL!$C$15, $E$9, 100%, $G$9) + CHOOSE(CONTROL!$C$38, 0.0347, 0)</f>
        <v>31.537500000000001</v>
      </c>
      <c r="E439" s="28">
        <f>34.0937 * CHOOSE(CONTROL!$C$15, $E$9, 100%, $G$9) + CHOOSE(CONTROL!$C$38, 0.0347, 0)</f>
        <v>34.128399999999999</v>
      </c>
      <c r="F439" s="27">
        <f>34.0937 * CHOOSE(CONTROL!$C$15, $E$9, 100%, $G$9) + CHOOSE(CONTROL!$C$38, 0.0256, 0)</f>
        <v>34.119299999999996</v>
      </c>
      <c r="G439" s="10">
        <f>31.509 * CHOOSE(CONTROL!$C$15, $E$9, 100%, $G$9) + CHOOSE(CONTROL!$C$38, 0.0347, 0)</f>
        <v>31.543700000000001</v>
      </c>
      <c r="H439" s="10">
        <f>31.509 * CHOOSE(CONTROL!$C$15, $E$9, 100%, $G$9) + CHOOSE(CONTROL!$C$38, 0.0347, 0)</f>
        <v>31.543700000000001</v>
      </c>
      <c r="I439" s="10">
        <f>31.5106 * CHOOSE(CONTROL!$C$15, $E$9, 100%, $G$9) + CHOOSE(CONTROL!$C$38, 0.0347, 0)</f>
        <v>31.545300000000001</v>
      </c>
      <c r="J439" s="26">
        <f>231.1278</f>
        <v>231.12780000000001</v>
      </c>
    </row>
    <row r="440" spans="1:10" ht="15.75" x14ac:dyDescent="0.25">
      <c r="A440" s="14">
        <v>54696</v>
      </c>
      <c r="B440" s="10">
        <f>34.5267 * CHOOSE(CONTROL!$C$15, $E$9, 100%, $G$9) + CHOOSE(CONTROL!$C$38, 0.0256, 0)</f>
        <v>34.552299999999995</v>
      </c>
      <c r="C440" s="10">
        <f>31.7874 * CHOOSE(CONTROL!$C$15, $E$9, 100%, $G$9) + CHOOSE(CONTROL!$C$38, 0.0347, 0)</f>
        <v>31.822100000000002</v>
      </c>
      <c r="D440" s="10">
        <f>31.7796 * CHOOSE(CONTROL!$C$15, $E$9, 100%, $G$9) + CHOOSE(CONTROL!$C$38, 0.0347, 0)</f>
        <v>31.814299999999999</v>
      </c>
      <c r="E440" s="28">
        <f>34.3705 * CHOOSE(CONTROL!$C$15, $E$9, 100%, $G$9) + CHOOSE(CONTROL!$C$38, 0.0347, 0)</f>
        <v>34.405200000000001</v>
      </c>
      <c r="F440" s="27">
        <f>34.3705 * CHOOSE(CONTROL!$C$15, $E$9, 100%, $G$9) + CHOOSE(CONTROL!$C$38, 0.0256, 0)</f>
        <v>34.396099999999997</v>
      </c>
      <c r="G440" s="10">
        <f>31.7858 * CHOOSE(CONTROL!$C$15, $E$9, 100%, $G$9) + CHOOSE(CONTROL!$C$38, 0.0347, 0)</f>
        <v>31.820499999999999</v>
      </c>
      <c r="H440" s="10">
        <f>31.7858 * CHOOSE(CONTROL!$C$15, $E$9, 100%, $G$9) + CHOOSE(CONTROL!$C$38, 0.0347, 0)</f>
        <v>31.820499999999999</v>
      </c>
      <c r="I440" s="10">
        <f>31.7874 * CHOOSE(CONTROL!$C$15, $E$9, 100%, $G$9) + CHOOSE(CONTROL!$C$38, 0.0347, 0)</f>
        <v>31.822100000000002</v>
      </c>
      <c r="J440" s="26">
        <f>223.4455</f>
        <v>223.44550000000001</v>
      </c>
    </row>
    <row r="441" spans="1:10" ht="15.75" x14ac:dyDescent="0.25">
      <c r="A441" s="14">
        <v>54727</v>
      </c>
      <c r="B441" s="10">
        <f>34.7586 * CHOOSE(CONTROL!$C$15, $E$9, 100%, $G$9) + CHOOSE(CONTROL!$C$38, 0.0256, 0)</f>
        <v>34.784199999999998</v>
      </c>
      <c r="C441" s="10">
        <f>32.0192 * CHOOSE(CONTROL!$C$15, $E$9, 100%, $G$9) + CHOOSE(CONTROL!$C$38, 0.0347, 0)</f>
        <v>32.053899999999999</v>
      </c>
      <c r="D441" s="10">
        <f>32.0114 * CHOOSE(CONTROL!$C$15, $E$9, 100%, $G$9) + CHOOSE(CONTROL!$C$38, 0.0347, 0)</f>
        <v>32.046100000000003</v>
      </c>
      <c r="E441" s="28">
        <f>34.6023 * CHOOSE(CONTROL!$C$15, $E$9, 100%, $G$9) + CHOOSE(CONTROL!$C$38, 0.0347, 0)</f>
        <v>34.637</v>
      </c>
      <c r="F441" s="27">
        <f>34.6023 * CHOOSE(CONTROL!$C$15, $E$9, 100%, $G$9) + CHOOSE(CONTROL!$C$38, 0.0256, 0)</f>
        <v>34.627899999999997</v>
      </c>
      <c r="G441" s="10">
        <f>32.0177 * CHOOSE(CONTROL!$C$15, $E$9, 100%, $G$9) + CHOOSE(CONTROL!$C$38, 0.0347, 0)</f>
        <v>32.052399999999999</v>
      </c>
      <c r="H441" s="10">
        <f>32.0177 * CHOOSE(CONTROL!$C$15, $E$9, 100%, $G$9) + CHOOSE(CONTROL!$C$38, 0.0347, 0)</f>
        <v>32.052399999999999</v>
      </c>
      <c r="I441" s="10">
        <f>32.0192 * CHOOSE(CONTROL!$C$15, $E$9, 100%, $G$9) + CHOOSE(CONTROL!$C$38, 0.0347, 0)</f>
        <v>32.053899999999999</v>
      </c>
      <c r="J441" s="26">
        <f>215.7185</f>
        <v>215.71850000000001</v>
      </c>
    </row>
    <row r="442" spans="1:10" ht="15.75" x14ac:dyDescent="0.25">
      <c r="A442" s="14">
        <v>54757</v>
      </c>
      <c r="B442" s="10">
        <f>34.952 * CHOOSE(CONTROL!$C$15, $E$9, 100%, $G$9) + CHOOSE(CONTROL!$C$38, 0.0256, 0)</f>
        <v>34.977599999999995</v>
      </c>
      <c r="C442" s="10">
        <f>32.2127 * CHOOSE(CONTROL!$C$15, $E$9, 100%, $G$9) + CHOOSE(CONTROL!$C$38, 0.0347, 0)</f>
        <v>32.247399999999999</v>
      </c>
      <c r="D442" s="10">
        <f>32.2049 * CHOOSE(CONTROL!$C$15, $E$9, 100%, $G$9) + CHOOSE(CONTROL!$C$38, 0.0347, 0)</f>
        <v>32.239600000000003</v>
      </c>
      <c r="E442" s="28">
        <f>34.7958 * CHOOSE(CONTROL!$C$15, $E$9, 100%, $G$9) + CHOOSE(CONTROL!$C$38, 0.0347, 0)</f>
        <v>34.830500000000001</v>
      </c>
      <c r="F442" s="27">
        <f>34.7958 * CHOOSE(CONTROL!$C$15, $E$9, 100%, $G$9) + CHOOSE(CONTROL!$C$38, 0.0256, 0)</f>
        <v>34.821399999999997</v>
      </c>
      <c r="G442" s="10">
        <f>32.2111 * CHOOSE(CONTROL!$C$15, $E$9, 100%, $G$9) + CHOOSE(CONTROL!$C$38, 0.0347, 0)</f>
        <v>32.245800000000003</v>
      </c>
      <c r="H442" s="10">
        <f>32.2111 * CHOOSE(CONTROL!$C$15, $E$9, 100%, $G$9) + CHOOSE(CONTROL!$C$38, 0.0347, 0)</f>
        <v>32.245800000000003</v>
      </c>
      <c r="I442" s="10">
        <f>32.2127 * CHOOSE(CONTROL!$C$15, $E$9, 100%, $G$9) + CHOOSE(CONTROL!$C$38, 0.0347, 0)</f>
        <v>32.247399999999999</v>
      </c>
      <c r="J442" s="26">
        <f>214.1815</f>
        <v>214.1815</v>
      </c>
    </row>
    <row r="443" spans="1:10" ht="15.75" x14ac:dyDescent="0.25">
      <c r="A443" s="14">
        <v>54788</v>
      </c>
      <c r="B443" s="10">
        <f>35.5481 * CHOOSE(CONTROL!$C$15, $E$9, 100%, $G$9) + CHOOSE(CONTROL!$C$38, 0.0256, 0)</f>
        <v>35.573699999999995</v>
      </c>
      <c r="C443" s="10">
        <f>32.8087 * CHOOSE(CONTROL!$C$15, $E$9, 100%, $G$9) + CHOOSE(CONTROL!$C$38, 0.0347, 0)</f>
        <v>32.843400000000003</v>
      </c>
      <c r="D443" s="10">
        <f>32.8009 * CHOOSE(CONTROL!$C$15, $E$9, 100%, $G$9) + CHOOSE(CONTROL!$C$38, 0.0347, 0)</f>
        <v>32.835599999999999</v>
      </c>
      <c r="E443" s="28">
        <f>35.3918 * CHOOSE(CONTROL!$C$15, $E$9, 100%, $G$9) + CHOOSE(CONTROL!$C$38, 0.0347, 0)</f>
        <v>35.426500000000004</v>
      </c>
      <c r="F443" s="27">
        <f>35.3918 * CHOOSE(CONTROL!$C$15, $E$9, 100%, $G$9) + CHOOSE(CONTROL!$C$38, 0.0256, 0)</f>
        <v>35.417400000000001</v>
      </c>
      <c r="G443" s="10">
        <f>32.8072 * CHOOSE(CONTROL!$C$15, $E$9, 100%, $G$9) + CHOOSE(CONTROL!$C$38, 0.0347, 0)</f>
        <v>32.841900000000003</v>
      </c>
      <c r="H443" s="10">
        <f>32.8072 * CHOOSE(CONTROL!$C$15, $E$9, 100%, $G$9) + CHOOSE(CONTROL!$C$38, 0.0347, 0)</f>
        <v>32.841900000000003</v>
      </c>
      <c r="I443" s="10">
        <f>32.8087 * CHOOSE(CONTROL!$C$15, $E$9, 100%, $G$9) + CHOOSE(CONTROL!$C$38, 0.0347, 0)</f>
        <v>32.843400000000003</v>
      </c>
      <c r="J443" s="26">
        <f>207.8256</f>
        <v>207.82560000000001</v>
      </c>
    </row>
    <row r="444" spans="1:10" ht="15.75" x14ac:dyDescent="0.25">
      <c r="A444" s="14">
        <v>54819</v>
      </c>
      <c r="B444" s="10">
        <f>36.6261 * CHOOSE(CONTROL!$C$15, $E$9, 100%, $G$9) + CHOOSE(CONTROL!$C$38, 0.0256, 0)</f>
        <v>36.651699999999998</v>
      </c>
      <c r="C444" s="10">
        <f>33.8411 * CHOOSE(CONTROL!$C$15, $E$9, 100%, $G$9) + CHOOSE(CONTROL!$C$38, 0.0347, 0)</f>
        <v>33.875799999999998</v>
      </c>
      <c r="D444" s="10">
        <f>33.8333 * CHOOSE(CONTROL!$C$15, $E$9, 100%, $G$9) + CHOOSE(CONTROL!$C$38, 0.0347, 0)</f>
        <v>33.868000000000002</v>
      </c>
      <c r="E444" s="28">
        <f>36.4699 * CHOOSE(CONTROL!$C$15, $E$9, 100%, $G$9) + CHOOSE(CONTROL!$C$38, 0.0347, 0)</f>
        <v>36.504600000000003</v>
      </c>
      <c r="F444" s="27">
        <f>36.4699 * CHOOSE(CONTROL!$C$15, $E$9, 100%, $G$9) + CHOOSE(CONTROL!$C$38, 0.0256, 0)</f>
        <v>36.4955</v>
      </c>
      <c r="G444" s="10">
        <f>33.8396 * CHOOSE(CONTROL!$C$15, $E$9, 100%, $G$9) + CHOOSE(CONTROL!$C$38, 0.0347, 0)</f>
        <v>33.874299999999998</v>
      </c>
      <c r="H444" s="10">
        <f>33.8396 * CHOOSE(CONTROL!$C$15, $E$9, 100%, $G$9) + CHOOSE(CONTROL!$C$38, 0.0347, 0)</f>
        <v>33.874299999999998</v>
      </c>
      <c r="I444" s="10">
        <f>33.8411 * CHOOSE(CONTROL!$C$15, $E$9, 100%, $G$9) + CHOOSE(CONTROL!$C$38, 0.0347, 0)</f>
        <v>33.875799999999998</v>
      </c>
      <c r="J444" s="26">
        <f>206.4335</f>
        <v>206.43350000000001</v>
      </c>
    </row>
    <row r="445" spans="1:10" ht="15.75" x14ac:dyDescent="0.25">
      <c r="A445" s="14">
        <v>54847</v>
      </c>
      <c r="B445" s="10">
        <f>36.8469 * CHOOSE(CONTROL!$C$15, $E$9, 100%, $G$9) + CHOOSE(CONTROL!$C$38, 0.0256, 0)</f>
        <v>36.872499999999995</v>
      </c>
      <c r="C445" s="10">
        <f>34.0619 * CHOOSE(CONTROL!$C$15, $E$9, 100%, $G$9) + CHOOSE(CONTROL!$C$38, 0.0347, 0)</f>
        <v>34.096600000000002</v>
      </c>
      <c r="D445" s="10">
        <f>34.0541 * CHOOSE(CONTROL!$C$15, $E$9, 100%, $G$9) + CHOOSE(CONTROL!$C$38, 0.0347, 0)</f>
        <v>34.088799999999999</v>
      </c>
      <c r="E445" s="28">
        <f>36.6906 * CHOOSE(CONTROL!$C$15, $E$9, 100%, $G$9) + CHOOSE(CONTROL!$C$38, 0.0347, 0)</f>
        <v>36.725300000000004</v>
      </c>
      <c r="F445" s="27">
        <f>36.6906 * CHOOSE(CONTROL!$C$15, $E$9, 100%, $G$9) + CHOOSE(CONTROL!$C$38, 0.0256, 0)</f>
        <v>36.716200000000001</v>
      </c>
      <c r="G445" s="10">
        <f>34.0603 * CHOOSE(CONTROL!$C$15, $E$9, 100%, $G$9) + CHOOSE(CONTROL!$C$38, 0.0347, 0)</f>
        <v>34.094999999999999</v>
      </c>
      <c r="H445" s="10">
        <f>34.0603 * CHOOSE(CONTROL!$C$15, $E$9, 100%, $G$9) + CHOOSE(CONTROL!$C$38, 0.0347, 0)</f>
        <v>34.094999999999999</v>
      </c>
      <c r="I445" s="10">
        <f>34.0619 * CHOOSE(CONTROL!$C$15, $E$9, 100%, $G$9) + CHOOSE(CONTROL!$C$38, 0.0347, 0)</f>
        <v>34.096600000000002</v>
      </c>
      <c r="J445" s="26">
        <f>205.8597</f>
        <v>205.8597</v>
      </c>
    </row>
    <row r="446" spans="1:10" ht="15.75" x14ac:dyDescent="0.25">
      <c r="A446" s="14">
        <v>54878</v>
      </c>
      <c r="B446" s="10">
        <f>36.3358 * CHOOSE(CONTROL!$C$15, $E$9, 100%, $G$9) + CHOOSE(CONTROL!$C$38, 0.0256, 0)</f>
        <v>36.361399999999996</v>
      </c>
      <c r="C446" s="10">
        <f>33.5509 * CHOOSE(CONTROL!$C$15, $E$9, 100%, $G$9) + CHOOSE(CONTROL!$C$38, 0.0347, 0)</f>
        <v>33.585599999999999</v>
      </c>
      <c r="D446" s="10">
        <f>33.543 * CHOOSE(CONTROL!$C$15, $E$9, 100%, $G$9) + CHOOSE(CONTROL!$C$38, 0.0347, 0)</f>
        <v>33.5777</v>
      </c>
      <c r="E446" s="28">
        <f>36.1796 * CHOOSE(CONTROL!$C$15, $E$9, 100%, $G$9) + CHOOSE(CONTROL!$C$38, 0.0347, 0)</f>
        <v>36.214300000000001</v>
      </c>
      <c r="F446" s="27">
        <f>36.1796 * CHOOSE(CONTROL!$C$15, $E$9, 100%, $G$9) + CHOOSE(CONTROL!$C$38, 0.0256, 0)</f>
        <v>36.205199999999998</v>
      </c>
      <c r="G446" s="10">
        <f>33.5493 * CHOOSE(CONTROL!$C$15, $E$9, 100%, $G$9) + CHOOSE(CONTROL!$C$38, 0.0347, 0)</f>
        <v>33.584000000000003</v>
      </c>
      <c r="H446" s="10">
        <f>33.5493 * CHOOSE(CONTROL!$C$15, $E$9, 100%, $G$9) + CHOOSE(CONTROL!$C$38, 0.0347, 0)</f>
        <v>33.584000000000003</v>
      </c>
      <c r="I446" s="10">
        <f>33.5509 * CHOOSE(CONTROL!$C$15, $E$9, 100%, $G$9) + CHOOSE(CONTROL!$C$38, 0.0347, 0)</f>
        <v>33.585599999999999</v>
      </c>
      <c r="J446" s="26">
        <f>216.7097</f>
        <v>216.7097</v>
      </c>
    </row>
    <row r="447" spans="1:10" ht="15.75" x14ac:dyDescent="0.25">
      <c r="A447" s="14">
        <v>54908</v>
      </c>
      <c r="B447" s="10">
        <f>35.8407 * CHOOSE(CONTROL!$C$15, $E$9, 100%, $G$9) + CHOOSE(CONTROL!$C$38, 0.0256, 0)</f>
        <v>35.866299999999995</v>
      </c>
      <c r="C447" s="10">
        <f>33.0557 * CHOOSE(CONTROL!$C$15, $E$9, 100%, $G$9) + CHOOSE(CONTROL!$C$38, 0.0347, 0)</f>
        <v>33.090400000000002</v>
      </c>
      <c r="D447" s="10">
        <f>33.0479 * CHOOSE(CONTROL!$C$15, $E$9, 100%, $G$9) + CHOOSE(CONTROL!$C$38, 0.0347, 0)</f>
        <v>33.082599999999999</v>
      </c>
      <c r="E447" s="28">
        <f>35.6844 * CHOOSE(CONTROL!$C$15, $E$9, 100%, $G$9) + CHOOSE(CONTROL!$C$38, 0.0347, 0)</f>
        <v>35.719099999999997</v>
      </c>
      <c r="F447" s="27">
        <f>35.6844 * CHOOSE(CONTROL!$C$15, $E$9, 100%, $G$9) + CHOOSE(CONTROL!$C$38, 0.0256, 0)</f>
        <v>35.709999999999994</v>
      </c>
      <c r="G447" s="10">
        <f>33.0541 * CHOOSE(CONTROL!$C$15, $E$9, 100%, $G$9) + CHOOSE(CONTROL!$C$38, 0.0347, 0)</f>
        <v>33.088799999999999</v>
      </c>
      <c r="H447" s="10">
        <f>33.0541 * CHOOSE(CONTROL!$C$15, $E$9, 100%, $G$9) + CHOOSE(CONTROL!$C$38, 0.0347, 0)</f>
        <v>33.088799999999999</v>
      </c>
      <c r="I447" s="10">
        <f>33.0557 * CHOOSE(CONTROL!$C$15, $E$9, 100%, $G$9) + CHOOSE(CONTROL!$C$38, 0.0347, 0)</f>
        <v>33.090400000000002</v>
      </c>
      <c r="J447" s="26">
        <f>230.7796</f>
        <v>230.77959999999999</v>
      </c>
    </row>
    <row r="448" spans="1:10" ht="15.75" x14ac:dyDescent="0.25">
      <c r="A448" s="14">
        <v>54939</v>
      </c>
      <c r="B448" s="10">
        <f>35.3245 * CHOOSE(CONTROL!$C$15, $E$9, 100%, $G$9) + CHOOSE(CONTROL!$C$38, 0.0256, 0)</f>
        <v>35.350099999999998</v>
      </c>
      <c r="C448" s="10">
        <f>32.5396 * CHOOSE(CONTROL!$C$15, $E$9, 100%, $G$9) + CHOOSE(CONTROL!$C$38, 0.0347, 0)</f>
        <v>32.574300000000001</v>
      </c>
      <c r="D448" s="10">
        <f>32.5317 * CHOOSE(CONTROL!$C$15, $E$9, 100%, $G$9) + CHOOSE(CONTROL!$C$38, 0.0347, 0)</f>
        <v>32.566400000000002</v>
      </c>
      <c r="E448" s="28">
        <f>35.1683 * CHOOSE(CONTROL!$C$15, $E$9, 100%, $G$9) + CHOOSE(CONTROL!$C$38, 0.0347, 0)</f>
        <v>35.203000000000003</v>
      </c>
      <c r="F448" s="27">
        <f>35.1683 * CHOOSE(CONTROL!$C$15, $E$9, 100%, $G$9) + CHOOSE(CONTROL!$C$38, 0.0256, 0)</f>
        <v>35.193899999999999</v>
      </c>
      <c r="G448" s="10">
        <f>32.538 * CHOOSE(CONTROL!$C$15, $E$9, 100%, $G$9) + CHOOSE(CONTROL!$C$38, 0.0347, 0)</f>
        <v>32.572699999999998</v>
      </c>
      <c r="H448" s="10">
        <f>32.538 * CHOOSE(CONTROL!$C$15, $E$9, 100%, $G$9) + CHOOSE(CONTROL!$C$38, 0.0347, 0)</f>
        <v>32.572699999999998</v>
      </c>
      <c r="I448" s="10">
        <f>32.5396 * CHOOSE(CONTROL!$C$15, $E$9, 100%, $G$9) + CHOOSE(CONTROL!$C$38, 0.0347, 0)</f>
        <v>32.574300000000001</v>
      </c>
      <c r="J448" s="26">
        <f>238.5241</f>
        <v>238.5241</v>
      </c>
    </row>
    <row r="449" spans="1:10" ht="15.75" x14ac:dyDescent="0.25">
      <c r="A449" s="14">
        <v>54969</v>
      </c>
      <c r="B449" s="10">
        <f>34.9627 * CHOOSE(CONTROL!$C$15, $E$9, 100%, $G$9) + CHOOSE(CONTROL!$C$38, 0.0256, 0)</f>
        <v>34.988299999999995</v>
      </c>
      <c r="C449" s="10">
        <f>32.1777 * CHOOSE(CONTROL!$C$15, $E$9, 100%, $G$9) + CHOOSE(CONTROL!$C$38, 0.0347, 0)</f>
        <v>32.212400000000002</v>
      </c>
      <c r="D449" s="10">
        <f>32.1699 * CHOOSE(CONTROL!$C$15, $E$9, 100%, $G$9) + CHOOSE(CONTROL!$C$38, 0.0347, 0)</f>
        <v>32.204599999999999</v>
      </c>
      <c r="E449" s="28">
        <f>34.8065 * CHOOSE(CONTROL!$C$15, $E$9, 100%, $G$9) + CHOOSE(CONTROL!$C$38, 0.0347, 0)</f>
        <v>34.841200000000001</v>
      </c>
      <c r="F449" s="27">
        <f>34.8065 * CHOOSE(CONTROL!$C$15, $E$9, 100%, $G$9) + CHOOSE(CONTROL!$C$38, 0.0256, 0)</f>
        <v>34.832099999999997</v>
      </c>
      <c r="G449" s="10">
        <f>32.1762 * CHOOSE(CONTROL!$C$15, $E$9, 100%, $G$9) + CHOOSE(CONTROL!$C$38, 0.0347, 0)</f>
        <v>32.210900000000002</v>
      </c>
      <c r="H449" s="10">
        <f>32.1762 * CHOOSE(CONTROL!$C$15, $E$9, 100%, $G$9) + CHOOSE(CONTROL!$C$38, 0.0347, 0)</f>
        <v>32.210900000000002</v>
      </c>
      <c r="I449" s="10">
        <f>32.1777 * CHOOSE(CONTROL!$C$15, $E$9, 100%, $G$9) + CHOOSE(CONTROL!$C$38, 0.0347, 0)</f>
        <v>32.212400000000002</v>
      </c>
      <c r="J449" s="26">
        <f>241.9609</f>
        <v>241.96090000000001</v>
      </c>
    </row>
    <row r="450" spans="1:10" ht="15.75" x14ac:dyDescent="0.25">
      <c r="A450" s="14">
        <v>55000</v>
      </c>
      <c r="B450" s="10">
        <f>34.7562 * CHOOSE(CONTROL!$C$15, $E$9, 100%, $G$9) + CHOOSE(CONTROL!$C$38, 0.0256, 0)</f>
        <v>34.781799999999997</v>
      </c>
      <c r="C450" s="10">
        <f>31.9712 * CHOOSE(CONTROL!$C$15, $E$9, 100%, $G$9) + CHOOSE(CONTROL!$C$38, 0.0347, 0)</f>
        <v>32.005899999999997</v>
      </c>
      <c r="D450" s="10">
        <f>31.9634 * CHOOSE(CONTROL!$C$15, $E$9, 100%, $G$9) + CHOOSE(CONTROL!$C$38, 0.0347, 0)</f>
        <v>31.998100000000001</v>
      </c>
      <c r="E450" s="28">
        <f>34.6 * CHOOSE(CONTROL!$C$15, $E$9, 100%, $G$9) + CHOOSE(CONTROL!$C$38, 0.0347, 0)</f>
        <v>34.634700000000002</v>
      </c>
      <c r="F450" s="27">
        <f>34.6 * CHOOSE(CONTROL!$C$15, $E$9, 100%, $G$9) + CHOOSE(CONTROL!$C$38, 0.0256, 0)</f>
        <v>34.625599999999999</v>
      </c>
      <c r="G450" s="10">
        <f>31.9697 * CHOOSE(CONTROL!$C$15, $E$9, 100%, $G$9) + CHOOSE(CONTROL!$C$38, 0.0347, 0)</f>
        <v>32.004399999999997</v>
      </c>
      <c r="H450" s="10">
        <f>31.9697 * CHOOSE(CONTROL!$C$15, $E$9, 100%, $G$9) + CHOOSE(CONTROL!$C$38, 0.0347, 0)</f>
        <v>32.004399999999997</v>
      </c>
      <c r="I450" s="10">
        <f>31.9712 * CHOOSE(CONTROL!$C$15, $E$9, 100%, $G$9) + CHOOSE(CONTROL!$C$38, 0.0347, 0)</f>
        <v>32.005899999999997</v>
      </c>
      <c r="J450" s="26">
        <f>240.8294</f>
        <v>240.82939999999999</v>
      </c>
    </row>
    <row r="451" spans="1:10" ht="15.75" x14ac:dyDescent="0.25">
      <c r="A451" s="14">
        <v>55031</v>
      </c>
      <c r="B451" s="10">
        <f>34.8581 * CHOOSE(CONTROL!$C$15, $E$9, 100%, $G$9) + CHOOSE(CONTROL!$C$38, 0.0256, 0)</f>
        <v>34.883699999999997</v>
      </c>
      <c r="C451" s="10">
        <f>32.0731 * CHOOSE(CONTROL!$C$15, $E$9, 100%, $G$9) + CHOOSE(CONTROL!$C$38, 0.0347, 0)</f>
        <v>32.107799999999997</v>
      </c>
      <c r="D451" s="10">
        <f>32.0653 * CHOOSE(CONTROL!$C$15, $E$9, 100%, $G$9) + CHOOSE(CONTROL!$C$38, 0.0347, 0)</f>
        <v>32.1</v>
      </c>
      <c r="E451" s="28">
        <f>34.7019 * CHOOSE(CONTROL!$C$15, $E$9, 100%, $G$9) + CHOOSE(CONTROL!$C$38, 0.0347, 0)</f>
        <v>34.736600000000003</v>
      </c>
      <c r="F451" s="27">
        <f>34.7019 * CHOOSE(CONTROL!$C$15, $E$9, 100%, $G$9) + CHOOSE(CONTROL!$C$38, 0.0256, 0)</f>
        <v>34.727499999999999</v>
      </c>
      <c r="G451" s="10">
        <f>32.0716 * CHOOSE(CONTROL!$C$15, $E$9, 100%, $G$9) + CHOOSE(CONTROL!$C$38, 0.0347, 0)</f>
        <v>32.106299999999997</v>
      </c>
      <c r="H451" s="10">
        <f>32.0716 * CHOOSE(CONTROL!$C$15, $E$9, 100%, $G$9) + CHOOSE(CONTROL!$C$38, 0.0347, 0)</f>
        <v>32.106299999999997</v>
      </c>
      <c r="I451" s="10">
        <f>32.0731 * CHOOSE(CONTROL!$C$15, $E$9, 100%, $G$9) + CHOOSE(CONTROL!$C$38, 0.0347, 0)</f>
        <v>32.107799999999997</v>
      </c>
      <c r="J451" s="26">
        <f>235.223</f>
        <v>235.22300000000001</v>
      </c>
    </row>
    <row r="452" spans="1:10" ht="15.75" x14ac:dyDescent="0.25">
      <c r="A452" s="14">
        <v>55061</v>
      </c>
      <c r="B452" s="10">
        <f>35.1349 * CHOOSE(CONTROL!$C$15, $E$9, 100%, $G$9) + CHOOSE(CONTROL!$C$38, 0.0256, 0)</f>
        <v>35.160499999999999</v>
      </c>
      <c r="C452" s="10">
        <f>32.3499 * CHOOSE(CONTROL!$C$15, $E$9, 100%, $G$9) + CHOOSE(CONTROL!$C$38, 0.0347, 0)</f>
        <v>32.384599999999999</v>
      </c>
      <c r="D452" s="10">
        <f>32.3421 * CHOOSE(CONTROL!$C$15, $E$9, 100%, $G$9) + CHOOSE(CONTROL!$C$38, 0.0347, 0)</f>
        <v>32.376800000000003</v>
      </c>
      <c r="E452" s="28">
        <f>34.9787 * CHOOSE(CONTROL!$C$15, $E$9, 100%, $G$9) + CHOOSE(CONTROL!$C$38, 0.0347, 0)</f>
        <v>35.013400000000004</v>
      </c>
      <c r="F452" s="27">
        <f>34.9787 * CHOOSE(CONTROL!$C$15, $E$9, 100%, $G$9) + CHOOSE(CONTROL!$C$38, 0.0256, 0)</f>
        <v>35.004300000000001</v>
      </c>
      <c r="G452" s="10">
        <f>32.3484 * CHOOSE(CONTROL!$C$15, $E$9, 100%, $G$9) + CHOOSE(CONTROL!$C$38, 0.0347, 0)</f>
        <v>32.383099999999999</v>
      </c>
      <c r="H452" s="10">
        <f>32.3484 * CHOOSE(CONTROL!$C$15, $E$9, 100%, $G$9) + CHOOSE(CONTROL!$C$38, 0.0347, 0)</f>
        <v>32.383099999999999</v>
      </c>
      <c r="I452" s="10">
        <f>32.3499 * CHOOSE(CONTROL!$C$15, $E$9, 100%, $G$9) + CHOOSE(CONTROL!$C$38, 0.0347, 0)</f>
        <v>32.384599999999999</v>
      </c>
      <c r="J452" s="26">
        <f>227.4045</f>
        <v>227.40450000000001</v>
      </c>
    </row>
    <row r="453" spans="1:10" ht="15.75" x14ac:dyDescent="0.25">
      <c r="A453" s="14">
        <v>55092</v>
      </c>
      <c r="B453" s="10">
        <f>35.3667 * CHOOSE(CONTROL!$C$15, $E$9, 100%, $G$9) + CHOOSE(CONTROL!$C$38, 0.0256, 0)</f>
        <v>35.392299999999999</v>
      </c>
      <c r="C453" s="10">
        <f>32.5818 * CHOOSE(CONTROL!$C$15, $E$9, 100%, $G$9) + CHOOSE(CONTROL!$C$38, 0.0347, 0)</f>
        <v>32.616500000000002</v>
      </c>
      <c r="D453" s="10">
        <f>32.574 * CHOOSE(CONTROL!$C$15, $E$9, 100%, $G$9) + CHOOSE(CONTROL!$C$38, 0.0347, 0)</f>
        <v>32.608699999999999</v>
      </c>
      <c r="E453" s="28">
        <f>35.2105 * CHOOSE(CONTROL!$C$15, $E$9, 100%, $G$9) + CHOOSE(CONTROL!$C$38, 0.0347, 0)</f>
        <v>35.245200000000004</v>
      </c>
      <c r="F453" s="27">
        <f>35.2105 * CHOOSE(CONTROL!$C$15, $E$9, 100%, $G$9) + CHOOSE(CONTROL!$C$38, 0.0256, 0)</f>
        <v>35.2361</v>
      </c>
      <c r="G453" s="10">
        <f>32.5802 * CHOOSE(CONTROL!$C$15, $E$9, 100%, $G$9) + CHOOSE(CONTROL!$C$38, 0.0347, 0)</f>
        <v>32.614899999999999</v>
      </c>
      <c r="H453" s="10">
        <f>32.5802 * CHOOSE(CONTROL!$C$15, $E$9, 100%, $G$9) + CHOOSE(CONTROL!$C$38, 0.0347, 0)</f>
        <v>32.614899999999999</v>
      </c>
      <c r="I453" s="10">
        <f>32.5818 * CHOOSE(CONTROL!$C$15, $E$9, 100%, $G$9) + CHOOSE(CONTROL!$C$38, 0.0347, 0)</f>
        <v>32.616500000000002</v>
      </c>
      <c r="J453" s="26">
        <f>219.5407</f>
        <v>219.54069999999999</v>
      </c>
    </row>
    <row r="454" spans="1:10" ht="15.75" x14ac:dyDescent="0.25">
      <c r="A454" s="14">
        <v>55122</v>
      </c>
      <c r="B454" s="10">
        <f>35.5602 * CHOOSE(CONTROL!$C$15, $E$9, 100%, $G$9) + CHOOSE(CONTROL!$C$38, 0.0256, 0)</f>
        <v>35.585799999999999</v>
      </c>
      <c r="C454" s="10">
        <f>32.7752 * CHOOSE(CONTROL!$C$15, $E$9, 100%, $G$9) + CHOOSE(CONTROL!$C$38, 0.0347, 0)</f>
        <v>32.809899999999999</v>
      </c>
      <c r="D454" s="10">
        <f>32.7674 * CHOOSE(CONTROL!$C$15, $E$9, 100%, $G$9) + CHOOSE(CONTROL!$C$38, 0.0347, 0)</f>
        <v>32.802100000000003</v>
      </c>
      <c r="E454" s="28">
        <f>35.4039 * CHOOSE(CONTROL!$C$15, $E$9, 100%, $G$9) + CHOOSE(CONTROL!$C$38, 0.0347, 0)</f>
        <v>35.438600000000001</v>
      </c>
      <c r="F454" s="27">
        <f>35.4039 * CHOOSE(CONTROL!$C$15, $E$9, 100%, $G$9) + CHOOSE(CONTROL!$C$38, 0.0256, 0)</f>
        <v>35.429499999999997</v>
      </c>
      <c r="G454" s="10">
        <f>32.7736 * CHOOSE(CONTROL!$C$15, $E$9, 100%, $G$9) + CHOOSE(CONTROL!$C$38, 0.0347, 0)</f>
        <v>32.808300000000003</v>
      </c>
      <c r="H454" s="10">
        <f>32.7736 * CHOOSE(CONTROL!$C$15, $E$9, 100%, $G$9) + CHOOSE(CONTROL!$C$38, 0.0347, 0)</f>
        <v>32.808300000000003</v>
      </c>
      <c r="I454" s="10">
        <f>32.7752 * CHOOSE(CONTROL!$C$15, $E$9, 100%, $G$9) + CHOOSE(CONTROL!$C$38, 0.0347, 0)</f>
        <v>32.809899999999999</v>
      </c>
      <c r="J454" s="26">
        <f>217.9764</f>
        <v>217.97640000000001</v>
      </c>
    </row>
    <row r="455" spans="1:10" ht="15.75" x14ac:dyDescent="0.25">
      <c r="A455" s="14">
        <v>55153</v>
      </c>
      <c r="B455" s="10">
        <f>36.1563 * CHOOSE(CONTROL!$C$15, $E$9, 100%, $G$9) + CHOOSE(CONTROL!$C$38, 0.0256, 0)</f>
        <v>36.181899999999999</v>
      </c>
      <c r="C455" s="10">
        <f>33.3713 * CHOOSE(CONTROL!$C$15, $E$9, 100%, $G$9) + CHOOSE(CONTROL!$C$38, 0.0347, 0)</f>
        <v>33.405999999999999</v>
      </c>
      <c r="D455" s="10">
        <f>33.3635 * CHOOSE(CONTROL!$C$15, $E$9, 100%, $G$9) + CHOOSE(CONTROL!$C$38, 0.0347, 0)</f>
        <v>33.398200000000003</v>
      </c>
      <c r="E455" s="28">
        <f>36 * CHOOSE(CONTROL!$C$15, $E$9, 100%, $G$9) + CHOOSE(CONTROL!$C$38, 0.0347, 0)</f>
        <v>36.034700000000001</v>
      </c>
      <c r="F455" s="27">
        <f>36 * CHOOSE(CONTROL!$C$15, $E$9, 100%, $G$9) + CHOOSE(CONTROL!$C$38, 0.0256, 0)</f>
        <v>36.025599999999997</v>
      </c>
      <c r="G455" s="10">
        <f>33.3697 * CHOOSE(CONTROL!$C$15, $E$9, 100%, $G$9) + CHOOSE(CONTROL!$C$38, 0.0347, 0)</f>
        <v>33.404400000000003</v>
      </c>
      <c r="H455" s="10">
        <f>33.3697 * CHOOSE(CONTROL!$C$15, $E$9, 100%, $G$9) + CHOOSE(CONTROL!$C$38, 0.0347, 0)</f>
        <v>33.404400000000003</v>
      </c>
      <c r="I455" s="10">
        <f>33.3713 * CHOOSE(CONTROL!$C$15, $E$9, 100%, $G$9) + CHOOSE(CONTROL!$C$38, 0.0347, 0)</f>
        <v>33.405999999999999</v>
      </c>
      <c r="J455" s="26">
        <f>211.5079</f>
        <v>211.50790000000001</v>
      </c>
    </row>
    <row r="456" spans="1:10" ht="15.75" x14ac:dyDescent="0.25">
      <c r="A456" s="14">
        <v>55184</v>
      </c>
      <c r="B456" s="10">
        <f>37.245 * CHOOSE(CONTROL!$C$15, $E$9, 100%, $G$9) + CHOOSE(CONTROL!$C$38, 0.0256, 0)</f>
        <v>37.270599999999995</v>
      </c>
      <c r="C456" s="10">
        <f>34.4136 * CHOOSE(CONTROL!$C$15, $E$9, 100%, $G$9) + CHOOSE(CONTROL!$C$38, 0.0347, 0)</f>
        <v>34.448300000000003</v>
      </c>
      <c r="D456" s="10">
        <f>34.4058 * CHOOSE(CONTROL!$C$15, $E$9, 100%, $G$9) + CHOOSE(CONTROL!$C$38, 0.0347, 0)</f>
        <v>34.4405</v>
      </c>
      <c r="E456" s="28">
        <f>37.0888 * CHOOSE(CONTROL!$C$15, $E$9, 100%, $G$9) + CHOOSE(CONTROL!$C$38, 0.0347, 0)</f>
        <v>37.1235</v>
      </c>
      <c r="F456" s="27">
        <f>37.0888 * CHOOSE(CONTROL!$C$15, $E$9, 100%, $G$9) + CHOOSE(CONTROL!$C$38, 0.0256, 0)</f>
        <v>37.114399999999996</v>
      </c>
      <c r="G456" s="10">
        <f>34.412 * CHOOSE(CONTROL!$C$15, $E$9, 100%, $G$9) + CHOOSE(CONTROL!$C$38, 0.0347, 0)</f>
        <v>34.4467</v>
      </c>
      <c r="H456" s="10">
        <f>34.412 * CHOOSE(CONTROL!$C$15, $E$9, 100%, $G$9) + CHOOSE(CONTROL!$C$38, 0.0347, 0)</f>
        <v>34.4467</v>
      </c>
      <c r="I456" s="10">
        <f>34.4136 * CHOOSE(CONTROL!$C$15, $E$9, 100%, $G$9) + CHOOSE(CONTROL!$C$38, 0.0347, 0)</f>
        <v>34.448300000000003</v>
      </c>
      <c r="J456" s="26">
        <f>210.0911</f>
        <v>210.09110000000001</v>
      </c>
    </row>
    <row r="457" spans="1:10" ht="15.75" x14ac:dyDescent="0.25">
      <c r="A457" s="14">
        <v>55212</v>
      </c>
      <c r="B457" s="10">
        <f>37.4658 * CHOOSE(CONTROL!$C$15, $E$9, 100%, $G$9) + CHOOSE(CONTROL!$C$38, 0.0256, 0)</f>
        <v>37.491399999999999</v>
      </c>
      <c r="C457" s="10">
        <f>34.6344 * CHOOSE(CONTROL!$C$15, $E$9, 100%, $G$9) + CHOOSE(CONTROL!$C$38, 0.0347, 0)</f>
        <v>34.6691</v>
      </c>
      <c r="D457" s="10">
        <f>34.6266 * CHOOSE(CONTROL!$C$15, $E$9, 100%, $G$9) + CHOOSE(CONTROL!$C$38, 0.0347, 0)</f>
        <v>34.661300000000004</v>
      </c>
      <c r="E457" s="28">
        <f>37.3095 * CHOOSE(CONTROL!$C$15, $E$9, 100%, $G$9) + CHOOSE(CONTROL!$C$38, 0.0347, 0)</f>
        <v>37.344200000000001</v>
      </c>
      <c r="F457" s="27">
        <f>37.3095 * CHOOSE(CONTROL!$C$15, $E$9, 100%, $G$9) + CHOOSE(CONTROL!$C$38, 0.0256, 0)</f>
        <v>37.335099999999997</v>
      </c>
      <c r="G457" s="10">
        <f>34.6328 * CHOOSE(CONTROL!$C$15, $E$9, 100%, $G$9) + CHOOSE(CONTROL!$C$38, 0.0347, 0)</f>
        <v>34.667500000000004</v>
      </c>
      <c r="H457" s="10">
        <f>34.6328 * CHOOSE(CONTROL!$C$15, $E$9, 100%, $G$9) + CHOOSE(CONTROL!$C$38, 0.0347, 0)</f>
        <v>34.667500000000004</v>
      </c>
      <c r="I457" s="10">
        <f>34.6344 * CHOOSE(CONTROL!$C$15, $E$9, 100%, $G$9) + CHOOSE(CONTROL!$C$38, 0.0347, 0)</f>
        <v>34.6691</v>
      </c>
      <c r="J457" s="26">
        <f>209.5072</f>
        <v>209.50720000000001</v>
      </c>
    </row>
    <row r="458" spans="1:10" ht="15.75" x14ac:dyDescent="0.25">
      <c r="A458" s="14">
        <v>55243</v>
      </c>
      <c r="B458" s="10">
        <f>36.9548 * CHOOSE(CONTROL!$C$15, $E$9, 100%, $G$9) + CHOOSE(CONTROL!$C$38, 0.0256, 0)</f>
        <v>36.980399999999996</v>
      </c>
      <c r="C458" s="10">
        <f>34.1233 * CHOOSE(CONTROL!$C$15, $E$9, 100%, $G$9) + CHOOSE(CONTROL!$C$38, 0.0347, 0)</f>
        <v>34.158000000000001</v>
      </c>
      <c r="D458" s="10">
        <f>34.1155 * CHOOSE(CONTROL!$C$15, $E$9, 100%, $G$9) + CHOOSE(CONTROL!$C$38, 0.0347, 0)</f>
        <v>34.150199999999998</v>
      </c>
      <c r="E458" s="28">
        <f>36.7985 * CHOOSE(CONTROL!$C$15, $E$9, 100%, $G$9) + CHOOSE(CONTROL!$C$38, 0.0347, 0)</f>
        <v>36.833199999999998</v>
      </c>
      <c r="F458" s="27">
        <f>36.7985 * CHOOSE(CONTROL!$C$15, $E$9, 100%, $G$9) + CHOOSE(CONTROL!$C$38, 0.0256, 0)</f>
        <v>36.824099999999994</v>
      </c>
      <c r="G458" s="10">
        <f>34.1218 * CHOOSE(CONTROL!$C$15, $E$9, 100%, $G$9) + CHOOSE(CONTROL!$C$38, 0.0347, 0)</f>
        <v>34.156500000000001</v>
      </c>
      <c r="H458" s="10">
        <f>34.1218 * CHOOSE(CONTROL!$C$15, $E$9, 100%, $G$9) + CHOOSE(CONTROL!$C$38, 0.0347, 0)</f>
        <v>34.156500000000001</v>
      </c>
      <c r="I458" s="10">
        <f>34.1233 * CHOOSE(CONTROL!$C$15, $E$9, 100%, $G$9) + CHOOSE(CONTROL!$C$38, 0.0347, 0)</f>
        <v>34.158000000000001</v>
      </c>
      <c r="J458" s="26">
        <f>220.5494</f>
        <v>220.54939999999999</v>
      </c>
    </row>
    <row r="459" spans="1:10" ht="15.75" x14ac:dyDescent="0.25">
      <c r="A459" s="14">
        <v>55273</v>
      </c>
      <c r="B459" s="10">
        <f>36.4596 * CHOOSE(CONTROL!$C$15, $E$9, 100%, $G$9) + CHOOSE(CONTROL!$C$38, 0.0256, 0)</f>
        <v>36.485199999999999</v>
      </c>
      <c r="C459" s="10">
        <f>33.6282 * CHOOSE(CONTROL!$C$15, $E$9, 100%, $G$9) + CHOOSE(CONTROL!$C$38, 0.0347, 0)</f>
        <v>33.6629</v>
      </c>
      <c r="D459" s="10">
        <f>33.6203 * CHOOSE(CONTROL!$C$15, $E$9, 100%, $G$9) + CHOOSE(CONTROL!$C$38, 0.0347, 0)</f>
        <v>33.655000000000001</v>
      </c>
      <c r="E459" s="28">
        <f>36.3033 * CHOOSE(CONTROL!$C$15, $E$9, 100%, $G$9) + CHOOSE(CONTROL!$C$38, 0.0347, 0)</f>
        <v>36.338000000000001</v>
      </c>
      <c r="F459" s="27">
        <f>36.3033 * CHOOSE(CONTROL!$C$15, $E$9, 100%, $G$9) + CHOOSE(CONTROL!$C$38, 0.0256, 0)</f>
        <v>36.328899999999997</v>
      </c>
      <c r="G459" s="10">
        <f>33.6266 * CHOOSE(CONTROL!$C$15, $E$9, 100%, $G$9) + CHOOSE(CONTROL!$C$38, 0.0347, 0)</f>
        <v>33.661300000000004</v>
      </c>
      <c r="H459" s="10">
        <f>33.6266 * CHOOSE(CONTROL!$C$15, $E$9, 100%, $G$9) + CHOOSE(CONTROL!$C$38, 0.0347, 0)</f>
        <v>33.661300000000004</v>
      </c>
      <c r="I459" s="10">
        <f>33.6282 * CHOOSE(CONTROL!$C$15, $E$9, 100%, $G$9) + CHOOSE(CONTROL!$C$38, 0.0347, 0)</f>
        <v>33.6629</v>
      </c>
      <c r="J459" s="26">
        <f>234.8685</f>
        <v>234.86850000000001</v>
      </c>
    </row>
    <row r="460" spans="1:10" ht="15.75" x14ac:dyDescent="0.25">
      <c r="A460" s="14">
        <v>55304</v>
      </c>
      <c r="B460" s="10">
        <f>35.9435 * CHOOSE(CONTROL!$C$15, $E$9, 100%, $G$9) + CHOOSE(CONTROL!$C$38, 0.0256, 0)</f>
        <v>35.969099999999997</v>
      </c>
      <c r="C460" s="10">
        <f>33.112 * CHOOSE(CONTROL!$C$15, $E$9, 100%, $G$9) + CHOOSE(CONTROL!$C$38, 0.0347, 0)</f>
        <v>33.146700000000003</v>
      </c>
      <c r="D460" s="10">
        <f>33.1042 * CHOOSE(CONTROL!$C$15, $E$9, 100%, $G$9) + CHOOSE(CONTROL!$C$38, 0.0347, 0)</f>
        <v>33.1389</v>
      </c>
      <c r="E460" s="28">
        <f>35.7872 * CHOOSE(CONTROL!$C$15, $E$9, 100%, $G$9) + CHOOSE(CONTROL!$C$38, 0.0347, 0)</f>
        <v>35.821899999999999</v>
      </c>
      <c r="F460" s="27">
        <f>35.7872 * CHOOSE(CONTROL!$C$15, $E$9, 100%, $G$9) + CHOOSE(CONTROL!$C$38, 0.0256, 0)</f>
        <v>35.812799999999996</v>
      </c>
      <c r="G460" s="10">
        <f>33.1105 * CHOOSE(CONTROL!$C$15, $E$9, 100%, $G$9) + CHOOSE(CONTROL!$C$38, 0.0347, 0)</f>
        <v>33.145200000000003</v>
      </c>
      <c r="H460" s="10">
        <f>33.1105 * CHOOSE(CONTROL!$C$15, $E$9, 100%, $G$9) + CHOOSE(CONTROL!$C$38, 0.0347, 0)</f>
        <v>33.145200000000003</v>
      </c>
      <c r="I460" s="10">
        <f>33.112 * CHOOSE(CONTROL!$C$15, $E$9, 100%, $G$9) + CHOOSE(CONTROL!$C$38, 0.0347, 0)</f>
        <v>33.146700000000003</v>
      </c>
      <c r="J460" s="26">
        <f>242.7503</f>
        <v>242.75030000000001</v>
      </c>
    </row>
    <row r="461" spans="1:10" ht="15.75" x14ac:dyDescent="0.25">
      <c r="A461" s="14">
        <v>55334</v>
      </c>
      <c r="B461" s="10">
        <f>35.5816 * CHOOSE(CONTROL!$C$15, $E$9, 100%, $G$9) + CHOOSE(CONTROL!$C$38, 0.0256, 0)</f>
        <v>35.607199999999999</v>
      </c>
      <c r="C461" s="10">
        <f>32.7502 * CHOOSE(CONTROL!$C$15, $E$9, 100%, $G$9) + CHOOSE(CONTROL!$C$38, 0.0347, 0)</f>
        <v>32.7849</v>
      </c>
      <c r="D461" s="10">
        <f>32.7424 * CHOOSE(CONTROL!$C$15, $E$9, 100%, $G$9) + CHOOSE(CONTROL!$C$38, 0.0347, 0)</f>
        <v>32.777100000000004</v>
      </c>
      <c r="E461" s="28">
        <f>35.4254 * CHOOSE(CONTROL!$C$15, $E$9, 100%, $G$9) + CHOOSE(CONTROL!$C$38, 0.0347, 0)</f>
        <v>35.460100000000004</v>
      </c>
      <c r="F461" s="27">
        <f>35.4254 * CHOOSE(CONTROL!$C$15, $E$9, 100%, $G$9) + CHOOSE(CONTROL!$C$38, 0.0256, 0)</f>
        <v>35.451000000000001</v>
      </c>
      <c r="G461" s="10">
        <f>32.7486 * CHOOSE(CONTROL!$C$15, $E$9, 100%, $G$9) + CHOOSE(CONTROL!$C$38, 0.0347, 0)</f>
        <v>32.783300000000004</v>
      </c>
      <c r="H461" s="10">
        <f>32.7486 * CHOOSE(CONTROL!$C$15, $E$9, 100%, $G$9) + CHOOSE(CONTROL!$C$38, 0.0347, 0)</f>
        <v>32.783300000000004</v>
      </c>
      <c r="I461" s="10">
        <f>32.7502 * CHOOSE(CONTROL!$C$15, $E$9, 100%, $G$9) + CHOOSE(CONTROL!$C$38, 0.0347, 0)</f>
        <v>32.7849</v>
      </c>
      <c r="J461" s="26">
        <f>246.248</f>
        <v>246.24799999999999</v>
      </c>
    </row>
    <row r="462" spans="1:10" ht="15.75" x14ac:dyDescent="0.25">
      <c r="A462" s="14">
        <v>55365</v>
      </c>
      <c r="B462" s="10">
        <f>35.3751 * CHOOSE(CONTROL!$C$15, $E$9, 100%, $G$9) + CHOOSE(CONTROL!$C$38, 0.0256, 0)</f>
        <v>35.400700000000001</v>
      </c>
      <c r="C462" s="10">
        <f>32.5437 * CHOOSE(CONTROL!$C$15, $E$9, 100%, $G$9) + CHOOSE(CONTROL!$C$38, 0.0347, 0)</f>
        <v>32.578400000000002</v>
      </c>
      <c r="D462" s="10">
        <f>32.5359 * CHOOSE(CONTROL!$C$15, $E$9, 100%, $G$9) + CHOOSE(CONTROL!$C$38, 0.0347, 0)</f>
        <v>32.570599999999999</v>
      </c>
      <c r="E462" s="28">
        <f>35.2189 * CHOOSE(CONTROL!$C$15, $E$9, 100%, $G$9) + CHOOSE(CONTROL!$C$38, 0.0347, 0)</f>
        <v>35.253599999999999</v>
      </c>
      <c r="F462" s="27">
        <f>35.2189 * CHOOSE(CONTROL!$C$15, $E$9, 100%, $G$9) + CHOOSE(CONTROL!$C$38, 0.0256, 0)</f>
        <v>35.244499999999995</v>
      </c>
      <c r="G462" s="10">
        <f>32.5422 * CHOOSE(CONTROL!$C$15, $E$9, 100%, $G$9) + CHOOSE(CONTROL!$C$38, 0.0347, 0)</f>
        <v>32.576900000000002</v>
      </c>
      <c r="H462" s="10">
        <f>32.5422 * CHOOSE(CONTROL!$C$15, $E$9, 100%, $G$9) + CHOOSE(CONTROL!$C$38, 0.0347, 0)</f>
        <v>32.576900000000002</v>
      </c>
      <c r="I462" s="10">
        <f>32.5437 * CHOOSE(CONTROL!$C$15, $E$9, 100%, $G$9) + CHOOSE(CONTROL!$C$38, 0.0347, 0)</f>
        <v>32.578400000000002</v>
      </c>
      <c r="J462" s="26">
        <f>245.0964</f>
        <v>245.09639999999999</v>
      </c>
    </row>
    <row r="463" spans="1:10" ht="15.75" x14ac:dyDescent="0.25">
      <c r="A463" s="14">
        <v>55396</v>
      </c>
      <c r="B463" s="10">
        <f>35.477 * CHOOSE(CONTROL!$C$15, $E$9, 100%, $G$9) + CHOOSE(CONTROL!$C$38, 0.0256, 0)</f>
        <v>35.502599999999994</v>
      </c>
      <c r="C463" s="10">
        <f>32.6456 * CHOOSE(CONTROL!$C$15, $E$9, 100%, $G$9) + CHOOSE(CONTROL!$C$38, 0.0347, 0)</f>
        <v>32.680300000000003</v>
      </c>
      <c r="D463" s="10">
        <f>32.6378 * CHOOSE(CONTROL!$C$15, $E$9, 100%, $G$9) + CHOOSE(CONTROL!$C$38, 0.0347, 0)</f>
        <v>32.672499999999999</v>
      </c>
      <c r="E463" s="28">
        <f>35.3208 * CHOOSE(CONTROL!$C$15, $E$9, 100%, $G$9) + CHOOSE(CONTROL!$C$38, 0.0347, 0)</f>
        <v>35.355499999999999</v>
      </c>
      <c r="F463" s="27">
        <f>35.3208 * CHOOSE(CONTROL!$C$15, $E$9, 100%, $G$9) + CHOOSE(CONTROL!$C$38, 0.0256, 0)</f>
        <v>35.346399999999996</v>
      </c>
      <c r="G463" s="10">
        <f>32.6441 * CHOOSE(CONTROL!$C$15, $E$9, 100%, $G$9) + CHOOSE(CONTROL!$C$38, 0.0347, 0)</f>
        <v>32.678800000000003</v>
      </c>
      <c r="H463" s="10">
        <f>32.6441 * CHOOSE(CONTROL!$C$15, $E$9, 100%, $G$9) + CHOOSE(CONTROL!$C$38, 0.0347, 0)</f>
        <v>32.678800000000003</v>
      </c>
      <c r="I463" s="10">
        <f>32.6456 * CHOOSE(CONTROL!$C$15, $E$9, 100%, $G$9) + CHOOSE(CONTROL!$C$38, 0.0347, 0)</f>
        <v>32.680300000000003</v>
      </c>
      <c r="J463" s="26">
        <f>239.3907</f>
        <v>239.39070000000001</v>
      </c>
    </row>
    <row r="464" spans="1:10" ht="15.75" x14ac:dyDescent="0.25">
      <c r="A464" s="14">
        <v>55426</v>
      </c>
      <c r="B464" s="10">
        <f>35.7538 * CHOOSE(CONTROL!$C$15, $E$9, 100%, $G$9) + CHOOSE(CONTROL!$C$38, 0.0256, 0)</f>
        <v>35.779399999999995</v>
      </c>
      <c r="C464" s="10">
        <f>32.9224 * CHOOSE(CONTROL!$C$15, $E$9, 100%, $G$9) + CHOOSE(CONTROL!$C$38, 0.0347, 0)</f>
        <v>32.957100000000004</v>
      </c>
      <c r="D464" s="10">
        <f>32.9146 * CHOOSE(CONTROL!$C$15, $E$9, 100%, $G$9) + CHOOSE(CONTROL!$C$38, 0.0347, 0)</f>
        <v>32.949300000000001</v>
      </c>
      <c r="E464" s="28">
        <f>35.5976 * CHOOSE(CONTROL!$C$15, $E$9, 100%, $G$9) + CHOOSE(CONTROL!$C$38, 0.0347, 0)</f>
        <v>35.632300000000001</v>
      </c>
      <c r="F464" s="27">
        <f>35.5976 * CHOOSE(CONTROL!$C$15, $E$9, 100%, $G$9) + CHOOSE(CONTROL!$C$38, 0.0256, 0)</f>
        <v>35.623199999999997</v>
      </c>
      <c r="G464" s="10">
        <f>32.9209 * CHOOSE(CONTROL!$C$15, $E$9, 100%, $G$9) + CHOOSE(CONTROL!$C$38, 0.0347, 0)</f>
        <v>32.955600000000004</v>
      </c>
      <c r="H464" s="10">
        <f>32.9209 * CHOOSE(CONTROL!$C$15, $E$9, 100%, $G$9) + CHOOSE(CONTROL!$C$38, 0.0347, 0)</f>
        <v>32.955600000000004</v>
      </c>
      <c r="I464" s="10">
        <f>32.9224 * CHOOSE(CONTROL!$C$15, $E$9, 100%, $G$9) + CHOOSE(CONTROL!$C$38, 0.0347, 0)</f>
        <v>32.957100000000004</v>
      </c>
      <c r="J464" s="26">
        <f>231.4337</f>
        <v>231.43369999999999</v>
      </c>
    </row>
    <row r="465" spans="1:10" ht="15.75" x14ac:dyDescent="0.25">
      <c r="A465" s="14">
        <v>55457</v>
      </c>
      <c r="B465" s="10">
        <f>35.9857 * CHOOSE(CONTROL!$C$15, $E$9, 100%, $G$9) + CHOOSE(CONTROL!$C$38, 0.0256, 0)</f>
        <v>36.011299999999999</v>
      </c>
      <c r="C465" s="10">
        <f>33.1542 * CHOOSE(CONTROL!$C$15, $E$9, 100%, $G$9) + CHOOSE(CONTROL!$C$38, 0.0347, 0)</f>
        <v>33.188900000000004</v>
      </c>
      <c r="D465" s="10">
        <f>33.1464 * CHOOSE(CONTROL!$C$15, $E$9, 100%, $G$9) + CHOOSE(CONTROL!$C$38, 0.0347, 0)</f>
        <v>33.181100000000001</v>
      </c>
      <c r="E465" s="28">
        <f>35.8294 * CHOOSE(CONTROL!$C$15, $E$9, 100%, $G$9) + CHOOSE(CONTROL!$C$38, 0.0347, 0)</f>
        <v>35.864100000000001</v>
      </c>
      <c r="F465" s="27">
        <f>35.8294 * CHOOSE(CONTROL!$C$15, $E$9, 100%, $G$9) + CHOOSE(CONTROL!$C$38, 0.0256, 0)</f>
        <v>35.854999999999997</v>
      </c>
      <c r="G465" s="10">
        <f>33.1527 * CHOOSE(CONTROL!$C$15, $E$9, 100%, $G$9) + CHOOSE(CONTROL!$C$38, 0.0347, 0)</f>
        <v>33.187400000000004</v>
      </c>
      <c r="H465" s="10">
        <f>33.1527 * CHOOSE(CONTROL!$C$15, $E$9, 100%, $G$9) + CHOOSE(CONTROL!$C$38, 0.0347, 0)</f>
        <v>33.187400000000004</v>
      </c>
      <c r="I465" s="10">
        <f>33.1542 * CHOOSE(CONTROL!$C$15, $E$9, 100%, $G$9) + CHOOSE(CONTROL!$C$38, 0.0347, 0)</f>
        <v>33.188900000000004</v>
      </c>
      <c r="J465" s="26">
        <f>223.4305</f>
        <v>223.43049999999999</v>
      </c>
    </row>
    <row r="466" spans="1:10" ht="15.75" x14ac:dyDescent="0.25">
      <c r="A466" s="14">
        <v>55487</v>
      </c>
      <c r="B466" s="10">
        <f>36.1791 * CHOOSE(CONTROL!$C$15, $E$9, 100%, $G$9) + CHOOSE(CONTROL!$C$38, 0.0256, 0)</f>
        <v>36.204699999999995</v>
      </c>
      <c r="C466" s="10">
        <f>33.3477 * CHOOSE(CONTROL!$C$15, $E$9, 100%, $G$9) + CHOOSE(CONTROL!$C$38, 0.0347, 0)</f>
        <v>33.382400000000004</v>
      </c>
      <c r="D466" s="10">
        <f>33.3399 * CHOOSE(CONTROL!$C$15, $E$9, 100%, $G$9) + CHOOSE(CONTROL!$C$38, 0.0347, 0)</f>
        <v>33.374600000000001</v>
      </c>
      <c r="E466" s="28">
        <f>36.0229 * CHOOSE(CONTROL!$C$15, $E$9, 100%, $G$9) + CHOOSE(CONTROL!$C$38, 0.0347, 0)</f>
        <v>36.057600000000001</v>
      </c>
      <c r="F466" s="27">
        <f>36.0229 * CHOOSE(CONTROL!$C$15, $E$9, 100%, $G$9) + CHOOSE(CONTROL!$C$38, 0.0256, 0)</f>
        <v>36.048499999999997</v>
      </c>
      <c r="G466" s="10">
        <f>33.3461 * CHOOSE(CONTROL!$C$15, $E$9, 100%, $G$9) + CHOOSE(CONTROL!$C$38, 0.0347, 0)</f>
        <v>33.380800000000001</v>
      </c>
      <c r="H466" s="10">
        <f>33.3461 * CHOOSE(CONTROL!$C$15, $E$9, 100%, $G$9) + CHOOSE(CONTROL!$C$38, 0.0347, 0)</f>
        <v>33.380800000000001</v>
      </c>
      <c r="I466" s="10">
        <f>33.3477 * CHOOSE(CONTROL!$C$15, $E$9, 100%, $G$9) + CHOOSE(CONTROL!$C$38, 0.0347, 0)</f>
        <v>33.382400000000004</v>
      </c>
      <c r="J466" s="26">
        <f>221.8385</f>
        <v>221.83850000000001</v>
      </c>
    </row>
    <row r="467" spans="1:10" ht="15.75" x14ac:dyDescent="0.25">
      <c r="A467" s="14">
        <v>55518</v>
      </c>
      <c r="B467" s="10">
        <f>36.7752 * CHOOSE(CONTROL!$C$15, $E$9, 100%, $G$9) + CHOOSE(CONTROL!$C$38, 0.0256, 0)</f>
        <v>36.800799999999995</v>
      </c>
      <c r="C467" s="10">
        <f>33.9438 * CHOOSE(CONTROL!$C$15, $E$9, 100%, $G$9) + CHOOSE(CONTROL!$C$38, 0.0347, 0)</f>
        <v>33.978500000000004</v>
      </c>
      <c r="D467" s="10">
        <f>33.9359 * CHOOSE(CONTROL!$C$15, $E$9, 100%, $G$9) + CHOOSE(CONTROL!$C$38, 0.0347, 0)</f>
        <v>33.970599999999997</v>
      </c>
      <c r="E467" s="28">
        <f>36.6189 * CHOOSE(CONTROL!$C$15, $E$9, 100%, $G$9) + CHOOSE(CONTROL!$C$38, 0.0347, 0)</f>
        <v>36.653599999999997</v>
      </c>
      <c r="F467" s="27">
        <f>36.6189 * CHOOSE(CONTROL!$C$15, $E$9, 100%, $G$9) + CHOOSE(CONTROL!$C$38, 0.0256, 0)</f>
        <v>36.644499999999994</v>
      </c>
      <c r="G467" s="10">
        <f>33.9422 * CHOOSE(CONTROL!$C$15, $E$9, 100%, $G$9) + CHOOSE(CONTROL!$C$38, 0.0347, 0)</f>
        <v>33.976900000000001</v>
      </c>
      <c r="H467" s="10">
        <f>33.9422 * CHOOSE(CONTROL!$C$15, $E$9, 100%, $G$9) + CHOOSE(CONTROL!$C$38, 0.0347, 0)</f>
        <v>33.976900000000001</v>
      </c>
      <c r="I467" s="10">
        <f>33.9438 * CHOOSE(CONTROL!$C$15, $E$9, 100%, $G$9) + CHOOSE(CONTROL!$C$38, 0.0347, 0)</f>
        <v>33.978500000000004</v>
      </c>
      <c r="J467" s="26">
        <f>215.2554</f>
        <v>215.25540000000001</v>
      </c>
    </row>
    <row r="468" spans="1:10" ht="15.75" x14ac:dyDescent="0.25">
      <c r="A468" s="14">
        <v>55549</v>
      </c>
      <c r="B468" s="10">
        <f>37.8749 * CHOOSE(CONTROL!$C$15, $E$9, 100%, $G$9) + CHOOSE(CONTROL!$C$38, 0.0256, 0)</f>
        <v>37.900499999999994</v>
      </c>
      <c r="C468" s="10">
        <f>34.9962 * CHOOSE(CONTROL!$C$15, $E$9, 100%, $G$9) + CHOOSE(CONTROL!$C$38, 0.0347, 0)</f>
        <v>35.030900000000003</v>
      </c>
      <c r="D468" s="10">
        <f>34.9884 * CHOOSE(CONTROL!$C$15, $E$9, 100%, $G$9) + CHOOSE(CONTROL!$C$38, 0.0347, 0)</f>
        <v>35.023099999999999</v>
      </c>
      <c r="E468" s="28">
        <f>37.7186 * CHOOSE(CONTROL!$C$15, $E$9, 100%, $G$9) + CHOOSE(CONTROL!$C$38, 0.0347, 0)</f>
        <v>37.753300000000003</v>
      </c>
      <c r="F468" s="27">
        <f>37.7186 * CHOOSE(CONTROL!$C$15, $E$9, 100%, $G$9) + CHOOSE(CONTROL!$C$38, 0.0256, 0)</f>
        <v>37.744199999999999</v>
      </c>
      <c r="G468" s="10">
        <f>34.9946 * CHOOSE(CONTROL!$C$15, $E$9, 100%, $G$9) + CHOOSE(CONTROL!$C$38, 0.0347, 0)</f>
        <v>35.029299999999999</v>
      </c>
      <c r="H468" s="10">
        <f>34.9946 * CHOOSE(CONTROL!$C$15, $E$9, 100%, $G$9) + CHOOSE(CONTROL!$C$38, 0.0347, 0)</f>
        <v>35.029299999999999</v>
      </c>
      <c r="I468" s="10">
        <f>34.9962 * CHOOSE(CONTROL!$C$15, $E$9, 100%, $G$9) + CHOOSE(CONTROL!$C$38, 0.0347, 0)</f>
        <v>35.030900000000003</v>
      </c>
      <c r="J468" s="26">
        <f>213.8136</f>
        <v>213.81360000000001</v>
      </c>
    </row>
    <row r="469" spans="1:10" ht="15.75" x14ac:dyDescent="0.25">
      <c r="A469" s="14">
        <v>55577</v>
      </c>
      <c r="B469" s="10">
        <f>38.0956 * CHOOSE(CONTROL!$C$15, $E$9, 100%, $G$9) + CHOOSE(CONTROL!$C$38, 0.0256, 0)</f>
        <v>38.121199999999995</v>
      </c>
      <c r="C469" s="10">
        <f>35.217 * CHOOSE(CONTROL!$C$15, $E$9, 100%, $G$9) + CHOOSE(CONTROL!$C$38, 0.0347, 0)</f>
        <v>35.2517</v>
      </c>
      <c r="D469" s="10">
        <f>35.2091 * CHOOSE(CONTROL!$C$15, $E$9, 100%, $G$9) + CHOOSE(CONTROL!$C$38, 0.0347, 0)</f>
        <v>35.2438</v>
      </c>
      <c r="E469" s="28">
        <f>37.9394 * CHOOSE(CONTROL!$C$15, $E$9, 100%, $G$9) + CHOOSE(CONTROL!$C$38, 0.0347, 0)</f>
        <v>37.9741</v>
      </c>
      <c r="F469" s="27">
        <f>37.9394 * CHOOSE(CONTROL!$C$15, $E$9, 100%, $G$9) + CHOOSE(CONTROL!$C$38, 0.0256, 0)</f>
        <v>37.964999999999996</v>
      </c>
      <c r="G469" s="10">
        <f>35.2154 * CHOOSE(CONTROL!$C$15, $E$9, 100%, $G$9) + CHOOSE(CONTROL!$C$38, 0.0347, 0)</f>
        <v>35.250100000000003</v>
      </c>
      <c r="H469" s="10">
        <f>35.2154 * CHOOSE(CONTROL!$C$15, $E$9, 100%, $G$9) + CHOOSE(CONTROL!$C$38, 0.0347, 0)</f>
        <v>35.250100000000003</v>
      </c>
      <c r="I469" s="10">
        <f>35.217 * CHOOSE(CONTROL!$C$15, $E$9, 100%, $G$9) + CHOOSE(CONTROL!$C$38, 0.0347, 0)</f>
        <v>35.2517</v>
      </c>
      <c r="J469" s="26">
        <f>213.2192</f>
        <v>213.2192</v>
      </c>
    </row>
    <row r="470" spans="1:10" ht="15.75" x14ac:dyDescent="0.25">
      <c r="A470" s="14">
        <v>55609</v>
      </c>
      <c r="B470" s="10">
        <f>37.5846 * CHOOSE(CONTROL!$C$15, $E$9, 100%, $G$9) + CHOOSE(CONTROL!$C$38, 0.0256, 0)</f>
        <v>37.610199999999999</v>
      </c>
      <c r="C470" s="10">
        <f>34.7059 * CHOOSE(CONTROL!$C$15, $E$9, 100%, $G$9) + CHOOSE(CONTROL!$C$38, 0.0347, 0)</f>
        <v>34.740600000000001</v>
      </c>
      <c r="D470" s="10">
        <f>34.6981 * CHOOSE(CONTROL!$C$15, $E$9, 100%, $G$9) + CHOOSE(CONTROL!$C$38, 0.0347, 0)</f>
        <v>34.732799999999997</v>
      </c>
      <c r="E470" s="28">
        <f>37.4284 * CHOOSE(CONTROL!$C$15, $E$9, 100%, $G$9) + CHOOSE(CONTROL!$C$38, 0.0347, 0)</f>
        <v>37.463100000000004</v>
      </c>
      <c r="F470" s="27">
        <f>37.4284 * CHOOSE(CONTROL!$C$15, $E$9, 100%, $G$9) + CHOOSE(CONTROL!$C$38, 0.0256, 0)</f>
        <v>37.454000000000001</v>
      </c>
      <c r="G470" s="10">
        <f>34.7044 * CHOOSE(CONTROL!$C$15, $E$9, 100%, $G$9) + CHOOSE(CONTROL!$C$38, 0.0347, 0)</f>
        <v>34.739100000000001</v>
      </c>
      <c r="H470" s="10">
        <f>34.7044 * CHOOSE(CONTROL!$C$15, $E$9, 100%, $G$9) + CHOOSE(CONTROL!$C$38, 0.0347, 0)</f>
        <v>34.739100000000001</v>
      </c>
      <c r="I470" s="10">
        <f>34.7059 * CHOOSE(CONTROL!$C$15, $E$9, 100%, $G$9) + CHOOSE(CONTROL!$C$38, 0.0347, 0)</f>
        <v>34.740600000000001</v>
      </c>
      <c r="J470" s="26">
        <f>224.4571</f>
        <v>224.4571</v>
      </c>
    </row>
    <row r="471" spans="1:10" ht="15.75" x14ac:dyDescent="0.25">
      <c r="A471" s="14">
        <v>55639</v>
      </c>
      <c r="B471" s="10">
        <f>37.0894 * CHOOSE(CONTROL!$C$15, $E$9, 100%, $G$9) + CHOOSE(CONTROL!$C$38, 0.0256, 0)</f>
        <v>37.114999999999995</v>
      </c>
      <c r="C471" s="10">
        <f>34.2107 * CHOOSE(CONTROL!$C$15, $E$9, 100%, $G$9) + CHOOSE(CONTROL!$C$38, 0.0347, 0)</f>
        <v>34.245400000000004</v>
      </c>
      <c r="D471" s="10">
        <f>34.2029 * CHOOSE(CONTROL!$C$15, $E$9, 100%, $G$9) + CHOOSE(CONTROL!$C$38, 0.0347, 0)</f>
        <v>34.2376</v>
      </c>
      <c r="E471" s="28">
        <f>36.9332 * CHOOSE(CONTROL!$C$15, $E$9, 100%, $G$9) + CHOOSE(CONTROL!$C$38, 0.0347, 0)</f>
        <v>36.9679</v>
      </c>
      <c r="F471" s="27">
        <f>36.9332 * CHOOSE(CONTROL!$C$15, $E$9, 100%, $G$9) + CHOOSE(CONTROL!$C$38, 0.0256, 0)</f>
        <v>36.958799999999997</v>
      </c>
      <c r="G471" s="10">
        <f>34.2092 * CHOOSE(CONTROL!$C$15, $E$9, 100%, $G$9) + CHOOSE(CONTROL!$C$38, 0.0347, 0)</f>
        <v>34.243900000000004</v>
      </c>
      <c r="H471" s="10">
        <f>34.2092 * CHOOSE(CONTROL!$C$15, $E$9, 100%, $G$9) + CHOOSE(CONTROL!$C$38, 0.0347, 0)</f>
        <v>34.243900000000004</v>
      </c>
      <c r="I471" s="10">
        <f>34.2107 * CHOOSE(CONTROL!$C$15, $E$9, 100%, $G$9) + CHOOSE(CONTROL!$C$38, 0.0347, 0)</f>
        <v>34.245400000000004</v>
      </c>
      <c r="J471" s="26">
        <f>239.03</f>
        <v>239.03</v>
      </c>
    </row>
    <row r="472" spans="1:10" ht="15.75" x14ac:dyDescent="0.25">
      <c r="A472" s="14">
        <v>55670</v>
      </c>
      <c r="B472" s="10">
        <f>36.5733 * CHOOSE(CONTROL!$C$15, $E$9, 100%, $G$9) + CHOOSE(CONTROL!$C$38, 0.0256, 0)</f>
        <v>36.5989</v>
      </c>
      <c r="C472" s="10">
        <f>33.6946 * CHOOSE(CONTROL!$C$15, $E$9, 100%, $G$9) + CHOOSE(CONTROL!$C$38, 0.0347, 0)</f>
        <v>33.729300000000002</v>
      </c>
      <c r="D472" s="10">
        <f>33.6868 * CHOOSE(CONTROL!$C$15, $E$9, 100%, $G$9) + CHOOSE(CONTROL!$C$38, 0.0347, 0)</f>
        <v>33.721499999999999</v>
      </c>
      <c r="E472" s="28">
        <f>36.4171 * CHOOSE(CONTROL!$C$15, $E$9, 100%, $G$9) + CHOOSE(CONTROL!$C$38, 0.0347, 0)</f>
        <v>36.451799999999999</v>
      </c>
      <c r="F472" s="27">
        <f>36.4171 * CHOOSE(CONTROL!$C$15, $E$9, 100%, $G$9) + CHOOSE(CONTROL!$C$38, 0.0256, 0)</f>
        <v>36.442699999999995</v>
      </c>
      <c r="G472" s="10">
        <f>33.6931 * CHOOSE(CONTROL!$C$15, $E$9, 100%, $G$9) + CHOOSE(CONTROL!$C$38, 0.0347, 0)</f>
        <v>33.727800000000002</v>
      </c>
      <c r="H472" s="10">
        <f>33.6931 * CHOOSE(CONTROL!$C$15, $E$9, 100%, $G$9) + CHOOSE(CONTROL!$C$38, 0.0347, 0)</f>
        <v>33.727800000000002</v>
      </c>
      <c r="I472" s="10">
        <f>33.6946 * CHOOSE(CONTROL!$C$15, $E$9, 100%, $G$9) + CHOOSE(CONTROL!$C$38, 0.0347, 0)</f>
        <v>33.729300000000002</v>
      </c>
      <c r="J472" s="26">
        <f>247.0513</f>
        <v>247.0513</v>
      </c>
    </row>
    <row r="473" spans="1:10" ht="15.75" x14ac:dyDescent="0.25">
      <c r="A473" s="14">
        <v>55700</v>
      </c>
      <c r="B473" s="10">
        <f>36.2115 * CHOOSE(CONTROL!$C$15, $E$9, 100%, $G$9) + CHOOSE(CONTROL!$C$38, 0.0256, 0)</f>
        <v>36.237099999999998</v>
      </c>
      <c r="C473" s="10">
        <f>33.3328 * CHOOSE(CONTROL!$C$15, $E$9, 100%, $G$9) + CHOOSE(CONTROL!$C$38, 0.0347, 0)</f>
        <v>33.3675</v>
      </c>
      <c r="D473" s="10">
        <f>33.325 * CHOOSE(CONTROL!$C$15, $E$9, 100%, $G$9) + CHOOSE(CONTROL!$C$38, 0.0347, 0)</f>
        <v>33.359700000000004</v>
      </c>
      <c r="E473" s="28">
        <f>36.0552 * CHOOSE(CONTROL!$C$15, $E$9, 100%, $G$9) + CHOOSE(CONTROL!$C$38, 0.0347, 0)</f>
        <v>36.0899</v>
      </c>
      <c r="F473" s="27">
        <f>36.0552 * CHOOSE(CONTROL!$C$15, $E$9, 100%, $G$9) + CHOOSE(CONTROL!$C$38, 0.0256, 0)</f>
        <v>36.080799999999996</v>
      </c>
      <c r="G473" s="10">
        <f>33.3312 * CHOOSE(CONTROL!$C$15, $E$9, 100%, $G$9) + CHOOSE(CONTROL!$C$38, 0.0347, 0)</f>
        <v>33.365900000000003</v>
      </c>
      <c r="H473" s="10">
        <f>33.3312 * CHOOSE(CONTROL!$C$15, $E$9, 100%, $G$9) + CHOOSE(CONTROL!$C$38, 0.0347, 0)</f>
        <v>33.365900000000003</v>
      </c>
      <c r="I473" s="10">
        <f>33.3328 * CHOOSE(CONTROL!$C$15, $E$9, 100%, $G$9) + CHOOSE(CONTROL!$C$38, 0.0347, 0)</f>
        <v>33.3675</v>
      </c>
      <c r="J473" s="26">
        <f>250.6111</f>
        <v>250.61109999999999</v>
      </c>
    </row>
    <row r="474" spans="1:10" ht="15.75" x14ac:dyDescent="0.25">
      <c r="A474" s="14">
        <v>55731</v>
      </c>
      <c r="B474" s="10">
        <f>36.005 * CHOOSE(CONTROL!$C$15, $E$9, 100%, $G$9) + CHOOSE(CONTROL!$C$38, 0.0256, 0)</f>
        <v>36.0306</v>
      </c>
      <c r="C474" s="10">
        <f>33.1263 * CHOOSE(CONTROL!$C$15, $E$9, 100%, $G$9) + CHOOSE(CONTROL!$C$38, 0.0347, 0)</f>
        <v>33.161000000000001</v>
      </c>
      <c r="D474" s="10">
        <f>33.1185 * CHOOSE(CONTROL!$C$15, $E$9, 100%, $G$9) + CHOOSE(CONTROL!$C$38, 0.0347, 0)</f>
        <v>33.153199999999998</v>
      </c>
      <c r="E474" s="28">
        <f>35.8487 * CHOOSE(CONTROL!$C$15, $E$9, 100%, $G$9) + CHOOSE(CONTROL!$C$38, 0.0347, 0)</f>
        <v>35.883400000000002</v>
      </c>
      <c r="F474" s="27">
        <f>35.8487 * CHOOSE(CONTROL!$C$15, $E$9, 100%, $G$9) + CHOOSE(CONTROL!$C$38, 0.0256, 0)</f>
        <v>35.874299999999998</v>
      </c>
      <c r="G474" s="10">
        <f>33.1247 * CHOOSE(CONTROL!$C$15, $E$9, 100%, $G$9) + CHOOSE(CONTROL!$C$38, 0.0347, 0)</f>
        <v>33.159399999999998</v>
      </c>
      <c r="H474" s="10">
        <f>33.1247 * CHOOSE(CONTROL!$C$15, $E$9, 100%, $G$9) + CHOOSE(CONTROL!$C$38, 0.0347, 0)</f>
        <v>33.159399999999998</v>
      </c>
      <c r="I474" s="10">
        <f>33.1263 * CHOOSE(CONTROL!$C$15, $E$9, 100%, $G$9) + CHOOSE(CONTROL!$C$38, 0.0347, 0)</f>
        <v>33.161000000000001</v>
      </c>
      <c r="J474" s="26">
        <f>249.439</f>
        <v>249.43899999999999</v>
      </c>
    </row>
    <row r="475" spans="1:10" ht="15.75" x14ac:dyDescent="0.25">
      <c r="A475" s="14">
        <v>55762</v>
      </c>
      <c r="B475" s="10">
        <f>36.1069 * CHOOSE(CONTROL!$C$15, $E$9, 100%, $G$9) + CHOOSE(CONTROL!$C$38, 0.0256, 0)</f>
        <v>36.1325</v>
      </c>
      <c r="C475" s="10">
        <f>33.2282 * CHOOSE(CONTROL!$C$15, $E$9, 100%, $G$9) + CHOOSE(CONTROL!$C$38, 0.0347, 0)</f>
        <v>33.262900000000002</v>
      </c>
      <c r="D475" s="10">
        <f>33.2204 * CHOOSE(CONTROL!$C$15, $E$9, 100%, $G$9) + CHOOSE(CONTROL!$C$38, 0.0347, 0)</f>
        <v>33.255099999999999</v>
      </c>
      <c r="E475" s="28">
        <f>35.9507 * CHOOSE(CONTROL!$C$15, $E$9, 100%, $G$9) + CHOOSE(CONTROL!$C$38, 0.0347, 0)</f>
        <v>35.985399999999998</v>
      </c>
      <c r="F475" s="27">
        <f>35.9507 * CHOOSE(CONTROL!$C$15, $E$9, 100%, $G$9) + CHOOSE(CONTROL!$C$38, 0.0256, 0)</f>
        <v>35.976299999999995</v>
      </c>
      <c r="G475" s="10">
        <f>33.2267 * CHOOSE(CONTROL!$C$15, $E$9, 100%, $G$9) + CHOOSE(CONTROL!$C$38, 0.0347, 0)</f>
        <v>33.261400000000002</v>
      </c>
      <c r="H475" s="10">
        <f>33.2267 * CHOOSE(CONTROL!$C$15, $E$9, 100%, $G$9) + CHOOSE(CONTROL!$C$38, 0.0347, 0)</f>
        <v>33.261400000000002</v>
      </c>
      <c r="I475" s="10">
        <f>33.2282 * CHOOSE(CONTROL!$C$15, $E$9, 100%, $G$9) + CHOOSE(CONTROL!$C$38, 0.0347, 0)</f>
        <v>33.262900000000002</v>
      </c>
      <c r="J475" s="26">
        <f>243.6322</f>
        <v>243.63220000000001</v>
      </c>
    </row>
    <row r="476" spans="1:10" ht="15.75" x14ac:dyDescent="0.25">
      <c r="A476" s="14">
        <v>55792</v>
      </c>
      <c r="B476" s="10">
        <f>36.3837 * CHOOSE(CONTROL!$C$15, $E$9, 100%, $G$9) + CHOOSE(CONTROL!$C$38, 0.0256, 0)</f>
        <v>36.409299999999995</v>
      </c>
      <c r="C476" s="10">
        <f>33.505 * CHOOSE(CONTROL!$C$15, $E$9, 100%, $G$9) + CHOOSE(CONTROL!$C$38, 0.0347, 0)</f>
        <v>33.539700000000003</v>
      </c>
      <c r="D476" s="10">
        <f>33.4972 * CHOOSE(CONTROL!$C$15, $E$9, 100%, $G$9) + CHOOSE(CONTROL!$C$38, 0.0347, 0)</f>
        <v>33.5319</v>
      </c>
      <c r="E476" s="28">
        <f>36.2275 * CHOOSE(CONTROL!$C$15, $E$9, 100%, $G$9) + CHOOSE(CONTROL!$C$38, 0.0347, 0)</f>
        <v>36.2622</v>
      </c>
      <c r="F476" s="27">
        <f>36.2275 * CHOOSE(CONTROL!$C$15, $E$9, 100%, $G$9) + CHOOSE(CONTROL!$C$38, 0.0256, 0)</f>
        <v>36.253099999999996</v>
      </c>
      <c r="G476" s="10">
        <f>33.5035 * CHOOSE(CONTROL!$C$15, $E$9, 100%, $G$9) + CHOOSE(CONTROL!$C$38, 0.0347, 0)</f>
        <v>33.538200000000003</v>
      </c>
      <c r="H476" s="10">
        <f>33.5035 * CHOOSE(CONTROL!$C$15, $E$9, 100%, $G$9) + CHOOSE(CONTROL!$C$38, 0.0347, 0)</f>
        <v>33.538200000000003</v>
      </c>
      <c r="I476" s="10">
        <f>33.505 * CHOOSE(CONTROL!$C$15, $E$9, 100%, $G$9) + CHOOSE(CONTROL!$C$38, 0.0347, 0)</f>
        <v>33.539700000000003</v>
      </c>
      <c r="J476" s="26">
        <f>235.5343</f>
        <v>235.5343</v>
      </c>
    </row>
    <row r="477" spans="1:10" ht="15.75" x14ac:dyDescent="0.25">
      <c r="A477" s="14">
        <v>55823</v>
      </c>
      <c r="B477" s="10">
        <f>36.6155 * CHOOSE(CONTROL!$C$15, $E$9, 100%, $G$9) + CHOOSE(CONTROL!$C$38, 0.0256, 0)</f>
        <v>36.641099999999994</v>
      </c>
      <c r="C477" s="10">
        <f>33.7368 * CHOOSE(CONTROL!$C$15, $E$9, 100%, $G$9) + CHOOSE(CONTROL!$C$38, 0.0347, 0)</f>
        <v>33.771500000000003</v>
      </c>
      <c r="D477" s="10">
        <f>33.729 * CHOOSE(CONTROL!$C$15, $E$9, 100%, $G$9) + CHOOSE(CONTROL!$C$38, 0.0347, 0)</f>
        <v>33.7637</v>
      </c>
      <c r="E477" s="28">
        <f>36.4593 * CHOOSE(CONTROL!$C$15, $E$9, 100%, $G$9) + CHOOSE(CONTROL!$C$38, 0.0347, 0)</f>
        <v>36.494</v>
      </c>
      <c r="F477" s="27">
        <f>36.4593 * CHOOSE(CONTROL!$C$15, $E$9, 100%, $G$9) + CHOOSE(CONTROL!$C$38, 0.0256, 0)</f>
        <v>36.484899999999996</v>
      </c>
      <c r="G477" s="10">
        <f>33.7353 * CHOOSE(CONTROL!$C$15, $E$9, 100%, $G$9) + CHOOSE(CONTROL!$C$38, 0.0347, 0)</f>
        <v>33.770000000000003</v>
      </c>
      <c r="H477" s="10">
        <f>33.7353 * CHOOSE(CONTROL!$C$15, $E$9, 100%, $G$9) + CHOOSE(CONTROL!$C$38, 0.0347, 0)</f>
        <v>33.770000000000003</v>
      </c>
      <c r="I477" s="10">
        <f>33.7368 * CHOOSE(CONTROL!$C$15, $E$9, 100%, $G$9) + CHOOSE(CONTROL!$C$38, 0.0347, 0)</f>
        <v>33.771500000000003</v>
      </c>
      <c r="J477" s="26">
        <f>227.3893</f>
        <v>227.38929999999999</v>
      </c>
    </row>
    <row r="478" spans="1:10" ht="15.75" x14ac:dyDescent="0.25">
      <c r="A478" s="14">
        <v>55853</v>
      </c>
      <c r="B478" s="10">
        <f>36.809 * CHOOSE(CONTROL!$C$15, $E$9, 100%, $G$9) + CHOOSE(CONTROL!$C$38, 0.0256, 0)</f>
        <v>36.834599999999995</v>
      </c>
      <c r="C478" s="10">
        <f>33.9303 * CHOOSE(CONTROL!$C$15, $E$9, 100%, $G$9) + CHOOSE(CONTROL!$C$38, 0.0347, 0)</f>
        <v>33.965000000000003</v>
      </c>
      <c r="D478" s="10">
        <f>33.9225 * CHOOSE(CONTROL!$C$15, $E$9, 100%, $G$9) + CHOOSE(CONTROL!$C$38, 0.0347, 0)</f>
        <v>33.9572</v>
      </c>
      <c r="E478" s="28">
        <f>36.6527 * CHOOSE(CONTROL!$C$15, $E$9, 100%, $G$9) + CHOOSE(CONTROL!$C$38, 0.0347, 0)</f>
        <v>36.687400000000004</v>
      </c>
      <c r="F478" s="27">
        <f>36.6527 * CHOOSE(CONTROL!$C$15, $E$9, 100%, $G$9) + CHOOSE(CONTROL!$C$38, 0.0256, 0)</f>
        <v>36.6783</v>
      </c>
      <c r="G478" s="10">
        <f>33.9287 * CHOOSE(CONTROL!$C$15, $E$9, 100%, $G$9) + CHOOSE(CONTROL!$C$38, 0.0347, 0)</f>
        <v>33.9634</v>
      </c>
      <c r="H478" s="10">
        <f>33.9287 * CHOOSE(CONTROL!$C$15, $E$9, 100%, $G$9) + CHOOSE(CONTROL!$C$38, 0.0347, 0)</f>
        <v>33.9634</v>
      </c>
      <c r="I478" s="10">
        <f>33.9303 * CHOOSE(CONTROL!$C$15, $E$9, 100%, $G$9) + CHOOSE(CONTROL!$C$38, 0.0347, 0)</f>
        <v>33.965000000000003</v>
      </c>
      <c r="J478" s="26">
        <f>225.7691</f>
        <v>225.76910000000001</v>
      </c>
    </row>
    <row r="479" spans="1:10" ht="15.75" x14ac:dyDescent="0.25">
      <c r="A479" s="14">
        <v>55884</v>
      </c>
      <c r="B479" s="10">
        <f>37.405 * CHOOSE(CONTROL!$C$15, $E$9, 100%, $G$9) + CHOOSE(CONTROL!$C$38, 0.0256, 0)</f>
        <v>37.430599999999998</v>
      </c>
      <c r="C479" s="10">
        <f>34.5263 * CHOOSE(CONTROL!$C$15, $E$9, 100%, $G$9) + CHOOSE(CONTROL!$C$38, 0.0347, 0)</f>
        <v>34.561</v>
      </c>
      <c r="D479" s="10">
        <f>34.5185 * CHOOSE(CONTROL!$C$15, $E$9, 100%, $G$9) + CHOOSE(CONTROL!$C$38, 0.0347, 0)</f>
        <v>34.553200000000004</v>
      </c>
      <c r="E479" s="28">
        <f>37.2488 * CHOOSE(CONTROL!$C$15, $E$9, 100%, $G$9) + CHOOSE(CONTROL!$C$38, 0.0347, 0)</f>
        <v>37.283500000000004</v>
      </c>
      <c r="F479" s="27">
        <f>37.2488 * CHOOSE(CONTROL!$C$15, $E$9, 100%, $G$9) + CHOOSE(CONTROL!$C$38, 0.0256, 0)</f>
        <v>37.2744</v>
      </c>
      <c r="G479" s="10">
        <f>34.5248 * CHOOSE(CONTROL!$C$15, $E$9, 100%, $G$9) + CHOOSE(CONTROL!$C$38, 0.0347, 0)</f>
        <v>34.5595</v>
      </c>
      <c r="H479" s="10">
        <f>34.5248 * CHOOSE(CONTROL!$C$15, $E$9, 100%, $G$9) + CHOOSE(CONTROL!$C$38, 0.0347, 0)</f>
        <v>34.5595</v>
      </c>
      <c r="I479" s="10">
        <f>34.5263 * CHOOSE(CONTROL!$C$15, $E$9, 100%, $G$9) + CHOOSE(CONTROL!$C$38, 0.0347, 0)</f>
        <v>34.561</v>
      </c>
      <c r="J479" s="26">
        <f>219.0694</f>
        <v>219.0694</v>
      </c>
    </row>
    <row r="480" spans="1:10" ht="15.75" x14ac:dyDescent="0.25">
      <c r="A480" s="14">
        <v>55915</v>
      </c>
      <c r="B480" s="10">
        <f>38.5159 * CHOOSE(CONTROL!$C$15, $E$9, 100%, $G$9) + CHOOSE(CONTROL!$C$38, 0.0256, 0)</f>
        <v>38.541499999999999</v>
      </c>
      <c r="C480" s="10">
        <f>35.5891 * CHOOSE(CONTROL!$C$15, $E$9, 100%, $G$9) + CHOOSE(CONTROL!$C$38, 0.0347, 0)</f>
        <v>35.623800000000003</v>
      </c>
      <c r="D480" s="10">
        <f>35.5813 * CHOOSE(CONTROL!$C$15, $E$9, 100%, $G$9) + CHOOSE(CONTROL!$C$38, 0.0347, 0)</f>
        <v>35.616</v>
      </c>
      <c r="E480" s="28">
        <f>38.3596 * CHOOSE(CONTROL!$C$15, $E$9, 100%, $G$9) + CHOOSE(CONTROL!$C$38, 0.0347, 0)</f>
        <v>38.394300000000001</v>
      </c>
      <c r="F480" s="27">
        <f>38.3596 * CHOOSE(CONTROL!$C$15, $E$9, 100%, $G$9) + CHOOSE(CONTROL!$C$38, 0.0256, 0)</f>
        <v>38.385199999999998</v>
      </c>
      <c r="G480" s="10">
        <f>35.5875 * CHOOSE(CONTROL!$C$15, $E$9, 100%, $G$9) + CHOOSE(CONTROL!$C$38, 0.0347, 0)</f>
        <v>35.622199999999999</v>
      </c>
      <c r="H480" s="10">
        <f>35.5875 * CHOOSE(CONTROL!$C$15, $E$9, 100%, $G$9) + CHOOSE(CONTROL!$C$38, 0.0347, 0)</f>
        <v>35.622199999999999</v>
      </c>
      <c r="I480" s="10">
        <f>35.5891 * CHOOSE(CONTROL!$C$15, $E$9, 100%, $G$9) + CHOOSE(CONTROL!$C$38, 0.0347, 0)</f>
        <v>35.623800000000003</v>
      </c>
      <c r="J480" s="26">
        <f>217.6019</f>
        <v>217.6019</v>
      </c>
    </row>
    <row r="481" spans="1:10" ht="15.75" x14ac:dyDescent="0.25">
      <c r="A481" s="14">
        <v>55943</v>
      </c>
      <c r="B481" s="10">
        <f>38.7366 * CHOOSE(CONTROL!$C$15, $E$9, 100%, $G$9) + CHOOSE(CONTROL!$C$38, 0.0256, 0)</f>
        <v>38.7622</v>
      </c>
      <c r="C481" s="10">
        <f>35.8098 * CHOOSE(CONTROL!$C$15, $E$9, 100%, $G$9) + CHOOSE(CONTROL!$C$38, 0.0347, 0)</f>
        <v>35.844500000000004</v>
      </c>
      <c r="D481" s="10">
        <f>35.802 * CHOOSE(CONTROL!$C$15, $E$9, 100%, $G$9) + CHOOSE(CONTROL!$C$38, 0.0347, 0)</f>
        <v>35.8367</v>
      </c>
      <c r="E481" s="28">
        <f>38.5804 * CHOOSE(CONTROL!$C$15, $E$9, 100%, $G$9) + CHOOSE(CONTROL!$C$38, 0.0347, 0)</f>
        <v>38.615099999999998</v>
      </c>
      <c r="F481" s="27">
        <f>38.5804 * CHOOSE(CONTROL!$C$15, $E$9, 100%, $G$9) + CHOOSE(CONTROL!$C$38, 0.0256, 0)</f>
        <v>38.605999999999995</v>
      </c>
      <c r="G481" s="10">
        <f>35.8083 * CHOOSE(CONTROL!$C$15, $E$9, 100%, $G$9) + CHOOSE(CONTROL!$C$38, 0.0347, 0)</f>
        <v>35.843000000000004</v>
      </c>
      <c r="H481" s="10">
        <f>35.8083 * CHOOSE(CONTROL!$C$15, $E$9, 100%, $G$9) + CHOOSE(CONTROL!$C$38, 0.0347, 0)</f>
        <v>35.843000000000004</v>
      </c>
      <c r="I481" s="10">
        <f>35.8098 * CHOOSE(CONTROL!$C$15, $E$9, 100%, $G$9) + CHOOSE(CONTROL!$C$38, 0.0347, 0)</f>
        <v>35.844500000000004</v>
      </c>
      <c r="J481" s="26">
        <f>216.9971</f>
        <v>216.99709999999999</v>
      </c>
    </row>
    <row r="482" spans="1:10" ht="15.75" x14ac:dyDescent="0.25">
      <c r="A482" s="14">
        <v>55974</v>
      </c>
      <c r="B482" s="10">
        <f>38.2256 * CHOOSE(CONTROL!$C$15, $E$9, 100%, $G$9) + CHOOSE(CONTROL!$C$38, 0.0256, 0)</f>
        <v>38.251199999999997</v>
      </c>
      <c r="C482" s="10">
        <f>35.2988 * CHOOSE(CONTROL!$C$15, $E$9, 100%, $G$9) + CHOOSE(CONTROL!$C$38, 0.0347, 0)</f>
        <v>35.333500000000001</v>
      </c>
      <c r="D482" s="10">
        <f>35.291 * CHOOSE(CONTROL!$C$15, $E$9, 100%, $G$9) + CHOOSE(CONTROL!$C$38, 0.0347, 0)</f>
        <v>35.325699999999998</v>
      </c>
      <c r="E482" s="28">
        <f>38.0694 * CHOOSE(CONTROL!$C$15, $E$9, 100%, $G$9) + CHOOSE(CONTROL!$C$38, 0.0347, 0)</f>
        <v>38.104100000000003</v>
      </c>
      <c r="F482" s="27">
        <f>38.0694 * CHOOSE(CONTROL!$C$15, $E$9, 100%, $G$9) + CHOOSE(CONTROL!$C$38, 0.0256, 0)</f>
        <v>38.094999999999999</v>
      </c>
      <c r="G482" s="10">
        <f>35.2973 * CHOOSE(CONTROL!$C$15, $E$9, 100%, $G$9) + CHOOSE(CONTROL!$C$38, 0.0347, 0)</f>
        <v>35.332000000000001</v>
      </c>
      <c r="H482" s="10">
        <f>35.2973 * CHOOSE(CONTROL!$C$15, $E$9, 100%, $G$9) + CHOOSE(CONTROL!$C$38, 0.0347, 0)</f>
        <v>35.332000000000001</v>
      </c>
      <c r="I482" s="10">
        <f>35.2988 * CHOOSE(CONTROL!$C$15, $E$9, 100%, $G$9) + CHOOSE(CONTROL!$C$38, 0.0347, 0)</f>
        <v>35.333500000000001</v>
      </c>
      <c r="J482" s="26">
        <f>228.4341</f>
        <v>228.4341</v>
      </c>
    </row>
    <row r="483" spans="1:10" ht="15.75" x14ac:dyDescent="0.25">
      <c r="A483" s="14">
        <v>56004</v>
      </c>
      <c r="B483" s="10">
        <f>37.7304 * CHOOSE(CONTROL!$C$15, $E$9, 100%, $G$9) + CHOOSE(CONTROL!$C$38, 0.0256, 0)</f>
        <v>37.756</v>
      </c>
      <c r="C483" s="10">
        <f>34.8036 * CHOOSE(CONTROL!$C$15, $E$9, 100%, $G$9) + CHOOSE(CONTROL!$C$38, 0.0347, 0)</f>
        <v>34.838300000000004</v>
      </c>
      <c r="D483" s="10">
        <f>34.7958 * CHOOSE(CONTROL!$C$15, $E$9, 100%, $G$9) + CHOOSE(CONTROL!$C$38, 0.0347, 0)</f>
        <v>34.830500000000001</v>
      </c>
      <c r="E483" s="28">
        <f>37.5742 * CHOOSE(CONTROL!$C$15, $E$9, 100%, $G$9) + CHOOSE(CONTROL!$C$38, 0.0347, 0)</f>
        <v>37.608899999999998</v>
      </c>
      <c r="F483" s="27">
        <f>37.5742 * CHOOSE(CONTROL!$C$15, $E$9, 100%, $G$9) + CHOOSE(CONTROL!$C$38, 0.0256, 0)</f>
        <v>37.599799999999995</v>
      </c>
      <c r="G483" s="10">
        <f>34.8021 * CHOOSE(CONTROL!$C$15, $E$9, 100%, $G$9) + CHOOSE(CONTROL!$C$38, 0.0347, 0)</f>
        <v>34.836800000000004</v>
      </c>
      <c r="H483" s="10">
        <f>34.8021 * CHOOSE(CONTROL!$C$15, $E$9, 100%, $G$9) + CHOOSE(CONTROL!$C$38, 0.0347, 0)</f>
        <v>34.836800000000004</v>
      </c>
      <c r="I483" s="10">
        <f>34.8036 * CHOOSE(CONTROL!$C$15, $E$9, 100%, $G$9) + CHOOSE(CONTROL!$C$38, 0.0347, 0)</f>
        <v>34.838300000000004</v>
      </c>
      <c r="J483" s="26">
        <f>243.2651</f>
        <v>243.26509999999999</v>
      </c>
    </row>
    <row r="484" spans="1:10" ht="15.75" x14ac:dyDescent="0.25">
      <c r="A484" s="14">
        <v>56035</v>
      </c>
      <c r="B484" s="10">
        <f>37.2143 * CHOOSE(CONTROL!$C$15, $E$9, 100%, $G$9) + CHOOSE(CONTROL!$C$38, 0.0256, 0)</f>
        <v>37.239899999999999</v>
      </c>
      <c r="C484" s="10">
        <f>34.2875 * CHOOSE(CONTROL!$C$15, $E$9, 100%, $G$9) + CHOOSE(CONTROL!$C$38, 0.0347, 0)</f>
        <v>34.322200000000002</v>
      </c>
      <c r="D484" s="10">
        <f>34.2797 * CHOOSE(CONTROL!$C$15, $E$9, 100%, $G$9) + CHOOSE(CONTROL!$C$38, 0.0347, 0)</f>
        <v>34.314399999999999</v>
      </c>
      <c r="E484" s="28">
        <f>37.0581 * CHOOSE(CONTROL!$C$15, $E$9, 100%, $G$9) + CHOOSE(CONTROL!$C$38, 0.0347, 0)</f>
        <v>37.092800000000004</v>
      </c>
      <c r="F484" s="27">
        <f>37.0581 * CHOOSE(CONTROL!$C$15, $E$9, 100%, $G$9) + CHOOSE(CONTROL!$C$38, 0.0256, 0)</f>
        <v>37.0837</v>
      </c>
      <c r="G484" s="10">
        <f>34.286 * CHOOSE(CONTROL!$C$15, $E$9, 100%, $G$9) + CHOOSE(CONTROL!$C$38, 0.0347, 0)</f>
        <v>34.320700000000002</v>
      </c>
      <c r="H484" s="10">
        <f>34.286 * CHOOSE(CONTROL!$C$15, $E$9, 100%, $G$9) + CHOOSE(CONTROL!$C$38, 0.0347, 0)</f>
        <v>34.320700000000002</v>
      </c>
      <c r="I484" s="10">
        <f>34.2875 * CHOOSE(CONTROL!$C$15, $E$9, 100%, $G$9) + CHOOSE(CONTROL!$C$38, 0.0347, 0)</f>
        <v>34.322200000000002</v>
      </c>
      <c r="J484" s="26">
        <f>251.4286</f>
        <v>251.42859999999999</v>
      </c>
    </row>
    <row r="485" spans="1:10" ht="15.75" x14ac:dyDescent="0.25">
      <c r="A485" s="14">
        <v>56065</v>
      </c>
      <c r="B485" s="10">
        <f>36.8525 * CHOOSE(CONTROL!$C$15, $E$9, 100%, $G$9) + CHOOSE(CONTROL!$C$38, 0.0256, 0)</f>
        <v>36.878099999999996</v>
      </c>
      <c r="C485" s="10">
        <f>33.9257 * CHOOSE(CONTROL!$C$15, $E$9, 100%, $G$9) + CHOOSE(CONTROL!$C$38, 0.0347, 0)</f>
        <v>33.9604</v>
      </c>
      <c r="D485" s="10">
        <f>33.9179 * CHOOSE(CONTROL!$C$15, $E$9, 100%, $G$9) + CHOOSE(CONTROL!$C$38, 0.0347, 0)</f>
        <v>33.952600000000004</v>
      </c>
      <c r="E485" s="28">
        <f>36.6962 * CHOOSE(CONTROL!$C$15, $E$9, 100%, $G$9) + CHOOSE(CONTROL!$C$38, 0.0347, 0)</f>
        <v>36.730899999999998</v>
      </c>
      <c r="F485" s="27">
        <f>36.6962 * CHOOSE(CONTROL!$C$15, $E$9, 100%, $G$9) + CHOOSE(CONTROL!$C$38, 0.0256, 0)</f>
        <v>36.721799999999995</v>
      </c>
      <c r="G485" s="10">
        <f>33.9241 * CHOOSE(CONTROL!$C$15, $E$9, 100%, $G$9) + CHOOSE(CONTROL!$C$38, 0.0347, 0)</f>
        <v>33.958800000000004</v>
      </c>
      <c r="H485" s="10">
        <f>33.9241 * CHOOSE(CONTROL!$C$15, $E$9, 100%, $G$9) + CHOOSE(CONTROL!$C$38, 0.0347, 0)</f>
        <v>33.958800000000004</v>
      </c>
      <c r="I485" s="10">
        <f>33.9257 * CHOOSE(CONTROL!$C$15, $E$9, 100%, $G$9) + CHOOSE(CONTROL!$C$38, 0.0347, 0)</f>
        <v>33.9604</v>
      </c>
      <c r="J485" s="26">
        <f>255.0514</f>
        <v>255.0514</v>
      </c>
    </row>
    <row r="486" spans="1:10" ht="15.75" x14ac:dyDescent="0.25">
      <c r="A486" s="14">
        <v>56096</v>
      </c>
      <c r="B486" s="10">
        <f>36.646 * CHOOSE(CONTROL!$C$15, $E$9, 100%, $G$9) + CHOOSE(CONTROL!$C$38, 0.0256, 0)</f>
        <v>36.671599999999998</v>
      </c>
      <c r="C486" s="10">
        <f>33.7192 * CHOOSE(CONTROL!$C$15, $E$9, 100%, $G$9) + CHOOSE(CONTROL!$C$38, 0.0347, 0)</f>
        <v>33.753900000000002</v>
      </c>
      <c r="D486" s="10">
        <f>33.7114 * CHOOSE(CONTROL!$C$15, $E$9, 100%, $G$9) + CHOOSE(CONTROL!$C$38, 0.0347, 0)</f>
        <v>33.746099999999998</v>
      </c>
      <c r="E486" s="28">
        <f>36.4897 * CHOOSE(CONTROL!$C$15, $E$9, 100%, $G$9) + CHOOSE(CONTROL!$C$38, 0.0347, 0)</f>
        <v>36.5244</v>
      </c>
      <c r="F486" s="27">
        <f>36.4897 * CHOOSE(CONTROL!$C$15, $E$9, 100%, $G$9) + CHOOSE(CONTROL!$C$38, 0.0256, 0)</f>
        <v>36.515299999999996</v>
      </c>
      <c r="G486" s="10">
        <f>33.7176 * CHOOSE(CONTROL!$C$15, $E$9, 100%, $G$9) + CHOOSE(CONTROL!$C$38, 0.0347, 0)</f>
        <v>33.752299999999998</v>
      </c>
      <c r="H486" s="10">
        <f>33.7176 * CHOOSE(CONTROL!$C$15, $E$9, 100%, $G$9) + CHOOSE(CONTROL!$C$38, 0.0347, 0)</f>
        <v>33.752299999999998</v>
      </c>
      <c r="I486" s="10">
        <f>33.7192 * CHOOSE(CONTROL!$C$15, $E$9, 100%, $G$9) + CHOOSE(CONTROL!$C$38, 0.0347, 0)</f>
        <v>33.753900000000002</v>
      </c>
      <c r="J486" s="26">
        <f>253.8586</f>
        <v>253.8586</v>
      </c>
    </row>
    <row r="487" spans="1:10" ht="15.75" x14ac:dyDescent="0.25">
      <c r="A487" s="14">
        <v>56127</v>
      </c>
      <c r="B487" s="10">
        <f>36.7479 * CHOOSE(CONTROL!$C$15, $E$9, 100%, $G$9) + CHOOSE(CONTROL!$C$38, 0.0256, 0)</f>
        <v>36.773499999999999</v>
      </c>
      <c r="C487" s="10">
        <f>33.8211 * CHOOSE(CONTROL!$C$15, $E$9, 100%, $G$9) + CHOOSE(CONTROL!$C$38, 0.0347, 0)</f>
        <v>33.855800000000002</v>
      </c>
      <c r="D487" s="10">
        <f>33.8133 * CHOOSE(CONTROL!$C$15, $E$9, 100%, $G$9) + CHOOSE(CONTROL!$C$38, 0.0347, 0)</f>
        <v>33.847999999999999</v>
      </c>
      <c r="E487" s="28">
        <f>36.5916 * CHOOSE(CONTROL!$C$15, $E$9, 100%, $G$9) + CHOOSE(CONTROL!$C$38, 0.0347, 0)</f>
        <v>36.626300000000001</v>
      </c>
      <c r="F487" s="27">
        <f>36.5916 * CHOOSE(CONTROL!$C$15, $E$9, 100%, $G$9) + CHOOSE(CONTROL!$C$38, 0.0256, 0)</f>
        <v>36.617199999999997</v>
      </c>
      <c r="G487" s="10">
        <f>33.8195 * CHOOSE(CONTROL!$C$15, $E$9, 100%, $G$9) + CHOOSE(CONTROL!$C$38, 0.0347, 0)</f>
        <v>33.854199999999999</v>
      </c>
      <c r="H487" s="10">
        <f>33.8195 * CHOOSE(CONTROL!$C$15, $E$9, 100%, $G$9) + CHOOSE(CONTROL!$C$38, 0.0347, 0)</f>
        <v>33.854199999999999</v>
      </c>
      <c r="I487" s="10">
        <f>33.8211 * CHOOSE(CONTROL!$C$15, $E$9, 100%, $G$9) + CHOOSE(CONTROL!$C$38, 0.0347, 0)</f>
        <v>33.855800000000002</v>
      </c>
      <c r="J487" s="26">
        <f>247.9489</f>
        <v>247.94890000000001</v>
      </c>
    </row>
    <row r="488" spans="1:10" ht="15.75" x14ac:dyDescent="0.25">
      <c r="A488" s="14">
        <v>56157</v>
      </c>
      <c r="B488" s="10">
        <f>37.0247 * CHOOSE(CONTROL!$C$15, $E$9, 100%, $G$9) + CHOOSE(CONTROL!$C$38, 0.0256, 0)</f>
        <v>37.0503</v>
      </c>
      <c r="C488" s="10">
        <f>34.0979 * CHOOSE(CONTROL!$C$15, $E$9, 100%, $G$9) + CHOOSE(CONTROL!$C$38, 0.0347, 0)</f>
        <v>34.132600000000004</v>
      </c>
      <c r="D488" s="10">
        <f>34.0901 * CHOOSE(CONTROL!$C$15, $E$9, 100%, $G$9) + CHOOSE(CONTROL!$C$38, 0.0347, 0)</f>
        <v>34.1248</v>
      </c>
      <c r="E488" s="28">
        <f>36.8684 * CHOOSE(CONTROL!$C$15, $E$9, 100%, $G$9) + CHOOSE(CONTROL!$C$38, 0.0347, 0)</f>
        <v>36.903100000000002</v>
      </c>
      <c r="F488" s="27">
        <f>36.8684 * CHOOSE(CONTROL!$C$15, $E$9, 100%, $G$9) + CHOOSE(CONTROL!$C$38, 0.0256, 0)</f>
        <v>36.893999999999998</v>
      </c>
      <c r="G488" s="10">
        <f>34.0963 * CHOOSE(CONTROL!$C$15, $E$9, 100%, $G$9) + CHOOSE(CONTROL!$C$38, 0.0347, 0)</f>
        <v>34.131</v>
      </c>
      <c r="H488" s="10">
        <f>34.0963 * CHOOSE(CONTROL!$C$15, $E$9, 100%, $G$9) + CHOOSE(CONTROL!$C$38, 0.0347, 0)</f>
        <v>34.131</v>
      </c>
      <c r="I488" s="10">
        <f>34.0979 * CHOOSE(CONTROL!$C$15, $E$9, 100%, $G$9) + CHOOSE(CONTROL!$C$38, 0.0347, 0)</f>
        <v>34.132600000000004</v>
      </c>
      <c r="J488" s="26">
        <f>239.7075</f>
        <v>239.70750000000001</v>
      </c>
    </row>
    <row r="489" spans="1:10" ht="15.75" x14ac:dyDescent="0.25">
      <c r="A489" s="14">
        <v>56188</v>
      </c>
      <c r="B489" s="10">
        <f>37.2565 * CHOOSE(CONTROL!$C$15, $E$9, 100%, $G$9) + CHOOSE(CONTROL!$C$38, 0.0256, 0)</f>
        <v>37.2821</v>
      </c>
      <c r="C489" s="10">
        <f>34.3297 * CHOOSE(CONTROL!$C$15, $E$9, 100%, $G$9) + CHOOSE(CONTROL!$C$38, 0.0347, 0)</f>
        <v>34.364400000000003</v>
      </c>
      <c r="D489" s="10">
        <f>34.3219 * CHOOSE(CONTROL!$C$15, $E$9, 100%, $G$9) + CHOOSE(CONTROL!$C$38, 0.0347, 0)</f>
        <v>34.3566</v>
      </c>
      <c r="E489" s="28">
        <f>37.1003 * CHOOSE(CONTROL!$C$15, $E$9, 100%, $G$9) + CHOOSE(CONTROL!$C$38, 0.0347, 0)</f>
        <v>37.134999999999998</v>
      </c>
      <c r="F489" s="27">
        <f>37.1003 * CHOOSE(CONTROL!$C$15, $E$9, 100%, $G$9) + CHOOSE(CONTROL!$C$38, 0.0256, 0)</f>
        <v>37.125899999999994</v>
      </c>
      <c r="G489" s="10">
        <f>34.3282 * CHOOSE(CONTROL!$C$15, $E$9, 100%, $G$9) + CHOOSE(CONTROL!$C$38, 0.0347, 0)</f>
        <v>34.362900000000003</v>
      </c>
      <c r="H489" s="10">
        <f>34.3282 * CHOOSE(CONTROL!$C$15, $E$9, 100%, $G$9) + CHOOSE(CONTROL!$C$38, 0.0347, 0)</f>
        <v>34.362900000000003</v>
      </c>
      <c r="I489" s="10">
        <f>34.3297 * CHOOSE(CONTROL!$C$15, $E$9, 100%, $G$9) + CHOOSE(CONTROL!$C$38, 0.0347, 0)</f>
        <v>34.364400000000003</v>
      </c>
      <c r="J489" s="26">
        <f>231.4182</f>
        <v>231.41820000000001</v>
      </c>
    </row>
    <row r="490" spans="1:10" ht="15.75" x14ac:dyDescent="0.25">
      <c r="A490" s="14">
        <v>56218</v>
      </c>
      <c r="B490" s="10">
        <f>37.45 * CHOOSE(CONTROL!$C$15, $E$9, 100%, $G$9) + CHOOSE(CONTROL!$C$38, 0.0256, 0)</f>
        <v>37.4756</v>
      </c>
      <c r="C490" s="10">
        <f>34.5232 * CHOOSE(CONTROL!$C$15, $E$9, 100%, $G$9) + CHOOSE(CONTROL!$C$38, 0.0347, 0)</f>
        <v>34.557900000000004</v>
      </c>
      <c r="D490" s="10">
        <f>34.5154 * CHOOSE(CONTROL!$C$15, $E$9, 100%, $G$9) + CHOOSE(CONTROL!$C$38, 0.0347, 0)</f>
        <v>34.5501</v>
      </c>
      <c r="E490" s="28">
        <f>37.2937 * CHOOSE(CONTROL!$C$15, $E$9, 100%, $G$9) + CHOOSE(CONTROL!$C$38, 0.0347, 0)</f>
        <v>37.328400000000002</v>
      </c>
      <c r="F490" s="27">
        <f>37.2937 * CHOOSE(CONTROL!$C$15, $E$9, 100%, $G$9) + CHOOSE(CONTROL!$C$38, 0.0256, 0)</f>
        <v>37.319299999999998</v>
      </c>
      <c r="G490" s="10">
        <f>34.5216 * CHOOSE(CONTROL!$C$15, $E$9, 100%, $G$9) + CHOOSE(CONTROL!$C$38, 0.0347, 0)</f>
        <v>34.5563</v>
      </c>
      <c r="H490" s="10">
        <f>34.5216 * CHOOSE(CONTROL!$C$15, $E$9, 100%, $G$9) + CHOOSE(CONTROL!$C$38, 0.0347, 0)</f>
        <v>34.5563</v>
      </c>
      <c r="I490" s="10">
        <f>34.5232 * CHOOSE(CONTROL!$C$15, $E$9, 100%, $G$9) + CHOOSE(CONTROL!$C$38, 0.0347, 0)</f>
        <v>34.557900000000004</v>
      </c>
      <c r="J490" s="26">
        <f>229.7693</f>
        <v>229.76929999999999</v>
      </c>
    </row>
    <row r="491" spans="1:10" ht="15.75" x14ac:dyDescent="0.25">
      <c r="A491" s="14">
        <v>56249</v>
      </c>
      <c r="B491" s="10">
        <f>38.046 * CHOOSE(CONTROL!$C$15, $E$9, 100%, $G$9) + CHOOSE(CONTROL!$C$38, 0.0256, 0)</f>
        <v>38.071599999999997</v>
      </c>
      <c r="C491" s="10">
        <f>35.1192 * CHOOSE(CONTROL!$C$15, $E$9, 100%, $G$9) + CHOOSE(CONTROL!$C$38, 0.0347, 0)</f>
        <v>35.1539</v>
      </c>
      <c r="D491" s="10">
        <f>35.1114 * CHOOSE(CONTROL!$C$15, $E$9, 100%, $G$9) + CHOOSE(CONTROL!$C$38, 0.0347, 0)</f>
        <v>35.146100000000004</v>
      </c>
      <c r="E491" s="28">
        <f>37.8898 * CHOOSE(CONTROL!$C$15, $E$9, 100%, $G$9) + CHOOSE(CONTROL!$C$38, 0.0347, 0)</f>
        <v>37.924500000000002</v>
      </c>
      <c r="F491" s="27">
        <f>37.8898 * CHOOSE(CONTROL!$C$15, $E$9, 100%, $G$9) + CHOOSE(CONTROL!$C$38, 0.0256, 0)</f>
        <v>37.915399999999998</v>
      </c>
      <c r="G491" s="10">
        <f>35.1177 * CHOOSE(CONTROL!$C$15, $E$9, 100%, $G$9) + CHOOSE(CONTROL!$C$38, 0.0347, 0)</f>
        <v>35.1524</v>
      </c>
      <c r="H491" s="10">
        <f>35.1177 * CHOOSE(CONTROL!$C$15, $E$9, 100%, $G$9) + CHOOSE(CONTROL!$C$38, 0.0347, 0)</f>
        <v>35.1524</v>
      </c>
      <c r="I491" s="10">
        <f>35.1192 * CHOOSE(CONTROL!$C$15, $E$9, 100%, $G$9) + CHOOSE(CONTROL!$C$38, 0.0347, 0)</f>
        <v>35.1539</v>
      </c>
      <c r="J491" s="26">
        <f>222.9508</f>
        <v>222.95079999999999</v>
      </c>
    </row>
    <row r="492" spans="1:10" ht="15.75" x14ac:dyDescent="0.25">
      <c r="A492" s="14">
        <v>56280</v>
      </c>
      <c r="B492" s="10">
        <f>39.1682 * CHOOSE(CONTROL!$C$15, $E$9, 100%, $G$9) + CHOOSE(CONTROL!$C$38, 0.0256, 0)</f>
        <v>39.193799999999996</v>
      </c>
      <c r="C492" s="10">
        <f>36.1924 * CHOOSE(CONTROL!$C$15, $E$9, 100%, $G$9) + CHOOSE(CONTROL!$C$38, 0.0347, 0)</f>
        <v>36.2271</v>
      </c>
      <c r="D492" s="10">
        <f>36.1846 * CHOOSE(CONTROL!$C$15, $E$9, 100%, $G$9) + CHOOSE(CONTROL!$C$38, 0.0347, 0)</f>
        <v>36.219300000000004</v>
      </c>
      <c r="E492" s="28">
        <f>39.0119 * CHOOSE(CONTROL!$C$15, $E$9, 100%, $G$9) + CHOOSE(CONTROL!$C$38, 0.0347, 0)</f>
        <v>39.046599999999998</v>
      </c>
      <c r="F492" s="27">
        <f>39.0119 * CHOOSE(CONTROL!$C$15, $E$9, 100%, $G$9) + CHOOSE(CONTROL!$C$38, 0.0256, 0)</f>
        <v>39.037499999999994</v>
      </c>
      <c r="G492" s="10">
        <f>36.1909 * CHOOSE(CONTROL!$C$15, $E$9, 100%, $G$9) + CHOOSE(CONTROL!$C$38, 0.0347, 0)</f>
        <v>36.2256</v>
      </c>
      <c r="H492" s="10">
        <f>36.1909 * CHOOSE(CONTROL!$C$15, $E$9, 100%, $G$9) + CHOOSE(CONTROL!$C$38, 0.0347, 0)</f>
        <v>36.2256</v>
      </c>
      <c r="I492" s="10">
        <f>36.1924 * CHOOSE(CONTROL!$C$15, $E$9, 100%, $G$9) + CHOOSE(CONTROL!$C$38, 0.0347, 0)</f>
        <v>36.2271</v>
      </c>
      <c r="J492" s="26">
        <f>221.4574</f>
        <v>221.45740000000001</v>
      </c>
    </row>
    <row r="493" spans="1:10" ht="15.75" x14ac:dyDescent="0.25">
      <c r="A493" s="14">
        <v>56308</v>
      </c>
      <c r="B493" s="10">
        <f>39.3889 * CHOOSE(CONTROL!$C$15, $E$9, 100%, $G$9) + CHOOSE(CONTROL!$C$38, 0.0256, 0)</f>
        <v>39.414499999999997</v>
      </c>
      <c r="C493" s="10">
        <f>36.4132 * CHOOSE(CONTROL!$C$15, $E$9, 100%, $G$9) + CHOOSE(CONTROL!$C$38, 0.0347, 0)</f>
        <v>36.447900000000004</v>
      </c>
      <c r="D493" s="10">
        <f>36.4054 * CHOOSE(CONTROL!$C$15, $E$9, 100%, $G$9) + CHOOSE(CONTROL!$C$38, 0.0347, 0)</f>
        <v>36.440100000000001</v>
      </c>
      <c r="E493" s="28">
        <f>39.2327 * CHOOSE(CONTROL!$C$15, $E$9, 100%, $G$9) + CHOOSE(CONTROL!$C$38, 0.0347, 0)</f>
        <v>39.267400000000002</v>
      </c>
      <c r="F493" s="27">
        <f>39.2327 * CHOOSE(CONTROL!$C$15, $E$9, 100%, $G$9) + CHOOSE(CONTROL!$C$38, 0.0256, 0)</f>
        <v>39.258299999999998</v>
      </c>
      <c r="G493" s="10">
        <f>36.4116 * CHOOSE(CONTROL!$C$15, $E$9, 100%, $G$9) + CHOOSE(CONTROL!$C$38, 0.0347, 0)</f>
        <v>36.446300000000001</v>
      </c>
      <c r="H493" s="10">
        <f>36.4116 * CHOOSE(CONTROL!$C$15, $E$9, 100%, $G$9) + CHOOSE(CONTROL!$C$38, 0.0347, 0)</f>
        <v>36.446300000000001</v>
      </c>
      <c r="I493" s="10">
        <f>36.4132 * CHOOSE(CONTROL!$C$15, $E$9, 100%, $G$9) + CHOOSE(CONTROL!$C$38, 0.0347, 0)</f>
        <v>36.447900000000004</v>
      </c>
      <c r="J493" s="26">
        <f>220.8418</f>
        <v>220.84180000000001</v>
      </c>
    </row>
    <row r="494" spans="1:10" ht="15.75" x14ac:dyDescent="0.25">
      <c r="A494" s="14">
        <v>56339</v>
      </c>
      <c r="B494" s="10">
        <f>38.8779 * CHOOSE(CONTROL!$C$15, $E$9, 100%, $G$9) + CHOOSE(CONTROL!$C$38, 0.0256, 0)</f>
        <v>38.903499999999994</v>
      </c>
      <c r="C494" s="10">
        <f>35.9022 * CHOOSE(CONTROL!$C$15, $E$9, 100%, $G$9) + CHOOSE(CONTROL!$C$38, 0.0347, 0)</f>
        <v>35.936900000000001</v>
      </c>
      <c r="D494" s="10">
        <f>35.8944 * CHOOSE(CONTROL!$C$15, $E$9, 100%, $G$9) + CHOOSE(CONTROL!$C$38, 0.0347, 0)</f>
        <v>35.929099999999998</v>
      </c>
      <c r="E494" s="28">
        <f>38.7217 * CHOOSE(CONTROL!$C$15, $E$9, 100%, $G$9) + CHOOSE(CONTROL!$C$38, 0.0347, 0)</f>
        <v>38.756399999999999</v>
      </c>
      <c r="F494" s="27">
        <f>38.7217 * CHOOSE(CONTROL!$C$15, $E$9, 100%, $G$9) + CHOOSE(CONTROL!$C$38, 0.0256, 0)</f>
        <v>38.747299999999996</v>
      </c>
      <c r="G494" s="10">
        <f>35.9006 * CHOOSE(CONTROL!$C$15, $E$9, 100%, $G$9) + CHOOSE(CONTROL!$C$38, 0.0347, 0)</f>
        <v>35.935299999999998</v>
      </c>
      <c r="H494" s="10">
        <f>35.9006 * CHOOSE(CONTROL!$C$15, $E$9, 100%, $G$9) + CHOOSE(CONTROL!$C$38, 0.0347, 0)</f>
        <v>35.935299999999998</v>
      </c>
      <c r="I494" s="10">
        <f>35.9022 * CHOOSE(CONTROL!$C$15, $E$9, 100%, $G$9) + CHOOSE(CONTROL!$C$38, 0.0347, 0)</f>
        <v>35.936900000000001</v>
      </c>
      <c r="J494" s="26">
        <f>232.4815</f>
        <v>232.48150000000001</v>
      </c>
    </row>
    <row r="495" spans="1:10" ht="15.75" x14ac:dyDescent="0.25">
      <c r="A495" s="14">
        <v>56369</v>
      </c>
      <c r="B495" s="10">
        <f>38.3827 * CHOOSE(CONTROL!$C$15, $E$9, 100%, $G$9) + CHOOSE(CONTROL!$C$38, 0.0256, 0)</f>
        <v>38.408299999999997</v>
      </c>
      <c r="C495" s="10">
        <f>35.407 * CHOOSE(CONTROL!$C$15, $E$9, 100%, $G$9) + CHOOSE(CONTROL!$C$38, 0.0347, 0)</f>
        <v>35.441699999999997</v>
      </c>
      <c r="D495" s="10">
        <f>35.3992 * CHOOSE(CONTROL!$C$15, $E$9, 100%, $G$9) + CHOOSE(CONTROL!$C$38, 0.0347, 0)</f>
        <v>35.433900000000001</v>
      </c>
      <c r="E495" s="28">
        <f>38.2265 * CHOOSE(CONTROL!$C$15, $E$9, 100%, $G$9) + CHOOSE(CONTROL!$C$38, 0.0347, 0)</f>
        <v>38.261200000000002</v>
      </c>
      <c r="F495" s="27">
        <f>38.2265 * CHOOSE(CONTROL!$C$15, $E$9, 100%, $G$9) + CHOOSE(CONTROL!$C$38, 0.0256, 0)</f>
        <v>38.252099999999999</v>
      </c>
      <c r="G495" s="10">
        <f>35.4054 * CHOOSE(CONTROL!$C$15, $E$9, 100%, $G$9) + CHOOSE(CONTROL!$C$38, 0.0347, 0)</f>
        <v>35.440100000000001</v>
      </c>
      <c r="H495" s="10">
        <f>35.4054 * CHOOSE(CONTROL!$C$15, $E$9, 100%, $G$9) + CHOOSE(CONTROL!$C$38, 0.0347, 0)</f>
        <v>35.440100000000001</v>
      </c>
      <c r="I495" s="10">
        <f>35.407 * CHOOSE(CONTROL!$C$15, $E$9, 100%, $G$9) + CHOOSE(CONTROL!$C$38, 0.0347, 0)</f>
        <v>35.441699999999997</v>
      </c>
      <c r="J495" s="26">
        <f>247.5753</f>
        <v>247.5753</v>
      </c>
    </row>
    <row r="496" spans="1:10" ht="15.75" x14ac:dyDescent="0.25">
      <c r="A496" s="14">
        <v>56400</v>
      </c>
      <c r="B496" s="10">
        <f>37.8666 * CHOOSE(CONTROL!$C$15, $E$9, 100%, $G$9) + CHOOSE(CONTROL!$C$38, 0.0256, 0)</f>
        <v>37.892199999999995</v>
      </c>
      <c r="C496" s="10">
        <f>34.8909 * CHOOSE(CONTROL!$C$15, $E$9, 100%, $G$9) + CHOOSE(CONTROL!$C$38, 0.0347, 0)</f>
        <v>34.925600000000003</v>
      </c>
      <c r="D496" s="10">
        <f>34.8831 * CHOOSE(CONTROL!$C$15, $E$9, 100%, $G$9) + CHOOSE(CONTROL!$C$38, 0.0347, 0)</f>
        <v>34.9178</v>
      </c>
      <c r="E496" s="28">
        <f>37.7104 * CHOOSE(CONTROL!$C$15, $E$9, 100%, $G$9) + CHOOSE(CONTROL!$C$38, 0.0347, 0)</f>
        <v>37.745100000000001</v>
      </c>
      <c r="F496" s="27">
        <f>37.7104 * CHOOSE(CONTROL!$C$15, $E$9, 100%, $G$9) + CHOOSE(CONTROL!$C$38, 0.0256, 0)</f>
        <v>37.735999999999997</v>
      </c>
      <c r="G496" s="10">
        <f>34.8893 * CHOOSE(CONTROL!$C$15, $E$9, 100%, $G$9) + CHOOSE(CONTROL!$C$38, 0.0347, 0)</f>
        <v>34.923999999999999</v>
      </c>
      <c r="H496" s="10">
        <f>34.8893 * CHOOSE(CONTROL!$C$15, $E$9, 100%, $G$9) + CHOOSE(CONTROL!$C$38, 0.0347, 0)</f>
        <v>34.923999999999999</v>
      </c>
      <c r="I496" s="10">
        <f>34.8909 * CHOOSE(CONTROL!$C$15, $E$9, 100%, $G$9) + CHOOSE(CONTROL!$C$38, 0.0347, 0)</f>
        <v>34.925600000000003</v>
      </c>
      <c r="J496" s="26">
        <f>255.8835</f>
        <v>255.8835</v>
      </c>
    </row>
    <row r="497" spans="1:10" ht="15.75" x14ac:dyDescent="0.25">
      <c r="A497" s="14">
        <v>56430</v>
      </c>
      <c r="B497" s="10">
        <f>37.5048 * CHOOSE(CONTROL!$C$15, $E$9, 100%, $G$9) + CHOOSE(CONTROL!$C$38, 0.0256, 0)</f>
        <v>37.5304</v>
      </c>
      <c r="C497" s="10">
        <f>34.529 * CHOOSE(CONTROL!$C$15, $E$9, 100%, $G$9) + CHOOSE(CONTROL!$C$38, 0.0347, 0)</f>
        <v>34.563700000000004</v>
      </c>
      <c r="D497" s="10">
        <f>34.5212 * CHOOSE(CONTROL!$C$15, $E$9, 100%, $G$9) + CHOOSE(CONTROL!$C$38, 0.0347, 0)</f>
        <v>34.555900000000001</v>
      </c>
      <c r="E497" s="28">
        <f>37.3485 * CHOOSE(CONTROL!$C$15, $E$9, 100%, $G$9) + CHOOSE(CONTROL!$C$38, 0.0347, 0)</f>
        <v>37.383200000000002</v>
      </c>
      <c r="F497" s="27">
        <f>37.3485 * CHOOSE(CONTROL!$C$15, $E$9, 100%, $G$9) + CHOOSE(CONTROL!$C$38, 0.0256, 0)</f>
        <v>37.374099999999999</v>
      </c>
      <c r="G497" s="10">
        <f>34.5275 * CHOOSE(CONTROL!$C$15, $E$9, 100%, $G$9) + CHOOSE(CONTROL!$C$38, 0.0347, 0)</f>
        <v>34.562200000000004</v>
      </c>
      <c r="H497" s="10">
        <f>34.5275 * CHOOSE(CONTROL!$C$15, $E$9, 100%, $G$9) + CHOOSE(CONTROL!$C$38, 0.0347, 0)</f>
        <v>34.562200000000004</v>
      </c>
      <c r="I497" s="10">
        <f>34.529 * CHOOSE(CONTROL!$C$15, $E$9, 100%, $G$9) + CHOOSE(CONTROL!$C$38, 0.0347, 0)</f>
        <v>34.563700000000004</v>
      </c>
      <c r="J497" s="26">
        <f>259.5705</f>
        <v>259.57049999999998</v>
      </c>
    </row>
    <row r="498" spans="1:10" ht="15.75" x14ac:dyDescent="0.25">
      <c r="A498" s="14">
        <v>56461</v>
      </c>
      <c r="B498" s="10">
        <f>37.2983 * CHOOSE(CONTROL!$C$15, $E$9, 100%, $G$9) + CHOOSE(CONTROL!$C$38, 0.0256, 0)</f>
        <v>37.323899999999995</v>
      </c>
      <c r="C498" s="10">
        <f>34.3226 * CHOOSE(CONTROL!$C$15, $E$9, 100%, $G$9) + CHOOSE(CONTROL!$C$38, 0.0347, 0)</f>
        <v>34.357300000000002</v>
      </c>
      <c r="D498" s="10">
        <f>34.3147 * CHOOSE(CONTROL!$C$15, $E$9, 100%, $G$9) + CHOOSE(CONTROL!$C$38, 0.0347, 0)</f>
        <v>34.349400000000003</v>
      </c>
      <c r="E498" s="28">
        <f>37.142 * CHOOSE(CONTROL!$C$15, $E$9, 100%, $G$9) + CHOOSE(CONTROL!$C$38, 0.0347, 0)</f>
        <v>37.176700000000004</v>
      </c>
      <c r="F498" s="27">
        <f>37.142 * CHOOSE(CONTROL!$C$15, $E$9, 100%, $G$9) + CHOOSE(CONTROL!$C$38, 0.0256, 0)</f>
        <v>37.1676</v>
      </c>
      <c r="G498" s="10">
        <f>34.321 * CHOOSE(CONTROL!$C$15, $E$9, 100%, $G$9) + CHOOSE(CONTROL!$C$38, 0.0347, 0)</f>
        <v>34.355699999999999</v>
      </c>
      <c r="H498" s="10">
        <f>34.321 * CHOOSE(CONTROL!$C$15, $E$9, 100%, $G$9) + CHOOSE(CONTROL!$C$38, 0.0347, 0)</f>
        <v>34.355699999999999</v>
      </c>
      <c r="I498" s="10">
        <f>34.3226 * CHOOSE(CONTROL!$C$15, $E$9, 100%, $G$9) + CHOOSE(CONTROL!$C$38, 0.0347, 0)</f>
        <v>34.357300000000002</v>
      </c>
      <c r="J498" s="26">
        <f>258.3565</f>
        <v>258.35649999999998</v>
      </c>
    </row>
    <row r="499" spans="1:10" ht="15.75" x14ac:dyDescent="0.25">
      <c r="A499" s="14">
        <v>56492</v>
      </c>
      <c r="B499" s="10">
        <f>37.4002 * CHOOSE(CONTROL!$C$15, $E$9, 100%, $G$9) + CHOOSE(CONTROL!$C$38, 0.0256, 0)</f>
        <v>37.425799999999995</v>
      </c>
      <c r="C499" s="10">
        <f>34.4245 * CHOOSE(CONTROL!$C$15, $E$9, 100%, $G$9) + CHOOSE(CONTROL!$C$38, 0.0347, 0)</f>
        <v>34.459200000000003</v>
      </c>
      <c r="D499" s="10">
        <f>34.4167 * CHOOSE(CONTROL!$C$15, $E$9, 100%, $G$9) + CHOOSE(CONTROL!$C$38, 0.0347, 0)</f>
        <v>34.4514</v>
      </c>
      <c r="E499" s="28">
        <f>37.244 * CHOOSE(CONTROL!$C$15, $E$9, 100%, $G$9) + CHOOSE(CONTROL!$C$38, 0.0347, 0)</f>
        <v>37.278700000000001</v>
      </c>
      <c r="F499" s="27">
        <f>37.244 * CHOOSE(CONTROL!$C$15, $E$9, 100%, $G$9) + CHOOSE(CONTROL!$C$38, 0.0256, 0)</f>
        <v>37.269599999999997</v>
      </c>
      <c r="G499" s="10">
        <f>34.4229 * CHOOSE(CONTROL!$C$15, $E$9, 100%, $G$9) + CHOOSE(CONTROL!$C$38, 0.0347, 0)</f>
        <v>34.457599999999999</v>
      </c>
      <c r="H499" s="10">
        <f>34.4229 * CHOOSE(CONTROL!$C$15, $E$9, 100%, $G$9) + CHOOSE(CONTROL!$C$38, 0.0347, 0)</f>
        <v>34.457599999999999</v>
      </c>
      <c r="I499" s="10">
        <f>34.4245 * CHOOSE(CONTROL!$C$15, $E$9, 100%, $G$9) + CHOOSE(CONTROL!$C$38, 0.0347, 0)</f>
        <v>34.459200000000003</v>
      </c>
      <c r="J499" s="26">
        <f>252.3421</f>
        <v>252.34209999999999</v>
      </c>
    </row>
    <row r="500" spans="1:10" ht="15.75" x14ac:dyDescent="0.25">
      <c r="A500" s="14">
        <v>56522</v>
      </c>
      <c r="B500" s="10">
        <f>37.677 * CHOOSE(CONTROL!$C$15, $E$9, 100%, $G$9) + CHOOSE(CONTROL!$C$38, 0.0256, 0)</f>
        <v>37.702599999999997</v>
      </c>
      <c r="C500" s="10">
        <f>34.7013 * CHOOSE(CONTROL!$C$15, $E$9, 100%, $G$9) + CHOOSE(CONTROL!$C$38, 0.0347, 0)</f>
        <v>34.736000000000004</v>
      </c>
      <c r="D500" s="10">
        <f>34.6935 * CHOOSE(CONTROL!$C$15, $E$9, 100%, $G$9) + CHOOSE(CONTROL!$C$38, 0.0347, 0)</f>
        <v>34.728200000000001</v>
      </c>
      <c r="E500" s="28">
        <f>37.5208 * CHOOSE(CONTROL!$C$15, $E$9, 100%, $G$9) + CHOOSE(CONTROL!$C$38, 0.0347, 0)</f>
        <v>37.555500000000002</v>
      </c>
      <c r="F500" s="27">
        <f>37.5208 * CHOOSE(CONTROL!$C$15, $E$9, 100%, $G$9) + CHOOSE(CONTROL!$C$38, 0.0256, 0)</f>
        <v>37.546399999999998</v>
      </c>
      <c r="G500" s="10">
        <f>34.6997 * CHOOSE(CONTROL!$C$15, $E$9, 100%, $G$9) + CHOOSE(CONTROL!$C$38, 0.0347, 0)</f>
        <v>34.734400000000001</v>
      </c>
      <c r="H500" s="10">
        <f>34.6997 * CHOOSE(CONTROL!$C$15, $E$9, 100%, $G$9) + CHOOSE(CONTROL!$C$38, 0.0347, 0)</f>
        <v>34.734400000000001</v>
      </c>
      <c r="I500" s="10">
        <f>34.7013 * CHOOSE(CONTROL!$C$15, $E$9, 100%, $G$9) + CHOOSE(CONTROL!$C$38, 0.0347, 0)</f>
        <v>34.736000000000004</v>
      </c>
      <c r="J500" s="26">
        <f>243.9547</f>
        <v>243.9547</v>
      </c>
    </row>
    <row r="501" spans="1:10" ht="15.75" x14ac:dyDescent="0.25">
      <c r="A501" s="14">
        <v>56553</v>
      </c>
      <c r="B501" s="10">
        <f>37.9088 * CHOOSE(CONTROL!$C$15, $E$9, 100%, $G$9) + CHOOSE(CONTROL!$C$38, 0.0256, 0)</f>
        <v>37.934399999999997</v>
      </c>
      <c r="C501" s="10">
        <f>34.9331 * CHOOSE(CONTROL!$C$15, $E$9, 100%, $G$9) + CHOOSE(CONTROL!$C$38, 0.0347, 0)</f>
        <v>34.967800000000004</v>
      </c>
      <c r="D501" s="10">
        <f>34.9253 * CHOOSE(CONTROL!$C$15, $E$9, 100%, $G$9) + CHOOSE(CONTROL!$C$38, 0.0347, 0)</f>
        <v>34.96</v>
      </c>
      <c r="E501" s="28">
        <f>37.7526 * CHOOSE(CONTROL!$C$15, $E$9, 100%, $G$9) + CHOOSE(CONTROL!$C$38, 0.0347, 0)</f>
        <v>37.787300000000002</v>
      </c>
      <c r="F501" s="27">
        <f>37.7526 * CHOOSE(CONTROL!$C$15, $E$9, 100%, $G$9) + CHOOSE(CONTROL!$C$38, 0.0256, 0)</f>
        <v>37.778199999999998</v>
      </c>
      <c r="G501" s="10">
        <f>34.9315 * CHOOSE(CONTROL!$C$15, $E$9, 100%, $G$9) + CHOOSE(CONTROL!$C$38, 0.0347, 0)</f>
        <v>34.966200000000001</v>
      </c>
      <c r="H501" s="10">
        <f>34.9315 * CHOOSE(CONTROL!$C$15, $E$9, 100%, $G$9) + CHOOSE(CONTROL!$C$38, 0.0347, 0)</f>
        <v>34.966200000000001</v>
      </c>
      <c r="I501" s="10">
        <f>34.9331 * CHOOSE(CONTROL!$C$15, $E$9, 100%, $G$9) + CHOOSE(CONTROL!$C$38, 0.0347, 0)</f>
        <v>34.967800000000004</v>
      </c>
      <c r="J501" s="26">
        <f>235.5185</f>
        <v>235.51849999999999</v>
      </c>
    </row>
    <row r="502" spans="1:10" ht="15.75" x14ac:dyDescent="0.25">
      <c r="A502" s="14">
        <v>56583</v>
      </c>
      <c r="B502" s="10">
        <f>38.1023 * CHOOSE(CONTROL!$C$15, $E$9, 100%, $G$9) + CHOOSE(CONTROL!$C$38, 0.0256, 0)</f>
        <v>38.127899999999997</v>
      </c>
      <c r="C502" s="10">
        <f>35.1265 * CHOOSE(CONTROL!$C$15, $E$9, 100%, $G$9) + CHOOSE(CONTROL!$C$38, 0.0347, 0)</f>
        <v>35.161200000000001</v>
      </c>
      <c r="D502" s="10">
        <f>35.1187 * CHOOSE(CONTROL!$C$15, $E$9, 100%, $G$9) + CHOOSE(CONTROL!$C$38, 0.0347, 0)</f>
        <v>35.153399999999998</v>
      </c>
      <c r="E502" s="28">
        <f>37.946 * CHOOSE(CONTROL!$C$15, $E$9, 100%, $G$9) + CHOOSE(CONTROL!$C$38, 0.0347, 0)</f>
        <v>37.980699999999999</v>
      </c>
      <c r="F502" s="27">
        <f>37.946 * CHOOSE(CONTROL!$C$15, $E$9, 100%, $G$9) + CHOOSE(CONTROL!$C$38, 0.0256, 0)</f>
        <v>37.971599999999995</v>
      </c>
      <c r="G502" s="10">
        <f>35.125 * CHOOSE(CONTROL!$C$15, $E$9, 100%, $G$9) + CHOOSE(CONTROL!$C$38, 0.0347, 0)</f>
        <v>35.159700000000001</v>
      </c>
      <c r="H502" s="10">
        <f>35.125 * CHOOSE(CONTROL!$C$15, $E$9, 100%, $G$9) + CHOOSE(CONTROL!$C$38, 0.0347, 0)</f>
        <v>35.159700000000001</v>
      </c>
      <c r="I502" s="10">
        <f>35.1265 * CHOOSE(CONTROL!$C$15, $E$9, 100%, $G$9) + CHOOSE(CONTROL!$C$38, 0.0347, 0)</f>
        <v>35.161200000000001</v>
      </c>
      <c r="J502" s="26">
        <f>233.8403</f>
        <v>233.84030000000001</v>
      </c>
    </row>
    <row r="503" spans="1:10" ht="15.75" x14ac:dyDescent="0.25">
      <c r="A503" s="14">
        <v>56614</v>
      </c>
      <c r="B503" s="10">
        <f>38.6983 * CHOOSE(CONTROL!$C$15, $E$9, 100%, $G$9) + CHOOSE(CONTROL!$C$38, 0.0256, 0)</f>
        <v>38.7239</v>
      </c>
      <c r="C503" s="10">
        <f>35.7226 * CHOOSE(CONTROL!$C$15, $E$9, 100%, $G$9) + CHOOSE(CONTROL!$C$38, 0.0347, 0)</f>
        <v>35.757300000000001</v>
      </c>
      <c r="D503" s="10">
        <f>35.7148 * CHOOSE(CONTROL!$C$15, $E$9, 100%, $G$9) + CHOOSE(CONTROL!$C$38, 0.0347, 0)</f>
        <v>35.749499999999998</v>
      </c>
      <c r="E503" s="28">
        <f>38.5421 * CHOOSE(CONTROL!$C$15, $E$9, 100%, $G$9) + CHOOSE(CONTROL!$C$38, 0.0347, 0)</f>
        <v>38.576799999999999</v>
      </c>
      <c r="F503" s="27">
        <f>38.5421 * CHOOSE(CONTROL!$C$15, $E$9, 100%, $G$9) + CHOOSE(CONTROL!$C$38, 0.0256, 0)</f>
        <v>38.567699999999995</v>
      </c>
      <c r="G503" s="10">
        <f>35.721 * CHOOSE(CONTROL!$C$15, $E$9, 100%, $G$9) + CHOOSE(CONTROL!$C$38, 0.0347, 0)</f>
        <v>35.755699999999997</v>
      </c>
      <c r="H503" s="10">
        <f>35.721 * CHOOSE(CONTROL!$C$15, $E$9, 100%, $G$9) + CHOOSE(CONTROL!$C$38, 0.0347, 0)</f>
        <v>35.755699999999997</v>
      </c>
      <c r="I503" s="10">
        <f>35.7226 * CHOOSE(CONTROL!$C$15, $E$9, 100%, $G$9) + CHOOSE(CONTROL!$C$38, 0.0347, 0)</f>
        <v>35.757300000000001</v>
      </c>
      <c r="J503" s="26">
        <f>226.9011</f>
        <v>226.90110000000001</v>
      </c>
    </row>
    <row r="504" spans="1:10" ht="15.75" x14ac:dyDescent="0.25">
      <c r="A504" s="13">
        <v>56645</v>
      </c>
      <c r="B504" s="10">
        <f>39.832 * CHOOSE(CONTROL!$C$15, $E$9, 100%, $G$9) + CHOOSE(CONTROL!$C$38, 0.0256, 0)</f>
        <v>39.857599999999998</v>
      </c>
      <c r="C504" s="10">
        <f>36.8065 * CHOOSE(CONTROL!$C$15, $E$9, 100%, $G$9) + CHOOSE(CONTROL!$C$38, 0.0347, 0)</f>
        <v>36.841200000000001</v>
      </c>
      <c r="D504" s="10">
        <f>36.7987 * CHOOSE(CONTROL!$C$15, $E$9, 100%, $G$9) + CHOOSE(CONTROL!$C$38, 0.0347, 0)</f>
        <v>36.833399999999997</v>
      </c>
      <c r="E504" s="28">
        <f>39.6758 * CHOOSE(CONTROL!$C$15, $E$9, 100%, $G$9) + CHOOSE(CONTROL!$C$38, 0.0347, 0)</f>
        <v>39.710500000000003</v>
      </c>
      <c r="F504" s="27">
        <f>39.6758 * CHOOSE(CONTROL!$C$15, $E$9, 100%, $G$9) + CHOOSE(CONTROL!$C$38, 0.0256, 0)</f>
        <v>39.7014</v>
      </c>
      <c r="G504" s="10">
        <f>36.8049 * CHOOSE(CONTROL!$C$15, $E$9, 100%, $G$9) + CHOOSE(CONTROL!$C$38, 0.0347, 0)</f>
        <v>36.839600000000004</v>
      </c>
      <c r="H504" s="10">
        <f>36.8049 * CHOOSE(CONTROL!$C$15, $E$9, 100%, $G$9) + CHOOSE(CONTROL!$C$38, 0.0347, 0)</f>
        <v>36.839600000000004</v>
      </c>
      <c r="I504" s="10">
        <f>36.8065 * CHOOSE(CONTROL!$C$15, $E$9, 100%, $G$9) + CHOOSE(CONTROL!$C$38, 0.0347, 0)</f>
        <v>36.841200000000001</v>
      </c>
      <c r="J504" s="26">
        <f>225.3812</f>
        <v>225.38120000000001</v>
      </c>
    </row>
    <row r="505" spans="1:10" ht="15.75" x14ac:dyDescent="0.25">
      <c r="A505" s="13">
        <v>56673</v>
      </c>
      <c r="B505" s="10">
        <f>40.0528 * CHOOSE(CONTROL!$C$15, $E$9, 100%, $G$9) + CHOOSE(CONTROL!$C$38, 0.0256, 0)</f>
        <v>40.078399999999995</v>
      </c>
      <c r="C505" s="10">
        <f>37.0272 * CHOOSE(CONTROL!$C$15, $E$9, 100%, $G$9) + CHOOSE(CONTROL!$C$38, 0.0347, 0)</f>
        <v>37.061900000000001</v>
      </c>
      <c r="D505" s="10">
        <f>37.0194 * CHOOSE(CONTROL!$C$15, $E$9, 100%, $G$9) + CHOOSE(CONTROL!$C$38, 0.0347, 0)</f>
        <v>37.054099999999998</v>
      </c>
      <c r="E505" s="28">
        <f>39.8965 * CHOOSE(CONTROL!$C$15, $E$9, 100%, $G$9) + CHOOSE(CONTROL!$C$38, 0.0347, 0)</f>
        <v>39.931200000000004</v>
      </c>
      <c r="F505" s="27">
        <f>39.8965 * CHOOSE(CONTROL!$C$15, $E$9, 100%, $G$9) + CHOOSE(CONTROL!$C$38, 0.0256, 0)</f>
        <v>39.9221</v>
      </c>
      <c r="G505" s="10">
        <f>37.0257 * CHOOSE(CONTROL!$C$15, $E$9, 100%, $G$9) + CHOOSE(CONTROL!$C$38, 0.0347, 0)</f>
        <v>37.060400000000001</v>
      </c>
      <c r="H505" s="10">
        <f>37.0257 * CHOOSE(CONTROL!$C$15, $E$9, 100%, $G$9) + CHOOSE(CONTROL!$C$38, 0.0347, 0)</f>
        <v>37.060400000000001</v>
      </c>
      <c r="I505" s="10">
        <f>37.0272 * CHOOSE(CONTROL!$C$15, $E$9, 100%, $G$9) + CHOOSE(CONTROL!$C$38, 0.0347, 0)</f>
        <v>37.061900000000001</v>
      </c>
      <c r="J505" s="26">
        <f>224.7547</f>
        <v>224.75470000000001</v>
      </c>
    </row>
    <row r="506" spans="1:10" ht="15.75" x14ac:dyDescent="0.25">
      <c r="A506" s="13">
        <v>56704</v>
      </c>
      <c r="B506" s="10">
        <f>39.5418 * CHOOSE(CONTROL!$C$15, $E$9, 100%, $G$9) + CHOOSE(CONTROL!$C$38, 0.0256, 0)</f>
        <v>39.567399999999999</v>
      </c>
      <c r="C506" s="10">
        <f>36.5162 * CHOOSE(CONTROL!$C$15, $E$9, 100%, $G$9) + CHOOSE(CONTROL!$C$38, 0.0347, 0)</f>
        <v>36.550899999999999</v>
      </c>
      <c r="D506" s="10">
        <f>36.5084 * CHOOSE(CONTROL!$C$15, $E$9, 100%, $G$9) + CHOOSE(CONTROL!$C$38, 0.0347, 0)</f>
        <v>36.543100000000003</v>
      </c>
      <c r="E506" s="28">
        <f>39.3855 * CHOOSE(CONTROL!$C$15, $E$9, 100%, $G$9) + CHOOSE(CONTROL!$C$38, 0.0347, 0)</f>
        <v>39.420200000000001</v>
      </c>
      <c r="F506" s="27">
        <f>39.3855 * CHOOSE(CONTROL!$C$15, $E$9, 100%, $G$9) + CHOOSE(CONTROL!$C$38, 0.0256, 0)</f>
        <v>39.411099999999998</v>
      </c>
      <c r="G506" s="10">
        <f>36.5146 * CHOOSE(CONTROL!$C$15, $E$9, 100%, $G$9) + CHOOSE(CONTROL!$C$38, 0.0347, 0)</f>
        <v>36.549300000000002</v>
      </c>
      <c r="H506" s="10">
        <f>36.5146 * CHOOSE(CONTROL!$C$15, $E$9, 100%, $G$9) + CHOOSE(CONTROL!$C$38, 0.0347, 0)</f>
        <v>36.549300000000002</v>
      </c>
      <c r="I506" s="10">
        <f>36.5162 * CHOOSE(CONTROL!$C$15, $E$9, 100%, $G$9) + CHOOSE(CONTROL!$C$38, 0.0347, 0)</f>
        <v>36.550899999999999</v>
      </c>
      <c r="J506" s="26">
        <f>236.6006</f>
        <v>236.60059999999999</v>
      </c>
    </row>
    <row r="507" spans="1:10" ht="15.75" x14ac:dyDescent="0.25">
      <c r="A507" s="13">
        <v>56734</v>
      </c>
      <c r="B507" s="10">
        <f>39.0466 * CHOOSE(CONTROL!$C$15, $E$9, 100%, $G$9) + CHOOSE(CONTROL!$C$38, 0.0256, 0)</f>
        <v>39.072199999999995</v>
      </c>
      <c r="C507" s="10">
        <f>36.021 * CHOOSE(CONTROL!$C$15, $E$9, 100%, $G$9) + CHOOSE(CONTROL!$C$38, 0.0347, 0)</f>
        <v>36.055700000000002</v>
      </c>
      <c r="D507" s="10">
        <f>36.0132 * CHOOSE(CONTROL!$C$15, $E$9, 100%, $G$9) + CHOOSE(CONTROL!$C$38, 0.0347, 0)</f>
        <v>36.047899999999998</v>
      </c>
      <c r="E507" s="28">
        <f>38.8903 * CHOOSE(CONTROL!$C$15, $E$9, 100%, $G$9) + CHOOSE(CONTROL!$C$38, 0.0347, 0)</f>
        <v>38.925000000000004</v>
      </c>
      <c r="F507" s="27">
        <f>38.8903 * CHOOSE(CONTROL!$C$15, $E$9, 100%, $G$9) + CHOOSE(CONTROL!$C$38, 0.0256, 0)</f>
        <v>38.915900000000001</v>
      </c>
      <c r="G507" s="10">
        <f>36.0195 * CHOOSE(CONTROL!$C$15, $E$9, 100%, $G$9) + CHOOSE(CONTROL!$C$38, 0.0347, 0)</f>
        <v>36.054200000000002</v>
      </c>
      <c r="H507" s="10">
        <f>36.0195 * CHOOSE(CONTROL!$C$15, $E$9, 100%, $G$9) + CHOOSE(CONTROL!$C$38, 0.0347, 0)</f>
        <v>36.054200000000002</v>
      </c>
      <c r="I507" s="10">
        <f>36.021 * CHOOSE(CONTROL!$C$15, $E$9, 100%, $G$9) + CHOOSE(CONTROL!$C$38, 0.0347, 0)</f>
        <v>36.055700000000002</v>
      </c>
      <c r="J507" s="26">
        <f>251.9619</f>
        <v>251.96190000000001</v>
      </c>
    </row>
    <row r="508" spans="1:10" ht="15.75" x14ac:dyDescent="0.25">
      <c r="A508" s="13">
        <v>56765</v>
      </c>
      <c r="B508" s="10">
        <f>38.5305 * CHOOSE(CONTROL!$C$15, $E$9, 100%, $G$9) + CHOOSE(CONTROL!$C$38, 0.0256, 0)</f>
        <v>38.556100000000001</v>
      </c>
      <c r="C508" s="10">
        <f>35.5049 * CHOOSE(CONTROL!$C$15, $E$9, 100%, $G$9) + CHOOSE(CONTROL!$C$38, 0.0347, 0)</f>
        <v>35.5396</v>
      </c>
      <c r="D508" s="10">
        <f>35.4971 * CHOOSE(CONTROL!$C$15, $E$9, 100%, $G$9) + CHOOSE(CONTROL!$C$38, 0.0347, 0)</f>
        <v>35.531800000000004</v>
      </c>
      <c r="E508" s="28">
        <f>38.3742 * CHOOSE(CONTROL!$C$15, $E$9, 100%, $G$9) + CHOOSE(CONTROL!$C$38, 0.0347, 0)</f>
        <v>38.408900000000003</v>
      </c>
      <c r="F508" s="27">
        <f>38.3742 * CHOOSE(CONTROL!$C$15, $E$9, 100%, $G$9) + CHOOSE(CONTROL!$C$38, 0.0256, 0)</f>
        <v>38.399799999999999</v>
      </c>
      <c r="G508" s="10">
        <f>35.5033 * CHOOSE(CONTROL!$C$15, $E$9, 100%, $G$9) + CHOOSE(CONTROL!$C$38, 0.0347, 0)</f>
        <v>35.538000000000004</v>
      </c>
      <c r="H508" s="10">
        <f>35.5033 * CHOOSE(CONTROL!$C$15, $E$9, 100%, $G$9) + CHOOSE(CONTROL!$C$38, 0.0347, 0)</f>
        <v>35.538000000000004</v>
      </c>
      <c r="I508" s="10">
        <f>35.5049 * CHOOSE(CONTROL!$C$15, $E$9, 100%, $G$9) + CHOOSE(CONTROL!$C$38, 0.0347, 0)</f>
        <v>35.5396</v>
      </c>
      <c r="J508" s="26">
        <f>260.4172</f>
        <v>260.41719999999998</v>
      </c>
    </row>
    <row r="509" spans="1:10" ht="15.75" x14ac:dyDescent="0.25">
      <c r="A509" s="13">
        <v>56795</v>
      </c>
      <c r="B509" s="10">
        <f>38.1686 * CHOOSE(CONTROL!$C$15, $E$9, 100%, $G$9) + CHOOSE(CONTROL!$C$38, 0.0256, 0)</f>
        <v>38.194199999999995</v>
      </c>
      <c r="C509" s="10">
        <f>35.1431 * CHOOSE(CONTROL!$C$15, $E$9, 100%, $G$9) + CHOOSE(CONTROL!$C$38, 0.0347, 0)</f>
        <v>35.177799999999998</v>
      </c>
      <c r="D509" s="10">
        <f>35.1353 * CHOOSE(CONTROL!$C$15, $E$9, 100%, $G$9) + CHOOSE(CONTROL!$C$38, 0.0347, 0)</f>
        <v>35.17</v>
      </c>
      <c r="E509" s="28">
        <f>38.0124 * CHOOSE(CONTROL!$C$15, $E$9, 100%, $G$9) + CHOOSE(CONTROL!$C$38, 0.0347, 0)</f>
        <v>38.0471</v>
      </c>
      <c r="F509" s="27">
        <f>38.0124 * CHOOSE(CONTROL!$C$15, $E$9, 100%, $G$9) + CHOOSE(CONTROL!$C$38, 0.0256, 0)</f>
        <v>38.037999999999997</v>
      </c>
      <c r="G509" s="10">
        <f>35.1415 * CHOOSE(CONTROL!$C$15, $E$9, 100%, $G$9) + CHOOSE(CONTROL!$C$38, 0.0347, 0)</f>
        <v>35.176200000000001</v>
      </c>
      <c r="H509" s="10">
        <f>35.1415 * CHOOSE(CONTROL!$C$15, $E$9, 100%, $G$9) + CHOOSE(CONTROL!$C$38, 0.0347, 0)</f>
        <v>35.176200000000001</v>
      </c>
      <c r="I509" s="10">
        <f>35.1431 * CHOOSE(CONTROL!$C$15, $E$9, 100%, $G$9) + CHOOSE(CONTROL!$C$38, 0.0347, 0)</f>
        <v>35.177799999999998</v>
      </c>
      <c r="J509" s="26">
        <f>264.1696</f>
        <v>264.1696</v>
      </c>
    </row>
    <row r="510" spans="1:10" ht="15.75" x14ac:dyDescent="0.25">
      <c r="A510" s="13">
        <v>56826</v>
      </c>
      <c r="B510" s="10">
        <f>37.9621 * CHOOSE(CONTROL!$C$15, $E$9, 100%, $G$9) + CHOOSE(CONTROL!$C$38, 0.0256, 0)</f>
        <v>37.987699999999997</v>
      </c>
      <c r="C510" s="10">
        <f>34.9366 * CHOOSE(CONTROL!$C$15, $E$9, 100%, $G$9) + CHOOSE(CONTROL!$C$38, 0.0347, 0)</f>
        <v>34.971299999999999</v>
      </c>
      <c r="D510" s="10">
        <f>34.9288 * CHOOSE(CONTROL!$C$15, $E$9, 100%, $G$9) + CHOOSE(CONTROL!$C$38, 0.0347, 0)</f>
        <v>34.963500000000003</v>
      </c>
      <c r="E510" s="28">
        <f>37.8059 * CHOOSE(CONTROL!$C$15, $E$9, 100%, $G$9) + CHOOSE(CONTROL!$C$38, 0.0347, 0)</f>
        <v>37.840600000000002</v>
      </c>
      <c r="F510" s="27">
        <f>37.8059 * CHOOSE(CONTROL!$C$15, $E$9, 100%, $G$9) + CHOOSE(CONTROL!$C$38, 0.0256, 0)</f>
        <v>37.831499999999998</v>
      </c>
      <c r="G510" s="10">
        <f>34.935 * CHOOSE(CONTROL!$C$15, $E$9, 100%, $G$9) + CHOOSE(CONTROL!$C$38, 0.0347, 0)</f>
        <v>34.969700000000003</v>
      </c>
      <c r="H510" s="10">
        <f>34.935 * CHOOSE(CONTROL!$C$15, $E$9, 100%, $G$9) + CHOOSE(CONTROL!$C$38, 0.0347, 0)</f>
        <v>34.969700000000003</v>
      </c>
      <c r="I510" s="10">
        <f>34.9366 * CHOOSE(CONTROL!$C$15, $E$9, 100%, $G$9) + CHOOSE(CONTROL!$C$38, 0.0347, 0)</f>
        <v>34.971299999999999</v>
      </c>
      <c r="J510" s="26">
        <f>262.9341</f>
        <v>262.9341</v>
      </c>
    </row>
    <row r="511" spans="1:10" ht="15.75" x14ac:dyDescent="0.25">
      <c r="A511" s="13">
        <v>56857</v>
      </c>
      <c r="B511" s="10">
        <f>38.064 * CHOOSE(CONTROL!$C$15, $E$9, 100%, $G$9) + CHOOSE(CONTROL!$C$38, 0.0256, 0)</f>
        <v>38.089599999999997</v>
      </c>
      <c r="C511" s="10">
        <f>35.0385 * CHOOSE(CONTROL!$C$15, $E$9, 100%, $G$9) + CHOOSE(CONTROL!$C$38, 0.0347, 0)</f>
        <v>35.0732</v>
      </c>
      <c r="D511" s="10">
        <f>35.0307 * CHOOSE(CONTROL!$C$15, $E$9, 100%, $G$9) + CHOOSE(CONTROL!$C$38, 0.0347, 0)</f>
        <v>35.065400000000004</v>
      </c>
      <c r="E511" s="28">
        <f>37.9078 * CHOOSE(CONTROL!$C$15, $E$9, 100%, $G$9) + CHOOSE(CONTROL!$C$38, 0.0347, 0)</f>
        <v>37.942500000000003</v>
      </c>
      <c r="F511" s="27">
        <f>37.9078 * CHOOSE(CONTROL!$C$15, $E$9, 100%, $G$9) + CHOOSE(CONTROL!$C$38, 0.0256, 0)</f>
        <v>37.933399999999999</v>
      </c>
      <c r="G511" s="10">
        <f>35.0369 * CHOOSE(CONTROL!$C$15, $E$9, 100%, $G$9) + CHOOSE(CONTROL!$C$38, 0.0347, 0)</f>
        <v>35.071600000000004</v>
      </c>
      <c r="H511" s="10">
        <f>35.0369 * CHOOSE(CONTROL!$C$15, $E$9, 100%, $G$9) + CHOOSE(CONTROL!$C$38, 0.0347, 0)</f>
        <v>35.071600000000004</v>
      </c>
      <c r="I511" s="10">
        <f>35.0385 * CHOOSE(CONTROL!$C$15, $E$9, 100%, $G$9) + CHOOSE(CONTROL!$C$38, 0.0347, 0)</f>
        <v>35.0732</v>
      </c>
      <c r="J511" s="26">
        <f>256.8131</f>
        <v>256.81310000000002</v>
      </c>
    </row>
    <row r="512" spans="1:10" ht="15.75" x14ac:dyDescent="0.25">
      <c r="A512" s="13">
        <v>56887</v>
      </c>
      <c r="B512" s="10">
        <f>38.3408 * CHOOSE(CONTROL!$C$15, $E$9, 100%, $G$9) + CHOOSE(CONTROL!$C$38, 0.0256, 0)</f>
        <v>38.366399999999999</v>
      </c>
      <c r="C512" s="10">
        <f>35.3153 * CHOOSE(CONTROL!$C$15, $E$9, 100%, $G$9) + CHOOSE(CONTROL!$C$38, 0.0347, 0)</f>
        <v>35.35</v>
      </c>
      <c r="D512" s="10">
        <f>35.3075 * CHOOSE(CONTROL!$C$15, $E$9, 100%, $G$9) + CHOOSE(CONTROL!$C$38, 0.0347, 0)</f>
        <v>35.342199999999998</v>
      </c>
      <c r="E512" s="28">
        <f>38.1846 * CHOOSE(CONTROL!$C$15, $E$9, 100%, $G$9) + CHOOSE(CONTROL!$C$38, 0.0347, 0)</f>
        <v>38.219300000000004</v>
      </c>
      <c r="F512" s="27">
        <f>38.1846 * CHOOSE(CONTROL!$C$15, $E$9, 100%, $G$9) + CHOOSE(CONTROL!$C$38, 0.0256, 0)</f>
        <v>38.2102</v>
      </c>
      <c r="G512" s="10">
        <f>35.3137 * CHOOSE(CONTROL!$C$15, $E$9, 100%, $G$9) + CHOOSE(CONTROL!$C$38, 0.0347, 0)</f>
        <v>35.348399999999998</v>
      </c>
      <c r="H512" s="10">
        <f>35.3137 * CHOOSE(CONTROL!$C$15, $E$9, 100%, $G$9) + CHOOSE(CONTROL!$C$38, 0.0347, 0)</f>
        <v>35.348399999999998</v>
      </c>
      <c r="I512" s="10">
        <f>35.3153 * CHOOSE(CONTROL!$C$15, $E$9, 100%, $G$9) + CHOOSE(CONTROL!$C$38, 0.0347, 0)</f>
        <v>35.35</v>
      </c>
      <c r="J512" s="26">
        <f>248.2771</f>
        <v>248.27709999999999</v>
      </c>
    </row>
    <row r="513" spans="1:10" ht="15.75" x14ac:dyDescent="0.25">
      <c r="A513" s="13">
        <v>56918</v>
      </c>
      <c r="B513" s="10">
        <f>38.5727 * CHOOSE(CONTROL!$C$15, $E$9, 100%, $G$9) + CHOOSE(CONTROL!$C$38, 0.0256, 0)</f>
        <v>38.598299999999995</v>
      </c>
      <c r="C513" s="10">
        <f>35.5471 * CHOOSE(CONTROL!$C$15, $E$9, 100%, $G$9) + CHOOSE(CONTROL!$C$38, 0.0347, 0)</f>
        <v>35.581800000000001</v>
      </c>
      <c r="D513" s="10">
        <f>35.5393 * CHOOSE(CONTROL!$C$15, $E$9, 100%, $G$9) + CHOOSE(CONTROL!$C$38, 0.0347, 0)</f>
        <v>35.573999999999998</v>
      </c>
      <c r="E513" s="28">
        <f>38.4164 * CHOOSE(CONTROL!$C$15, $E$9, 100%, $G$9) + CHOOSE(CONTROL!$C$38, 0.0347, 0)</f>
        <v>38.451100000000004</v>
      </c>
      <c r="F513" s="27">
        <f>38.4164 * CHOOSE(CONTROL!$C$15, $E$9, 100%, $G$9) + CHOOSE(CONTROL!$C$38, 0.0256, 0)</f>
        <v>38.442</v>
      </c>
      <c r="G513" s="10">
        <f>35.5455 * CHOOSE(CONTROL!$C$15, $E$9, 100%, $G$9) + CHOOSE(CONTROL!$C$38, 0.0347, 0)</f>
        <v>35.580199999999998</v>
      </c>
      <c r="H513" s="10">
        <f>35.5455 * CHOOSE(CONTROL!$C$15, $E$9, 100%, $G$9) + CHOOSE(CONTROL!$C$38, 0.0347, 0)</f>
        <v>35.580199999999998</v>
      </c>
      <c r="I513" s="10">
        <f>35.5471 * CHOOSE(CONTROL!$C$15, $E$9, 100%, $G$9) + CHOOSE(CONTROL!$C$38, 0.0347, 0)</f>
        <v>35.581800000000001</v>
      </c>
      <c r="J513" s="26">
        <f>239.6914</f>
        <v>239.69139999999999</v>
      </c>
    </row>
    <row r="514" spans="1:10" ht="15.75" x14ac:dyDescent="0.25">
      <c r="A514" s="13">
        <v>56948</v>
      </c>
      <c r="B514" s="10">
        <f>38.7661 * CHOOSE(CONTROL!$C$15, $E$9, 100%, $G$9) + CHOOSE(CONTROL!$C$38, 0.0256, 0)</f>
        <v>38.791699999999999</v>
      </c>
      <c r="C514" s="10">
        <f>35.7406 * CHOOSE(CONTROL!$C$15, $E$9, 100%, $G$9) + CHOOSE(CONTROL!$C$38, 0.0347, 0)</f>
        <v>35.775300000000001</v>
      </c>
      <c r="D514" s="10">
        <f>35.7327 * CHOOSE(CONTROL!$C$15, $E$9, 100%, $G$9) + CHOOSE(CONTROL!$C$38, 0.0347, 0)</f>
        <v>35.767400000000002</v>
      </c>
      <c r="E514" s="28">
        <f>38.6099 * CHOOSE(CONTROL!$C$15, $E$9, 100%, $G$9) + CHOOSE(CONTROL!$C$38, 0.0347, 0)</f>
        <v>38.644600000000004</v>
      </c>
      <c r="F514" s="27">
        <f>38.6099 * CHOOSE(CONTROL!$C$15, $E$9, 100%, $G$9) + CHOOSE(CONTROL!$C$38, 0.0256, 0)</f>
        <v>38.6355</v>
      </c>
      <c r="G514" s="10">
        <f>35.739 * CHOOSE(CONTROL!$C$15, $E$9, 100%, $G$9) + CHOOSE(CONTROL!$C$38, 0.0347, 0)</f>
        <v>35.773699999999998</v>
      </c>
      <c r="H514" s="10">
        <f>35.739 * CHOOSE(CONTROL!$C$15, $E$9, 100%, $G$9) + CHOOSE(CONTROL!$C$38, 0.0347, 0)</f>
        <v>35.773699999999998</v>
      </c>
      <c r="I514" s="10">
        <f>35.7406 * CHOOSE(CONTROL!$C$15, $E$9, 100%, $G$9) + CHOOSE(CONTROL!$C$38, 0.0347, 0)</f>
        <v>35.775300000000001</v>
      </c>
      <c r="J514" s="26">
        <f>237.9836</f>
        <v>237.9836</v>
      </c>
    </row>
    <row r="515" spans="1:10" ht="15.75" x14ac:dyDescent="0.25">
      <c r="A515" s="13">
        <v>56979</v>
      </c>
      <c r="B515" s="10">
        <f>39.3622 * CHOOSE(CONTROL!$C$15, $E$9, 100%, $G$9) + CHOOSE(CONTROL!$C$38, 0.0256, 0)</f>
        <v>39.387799999999999</v>
      </c>
      <c r="C515" s="10">
        <f>36.3366 * CHOOSE(CONTROL!$C$15, $E$9, 100%, $G$9) + CHOOSE(CONTROL!$C$38, 0.0347, 0)</f>
        <v>36.371299999999998</v>
      </c>
      <c r="D515" s="10">
        <f>36.3288 * CHOOSE(CONTROL!$C$15, $E$9, 100%, $G$9) + CHOOSE(CONTROL!$C$38, 0.0347, 0)</f>
        <v>36.363500000000002</v>
      </c>
      <c r="E515" s="28">
        <f>39.2059 * CHOOSE(CONTROL!$C$15, $E$9, 100%, $G$9) + CHOOSE(CONTROL!$C$38, 0.0347, 0)</f>
        <v>39.240600000000001</v>
      </c>
      <c r="F515" s="27">
        <f>39.2059 * CHOOSE(CONTROL!$C$15, $E$9, 100%, $G$9) + CHOOSE(CONTROL!$C$38, 0.0256, 0)</f>
        <v>39.231499999999997</v>
      </c>
      <c r="G515" s="10">
        <f>36.3351 * CHOOSE(CONTROL!$C$15, $E$9, 100%, $G$9) + CHOOSE(CONTROL!$C$38, 0.0347, 0)</f>
        <v>36.369799999999998</v>
      </c>
      <c r="H515" s="10">
        <f>36.3351 * CHOOSE(CONTROL!$C$15, $E$9, 100%, $G$9) + CHOOSE(CONTROL!$C$38, 0.0347, 0)</f>
        <v>36.369799999999998</v>
      </c>
      <c r="I515" s="10">
        <f>36.3366 * CHOOSE(CONTROL!$C$15, $E$9, 100%, $G$9) + CHOOSE(CONTROL!$C$38, 0.0347, 0)</f>
        <v>36.371299999999998</v>
      </c>
      <c r="J515" s="26">
        <f>230.9214</f>
        <v>230.92140000000001</v>
      </c>
    </row>
    <row r="516" spans="1:10" ht="15.75" x14ac:dyDescent="0.25">
      <c r="A516" s="13">
        <v>57010</v>
      </c>
      <c r="B516" s="10">
        <f>40.5076 * CHOOSE(CONTROL!$C$15, $E$9, 100%, $G$9) + CHOOSE(CONTROL!$C$38, 0.0256, 0)</f>
        <v>40.533199999999994</v>
      </c>
      <c r="C516" s="10">
        <f>37.4313 * CHOOSE(CONTROL!$C$15, $E$9, 100%, $G$9) + CHOOSE(CONTROL!$C$38, 0.0347, 0)</f>
        <v>37.466000000000001</v>
      </c>
      <c r="D516" s="10">
        <f>37.4235 * CHOOSE(CONTROL!$C$15, $E$9, 100%, $G$9) + CHOOSE(CONTROL!$C$38, 0.0347, 0)</f>
        <v>37.458199999999998</v>
      </c>
      <c r="E516" s="28">
        <f>40.3513 * CHOOSE(CONTROL!$C$15, $E$9, 100%, $G$9) + CHOOSE(CONTROL!$C$38, 0.0347, 0)</f>
        <v>40.386000000000003</v>
      </c>
      <c r="F516" s="27">
        <f>40.3513 * CHOOSE(CONTROL!$C$15, $E$9, 100%, $G$9) + CHOOSE(CONTROL!$C$38, 0.0256, 0)</f>
        <v>40.376899999999999</v>
      </c>
      <c r="G516" s="10">
        <f>37.4298 * CHOOSE(CONTROL!$C$15, $E$9, 100%, $G$9) + CHOOSE(CONTROL!$C$38, 0.0347, 0)</f>
        <v>37.464500000000001</v>
      </c>
      <c r="H516" s="10">
        <f>37.4298 * CHOOSE(CONTROL!$C$15, $E$9, 100%, $G$9) + CHOOSE(CONTROL!$C$38, 0.0347, 0)</f>
        <v>37.464500000000001</v>
      </c>
      <c r="I516" s="10">
        <f>37.4313 * CHOOSE(CONTROL!$C$15, $E$9, 100%, $G$9) + CHOOSE(CONTROL!$C$38, 0.0347, 0)</f>
        <v>37.466000000000001</v>
      </c>
      <c r="J516" s="26">
        <f>229.3746</f>
        <v>229.37459999999999</v>
      </c>
    </row>
    <row r="517" spans="1:10" ht="15.75" x14ac:dyDescent="0.25">
      <c r="A517" s="13">
        <v>57038</v>
      </c>
      <c r="B517" s="10">
        <f>40.7284 * CHOOSE(CONTROL!$C$15, $E$9, 100%, $G$9) + CHOOSE(CONTROL!$C$38, 0.0256, 0)</f>
        <v>40.753999999999998</v>
      </c>
      <c r="C517" s="10">
        <f>37.6521 * CHOOSE(CONTROL!$C$15, $E$9, 100%, $G$9) + CHOOSE(CONTROL!$C$38, 0.0347, 0)</f>
        <v>37.686799999999998</v>
      </c>
      <c r="D517" s="10">
        <f>37.6443 * CHOOSE(CONTROL!$C$15, $E$9, 100%, $G$9) + CHOOSE(CONTROL!$C$38, 0.0347, 0)</f>
        <v>37.679000000000002</v>
      </c>
      <c r="E517" s="28">
        <f>40.5721 * CHOOSE(CONTROL!$C$15, $E$9, 100%, $G$9) + CHOOSE(CONTROL!$C$38, 0.0347, 0)</f>
        <v>40.6068</v>
      </c>
      <c r="F517" s="27">
        <f>40.5721 * CHOOSE(CONTROL!$C$15, $E$9, 100%, $G$9) + CHOOSE(CONTROL!$C$38, 0.0256, 0)</f>
        <v>40.597699999999996</v>
      </c>
      <c r="G517" s="10">
        <f>37.6505 * CHOOSE(CONTROL!$C$15, $E$9, 100%, $G$9) + CHOOSE(CONTROL!$C$38, 0.0347, 0)</f>
        <v>37.685200000000002</v>
      </c>
      <c r="H517" s="10">
        <f>37.6505 * CHOOSE(CONTROL!$C$15, $E$9, 100%, $G$9) + CHOOSE(CONTROL!$C$38, 0.0347, 0)</f>
        <v>37.685200000000002</v>
      </c>
      <c r="I517" s="10">
        <f>37.6521 * CHOOSE(CONTROL!$C$15, $E$9, 100%, $G$9) + CHOOSE(CONTROL!$C$38, 0.0347, 0)</f>
        <v>37.686799999999998</v>
      </c>
      <c r="J517" s="26">
        <f>228.737</f>
        <v>228.73699999999999</v>
      </c>
    </row>
    <row r="518" spans="1:10" ht="15.75" x14ac:dyDescent="0.25">
      <c r="A518" s="13">
        <v>57070</v>
      </c>
      <c r="B518" s="10">
        <f>40.2173 * CHOOSE(CONTROL!$C$15, $E$9, 100%, $G$9) + CHOOSE(CONTROL!$C$38, 0.0256, 0)</f>
        <v>40.242899999999999</v>
      </c>
      <c r="C518" s="10">
        <f>37.1411 * CHOOSE(CONTROL!$C$15, $E$9, 100%, $G$9) + CHOOSE(CONTROL!$C$38, 0.0347, 0)</f>
        <v>37.175800000000002</v>
      </c>
      <c r="D518" s="10">
        <f>37.1333 * CHOOSE(CONTROL!$C$15, $E$9, 100%, $G$9) + CHOOSE(CONTROL!$C$38, 0.0347, 0)</f>
        <v>37.167999999999999</v>
      </c>
      <c r="E518" s="28">
        <f>40.0611 * CHOOSE(CONTROL!$C$15, $E$9, 100%, $G$9) + CHOOSE(CONTROL!$C$38, 0.0347, 0)</f>
        <v>40.095800000000004</v>
      </c>
      <c r="F518" s="27">
        <f>40.0611 * CHOOSE(CONTROL!$C$15, $E$9, 100%, $G$9) + CHOOSE(CONTROL!$C$38, 0.0256, 0)</f>
        <v>40.0867</v>
      </c>
      <c r="G518" s="10">
        <f>37.1395 * CHOOSE(CONTROL!$C$15, $E$9, 100%, $G$9) + CHOOSE(CONTROL!$C$38, 0.0347, 0)</f>
        <v>37.174199999999999</v>
      </c>
      <c r="H518" s="10">
        <f>37.1395 * CHOOSE(CONTROL!$C$15, $E$9, 100%, $G$9) + CHOOSE(CONTROL!$C$38, 0.0347, 0)</f>
        <v>37.174199999999999</v>
      </c>
      <c r="I518" s="10">
        <f>37.1411 * CHOOSE(CONTROL!$C$15, $E$9, 100%, $G$9) + CHOOSE(CONTROL!$C$38, 0.0347, 0)</f>
        <v>37.175800000000002</v>
      </c>
      <c r="J518" s="26">
        <f>240.7927</f>
        <v>240.7927</v>
      </c>
    </row>
    <row r="519" spans="1:10" ht="15.75" x14ac:dyDescent="0.25">
      <c r="A519" s="13">
        <v>57100</v>
      </c>
      <c r="B519" s="10">
        <f>39.7221 * CHOOSE(CONTROL!$C$15, $E$9, 100%, $G$9) + CHOOSE(CONTROL!$C$38, 0.0256, 0)</f>
        <v>39.747699999999995</v>
      </c>
      <c r="C519" s="10">
        <f>36.6459 * CHOOSE(CONTROL!$C$15, $E$9, 100%, $G$9) + CHOOSE(CONTROL!$C$38, 0.0347, 0)</f>
        <v>36.680599999999998</v>
      </c>
      <c r="D519" s="10">
        <f>36.6381 * CHOOSE(CONTROL!$C$15, $E$9, 100%, $G$9) + CHOOSE(CONTROL!$C$38, 0.0347, 0)</f>
        <v>36.672800000000002</v>
      </c>
      <c r="E519" s="28">
        <f>39.5659 * CHOOSE(CONTROL!$C$15, $E$9, 100%, $G$9) + CHOOSE(CONTROL!$C$38, 0.0347, 0)</f>
        <v>39.6006</v>
      </c>
      <c r="F519" s="27">
        <f>39.5659 * CHOOSE(CONTROL!$C$15, $E$9, 100%, $G$9) + CHOOSE(CONTROL!$C$38, 0.0256, 0)</f>
        <v>39.591499999999996</v>
      </c>
      <c r="G519" s="10">
        <f>36.6443 * CHOOSE(CONTROL!$C$15, $E$9, 100%, $G$9) + CHOOSE(CONTROL!$C$38, 0.0347, 0)</f>
        <v>36.679000000000002</v>
      </c>
      <c r="H519" s="10">
        <f>36.6443 * CHOOSE(CONTROL!$C$15, $E$9, 100%, $G$9) + CHOOSE(CONTROL!$C$38, 0.0347, 0)</f>
        <v>36.679000000000002</v>
      </c>
      <c r="I519" s="10">
        <f>36.6459 * CHOOSE(CONTROL!$C$15, $E$9, 100%, $G$9) + CHOOSE(CONTROL!$C$38, 0.0347, 0)</f>
        <v>36.680599999999998</v>
      </c>
      <c r="J519" s="26">
        <f>256.4262</f>
        <v>256.42619999999999</v>
      </c>
    </row>
    <row r="520" spans="1:10" ht="15.75" x14ac:dyDescent="0.25">
      <c r="A520" s="13">
        <v>57131</v>
      </c>
      <c r="B520" s="10">
        <f>39.206 * CHOOSE(CONTROL!$C$15, $E$9, 100%, $G$9) + CHOOSE(CONTROL!$C$38, 0.0256, 0)</f>
        <v>39.2316</v>
      </c>
      <c r="C520" s="10">
        <f>36.1298 * CHOOSE(CONTROL!$C$15, $E$9, 100%, $G$9) + CHOOSE(CONTROL!$C$38, 0.0347, 0)</f>
        <v>36.164500000000004</v>
      </c>
      <c r="D520" s="10">
        <f>36.122 * CHOOSE(CONTROL!$C$15, $E$9, 100%, $G$9) + CHOOSE(CONTROL!$C$38, 0.0347, 0)</f>
        <v>36.156700000000001</v>
      </c>
      <c r="E520" s="28">
        <f>39.0498 * CHOOSE(CONTROL!$C$15, $E$9, 100%, $G$9) + CHOOSE(CONTROL!$C$38, 0.0347, 0)</f>
        <v>39.084499999999998</v>
      </c>
      <c r="F520" s="27">
        <f>39.0498 * CHOOSE(CONTROL!$C$15, $E$9, 100%, $G$9) + CHOOSE(CONTROL!$C$38, 0.0256, 0)</f>
        <v>39.075399999999995</v>
      </c>
      <c r="G520" s="10">
        <f>36.1282 * CHOOSE(CONTROL!$C$15, $E$9, 100%, $G$9) + CHOOSE(CONTROL!$C$38, 0.0347, 0)</f>
        <v>36.1629</v>
      </c>
      <c r="H520" s="10">
        <f>36.1282 * CHOOSE(CONTROL!$C$15, $E$9, 100%, $G$9) + CHOOSE(CONTROL!$C$38, 0.0347, 0)</f>
        <v>36.1629</v>
      </c>
      <c r="I520" s="10">
        <f>36.1298 * CHOOSE(CONTROL!$C$15, $E$9, 100%, $G$9) + CHOOSE(CONTROL!$C$38, 0.0347, 0)</f>
        <v>36.164500000000004</v>
      </c>
      <c r="J520" s="26">
        <f>265.0313</f>
        <v>265.03129999999999</v>
      </c>
    </row>
    <row r="521" spans="1:10" ht="15.75" x14ac:dyDescent="0.25">
      <c r="A521" s="13">
        <v>57161</v>
      </c>
      <c r="B521" s="10">
        <f>38.8442 * CHOOSE(CONTROL!$C$15, $E$9, 100%, $G$9) + CHOOSE(CONTROL!$C$38, 0.0256, 0)</f>
        <v>38.869799999999998</v>
      </c>
      <c r="C521" s="10">
        <f>35.7679 * CHOOSE(CONTROL!$C$15, $E$9, 100%, $G$9) + CHOOSE(CONTROL!$C$38, 0.0347, 0)</f>
        <v>35.802599999999998</v>
      </c>
      <c r="D521" s="10">
        <f>35.7601 * CHOOSE(CONTROL!$C$15, $E$9, 100%, $G$9) + CHOOSE(CONTROL!$C$38, 0.0347, 0)</f>
        <v>35.794800000000002</v>
      </c>
      <c r="E521" s="28">
        <f>38.6879 * CHOOSE(CONTROL!$C$15, $E$9, 100%, $G$9) + CHOOSE(CONTROL!$C$38, 0.0347, 0)</f>
        <v>38.7226</v>
      </c>
      <c r="F521" s="27">
        <f>38.6879 * CHOOSE(CONTROL!$C$15, $E$9, 100%, $G$9) + CHOOSE(CONTROL!$C$38, 0.0256, 0)</f>
        <v>38.713499999999996</v>
      </c>
      <c r="G521" s="10">
        <f>35.7664 * CHOOSE(CONTROL!$C$15, $E$9, 100%, $G$9) + CHOOSE(CONTROL!$C$38, 0.0347, 0)</f>
        <v>35.801099999999998</v>
      </c>
      <c r="H521" s="10">
        <f>35.7664 * CHOOSE(CONTROL!$C$15, $E$9, 100%, $G$9) + CHOOSE(CONTROL!$C$38, 0.0347, 0)</f>
        <v>35.801099999999998</v>
      </c>
      <c r="I521" s="10">
        <f>35.7679 * CHOOSE(CONTROL!$C$15, $E$9, 100%, $G$9) + CHOOSE(CONTROL!$C$38, 0.0347, 0)</f>
        <v>35.802599999999998</v>
      </c>
      <c r="J521" s="26">
        <f>268.8501</f>
        <v>268.8501</v>
      </c>
    </row>
    <row r="522" spans="1:10" ht="15.75" x14ac:dyDescent="0.25">
      <c r="A522" s="13">
        <v>57192</v>
      </c>
      <c r="B522" s="10">
        <f>38.6377 * CHOOSE(CONTROL!$C$15, $E$9, 100%, $G$9) + CHOOSE(CONTROL!$C$38, 0.0256, 0)</f>
        <v>38.6633</v>
      </c>
      <c r="C522" s="10">
        <f>35.5615 * CHOOSE(CONTROL!$C$15, $E$9, 100%, $G$9) + CHOOSE(CONTROL!$C$38, 0.0347, 0)</f>
        <v>35.596200000000003</v>
      </c>
      <c r="D522" s="10">
        <f>35.5536 * CHOOSE(CONTROL!$C$15, $E$9, 100%, $G$9) + CHOOSE(CONTROL!$C$38, 0.0347, 0)</f>
        <v>35.588300000000004</v>
      </c>
      <c r="E522" s="28">
        <f>38.4815 * CHOOSE(CONTROL!$C$15, $E$9, 100%, $G$9) + CHOOSE(CONTROL!$C$38, 0.0347, 0)</f>
        <v>38.516199999999998</v>
      </c>
      <c r="F522" s="27">
        <f>38.4815 * CHOOSE(CONTROL!$C$15, $E$9, 100%, $G$9) + CHOOSE(CONTROL!$C$38, 0.0256, 0)</f>
        <v>38.507099999999994</v>
      </c>
      <c r="G522" s="10">
        <f>35.5599 * CHOOSE(CONTROL!$C$15, $E$9, 100%, $G$9) + CHOOSE(CONTROL!$C$38, 0.0347, 0)</f>
        <v>35.5946</v>
      </c>
      <c r="H522" s="10">
        <f>35.5599 * CHOOSE(CONTROL!$C$15, $E$9, 100%, $G$9) + CHOOSE(CONTROL!$C$38, 0.0347, 0)</f>
        <v>35.5946</v>
      </c>
      <c r="I522" s="10">
        <f>35.5615 * CHOOSE(CONTROL!$C$15, $E$9, 100%, $G$9) + CHOOSE(CONTROL!$C$38, 0.0347, 0)</f>
        <v>35.596200000000003</v>
      </c>
      <c r="J522" s="26">
        <f>267.5928</f>
        <v>267.59280000000001</v>
      </c>
    </row>
    <row r="523" spans="1:10" ht="15.75" x14ac:dyDescent="0.25">
      <c r="A523" s="13">
        <v>57223</v>
      </c>
      <c r="B523" s="10">
        <f>38.7396 * CHOOSE(CONTROL!$C$15, $E$9, 100%, $G$9) + CHOOSE(CONTROL!$C$38, 0.0256, 0)</f>
        <v>38.7652</v>
      </c>
      <c r="C523" s="10">
        <f>35.6634 * CHOOSE(CONTROL!$C$15, $E$9, 100%, $G$9) + CHOOSE(CONTROL!$C$38, 0.0347, 0)</f>
        <v>35.698100000000004</v>
      </c>
      <c r="D523" s="10">
        <f>35.6556 * CHOOSE(CONTROL!$C$15, $E$9, 100%, $G$9) + CHOOSE(CONTROL!$C$38, 0.0347, 0)</f>
        <v>35.690300000000001</v>
      </c>
      <c r="E523" s="28">
        <f>38.5834 * CHOOSE(CONTROL!$C$15, $E$9, 100%, $G$9) + CHOOSE(CONTROL!$C$38, 0.0347, 0)</f>
        <v>38.618099999999998</v>
      </c>
      <c r="F523" s="27">
        <f>38.5834 * CHOOSE(CONTROL!$C$15, $E$9, 100%, $G$9) + CHOOSE(CONTROL!$C$38, 0.0256, 0)</f>
        <v>38.608999999999995</v>
      </c>
      <c r="G523" s="10">
        <f>35.6618 * CHOOSE(CONTROL!$C$15, $E$9, 100%, $G$9) + CHOOSE(CONTROL!$C$38, 0.0347, 0)</f>
        <v>35.6965</v>
      </c>
      <c r="H523" s="10">
        <f>35.6618 * CHOOSE(CONTROL!$C$15, $E$9, 100%, $G$9) + CHOOSE(CONTROL!$C$38, 0.0347, 0)</f>
        <v>35.6965</v>
      </c>
      <c r="I523" s="10">
        <f>35.6634 * CHOOSE(CONTROL!$C$15, $E$9, 100%, $G$9) + CHOOSE(CONTROL!$C$38, 0.0347, 0)</f>
        <v>35.698100000000004</v>
      </c>
      <c r="J523" s="26">
        <f>261.3634</f>
        <v>261.36340000000001</v>
      </c>
    </row>
    <row r="524" spans="1:10" ht="15.75" x14ac:dyDescent="0.25">
      <c r="A524" s="13">
        <v>57253</v>
      </c>
      <c r="B524" s="10">
        <f>39.0164 * CHOOSE(CONTROL!$C$15, $E$9, 100%, $G$9) + CHOOSE(CONTROL!$C$38, 0.0256, 0)</f>
        <v>39.041999999999994</v>
      </c>
      <c r="C524" s="10">
        <f>35.9402 * CHOOSE(CONTROL!$C$15, $E$9, 100%, $G$9) + CHOOSE(CONTROL!$C$38, 0.0347, 0)</f>
        <v>35.974899999999998</v>
      </c>
      <c r="D524" s="10">
        <f>35.9323 * CHOOSE(CONTROL!$C$15, $E$9, 100%, $G$9) + CHOOSE(CONTROL!$C$38, 0.0347, 0)</f>
        <v>35.966999999999999</v>
      </c>
      <c r="E524" s="28">
        <f>38.8602 * CHOOSE(CONTROL!$C$15, $E$9, 100%, $G$9) + CHOOSE(CONTROL!$C$38, 0.0347, 0)</f>
        <v>38.8949</v>
      </c>
      <c r="F524" s="27">
        <f>38.8602 * CHOOSE(CONTROL!$C$15, $E$9, 100%, $G$9) + CHOOSE(CONTROL!$C$38, 0.0256, 0)</f>
        <v>38.885799999999996</v>
      </c>
      <c r="G524" s="10">
        <f>35.9386 * CHOOSE(CONTROL!$C$15, $E$9, 100%, $G$9) + CHOOSE(CONTROL!$C$38, 0.0347, 0)</f>
        <v>35.973300000000002</v>
      </c>
      <c r="H524" s="10">
        <f>35.9386 * CHOOSE(CONTROL!$C$15, $E$9, 100%, $G$9) + CHOOSE(CONTROL!$C$38, 0.0347, 0)</f>
        <v>35.973300000000002</v>
      </c>
      <c r="I524" s="10">
        <f>35.9402 * CHOOSE(CONTROL!$C$15, $E$9, 100%, $G$9) + CHOOSE(CONTROL!$C$38, 0.0347, 0)</f>
        <v>35.974899999999998</v>
      </c>
      <c r="J524" s="26">
        <f>252.6761</f>
        <v>252.67609999999999</v>
      </c>
    </row>
    <row r="525" spans="1:10" ht="15.75" x14ac:dyDescent="0.25">
      <c r="A525" s="13">
        <v>57284</v>
      </c>
      <c r="B525" s="10">
        <f>39.2482 * CHOOSE(CONTROL!$C$15, $E$9, 100%, $G$9) + CHOOSE(CONTROL!$C$38, 0.0256, 0)</f>
        <v>39.273799999999994</v>
      </c>
      <c r="C525" s="10">
        <f>36.172 * CHOOSE(CONTROL!$C$15, $E$9, 100%, $G$9) + CHOOSE(CONTROL!$C$38, 0.0347, 0)</f>
        <v>36.206699999999998</v>
      </c>
      <c r="D525" s="10">
        <f>36.1642 * CHOOSE(CONTROL!$C$15, $E$9, 100%, $G$9) + CHOOSE(CONTROL!$C$38, 0.0347, 0)</f>
        <v>36.198900000000002</v>
      </c>
      <c r="E525" s="28">
        <f>39.092 * CHOOSE(CONTROL!$C$15, $E$9, 100%, $G$9) + CHOOSE(CONTROL!$C$38, 0.0347, 0)</f>
        <v>39.1267</v>
      </c>
      <c r="F525" s="27">
        <f>39.092 * CHOOSE(CONTROL!$C$15, $E$9, 100%, $G$9) + CHOOSE(CONTROL!$C$38, 0.0256, 0)</f>
        <v>39.117599999999996</v>
      </c>
      <c r="G525" s="10">
        <f>36.1704 * CHOOSE(CONTROL!$C$15, $E$9, 100%, $G$9) + CHOOSE(CONTROL!$C$38, 0.0347, 0)</f>
        <v>36.205100000000002</v>
      </c>
      <c r="H525" s="10">
        <f>36.1704 * CHOOSE(CONTROL!$C$15, $E$9, 100%, $G$9) + CHOOSE(CONTROL!$C$38, 0.0347, 0)</f>
        <v>36.205100000000002</v>
      </c>
      <c r="I525" s="10">
        <f>36.172 * CHOOSE(CONTROL!$C$15, $E$9, 100%, $G$9) + CHOOSE(CONTROL!$C$38, 0.0347, 0)</f>
        <v>36.206699999999998</v>
      </c>
      <c r="J525" s="26">
        <f>243.9383</f>
        <v>243.9383</v>
      </c>
    </row>
    <row r="526" spans="1:10" ht="15.75" x14ac:dyDescent="0.25">
      <c r="A526" s="13">
        <v>57314</v>
      </c>
      <c r="B526" s="10">
        <f>39.4417 * CHOOSE(CONTROL!$C$15, $E$9, 100%, $G$9) + CHOOSE(CONTROL!$C$38, 0.0256, 0)</f>
        <v>39.467299999999994</v>
      </c>
      <c r="C526" s="10">
        <f>36.3654 * CHOOSE(CONTROL!$C$15, $E$9, 100%, $G$9) + CHOOSE(CONTROL!$C$38, 0.0347, 0)</f>
        <v>36.400100000000002</v>
      </c>
      <c r="D526" s="10">
        <f>36.3576 * CHOOSE(CONTROL!$C$15, $E$9, 100%, $G$9) + CHOOSE(CONTROL!$C$38, 0.0347, 0)</f>
        <v>36.392299999999999</v>
      </c>
      <c r="E526" s="28">
        <f>39.2854 * CHOOSE(CONTROL!$C$15, $E$9, 100%, $G$9) + CHOOSE(CONTROL!$C$38, 0.0347, 0)</f>
        <v>39.320100000000004</v>
      </c>
      <c r="F526" s="27">
        <f>39.2854 * CHOOSE(CONTROL!$C$15, $E$9, 100%, $G$9) + CHOOSE(CONTROL!$C$38, 0.0256, 0)</f>
        <v>39.311</v>
      </c>
      <c r="G526" s="10">
        <f>36.3639 * CHOOSE(CONTROL!$C$15, $E$9, 100%, $G$9) + CHOOSE(CONTROL!$C$38, 0.0347, 0)</f>
        <v>36.398600000000002</v>
      </c>
      <c r="H526" s="10">
        <f>36.3639 * CHOOSE(CONTROL!$C$15, $E$9, 100%, $G$9) + CHOOSE(CONTROL!$C$38, 0.0347, 0)</f>
        <v>36.398600000000002</v>
      </c>
      <c r="I526" s="10">
        <f>36.3654 * CHOOSE(CONTROL!$C$15, $E$9, 100%, $G$9) + CHOOSE(CONTROL!$C$38, 0.0347, 0)</f>
        <v>36.400100000000002</v>
      </c>
      <c r="J526" s="26">
        <f>242.2002</f>
        <v>242.2002</v>
      </c>
    </row>
    <row r="527" spans="1:10" ht="15.75" x14ac:dyDescent="0.25">
      <c r="A527" s="13">
        <v>57345</v>
      </c>
      <c r="B527" s="10">
        <f>40.0377 * CHOOSE(CONTROL!$C$15, $E$9, 100%, $G$9) + CHOOSE(CONTROL!$C$38, 0.0256, 0)</f>
        <v>40.063299999999998</v>
      </c>
      <c r="C527" s="10">
        <f>36.9615 * CHOOSE(CONTROL!$C$15, $E$9, 100%, $G$9) + CHOOSE(CONTROL!$C$38, 0.0347, 0)</f>
        <v>36.996200000000002</v>
      </c>
      <c r="D527" s="10">
        <f>36.9537 * CHOOSE(CONTROL!$C$15, $E$9, 100%, $G$9) + CHOOSE(CONTROL!$C$38, 0.0347, 0)</f>
        <v>36.988399999999999</v>
      </c>
      <c r="E527" s="28">
        <f>39.8815 * CHOOSE(CONTROL!$C$15, $E$9, 100%, $G$9) + CHOOSE(CONTROL!$C$38, 0.0347, 0)</f>
        <v>39.916200000000003</v>
      </c>
      <c r="F527" s="27">
        <f>39.8815 * CHOOSE(CONTROL!$C$15, $E$9, 100%, $G$9) + CHOOSE(CONTROL!$C$38, 0.0256, 0)</f>
        <v>39.9071</v>
      </c>
      <c r="G527" s="10">
        <f>36.9599 * CHOOSE(CONTROL!$C$15, $E$9, 100%, $G$9) + CHOOSE(CONTROL!$C$38, 0.0347, 0)</f>
        <v>36.994599999999998</v>
      </c>
      <c r="H527" s="10">
        <f>36.9599 * CHOOSE(CONTROL!$C$15, $E$9, 100%, $G$9) + CHOOSE(CONTROL!$C$38, 0.0347, 0)</f>
        <v>36.994599999999998</v>
      </c>
      <c r="I527" s="10">
        <f>36.9615 * CHOOSE(CONTROL!$C$15, $E$9, 100%, $G$9) + CHOOSE(CONTROL!$C$38, 0.0347, 0)</f>
        <v>36.996200000000002</v>
      </c>
      <c r="J527" s="26">
        <f>235.0129</f>
        <v>235.0129</v>
      </c>
    </row>
    <row r="528" spans="1:10" ht="15.75" x14ac:dyDescent="0.25">
      <c r="A528" s="13">
        <v>57376</v>
      </c>
      <c r="B528" s="10">
        <f>41.1951 * CHOOSE(CONTROL!$C$15, $E$9, 100%, $G$9) + CHOOSE(CONTROL!$C$38, 0.0256, 0)</f>
        <v>41.220699999999994</v>
      </c>
      <c r="C528" s="10">
        <f>38.0673 * CHOOSE(CONTROL!$C$15, $E$9, 100%, $G$9) + CHOOSE(CONTROL!$C$38, 0.0347, 0)</f>
        <v>38.102000000000004</v>
      </c>
      <c r="D528" s="10">
        <f>38.0594 * CHOOSE(CONTROL!$C$15, $E$9, 100%, $G$9) + CHOOSE(CONTROL!$C$38, 0.0347, 0)</f>
        <v>38.094099999999997</v>
      </c>
      <c r="E528" s="28">
        <f>41.0388 * CHOOSE(CONTROL!$C$15, $E$9, 100%, $G$9) + CHOOSE(CONTROL!$C$38, 0.0347, 0)</f>
        <v>41.073500000000003</v>
      </c>
      <c r="F528" s="27">
        <f>41.0388 * CHOOSE(CONTROL!$C$15, $E$9, 100%, $G$9) + CHOOSE(CONTROL!$C$38, 0.0256, 0)</f>
        <v>41.064399999999999</v>
      </c>
      <c r="G528" s="10">
        <f>38.0657 * CHOOSE(CONTROL!$C$15, $E$9, 100%, $G$9) + CHOOSE(CONTROL!$C$38, 0.0347, 0)</f>
        <v>38.1004</v>
      </c>
      <c r="H528" s="10">
        <f>38.0657 * CHOOSE(CONTROL!$C$15, $E$9, 100%, $G$9) + CHOOSE(CONTROL!$C$38, 0.0347, 0)</f>
        <v>38.1004</v>
      </c>
      <c r="I528" s="10">
        <f>38.0673 * CHOOSE(CONTROL!$C$15, $E$9, 100%, $G$9) + CHOOSE(CONTROL!$C$38, 0.0347, 0)</f>
        <v>38.102000000000004</v>
      </c>
      <c r="J528" s="26">
        <f>233.4386</f>
        <v>233.43860000000001</v>
      </c>
    </row>
    <row r="529" spans="1:10" ht="15.75" x14ac:dyDescent="0.25">
      <c r="A529" s="13">
        <v>57404</v>
      </c>
      <c r="B529" s="10">
        <f>41.4159 * CHOOSE(CONTROL!$C$15, $E$9, 100%, $G$9) + CHOOSE(CONTROL!$C$38, 0.0256, 0)</f>
        <v>41.441499999999998</v>
      </c>
      <c r="C529" s="10">
        <f>38.288 * CHOOSE(CONTROL!$C$15, $E$9, 100%, $G$9) + CHOOSE(CONTROL!$C$38, 0.0347, 0)</f>
        <v>38.322699999999998</v>
      </c>
      <c r="D529" s="10">
        <f>38.2802 * CHOOSE(CONTROL!$C$15, $E$9, 100%, $G$9) + CHOOSE(CONTROL!$C$38, 0.0347, 0)</f>
        <v>38.314900000000002</v>
      </c>
      <c r="E529" s="28">
        <f>41.2596 * CHOOSE(CONTROL!$C$15, $E$9, 100%, $G$9) + CHOOSE(CONTROL!$C$38, 0.0347, 0)</f>
        <v>41.2943</v>
      </c>
      <c r="F529" s="27">
        <f>41.2596 * CHOOSE(CONTROL!$C$15, $E$9, 100%, $G$9) + CHOOSE(CONTROL!$C$38, 0.0256, 0)</f>
        <v>41.285199999999996</v>
      </c>
      <c r="G529" s="10">
        <f>38.2865 * CHOOSE(CONTROL!$C$15, $E$9, 100%, $G$9) + CHOOSE(CONTROL!$C$38, 0.0347, 0)</f>
        <v>38.321199999999997</v>
      </c>
      <c r="H529" s="10">
        <f>38.2865 * CHOOSE(CONTROL!$C$15, $E$9, 100%, $G$9) + CHOOSE(CONTROL!$C$38, 0.0347, 0)</f>
        <v>38.321199999999997</v>
      </c>
      <c r="I529" s="10">
        <f>38.288 * CHOOSE(CONTROL!$C$15, $E$9, 100%, $G$9) + CHOOSE(CONTROL!$C$38, 0.0347, 0)</f>
        <v>38.322699999999998</v>
      </c>
      <c r="J529" s="26">
        <f>232.7898</f>
        <v>232.78980000000001</v>
      </c>
    </row>
    <row r="530" spans="1:10" ht="15.75" x14ac:dyDescent="0.25">
      <c r="A530" s="13">
        <v>57435</v>
      </c>
      <c r="B530" s="10">
        <f>40.9048 * CHOOSE(CONTROL!$C$15, $E$9, 100%, $G$9) + CHOOSE(CONTROL!$C$38, 0.0256, 0)</f>
        <v>40.930399999999999</v>
      </c>
      <c r="C530" s="10">
        <f>37.777 * CHOOSE(CONTROL!$C$15, $E$9, 100%, $G$9) + CHOOSE(CONTROL!$C$38, 0.0347, 0)</f>
        <v>37.811700000000002</v>
      </c>
      <c r="D530" s="10">
        <f>37.7692 * CHOOSE(CONTROL!$C$15, $E$9, 100%, $G$9) + CHOOSE(CONTROL!$C$38, 0.0347, 0)</f>
        <v>37.803899999999999</v>
      </c>
      <c r="E530" s="28">
        <f>40.7486 * CHOOSE(CONTROL!$C$15, $E$9, 100%, $G$9) + CHOOSE(CONTROL!$C$38, 0.0347, 0)</f>
        <v>40.783300000000004</v>
      </c>
      <c r="F530" s="27">
        <f>40.7486 * CHOOSE(CONTROL!$C$15, $E$9, 100%, $G$9) + CHOOSE(CONTROL!$C$38, 0.0256, 0)</f>
        <v>40.7742</v>
      </c>
      <c r="G530" s="10">
        <f>37.7754 * CHOOSE(CONTROL!$C$15, $E$9, 100%, $G$9) + CHOOSE(CONTROL!$C$38, 0.0347, 0)</f>
        <v>37.810099999999998</v>
      </c>
      <c r="H530" s="10">
        <f>37.7754 * CHOOSE(CONTROL!$C$15, $E$9, 100%, $G$9) + CHOOSE(CONTROL!$C$38, 0.0347, 0)</f>
        <v>37.810099999999998</v>
      </c>
      <c r="I530" s="10">
        <f>37.777 * CHOOSE(CONTROL!$C$15, $E$9, 100%, $G$9) + CHOOSE(CONTROL!$C$38, 0.0347, 0)</f>
        <v>37.811700000000002</v>
      </c>
      <c r="J530" s="26">
        <f>245.0591</f>
        <v>245.0591</v>
      </c>
    </row>
    <row r="531" spans="1:10" ht="15.75" x14ac:dyDescent="0.25">
      <c r="A531" s="13">
        <v>57465</v>
      </c>
      <c r="B531" s="10">
        <f>40.4096 * CHOOSE(CONTROL!$C$15, $E$9, 100%, $G$9) + CHOOSE(CONTROL!$C$38, 0.0256, 0)</f>
        <v>40.435199999999995</v>
      </c>
      <c r="C531" s="10">
        <f>37.2818 * CHOOSE(CONTROL!$C$15, $E$9, 100%, $G$9) + CHOOSE(CONTROL!$C$38, 0.0347, 0)</f>
        <v>37.316499999999998</v>
      </c>
      <c r="D531" s="10">
        <f>37.274 * CHOOSE(CONTROL!$C$15, $E$9, 100%, $G$9) + CHOOSE(CONTROL!$C$38, 0.0347, 0)</f>
        <v>37.308700000000002</v>
      </c>
      <c r="E531" s="28">
        <f>40.2534 * CHOOSE(CONTROL!$C$15, $E$9, 100%, $G$9) + CHOOSE(CONTROL!$C$38, 0.0347, 0)</f>
        <v>40.2881</v>
      </c>
      <c r="F531" s="27">
        <f>40.2534 * CHOOSE(CONTROL!$C$15, $E$9, 100%, $G$9) + CHOOSE(CONTROL!$C$38, 0.0256, 0)</f>
        <v>40.278999999999996</v>
      </c>
      <c r="G531" s="10">
        <f>37.2802 * CHOOSE(CONTROL!$C$15, $E$9, 100%, $G$9) + CHOOSE(CONTROL!$C$38, 0.0347, 0)</f>
        <v>37.314900000000002</v>
      </c>
      <c r="H531" s="10">
        <f>37.2802 * CHOOSE(CONTROL!$C$15, $E$9, 100%, $G$9) + CHOOSE(CONTROL!$C$38, 0.0347, 0)</f>
        <v>37.314900000000002</v>
      </c>
      <c r="I531" s="10">
        <f>37.2818 * CHOOSE(CONTROL!$C$15, $E$9, 100%, $G$9) + CHOOSE(CONTROL!$C$38, 0.0347, 0)</f>
        <v>37.316499999999998</v>
      </c>
      <c r="J531" s="26">
        <f>260.9696</f>
        <v>260.96960000000001</v>
      </c>
    </row>
    <row r="532" spans="1:10" ht="15.75" x14ac:dyDescent="0.25">
      <c r="A532" s="13">
        <v>57496</v>
      </c>
      <c r="B532" s="10">
        <f>39.8935 * CHOOSE(CONTROL!$C$15, $E$9, 100%, $G$9) + CHOOSE(CONTROL!$C$38, 0.0256, 0)</f>
        <v>39.9191</v>
      </c>
      <c r="C532" s="10">
        <f>36.7657 * CHOOSE(CONTROL!$C$15, $E$9, 100%, $G$9) + CHOOSE(CONTROL!$C$38, 0.0347, 0)</f>
        <v>36.800400000000003</v>
      </c>
      <c r="D532" s="10">
        <f>36.7579 * CHOOSE(CONTROL!$C$15, $E$9, 100%, $G$9) + CHOOSE(CONTROL!$C$38, 0.0347, 0)</f>
        <v>36.7926</v>
      </c>
      <c r="E532" s="28">
        <f>39.7373 * CHOOSE(CONTROL!$C$15, $E$9, 100%, $G$9) + CHOOSE(CONTROL!$C$38, 0.0347, 0)</f>
        <v>39.771999999999998</v>
      </c>
      <c r="F532" s="27">
        <f>39.7373 * CHOOSE(CONTROL!$C$15, $E$9, 100%, $G$9) + CHOOSE(CONTROL!$C$38, 0.0256, 0)</f>
        <v>39.762899999999995</v>
      </c>
      <c r="G532" s="10">
        <f>36.7641 * CHOOSE(CONTROL!$C$15, $E$9, 100%, $G$9) + CHOOSE(CONTROL!$C$38, 0.0347, 0)</f>
        <v>36.7988</v>
      </c>
      <c r="H532" s="10">
        <f>36.7641 * CHOOSE(CONTROL!$C$15, $E$9, 100%, $G$9) + CHOOSE(CONTROL!$C$38, 0.0347, 0)</f>
        <v>36.7988</v>
      </c>
      <c r="I532" s="10">
        <f>36.7657 * CHOOSE(CONTROL!$C$15, $E$9, 100%, $G$9) + CHOOSE(CONTROL!$C$38, 0.0347, 0)</f>
        <v>36.800400000000003</v>
      </c>
      <c r="J532" s="26">
        <f>269.7272</f>
        <v>269.72719999999998</v>
      </c>
    </row>
    <row r="533" spans="1:10" ht="15.75" x14ac:dyDescent="0.25">
      <c r="A533" s="13">
        <v>57526</v>
      </c>
      <c r="B533" s="10">
        <f>39.5317 * CHOOSE(CONTROL!$C$15, $E$9, 100%, $G$9) + CHOOSE(CONTROL!$C$38, 0.0256, 0)</f>
        <v>39.557299999999998</v>
      </c>
      <c r="C533" s="10">
        <f>36.4039 * CHOOSE(CONTROL!$C$15, $E$9, 100%, $G$9) + CHOOSE(CONTROL!$C$38, 0.0347, 0)</f>
        <v>36.438600000000001</v>
      </c>
      <c r="D533" s="10">
        <f>36.396 * CHOOSE(CONTROL!$C$15, $E$9, 100%, $G$9) + CHOOSE(CONTROL!$C$38, 0.0347, 0)</f>
        <v>36.430700000000002</v>
      </c>
      <c r="E533" s="28">
        <f>39.3754 * CHOOSE(CONTROL!$C$15, $E$9, 100%, $G$9) + CHOOSE(CONTROL!$C$38, 0.0347, 0)</f>
        <v>39.4101</v>
      </c>
      <c r="F533" s="27">
        <f>39.3754 * CHOOSE(CONTROL!$C$15, $E$9, 100%, $G$9) + CHOOSE(CONTROL!$C$38, 0.0256, 0)</f>
        <v>39.400999999999996</v>
      </c>
      <c r="G533" s="10">
        <f>36.4023 * CHOOSE(CONTROL!$C$15, $E$9, 100%, $G$9) + CHOOSE(CONTROL!$C$38, 0.0347, 0)</f>
        <v>36.436999999999998</v>
      </c>
      <c r="H533" s="10">
        <f>36.4023 * CHOOSE(CONTROL!$C$15, $E$9, 100%, $G$9) + CHOOSE(CONTROL!$C$38, 0.0347, 0)</f>
        <v>36.436999999999998</v>
      </c>
      <c r="I533" s="10">
        <f>36.4039 * CHOOSE(CONTROL!$C$15, $E$9, 100%, $G$9) + CHOOSE(CONTROL!$C$38, 0.0347, 0)</f>
        <v>36.438600000000001</v>
      </c>
      <c r="J533" s="26">
        <f>273.6137</f>
        <v>273.61369999999999</v>
      </c>
    </row>
    <row r="534" spans="1:10" ht="15.75" x14ac:dyDescent="0.25">
      <c r="A534" s="13">
        <v>57557</v>
      </c>
      <c r="B534" s="10">
        <f>39.3252 * CHOOSE(CONTROL!$C$15, $E$9, 100%, $G$9) + CHOOSE(CONTROL!$C$38, 0.0256, 0)</f>
        <v>39.3508</v>
      </c>
      <c r="C534" s="10">
        <f>36.1974 * CHOOSE(CONTROL!$C$15, $E$9, 100%, $G$9) + CHOOSE(CONTROL!$C$38, 0.0347, 0)</f>
        <v>36.232100000000003</v>
      </c>
      <c r="D534" s="10">
        <f>36.1896 * CHOOSE(CONTROL!$C$15, $E$9, 100%, $G$9) + CHOOSE(CONTROL!$C$38, 0.0347, 0)</f>
        <v>36.224299999999999</v>
      </c>
      <c r="E534" s="28">
        <f>39.169 * CHOOSE(CONTROL!$C$15, $E$9, 100%, $G$9) + CHOOSE(CONTROL!$C$38, 0.0347, 0)</f>
        <v>39.203699999999998</v>
      </c>
      <c r="F534" s="27">
        <f>39.169 * CHOOSE(CONTROL!$C$15, $E$9, 100%, $G$9) + CHOOSE(CONTROL!$C$38, 0.0256, 0)</f>
        <v>39.194599999999994</v>
      </c>
      <c r="G534" s="10">
        <f>36.1958 * CHOOSE(CONTROL!$C$15, $E$9, 100%, $G$9) + CHOOSE(CONTROL!$C$38, 0.0347, 0)</f>
        <v>36.230499999999999</v>
      </c>
      <c r="H534" s="10">
        <f>36.1958 * CHOOSE(CONTROL!$C$15, $E$9, 100%, $G$9) + CHOOSE(CONTROL!$C$38, 0.0347, 0)</f>
        <v>36.230499999999999</v>
      </c>
      <c r="I534" s="10">
        <f>36.1974 * CHOOSE(CONTROL!$C$15, $E$9, 100%, $G$9) + CHOOSE(CONTROL!$C$38, 0.0347, 0)</f>
        <v>36.232100000000003</v>
      </c>
      <c r="J534" s="26">
        <f>272.3341</f>
        <v>272.33409999999998</v>
      </c>
    </row>
    <row r="535" spans="1:10" ht="15.75" x14ac:dyDescent="0.25">
      <c r="A535" s="13">
        <v>57588</v>
      </c>
      <c r="B535" s="10">
        <f>39.4271 * CHOOSE(CONTROL!$C$15, $E$9, 100%, $G$9) + CHOOSE(CONTROL!$C$38, 0.0256, 0)</f>
        <v>39.4527</v>
      </c>
      <c r="C535" s="10">
        <f>36.2993 * CHOOSE(CONTROL!$C$15, $E$9, 100%, $G$9) + CHOOSE(CONTROL!$C$38, 0.0347, 0)</f>
        <v>36.334000000000003</v>
      </c>
      <c r="D535" s="10">
        <f>36.2915 * CHOOSE(CONTROL!$C$15, $E$9, 100%, $G$9) + CHOOSE(CONTROL!$C$38, 0.0347, 0)</f>
        <v>36.3262</v>
      </c>
      <c r="E535" s="28">
        <f>39.2709 * CHOOSE(CONTROL!$C$15, $E$9, 100%, $G$9) + CHOOSE(CONTROL!$C$38, 0.0347, 0)</f>
        <v>39.305599999999998</v>
      </c>
      <c r="F535" s="27">
        <f>39.2709 * CHOOSE(CONTROL!$C$15, $E$9, 100%, $G$9) + CHOOSE(CONTROL!$C$38, 0.0256, 0)</f>
        <v>39.296499999999995</v>
      </c>
      <c r="G535" s="10">
        <f>36.2977 * CHOOSE(CONTROL!$C$15, $E$9, 100%, $G$9) + CHOOSE(CONTROL!$C$38, 0.0347, 0)</f>
        <v>36.3324</v>
      </c>
      <c r="H535" s="10">
        <f>36.2977 * CHOOSE(CONTROL!$C$15, $E$9, 100%, $G$9) + CHOOSE(CONTROL!$C$38, 0.0347, 0)</f>
        <v>36.3324</v>
      </c>
      <c r="I535" s="10">
        <f>36.2993 * CHOOSE(CONTROL!$C$15, $E$9, 100%, $G$9) + CHOOSE(CONTROL!$C$38, 0.0347, 0)</f>
        <v>36.334000000000003</v>
      </c>
      <c r="J535" s="26">
        <f>265.9942</f>
        <v>265.99419999999998</v>
      </c>
    </row>
    <row r="536" spans="1:10" ht="15.75" x14ac:dyDescent="0.25">
      <c r="A536" s="13">
        <v>57618</v>
      </c>
      <c r="B536" s="10">
        <f>39.7039 * CHOOSE(CONTROL!$C$15, $E$9, 100%, $G$9) + CHOOSE(CONTROL!$C$38, 0.0256, 0)</f>
        <v>39.729499999999994</v>
      </c>
      <c r="C536" s="10">
        <f>36.5761 * CHOOSE(CONTROL!$C$15, $E$9, 100%, $G$9) + CHOOSE(CONTROL!$C$38, 0.0347, 0)</f>
        <v>36.610799999999998</v>
      </c>
      <c r="D536" s="10">
        <f>36.5683 * CHOOSE(CONTROL!$C$15, $E$9, 100%, $G$9) + CHOOSE(CONTROL!$C$38, 0.0347, 0)</f>
        <v>36.603000000000002</v>
      </c>
      <c r="E536" s="28">
        <f>39.5477 * CHOOSE(CONTROL!$C$15, $E$9, 100%, $G$9) + CHOOSE(CONTROL!$C$38, 0.0347, 0)</f>
        <v>39.5824</v>
      </c>
      <c r="F536" s="27">
        <f>39.5477 * CHOOSE(CONTROL!$C$15, $E$9, 100%, $G$9) + CHOOSE(CONTROL!$C$38, 0.0256, 0)</f>
        <v>39.573299999999996</v>
      </c>
      <c r="G536" s="10">
        <f>36.5745 * CHOOSE(CONTROL!$C$15, $E$9, 100%, $G$9) + CHOOSE(CONTROL!$C$38, 0.0347, 0)</f>
        <v>36.609200000000001</v>
      </c>
      <c r="H536" s="10">
        <f>36.5745 * CHOOSE(CONTROL!$C$15, $E$9, 100%, $G$9) + CHOOSE(CONTROL!$C$38, 0.0347, 0)</f>
        <v>36.609200000000001</v>
      </c>
      <c r="I536" s="10">
        <f>36.5761 * CHOOSE(CONTROL!$C$15, $E$9, 100%, $G$9) + CHOOSE(CONTROL!$C$38, 0.0347, 0)</f>
        <v>36.610799999999998</v>
      </c>
      <c r="J536" s="26">
        <f>257.153</f>
        <v>257.15300000000002</v>
      </c>
    </row>
    <row r="537" spans="1:10" ht="15.75" x14ac:dyDescent="0.25">
      <c r="A537" s="13">
        <v>57649</v>
      </c>
      <c r="B537" s="10">
        <f>39.9357 * CHOOSE(CONTROL!$C$15, $E$9, 100%, $G$9) + CHOOSE(CONTROL!$C$38, 0.0256, 0)</f>
        <v>39.961299999999994</v>
      </c>
      <c r="C537" s="10">
        <f>36.8079 * CHOOSE(CONTROL!$C$15, $E$9, 100%, $G$9) + CHOOSE(CONTROL!$C$38, 0.0347, 0)</f>
        <v>36.842599999999997</v>
      </c>
      <c r="D537" s="10">
        <f>36.8001 * CHOOSE(CONTROL!$C$15, $E$9, 100%, $G$9) + CHOOSE(CONTROL!$C$38, 0.0347, 0)</f>
        <v>36.834800000000001</v>
      </c>
      <c r="E537" s="28">
        <f>39.7795 * CHOOSE(CONTROL!$C$15, $E$9, 100%, $G$9) + CHOOSE(CONTROL!$C$38, 0.0347, 0)</f>
        <v>39.8142</v>
      </c>
      <c r="F537" s="27">
        <f>39.7795 * CHOOSE(CONTROL!$C$15, $E$9, 100%, $G$9) + CHOOSE(CONTROL!$C$38, 0.0256, 0)</f>
        <v>39.805099999999996</v>
      </c>
      <c r="G537" s="10">
        <f>36.8063 * CHOOSE(CONTROL!$C$15, $E$9, 100%, $G$9) + CHOOSE(CONTROL!$C$38, 0.0347, 0)</f>
        <v>36.841000000000001</v>
      </c>
      <c r="H537" s="10">
        <f>36.8063 * CHOOSE(CONTROL!$C$15, $E$9, 100%, $G$9) + CHOOSE(CONTROL!$C$38, 0.0347, 0)</f>
        <v>36.841000000000001</v>
      </c>
      <c r="I537" s="10">
        <f>36.8079 * CHOOSE(CONTROL!$C$15, $E$9, 100%, $G$9) + CHOOSE(CONTROL!$C$38, 0.0347, 0)</f>
        <v>36.842599999999997</v>
      </c>
      <c r="J537" s="26">
        <f>248.2604</f>
        <v>248.2604</v>
      </c>
    </row>
    <row r="538" spans="1:10" ht="15.75" x14ac:dyDescent="0.25">
      <c r="A538" s="13">
        <v>57679</v>
      </c>
      <c r="B538" s="10">
        <f>40.1292 * CHOOSE(CONTROL!$C$15, $E$9, 100%, $G$9) + CHOOSE(CONTROL!$C$38, 0.0256, 0)</f>
        <v>40.154799999999994</v>
      </c>
      <c r="C538" s="10">
        <f>37.0013 * CHOOSE(CONTROL!$C$15, $E$9, 100%, $G$9) + CHOOSE(CONTROL!$C$38, 0.0347, 0)</f>
        <v>37.036000000000001</v>
      </c>
      <c r="D538" s="10">
        <f>36.9935 * CHOOSE(CONTROL!$C$15, $E$9, 100%, $G$9) + CHOOSE(CONTROL!$C$38, 0.0347, 0)</f>
        <v>37.028199999999998</v>
      </c>
      <c r="E538" s="28">
        <f>39.9729 * CHOOSE(CONTROL!$C$15, $E$9, 100%, $G$9) + CHOOSE(CONTROL!$C$38, 0.0347, 0)</f>
        <v>40.007600000000004</v>
      </c>
      <c r="F538" s="27">
        <f>39.9729 * CHOOSE(CONTROL!$C$15, $E$9, 100%, $G$9) + CHOOSE(CONTROL!$C$38, 0.0256, 0)</f>
        <v>39.9985</v>
      </c>
      <c r="G538" s="10">
        <f>36.9998 * CHOOSE(CONTROL!$C$15, $E$9, 100%, $G$9) + CHOOSE(CONTROL!$C$38, 0.0347, 0)</f>
        <v>37.034500000000001</v>
      </c>
      <c r="H538" s="10">
        <f>36.9998 * CHOOSE(CONTROL!$C$15, $E$9, 100%, $G$9) + CHOOSE(CONTROL!$C$38, 0.0347, 0)</f>
        <v>37.034500000000001</v>
      </c>
      <c r="I538" s="10">
        <f>37.0013 * CHOOSE(CONTROL!$C$15, $E$9, 100%, $G$9) + CHOOSE(CONTROL!$C$38, 0.0347, 0)</f>
        <v>37.036000000000001</v>
      </c>
      <c r="J538" s="26">
        <f>246.4915</f>
        <v>246.4915</v>
      </c>
    </row>
    <row r="539" spans="1:10" ht="15.75" x14ac:dyDescent="0.25">
      <c r="A539" s="13">
        <v>57710</v>
      </c>
      <c r="B539" s="10">
        <f>40.7252 * CHOOSE(CONTROL!$C$15, $E$9, 100%, $G$9) + CHOOSE(CONTROL!$C$38, 0.0256, 0)</f>
        <v>40.750799999999998</v>
      </c>
      <c r="C539" s="10">
        <f>37.5974 * CHOOSE(CONTROL!$C$15, $E$9, 100%, $G$9) + CHOOSE(CONTROL!$C$38, 0.0347, 0)</f>
        <v>37.632100000000001</v>
      </c>
      <c r="D539" s="10">
        <f>37.5896 * CHOOSE(CONTROL!$C$15, $E$9, 100%, $G$9) + CHOOSE(CONTROL!$C$38, 0.0347, 0)</f>
        <v>37.624299999999998</v>
      </c>
      <c r="E539" s="28">
        <f>40.569 * CHOOSE(CONTROL!$C$15, $E$9, 100%, $G$9) + CHOOSE(CONTROL!$C$38, 0.0347, 0)</f>
        <v>40.603700000000003</v>
      </c>
      <c r="F539" s="27">
        <f>40.569 * CHOOSE(CONTROL!$C$15, $E$9, 100%, $G$9) + CHOOSE(CONTROL!$C$38, 0.0256, 0)</f>
        <v>40.5946</v>
      </c>
      <c r="G539" s="10">
        <f>37.5958 * CHOOSE(CONTROL!$C$15, $E$9, 100%, $G$9) + CHOOSE(CONTROL!$C$38, 0.0347, 0)</f>
        <v>37.630499999999998</v>
      </c>
      <c r="H539" s="10">
        <f>37.5958 * CHOOSE(CONTROL!$C$15, $E$9, 100%, $G$9) + CHOOSE(CONTROL!$C$38, 0.0347, 0)</f>
        <v>37.630499999999998</v>
      </c>
      <c r="I539" s="10">
        <f>37.5974 * CHOOSE(CONTROL!$C$15, $E$9, 100%, $G$9) + CHOOSE(CONTROL!$C$38, 0.0347, 0)</f>
        <v>37.632100000000001</v>
      </c>
      <c r="J539" s="26">
        <f>239.1768</f>
        <v>239.17679999999999</v>
      </c>
    </row>
    <row r="540" spans="1:10" ht="15.75" x14ac:dyDescent="0.25">
      <c r="A540" s="13">
        <v>57741</v>
      </c>
      <c r="B540" s="10">
        <f>41.8947 * CHOOSE(CONTROL!$C$15, $E$9, 100%, $G$9) + CHOOSE(CONTROL!$C$38, 0.0256, 0)</f>
        <v>41.920299999999997</v>
      </c>
      <c r="C540" s="10">
        <f>38.7144 * CHOOSE(CONTROL!$C$15, $E$9, 100%, $G$9) + CHOOSE(CONTROL!$C$38, 0.0347, 0)</f>
        <v>38.749099999999999</v>
      </c>
      <c r="D540" s="10">
        <f>38.7066 * CHOOSE(CONTROL!$C$15, $E$9, 100%, $G$9) + CHOOSE(CONTROL!$C$38, 0.0347, 0)</f>
        <v>38.741300000000003</v>
      </c>
      <c r="E540" s="28">
        <f>41.7385 * CHOOSE(CONTROL!$C$15, $E$9, 100%, $G$9) + CHOOSE(CONTROL!$C$38, 0.0347, 0)</f>
        <v>41.773200000000003</v>
      </c>
      <c r="F540" s="27">
        <f>41.7385 * CHOOSE(CONTROL!$C$15, $E$9, 100%, $G$9) + CHOOSE(CONTROL!$C$38, 0.0256, 0)</f>
        <v>41.764099999999999</v>
      </c>
      <c r="G540" s="10">
        <f>38.7128 * CHOOSE(CONTROL!$C$15, $E$9, 100%, $G$9) + CHOOSE(CONTROL!$C$38, 0.0347, 0)</f>
        <v>38.747500000000002</v>
      </c>
      <c r="H540" s="10">
        <f>38.7128 * CHOOSE(CONTROL!$C$15, $E$9, 100%, $G$9) + CHOOSE(CONTROL!$C$38, 0.0347, 0)</f>
        <v>38.747500000000002</v>
      </c>
      <c r="I540" s="10">
        <f>38.7144 * CHOOSE(CONTROL!$C$15, $E$9, 100%, $G$9) + CHOOSE(CONTROL!$C$38, 0.0347, 0)</f>
        <v>38.749099999999999</v>
      </c>
      <c r="J540" s="26">
        <f>237.5747</f>
        <v>237.57470000000001</v>
      </c>
    </row>
    <row r="541" spans="1:10" ht="15.75" x14ac:dyDescent="0.25">
      <c r="A541" s="13">
        <v>57769</v>
      </c>
      <c r="B541" s="10">
        <f>42.1155 * CHOOSE(CONTROL!$C$15, $E$9, 100%, $G$9) + CHOOSE(CONTROL!$C$38, 0.0256, 0)</f>
        <v>42.141099999999994</v>
      </c>
      <c r="C541" s="10">
        <f>38.9352 * CHOOSE(CONTROL!$C$15, $E$9, 100%, $G$9) + CHOOSE(CONTROL!$C$38, 0.0347, 0)</f>
        <v>38.969900000000003</v>
      </c>
      <c r="D541" s="10">
        <f>38.9273 * CHOOSE(CONTROL!$C$15, $E$9, 100%, $G$9) + CHOOSE(CONTROL!$C$38, 0.0347, 0)</f>
        <v>38.962000000000003</v>
      </c>
      <c r="E541" s="28">
        <f>41.9593 * CHOOSE(CONTROL!$C$15, $E$9, 100%, $G$9) + CHOOSE(CONTROL!$C$38, 0.0347, 0)</f>
        <v>41.994</v>
      </c>
      <c r="F541" s="27">
        <f>41.9593 * CHOOSE(CONTROL!$C$15, $E$9, 100%, $G$9) + CHOOSE(CONTROL!$C$38, 0.0256, 0)</f>
        <v>41.984899999999996</v>
      </c>
      <c r="G541" s="10">
        <f>38.9336 * CHOOSE(CONTROL!$C$15, $E$9, 100%, $G$9) + CHOOSE(CONTROL!$C$38, 0.0347, 0)</f>
        <v>38.968299999999999</v>
      </c>
      <c r="H541" s="10">
        <f>38.9336 * CHOOSE(CONTROL!$C$15, $E$9, 100%, $G$9) + CHOOSE(CONTROL!$C$38, 0.0347, 0)</f>
        <v>38.968299999999999</v>
      </c>
      <c r="I541" s="10">
        <f>38.9352 * CHOOSE(CONTROL!$C$15, $E$9, 100%, $G$9) + CHOOSE(CONTROL!$C$38, 0.0347, 0)</f>
        <v>38.969900000000003</v>
      </c>
      <c r="J541" s="26">
        <f>236.9144</f>
        <v>236.9144</v>
      </c>
    </row>
    <row r="542" spans="1:10" ht="15.75" x14ac:dyDescent="0.25">
      <c r="A542" s="13">
        <v>57800</v>
      </c>
      <c r="B542" s="10">
        <f>41.6045 * CHOOSE(CONTROL!$C$15, $E$9, 100%, $G$9) + CHOOSE(CONTROL!$C$38, 0.0256, 0)</f>
        <v>41.630099999999999</v>
      </c>
      <c r="C542" s="10">
        <f>38.4241 * CHOOSE(CONTROL!$C$15, $E$9, 100%, $G$9) + CHOOSE(CONTROL!$C$38, 0.0347, 0)</f>
        <v>38.458800000000004</v>
      </c>
      <c r="D542" s="10">
        <f>38.4163 * CHOOSE(CONTROL!$C$15, $E$9, 100%, $G$9) + CHOOSE(CONTROL!$C$38, 0.0347, 0)</f>
        <v>38.451000000000001</v>
      </c>
      <c r="E542" s="28">
        <f>41.4482 * CHOOSE(CONTROL!$C$15, $E$9, 100%, $G$9) + CHOOSE(CONTROL!$C$38, 0.0347, 0)</f>
        <v>41.482900000000001</v>
      </c>
      <c r="F542" s="27">
        <f>41.4482 * CHOOSE(CONTROL!$C$15, $E$9, 100%, $G$9) + CHOOSE(CONTROL!$C$38, 0.0256, 0)</f>
        <v>41.473799999999997</v>
      </c>
      <c r="G542" s="10">
        <f>38.4226 * CHOOSE(CONTROL!$C$15, $E$9, 100%, $G$9) + CHOOSE(CONTROL!$C$38, 0.0347, 0)</f>
        <v>38.457300000000004</v>
      </c>
      <c r="H542" s="10">
        <f>38.4226 * CHOOSE(CONTROL!$C$15, $E$9, 100%, $G$9) + CHOOSE(CONTROL!$C$38, 0.0347, 0)</f>
        <v>38.457300000000004</v>
      </c>
      <c r="I542" s="10">
        <f>38.4241 * CHOOSE(CONTROL!$C$15, $E$9, 100%, $G$9) + CHOOSE(CONTROL!$C$38, 0.0347, 0)</f>
        <v>38.458800000000004</v>
      </c>
      <c r="J542" s="26">
        <f>249.4011</f>
        <v>249.40110000000001</v>
      </c>
    </row>
    <row r="543" spans="1:10" ht="15.75" x14ac:dyDescent="0.25">
      <c r="A543" s="13">
        <v>57830</v>
      </c>
      <c r="B543" s="10">
        <f>41.1093 * CHOOSE(CONTROL!$C$15, $E$9, 100%, $G$9) + CHOOSE(CONTROL!$C$38, 0.0256, 0)</f>
        <v>41.134899999999995</v>
      </c>
      <c r="C543" s="10">
        <f>37.9289 * CHOOSE(CONTROL!$C$15, $E$9, 100%, $G$9) + CHOOSE(CONTROL!$C$38, 0.0347, 0)</f>
        <v>37.9636</v>
      </c>
      <c r="D543" s="10">
        <f>37.9211 * CHOOSE(CONTROL!$C$15, $E$9, 100%, $G$9) + CHOOSE(CONTROL!$C$38, 0.0347, 0)</f>
        <v>37.955800000000004</v>
      </c>
      <c r="E543" s="28">
        <f>40.953 * CHOOSE(CONTROL!$C$15, $E$9, 100%, $G$9) + CHOOSE(CONTROL!$C$38, 0.0347, 0)</f>
        <v>40.987700000000004</v>
      </c>
      <c r="F543" s="27">
        <f>40.953 * CHOOSE(CONTROL!$C$15, $E$9, 100%, $G$9) + CHOOSE(CONTROL!$C$38, 0.0256, 0)</f>
        <v>40.9786</v>
      </c>
      <c r="G543" s="10">
        <f>37.9274 * CHOOSE(CONTROL!$C$15, $E$9, 100%, $G$9) + CHOOSE(CONTROL!$C$38, 0.0347, 0)</f>
        <v>37.9621</v>
      </c>
      <c r="H543" s="10">
        <f>37.9274 * CHOOSE(CONTROL!$C$15, $E$9, 100%, $G$9) + CHOOSE(CONTROL!$C$38, 0.0347, 0)</f>
        <v>37.9621</v>
      </c>
      <c r="I543" s="10">
        <f>37.9289 * CHOOSE(CONTROL!$C$15, $E$9, 100%, $G$9) + CHOOSE(CONTROL!$C$38, 0.0347, 0)</f>
        <v>37.9636</v>
      </c>
      <c r="J543" s="26">
        <f>265.5935</f>
        <v>265.59350000000001</v>
      </c>
    </row>
    <row r="544" spans="1:10" ht="15.75" x14ac:dyDescent="0.25">
      <c r="A544" s="13">
        <v>57861</v>
      </c>
      <c r="B544" s="10">
        <f>40.5932 * CHOOSE(CONTROL!$C$15, $E$9, 100%, $G$9) + CHOOSE(CONTROL!$C$38, 0.0256, 0)</f>
        <v>40.6188</v>
      </c>
      <c r="C544" s="10">
        <f>37.4128 * CHOOSE(CONTROL!$C$15, $E$9, 100%, $G$9) + CHOOSE(CONTROL!$C$38, 0.0347, 0)</f>
        <v>37.447499999999998</v>
      </c>
      <c r="D544" s="10">
        <f>37.405 * CHOOSE(CONTROL!$C$15, $E$9, 100%, $G$9) + CHOOSE(CONTROL!$C$38, 0.0347, 0)</f>
        <v>37.439700000000002</v>
      </c>
      <c r="E544" s="28">
        <f>40.4369 * CHOOSE(CONTROL!$C$15, $E$9, 100%, $G$9) + CHOOSE(CONTROL!$C$38, 0.0347, 0)</f>
        <v>40.471600000000002</v>
      </c>
      <c r="F544" s="27">
        <f>40.4369 * CHOOSE(CONTROL!$C$15, $E$9, 100%, $G$9) + CHOOSE(CONTROL!$C$38, 0.0256, 0)</f>
        <v>40.462499999999999</v>
      </c>
      <c r="G544" s="10">
        <f>37.4113 * CHOOSE(CONTROL!$C$15, $E$9, 100%, $G$9) + CHOOSE(CONTROL!$C$38, 0.0347, 0)</f>
        <v>37.445999999999998</v>
      </c>
      <c r="H544" s="10">
        <f>37.4113 * CHOOSE(CONTROL!$C$15, $E$9, 100%, $G$9) + CHOOSE(CONTROL!$C$38, 0.0347, 0)</f>
        <v>37.445999999999998</v>
      </c>
      <c r="I544" s="10">
        <f>37.4128 * CHOOSE(CONTROL!$C$15, $E$9, 100%, $G$9) + CHOOSE(CONTROL!$C$38, 0.0347, 0)</f>
        <v>37.447499999999998</v>
      </c>
      <c r="J544" s="26">
        <f>274.5062</f>
        <v>274.50619999999998</v>
      </c>
    </row>
    <row r="545" spans="1:10" ht="15.75" x14ac:dyDescent="0.25">
      <c r="A545" s="13">
        <v>57891</v>
      </c>
      <c r="B545" s="10">
        <f>40.2313 * CHOOSE(CONTROL!$C$15, $E$9, 100%, $G$9) + CHOOSE(CONTROL!$C$38, 0.0256, 0)</f>
        <v>40.256899999999995</v>
      </c>
      <c r="C545" s="10">
        <f>37.051 * CHOOSE(CONTROL!$C$15, $E$9, 100%, $G$9) + CHOOSE(CONTROL!$C$38, 0.0347, 0)</f>
        <v>37.085700000000003</v>
      </c>
      <c r="D545" s="10">
        <f>37.0432 * CHOOSE(CONTROL!$C$15, $E$9, 100%, $G$9) + CHOOSE(CONTROL!$C$38, 0.0347, 0)</f>
        <v>37.0779</v>
      </c>
      <c r="E545" s="28">
        <f>40.0751 * CHOOSE(CONTROL!$C$15, $E$9, 100%, $G$9) + CHOOSE(CONTROL!$C$38, 0.0347, 0)</f>
        <v>40.1098</v>
      </c>
      <c r="F545" s="27">
        <f>40.0751 * CHOOSE(CONTROL!$C$15, $E$9, 100%, $G$9) + CHOOSE(CONTROL!$C$38, 0.0256, 0)</f>
        <v>40.100699999999996</v>
      </c>
      <c r="G545" s="10">
        <f>37.0494 * CHOOSE(CONTROL!$C$15, $E$9, 100%, $G$9) + CHOOSE(CONTROL!$C$38, 0.0347, 0)</f>
        <v>37.084099999999999</v>
      </c>
      <c r="H545" s="10">
        <f>37.0494 * CHOOSE(CONTROL!$C$15, $E$9, 100%, $G$9) + CHOOSE(CONTROL!$C$38, 0.0347, 0)</f>
        <v>37.084099999999999</v>
      </c>
      <c r="I545" s="10">
        <f>37.051 * CHOOSE(CONTROL!$C$15, $E$9, 100%, $G$9) + CHOOSE(CONTROL!$C$38, 0.0347, 0)</f>
        <v>37.085700000000003</v>
      </c>
      <c r="J545" s="26">
        <f>278.4616</f>
        <v>278.46159999999998</v>
      </c>
    </row>
    <row r="546" spans="1:10" ht="15.75" x14ac:dyDescent="0.25">
      <c r="A546" s="13">
        <v>57922</v>
      </c>
      <c r="B546" s="10">
        <f>40.0249 * CHOOSE(CONTROL!$C$15, $E$9, 100%, $G$9) + CHOOSE(CONTROL!$C$38, 0.0256, 0)</f>
        <v>40.0505</v>
      </c>
      <c r="C546" s="10">
        <f>36.8445 * CHOOSE(CONTROL!$C$15, $E$9, 100%, $G$9) + CHOOSE(CONTROL!$C$38, 0.0347, 0)</f>
        <v>36.879199999999997</v>
      </c>
      <c r="D546" s="10">
        <f>36.8367 * CHOOSE(CONTROL!$C$15, $E$9, 100%, $G$9) + CHOOSE(CONTROL!$C$38, 0.0347, 0)</f>
        <v>36.871400000000001</v>
      </c>
      <c r="E546" s="28">
        <f>39.8686 * CHOOSE(CONTROL!$C$15, $E$9, 100%, $G$9) + CHOOSE(CONTROL!$C$38, 0.0347, 0)</f>
        <v>39.903300000000002</v>
      </c>
      <c r="F546" s="27">
        <f>39.8686 * CHOOSE(CONTROL!$C$15, $E$9, 100%, $G$9) + CHOOSE(CONTROL!$C$38, 0.0256, 0)</f>
        <v>39.894199999999998</v>
      </c>
      <c r="G546" s="10">
        <f>36.843 * CHOOSE(CONTROL!$C$15, $E$9, 100%, $G$9) + CHOOSE(CONTROL!$C$38, 0.0347, 0)</f>
        <v>36.877700000000004</v>
      </c>
      <c r="H546" s="10">
        <f>36.843 * CHOOSE(CONTROL!$C$15, $E$9, 100%, $G$9) + CHOOSE(CONTROL!$C$38, 0.0347, 0)</f>
        <v>36.877700000000004</v>
      </c>
      <c r="I546" s="10">
        <f>36.8445 * CHOOSE(CONTROL!$C$15, $E$9, 100%, $G$9) + CHOOSE(CONTROL!$C$38, 0.0347, 0)</f>
        <v>36.879199999999997</v>
      </c>
      <c r="J546" s="26">
        <f>277.1593</f>
        <v>277.15929999999997</v>
      </c>
    </row>
    <row r="547" spans="1:10" ht="15.75" x14ac:dyDescent="0.25">
      <c r="A547" s="13">
        <v>57953</v>
      </c>
      <c r="B547" s="10">
        <f>40.1268 * CHOOSE(CONTROL!$C$15, $E$9, 100%, $G$9) + CHOOSE(CONTROL!$C$38, 0.0256, 0)</f>
        <v>40.1524</v>
      </c>
      <c r="C547" s="10">
        <f>36.9464 * CHOOSE(CONTROL!$C$15, $E$9, 100%, $G$9) + CHOOSE(CONTROL!$C$38, 0.0347, 0)</f>
        <v>36.981099999999998</v>
      </c>
      <c r="D547" s="10">
        <f>36.9386 * CHOOSE(CONTROL!$C$15, $E$9, 100%, $G$9) + CHOOSE(CONTROL!$C$38, 0.0347, 0)</f>
        <v>36.973300000000002</v>
      </c>
      <c r="E547" s="28">
        <f>39.9705 * CHOOSE(CONTROL!$C$15, $E$9, 100%, $G$9) + CHOOSE(CONTROL!$C$38, 0.0347, 0)</f>
        <v>40.005200000000002</v>
      </c>
      <c r="F547" s="27">
        <f>39.9705 * CHOOSE(CONTROL!$C$15, $E$9, 100%, $G$9) + CHOOSE(CONTROL!$C$38, 0.0256, 0)</f>
        <v>39.996099999999998</v>
      </c>
      <c r="G547" s="10">
        <f>36.9449 * CHOOSE(CONTROL!$C$15, $E$9, 100%, $G$9) + CHOOSE(CONTROL!$C$38, 0.0347, 0)</f>
        <v>36.979599999999998</v>
      </c>
      <c r="H547" s="10">
        <f>36.9449 * CHOOSE(CONTROL!$C$15, $E$9, 100%, $G$9) + CHOOSE(CONTROL!$C$38, 0.0347, 0)</f>
        <v>36.979599999999998</v>
      </c>
      <c r="I547" s="10">
        <f>36.9464 * CHOOSE(CONTROL!$C$15, $E$9, 100%, $G$9) + CHOOSE(CONTROL!$C$38, 0.0347, 0)</f>
        <v>36.981099999999998</v>
      </c>
      <c r="J547" s="26">
        <f>270.7071</f>
        <v>270.70710000000003</v>
      </c>
    </row>
    <row r="548" spans="1:10" ht="15.75" x14ac:dyDescent="0.25">
      <c r="A548" s="13">
        <v>57983</v>
      </c>
      <c r="B548" s="10">
        <f>40.4036 * CHOOSE(CONTROL!$C$15, $E$9, 100%, $G$9) + CHOOSE(CONTROL!$C$38, 0.0256, 0)</f>
        <v>40.429199999999994</v>
      </c>
      <c r="C548" s="10">
        <f>37.2232 * CHOOSE(CONTROL!$C$15, $E$9, 100%, $G$9) + CHOOSE(CONTROL!$C$38, 0.0347, 0)</f>
        <v>37.257899999999999</v>
      </c>
      <c r="D548" s="10">
        <f>37.2154 * CHOOSE(CONTROL!$C$15, $E$9, 100%, $G$9) + CHOOSE(CONTROL!$C$38, 0.0347, 0)</f>
        <v>37.250100000000003</v>
      </c>
      <c r="E548" s="28">
        <f>40.2473 * CHOOSE(CONTROL!$C$15, $E$9, 100%, $G$9) + CHOOSE(CONTROL!$C$38, 0.0347, 0)</f>
        <v>40.282000000000004</v>
      </c>
      <c r="F548" s="27">
        <f>40.2473 * CHOOSE(CONTROL!$C$15, $E$9, 100%, $G$9) + CHOOSE(CONTROL!$C$38, 0.0256, 0)</f>
        <v>40.2729</v>
      </c>
      <c r="G548" s="10">
        <f>37.2217 * CHOOSE(CONTROL!$C$15, $E$9, 100%, $G$9) + CHOOSE(CONTROL!$C$38, 0.0347, 0)</f>
        <v>37.256399999999999</v>
      </c>
      <c r="H548" s="10">
        <f>37.2217 * CHOOSE(CONTROL!$C$15, $E$9, 100%, $G$9) + CHOOSE(CONTROL!$C$38, 0.0347, 0)</f>
        <v>37.256399999999999</v>
      </c>
      <c r="I548" s="10">
        <f>37.2232 * CHOOSE(CONTROL!$C$15, $E$9, 100%, $G$9) + CHOOSE(CONTROL!$C$38, 0.0347, 0)</f>
        <v>37.257899999999999</v>
      </c>
      <c r="J548" s="26">
        <f>261.7093</f>
        <v>261.70929999999998</v>
      </c>
    </row>
    <row r="549" spans="1:10" ht="15.75" x14ac:dyDescent="0.25">
      <c r="A549" s="13">
        <v>58014</v>
      </c>
      <c r="B549" s="10">
        <f>40.6354 * CHOOSE(CONTROL!$C$15, $E$9, 100%, $G$9) + CHOOSE(CONTROL!$C$38, 0.0256, 0)</f>
        <v>40.660999999999994</v>
      </c>
      <c r="C549" s="10">
        <f>37.455 * CHOOSE(CONTROL!$C$15, $E$9, 100%, $G$9) + CHOOSE(CONTROL!$C$38, 0.0347, 0)</f>
        <v>37.489699999999999</v>
      </c>
      <c r="D549" s="10">
        <f>37.4472 * CHOOSE(CONTROL!$C$15, $E$9, 100%, $G$9) + CHOOSE(CONTROL!$C$38, 0.0347, 0)</f>
        <v>37.481900000000003</v>
      </c>
      <c r="E549" s="28">
        <f>40.4791 * CHOOSE(CONTROL!$C$15, $E$9, 100%, $G$9) + CHOOSE(CONTROL!$C$38, 0.0347, 0)</f>
        <v>40.513800000000003</v>
      </c>
      <c r="F549" s="27">
        <f>40.4791 * CHOOSE(CONTROL!$C$15, $E$9, 100%, $G$9) + CHOOSE(CONTROL!$C$38, 0.0256, 0)</f>
        <v>40.5047</v>
      </c>
      <c r="G549" s="10">
        <f>37.4535 * CHOOSE(CONTROL!$C$15, $E$9, 100%, $G$9) + CHOOSE(CONTROL!$C$38, 0.0347, 0)</f>
        <v>37.488199999999999</v>
      </c>
      <c r="H549" s="10">
        <f>37.4535 * CHOOSE(CONTROL!$C$15, $E$9, 100%, $G$9) + CHOOSE(CONTROL!$C$38, 0.0347, 0)</f>
        <v>37.488199999999999</v>
      </c>
      <c r="I549" s="10">
        <f>37.455 * CHOOSE(CONTROL!$C$15, $E$9, 100%, $G$9) + CHOOSE(CONTROL!$C$38, 0.0347, 0)</f>
        <v>37.489699999999999</v>
      </c>
      <c r="J549" s="26">
        <f>252.6591</f>
        <v>252.6591</v>
      </c>
    </row>
    <row r="550" spans="1:10" ht="15.75" x14ac:dyDescent="0.25">
      <c r="A550" s="13">
        <v>58044</v>
      </c>
      <c r="B550" s="10">
        <f>40.8288 * CHOOSE(CONTROL!$C$15, $E$9, 100%, $G$9) + CHOOSE(CONTROL!$C$38, 0.0256, 0)</f>
        <v>40.854399999999998</v>
      </c>
      <c r="C550" s="10">
        <f>37.6485 * CHOOSE(CONTROL!$C$15, $E$9, 100%, $G$9) + CHOOSE(CONTROL!$C$38, 0.0347, 0)</f>
        <v>37.683199999999999</v>
      </c>
      <c r="D550" s="10">
        <f>37.6407 * CHOOSE(CONTROL!$C$15, $E$9, 100%, $G$9) + CHOOSE(CONTROL!$C$38, 0.0347, 0)</f>
        <v>37.675400000000003</v>
      </c>
      <c r="E550" s="28">
        <f>40.6726 * CHOOSE(CONTROL!$C$15, $E$9, 100%, $G$9) + CHOOSE(CONTROL!$C$38, 0.0347, 0)</f>
        <v>40.707300000000004</v>
      </c>
      <c r="F550" s="27">
        <f>40.6726 * CHOOSE(CONTROL!$C$15, $E$9, 100%, $G$9) + CHOOSE(CONTROL!$C$38, 0.0256, 0)</f>
        <v>40.6982</v>
      </c>
      <c r="G550" s="10">
        <f>37.6469 * CHOOSE(CONTROL!$C$15, $E$9, 100%, $G$9) + CHOOSE(CONTROL!$C$38, 0.0347, 0)</f>
        <v>37.681600000000003</v>
      </c>
      <c r="H550" s="10">
        <f>37.6469 * CHOOSE(CONTROL!$C$15, $E$9, 100%, $G$9) + CHOOSE(CONTROL!$C$38, 0.0347, 0)</f>
        <v>37.681600000000003</v>
      </c>
      <c r="I550" s="10">
        <f>37.6485 * CHOOSE(CONTROL!$C$15, $E$9, 100%, $G$9) + CHOOSE(CONTROL!$C$38, 0.0347, 0)</f>
        <v>37.683199999999999</v>
      </c>
      <c r="J550" s="26">
        <f>250.8589</f>
        <v>250.85890000000001</v>
      </c>
    </row>
    <row r="551" spans="1:10" ht="15.75" x14ac:dyDescent="0.25">
      <c r="A551" s="13">
        <v>58075</v>
      </c>
      <c r="B551" s="10">
        <f>41.4249 * CHOOSE(CONTROL!$C$15, $E$9, 100%, $G$9) + CHOOSE(CONTROL!$C$38, 0.0256, 0)</f>
        <v>41.450499999999998</v>
      </c>
      <c r="C551" s="10">
        <f>38.2446 * CHOOSE(CONTROL!$C$15, $E$9, 100%, $G$9) + CHOOSE(CONTROL!$C$38, 0.0347, 0)</f>
        <v>38.279299999999999</v>
      </c>
      <c r="D551" s="10">
        <f>38.2367 * CHOOSE(CONTROL!$C$15, $E$9, 100%, $G$9) + CHOOSE(CONTROL!$C$38, 0.0347, 0)</f>
        <v>38.2714</v>
      </c>
      <c r="E551" s="28">
        <f>41.2686 * CHOOSE(CONTROL!$C$15, $E$9, 100%, $G$9) + CHOOSE(CONTROL!$C$38, 0.0347, 0)</f>
        <v>41.3033</v>
      </c>
      <c r="F551" s="27">
        <f>41.2686 * CHOOSE(CONTROL!$C$15, $E$9, 100%, $G$9) + CHOOSE(CONTROL!$C$38, 0.0256, 0)</f>
        <v>41.294199999999996</v>
      </c>
      <c r="G551" s="10">
        <f>38.243 * CHOOSE(CONTROL!$C$15, $E$9, 100%, $G$9) + CHOOSE(CONTROL!$C$38, 0.0347, 0)</f>
        <v>38.277700000000003</v>
      </c>
      <c r="H551" s="10">
        <f>38.243 * CHOOSE(CONTROL!$C$15, $E$9, 100%, $G$9) + CHOOSE(CONTROL!$C$38, 0.0347, 0)</f>
        <v>38.277700000000003</v>
      </c>
      <c r="I551" s="10">
        <f>38.2446 * CHOOSE(CONTROL!$C$15, $E$9, 100%, $G$9) + CHOOSE(CONTROL!$C$38, 0.0347, 0)</f>
        <v>38.279299999999999</v>
      </c>
      <c r="J551" s="26">
        <f>243.4146</f>
        <v>243.41460000000001</v>
      </c>
    </row>
    <row r="552" spans="1:10" ht="15.75" x14ac:dyDescent="0.25">
      <c r="A552" s="13">
        <v>58106</v>
      </c>
      <c r="B552" s="10">
        <f>42.6068 * CHOOSE(CONTROL!$C$15, $E$9, 100%, $G$9) + CHOOSE(CONTROL!$C$38, 0.0256, 0)</f>
        <v>42.632399999999997</v>
      </c>
      <c r="C552" s="10">
        <f>39.373 * CHOOSE(CONTROL!$C$15, $E$9, 100%, $G$9) + CHOOSE(CONTROL!$C$38, 0.0347, 0)</f>
        <v>39.407699999999998</v>
      </c>
      <c r="D552" s="10">
        <f>39.3652 * CHOOSE(CONTROL!$C$15, $E$9, 100%, $G$9) + CHOOSE(CONTROL!$C$38, 0.0347, 0)</f>
        <v>39.399900000000002</v>
      </c>
      <c r="E552" s="28">
        <f>42.4505 * CHOOSE(CONTROL!$C$15, $E$9, 100%, $G$9) + CHOOSE(CONTROL!$C$38, 0.0347, 0)</f>
        <v>42.485199999999999</v>
      </c>
      <c r="F552" s="27">
        <f>42.4505 * CHOOSE(CONTROL!$C$15, $E$9, 100%, $G$9) + CHOOSE(CONTROL!$C$38, 0.0256, 0)</f>
        <v>42.476099999999995</v>
      </c>
      <c r="G552" s="10">
        <f>39.3714 * CHOOSE(CONTROL!$C$15, $E$9, 100%, $G$9) + CHOOSE(CONTROL!$C$38, 0.0347, 0)</f>
        <v>39.406100000000002</v>
      </c>
      <c r="H552" s="10">
        <f>39.3714 * CHOOSE(CONTROL!$C$15, $E$9, 100%, $G$9) + CHOOSE(CONTROL!$C$38, 0.0347, 0)</f>
        <v>39.406100000000002</v>
      </c>
      <c r="I552" s="10">
        <f>39.373 * CHOOSE(CONTROL!$C$15, $E$9, 100%, $G$9) + CHOOSE(CONTROL!$C$38, 0.0347, 0)</f>
        <v>39.407699999999998</v>
      </c>
      <c r="J552" s="26">
        <f>241.7841</f>
        <v>241.7841</v>
      </c>
    </row>
    <row r="553" spans="1:10" ht="15.75" x14ac:dyDescent="0.25">
      <c r="A553" s="13">
        <v>58134</v>
      </c>
      <c r="B553" s="10">
        <f>42.8275 * CHOOSE(CONTROL!$C$15, $E$9, 100%, $G$9) + CHOOSE(CONTROL!$C$38, 0.0256, 0)</f>
        <v>42.853099999999998</v>
      </c>
      <c r="C553" s="10">
        <f>39.5937 * CHOOSE(CONTROL!$C$15, $E$9, 100%, $G$9) + CHOOSE(CONTROL!$C$38, 0.0347, 0)</f>
        <v>39.628399999999999</v>
      </c>
      <c r="D553" s="10">
        <f>39.5859 * CHOOSE(CONTROL!$C$15, $E$9, 100%, $G$9) + CHOOSE(CONTROL!$C$38, 0.0347, 0)</f>
        <v>39.620600000000003</v>
      </c>
      <c r="E553" s="28">
        <f>42.6713 * CHOOSE(CONTROL!$C$15, $E$9, 100%, $G$9) + CHOOSE(CONTROL!$C$38, 0.0347, 0)</f>
        <v>42.706000000000003</v>
      </c>
      <c r="F553" s="27">
        <f>42.6713 * CHOOSE(CONTROL!$C$15, $E$9, 100%, $G$9) + CHOOSE(CONTROL!$C$38, 0.0256, 0)</f>
        <v>42.696899999999999</v>
      </c>
      <c r="G553" s="10">
        <f>39.5922 * CHOOSE(CONTROL!$C$15, $E$9, 100%, $G$9) + CHOOSE(CONTROL!$C$38, 0.0347, 0)</f>
        <v>39.626899999999999</v>
      </c>
      <c r="H553" s="10">
        <f>39.5922 * CHOOSE(CONTROL!$C$15, $E$9, 100%, $G$9) + CHOOSE(CONTROL!$C$38, 0.0347, 0)</f>
        <v>39.626899999999999</v>
      </c>
      <c r="I553" s="10">
        <f>39.5937 * CHOOSE(CONTROL!$C$15, $E$9, 100%, $G$9) + CHOOSE(CONTROL!$C$38, 0.0347, 0)</f>
        <v>39.628399999999999</v>
      </c>
      <c r="J553" s="26">
        <f>241.112</f>
        <v>241.11199999999999</v>
      </c>
    </row>
    <row r="554" spans="1:10" ht="15.75" x14ac:dyDescent="0.25">
      <c r="A554" s="13">
        <v>58165</v>
      </c>
      <c r="B554" s="10">
        <f>42.3165 * CHOOSE(CONTROL!$C$15, $E$9, 100%, $G$9) + CHOOSE(CONTROL!$C$38, 0.0256, 0)</f>
        <v>42.342099999999995</v>
      </c>
      <c r="C554" s="10">
        <f>39.0827 * CHOOSE(CONTROL!$C$15, $E$9, 100%, $G$9) + CHOOSE(CONTROL!$C$38, 0.0347, 0)</f>
        <v>39.117400000000004</v>
      </c>
      <c r="D554" s="10">
        <f>39.0749 * CHOOSE(CONTROL!$C$15, $E$9, 100%, $G$9) + CHOOSE(CONTROL!$C$38, 0.0347, 0)</f>
        <v>39.1096</v>
      </c>
      <c r="E554" s="28">
        <f>42.1602 * CHOOSE(CONTROL!$C$15, $E$9, 100%, $G$9) + CHOOSE(CONTROL!$C$38, 0.0347, 0)</f>
        <v>42.194900000000004</v>
      </c>
      <c r="F554" s="27">
        <f>42.1602 * CHOOSE(CONTROL!$C$15, $E$9, 100%, $G$9) + CHOOSE(CONTROL!$C$38, 0.0256, 0)</f>
        <v>42.1858</v>
      </c>
      <c r="G554" s="10">
        <f>39.0811 * CHOOSE(CONTROL!$C$15, $E$9, 100%, $G$9) + CHOOSE(CONTROL!$C$38, 0.0347, 0)</f>
        <v>39.1158</v>
      </c>
      <c r="H554" s="10">
        <f>39.0811 * CHOOSE(CONTROL!$C$15, $E$9, 100%, $G$9) + CHOOSE(CONTROL!$C$38, 0.0347, 0)</f>
        <v>39.1158</v>
      </c>
      <c r="I554" s="10">
        <f>39.0827 * CHOOSE(CONTROL!$C$15, $E$9, 100%, $G$9) + CHOOSE(CONTROL!$C$38, 0.0347, 0)</f>
        <v>39.117400000000004</v>
      </c>
      <c r="J554" s="26">
        <f>253.82</f>
        <v>253.82</v>
      </c>
    </row>
    <row r="555" spans="1:10" ht="15.75" x14ac:dyDescent="0.25">
      <c r="A555" s="13">
        <v>58195</v>
      </c>
      <c r="B555" s="10">
        <f>41.8213 * CHOOSE(CONTROL!$C$15, $E$9, 100%, $G$9) + CHOOSE(CONTROL!$C$38, 0.0256, 0)</f>
        <v>41.846899999999998</v>
      </c>
      <c r="C555" s="10">
        <f>38.5875 * CHOOSE(CONTROL!$C$15, $E$9, 100%, $G$9) + CHOOSE(CONTROL!$C$38, 0.0347, 0)</f>
        <v>38.622199999999999</v>
      </c>
      <c r="D555" s="10">
        <f>38.5797 * CHOOSE(CONTROL!$C$15, $E$9, 100%, $G$9) + CHOOSE(CONTROL!$C$38, 0.0347, 0)</f>
        <v>38.614400000000003</v>
      </c>
      <c r="E555" s="28">
        <f>41.6651 * CHOOSE(CONTROL!$C$15, $E$9, 100%, $G$9) + CHOOSE(CONTROL!$C$38, 0.0347, 0)</f>
        <v>41.699800000000003</v>
      </c>
      <c r="F555" s="27">
        <f>41.6651 * CHOOSE(CONTROL!$C$15, $E$9, 100%, $G$9) + CHOOSE(CONTROL!$C$38, 0.0256, 0)</f>
        <v>41.6907</v>
      </c>
      <c r="G555" s="10">
        <f>38.586 * CHOOSE(CONTROL!$C$15, $E$9, 100%, $G$9) + CHOOSE(CONTROL!$C$38, 0.0347, 0)</f>
        <v>38.620699999999999</v>
      </c>
      <c r="H555" s="10">
        <f>38.586 * CHOOSE(CONTROL!$C$15, $E$9, 100%, $G$9) + CHOOSE(CONTROL!$C$38, 0.0347, 0)</f>
        <v>38.620699999999999</v>
      </c>
      <c r="I555" s="10">
        <f>38.5875 * CHOOSE(CONTROL!$C$15, $E$9, 100%, $G$9) + CHOOSE(CONTROL!$C$38, 0.0347, 0)</f>
        <v>38.622199999999999</v>
      </c>
      <c r="J555" s="26">
        <f>270.2993</f>
        <v>270.29930000000002</v>
      </c>
    </row>
    <row r="556" spans="1:10" ht="15.75" x14ac:dyDescent="0.25">
      <c r="A556" s="13">
        <v>58226</v>
      </c>
      <c r="B556" s="10">
        <f>41.3052 * CHOOSE(CONTROL!$C$15, $E$9, 100%, $G$9) + CHOOSE(CONTROL!$C$38, 0.0256, 0)</f>
        <v>41.330799999999996</v>
      </c>
      <c r="C556" s="10">
        <f>38.0714 * CHOOSE(CONTROL!$C$15, $E$9, 100%, $G$9) + CHOOSE(CONTROL!$C$38, 0.0347, 0)</f>
        <v>38.106099999999998</v>
      </c>
      <c r="D556" s="10">
        <f>38.0636 * CHOOSE(CONTROL!$C$15, $E$9, 100%, $G$9) + CHOOSE(CONTROL!$C$38, 0.0347, 0)</f>
        <v>38.098300000000002</v>
      </c>
      <c r="E556" s="28">
        <f>41.1489 * CHOOSE(CONTROL!$C$15, $E$9, 100%, $G$9) + CHOOSE(CONTROL!$C$38, 0.0347, 0)</f>
        <v>41.183599999999998</v>
      </c>
      <c r="F556" s="27">
        <f>41.1489 * CHOOSE(CONTROL!$C$15, $E$9, 100%, $G$9) + CHOOSE(CONTROL!$C$38, 0.0256, 0)</f>
        <v>41.174499999999995</v>
      </c>
      <c r="G556" s="10">
        <f>38.0699 * CHOOSE(CONTROL!$C$15, $E$9, 100%, $G$9) + CHOOSE(CONTROL!$C$38, 0.0347, 0)</f>
        <v>38.104599999999998</v>
      </c>
      <c r="H556" s="10">
        <f>38.0699 * CHOOSE(CONTROL!$C$15, $E$9, 100%, $G$9) + CHOOSE(CONTROL!$C$38, 0.0347, 0)</f>
        <v>38.104599999999998</v>
      </c>
      <c r="I556" s="10">
        <f>38.0714 * CHOOSE(CONTROL!$C$15, $E$9, 100%, $G$9) + CHOOSE(CONTROL!$C$38, 0.0347, 0)</f>
        <v>38.106099999999998</v>
      </c>
      <c r="J556" s="26">
        <f>279.37</f>
        <v>279.37</v>
      </c>
    </row>
    <row r="557" spans="1:10" ht="15.75" x14ac:dyDescent="0.25">
      <c r="A557" s="13">
        <v>58256</v>
      </c>
      <c r="B557" s="10">
        <f>40.9434 * CHOOSE(CONTROL!$C$15, $E$9, 100%, $G$9) + CHOOSE(CONTROL!$C$38, 0.0256, 0)</f>
        <v>40.968999999999994</v>
      </c>
      <c r="C557" s="10">
        <f>37.7096 * CHOOSE(CONTROL!$C$15, $E$9, 100%, $G$9) + CHOOSE(CONTROL!$C$38, 0.0347, 0)</f>
        <v>37.744300000000003</v>
      </c>
      <c r="D557" s="10">
        <f>37.7018 * CHOOSE(CONTROL!$C$15, $E$9, 100%, $G$9) + CHOOSE(CONTROL!$C$38, 0.0347, 0)</f>
        <v>37.736499999999999</v>
      </c>
      <c r="E557" s="28">
        <f>40.7871 * CHOOSE(CONTROL!$C$15, $E$9, 100%, $G$9) + CHOOSE(CONTROL!$C$38, 0.0347, 0)</f>
        <v>40.821800000000003</v>
      </c>
      <c r="F557" s="27">
        <f>40.7871 * CHOOSE(CONTROL!$C$15, $E$9, 100%, $G$9) + CHOOSE(CONTROL!$C$38, 0.0256, 0)</f>
        <v>40.8127</v>
      </c>
      <c r="G557" s="10">
        <f>37.708 * CHOOSE(CONTROL!$C$15, $E$9, 100%, $G$9) + CHOOSE(CONTROL!$C$38, 0.0347, 0)</f>
        <v>37.742699999999999</v>
      </c>
      <c r="H557" s="10">
        <f>37.708 * CHOOSE(CONTROL!$C$15, $E$9, 100%, $G$9) + CHOOSE(CONTROL!$C$38, 0.0347, 0)</f>
        <v>37.742699999999999</v>
      </c>
      <c r="I557" s="10">
        <f>37.7096 * CHOOSE(CONTROL!$C$15, $E$9, 100%, $G$9) + CHOOSE(CONTROL!$C$38, 0.0347, 0)</f>
        <v>37.744300000000003</v>
      </c>
      <c r="J557" s="26">
        <f>283.3954</f>
        <v>283.3954</v>
      </c>
    </row>
    <row r="558" spans="1:10" ht="15.75" x14ac:dyDescent="0.25">
      <c r="A558" s="13">
        <v>58287</v>
      </c>
      <c r="B558" s="10">
        <f>40.7369 * CHOOSE(CONTROL!$C$15, $E$9, 100%, $G$9) + CHOOSE(CONTROL!$C$38, 0.0256, 0)</f>
        <v>40.762499999999996</v>
      </c>
      <c r="C558" s="10">
        <f>37.5031 * CHOOSE(CONTROL!$C$15, $E$9, 100%, $G$9) + CHOOSE(CONTROL!$C$38, 0.0347, 0)</f>
        <v>37.537800000000004</v>
      </c>
      <c r="D558" s="10">
        <f>37.4953 * CHOOSE(CONTROL!$C$15, $E$9, 100%, $G$9) + CHOOSE(CONTROL!$C$38, 0.0347, 0)</f>
        <v>37.53</v>
      </c>
      <c r="E558" s="28">
        <f>40.5806 * CHOOSE(CONTROL!$C$15, $E$9, 100%, $G$9) + CHOOSE(CONTROL!$C$38, 0.0347, 0)</f>
        <v>40.615299999999998</v>
      </c>
      <c r="F558" s="27">
        <f>40.5806 * CHOOSE(CONTROL!$C$15, $E$9, 100%, $G$9) + CHOOSE(CONTROL!$C$38, 0.0256, 0)</f>
        <v>40.606199999999994</v>
      </c>
      <c r="G558" s="10">
        <f>37.5015 * CHOOSE(CONTROL!$C$15, $E$9, 100%, $G$9) + CHOOSE(CONTROL!$C$38, 0.0347, 0)</f>
        <v>37.536200000000001</v>
      </c>
      <c r="H558" s="10">
        <f>37.5015 * CHOOSE(CONTROL!$C$15, $E$9, 100%, $G$9) + CHOOSE(CONTROL!$C$38, 0.0347, 0)</f>
        <v>37.536200000000001</v>
      </c>
      <c r="I558" s="10">
        <f>37.5031 * CHOOSE(CONTROL!$C$15, $E$9, 100%, $G$9) + CHOOSE(CONTROL!$C$38, 0.0347, 0)</f>
        <v>37.537800000000004</v>
      </c>
      <c r="J558" s="26">
        <f>282.07</f>
        <v>282.07</v>
      </c>
    </row>
    <row r="559" spans="1:10" ht="15.75" x14ac:dyDescent="0.25">
      <c r="A559" s="13">
        <v>58318</v>
      </c>
      <c r="B559" s="10">
        <f>40.8388 * CHOOSE(CONTROL!$C$15, $E$9, 100%, $G$9) + CHOOSE(CONTROL!$C$38, 0.0256, 0)</f>
        <v>40.864399999999996</v>
      </c>
      <c r="C559" s="10">
        <f>37.605 * CHOOSE(CONTROL!$C$15, $E$9, 100%, $G$9) + CHOOSE(CONTROL!$C$38, 0.0347, 0)</f>
        <v>37.639699999999998</v>
      </c>
      <c r="D559" s="10">
        <f>37.5972 * CHOOSE(CONTROL!$C$15, $E$9, 100%, $G$9) + CHOOSE(CONTROL!$C$38, 0.0347, 0)</f>
        <v>37.631900000000002</v>
      </c>
      <c r="E559" s="28">
        <f>40.6825 * CHOOSE(CONTROL!$C$15, $E$9, 100%, $G$9) + CHOOSE(CONTROL!$C$38, 0.0347, 0)</f>
        <v>40.717199999999998</v>
      </c>
      <c r="F559" s="27">
        <f>40.6825 * CHOOSE(CONTROL!$C$15, $E$9, 100%, $G$9) + CHOOSE(CONTROL!$C$38, 0.0256, 0)</f>
        <v>40.708099999999995</v>
      </c>
      <c r="G559" s="10">
        <f>37.6034 * CHOOSE(CONTROL!$C$15, $E$9, 100%, $G$9) + CHOOSE(CONTROL!$C$38, 0.0347, 0)</f>
        <v>37.638100000000001</v>
      </c>
      <c r="H559" s="10">
        <f>37.6034 * CHOOSE(CONTROL!$C$15, $E$9, 100%, $G$9) + CHOOSE(CONTROL!$C$38, 0.0347, 0)</f>
        <v>37.638100000000001</v>
      </c>
      <c r="I559" s="10">
        <f>37.605 * CHOOSE(CONTROL!$C$15, $E$9, 100%, $G$9) + CHOOSE(CONTROL!$C$38, 0.0347, 0)</f>
        <v>37.639699999999998</v>
      </c>
      <c r="J559" s="26">
        <f>275.5036</f>
        <v>275.50360000000001</v>
      </c>
    </row>
    <row r="560" spans="1:10" ht="15.75" x14ac:dyDescent="0.25">
      <c r="A560" s="13">
        <v>58348</v>
      </c>
      <c r="B560" s="10">
        <f>41.1156 * CHOOSE(CONTROL!$C$15, $E$9, 100%, $G$9) + CHOOSE(CONTROL!$C$38, 0.0256, 0)</f>
        <v>41.141199999999998</v>
      </c>
      <c r="C560" s="10">
        <f>37.8818 * CHOOSE(CONTROL!$C$15, $E$9, 100%, $G$9) + CHOOSE(CONTROL!$C$38, 0.0347, 0)</f>
        <v>37.916499999999999</v>
      </c>
      <c r="D560" s="10">
        <f>37.874 * CHOOSE(CONTROL!$C$15, $E$9, 100%, $G$9) + CHOOSE(CONTROL!$C$38, 0.0347, 0)</f>
        <v>37.908700000000003</v>
      </c>
      <c r="E560" s="28">
        <f>40.9593 * CHOOSE(CONTROL!$C$15, $E$9, 100%, $G$9) + CHOOSE(CONTROL!$C$38, 0.0347, 0)</f>
        <v>40.994</v>
      </c>
      <c r="F560" s="27">
        <f>40.9593 * CHOOSE(CONTROL!$C$15, $E$9, 100%, $G$9) + CHOOSE(CONTROL!$C$38, 0.0256, 0)</f>
        <v>40.984899999999996</v>
      </c>
      <c r="G560" s="10">
        <f>37.8802 * CHOOSE(CONTROL!$C$15, $E$9, 100%, $G$9) + CHOOSE(CONTROL!$C$38, 0.0347, 0)</f>
        <v>37.914900000000003</v>
      </c>
      <c r="H560" s="10">
        <f>37.8802 * CHOOSE(CONTROL!$C$15, $E$9, 100%, $G$9) + CHOOSE(CONTROL!$C$38, 0.0347, 0)</f>
        <v>37.914900000000003</v>
      </c>
      <c r="I560" s="10">
        <f>37.8818 * CHOOSE(CONTROL!$C$15, $E$9, 100%, $G$9) + CHOOSE(CONTROL!$C$38, 0.0347, 0)</f>
        <v>37.916499999999999</v>
      </c>
      <c r="J560" s="26">
        <f>266.3463</f>
        <v>266.34629999999999</v>
      </c>
    </row>
    <row r="561" spans="1:10" ht="15.75" x14ac:dyDescent="0.25">
      <c r="A561" s="13">
        <v>58379</v>
      </c>
      <c r="B561" s="10">
        <f>41.3474 * CHOOSE(CONTROL!$C$15, $E$9, 100%, $G$9) + CHOOSE(CONTROL!$C$38, 0.0256, 0)</f>
        <v>41.372999999999998</v>
      </c>
      <c r="C561" s="10">
        <f>38.1136 * CHOOSE(CONTROL!$C$15, $E$9, 100%, $G$9) + CHOOSE(CONTROL!$C$38, 0.0347, 0)</f>
        <v>38.148299999999999</v>
      </c>
      <c r="D561" s="10">
        <f>38.1058 * CHOOSE(CONTROL!$C$15, $E$9, 100%, $G$9) + CHOOSE(CONTROL!$C$38, 0.0347, 0)</f>
        <v>38.140500000000003</v>
      </c>
      <c r="E561" s="28">
        <f>41.1911 * CHOOSE(CONTROL!$C$15, $E$9, 100%, $G$9) + CHOOSE(CONTROL!$C$38, 0.0347, 0)</f>
        <v>41.2258</v>
      </c>
      <c r="F561" s="27">
        <f>41.1911 * CHOOSE(CONTROL!$C$15, $E$9, 100%, $G$9) + CHOOSE(CONTROL!$C$38, 0.0256, 0)</f>
        <v>41.216699999999996</v>
      </c>
      <c r="G561" s="10">
        <f>38.1121 * CHOOSE(CONTROL!$C$15, $E$9, 100%, $G$9) + CHOOSE(CONTROL!$C$38, 0.0347, 0)</f>
        <v>38.146799999999999</v>
      </c>
      <c r="H561" s="10">
        <f>38.1121 * CHOOSE(CONTROL!$C$15, $E$9, 100%, $G$9) + CHOOSE(CONTROL!$C$38, 0.0347, 0)</f>
        <v>38.146799999999999</v>
      </c>
      <c r="I561" s="10">
        <f>38.1136 * CHOOSE(CONTROL!$C$15, $E$9, 100%, $G$9) + CHOOSE(CONTROL!$C$38, 0.0347, 0)</f>
        <v>38.148299999999999</v>
      </c>
      <c r="J561" s="26">
        <f>257.1358</f>
        <v>257.13580000000002</v>
      </c>
    </row>
    <row r="562" spans="1:10" ht="15.75" x14ac:dyDescent="0.25">
      <c r="A562" s="13">
        <v>58409</v>
      </c>
      <c r="B562" s="10">
        <f>41.5408 * CHOOSE(CONTROL!$C$15, $E$9, 100%, $G$9) + CHOOSE(CONTROL!$C$38, 0.0256, 0)</f>
        <v>41.566399999999994</v>
      </c>
      <c r="C562" s="10">
        <f>38.3071 * CHOOSE(CONTROL!$C$15, $E$9, 100%, $G$9) + CHOOSE(CONTROL!$C$38, 0.0347, 0)</f>
        <v>38.341799999999999</v>
      </c>
      <c r="D562" s="10">
        <f>38.2993 * CHOOSE(CONTROL!$C$15, $E$9, 100%, $G$9) + CHOOSE(CONTROL!$C$38, 0.0347, 0)</f>
        <v>38.334000000000003</v>
      </c>
      <c r="E562" s="28">
        <f>41.3846 * CHOOSE(CONTROL!$C$15, $E$9, 100%, $G$9) + CHOOSE(CONTROL!$C$38, 0.0347, 0)</f>
        <v>41.4193</v>
      </c>
      <c r="F562" s="27">
        <f>41.3846 * CHOOSE(CONTROL!$C$15, $E$9, 100%, $G$9) + CHOOSE(CONTROL!$C$38, 0.0256, 0)</f>
        <v>41.410199999999996</v>
      </c>
      <c r="G562" s="10">
        <f>38.3055 * CHOOSE(CONTROL!$C$15, $E$9, 100%, $G$9) + CHOOSE(CONTROL!$C$38, 0.0347, 0)</f>
        <v>38.340200000000003</v>
      </c>
      <c r="H562" s="10">
        <f>38.3055 * CHOOSE(CONTROL!$C$15, $E$9, 100%, $G$9) + CHOOSE(CONTROL!$C$38, 0.0347, 0)</f>
        <v>38.340200000000003</v>
      </c>
      <c r="I562" s="10">
        <f>38.3071 * CHOOSE(CONTROL!$C$15, $E$9, 100%, $G$9) + CHOOSE(CONTROL!$C$38, 0.0347, 0)</f>
        <v>38.341799999999999</v>
      </c>
      <c r="J562" s="26">
        <f>255.3036</f>
        <v>255.30359999999999</v>
      </c>
    </row>
    <row r="563" spans="1:10" ht="15.75" x14ac:dyDescent="0.25">
      <c r="A563" s="13">
        <v>58440</v>
      </c>
      <c r="B563" s="10">
        <f>42.1369 * CHOOSE(CONTROL!$C$15, $E$9, 100%, $G$9) + CHOOSE(CONTROL!$C$38, 0.0256, 0)</f>
        <v>42.162499999999994</v>
      </c>
      <c r="C563" s="10">
        <f>38.9031 * CHOOSE(CONTROL!$C$15, $E$9, 100%, $G$9) + CHOOSE(CONTROL!$C$38, 0.0347, 0)</f>
        <v>38.937800000000003</v>
      </c>
      <c r="D563" s="10">
        <f>38.8953 * CHOOSE(CONTROL!$C$15, $E$9, 100%, $G$9) + CHOOSE(CONTROL!$C$38, 0.0347, 0)</f>
        <v>38.93</v>
      </c>
      <c r="E563" s="28">
        <f>41.9807 * CHOOSE(CONTROL!$C$15, $E$9, 100%, $G$9) + CHOOSE(CONTROL!$C$38, 0.0347, 0)</f>
        <v>42.0154</v>
      </c>
      <c r="F563" s="27">
        <f>41.9807 * CHOOSE(CONTROL!$C$15, $E$9, 100%, $G$9) + CHOOSE(CONTROL!$C$38, 0.0256, 0)</f>
        <v>42.006299999999996</v>
      </c>
      <c r="G563" s="10">
        <f>38.9016 * CHOOSE(CONTROL!$C$15, $E$9, 100%, $G$9) + CHOOSE(CONTROL!$C$38, 0.0347, 0)</f>
        <v>38.936300000000003</v>
      </c>
      <c r="H563" s="10">
        <f>38.9016 * CHOOSE(CONTROL!$C$15, $E$9, 100%, $G$9) + CHOOSE(CONTROL!$C$38, 0.0347, 0)</f>
        <v>38.936300000000003</v>
      </c>
      <c r="I563" s="10">
        <f>38.9031 * CHOOSE(CONTROL!$C$15, $E$9, 100%, $G$9) + CHOOSE(CONTROL!$C$38, 0.0347, 0)</f>
        <v>38.937800000000003</v>
      </c>
      <c r="J563" s="26">
        <f>247.7275</f>
        <v>247.72749999999999</v>
      </c>
    </row>
    <row r="564" spans="1:10" ht="15.75" x14ac:dyDescent="0.25">
      <c r="A564" s="13">
        <v>58471</v>
      </c>
      <c r="B564" s="10">
        <f>43.3313 * CHOOSE(CONTROL!$C$15, $E$9, 100%, $G$9) + CHOOSE(CONTROL!$C$38, 0.0256, 0)</f>
        <v>43.356899999999996</v>
      </c>
      <c r="C564" s="10">
        <f>40.0432 * CHOOSE(CONTROL!$C$15, $E$9, 100%, $G$9) + CHOOSE(CONTROL!$C$38, 0.0347, 0)</f>
        <v>40.0779</v>
      </c>
      <c r="D564" s="10">
        <f>40.0354 * CHOOSE(CONTROL!$C$15, $E$9, 100%, $G$9) + CHOOSE(CONTROL!$C$38, 0.0347, 0)</f>
        <v>40.070100000000004</v>
      </c>
      <c r="E564" s="28">
        <f>43.1751 * CHOOSE(CONTROL!$C$15, $E$9, 100%, $G$9) + CHOOSE(CONTROL!$C$38, 0.0347, 0)</f>
        <v>43.209800000000001</v>
      </c>
      <c r="F564" s="27">
        <f>43.1751 * CHOOSE(CONTROL!$C$15, $E$9, 100%, $G$9) + CHOOSE(CONTROL!$C$38, 0.0256, 0)</f>
        <v>43.200699999999998</v>
      </c>
      <c r="G564" s="10">
        <f>40.0416 * CHOOSE(CONTROL!$C$15, $E$9, 100%, $G$9) + CHOOSE(CONTROL!$C$38, 0.0347, 0)</f>
        <v>40.076300000000003</v>
      </c>
      <c r="H564" s="10">
        <f>40.0416 * CHOOSE(CONTROL!$C$15, $E$9, 100%, $G$9) + CHOOSE(CONTROL!$C$38, 0.0347, 0)</f>
        <v>40.076300000000003</v>
      </c>
      <c r="I564" s="10">
        <f>40.0432 * CHOOSE(CONTROL!$C$15, $E$9, 100%, $G$9) + CHOOSE(CONTROL!$C$38, 0.0347, 0)</f>
        <v>40.0779</v>
      </c>
      <c r="J564" s="26">
        <f>246.0681</f>
        <v>246.06809999999999</v>
      </c>
    </row>
    <row r="565" spans="1:10" ht="15.75" x14ac:dyDescent="0.25">
      <c r="A565" s="13">
        <v>58499</v>
      </c>
      <c r="B565" s="10">
        <f>43.5521 * CHOOSE(CONTROL!$C$15, $E$9, 100%, $G$9) + CHOOSE(CONTROL!$C$38, 0.0256, 0)</f>
        <v>43.5777</v>
      </c>
      <c r="C565" s="10">
        <f>40.264 * CHOOSE(CONTROL!$C$15, $E$9, 100%, $G$9) + CHOOSE(CONTROL!$C$38, 0.0347, 0)</f>
        <v>40.298700000000004</v>
      </c>
      <c r="D565" s="10">
        <f>40.2561 * CHOOSE(CONTROL!$C$15, $E$9, 100%, $G$9) + CHOOSE(CONTROL!$C$38, 0.0347, 0)</f>
        <v>40.290800000000004</v>
      </c>
      <c r="E565" s="28">
        <f>43.3959 * CHOOSE(CONTROL!$C$15, $E$9, 100%, $G$9) + CHOOSE(CONTROL!$C$38, 0.0347, 0)</f>
        <v>43.430599999999998</v>
      </c>
      <c r="F565" s="27">
        <f>43.3959 * CHOOSE(CONTROL!$C$15, $E$9, 100%, $G$9) + CHOOSE(CONTROL!$C$38, 0.0256, 0)</f>
        <v>43.421499999999995</v>
      </c>
      <c r="G565" s="10">
        <f>40.2624 * CHOOSE(CONTROL!$C$15, $E$9, 100%, $G$9) + CHOOSE(CONTROL!$C$38, 0.0347, 0)</f>
        <v>40.2971</v>
      </c>
      <c r="H565" s="10">
        <f>40.2624 * CHOOSE(CONTROL!$C$15, $E$9, 100%, $G$9) + CHOOSE(CONTROL!$C$38, 0.0347, 0)</f>
        <v>40.2971</v>
      </c>
      <c r="I565" s="10">
        <f>40.264 * CHOOSE(CONTROL!$C$15, $E$9, 100%, $G$9) + CHOOSE(CONTROL!$C$38, 0.0347, 0)</f>
        <v>40.298700000000004</v>
      </c>
      <c r="J565" s="26">
        <f>245.3841</f>
        <v>245.38409999999999</v>
      </c>
    </row>
    <row r="566" spans="1:10" ht="15.75" x14ac:dyDescent="0.25">
      <c r="A566" s="13">
        <v>58531</v>
      </c>
      <c r="B566" s="10">
        <f>43.0411 * CHOOSE(CONTROL!$C$15, $E$9, 100%, $G$9) + CHOOSE(CONTROL!$C$38, 0.0256, 0)</f>
        <v>43.066699999999997</v>
      </c>
      <c r="C566" s="10">
        <f>39.7529 * CHOOSE(CONTROL!$C$15, $E$9, 100%, $G$9) + CHOOSE(CONTROL!$C$38, 0.0347, 0)</f>
        <v>39.787599999999998</v>
      </c>
      <c r="D566" s="10">
        <f>39.7451 * CHOOSE(CONTROL!$C$15, $E$9, 100%, $G$9) + CHOOSE(CONTROL!$C$38, 0.0347, 0)</f>
        <v>39.779800000000002</v>
      </c>
      <c r="E566" s="28">
        <f>42.8848 * CHOOSE(CONTROL!$C$15, $E$9, 100%, $G$9) + CHOOSE(CONTROL!$C$38, 0.0347, 0)</f>
        <v>42.919499999999999</v>
      </c>
      <c r="F566" s="27">
        <f>42.8848 * CHOOSE(CONTROL!$C$15, $E$9, 100%, $G$9) + CHOOSE(CONTROL!$C$38, 0.0256, 0)</f>
        <v>42.910399999999996</v>
      </c>
      <c r="G566" s="10">
        <f>39.7514 * CHOOSE(CONTROL!$C$15, $E$9, 100%, $G$9) + CHOOSE(CONTROL!$C$38, 0.0347, 0)</f>
        <v>39.786099999999998</v>
      </c>
      <c r="H566" s="10">
        <f>39.7514 * CHOOSE(CONTROL!$C$15, $E$9, 100%, $G$9) + CHOOSE(CONTROL!$C$38, 0.0347, 0)</f>
        <v>39.786099999999998</v>
      </c>
      <c r="I566" s="10">
        <f>39.7529 * CHOOSE(CONTROL!$C$15, $E$9, 100%, $G$9) + CHOOSE(CONTROL!$C$38, 0.0347, 0)</f>
        <v>39.787599999999998</v>
      </c>
      <c r="J566" s="26">
        <f>258.3172</f>
        <v>258.31720000000001</v>
      </c>
    </row>
    <row r="567" spans="1:10" ht="15.75" x14ac:dyDescent="0.25">
      <c r="A567" s="13">
        <v>58561</v>
      </c>
      <c r="B567" s="10">
        <f>42.5459 * CHOOSE(CONTROL!$C$15, $E$9, 100%, $G$9) + CHOOSE(CONTROL!$C$38, 0.0256, 0)</f>
        <v>42.5715</v>
      </c>
      <c r="C567" s="10">
        <f>39.2577 * CHOOSE(CONTROL!$C$15, $E$9, 100%, $G$9) + CHOOSE(CONTROL!$C$38, 0.0347, 0)</f>
        <v>39.292400000000001</v>
      </c>
      <c r="D567" s="10">
        <f>39.2499 * CHOOSE(CONTROL!$C$15, $E$9, 100%, $G$9) + CHOOSE(CONTROL!$C$38, 0.0347, 0)</f>
        <v>39.284599999999998</v>
      </c>
      <c r="E567" s="28">
        <f>42.3896 * CHOOSE(CONTROL!$C$15, $E$9, 100%, $G$9) + CHOOSE(CONTROL!$C$38, 0.0347, 0)</f>
        <v>42.424300000000002</v>
      </c>
      <c r="F567" s="27">
        <f>42.3896 * CHOOSE(CONTROL!$C$15, $E$9, 100%, $G$9) + CHOOSE(CONTROL!$C$38, 0.0256, 0)</f>
        <v>42.415199999999999</v>
      </c>
      <c r="G567" s="10">
        <f>39.2562 * CHOOSE(CONTROL!$C$15, $E$9, 100%, $G$9) + CHOOSE(CONTROL!$C$38, 0.0347, 0)</f>
        <v>39.290900000000001</v>
      </c>
      <c r="H567" s="10">
        <f>39.2562 * CHOOSE(CONTROL!$C$15, $E$9, 100%, $G$9) + CHOOSE(CONTROL!$C$38, 0.0347, 0)</f>
        <v>39.290900000000001</v>
      </c>
      <c r="I567" s="10">
        <f>39.2577 * CHOOSE(CONTROL!$C$15, $E$9, 100%, $G$9) + CHOOSE(CONTROL!$C$38, 0.0347, 0)</f>
        <v>39.292400000000001</v>
      </c>
      <c r="J567" s="26">
        <f>275.0885</f>
        <v>275.08850000000001</v>
      </c>
    </row>
    <row r="568" spans="1:10" ht="15.75" x14ac:dyDescent="0.25">
      <c r="A568" s="13">
        <v>58592</v>
      </c>
      <c r="B568" s="10">
        <f>42.0298 * CHOOSE(CONTROL!$C$15, $E$9, 100%, $G$9) + CHOOSE(CONTROL!$C$38, 0.0256, 0)</f>
        <v>42.055399999999999</v>
      </c>
      <c r="C568" s="10">
        <f>38.7416 * CHOOSE(CONTROL!$C$15, $E$9, 100%, $G$9) + CHOOSE(CONTROL!$C$38, 0.0347, 0)</f>
        <v>38.776299999999999</v>
      </c>
      <c r="D568" s="10">
        <f>38.7338 * CHOOSE(CONTROL!$C$15, $E$9, 100%, $G$9) + CHOOSE(CONTROL!$C$38, 0.0347, 0)</f>
        <v>38.768500000000003</v>
      </c>
      <c r="E568" s="28">
        <f>41.8735 * CHOOSE(CONTROL!$C$15, $E$9, 100%, $G$9) + CHOOSE(CONTROL!$C$38, 0.0347, 0)</f>
        <v>41.908200000000001</v>
      </c>
      <c r="F568" s="27">
        <f>41.8735 * CHOOSE(CONTROL!$C$15, $E$9, 100%, $G$9) + CHOOSE(CONTROL!$C$38, 0.0256, 0)</f>
        <v>41.899099999999997</v>
      </c>
      <c r="G568" s="10">
        <f>38.7401 * CHOOSE(CONTROL!$C$15, $E$9, 100%, $G$9) + CHOOSE(CONTROL!$C$38, 0.0347, 0)</f>
        <v>38.774799999999999</v>
      </c>
      <c r="H568" s="10">
        <f>38.7401 * CHOOSE(CONTROL!$C$15, $E$9, 100%, $G$9) + CHOOSE(CONTROL!$C$38, 0.0347, 0)</f>
        <v>38.774799999999999</v>
      </c>
      <c r="I568" s="10">
        <f>38.7416 * CHOOSE(CONTROL!$C$15, $E$9, 100%, $G$9) + CHOOSE(CONTROL!$C$38, 0.0347, 0)</f>
        <v>38.776299999999999</v>
      </c>
      <c r="J568" s="26">
        <f>284.3199</f>
        <v>284.31990000000002</v>
      </c>
    </row>
    <row r="569" spans="1:10" ht="15.75" x14ac:dyDescent="0.25">
      <c r="A569" s="13">
        <v>58622</v>
      </c>
      <c r="B569" s="10">
        <f>41.668 * CHOOSE(CONTROL!$C$15, $E$9, 100%, $G$9) + CHOOSE(CONTROL!$C$38, 0.0256, 0)</f>
        <v>41.693599999999996</v>
      </c>
      <c r="C569" s="10">
        <f>38.3798 * CHOOSE(CONTROL!$C$15, $E$9, 100%, $G$9) + CHOOSE(CONTROL!$C$38, 0.0347, 0)</f>
        <v>38.414500000000004</v>
      </c>
      <c r="D569" s="10">
        <f>38.372 * CHOOSE(CONTROL!$C$15, $E$9, 100%, $G$9) + CHOOSE(CONTROL!$C$38, 0.0347, 0)</f>
        <v>38.406700000000001</v>
      </c>
      <c r="E569" s="28">
        <f>41.5117 * CHOOSE(CONTROL!$C$15, $E$9, 100%, $G$9) + CHOOSE(CONTROL!$C$38, 0.0347, 0)</f>
        <v>41.546399999999998</v>
      </c>
      <c r="F569" s="27">
        <f>41.5117 * CHOOSE(CONTROL!$C$15, $E$9, 100%, $G$9) + CHOOSE(CONTROL!$C$38, 0.0256, 0)</f>
        <v>41.537299999999995</v>
      </c>
      <c r="G569" s="10">
        <f>38.3782 * CHOOSE(CONTROL!$C$15, $E$9, 100%, $G$9) + CHOOSE(CONTROL!$C$38, 0.0347, 0)</f>
        <v>38.4129</v>
      </c>
      <c r="H569" s="10">
        <f>38.3782 * CHOOSE(CONTROL!$C$15, $E$9, 100%, $G$9) + CHOOSE(CONTROL!$C$38, 0.0347, 0)</f>
        <v>38.4129</v>
      </c>
      <c r="I569" s="10">
        <f>38.3798 * CHOOSE(CONTROL!$C$15, $E$9, 100%, $G$9) + CHOOSE(CONTROL!$C$38, 0.0347, 0)</f>
        <v>38.414500000000004</v>
      </c>
      <c r="J569" s="26">
        <f>288.4166</f>
        <v>288.41660000000002</v>
      </c>
    </row>
    <row r="570" spans="1:10" ht="15.75" x14ac:dyDescent="0.25">
      <c r="A570" s="13">
        <v>58653</v>
      </c>
      <c r="B570" s="10">
        <f>41.4615 * CHOOSE(CONTROL!$C$15, $E$9, 100%, $G$9) + CHOOSE(CONTROL!$C$38, 0.0256, 0)</f>
        <v>41.487099999999998</v>
      </c>
      <c r="C570" s="10">
        <f>38.1733 * CHOOSE(CONTROL!$C$15, $E$9, 100%, $G$9) + CHOOSE(CONTROL!$C$38, 0.0347, 0)</f>
        <v>38.207999999999998</v>
      </c>
      <c r="D570" s="10">
        <f>38.1655 * CHOOSE(CONTROL!$C$15, $E$9, 100%, $G$9) + CHOOSE(CONTROL!$C$38, 0.0347, 0)</f>
        <v>38.200200000000002</v>
      </c>
      <c r="E570" s="28">
        <f>41.3052 * CHOOSE(CONTROL!$C$15, $E$9, 100%, $G$9) + CHOOSE(CONTROL!$C$38, 0.0347, 0)</f>
        <v>41.3399</v>
      </c>
      <c r="F570" s="27">
        <f>41.3052 * CHOOSE(CONTROL!$C$15, $E$9, 100%, $G$9) + CHOOSE(CONTROL!$C$38, 0.0256, 0)</f>
        <v>41.330799999999996</v>
      </c>
      <c r="G570" s="10">
        <f>38.1717 * CHOOSE(CONTROL!$C$15, $E$9, 100%, $G$9) + CHOOSE(CONTROL!$C$38, 0.0347, 0)</f>
        <v>38.206400000000002</v>
      </c>
      <c r="H570" s="10">
        <f>38.1717 * CHOOSE(CONTROL!$C$15, $E$9, 100%, $G$9) + CHOOSE(CONTROL!$C$38, 0.0347, 0)</f>
        <v>38.206400000000002</v>
      </c>
      <c r="I570" s="10">
        <f>38.1733 * CHOOSE(CONTROL!$C$15, $E$9, 100%, $G$9) + CHOOSE(CONTROL!$C$38, 0.0347, 0)</f>
        <v>38.207999999999998</v>
      </c>
      <c r="J570" s="26">
        <f>287.0678</f>
        <v>287.06779999999998</v>
      </c>
    </row>
    <row r="571" spans="1:10" ht="15.75" x14ac:dyDescent="0.25">
      <c r="A571" s="13">
        <v>58684</v>
      </c>
      <c r="B571" s="10">
        <f>41.5634 * CHOOSE(CONTROL!$C$15, $E$9, 100%, $G$9) + CHOOSE(CONTROL!$C$38, 0.0256, 0)</f>
        <v>41.588999999999999</v>
      </c>
      <c r="C571" s="10">
        <f>38.2752 * CHOOSE(CONTROL!$C$15, $E$9, 100%, $G$9) + CHOOSE(CONTROL!$C$38, 0.0347, 0)</f>
        <v>38.309899999999999</v>
      </c>
      <c r="D571" s="10">
        <f>38.2674 * CHOOSE(CONTROL!$C$15, $E$9, 100%, $G$9) + CHOOSE(CONTROL!$C$38, 0.0347, 0)</f>
        <v>38.302100000000003</v>
      </c>
      <c r="E571" s="28">
        <f>41.4071 * CHOOSE(CONTROL!$C$15, $E$9, 100%, $G$9) + CHOOSE(CONTROL!$C$38, 0.0347, 0)</f>
        <v>41.441800000000001</v>
      </c>
      <c r="F571" s="27">
        <f>41.4071 * CHOOSE(CONTROL!$C$15, $E$9, 100%, $G$9) + CHOOSE(CONTROL!$C$38, 0.0256, 0)</f>
        <v>41.432699999999997</v>
      </c>
      <c r="G571" s="10">
        <f>38.2737 * CHOOSE(CONTROL!$C$15, $E$9, 100%, $G$9) + CHOOSE(CONTROL!$C$38, 0.0347, 0)</f>
        <v>38.308399999999999</v>
      </c>
      <c r="H571" s="10">
        <f>38.2737 * CHOOSE(CONTROL!$C$15, $E$9, 100%, $G$9) + CHOOSE(CONTROL!$C$38, 0.0347, 0)</f>
        <v>38.308399999999999</v>
      </c>
      <c r="I571" s="10">
        <f>38.2752 * CHOOSE(CONTROL!$C$15, $E$9, 100%, $G$9) + CHOOSE(CONTROL!$C$38, 0.0347, 0)</f>
        <v>38.309899999999999</v>
      </c>
      <c r="J571" s="26">
        <f>280.385</f>
        <v>280.38499999999999</v>
      </c>
    </row>
    <row r="572" spans="1:10" ht="15.75" x14ac:dyDescent="0.25">
      <c r="A572" s="13">
        <v>58714</v>
      </c>
      <c r="B572" s="10">
        <f>41.8402 * CHOOSE(CONTROL!$C$15, $E$9, 100%, $G$9) + CHOOSE(CONTROL!$C$38, 0.0256, 0)</f>
        <v>41.8658</v>
      </c>
      <c r="C572" s="10">
        <f>38.552 * CHOOSE(CONTROL!$C$15, $E$9, 100%, $G$9) + CHOOSE(CONTROL!$C$38, 0.0347, 0)</f>
        <v>38.5867</v>
      </c>
      <c r="D572" s="10">
        <f>38.5442 * CHOOSE(CONTROL!$C$15, $E$9, 100%, $G$9) + CHOOSE(CONTROL!$C$38, 0.0347, 0)</f>
        <v>38.578899999999997</v>
      </c>
      <c r="E572" s="28">
        <f>41.6839 * CHOOSE(CONTROL!$C$15, $E$9, 100%, $G$9) + CHOOSE(CONTROL!$C$38, 0.0347, 0)</f>
        <v>41.718600000000002</v>
      </c>
      <c r="F572" s="27">
        <f>41.6839 * CHOOSE(CONTROL!$C$15, $E$9, 100%, $G$9) + CHOOSE(CONTROL!$C$38, 0.0256, 0)</f>
        <v>41.709499999999998</v>
      </c>
      <c r="G572" s="10">
        <f>38.5505 * CHOOSE(CONTROL!$C$15, $E$9, 100%, $G$9) + CHOOSE(CONTROL!$C$38, 0.0347, 0)</f>
        <v>38.5852</v>
      </c>
      <c r="H572" s="10">
        <f>38.5505 * CHOOSE(CONTROL!$C$15, $E$9, 100%, $G$9) + CHOOSE(CONTROL!$C$38, 0.0347, 0)</f>
        <v>38.5852</v>
      </c>
      <c r="I572" s="10">
        <f>38.552 * CHOOSE(CONTROL!$C$15, $E$9, 100%, $G$9) + CHOOSE(CONTROL!$C$38, 0.0347, 0)</f>
        <v>38.5867</v>
      </c>
      <c r="J572" s="26">
        <f>271.0655</f>
        <v>271.06549999999999</v>
      </c>
    </row>
    <row r="573" spans="1:10" ht="15.75" x14ac:dyDescent="0.25">
      <c r="A573" s="13">
        <v>58745</v>
      </c>
      <c r="B573" s="10">
        <f>42.072 * CHOOSE(CONTROL!$C$15, $E$9, 100%, $G$9) + CHOOSE(CONTROL!$C$38, 0.0256, 0)</f>
        <v>42.0976</v>
      </c>
      <c r="C573" s="10">
        <f>38.7838 * CHOOSE(CONTROL!$C$15, $E$9, 100%, $G$9) + CHOOSE(CONTROL!$C$38, 0.0347, 0)</f>
        <v>38.8185</v>
      </c>
      <c r="D573" s="10">
        <f>38.776 * CHOOSE(CONTROL!$C$15, $E$9, 100%, $G$9) + CHOOSE(CONTROL!$C$38, 0.0347, 0)</f>
        <v>38.810700000000004</v>
      </c>
      <c r="E573" s="28">
        <f>41.9157 * CHOOSE(CONTROL!$C$15, $E$9, 100%, $G$9) + CHOOSE(CONTROL!$C$38, 0.0347, 0)</f>
        <v>41.950400000000002</v>
      </c>
      <c r="F573" s="27">
        <f>41.9157 * CHOOSE(CONTROL!$C$15, $E$9, 100%, $G$9) + CHOOSE(CONTROL!$C$38, 0.0256, 0)</f>
        <v>41.941299999999998</v>
      </c>
      <c r="G573" s="10">
        <f>38.7823 * CHOOSE(CONTROL!$C$15, $E$9, 100%, $G$9) + CHOOSE(CONTROL!$C$38, 0.0347, 0)</f>
        <v>38.817</v>
      </c>
      <c r="H573" s="10">
        <f>38.7823 * CHOOSE(CONTROL!$C$15, $E$9, 100%, $G$9) + CHOOSE(CONTROL!$C$38, 0.0347, 0)</f>
        <v>38.817</v>
      </c>
      <c r="I573" s="10">
        <f>38.7838 * CHOOSE(CONTROL!$C$15, $E$9, 100%, $G$9) + CHOOSE(CONTROL!$C$38, 0.0347, 0)</f>
        <v>38.8185</v>
      </c>
      <c r="J573" s="26">
        <f>261.6917</f>
        <v>261.69170000000003</v>
      </c>
    </row>
    <row r="574" spans="1:10" ht="15.75" x14ac:dyDescent="0.25">
      <c r="A574" s="13">
        <v>58775</v>
      </c>
      <c r="B574" s="10">
        <f>42.2654 * CHOOSE(CONTROL!$C$15, $E$9, 100%, $G$9) + CHOOSE(CONTROL!$C$38, 0.0256, 0)</f>
        <v>42.290999999999997</v>
      </c>
      <c r="C574" s="10">
        <f>38.9773 * CHOOSE(CONTROL!$C$15, $E$9, 100%, $G$9) + CHOOSE(CONTROL!$C$38, 0.0347, 0)</f>
        <v>39.012</v>
      </c>
      <c r="D574" s="10">
        <f>38.9695 * CHOOSE(CONTROL!$C$15, $E$9, 100%, $G$9) + CHOOSE(CONTROL!$C$38, 0.0347, 0)</f>
        <v>39.004199999999997</v>
      </c>
      <c r="E574" s="28">
        <f>42.1092 * CHOOSE(CONTROL!$C$15, $E$9, 100%, $G$9) + CHOOSE(CONTROL!$C$38, 0.0347, 0)</f>
        <v>42.143900000000002</v>
      </c>
      <c r="F574" s="27">
        <f>42.1092 * CHOOSE(CONTROL!$C$15, $E$9, 100%, $G$9) + CHOOSE(CONTROL!$C$38, 0.0256, 0)</f>
        <v>42.134799999999998</v>
      </c>
      <c r="G574" s="10">
        <f>38.9757 * CHOOSE(CONTROL!$C$15, $E$9, 100%, $G$9) + CHOOSE(CONTROL!$C$38, 0.0347, 0)</f>
        <v>39.010400000000004</v>
      </c>
      <c r="H574" s="10">
        <f>38.9757 * CHOOSE(CONTROL!$C$15, $E$9, 100%, $G$9) + CHOOSE(CONTROL!$C$38, 0.0347, 0)</f>
        <v>39.010400000000004</v>
      </c>
      <c r="I574" s="10">
        <f>38.9773 * CHOOSE(CONTROL!$C$15, $E$9, 100%, $G$9) + CHOOSE(CONTROL!$C$38, 0.0347, 0)</f>
        <v>39.012</v>
      </c>
      <c r="J574" s="26">
        <f>259.8271</f>
        <v>259.82709999999997</v>
      </c>
    </row>
    <row r="575" spans="1:10" ht="15.75" x14ac:dyDescent="0.25">
      <c r="A575" s="13">
        <v>58806</v>
      </c>
      <c r="B575" s="10">
        <f>42.8615 * CHOOSE(CONTROL!$C$15, $E$9, 100%, $G$9) + CHOOSE(CONTROL!$C$38, 0.0256, 0)</f>
        <v>42.887099999999997</v>
      </c>
      <c r="C575" s="10">
        <f>39.5734 * CHOOSE(CONTROL!$C$15, $E$9, 100%, $G$9) + CHOOSE(CONTROL!$C$38, 0.0347, 0)</f>
        <v>39.6081</v>
      </c>
      <c r="D575" s="10">
        <f>39.5655 * CHOOSE(CONTROL!$C$15, $E$9, 100%, $G$9) + CHOOSE(CONTROL!$C$38, 0.0347, 0)</f>
        <v>39.600200000000001</v>
      </c>
      <c r="E575" s="28">
        <f>42.7053 * CHOOSE(CONTROL!$C$15, $E$9, 100%, $G$9) + CHOOSE(CONTROL!$C$38, 0.0347, 0)</f>
        <v>42.74</v>
      </c>
      <c r="F575" s="27">
        <f>42.7053 * CHOOSE(CONTROL!$C$15, $E$9, 100%, $G$9) + CHOOSE(CONTROL!$C$38, 0.0256, 0)</f>
        <v>42.730899999999998</v>
      </c>
      <c r="G575" s="10">
        <f>39.5718 * CHOOSE(CONTROL!$C$15, $E$9, 100%, $G$9) + CHOOSE(CONTROL!$C$38, 0.0347, 0)</f>
        <v>39.606500000000004</v>
      </c>
      <c r="H575" s="10">
        <f>39.5718 * CHOOSE(CONTROL!$C$15, $E$9, 100%, $G$9) + CHOOSE(CONTROL!$C$38, 0.0347, 0)</f>
        <v>39.606500000000004</v>
      </c>
      <c r="I575" s="10">
        <f>39.5734 * CHOOSE(CONTROL!$C$15, $E$9, 100%, $G$9) + CHOOSE(CONTROL!$C$38, 0.0347, 0)</f>
        <v>39.6081</v>
      </c>
      <c r="J575" s="26">
        <f>252.1167</f>
        <v>252.11670000000001</v>
      </c>
    </row>
    <row r="576" spans="1:10" ht="15.75" x14ac:dyDescent="0.25">
      <c r="A576" s="13">
        <v>58837</v>
      </c>
      <c r="B576" s="10">
        <f>44.0687 * CHOOSE(CONTROL!$C$15, $E$9, 100%, $G$9) + CHOOSE(CONTROL!$C$38, 0.0256, 0)</f>
        <v>44.094299999999997</v>
      </c>
      <c r="C576" s="10">
        <f>40.7253 * CHOOSE(CONTROL!$C$15, $E$9, 100%, $G$9) + CHOOSE(CONTROL!$C$38, 0.0347, 0)</f>
        <v>40.76</v>
      </c>
      <c r="D576" s="10">
        <f>40.7174 * CHOOSE(CONTROL!$C$15, $E$9, 100%, $G$9) + CHOOSE(CONTROL!$C$38, 0.0347, 0)</f>
        <v>40.752099999999999</v>
      </c>
      <c r="E576" s="28">
        <f>43.9125 * CHOOSE(CONTROL!$C$15, $E$9, 100%, $G$9) + CHOOSE(CONTROL!$C$38, 0.0347, 0)</f>
        <v>43.947200000000002</v>
      </c>
      <c r="F576" s="27">
        <f>43.9125 * CHOOSE(CONTROL!$C$15, $E$9, 100%, $G$9) + CHOOSE(CONTROL!$C$38, 0.0256, 0)</f>
        <v>43.938099999999999</v>
      </c>
      <c r="G576" s="10">
        <f>40.7237 * CHOOSE(CONTROL!$C$15, $E$9, 100%, $G$9) + CHOOSE(CONTROL!$C$38, 0.0347, 0)</f>
        <v>40.758400000000002</v>
      </c>
      <c r="H576" s="10">
        <f>40.7237 * CHOOSE(CONTROL!$C$15, $E$9, 100%, $G$9) + CHOOSE(CONTROL!$C$38, 0.0347, 0)</f>
        <v>40.758400000000002</v>
      </c>
      <c r="I576" s="10">
        <f>40.7253 * CHOOSE(CONTROL!$C$15, $E$9, 100%, $G$9) + CHOOSE(CONTROL!$C$38, 0.0347, 0)</f>
        <v>40.76</v>
      </c>
      <c r="J576" s="26">
        <f>250.4279</f>
        <v>250.42789999999999</v>
      </c>
    </row>
    <row r="577" spans="1:10" ht="15.75" x14ac:dyDescent="0.25">
      <c r="A577" s="13">
        <v>58865</v>
      </c>
      <c r="B577" s="10">
        <f>44.2895 * CHOOSE(CONTROL!$C$15, $E$9, 100%, $G$9) + CHOOSE(CONTROL!$C$38, 0.0256, 0)</f>
        <v>44.315099999999994</v>
      </c>
      <c r="C577" s="10">
        <f>40.946 * CHOOSE(CONTROL!$C$15, $E$9, 100%, $G$9) + CHOOSE(CONTROL!$C$38, 0.0347, 0)</f>
        <v>40.980699999999999</v>
      </c>
      <c r="D577" s="10">
        <f>40.9382 * CHOOSE(CONTROL!$C$15, $E$9, 100%, $G$9) + CHOOSE(CONTROL!$C$38, 0.0347, 0)</f>
        <v>40.972900000000003</v>
      </c>
      <c r="E577" s="28">
        <f>44.1333 * CHOOSE(CONTROL!$C$15, $E$9, 100%, $G$9) + CHOOSE(CONTROL!$C$38, 0.0347, 0)</f>
        <v>44.167999999999999</v>
      </c>
      <c r="F577" s="27">
        <f>44.1333 * CHOOSE(CONTROL!$C$15, $E$9, 100%, $G$9) + CHOOSE(CONTROL!$C$38, 0.0256, 0)</f>
        <v>44.158899999999996</v>
      </c>
      <c r="G577" s="10">
        <f>40.9445 * CHOOSE(CONTROL!$C$15, $E$9, 100%, $G$9) + CHOOSE(CONTROL!$C$38, 0.0347, 0)</f>
        <v>40.979199999999999</v>
      </c>
      <c r="H577" s="10">
        <f>40.9445 * CHOOSE(CONTROL!$C$15, $E$9, 100%, $G$9) + CHOOSE(CONTROL!$C$38, 0.0347, 0)</f>
        <v>40.979199999999999</v>
      </c>
      <c r="I577" s="10">
        <f>40.946 * CHOOSE(CONTROL!$C$15, $E$9, 100%, $G$9) + CHOOSE(CONTROL!$C$38, 0.0347, 0)</f>
        <v>40.980699999999999</v>
      </c>
      <c r="J577" s="26">
        <f>249.7318</f>
        <v>249.73179999999999</v>
      </c>
    </row>
    <row r="578" spans="1:10" ht="15.75" x14ac:dyDescent="0.25">
      <c r="A578" s="13">
        <v>58893</v>
      </c>
      <c r="B578" s="10">
        <f>43.7785 * CHOOSE(CONTROL!$C$15, $E$9, 100%, $G$9) + CHOOSE(CONTROL!$C$38, 0.0256, 0)</f>
        <v>43.804099999999998</v>
      </c>
      <c r="C578" s="10">
        <f>40.435 * CHOOSE(CONTROL!$C$15, $E$9, 100%, $G$9) + CHOOSE(CONTROL!$C$38, 0.0347, 0)</f>
        <v>40.469700000000003</v>
      </c>
      <c r="D578" s="10">
        <f>40.4272 * CHOOSE(CONTROL!$C$15, $E$9, 100%, $G$9) + CHOOSE(CONTROL!$C$38, 0.0347, 0)</f>
        <v>40.4619</v>
      </c>
      <c r="E578" s="28">
        <f>43.6222 * CHOOSE(CONTROL!$C$15, $E$9, 100%, $G$9) + CHOOSE(CONTROL!$C$38, 0.0347, 0)</f>
        <v>43.6569</v>
      </c>
      <c r="F578" s="27">
        <f>43.6222 * CHOOSE(CONTROL!$C$15, $E$9, 100%, $G$9) + CHOOSE(CONTROL!$C$38, 0.0256, 0)</f>
        <v>43.647799999999997</v>
      </c>
      <c r="G578" s="10">
        <f>40.4334 * CHOOSE(CONTROL!$C$15, $E$9, 100%, $G$9) + CHOOSE(CONTROL!$C$38, 0.0347, 0)</f>
        <v>40.4681</v>
      </c>
      <c r="H578" s="10">
        <f>40.4334 * CHOOSE(CONTROL!$C$15, $E$9, 100%, $G$9) + CHOOSE(CONTROL!$C$38, 0.0347, 0)</f>
        <v>40.4681</v>
      </c>
      <c r="I578" s="10">
        <f>40.435 * CHOOSE(CONTROL!$C$15, $E$9, 100%, $G$9) + CHOOSE(CONTROL!$C$38, 0.0347, 0)</f>
        <v>40.469700000000003</v>
      </c>
      <c r="J578" s="26">
        <f>262.8941</f>
        <v>262.89409999999998</v>
      </c>
    </row>
    <row r="579" spans="1:10" ht="15.75" x14ac:dyDescent="0.25">
      <c r="A579" s="13">
        <v>58926</v>
      </c>
      <c r="B579" s="10">
        <f>43.2833 * CHOOSE(CONTROL!$C$15, $E$9, 100%, $G$9) + CHOOSE(CONTROL!$C$38, 0.0256, 0)</f>
        <v>43.308899999999994</v>
      </c>
      <c r="C579" s="10">
        <f>39.9398 * CHOOSE(CONTROL!$C$15, $E$9, 100%, $G$9) + CHOOSE(CONTROL!$C$38, 0.0347, 0)</f>
        <v>39.974499999999999</v>
      </c>
      <c r="D579" s="10">
        <f>39.932 * CHOOSE(CONTROL!$C$15, $E$9, 100%, $G$9) + CHOOSE(CONTROL!$C$38, 0.0347, 0)</f>
        <v>39.966700000000003</v>
      </c>
      <c r="E579" s="28">
        <f>43.127 * CHOOSE(CONTROL!$C$15, $E$9, 100%, $G$9) + CHOOSE(CONTROL!$C$38, 0.0347, 0)</f>
        <v>43.161700000000003</v>
      </c>
      <c r="F579" s="27">
        <f>43.127 * CHOOSE(CONTROL!$C$15, $E$9, 100%, $G$9) + CHOOSE(CONTROL!$C$38, 0.0256, 0)</f>
        <v>43.1526</v>
      </c>
      <c r="G579" s="10">
        <f>39.9382 * CHOOSE(CONTROL!$C$15, $E$9, 100%, $G$9) + CHOOSE(CONTROL!$C$38, 0.0347, 0)</f>
        <v>39.972900000000003</v>
      </c>
      <c r="H579" s="10">
        <f>39.9382 * CHOOSE(CONTROL!$C$15, $E$9, 100%, $G$9) + CHOOSE(CONTROL!$C$38, 0.0347, 0)</f>
        <v>39.972900000000003</v>
      </c>
      <c r="I579" s="10">
        <f>39.9398 * CHOOSE(CONTROL!$C$15, $E$9, 100%, $G$9) + CHOOSE(CONTROL!$C$38, 0.0347, 0)</f>
        <v>39.974499999999999</v>
      </c>
      <c r="J579" s="26">
        <f>279.9625</f>
        <v>279.96249999999998</v>
      </c>
    </row>
    <row r="580" spans="1:10" ht="15.75" x14ac:dyDescent="0.25">
      <c r="A580" s="13">
        <v>58957</v>
      </c>
      <c r="B580" s="10">
        <f>42.7672 * CHOOSE(CONTROL!$C$15, $E$9, 100%, $G$9) + CHOOSE(CONTROL!$C$38, 0.0256, 0)</f>
        <v>42.7928</v>
      </c>
      <c r="C580" s="10">
        <f>39.4237 * CHOOSE(CONTROL!$C$15, $E$9, 100%, $G$9) + CHOOSE(CONTROL!$C$38, 0.0347, 0)</f>
        <v>39.458399999999997</v>
      </c>
      <c r="D580" s="10">
        <f>39.4159 * CHOOSE(CONTROL!$C$15, $E$9, 100%, $G$9) + CHOOSE(CONTROL!$C$38, 0.0347, 0)</f>
        <v>39.450600000000001</v>
      </c>
      <c r="E580" s="28">
        <f>42.6109 * CHOOSE(CONTROL!$C$15, $E$9, 100%, $G$9) + CHOOSE(CONTROL!$C$38, 0.0347, 0)</f>
        <v>42.645600000000002</v>
      </c>
      <c r="F580" s="27">
        <f>42.6109 * CHOOSE(CONTROL!$C$15, $E$9, 100%, $G$9) + CHOOSE(CONTROL!$C$38, 0.0256, 0)</f>
        <v>42.636499999999998</v>
      </c>
      <c r="G580" s="10">
        <f>39.4221 * CHOOSE(CONTROL!$C$15, $E$9, 100%, $G$9) + CHOOSE(CONTROL!$C$38, 0.0347, 0)</f>
        <v>39.456800000000001</v>
      </c>
      <c r="H580" s="10">
        <f>39.4221 * CHOOSE(CONTROL!$C$15, $E$9, 100%, $G$9) + CHOOSE(CONTROL!$C$38, 0.0347, 0)</f>
        <v>39.456800000000001</v>
      </c>
      <c r="I580" s="10">
        <f>39.4237 * CHOOSE(CONTROL!$C$15, $E$9, 100%, $G$9) + CHOOSE(CONTROL!$C$38, 0.0347, 0)</f>
        <v>39.458399999999997</v>
      </c>
      <c r="J580" s="26">
        <f>289.3575</f>
        <v>289.35750000000002</v>
      </c>
    </row>
    <row r="581" spans="1:10" ht="15.75" x14ac:dyDescent="0.25">
      <c r="A581" s="13">
        <v>58987</v>
      </c>
      <c r="B581" s="10">
        <f>42.4053 * CHOOSE(CONTROL!$C$15, $E$9, 100%, $G$9) + CHOOSE(CONTROL!$C$38, 0.0256, 0)</f>
        <v>42.430899999999994</v>
      </c>
      <c r="C581" s="10">
        <f>39.0619 * CHOOSE(CONTROL!$C$15, $E$9, 100%, $G$9) + CHOOSE(CONTROL!$C$38, 0.0347, 0)</f>
        <v>39.096600000000002</v>
      </c>
      <c r="D581" s="10">
        <f>39.054 * CHOOSE(CONTROL!$C$15, $E$9, 100%, $G$9) + CHOOSE(CONTROL!$C$38, 0.0347, 0)</f>
        <v>39.088700000000003</v>
      </c>
      <c r="E581" s="28">
        <f>42.2491 * CHOOSE(CONTROL!$C$15, $E$9, 100%, $G$9) + CHOOSE(CONTROL!$C$38, 0.0347, 0)</f>
        <v>42.283799999999999</v>
      </c>
      <c r="F581" s="27">
        <f>42.2491 * CHOOSE(CONTROL!$C$15, $E$9, 100%, $G$9) + CHOOSE(CONTROL!$C$38, 0.0256, 0)</f>
        <v>42.274699999999996</v>
      </c>
      <c r="G581" s="10">
        <f>39.0603 * CHOOSE(CONTROL!$C$15, $E$9, 100%, $G$9) + CHOOSE(CONTROL!$C$38, 0.0347, 0)</f>
        <v>39.094999999999999</v>
      </c>
      <c r="H581" s="10">
        <f>39.0603 * CHOOSE(CONTROL!$C$15, $E$9, 100%, $G$9) + CHOOSE(CONTROL!$C$38, 0.0347, 0)</f>
        <v>39.094999999999999</v>
      </c>
      <c r="I581" s="10">
        <f>39.0619 * CHOOSE(CONTROL!$C$15, $E$9, 100%, $G$9) + CHOOSE(CONTROL!$C$38, 0.0347, 0)</f>
        <v>39.096600000000002</v>
      </c>
      <c r="J581" s="26">
        <f>293.5268</f>
        <v>293.52679999999998</v>
      </c>
    </row>
    <row r="582" spans="1:10" ht="15.75" x14ac:dyDescent="0.25">
      <c r="A582" s="13">
        <v>59018</v>
      </c>
      <c r="B582" s="10">
        <f>42.1989 * CHOOSE(CONTROL!$C$15, $E$9, 100%, $G$9) + CHOOSE(CONTROL!$C$38, 0.0256, 0)</f>
        <v>42.224499999999999</v>
      </c>
      <c r="C582" s="10">
        <f>38.8554 * CHOOSE(CONTROL!$C$15, $E$9, 100%, $G$9) + CHOOSE(CONTROL!$C$38, 0.0347, 0)</f>
        <v>38.890100000000004</v>
      </c>
      <c r="D582" s="10">
        <f>38.8476 * CHOOSE(CONTROL!$C$15, $E$9, 100%, $G$9) + CHOOSE(CONTROL!$C$38, 0.0347, 0)</f>
        <v>38.882300000000001</v>
      </c>
      <c r="E582" s="28">
        <f>42.0426 * CHOOSE(CONTROL!$C$15, $E$9, 100%, $G$9) + CHOOSE(CONTROL!$C$38, 0.0347, 0)</f>
        <v>42.077300000000001</v>
      </c>
      <c r="F582" s="27">
        <f>42.0426 * CHOOSE(CONTROL!$C$15, $E$9, 100%, $G$9) + CHOOSE(CONTROL!$C$38, 0.0256, 0)</f>
        <v>42.068199999999997</v>
      </c>
      <c r="G582" s="10">
        <f>38.8538 * CHOOSE(CONTROL!$C$15, $E$9, 100%, $G$9) + CHOOSE(CONTROL!$C$38, 0.0347, 0)</f>
        <v>38.888500000000001</v>
      </c>
      <c r="H582" s="10">
        <f>38.8538 * CHOOSE(CONTROL!$C$15, $E$9, 100%, $G$9) + CHOOSE(CONTROL!$C$38, 0.0347, 0)</f>
        <v>38.888500000000001</v>
      </c>
      <c r="I582" s="10">
        <f>38.8554 * CHOOSE(CONTROL!$C$15, $E$9, 100%, $G$9) + CHOOSE(CONTROL!$C$38, 0.0347, 0)</f>
        <v>38.890100000000004</v>
      </c>
      <c r="J582" s="26">
        <f>292.1541</f>
        <v>292.15410000000003</v>
      </c>
    </row>
    <row r="583" spans="1:10" ht="15.75" x14ac:dyDescent="0.25">
      <c r="A583" s="13">
        <v>59049</v>
      </c>
      <c r="B583" s="10">
        <f>42.3008 * CHOOSE(CONTROL!$C$15, $E$9, 100%, $G$9) + CHOOSE(CONTROL!$C$38, 0.0256, 0)</f>
        <v>42.3264</v>
      </c>
      <c r="C583" s="10">
        <f>38.9573 * CHOOSE(CONTROL!$C$15, $E$9, 100%, $G$9) + CHOOSE(CONTROL!$C$38, 0.0347, 0)</f>
        <v>38.991999999999997</v>
      </c>
      <c r="D583" s="10">
        <f>38.9495 * CHOOSE(CONTROL!$C$15, $E$9, 100%, $G$9) + CHOOSE(CONTROL!$C$38, 0.0347, 0)</f>
        <v>38.984200000000001</v>
      </c>
      <c r="E583" s="28">
        <f>42.1445 * CHOOSE(CONTROL!$C$15, $E$9, 100%, $G$9) + CHOOSE(CONTROL!$C$38, 0.0347, 0)</f>
        <v>42.179200000000002</v>
      </c>
      <c r="F583" s="27">
        <f>42.1445 * CHOOSE(CONTROL!$C$15, $E$9, 100%, $G$9) + CHOOSE(CONTROL!$C$38, 0.0256, 0)</f>
        <v>42.170099999999998</v>
      </c>
      <c r="G583" s="10">
        <f>38.9557 * CHOOSE(CONTROL!$C$15, $E$9, 100%, $G$9) + CHOOSE(CONTROL!$C$38, 0.0347, 0)</f>
        <v>38.990400000000001</v>
      </c>
      <c r="H583" s="10">
        <f>38.9557 * CHOOSE(CONTROL!$C$15, $E$9, 100%, $G$9) + CHOOSE(CONTROL!$C$38, 0.0347, 0)</f>
        <v>38.990400000000001</v>
      </c>
      <c r="I583" s="10">
        <f>38.9573 * CHOOSE(CONTROL!$C$15, $E$9, 100%, $G$9) + CHOOSE(CONTROL!$C$38, 0.0347, 0)</f>
        <v>38.991999999999997</v>
      </c>
      <c r="J583" s="26">
        <f>285.3529</f>
        <v>285.35289999999998</v>
      </c>
    </row>
    <row r="584" spans="1:10" ht="15.75" x14ac:dyDescent="0.25">
      <c r="A584" s="13">
        <v>59079</v>
      </c>
      <c r="B584" s="10">
        <f>42.5776 * CHOOSE(CONTROL!$C$15, $E$9, 100%, $G$9) + CHOOSE(CONTROL!$C$38, 0.0256, 0)</f>
        <v>42.603199999999994</v>
      </c>
      <c r="C584" s="10">
        <f>39.2341 * CHOOSE(CONTROL!$C$15, $E$9, 100%, $G$9) + CHOOSE(CONTROL!$C$38, 0.0347, 0)</f>
        <v>39.268799999999999</v>
      </c>
      <c r="D584" s="10">
        <f>39.2263 * CHOOSE(CONTROL!$C$15, $E$9, 100%, $G$9) + CHOOSE(CONTROL!$C$38, 0.0347, 0)</f>
        <v>39.261000000000003</v>
      </c>
      <c r="E584" s="28">
        <f>42.4213 * CHOOSE(CONTROL!$C$15, $E$9, 100%, $G$9) + CHOOSE(CONTROL!$C$38, 0.0347, 0)</f>
        <v>42.456000000000003</v>
      </c>
      <c r="F584" s="27">
        <f>42.4213 * CHOOSE(CONTROL!$C$15, $E$9, 100%, $G$9) + CHOOSE(CONTROL!$C$38, 0.0256, 0)</f>
        <v>42.446899999999999</v>
      </c>
      <c r="G584" s="10">
        <f>39.2325 * CHOOSE(CONTROL!$C$15, $E$9, 100%, $G$9) + CHOOSE(CONTROL!$C$38, 0.0347, 0)</f>
        <v>39.267200000000003</v>
      </c>
      <c r="H584" s="10">
        <f>39.2325 * CHOOSE(CONTROL!$C$15, $E$9, 100%, $G$9) + CHOOSE(CONTROL!$C$38, 0.0347, 0)</f>
        <v>39.267200000000003</v>
      </c>
      <c r="I584" s="10">
        <f>39.2341 * CHOOSE(CONTROL!$C$15, $E$9, 100%, $G$9) + CHOOSE(CONTROL!$C$38, 0.0347, 0)</f>
        <v>39.268799999999999</v>
      </c>
      <c r="J584" s="26">
        <f>275.8682</f>
        <v>275.8682</v>
      </c>
    </row>
    <row r="585" spans="1:10" ht="15.75" x14ac:dyDescent="0.25">
      <c r="A585" s="13">
        <v>59110</v>
      </c>
      <c r="B585" s="10">
        <f>42.8094 * CHOOSE(CONTROL!$C$15, $E$9, 100%, $G$9) + CHOOSE(CONTROL!$C$38, 0.0256, 0)</f>
        <v>42.834999999999994</v>
      </c>
      <c r="C585" s="10">
        <f>39.4659 * CHOOSE(CONTROL!$C$15, $E$9, 100%, $G$9) + CHOOSE(CONTROL!$C$38, 0.0347, 0)</f>
        <v>39.500599999999999</v>
      </c>
      <c r="D585" s="10">
        <f>39.4581 * CHOOSE(CONTROL!$C$15, $E$9, 100%, $G$9) + CHOOSE(CONTROL!$C$38, 0.0347, 0)</f>
        <v>39.492800000000003</v>
      </c>
      <c r="E585" s="28">
        <f>42.6531 * CHOOSE(CONTROL!$C$15, $E$9, 100%, $G$9) + CHOOSE(CONTROL!$C$38, 0.0347, 0)</f>
        <v>42.687800000000003</v>
      </c>
      <c r="F585" s="27">
        <f>42.6531 * CHOOSE(CONTROL!$C$15, $E$9, 100%, $G$9) + CHOOSE(CONTROL!$C$38, 0.0256, 0)</f>
        <v>42.678699999999999</v>
      </c>
      <c r="G585" s="10">
        <f>39.4643 * CHOOSE(CONTROL!$C$15, $E$9, 100%, $G$9) + CHOOSE(CONTROL!$C$38, 0.0347, 0)</f>
        <v>39.499000000000002</v>
      </c>
      <c r="H585" s="10">
        <f>39.4643 * CHOOSE(CONTROL!$C$15, $E$9, 100%, $G$9) + CHOOSE(CONTROL!$C$38, 0.0347, 0)</f>
        <v>39.499000000000002</v>
      </c>
      <c r="I585" s="10">
        <f>39.4659 * CHOOSE(CONTROL!$C$15, $E$9, 100%, $G$9) + CHOOSE(CONTROL!$C$38, 0.0347, 0)</f>
        <v>39.500599999999999</v>
      </c>
      <c r="J585" s="26">
        <f>266.3284</f>
        <v>266.32839999999999</v>
      </c>
    </row>
    <row r="586" spans="1:10" ht="15.75" x14ac:dyDescent="0.25">
      <c r="A586" s="13">
        <v>59140</v>
      </c>
      <c r="B586" s="10">
        <f>43.0028 * CHOOSE(CONTROL!$C$15, $E$9, 100%, $G$9) + CHOOSE(CONTROL!$C$38, 0.0256, 0)</f>
        <v>43.028399999999998</v>
      </c>
      <c r="C586" s="10">
        <f>39.6593 * CHOOSE(CONTROL!$C$15, $E$9, 100%, $G$9) + CHOOSE(CONTROL!$C$38, 0.0347, 0)</f>
        <v>39.694000000000003</v>
      </c>
      <c r="D586" s="10">
        <f>39.6515 * CHOOSE(CONTROL!$C$15, $E$9, 100%, $G$9) + CHOOSE(CONTROL!$C$38, 0.0347, 0)</f>
        <v>39.686199999999999</v>
      </c>
      <c r="E586" s="28">
        <f>42.8466 * CHOOSE(CONTROL!$C$15, $E$9, 100%, $G$9) + CHOOSE(CONTROL!$C$38, 0.0347, 0)</f>
        <v>42.881300000000003</v>
      </c>
      <c r="F586" s="27">
        <f>42.8466 * CHOOSE(CONTROL!$C$15, $E$9, 100%, $G$9) + CHOOSE(CONTROL!$C$38, 0.0256, 0)</f>
        <v>42.872199999999999</v>
      </c>
      <c r="G586" s="10">
        <f>39.6578 * CHOOSE(CONTROL!$C$15, $E$9, 100%, $G$9) + CHOOSE(CONTROL!$C$38, 0.0347, 0)</f>
        <v>39.692500000000003</v>
      </c>
      <c r="H586" s="10">
        <f>39.6578 * CHOOSE(CONTROL!$C$15, $E$9, 100%, $G$9) + CHOOSE(CONTROL!$C$38, 0.0347, 0)</f>
        <v>39.692500000000003</v>
      </c>
      <c r="I586" s="10">
        <f>39.6593 * CHOOSE(CONTROL!$C$15, $E$9, 100%, $G$9) + CHOOSE(CONTROL!$C$38, 0.0347, 0)</f>
        <v>39.694000000000003</v>
      </c>
      <c r="J586" s="26">
        <f>264.4308</f>
        <v>264.43079999999998</v>
      </c>
    </row>
    <row r="587" spans="1:10" ht="15.75" x14ac:dyDescent="0.25">
      <c r="A587" s="13">
        <v>59171</v>
      </c>
      <c r="B587" s="10">
        <f>43.5989 * CHOOSE(CONTROL!$C$15, $E$9, 100%, $G$9) + CHOOSE(CONTROL!$C$38, 0.0256, 0)</f>
        <v>43.624499999999998</v>
      </c>
      <c r="C587" s="10">
        <f>40.2554 * CHOOSE(CONTROL!$C$15, $E$9, 100%, $G$9) + CHOOSE(CONTROL!$C$38, 0.0347, 0)</f>
        <v>40.290100000000002</v>
      </c>
      <c r="D587" s="10">
        <f>40.2476 * CHOOSE(CONTROL!$C$15, $E$9, 100%, $G$9) + CHOOSE(CONTROL!$C$38, 0.0347, 0)</f>
        <v>40.282299999999999</v>
      </c>
      <c r="E587" s="28">
        <f>43.4426 * CHOOSE(CONTROL!$C$15, $E$9, 100%, $G$9) + CHOOSE(CONTROL!$C$38, 0.0347, 0)</f>
        <v>43.4773</v>
      </c>
      <c r="F587" s="27">
        <f>43.4426 * CHOOSE(CONTROL!$C$15, $E$9, 100%, $G$9) + CHOOSE(CONTROL!$C$38, 0.0256, 0)</f>
        <v>43.468199999999996</v>
      </c>
      <c r="G587" s="10">
        <f>40.2538 * CHOOSE(CONTROL!$C$15, $E$9, 100%, $G$9) + CHOOSE(CONTROL!$C$38, 0.0347, 0)</f>
        <v>40.288499999999999</v>
      </c>
      <c r="H587" s="10">
        <f>40.2538 * CHOOSE(CONTROL!$C$15, $E$9, 100%, $G$9) + CHOOSE(CONTROL!$C$38, 0.0347, 0)</f>
        <v>40.288499999999999</v>
      </c>
      <c r="I587" s="10">
        <f>40.2554 * CHOOSE(CONTROL!$C$15, $E$9, 100%, $G$9) + CHOOSE(CONTROL!$C$38, 0.0347, 0)</f>
        <v>40.290100000000002</v>
      </c>
      <c r="J587" s="26">
        <f>256.5838</f>
        <v>256.5838</v>
      </c>
    </row>
    <row r="588" spans="1:10" ht="15.75" x14ac:dyDescent="0.25">
      <c r="A588" s="13">
        <v>59202</v>
      </c>
      <c r="B588" s="10">
        <f>44.8192 * CHOOSE(CONTROL!$C$15, $E$9, 100%, $G$9) + CHOOSE(CONTROL!$C$38, 0.0256, 0)</f>
        <v>44.844799999999999</v>
      </c>
      <c r="C588" s="10">
        <f>41.4194 * CHOOSE(CONTROL!$C$15, $E$9, 100%, $G$9) + CHOOSE(CONTROL!$C$38, 0.0347, 0)</f>
        <v>41.454100000000004</v>
      </c>
      <c r="D588" s="10">
        <f>41.4116 * CHOOSE(CONTROL!$C$15, $E$9, 100%, $G$9) + CHOOSE(CONTROL!$C$38, 0.0347, 0)</f>
        <v>41.446300000000001</v>
      </c>
      <c r="E588" s="28">
        <f>44.6629 * CHOOSE(CONTROL!$C$15, $E$9, 100%, $G$9) + CHOOSE(CONTROL!$C$38, 0.0347, 0)</f>
        <v>44.697600000000001</v>
      </c>
      <c r="F588" s="27">
        <f>44.6629 * CHOOSE(CONTROL!$C$15, $E$9, 100%, $G$9) + CHOOSE(CONTROL!$C$38, 0.0256, 0)</f>
        <v>44.688499999999998</v>
      </c>
      <c r="G588" s="10">
        <f>41.4178 * CHOOSE(CONTROL!$C$15, $E$9, 100%, $G$9) + CHOOSE(CONTROL!$C$38, 0.0347, 0)</f>
        <v>41.452500000000001</v>
      </c>
      <c r="H588" s="10">
        <f>41.4178 * CHOOSE(CONTROL!$C$15, $E$9, 100%, $G$9) + CHOOSE(CONTROL!$C$38, 0.0347, 0)</f>
        <v>41.452500000000001</v>
      </c>
      <c r="I588" s="10">
        <f>41.4194 * CHOOSE(CONTROL!$C$15, $E$9, 100%, $G$9) + CHOOSE(CONTROL!$C$38, 0.0347, 0)</f>
        <v>41.454100000000004</v>
      </c>
      <c r="J588" s="26">
        <f>254.865</f>
        <v>254.86500000000001</v>
      </c>
    </row>
    <row r="589" spans="1:10" ht="15.75" x14ac:dyDescent="0.25">
      <c r="A589" s="13">
        <v>59230</v>
      </c>
      <c r="B589" s="10">
        <f>45.0399 * CHOOSE(CONTROL!$C$15, $E$9, 100%, $G$9) + CHOOSE(CONTROL!$C$38, 0.0256, 0)</f>
        <v>45.0655</v>
      </c>
      <c r="C589" s="10">
        <f>41.6401 * CHOOSE(CONTROL!$C$15, $E$9, 100%, $G$9) + CHOOSE(CONTROL!$C$38, 0.0347, 0)</f>
        <v>41.674799999999998</v>
      </c>
      <c r="D589" s="10">
        <f>41.6323 * CHOOSE(CONTROL!$C$15, $E$9, 100%, $G$9) + CHOOSE(CONTROL!$C$38, 0.0347, 0)</f>
        <v>41.667000000000002</v>
      </c>
      <c r="E589" s="28">
        <f>44.8837 * CHOOSE(CONTROL!$C$15, $E$9, 100%, $G$9) + CHOOSE(CONTROL!$C$38, 0.0347, 0)</f>
        <v>44.918399999999998</v>
      </c>
      <c r="F589" s="27">
        <f>44.8837 * CHOOSE(CONTROL!$C$15, $E$9, 100%, $G$9) + CHOOSE(CONTROL!$C$38, 0.0256, 0)</f>
        <v>44.909299999999995</v>
      </c>
      <c r="G589" s="10">
        <f>41.6386 * CHOOSE(CONTROL!$C$15, $E$9, 100%, $G$9) + CHOOSE(CONTROL!$C$38, 0.0347, 0)</f>
        <v>41.673299999999998</v>
      </c>
      <c r="H589" s="10">
        <f>41.6386 * CHOOSE(CONTROL!$C$15, $E$9, 100%, $G$9) + CHOOSE(CONTROL!$C$38, 0.0347, 0)</f>
        <v>41.673299999999998</v>
      </c>
      <c r="I589" s="10">
        <f>41.6401 * CHOOSE(CONTROL!$C$15, $E$9, 100%, $G$9) + CHOOSE(CONTROL!$C$38, 0.0347, 0)</f>
        <v>41.674799999999998</v>
      </c>
      <c r="J589" s="26">
        <f>254.1566</f>
        <v>254.1566</v>
      </c>
    </row>
    <row r="590" spans="1:10" ht="15.75" x14ac:dyDescent="0.25">
      <c r="A590" s="13">
        <v>59261</v>
      </c>
      <c r="B590" s="10">
        <f>44.5289 * CHOOSE(CONTROL!$C$15, $E$9, 100%, $G$9) + CHOOSE(CONTROL!$C$38, 0.0256, 0)</f>
        <v>44.554499999999997</v>
      </c>
      <c r="C590" s="10">
        <f>41.1291 * CHOOSE(CONTROL!$C$15, $E$9, 100%, $G$9) + CHOOSE(CONTROL!$C$38, 0.0347, 0)</f>
        <v>41.163800000000002</v>
      </c>
      <c r="D590" s="10">
        <f>41.1213 * CHOOSE(CONTROL!$C$15, $E$9, 100%, $G$9) + CHOOSE(CONTROL!$C$38, 0.0347, 0)</f>
        <v>41.155999999999999</v>
      </c>
      <c r="E590" s="28">
        <f>44.3726 * CHOOSE(CONTROL!$C$15, $E$9, 100%, $G$9) + CHOOSE(CONTROL!$C$38, 0.0347, 0)</f>
        <v>44.407299999999999</v>
      </c>
      <c r="F590" s="27">
        <f>44.3726 * CHOOSE(CONTROL!$C$15, $E$9, 100%, $G$9) + CHOOSE(CONTROL!$C$38, 0.0256, 0)</f>
        <v>44.398199999999996</v>
      </c>
      <c r="G590" s="10">
        <f>41.1275 * CHOOSE(CONTROL!$C$15, $E$9, 100%, $G$9) + CHOOSE(CONTROL!$C$38, 0.0347, 0)</f>
        <v>41.162199999999999</v>
      </c>
      <c r="H590" s="10">
        <f>41.1275 * CHOOSE(CONTROL!$C$15, $E$9, 100%, $G$9) + CHOOSE(CONTROL!$C$38, 0.0347, 0)</f>
        <v>41.162199999999999</v>
      </c>
      <c r="I590" s="10">
        <f>41.1291 * CHOOSE(CONTROL!$C$15, $E$9, 100%, $G$9) + CHOOSE(CONTROL!$C$38, 0.0347, 0)</f>
        <v>41.163800000000002</v>
      </c>
      <c r="J590" s="26">
        <f>267.5521</f>
        <v>267.5521</v>
      </c>
    </row>
    <row r="591" spans="1:10" ht="15.75" x14ac:dyDescent="0.25">
      <c r="A591" s="13">
        <v>59291</v>
      </c>
      <c r="B591" s="10">
        <f>44.0337 * CHOOSE(CONTROL!$C$15, $E$9, 100%, $G$9) + CHOOSE(CONTROL!$C$38, 0.0256, 0)</f>
        <v>44.0593</v>
      </c>
      <c r="C591" s="10">
        <f>40.6339 * CHOOSE(CONTROL!$C$15, $E$9, 100%, $G$9) + CHOOSE(CONTROL!$C$38, 0.0347, 0)</f>
        <v>40.668599999999998</v>
      </c>
      <c r="D591" s="10">
        <f>40.6261 * CHOOSE(CONTROL!$C$15, $E$9, 100%, $G$9) + CHOOSE(CONTROL!$C$38, 0.0347, 0)</f>
        <v>40.660800000000002</v>
      </c>
      <c r="E591" s="28">
        <f>43.8775 * CHOOSE(CONTROL!$C$15, $E$9, 100%, $G$9) + CHOOSE(CONTROL!$C$38, 0.0347, 0)</f>
        <v>43.912199999999999</v>
      </c>
      <c r="F591" s="27">
        <f>43.8775 * CHOOSE(CONTROL!$C$15, $E$9, 100%, $G$9) + CHOOSE(CONTROL!$C$38, 0.0256, 0)</f>
        <v>43.903099999999995</v>
      </c>
      <c r="G591" s="10">
        <f>40.6324 * CHOOSE(CONTROL!$C$15, $E$9, 100%, $G$9) + CHOOSE(CONTROL!$C$38, 0.0347, 0)</f>
        <v>40.667099999999998</v>
      </c>
      <c r="H591" s="10">
        <f>40.6324 * CHOOSE(CONTROL!$C$15, $E$9, 100%, $G$9) + CHOOSE(CONTROL!$C$38, 0.0347, 0)</f>
        <v>40.667099999999998</v>
      </c>
      <c r="I591" s="10">
        <f>40.6339 * CHOOSE(CONTROL!$C$15, $E$9, 100%, $G$9) + CHOOSE(CONTROL!$C$38, 0.0347, 0)</f>
        <v>40.668599999999998</v>
      </c>
      <c r="J591" s="26">
        <f>284.9229</f>
        <v>284.92290000000003</v>
      </c>
    </row>
    <row r="592" spans="1:10" ht="15.75" x14ac:dyDescent="0.25">
      <c r="A592" s="13">
        <v>59322</v>
      </c>
      <c r="B592" s="10">
        <f>43.5176 * CHOOSE(CONTROL!$C$15, $E$9, 100%, $G$9) + CHOOSE(CONTROL!$C$38, 0.0256, 0)</f>
        <v>43.543199999999999</v>
      </c>
      <c r="C592" s="10">
        <f>40.1178 * CHOOSE(CONTROL!$C$15, $E$9, 100%, $G$9) + CHOOSE(CONTROL!$C$38, 0.0347, 0)</f>
        <v>40.152500000000003</v>
      </c>
      <c r="D592" s="10">
        <f>40.11 * CHOOSE(CONTROL!$C$15, $E$9, 100%, $G$9) + CHOOSE(CONTROL!$C$38, 0.0347, 0)</f>
        <v>40.1447</v>
      </c>
      <c r="E592" s="28">
        <f>43.3614 * CHOOSE(CONTROL!$C$15, $E$9, 100%, $G$9) + CHOOSE(CONTROL!$C$38, 0.0347, 0)</f>
        <v>43.396100000000004</v>
      </c>
      <c r="F592" s="27">
        <f>43.3614 * CHOOSE(CONTROL!$C$15, $E$9, 100%, $G$9) + CHOOSE(CONTROL!$C$38, 0.0256, 0)</f>
        <v>43.387</v>
      </c>
      <c r="G592" s="10">
        <f>40.1162 * CHOOSE(CONTROL!$C$15, $E$9, 100%, $G$9) + CHOOSE(CONTROL!$C$38, 0.0347, 0)</f>
        <v>40.1509</v>
      </c>
      <c r="H592" s="10">
        <f>40.1162 * CHOOSE(CONTROL!$C$15, $E$9, 100%, $G$9) + CHOOSE(CONTROL!$C$38, 0.0347, 0)</f>
        <v>40.1509</v>
      </c>
      <c r="I592" s="10">
        <f>40.1178 * CHOOSE(CONTROL!$C$15, $E$9, 100%, $G$9) + CHOOSE(CONTROL!$C$38, 0.0347, 0)</f>
        <v>40.152500000000003</v>
      </c>
      <c r="J592" s="26">
        <f>294.4844</f>
        <v>294.48439999999999</v>
      </c>
    </row>
    <row r="593" spans="1:10" ht="15.75" x14ac:dyDescent="0.25">
      <c r="A593" s="13">
        <v>59352</v>
      </c>
      <c r="B593" s="10">
        <f>43.1558 * CHOOSE(CONTROL!$C$15, $E$9, 100%, $G$9) + CHOOSE(CONTROL!$C$38, 0.0256, 0)</f>
        <v>43.181399999999996</v>
      </c>
      <c r="C593" s="10">
        <f>39.756 * CHOOSE(CONTROL!$C$15, $E$9, 100%, $G$9) + CHOOSE(CONTROL!$C$38, 0.0347, 0)</f>
        <v>39.790700000000001</v>
      </c>
      <c r="D593" s="10">
        <f>39.7482 * CHOOSE(CONTROL!$C$15, $E$9, 100%, $G$9) + CHOOSE(CONTROL!$C$38, 0.0347, 0)</f>
        <v>39.782899999999998</v>
      </c>
      <c r="E593" s="28">
        <f>42.9995 * CHOOSE(CONTROL!$C$15, $E$9, 100%, $G$9) + CHOOSE(CONTROL!$C$38, 0.0347, 0)</f>
        <v>43.034199999999998</v>
      </c>
      <c r="F593" s="27">
        <f>42.9995 * CHOOSE(CONTROL!$C$15, $E$9, 100%, $G$9) + CHOOSE(CONTROL!$C$38, 0.0256, 0)</f>
        <v>43.025099999999995</v>
      </c>
      <c r="G593" s="10">
        <f>39.7544 * CHOOSE(CONTROL!$C$15, $E$9, 100%, $G$9) + CHOOSE(CONTROL!$C$38, 0.0347, 0)</f>
        <v>39.789099999999998</v>
      </c>
      <c r="H593" s="10">
        <f>39.7544 * CHOOSE(CONTROL!$C$15, $E$9, 100%, $G$9) + CHOOSE(CONTROL!$C$38, 0.0347, 0)</f>
        <v>39.789099999999998</v>
      </c>
      <c r="I593" s="10">
        <f>39.756 * CHOOSE(CONTROL!$C$15, $E$9, 100%, $G$9) + CHOOSE(CONTROL!$C$38, 0.0347, 0)</f>
        <v>39.790700000000001</v>
      </c>
      <c r="J593" s="26">
        <f>298.7276</f>
        <v>298.7276</v>
      </c>
    </row>
    <row r="594" spans="1:10" ht="15.75" x14ac:dyDescent="0.25">
      <c r="A594" s="13">
        <v>59383</v>
      </c>
      <c r="B594" s="10">
        <f>42.9493 * CHOOSE(CONTROL!$C$15, $E$9, 100%, $G$9) + CHOOSE(CONTROL!$C$38, 0.0256, 0)</f>
        <v>42.974899999999998</v>
      </c>
      <c r="C594" s="10">
        <f>39.5495 * CHOOSE(CONTROL!$C$15, $E$9, 100%, $G$9) + CHOOSE(CONTROL!$C$38, 0.0347, 0)</f>
        <v>39.584200000000003</v>
      </c>
      <c r="D594" s="10">
        <f>39.5417 * CHOOSE(CONTROL!$C$15, $E$9, 100%, $G$9) + CHOOSE(CONTROL!$C$38, 0.0347, 0)</f>
        <v>39.5764</v>
      </c>
      <c r="E594" s="28">
        <f>42.793 * CHOOSE(CONTROL!$C$15, $E$9, 100%, $G$9) + CHOOSE(CONTROL!$C$38, 0.0347, 0)</f>
        <v>42.8277</v>
      </c>
      <c r="F594" s="27">
        <f>42.793 * CHOOSE(CONTROL!$C$15, $E$9, 100%, $G$9) + CHOOSE(CONTROL!$C$38, 0.0256, 0)</f>
        <v>42.818599999999996</v>
      </c>
      <c r="G594" s="10">
        <f>39.5479 * CHOOSE(CONTROL!$C$15, $E$9, 100%, $G$9) + CHOOSE(CONTROL!$C$38, 0.0347, 0)</f>
        <v>39.582599999999999</v>
      </c>
      <c r="H594" s="10">
        <f>39.5479 * CHOOSE(CONTROL!$C$15, $E$9, 100%, $G$9) + CHOOSE(CONTROL!$C$38, 0.0347, 0)</f>
        <v>39.582599999999999</v>
      </c>
      <c r="I594" s="10">
        <f>39.5495 * CHOOSE(CONTROL!$C$15, $E$9, 100%, $G$9) + CHOOSE(CONTROL!$C$38, 0.0347, 0)</f>
        <v>39.584200000000003</v>
      </c>
      <c r="J594" s="26">
        <f>297.3305</f>
        <v>297.33049999999997</v>
      </c>
    </row>
    <row r="595" spans="1:10" ht="15.75" x14ac:dyDescent="0.25">
      <c r="A595" s="13">
        <v>59414</v>
      </c>
      <c r="B595" s="10">
        <f>43.0512 * CHOOSE(CONTROL!$C$15, $E$9, 100%, $G$9) + CHOOSE(CONTROL!$C$38, 0.0256, 0)</f>
        <v>43.076799999999999</v>
      </c>
      <c r="C595" s="10">
        <f>39.6514 * CHOOSE(CONTROL!$C$15, $E$9, 100%, $G$9) + CHOOSE(CONTROL!$C$38, 0.0347, 0)</f>
        <v>39.686100000000003</v>
      </c>
      <c r="D595" s="10">
        <f>39.6436 * CHOOSE(CONTROL!$C$15, $E$9, 100%, $G$9) + CHOOSE(CONTROL!$C$38, 0.0347, 0)</f>
        <v>39.6783</v>
      </c>
      <c r="E595" s="28">
        <f>42.8949 * CHOOSE(CONTROL!$C$15, $E$9, 100%, $G$9) + CHOOSE(CONTROL!$C$38, 0.0347, 0)</f>
        <v>42.929600000000001</v>
      </c>
      <c r="F595" s="27">
        <f>42.8949 * CHOOSE(CONTROL!$C$15, $E$9, 100%, $G$9) + CHOOSE(CONTROL!$C$38, 0.0256, 0)</f>
        <v>42.920499999999997</v>
      </c>
      <c r="G595" s="10">
        <f>39.6498 * CHOOSE(CONTROL!$C$15, $E$9, 100%, $G$9) + CHOOSE(CONTROL!$C$38, 0.0347, 0)</f>
        <v>39.6845</v>
      </c>
      <c r="H595" s="10">
        <f>39.6498 * CHOOSE(CONTROL!$C$15, $E$9, 100%, $G$9) + CHOOSE(CONTROL!$C$38, 0.0347, 0)</f>
        <v>39.6845</v>
      </c>
      <c r="I595" s="10">
        <f>39.6514 * CHOOSE(CONTROL!$C$15, $E$9, 100%, $G$9) + CHOOSE(CONTROL!$C$38, 0.0347, 0)</f>
        <v>39.686100000000003</v>
      </c>
      <c r="J595" s="26">
        <f>290.4088</f>
        <v>290.40879999999999</v>
      </c>
    </row>
    <row r="596" spans="1:10" ht="15.75" x14ac:dyDescent="0.25">
      <c r="A596" s="13">
        <v>59444</v>
      </c>
      <c r="B596" s="10">
        <f>43.328 * CHOOSE(CONTROL!$C$15, $E$9, 100%, $G$9) + CHOOSE(CONTROL!$C$38, 0.0256, 0)</f>
        <v>43.3536</v>
      </c>
      <c r="C596" s="10">
        <f>39.9282 * CHOOSE(CONTROL!$C$15, $E$9, 100%, $G$9) + CHOOSE(CONTROL!$C$38, 0.0347, 0)</f>
        <v>39.962899999999998</v>
      </c>
      <c r="D596" s="10">
        <f>39.9204 * CHOOSE(CONTROL!$C$15, $E$9, 100%, $G$9) + CHOOSE(CONTROL!$C$38, 0.0347, 0)</f>
        <v>39.955100000000002</v>
      </c>
      <c r="E596" s="28">
        <f>43.1717 * CHOOSE(CONTROL!$C$15, $E$9, 100%, $G$9) + CHOOSE(CONTROL!$C$38, 0.0347, 0)</f>
        <v>43.206400000000002</v>
      </c>
      <c r="F596" s="27">
        <f>43.1717 * CHOOSE(CONTROL!$C$15, $E$9, 100%, $G$9) + CHOOSE(CONTROL!$C$38, 0.0256, 0)</f>
        <v>43.197299999999998</v>
      </c>
      <c r="G596" s="10">
        <f>39.9266 * CHOOSE(CONTROL!$C$15, $E$9, 100%, $G$9) + CHOOSE(CONTROL!$C$38, 0.0347, 0)</f>
        <v>39.961300000000001</v>
      </c>
      <c r="H596" s="10">
        <f>39.9266 * CHOOSE(CONTROL!$C$15, $E$9, 100%, $G$9) + CHOOSE(CONTROL!$C$38, 0.0347, 0)</f>
        <v>39.961300000000001</v>
      </c>
      <c r="I596" s="10">
        <f>39.9282 * CHOOSE(CONTROL!$C$15, $E$9, 100%, $G$9) + CHOOSE(CONTROL!$C$38, 0.0347, 0)</f>
        <v>39.962899999999998</v>
      </c>
      <c r="J596" s="26">
        <f>280.7561</f>
        <v>280.7561</v>
      </c>
    </row>
    <row r="597" spans="1:10" ht="15.75" x14ac:dyDescent="0.25">
      <c r="A597" s="13">
        <v>59475</v>
      </c>
      <c r="B597" s="10">
        <f>43.5598 * CHOOSE(CONTROL!$C$15, $E$9, 100%, $G$9) + CHOOSE(CONTROL!$C$38, 0.0256, 0)</f>
        <v>43.5854</v>
      </c>
      <c r="C597" s="10">
        <f>40.16 * CHOOSE(CONTROL!$C$15, $E$9, 100%, $G$9) + CHOOSE(CONTROL!$C$38, 0.0347, 0)</f>
        <v>40.194699999999997</v>
      </c>
      <c r="D597" s="10">
        <f>40.1522 * CHOOSE(CONTROL!$C$15, $E$9, 100%, $G$9) + CHOOSE(CONTROL!$C$38, 0.0347, 0)</f>
        <v>40.186900000000001</v>
      </c>
      <c r="E597" s="28">
        <f>43.4036 * CHOOSE(CONTROL!$C$15, $E$9, 100%, $G$9) + CHOOSE(CONTROL!$C$38, 0.0347, 0)</f>
        <v>43.438299999999998</v>
      </c>
      <c r="F597" s="27">
        <f>43.4036 * CHOOSE(CONTROL!$C$15, $E$9, 100%, $G$9) + CHOOSE(CONTROL!$C$38, 0.0256, 0)</f>
        <v>43.429199999999994</v>
      </c>
      <c r="G597" s="10">
        <f>40.1584 * CHOOSE(CONTROL!$C$15, $E$9, 100%, $G$9) + CHOOSE(CONTROL!$C$38, 0.0347, 0)</f>
        <v>40.193100000000001</v>
      </c>
      <c r="H597" s="10">
        <f>40.1584 * CHOOSE(CONTROL!$C$15, $E$9, 100%, $G$9) + CHOOSE(CONTROL!$C$38, 0.0347, 0)</f>
        <v>40.193100000000001</v>
      </c>
      <c r="I597" s="10">
        <f>40.16 * CHOOSE(CONTROL!$C$15, $E$9, 100%, $G$9) + CHOOSE(CONTROL!$C$38, 0.0347, 0)</f>
        <v>40.194699999999997</v>
      </c>
      <c r="J597" s="26">
        <f>271.0473</f>
        <v>271.04730000000001</v>
      </c>
    </row>
    <row r="598" spans="1:10" ht="15.75" x14ac:dyDescent="0.25">
      <c r="A598" s="13">
        <v>59505</v>
      </c>
      <c r="B598" s="10">
        <f>43.7533 * CHOOSE(CONTROL!$C$15, $E$9, 100%, $G$9) + CHOOSE(CONTROL!$C$38, 0.0256, 0)</f>
        <v>43.7789</v>
      </c>
      <c r="C598" s="10">
        <f>40.3535 * CHOOSE(CONTROL!$C$15, $E$9, 100%, $G$9) + CHOOSE(CONTROL!$C$38, 0.0347, 0)</f>
        <v>40.388199999999998</v>
      </c>
      <c r="D598" s="10">
        <f>40.3456 * CHOOSE(CONTROL!$C$15, $E$9, 100%, $G$9) + CHOOSE(CONTROL!$C$38, 0.0347, 0)</f>
        <v>40.380299999999998</v>
      </c>
      <c r="E598" s="28">
        <f>43.597 * CHOOSE(CONTROL!$C$15, $E$9, 100%, $G$9) + CHOOSE(CONTROL!$C$38, 0.0347, 0)</f>
        <v>43.631700000000002</v>
      </c>
      <c r="F598" s="27">
        <f>43.597 * CHOOSE(CONTROL!$C$15, $E$9, 100%, $G$9) + CHOOSE(CONTROL!$C$38, 0.0256, 0)</f>
        <v>43.622599999999998</v>
      </c>
      <c r="G598" s="10">
        <f>40.3519 * CHOOSE(CONTROL!$C$15, $E$9, 100%, $G$9) + CHOOSE(CONTROL!$C$38, 0.0347, 0)</f>
        <v>40.386600000000001</v>
      </c>
      <c r="H598" s="10">
        <f>40.3519 * CHOOSE(CONTROL!$C$15, $E$9, 100%, $G$9) + CHOOSE(CONTROL!$C$38, 0.0347, 0)</f>
        <v>40.386600000000001</v>
      </c>
      <c r="I598" s="10">
        <f>40.3535 * CHOOSE(CONTROL!$C$15, $E$9, 100%, $G$9) + CHOOSE(CONTROL!$C$38, 0.0347, 0)</f>
        <v>40.388199999999998</v>
      </c>
      <c r="J598" s="26">
        <f>269.116</f>
        <v>269.11599999999999</v>
      </c>
    </row>
    <row r="599" spans="1:10" ht="15.75" x14ac:dyDescent="0.25">
      <c r="A599" s="13">
        <v>59536</v>
      </c>
      <c r="B599" s="10">
        <f>44.3493 * CHOOSE(CONTROL!$C$15, $E$9, 100%, $G$9) + CHOOSE(CONTROL!$C$38, 0.0256, 0)</f>
        <v>44.374899999999997</v>
      </c>
      <c r="C599" s="10">
        <f>40.9495 * CHOOSE(CONTROL!$C$15, $E$9, 100%, $G$9) + CHOOSE(CONTROL!$C$38, 0.0347, 0)</f>
        <v>40.984200000000001</v>
      </c>
      <c r="D599" s="10">
        <f>40.9417 * CHOOSE(CONTROL!$C$15, $E$9, 100%, $G$9) + CHOOSE(CONTROL!$C$38, 0.0347, 0)</f>
        <v>40.976399999999998</v>
      </c>
      <c r="E599" s="28">
        <f>44.1931 * CHOOSE(CONTROL!$C$15, $E$9, 100%, $G$9) + CHOOSE(CONTROL!$C$38, 0.0347, 0)</f>
        <v>44.227800000000002</v>
      </c>
      <c r="F599" s="27">
        <f>44.1931 * CHOOSE(CONTROL!$C$15, $E$9, 100%, $G$9) + CHOOSE(CONTROL!$C$38, 0.0256, 0)</f>
        <v>44.218699999999998</v>
      </c>
      <c r="G599" s="10">
        <f>40.948 * CHOOSE(CONTROL!$C$15, $E$9, 100%, $G$9) + CHOOSE(CONTROL!$C$38, 0.0347, 0)</f>
        <v>40.982700000000001</v>
      </c>
      <c r="H599" s="10">
        <f>40.948 * CHOOSE(CONTROL!$C$15, $E$9, 100%, $G$9) + CHOOSE(CONTROL!$C$38, 0.0347, 0)</f>
        <v>40.982700000000001</v>
      </c>
      <c r="I599" s="10">
        <f>40.9495 * CHOOSE(CONTROL!$C$15, $E$9, 100%, $G$9) + CHOOSE(CONTROL!$C$38, 0.0347, 0)</f>
        <v>40.984200000000001</v>
      </c>
      <c r="J599" s="26">
        <f>261.1299</f>
        <v>261.12990000000002</v>
      </c>
    </row>
    <row r="600" spans="1:10" ht="15.75" x14ac:dyDescent="0.25">
      <c r="A600" s="13">
        <v>59567</v>
      </c>
      <c r="B600" s="10">
        <f>45.5828 * CHOOSE(CONTROL!$C$15, $E$9, 100%, $G$9) + CHOOSE(CONTROL!$C$38, 0.0256, 0)</f>
        <v>45.608399999999996</v>
      </c>
      <c r="C600" s="10">
        <f>42.1257 * CHOOSE(CONTROL!$C$15, $E$9, 100%, $G$9) + CHOOSE(CONTROL!$C$38, 0.0347, 0)</f>
        <v>42.160400000000003</v>
      </c>
      <c r="D600" s="10">
        <f>42.1179 * CHOOSE(CONTROL!$C$15, $E$9, 100%, $G$9) + CHOOSE(CONTROL!$C$38, 0.0347, 0)</f>
        <v>42.1526</v>
      </c>
      <c r="E600" s="28">
        <f>45.4266 * CHOOSE(CONTROL!$C$15, $E$9, 100%, $G$9) + CHOOSE(CONTROL!$C$38, 0.0347, 0)</f>
        <v>45.461300000000001</v>
      </c>
      <c r="F600" s="27">
        <f>45.4266 * CHOOSE(CONTROL!$C$15, $E$9, 100%, $G$9) + CHOOSE(CONTROL!$C$38, 0.0256, 0)</f>
        <v>45.452199999999998</v>
      </c>
      <c r="G600" s="10">
        <f>42.1242 * CHOOSE(CONTROL!$C$15, $E$9, 100%, $G$9) + CHOOSE(CONTROL!$C$38, 0.0347, 0)</f>
        <v>42.158900000000003</v>
      </c>
      <c r="H600" s="10">
        <f>42.1242 * CHOOSE(CONTROL!$C$15, $E$9, 100%, $G$9) + CHOOSE(CONTROL!$C$38, 0.0347, 0)</f>
        <v>42.158900000000003</v>
      </c>
      <c r="I600" s="10">
        <f>42.1257 * CHOOSE(CONTROL!$C$15, $E$9, 100%, $G$9) + CHOOSE(CONTROL!$C$38, 0.0347, 0)</f>
        <v>42.160400000000003</v>
      </c>
      <c r="J600" s="26">
        <f>259.3808</f>
        <v>259.38080000000002</v>
      </c>
    </row>
    <row r="601" spans="1:10" ht="15.75" x14ac:dyDescent="0.25">
      <c r="A601" s="13">
        <v>59595</v>
      </c>
      <c r="B601" s="10">
        <f>45.8036 * CHOOSE(CONTROL!$C$15, $E$9, 100%, $G$9) + CHOOSE(CONTROL!$C$38, 0.0256, 0)</f>
        <v>45.8292</v>
      </c>
      <c r="C601" s="10">
        <f>42.3465 * CHOOSE(CONTROL!$C$15, $E$9, 100%, $G$9) + CHOOSE(CONTROL!$C$38, 0.0347, 0)</f>
        <v>42.3812</v>
      </c>
      <c r="D601" s="10">
        <f>42.3387 * CHOOSE(CONTROL!$C$15, $E$9, 100%, $G$9) + CHOOSE(CONTROL!$C$38, 0.0347, 0)</f>
        <v>42.373400000000004</v>
      </c>
      <c r="E601" s="28">
        <f>45.6474 * CHOOSE(CONTROL!$C$15, $E$9, 100%, $G$9) + CHOOSE(CONTROL!$C$38, 0.0347, 0)</f>
        <v>45.682099999999998</v>
      </c>
      <c r="F601" s="27">
        <f>45.6474 * CHOOSE(CONTROL!$C$15, $E$9, 100%, $G$9) + CHOOSE(CONTROL!$C$38, 0.0256, 0)</f>
        <v>45.672999999999995</v>
      </c>
      <c r="G601" s="10">
        <f>42.3449 * CHOOSE(CONTROL!$C$15, $E$9, 100%, $G$9) + CHOOSE(CONTROL!$C$38, 0.0347, 0)</f>
        <v>42.379600000000003</v>
      </c>
      <c r="H601" s="10">
        <f>42.3449 * CHOOSE(CONTROL!$C$15, $E$9, 100%, $G$9) + CHOOSE(CONTROL!$C$38, 0.0347, 0)</f>
        <v>42.379600000000003</v>
      </c>
      <c r="I601" s="10">
        <f>42.3465 * CHOOSE(CONTROL!$C$15, $E$9, 100%, $G$9) + CHOOSE(CONTROL!$C$38, 0.0347, 0)</f>
        <v>42.3812</v>
      </c>
      <c r="J601" s="26">
        <f>258.6598</f>
        <v>258.65980000000002</v>
      </c>
    </row>
    <row r="602" spans="1:10" ht="15.75" x14ac:dyDescent="0.25">
      <c r="A602" s="13">
        <v>59626</v>
      </c>
      <c r="B602" s="10">
        <f>45.2926 * CHOOSE(CONTROL!$C$15, $E$9, 100%, $G$9) + CHOOSE(CONTROL!$C$38, 0.0256, 0)</f>
        <v>45.318199999999997</v>
      </c>
      <c r="C602" s="10">
        <f>41.8355 * CHOOSE(CONTROL!$C$15, $E$9, 100%, $G$9) + CHOOSE(CONTROL!$C$38, 0.0347, 0)</f>
        <v>41.870200000000004</v>
      </c>
      <c r="D602" s="10">
        <f>41.8277 * CHOOSE(CONTROL!$C$15, $E$9, 100%, $G$9) + CHOOSE(CONTROL!$C$38, 0.0347, 0)</f>
        <v>41.862400000000001</v>
      </c>
      <c r="E602" s="28">
        <f>45.1363 * CHOOSE(CONTROL!$C$15, $E$9, 100%, $G$9) + CHOOSE(CONTROL!$C$38, 0.0347, 0)</f>
        <v>45.170999999999999</v>
      </c>
      <c r="F602" s="27">
        <f>45.1363 * CHOOSE(CONTROL!$C$15, $E$9, 100%, $G$9) + CHOOSE(CONTROL!$C$38, 0.0256, 0)</f>
        <v>45.161899999999996</v>
      </c>
      <c r="G602" s="10">
        <f>41.8339 * CHOOSE(CONTROL!$C$15, $E$9, 100%, $G$9) + CHOOSE(CONTROL!$C$38, 0.0347, 0)</f>
        <v>41.868600000000001</v>
      </c>
      <c r="H602" s="10">
        <f>41.8339 * CHOOSE(CONTROL!$C$15, $E$9, 100%, $G$9) + CHOOSE(CONTROL!$C$38, 0.0347, 0)</f>
        <v>41.868600000000001</v>
      </c>
      <c r="I602" s="10">
        <f>41.8355 * CHOOSE(CONTROL!$C$15, $E$9, 100%, $G$9) + CHOOSE(CONTROL!$C$38, 0.0347, 0)</f>
        <v>41.870200000000004</v>
      </c>
      <c r="J602" s="26">
        <f>272.2926</f>
        <v>272.29259999999999</v>
      </c>
    </row>
    <row r="603" spans="1:10" ht="15.75" x14ac:dyDescent="0.25">
      <c r="A603" s="13">
        <v>59656</v>
      </c>
      <c r="B603" s="10">
        <f>44.7974 * CHOOSE(CONTROL!$C$15, $E$9, 100%, $G$9) + CHOOSE(CONTROL!$C$38, 0.0256, 0)</f>
        <v>44.823</v>
      </c>
      <c r="C603" s="10">
        <f>41.3403 * CHOOSE(CONTROL!$C$15, $E$9, 100%, $G$9) + CHOOSE(CONTROL!$C$38, 0.0347, 0)</f>
        <v>41.375</v>
      </c>
      <c r="D603" s="10">
        <f>41.3325 * CHOOSE(CONTROL!$C$15, $E$9, 100%, $G$9) + CHOOSE(CONTROL!$C$38, 0.0347, 0)</f>
        <v>41.367200000000004</v>
      </c>
      <c r="E603" s="28">
        <f>44.6411 * CHOOSE(CONTROL!$C$15, $E$9, 100%, $G$9) + CHOOSE(CONTROL!$C$38, 0.0347, 0)</f>
        <v>44.675800000000002</v>
      </c>
      <c r="F603" s="27">
        <f>44.6411 * CHOOSE(CONTROL!$C$15, $E$9, 100%, $G$9) + CHOOSE(CONTROL!$C$38, 0.0256, 0)</f>
        <v>44.666699999999999</v>
      </c>
      <c r="G603" s="10">
        <f>41.3387 * CHOOSE(CONTROL!$C$15, $E$9, 100%, $G$9) + CHOOSE(CONTROL!$C$38, 0.0347, 0)</f>
        <v>41.373400000000004</v>
      </c>
      <c r="H603" s="10">
        <f>41.3387 * CHOOSE(CONTROL!$C$15, $E$9, 100%, $G$9) + CHOOSE(CONTROL!$C$38, 0.0347, 0)</f>
        <v>41.373400000000004</v>
      </c>
      <c r="I603" s="10">
        <f>41.3403 * CHOOSE(CONTROL!$C$15, $E$9, 100%, $G$9) + CHOOSE(CONTROL!$C$38, 0.0347, 0)</f>
        <v>41.375</v>
      </c>
      <c r="J603" s="26">
        <f>289.9712</f>
        <v>289.97120000000001</v>
      </c>
    </row>
    <row r="604" spans="1:10" ht="15.75" x14ac:dyDescent="0.25">
      <c r="A604" s="13">
        <v>59687</v>
      </c>
      <c r="B604" s="10">
        <f>44.2813 * CHOOSE(CONTROL!$C$15, $E$9, 100%, $G$9) + CHOOSE(CONTROL!$C$38, 0.0256, 0)</f>
        <v>44.306899999999999</v>
      </c>
      <c r="C604" s="10">
        <f>40.8242 * CHOOSE(CONTROL!$C$15, $E$9, 100%, $G$9) + CHOOSE(CONTROL!$C$38, 0.0347, 0)</f>
        <v>40.858899999999998</v>
      </c>
      <c r="D604" s="10">
        <f>40.8164 * CHOOSE(CONTROL!$C$15, $E$9, 100%, $G$9) + CHOOSE(CONTROL!$C$38, 0.0347, 0)</f>
        <v>40.851100000000002</v>
      </c>
      <c r="E604" s="28">
        <f>44.125 * CHOOSE(CONTROL!$C$15, $E$9, 100%, $G$9) + CHOOSE(CONTROL!$C$38, 0.0347, 0)</f>
        <v>44.159700000000001</v>
      </c>
      <c r="F604" s="27">
        <f>44.125 * CHOOSE(CONTROL!$C$15, $E$9, 100%, $G$9) + CHOOSE(CONTROL!$C$38, 0.0256, 0)</f>
        <v>44.150599999999997</v>
      </c>
      <c r="G604" s="10">
        <f>40.8226 * CHOOSE(CONTROL!$C$15, $E$9, 100%, $G$9) + CHOOSE(CONTROL!$C$38, 0.0347, 0)</f>
        <v>40.857300000000002</v>
      </c>
      <c r="H604" s="10">
        <f>40.8226 * CHOOSE(CONTROL!$C$15, $E$9, 100%, $G$9) + CHOOSE(CONTROL!$C$38, 0.0347, 0)</f>
        <v>40.857300000000002</v>
      </c>
      <c r="I604" s="10">
        <f>40.8242 * CHOOSE(CONTROL!$C$15, $E$9, 100%, $G$9) + CHOOSE(CONTROL!$C$38, 0.0347, 0)</f>
        <v>40.858899999999998</v>
      </c>
      <c r="J604" s="26">
        <f>299.7021</f>
        <v>299.70209999999997</v>
      </c>
    </row>
    <row r="605" spans="1:10" ht="15.75" x14ac:dyDescent="0.25">
      <c r="A605" s="13">
        <v>59717</v>
      </c>
      <c r="B605" s="10">
        <f>43.9195 * CHOOSE(CONTROL!$C$15, $E$9, 100%, $G$9) + CHOOSE(CONTROL!$C$38, 0.0256, 0)</f>
        <v>43.945099999999996</v>
      </c>
      <c r="C605" s="10">
        <f>40.4623 * CHOOSE(CONTROL!$C$15, $E$9, 100%, $G$9) + CHOOSE(CONTROL!$C$38, 0.0347, 0)</f>
        <v>40.497</v>
      </c>
      <c r="D605" s="10">
        <f>40.4545 * CHOOSE(CONTROL!$C$15, $E$9, 100%, $G$9) + CHOOSE(CONTROL!$C$38, 0.0347, 0)</f>
        <v>40.489200000000004</v>
      </c>
      <c r="E605" s="28">
        <f>43.7632 * CHOOSE(CONTROL!$C$15, $E$9, 100%, $G$9) + CHOOSE(CONTROL!$C$38, 0.0347, 0)</f>
        <v>43.797899999999998</v>
      </c>
      <c r="F605" s="27">
        <f>43.7632 * CHOOSE(CONTROL!$C$15, $E$9, 100%, $G$9) + CHOOSE(CONTROL!$C$38, 0.0256, 0)</f>
        <v>43.788799999999995</v>
      </c>
      <c r="G605" s="10">
        <f>40.4608 * CHOOSE(CONTROL!$C$15, $E$9, 100%, $G$9) + CHOOSE(CONTROL!$C$38, 0.0347, 0)</f>
        <v>40.4955</v>
      </c>
      <c r="H605" s="10">
        <f>40.4608 * CHOOSE(CONTROL!$C$15, $E$9, 100%, $G$9) + CHOOSE(CONTROL!$C$38, 0.0347, 0)</f>
        <v>40.4955</v>
      </c>
      <c r="I605" s="10">
        <f>40.4623 * CHOOSE(CONTROL!$C$15, $E$9, 100%, $G$9) + CHOOSE(CONTROL!$C$38, 0.0347, 0)</f>
        <v>40.497</v>
      </c>
      <c r="J605" s="26">
        <f>304.0205</f>
        <v>304.02050000000003</v>
      </c>
    </row>
    <row r="606" spans="1:10" ht="15.75" x14ac:dyDescent="0.25">
      <c r="A606" s="13">
        <v>59748</v>
      </c>
      <c r="B606" s="10">
        <f>43.713 * CHOOSE(CONTROL!$C$15, $E$9, 100%, $G$9) + CHOOSE(CONTROL!$C$38, 0.0256, 0)</f>
        <v>43.738599999999998</v>
      </c>
      <c r="C606" s="10">
        <f>40.2559 * CHOOSE(CONTROL!$C$15, $E$9, 100%, $G$9) + CHOOSE(CONTROL!$C$38, 0.0347, 0)</f>
        <v>40.290599999999998</v>
      </c>
      <c r="D606" s="10">
        <f>40.248 * CHOOSE(CONTROL!$C$15, $E$9, 100%, $G$9) + CHOOSE(CONTROL!$C$38, 0.0347, 0)</f>
        <v>40.282699999999998</v>
      </c>
      <c r="E606" s="28">
        <f>43.5567 * CHOOSE(CONTROL!$C$15, $E$9, 100%, $G$9) + CHOOSE(CONTROL!$C$38, 0.0347, 0)</f>
        <v>43.5914</v>
      </c>
      <c r="F606" s="27">
        <f>43.5567 * CHOOSE(CONTROL!$C$15, $E$9, 100%, $G$9) + CHOOSE(CONTROL!$C$38, 0.0256, 0)</f>
        <v>43.582299999999996</v>
      </c>
      <c r="G606" s="10">
        <f>40.2543 * CHOOSE(CONTROL!$C$15, $E$9, 100%, $G$9) + CHOOSE(CONTROL!$C$38, 0.0347, 0)</f>
        <v>40.289000000000001</v>
      </c>
      <c r="H606" s="10">
        <f>40.2543 * CHOOSE(CONTROL!$C$15, $E$9, 100%, $G$9) + CHOOSE(CONTROL!$C$38, 0.0347, 0)</f>
        <v>40.289000000000001</v>
      </c>
      <c r="I606" s="10">
        <f>40.2559 * CHOOSE(CONTROL!$C$15, $E$9, 100%, $G$9) + CHOOSE(CONTROL!$C$38, 0.0347, 0)</f>
        <v>40.290599999999998</v>
      </c>
      <c r="J606" s="26">
        <f>302.5986</f>
        <v>302.59859999999998</v>
      </c>
    </row>
    <row r="607" spans="1:10" ht="15.75" x14ac:dyDescent="0.25">
      <c r="A607" s="13">
        <v>59779</v>
      </c>
      <c r="B607" s="10">
        <f>43.8149 * CHOOSE(CONTROL!$C$15, $E$9, 100%, $G$9) + CHOOSE(CONTROL!$C$38, 0.0256, 0)</f>
        <v>43.840499999999999</v>
      </c>
      <c r="C607" s="10">
        <f>40.3578 * CHOOSE(CONTROL!$C$15, $E$9, 100%, $G$9) + CHOOSE(CONTROL!$C$38, 0.0347, 0)</f>
        <v>40.392499999999998</v>
      </c>
      <c r="D607" s="10">
        <f>40.35 * CHOOSE(CONTROL!$C$15, $E$9, 100%, $G$9) + CHOOSE(CONTROL!$C$38, 0.0347, 0)</f>
        <v>40.384700000000002</v>
      </c>
      <c r="E607" s="28">
        <f>43.6586 * CHOOSE(CONTROL!$C$15, $E$9, 100%, $G$9) + CHOOSE(CONTROL!$C$38, 0.0347, 0)</f>
        <v>43.693300000000001</v>
      </c>
      <c r="F607" s="27">
        <f>43.6586 * CHOOSE(CONTROL!$C$15, $E$9, 100%, $G$9) + CHOOSE(CONTROL!$C$38, 0.0256, 0)</f>
        <v>43.684199999999997</v>
      </c>
      <c r="G607" s="10">
        <f>40.3562 * CHOOSE(CONTROL!$C$15, $E$9, 100%, $G$9) + CHOOSE(CONTROL!$C$38, 0.0347, 0)</f>
        <v>40.390900000000002</v>
      </c>
      <c r="H607" s="10">
        <f>40.3562 * CHOOSE(CONTROL!$C$15, $E$9, 100%, $G$9) + CHOOSE(CONTROL!$C$38, 0.0347, 0)</f>
        <v>40.390900000000002</v>
      </c>
      <c r="I607" s="10">
        <f>40.3578 * CHOOSE(CONTROL!$C$15, $E$9, 100%, $G$9) + CHOOSE(CONTROL!$C$38, 0.0347, 0)</f>
        <v>40.392499999999998</v>
      </c>
      <c r="J607" s="26">
        <f>295.5543</f>
        <v>295.55430000000001</v>
      </c>
    </row>
    <row r="608" spans="1:10" ht="15.75" x14ac:dyDescent="0.25">
      <c r="A608" s="13">
        <v>59809</v>
      </c>
      <c r="B608" s="10">
        <f>44.0917 * CHOOSE(CONTROL!$C$15, $E$9, 100%, $G$9) + CHOOSE(CONTROL!$C$38, 0.0256, 0)</f>
        <v>44.1173</v>
      </c>
      <c r="C608" s="10">
        <f>40.6346 * CHOOSE(CONTROL!$C$15, $E$9, 100%, $G$9) + CHOOSE(CONTROL!$C$38, 0.0347, 0)</f>
        <v>40.6693</v>
      </c>
      <c r="D608" s="10">
        <f>40.6267 * CHOOSE(CONTROL!$C$15, $E$9, 100%, $G$9) + CHOOSE(CONTROL!$C$38, 0.0347, 0)</f>
        <v>40.6614</v>
      </c>
      <c r="E608" s="28">
        <f>43.9354 * CHOOSE(CONTROL!$C$15, $E$9, 100%, $G$9) + CHOOSE(CONTROL!$C$38, 0.0347, 0)</f>
        <v>43.970100000000002</v>
      </c>
      <c r="F608" s="27">
        <f>43.9354 * CHOOSE(CONTROL!$C$15, $E$9, 100%, $G$9) + CHOOSE(CONTROL!$C$38, 0.0256, 0)</f>
        <v>43.960999999999999</v>
      </c>
      <c r="G608" s="10">
        <f>40.633 * CHOOSE(CONTROL!$C$15, $E$9, 100%, $G$9) + CHOOSE(CONTROL!$C$38, 0.0347, 0)</f>
        <v>40.667700000000004</v>
      </c>
      <c r="H608" s="10">
        <f>40.633 * CHOOSE(CONTROL!$C$15, $E$9, 100%, $G$9) + CHOOSE(CONTROL!$C$38, 0.0347, 0)</f>
        <v>40.667700000000004</v>
      </c>
      <c r="I608" s="10">
        <f>40.6346 * CHOOSE(CONTROL!$C$15, $E$9, 100%, $G$9) + CHOOSE(CONTROL!$C$38, 0.0347, 0)</f>
        <v>40.6693</v>
      </c>
      <c r="J608" s="26">
        <f>285.7306</f>
        <v>285.73059999999998</v>
      </c>
    </row>
    <row r="609" spans="1:10" ht="15.75" x14ac:dyDescent="0.25">
      <c r="A609" s="13">
        <v>59840</v>
      </c>
      <c r="B609" s="10">
        <f>44.3235 * CHOOSE(CONTROL!$C$15, $E$9, 100%, $G$9) + CHOOSE(CONTROL!$C$38, 0.0256, 0)</f>
        <v>44.3491</v>
      </c>
      <c r="C609" s="10">
        <f>40.8664 * CHOOSE(CONTROL!$C$15, $E$9, 100%, $G$9) + CHOOSE(CONTROL!$C$38, 0.0347, 0)</f>
        <v>40.9011</v>
      </c>
      <c r="D609" s="10">
        <f>40.8586 * CHOOSE(CONTROL!$C$15, $E$9, 100%, $G$9) + CHOOSE(CONTROL!$C$38, 0.0347, 0)</f>
        <v>40.893300000000004</v>
      </c>
      <c r="E609" s="28">
        <f>44.1672 * CHOOSE(CONTROL!$C$15, $E$9, 100%, $G$9) + CHOOSE(CONTROL!$C$38, 0.0347, 0)</f>
        <v>44.201900000000002</v>
      </c>
      <c r="F609" s="27">
        <f>44.1672 * CHOOSE(CONTROL!$C$15, $E$9, 100%, $G$9) + CHOOSE(CONTROL!$C$38, 0.0256, 0)</f>
        <v>44.192799999999998</v>
      </c>
      <c r="G609" s="10">
        <f>40.8648 * CHOOSE(CONTROL!$C$15, $E$9, 100%, $G$9) + CHOOSE(CONTROL!$C$38, 0.0347, 0)</f>
        <v>40.899500000000003</v>
      </c>
      <c r="H609" s="10">
        <f>40.8648 * CHOOSE(CONTROL!$C$15, $E$9, 100%, $G$9) + CHOOSE(CONTROL!$C$38, 0.0347, 0)</f>
        <v>40.899500000000003</v>
      </c>
      <c r="I609" s="10">
        <f>40.8664 * CHOOSE(CONTROL!$C$15, $E$9, 100%, $G$9) + CHOOSE(CONTROL!$C$38, 0.0347, 0)</f>
        <v>40.9011</v>
      </c>
      <c r="J609" s="26">
        <f>275.8497</f>
        <v>275.84969999999998</v>
      </c>
    </row>
    <row r="610" spans="1:10" ht="15.75" x14ac:dyDescent="0.25">
      <c r="A610" s="13">
        <v>59870</v>
      </c>
      <c r="B610" s="10">
        <f>44.5169 * CHOOSE(CONTROL!$C$15, $E$9, 100%, $G$9) + CHOOSE(CONTROL!$C$38, 0.0256, 0)</f>
        <v>44.542499999999997</v>
      </c>
      <c r="C610" s="10">
        <f>41.0598 * CHOOSE(CONTROL!$C$15, $E$9, 100%, $G$9) + CHOOSE(CONTROL!$C$38, 0.0347, 0)</f>
        <v>41.094500000000004</v>
      </c>
      <c r="D610" s="10">
        <f>41.052 * CHOOSE(CONTROL!$C$15, $E$9, 100%, $G$9) + CHOOSE(CONTROL!$C$38, 0.0347, 0)</f>
        <v>41.0867</v>
      </c>
      <c r="E610" s="28">
        <f>44.3607 * CHOOSE(CONTROL!$C$15, $E$9, 100%, $G$9) + CHOOSE(CONTROL!$C$38, 0.0347, 0)</f>
        <v>44.395400000000002</v>
      </c>
      <c r="F610" s="27">
        <f>44.3607 * CHOOSE(CONTROL!$C$15, $E$9, 100%, $G$9) + CHOOSE(CONTROL!$C$38, 0.0256, 0)</f>
        <v>44.386299999999999</v>
      </c>
      <c r="G610" s="10">
        <f>41.0583 * CHOOSE(CONTROL!$C$15, $E$9, 100%, $G$9) + CHOOSE(CONTROL!$C$38, 0.0347, 0)</f>
        <v>41.093000000000004</v>
      </c>
      <c r="H610" s="10">
        <f>41.0583 * CHOOSE(CONTROL!$C$15, $E$9, 100%, $G$9) + CHOOSE(CONTROL!$C$38, 0.0347, 0)</f>
        <v>41.093000000000004</v>
      </c>
      <c r="I610" s="10">
        <f>41.0598 * CHOOSE(CONTROL!$C$15, $E$9, 100%, $G$9) + CHOOSE(CONTROL!$C$38, 0.0347, 0)</f>
        <v>41.094500000000004</v>
      </c>
      <c r="J610" s="26">
        <f>273.8842</f>
        <v>273.88420000000002</v>
      </c>
    </row>
    <row r="611" spans="1:10" ht="15.75" x14ac:dyDescent="0.25">
      <c r="A611" s="13">
        <v>59901</v>
      </c>
      <c r="B611" s="10">
        <f>45.113 * CHOOSE(CONTROL!$C$15, $E$9, 100%, $G$9) + CHOOSE(CONTROL!$C$38, 0.0256, 0)</f>
        <v>45.138599999999997</v>
      </c>
      <c r="C611" s="10">
        <f>41.6559 * CHOOSE(CONTROL!$C$15, $E$9, 100%, $G$9) + CHOOSE(CONTROL!$C$38, 0.0347, 0)</f>
        <v>41.690600000000003</v>
      </c>
      <c r="D611" s="10">
        <f>41.6481 * CHOOSE(CONTROL!$C$15, $E$9, 100%, $G$9) + CHOOSE(CONTROL!$C$38, 0.0347, 0)</f>
        <v>41.6828</v>
      </c>
      <c r="E611" s="28">
        <f>44.9568 * CHOOSE(CONTROL!$C$15, $E$9, 100%, $G$9) + CHOOSE(CONTROL!$C$38, 0.0347, 0)</f>
        <v>44.991500000000002</v>
      </c>
      <c r="F611" s="27">
        <f>44.9568 * CHOOSE(CONTROL!$C$15, $E$9, 100%, $G$9) + CHOOSE(CONTROL!$C$38, 0.0256, 0)</f>
        <v>44.982399999999998</v>
      </c>
      <c r="G611" s="10">
        <f>41.6543 * CHOOSE(CONTROL!$C$15, $E$9, 100%, $G$9) + CHOOSE(CONTROL!$C$38, 0.0347, 0)</f>
        <v>41.689</v>
      </c>
      <c r="H611" s="10">
        <f>41.6543 * CHOOSE(CONTROL!$C$15, $E$9, 100%, $G$9) + CHOOSE(CONTROL!$C$38, 0.0347, 0)</f>
        <v>41.689</v>
      </c>
      <c r="I611" s="10">
        <f>41.6559 * CHOOSE(CONTROL!$C$15, $E$9, 100%, $G$9) + CHOOSE(CONTROL!$C$38, 0.0347, 0)</f>
        <v>41.690600000000003</v>
      </c>
      <c r="J611" s="26">
        <f>265.7567</f>
        <v>265.75670000000002</v>
      </c>
    </row>
    <row r="612" spans="1:10" ht="15.75" x14ac:dyDescent="0.25">
      <c r="A612" s="13">
        <v>59932</v>
      </c>
      <c r="B612" s="10">
        <f>46.36 * CHOOSE(CONTROL!$C$15, $E$9, 100%, $G$9) + CHOOSE(CONTROL!$C$38, 0.0256, 0)</f>
        <v>46.385599999999997</v>
      </c>
      <c r="C612" s="10">
        <f>42.8446 * CHOOSE(CONTROL!$C$15, $E$9, 100%, $G$9) + CHOOSE(CONTROL!$C$38, 0.0347, 0)</f>
        <v>42.879300000000001</v>
      </c>
      <c r="D612" s="10">
        <f>42.8368 * CHOOSE(CONTROL!$C$15, $E$9, 100%, $G$9) + CHOOSE(CONTROL!$C$38, 0.0347, 0)</f>
        <v>42.871499999999997</v>
      </c>
      <c r="E612" s="28">
        <f>46.2038 * CHOOSE(CONTROL!$C$15, $E$9, 100%, $G$9) + CHOOSE(CONTROL!$C$38, 0.0347, 0)</f>
        <v>46.238500000000002</v>
      </c>
      <c r="F612" s="27">
        <f>46.2038 * CHOOSE(CONTROL!$C$15, $E$9, 100%, $G$9) + CHOOSE(CONTROL!$C$38, 0.0256, 0)</f>
        <v>46.229399999999998</v>
      </c>
      <c r="G612" s="10">
        <f>42.843 * CHOOSE(CONTROL!$C$15, $E$9, 100%, $G$9) + CHOOSE(CONTROL!$C$38, 0.0347, 0)</f>
        <v>42.877700000000004</v>
      </c>
      <c r="H612" s="10">
        <f>42.843 * CHOOSE(CONTROL!$C$15, $E$9, 100%, $G$9) + CHOOSE(CONTROL!$C$38, 0.0347, 0)</f>
        <v>42.877700000000004</v>
      </c>
      <c r="I612" s="10">
        <f>42.8446 * CHOOSE(CONTROL!$C$15, $E$9, 100%, $G$9) + CHOOSE(CONTROL!$C$38, 0.0347, 0)</f>
        <v>42.879300000000001</v>
      </c>
      <c r="J612" s="26">
        <f>263.9765</f>
        <v>263.97649999999999</v>
      </c>
    </row>
    <row r="613" spans="1:10" ht="15.75" x14ac:dyDescent="0.25">
      <c r="A613" s="13">
        <v>59961</v>
      </c>
      <c r="B613" s="10">
        <f>46.5808 * CHOOSE(CONTROL!$C$15, $E$9, 100%, $G$9) + CHOOSE(CONTROL!$C$38, 0.0256, 0)</f>
        <v>46.606400000000001</v>
      </c>
      <c r="C613" s="10">
        <f>43.0654 * CHOOSE(CONTROL!$C$15, $E$9, 100%, $G$9) + CHOOSE(CONTROL!$C$38, 0.0347, 0)</f>
        <v>43.100099999999998</v>
      </c>
      <c r="D613" s="10">
        <f>43.0575 * CHOOSE(CONTROL!$C$15, $E$9, 100%, $G$9) + CHOOSE(CONTROL!$C$38, 0.0347, 0)</f>
        <v>43.092199999999998</v>
      </c>
      <c r="E613" s="28">
        <f>46.4245 * CHOOSE(CONTROL!$C$15, $E$9, 100%, $G$9) + CHOOSE(CONTROL!$C$38, 0.0347, 0)</f>
        <v>46.459200000000003</v>
      </c>
      <c r="F613" s="27">
        <f>46.4245 * CHOOSE(CONTROL!$C$15, $E$9, 100%, $G$9) + CHOOSE(CONTROL!$C$38, 0.0256, 0)</f>
        <v>46.450099999999999</v>
      </c>
      <c r="G613" s="10">
        <f>43.0638 * CHOOSE(CONTROL!$C$15, $E$9, 100%, $G$9) + CHOOSE(CONTROL!$C$38, 0.0347, 0)</f>
        <v>43.098500000000001</v>
      </c>
      <c r="H613" s="10">
        <f>43.0638 * CHOOSE(CONTROL!$C$15, $E$9, 100%, $G$9) + CHOOSE(CONTROL!$C$38, 0.0347, 0)</f>
        <v>43.098500000000001</v>
      </c>
      <c r="I613" s="10">
        <f>43.0654 * CHOOSE(CONTROL!$C$15, $E$9, 100%, $G$9) + CHOOSE(CONTROL!$C$38, 0.0347, 0)</f>
        <v>43.100099999999998</v>
      </c>
      <c r="J613" s="26">
        <f>263.2427</f>
        <v>263.24270000000001</v>
      </c>
    </row>
    <row r="614" spans="1:10" ht="15.75" x14ac:dyDescent="0.25">
      <c r="A614" s="13">
        <v>59992</v>
      </c>
      <c r="B614" s="10">
        <f>46.0698 * CHOOSE(CONTROL!$C$15, $E$9, 100%, $G$9) + CHOOSE(CONTROL!$C$38, 0.0256, 0)</f>
        <v>46.095399999999998</v>
      </c>
      <c r="C614" s="10">
        <f>42.5543 * CHOOSE(CONTROL!$C$15, $E$9, 100%, $G$9) + CHOOSE(CONTROL!$C$38, 0.0347, 0)</f>
        <v>42.588999999999999</v>
      </c>
      <c r="D614" s="10">
        <f>42.5465 * CHOOSE(CONTROL!$C$15, $E$9, 100%, $G$9) + CHOOSE(CONTROL!$C$38, 0.0347, 0)</f>
        <v>42.581200000000003</v>
      </c>
      <c r="E614" s="28">
        <f>45.9135 * CHOOSE(CONTROL!$C$15, $E$9, 100%, $G$9) + CHOOSE(CONTROL!$C$38, 0.0347, 0)</f>
        <v>45.9482</v>
      </c>
      <c r="F614" s="27">
        <f>45.9135 * CHOOSE(CONTROL!$C$15, $E$9, 100%, $G$9) + CHOOSE(CONTROL!$C$38, 0.0256, 0)</f>
        <v>45.939099999999996</v>
      </c>
      <c r="G614" s="10">
        <f>42.5528 * CHOOSE(CONTROL!$C$15, $E$9, 100%, $G$9) + CHOOSE(CONTROL!$C$38, 0.0347, 0)</f>
        <v>42.587499999999999</v>
      </c>
      <c r="H614" s="10">
        <f>42.5528 * CHOOSE(CONTROL!$C$15, $E$9, 100%, $G$9) + CHOOSE(CONTROL!$C$38, 0.0347, 0)</f>
        <v>42.587499999999999</v>
      </c>
      <c r="I614" s="10">
        <f>42.5543 * CHOOSE(CONTROL!$C$15, $E$9, 100%, $G$9) + CHOOSE(CONTROL!$C$38, 0.0347, 0)</f>
        <v>42.588999999999999</v>
      </c>
      <c r="J614" s="26">
        <f>277.1172</f>
        <v>277.11720000000003</v>
      </c>
    </row>
    <row r="615" spans="1:10" ht="15.75" x14ac:dyDescent="0.25">
      <c r="A615" s="13">
        <v>60022</v>
      </c>
      <c r="B615" s="10">
        <f>45.5746 * CHOOSE(CONTROL!$C$15, $E$9, 100%, $G$9) + CHOOSE(CONTROL!$C$38, 0.0256, 0)</f>
        <v>45.600199999999994</v>
      </c>
      <c r="C615" s="10">
        <f>42.0591 * CHOOSE(CONTROL!$C$15, $E$9, 100%, $G$9) + CHOOSE(CONTROL!$C$38, 0.0347, 0)</f>
        <v>42.093800000000002</v>
      </c>
      <c r="D615" s="10">
        <f>42.0513 * CHOOSE(CONTROL!$C$15, $E$9, 100%, $G$9) + CHOOSE(CONTROL!$C$38, 0.0347, 0)</f>
        <v>42.085999999999999</v>
      </c>
      <c r="E615" s="28">
        <f>45.4183 * CHOOSE(CONTROL!$C$15, $E$9, 100%, $G$9) + CHOOSE(CONTROL!$C$38, 0.0347, 0)</f>
        <v>45.453000000000003</v>
      </c>
      <c r="F615" s="27">
        <f>45.4183 * CHOOSE(CONTROL!$C$15, $E$9, 100%, $G$9) + CHOOSE(CONTROL!$C$38, 0.0256, 0)</f>
        <v>45.443899999999999</v>
      </c>
      <c r="G615" s="10">
        <f>42.0576 * CHOOSE(CONTROL!$C$15, $E$9, 100%, $G$9) + CHOOSE(CONTROL!$C$38, 0.0347, 0)</f>
        <v>42.092300000000002</v>
      </c>
      <c r="H615" s="10">
        <f>42.0576 * CHOOSE(CONTROL!$C$15, $E$9, 100%, $G$9) + CHOOSE(CONTROL!$C$38, 0.0347, 0)</f>
        <v>42.092300000000002</v>
      </c>
      <c r="I615" s="10">
        <f>42.0591 * CHOOSE(CONTROL!$C$15, $E$9, 100%, $G$9) + CHOOSE(CONTROL!$C$38, 0.0347, 0)</f>
        <v>42.093800000000002</v>
      </c>
      <c r="J615" s="26">
        <f>295.1089</f>
        <v>295.10890000000001</v>
      </c>
    </row>
    <row r="616" spans="1:10" ht="15.75" x14ac:dyDescent="0.25">
      <c r="A616" s="13">
        <v>60053</v>
      </c>
      <c r="B616" s="10">
        <f>45.0585 * CHOOSE(CONTROL!$C$15, $E$9, 100%, $G$9) + CHOOSE(CONTROL!$C$38, 0.0256, 0)</f>
        <v>45.084099999999999</v>
      </c>
      <c r="C616" s="10">
        <f>41.543 * CHOOSE(CONTROL!$C$15, $E$9, 100%, $G$9) + CHOOSE(CONTROL!$C$38, 0.0347, 0)</f>
        <v>41.5777</v>
      </c>
      <c r="D616" s="10">
        <f>41.5352 * CHOOSE(CONTROL!$C$15, $E$9, 100%, $G$9) + CHOOSE(CONTROL!$C$38, 0.0347, 0)</f>
        <v>41.569900000000004</v>
      </c>
      <c r="E616" s="28">
        <f>44.9022 * CHOOSE(CONTROL!$C$15, $E$9, 100%, $G$9) + CHOOSE(CONTROL!$C$38, 0.0347, 0)</f>
        <v>44.936900000000001</v>
      </c>
      <c r="F616" s="27">
        <f>44.9022 * CHOOSE(CONTROL!$C$15, $E$9, 100%, $G$9) + CHOOSE(CONTROL!$C$38, 0.0256, 0)</f>
        <v>44.927799999999998</v>
      </c>
      <c r="G616" s="10">
        <f>41.5415 * CHOOSE(CONTROL!$C$15, $E$9, 100%, $G$9) + CHOOSE(CONTROL!$C$38, 0.0347, 0)</f>
        <v>41.5762</v>
      </c>
      <c r="H616" s="10">
        <f>41.5415 * CHOOSE(CONTROL!$C$15, $E$9, 100%, $G$9) + CHOOSE(CONTROL!$C$38, 0.0347, 0)</f>
        <v>41.5762</v>
      </c>
      <c r="I616" s="10">
        <f>41.543 * CHOOSE(CONTROL!$C$15, $E$9, 100%, $G$9) + CHOOSE(CONTROL!$C$38, 0.0347, 0)</f>
        <v>41.5777</v>
      </c>
      <c r="J616" s="26">
        <f>305.0122</f>
        <v>305.01220000000001</v>
      </c>
    </row>
    <row r="617" spans="1:10" ht="15.75" x14ac:dyDescent="0.25">
      <c r="A617" s="13">
        <v>60083</v>
      </c>
      <c r="B617" s="10">
        <f>44.6966 * CHOOSE(CONTROL!$C$15, $E$9, 100%, $G$9) + CHOOSE(CONTROL!$C$38, 0.0256, 0)</f>
        <v>44.722199999999994</v>
      </c>
      <c r="C617" s="10">
        <f>41.1812 * CHOOSE(CONTROL!$C$15, $E$9, 100%, $G$9) + CHOOSE(CONTROL!$C$38, 0.0347, 0)</f>
        <v>41.215899999999998</v>
      </c>
      <c r="D617" s="10">
        <f>41.1734 * CHOOSE(CONTROL!$C$15, $E$9, 100%, $G$9) + CHOOSE(CONTROL!$C$38, 0.0347, 0)</f>
        <v>41.208100000000002</v>
      </c>
      <c r="E617" s="28">
        <f>44.5404 * CHOOSE(CONTROL!$C$15, $E$9, 100%, $G$9) + CHOOSE(CONTROL!$C$38, 0.0347, 0)</f>
        <v>44.575099999999999</v>
      </c>
      <c r="F617" s="27">
        <f>44.5404 * CHOOSE(CONTROL!$C$15, $E$9, 100%, $G$9) + CHOOSE(CONTROL!$C$38, 0.0256, 0)</f>
        <v>44.565999999999995</v>
      </c>
      <c r="G617" s="10">
        <f>41.1796 * CHOOSE(CONTROL!$C$15, $E$9, 100%, $G$9) + CHOOSE(CONTROL!$C$38, 0.0347, 0)</f>
        <v>41.214300000000001</v>
      </c>
      <c r="H617" s="10">
        <f>41.1796 * CHOOSE(CONTROL!$C$15, $E$9, 100%, $G$9) + CHOOSE(CONTROL!$C$38, 0.0347, 0)</f>
        <v>41.214300000000001</v>
      </c>
      <c r="I617" s="10">
        <f>41.1812 * CHOOSE(CONTROL!$C$15, $E$9, 100%, $G$9) + CHOOSE(CONTROL!$C$38, 0.0347, 0)</f>
        <v>41.215899999999998</v>
      </c>
      <c r="J617" s="26">
        <f>309.4071</f>
        <v>309.40710000000001</v>
      </c>
    </row>
    <row r="618" spans="1:10" ht="15.75" x14ac:dyDescent="0.25">
      <c r="A618" s="13">
        <v>60114</v>
      </c>
      <c r="B618" s="10">
        <f>44.4901 * CHOOSE(CONTROL!$C$15, $E$9, 100%, $G$9) + CHOOSE(CONTROL!$C$38, 0.0256, 0)</f>
        <v>44.515699999999995</v>
      </c>
      <c r="C618" s="10">
        <f>40.9747 * CHOOSE(CONTROL!$C$15, $E$9, 100%, $G$9) + CHOOSE(CONTROL!$C$38, 0.0347, 0)</f>
        <v>41.009399999999999</v>
      </c>
      <c r="D618" s="10">
        <f>40.9669 * CHOOSE(CONTROL!$C$15, $E$9, 100%, $G$9) + CHOOSE(CONTROL!$C$38, 0.0347, 0)</f>
        <v>41.001600000000003</v>
      </c>
      <c r="E618" s="28">
        <f>44.3339 * CHOOSE(CONTROL!$C$15, $E$9, 100%, $G$9) + CHOOSE(CONTROL!$C$38, 0.0347, 0)</f>
        <v>44.368600000000001</v>
      </c>
      <c r="F618" s="27">
        <f>44.3339 * CHOOSE(CONTROL!$C$15, $E$9, 100%, $G$9) + CHOOSE(CONTROL!$C$38, 0.0256, 0)</f>
        <v>44.359499999999997</v>
      </c>
      <c r="G618" s="10">
        <f>40.9731 * CHOOSE(CONTROL!$C$15, $E$9, 100%, $G$9) + CHOOSE(CONTROL!$C$38, 0.0347, 0)</f>
        <v>41.007800000000003</v>
      </c>
      <c r="H618" s="10">
        <f>40.9731 * CHOOSE(CONTROL!$C$15, $E$9, 100%, $G$9) + CHOOSE(CONTROL!$C$38, 0.0347, 0)</f>
        <v>41.007800000000003</v>
      </c>
      <c r="I618" s="10">
        <f>40.9747 * CHOOSE(CONTROL!$C$15, $E$9, 100%, $G$9) + CHOOSE(CONTROL!$C$38, 0.0347, 0)</f>
        <v>41.009399999999999</v>
      </c>
      <c r="J618" s="26">
        <f>307.9601</f>
        <v>307.96010000000001</v>
      </c>
    </row>
    <row r="619" spans="1:10" ht="15.75" x14ac:dyDescent="0.25">
      <c r="A619" s="13">
        <v>60145</v>
      </c>
      <c r="B619" s="10">
        <f>44.592 * CHOOSE(CONTROL!$C$15, $E$9, 100%, $G$9) + CHOOSE(CONTROL!$C$38, 0.0256, 0)</f>
        <v>44.617599999999996</v>
      </c>
      <c r="C619" s="10">
        <f>41.0766 * CHOOSE(CONTROL!$C$15, $E$9, 100%, $G$9) + CHOOSE(CONTROL!$C$38, 0.0347, 0)</f>
        <v>41.1113</v>
      </c>
      <c r="D619" s="10">
        <f>41.0688 * CHOOSE(CONTROL!$C$15, $E$9, 100%, $G$9) + CHOOSE(CONTROL!$C$38, 0.0347, 0)</f>
        <v>41.103500000000004</v>
      </c>
      <c r="E619" s="28">
        <f>44.4358 * CHOOSE(CONTROL!$C$15, $E$9, 100%, $G$9) + CHOOSE(CONTROL!$C$38, 0.0347, 0)</f>
        <v>44.470500000000001</v>
      </c>
      <c r="F619" s="27">
        <f>44.4358 * CHOOSE(CONTROL!$C$15, $E$9, 100%, $G$9) + CHOOSE(CONTROL!$C$38, 0.0256, 0)</f>
        <v>44.461399999999998</v>
      </c>
      <c r="G619" s="10">
        <f>41.0751 * CHOOSE(CONTROL!$C$15, $E$9, 100%, $G$9) + CHOOSE(CONTROL!$C$38, 0.0347, 0)</f>
        <v>41.1098</v>
      </c>
      <c r="H619" s="10">
        <f>41.0751 * CHOOSE(CONTROL!$C$15, $E$9, 100%, $G$9) + CHOOSE(CONTROL!$C$38, 0.0347, 0)</f>
        <v>41.1098</v>
      </c>
      <c r="I619" s="10">
        <f>41.0766 * CHOOSE(CONTROL!$C$15, $E$9, 100%, $G$9) + CHOOSE(CONTROL!$C$38, 0.0347, 0)</f>
        <v>41.1113</v>
      </c>
      <c r="J619" s="26">
        <f>300.7909</f>
        <v>300.79090000000002</v>
      </c>
    </row>
    <row r="620" spans="1:10" ht="15.75" x14ac:dyDescent="0.25">
      <c r="A620" s="13">
        <v>60175</v>
      </c>
      <c r="B620" s="10">
        <f>44.8688 * CHOOSE(CONTROL!$C$15, $E$9, 100%, $G$9) + CHOOSE(CONTROL!$C$38, 0.0256, 0)</f>
        <v>44.894399999999997</v>
      </c>
      <c r="C620" s="10">
        <f>41.3534 * CHOOSE(CONTROL!$C$15, $E$9, 100%, $G$9) + CHOOSE(CONTROL!$C$38, 0.0347, 0)</f>
        <v>41.388100000000001</v>
      </c>
      <c r="D620" s="10">
        <f>41.3456 * CHOOSE(CONTROL!$C$15, $E$9, 100%, $G$9) + CHOOSE(CONTROL!$C$38, 0.0347, 0)</f>
        <v>41.380299999999998</v>
      </c>
      <c r="E620" s="28">
        <f>44.7126 * CHOOSE(CONTROL!$C$15, $E$9, 100%, $G$9) + CHOOSE(CONTROL!$C$38, 0.0347, 0)</f>
        <v>44.747300000000003</v>
      </c>
      <c r="F620" s="27">
        <f>44.7126 * CHOOSE(CONTROL!$C$15, $E$9, 100%, $G$9) + CHOOSE(CONTROL!$C$38, 0.0256, 0)</f>
        <v>44.738199999999999</v>
      </c>
      <c r="G620" s="10">
        <f>41.3519 * CHOOSE(CONTROL!$C$15, $E$9, 100%, $G$9) + CHOOSE(CONTROL!$C$38, 0.0347, 0)</f>
        <v>41.386600000000001</v>
      </c>
      <c r="H620" s="10">
        <f>41.3519 * CHOOSE(CONTROL!$C$15, $E$9, 100%, $G$9) + CHOOSE(CONTROL!$C$38, 0.0347, 0)</f>
        <v>41.386600000000001</v>
      </c>
      <c r="I620" s="10">
        <f>41.3534 * CHOOSE(CONTROL!$C$15, $E$9, 100%, $G$9) + CHOOSE(CONTROL!$C$38, 0.0347, 0)</f>
        <v>41.388100000000001</v>
      </c>
      <c r="J620" s="26">
        <f>290.7932</f>
        <v>290.79320000000001</v>
      </c>
    </row>
    <row r="621" spans="1:10" ht="15.75" x14ac:dyDescent="0.25">
      <c r="A621" s="13">
        <v>60206</v>
      </c>
      <c r="B621" s="10">
        <f>45.1007 * CHOOSE(CONTROL!$C$15, $E$9, 100%, $G$9) + CHOOSE(CONTROL!$C$38, 0.0256, 0)</f>
        <v>45.126300000000001</v>
      </c>
      <c r="C621" s="10">
        <f>41.5852 * CHOOSE(CONTROL!$C$15, $E$9, 100%, $G$9) + CHOOSE(CONTROL!$C$38, 0.0347, 0)</f>
        <v>41.619900000000001</v>
      </c>
      <c r="D621" s="10">
        <f>41.5774 * CHOOSE(CONTROL!$C$15, $E$9, 100%, $G$9) + CHOOSE(CONTROL!$C$38, 0.0347, 0)</f>
        <v>41.612099999999998</v>
      </c>
      <c r="E621" s="28">
        <f>44.9444 * CHOOSE(CONTROL!$C$15, $E$9, 100%, $G$9) + CHOOSE(CONTROL!$C$38, 0.0347, 0)</f>
        <v>44.979100000000003</v>
      </c>
      <c r="F621" s="27">
        <f>44.9444 * CHOOSE(CONTROL!$C$15, $E$9, 100%, $G$9) + CHOOSE(CONTROL!$C$38, 0.0256, 0)</f>
        <v>44.97</v>
      </c>
      <c r="G621" s="10">
        <f>41.5837 * CHOOSE(CONTROL!$C$15, $E$9, 100%, $G$9) + CHOOSE(CONTROL!$C$38, 0.0347, 0)</f>
        <v>41.618400000000001</v>
      </c>
      <c r="H621" s="10">
        <f>41.5837 * CHOOSE(CONTROL!$C$15, $E$9, 100%, $G$9) + CHOOSE(CONTROL!$C$38, 0.0347, 0)</f>
        <v>41.618400000000001</v>
      </c>
      <c r="I621" s="10">
        <f>41.5852 * CHOOSE(CONTROL!$C$15, $E$9, 100%, $G$9) + CHOOSE(CONTROL!$C$38, 0.0347, 0)</f>
        <v>41.619900000000001</v>
      </c>
      <c r="J621" s="26">
        <f>280.7372</f>
        <v>280.73719999999997</v>
      </c>
    </row>
    <row r="622" spans="1:10" ht="15.75" x14ac:dyDescent="0.25">
      <c r="A622" s="13">
        <v>60236</v>
      </c>
      <c r="B622" s="10">
        <f>45.2941 * CHOOSE(CONTROL!$C$15, $E$9, 100%, $G$9) + CHOOSE(CONTROL!$C$38, 0.0256, 0)</f>
        <v>45.319699999999997</v>
      </c>
      <c r="C622" s="10">
        <f>41.7787 * CHOOSE(CONTROL!$C$15, $E$9, 100%, $G$9) + CHOOSE(CONTROL!$C$38, 0.0347, 0)</f>
        <v>41.813400000000001</v>
      </c>
      <c r="D622" s="10">
        <f>41.7709 * CHOOSE(CONTROL!$C$15, $E$9, 100%, $G$9) + CHOOSE(CONTROL!$C$38, 0.0347, 0)</f>
        <v>41.805599999999998</v>
      </c>
      <c r="E622" s="28">
        <f>45.1379 * CHOOSE(CONTROL!$C$15, $E$9, 100%, $G$9) + CHOOSE(CONTROL!$C$38, 0.0347, 0)</f>
        <v>45.172600000000003</v>
      </c>
      <c r="F622" s="27">
        <f>45.1379 * CHOOSE(CONTROL!$C$15, $E$9, 100%, $G$9) + CHOOSE(CONTROL!$C$38, 0.0256, 0)</f>
        <v>45.163499999999999</v>
      </c>
      <c r="G622" s="10">
        <f>41.7771 * CHOOSE(CONTROL!$C$15, $E$9, 100%, $G$9) + CHOOSE(CONTROL!$C$38, 0.0347, 0)</f>
        <v>41.811799999999998</v>
      </c>
      <c r="H622" s="10">
        <f>41.7771 * CHOOSE(CONTROL!$C$15, $E$9, 100%, $G$9) + CHOOSE(CONTROL!$C$38, 0.0347, 0)</f>
        <v>41.811799999999998</v>
      </c>
      <c r="I622" s="10">
        <f>41.7787 * CHOOSE(CONTROL!$C$15, $E$9, 100%, $G$9) + CHOOSE(CONTROL!$C$38, 0.0347, 0)</f>
        <v>41.813400000000001</v>
      </c>
      <c r="J622" s="26">
        <f>278.7369</f>
        <v>278.73689999999999</v>
      </c>
    </row>
    <row r="623" spans="1:10" ht="15.75" x14ac:dyDescent="0.25">
      <c r="A623" s="13">
        <v>60267</v>
      </c>
      <c r="B623" s="10">
        <f>45.8902 * CHOOSE(CONTROL!$C$15, $E$9, 100%, $G$9) + CHOOSE(CONTROL!$C$38, 0.0256, 0)</f>
        <v>45.915799999999997</v>
      </c>
      <c r="C623" s="10">
        <f>42.3747 * CHOOSE(CONTROL!$C$15, $E$9, 100%, $G$9) + CHOOSE(CONTROL!$C$38, 0.0347, 0)</f>
        <v>42.409399999999998</v>
      </c>
      <c r="D623" s="10">
        <f>42.3669 * CHOOSE(CONTROL!$C$15, $E$9, 100%, $G$9) + CHOOSE(CONTROL!$C$38, 0.0347, 0)</f>
        <v>42.401600000000002</v>
      </c>
      <c r="E623" s="28">
        <f>45.7339 * CHOOSE(CONTROL!$C$15, $E$9, 100%, $G$9) + CHOOSE(CONTROL!$C$38, 0.0347, 0)</f>
        <v>45.768599999999999</v>
      </c>
      <c r="F623" s="27">
        <f>45.7339 * CHOOSE(CONTROL!$C$15, $E$9, 100%, $G$9) + CHOOSE(CONTROL!$C$38, 0.0256, 0)</f>
        <v>45.759499999999996</v>
      </c>
      <c r="G623" s="10">
        <f>42.3732 * CHOOSE(CONTROL!$C$15, $E$9, 100%, $G$9) + CHOOSE(CONTROL!$C$38, 0.0347, 0)</f>
        <v>42.407899999999998</v>
      </c>
      <c r="H623" s="10">
        <f>42.3732 * CHOOSE(CONTROL!$C$15, $E$9, 100%, $G$9) + CHOOSE(CONTROL!$C$38, 0.0347, 0)</f>
        <v>42.407899999999998</v>
      </c>
      <c r="I623" s="10">
        <f>42.3747 * CHOOSE(CONTROL!$C$15, $E$9, 100%, $G$9) + CHOOSE(CONTROL!$C$38, 0.0347, 0)</f>
        <v>42.409399999999998</v>
      </c>
      <c r="J623" s="26">
        <f>270.4654</f>
        <v>270.46539999999999</v>
      </c>
    </row>
    <row r="624" spans="1:10" ht="15.75" x14ac:dyDescent="0.25">
      <c r="A624" s="13">
        <v>60298</v>
      </c>
      <c r="B624" s="10">
        <f>47.1509 * CHOOSE(CONTROL!$C$15, $E$9, 100%, $G$9) + CHOOSE(CONTROL!$C$38, 0.0256, 0)</f>
        <v>47.176499999999997</v>
      </c>
      <c r="C624" s="10">
        <f>43.5761 * CHOOSE(CONTROL!$C$15, $E$9, 100%, $G$9) + CHOOSE(CONTROL!$C$38, 0.0347, 0)</f>
        <v>43.610799999999998</v>
      </c>
      <c r="D624" s="10">
        <f>43.5683 * CHOOSE(CONTROL!$C$15, $E$9, 100%, $G$9) + CHOOSE(CONTROL!$C$38, 0.0347, 0)</f>
        <v>43.603000000000002</v>
      </c>
      <c r="E624" s="28">
        <f>46.9947 * CHOOSE(CONTROL!$C$15, $E$9, 100%, $G$9) + CHOOSE(CONTROL!$C$38, 0.0347, 0)</f>
        <v>47.029400000000003</v>
      </c>
      <c r="F624" s="27">
        <f>46.9947 * CHOOSE(CONTROL!$C$15, $E$9, 100%, $G$9) + CHOOSE(CONTROL!$C$38, 0.0256, 0)</f>
        <v>47.020299999999999</v>
      </c>
      <c r="G624" s="10">
        <f>43.5746 * CHOOSE(CONTROL!$C$15, $E$9, 100%, $G$9) + CHOOSE(CONTROL!$C$38, 0.0347, 0)</f>
        <v>43.609299999999998</v>
      </c>
      <c r="H624" s="10">
        <f>43.5746 * CHOOSE(CONTROL!$C$15, $E$9, 100%, $G$9) + CHOOSE(CONTROL!$C$38, 0.0347, 0)</f>
        <v>43.609299999999998</v>
      </c>
      <c r="I624" s="10">
        <f>43.5761 * CHOOSE(CONTROL!$C$15, $E$9, 100%, $G$9) + CHOOSE(CONTROL!$C$38, 0.0347, 0)</f>
        <v>43.610799999999998</v>
      </c>
      <c r="J624" s="26">
        <f>268.6537</f>
        <v>268.65370000000001</v>
      </c>
    </row>
    <row r="625" spans="1:10" ht="15.75" x14ac:dyDescent="0.25">
      <c r="A625" s="13">
        <v>60326</v>
      </c>
      <c r="B625" s="10">
        <f>47.3717 * CHOOSE(CONTROL!$C$15, $E$9, 100%, $G$9) + CHOOSE(CONTROL!$C$38, 0.0256, 0)</f>
        <v>47.397299999999994</v>
      </c>
      <c r="C625" s="10">
        <f>43.7969 * CHOOSE(CONTROL!$C$15, $E$9, 100%, $G$9) + CHOOSE(CONTROL!$C$38, 0.0347, 0)</f>
        <v>43.831600000000002</v>
      </c>
      <c r="D625" s="10">
        <f>43.7891 * CHOOSE(CONTROL!$C$15, $E$9, 100%, $G$9) + CHOOSE(CONTROL!$C$38, 0.0347, 0)</f>
        <v>43.823799999999999</v>
      </c>
      <c r="E625" s="28">
        <f>47.2154 * CHOOSE(CONTROL!$C$15, $E$9, 100%, $G$9) + CHOOSE(CONTROL!$C$38, 0.0347, 0)</f>
        <v>47.250100000000003</v>
      </c>
      <c r="F625" s="27">
        <f>47.2154 * CHOOSE(CONTROL!$C$15, $E$9, 100%, $G$9) + CHOOSE(CONTROL!$C$38, 0.0256, 0)</f>
        <v>47.241</v>
      </c>
      <c r="G625" s="10">
        <f>43.7953 * CHOOSE(CONTROL!$C$15, $E$9, 100%, $G$9) + CHOOSE(CONTROL!$C$38, 0.0347, 0)</f>
        <v>43.83</v>
      </c>
      <c r="H625" s="10">
        <f>43.7953 * CHOOSE(CONTROL!$C$15, $E$9, 100%, $G$9) + CHOOSE(CONTROL!$C$38, 0.0347, 0)</f>
        <v>43.83</v>
      </c>
      <c r="I625" s="10">
        <f>43.7969 * CHOOSE(CONTROL!$C$15, $E$9, 100%, $G$9) + CHOOSE(CONTROL!$C$38, 0.0347, 0)</f>
        <v>43.831600000000002</v>
      </c>
      <c r="J625" s="26">
        <f>267.9069</f>
        <v>267.90690000000001</v>
      </c>
    </row>
    <row r="626" spans="1:10" ht="15.75" x14ac:dyDescent="0.25">
      <c r="A626" s="13">
        <v>60357</v>
      </c>
      <c r="B626" s="10">
        <f>46.8607 * CHOOSE(CONTROL!$C$15, $E$9, 100%, $G$9) + CHOOSE(CONTROL!$C$38, 0.0256, 0)</f>
        <v>46.886299999999999</v>
      </c>
      <c r="C626" s="10">
        <f>43.2859 * CHOOSE(CONTROL!$C$15, $E$9, 100%, $G$9) + CHOOSE(CONTROL!$C$38, 0.0347, 0)</f>
        <v>43.320599999999999</v>
      </c>
      <c r="D626" s="10">
        <f>43.2781 * CHOOSE(CONTROL!$C$15, $E$9, 100%, $G$9) + CHOOSE(CONTROL!$C$38, 0.0347, 0)</f>
        <v>43.312800000000003</v>
      </c>
      <c r="E626" s="28">
        <f>46.7044 * CHOOSE(CONTROL!$C$15, $E$9, 100%, $G$9) + CHOOSE(CONTROL!$C$38, 0.0347, 0)</f>
        <v>46.739100000000001</v>
      </c>
      <c r="F626" s="27">
        <f>46.7044 * CHOOSE(CONTROL!$C$15, $E$9, 100%, $G$9) + CHOOSE(CONTROL!$C$38, 0.0256, 0)</f>
        <v>46.73</v>
      </c>
      <c r="G626" s="10">
        <f>43.2843 * CHOOSE(CONTROL!$C$15, $E$9, 100%, $G$9) + CHOOSE(CONTROL!$C$38, 0.0347, 0)</f>
        <v>43.319000000000003</v>
      </c>
      <c r="H626" s="10">
        <f>43.2843 * CHOOSE(CONTROL!$C$15, $E$9, 100%, $G$9) + CHOOSE(CONTROL!$C$38, 0.0347, 0)</f>
        <v>43.319000000000003</v>
      </c>
      <c r="I626" s="10">
        <f>43.2859 * CHOOSE(CONTROL!$C$15, $E$9, 100%, $G$9) + CHOOSE(CONTROL!$C$38, 0.0347, 0)</f>
        <v>43.320599999999999</v>
      </c>
      <c r="J626" s="26">
        <f>282.0271</f>
        <v>282.02710000000002</v>
      </c>
    </row>
    <row r="627" spans="1:10" ht="15.75" x14ac:dyDescent="0.25">
      <c r="A627" s="13">
        <v>60387</v>
      </c>
      <c r="B627" s="10">
        <f>46.3655 * CHOOSE(CONTROL!$C$15, $E$9, 100%, $G$9) + CHOOSE(CONTROL!$C$38, 0.0256, 0)</f>
        <v>46.391099999999994</v>
      </c>
      <c r="C627" s="10">
        <f>42.7907 * CHOOSE(CONTROL!$C$15, $E$9, 100%, $G$9) + CHOOSE(CONTROL!$C$38, 0.0347, 0)</f>
        <v>42.825400000000002</v>
      </c>
      <c r="D627" s="10">
        <f>42.7829 * CHOOSE(CONTROL!$C$15, $E$9, 100%, $G$9) + CHOOSE(CONTROL!$C$38, 0.0347, 0)</f>
        <v>42.817599999999999</v>
      </c>
      <c r="E627" s="28">
        <f>46.2092 * CHOOSE(CONTROL!$C$15, $E$9, 100%, $G$9) + CHOOSE(CONTROL!$C$38, 0.0347, 0)</f>
        <v>46.243900000000004</v>
      </c>
      <c r="F627" s="27">
        <f>46.2092 * CHOOSE(CONTROL!$C$15, $E$9, 100%, $G$9) + CHOOSE(CONTROL!$C$38, 0.0256, 0)</f>
        <v>46.2348</v>
      </c>
      <c r="G627" s="10">
        <f>42.7891 * CHOOSE(CONTROL!$C$15, $E$9, 100%, $G$9) + CHOOSE(CONTROL!$C$38, 0.0347, 0)</f>
        <v>42.823799999999999</v>
      </c>
      <c r="H627" s="10">
        <f>42.7891 * CHOOSE(CONTROL!$C$15, $E$9, 100%, $G$9) + CHOOSE(CONTROL!$C$38, 0.0347, 0)</f>
        <v>42.823799999999999</v>
      </c>
      <c r="I627" s="10">
        <f>42.7907 * CHOOSE(CONTROL!$C$15, $E$9, 100%, $G$9) + CHOOSE(CONTROL!$C$38, 0.0347, 0)</f>
        <v>42.825400000000002</v>
      </c>
      <c r="J627" s="26">
        <f>300.3377</f>
        <v>300.33769999999998</v>
      </c>
    </row>
    <row r="628" spans="1:10" ht="15.75" x14ac:dyDescent="0.25">
      <c r="A628" s="13">
        <v>60418</v>
      </c>
      <c r="B628" s="10">
        <f>45.8494 * CHOOSE(CONTROL!$C$15, $E$9, 100%, $G$9) + CHOOSE(CONTROL!$C$38, 0.0256, 0)</f>
        <v>45.875</v>
      </c>
      <c r="C628" s="10">
        <f>42.2746 * CHOOSE(CONTROL!$C$15, $E$9, 100%, $G$9) + CHOOSE(CONTROL!$C$38, 0.0347, 0)</f>
        <v>42.3093</v>
      </c>
      <c r="D628" s="10">
        <f>42.2668 * CHOOSE(CONTROL!$C$15, $E$9, 100%, $G$9) + CHOOSE(CONTROL!$C$38, 0.0347, 0)</f>
        <v>42.301500000000004</v>
      </c>
      <c r="E628" s="28">
        <f>45.6931 * CHOOSE(CONTROL!$C$15, $E$9, 100%, $G$9) + CHOOSE(CONTROL!$C$38, 0.0347, 0)</f>
        <v>45.727800000000002</v>
      </c>
      <c r="F628" s="27">
        <f>45.6931 * CHOOSE(CONTROL!$C$15, $E$9, 100%, $G$9) + CHOOSE(CONTROL!$C$38, 0.0256, 0)</f>
        <v>45.718699999999998</v>
      </c>
      <c r="G628" s="10">
        <f>42.273 * CHOOSE(CONTROL!$C$15, $E$9, 100%, $G$9) + CHOOSE(CONTROL!$C$38, 0.0347, 0)</f>
        <v>42.307700000000004</v>
      </c>
      <c r="H628" s="10">
        <f>42.273 * CHOOSE(CONTROL!$C$15, $E$9, 100%, $G$9) + CHOOSE(CONTROL!$C$38, 0.0347, 0)</f>
        <v>42.307700000000004</v>
      </c>
      <c r="I628" s="10">
        <f>42.2746 * CHOOSE(CONTROL!$C$15, $E$9, 100%, $G$9) + CHOOSE(CONTROL!$C$38, 0.0347, 0)</f>
        <v>42.3093</v>
      </c>
      <c r="J628" s="26">
        <f>310.4165</f>
        <v>310.41649999999998</v>
      </c>
    </row>
    <row r="629" spans="1:10" ht="15.75" x14ac:dyDescent="0.25">
      <c r="A629" s="13">
        <v>60448</v>
      </c>
      <c r="B629" s="10">
        <f>45.4875 * CHOOSE(CONTROL!$C$15, $E$9, 100%, $G$9) + CHOOSE(CONTROL!$C$38, 0.0256, 0)</f>
        <v>45.513099999999994</v>
      </c>
      <c r="C629" s="10">
        <f>41.9128 * CHOOSE(CONTROL!$C$15, $E$9, 100%, $G$9) + CHOOSE(CONTROL!$C$38, 0.0347, 0)</f>
        <v>41.947499999999998</v>
      </c>
      <c r="D629" s="10">
        <f>41.9049 * CHOOSE(CONTROL!$C$15, $E$9, 100%, $G$9) + CHOOSE(CONTROL!$C$38, 0.0347, 0)</f>
        <v>41.939599999999999</v>
      </c>
      <c r="E629" s="28">
        <f>45.3313 * CHOOSE(CONTROL!$C$15, $E$9, 100%, $G$9) + CHOOSE(CONTROL!$C$38, 0.0347, 0)</f>
        <v>45.366</v>
      </c>
      <c r="F629" s="27">
        <f>45.3313 * CHOOSE(CONTROL!$C$15, $E$9, 100%, $G$9) + CHOOSE(CONTROL!$C$38, 0.0256, 0)</f>
        <v>45.356899999999996</v>
      </c>
      <c r="G629" s="10">
        <f>41.9112 * CHOOSE(CONTROL!$C$15, $E$9, 100%, $G$9) + CHOOSE(CONTROL!$C$38, 0.0347, 0)</f>
        <v>41.945900000000002</v>
      </c>
      <c r="H629" s="10">
        <f>41.9112 * CHOOSE(CONTROL!$C$15, $E$9, 100%, $G$9) + CHOOSE(CONTROL!$C$38, 0.0347, 0)</f>
        <v>41.945900000000002</v>
      </c>
      <c r="I629" s="10">
        <f>41.9128 * CHOOSE(CONTROL!$C$15, $E$9, 100%, $G$9) + CHOOSE(CONTROL!$C$38, 0.0347, 0)</f>
        <v>41.947499999999998</v>
      </c>
      <c r="J629" s="26">
        <f>314.8892</f>
        <v>314.88920000000002</v>
      </c>
    </row>
    <row r="630" spans="1:10" ht="15.75" x14ac:dyDescent="0.25">
      <c r="A630" s="13">
        <v>60479</v>
      </c>
      <c r="B630" s="10">
        <f>45.281 * CHOOSE(CONTROL!$C$15, $E$9, 100%, $G$9) + CHOOSE(CONTROL!$C$38, 0.0256, 0)</f>
        <v>45.306599999999996</v>
      </c>
      <c r="C630" s="10">
        <f>41.7063 * CHOOSE(CONTROL!$C$15, $E$9, 100%, $G$9) + CHOOSE(CONTROL!$C$38, 0.0347, 0)</f>
        <v>41.741</v>
      </c>
      <c r="D630" s="10">
        <f>41.6985 * CHOOSE(CONTROL!$C$15, $E$9, 100%, $G$9) + CHOOSE(CONTROL!$C$38, 0.0347, 0)</f>
        <v>41.733200000000004</v>
      </c>
      <c r="E630" s="28">
        <f>45.1248 * CHOOSE(CONTROL!$C$15, $E$9, 100%, $G$9) + CHOOSE(CONTROL!$C$38, 0.0347, 0)</f>
        <v>45.159500000000001</v>
      </c>
      <c r="F630" s="27">
        <f>45.1248 * CHOOSE(CONTROL!$C$15, $E$9, 100%, $G$9) + CHOOSE(CONTROL!$C$38, 0.0256, 0)</f>
        <v>45.150399999999998</v>
      </c>
      <c r="G630" s="10">
        <f>41.7047 * CHOOSE(CONTROL!$C$15, $E$9, 100%, $G$9) + CHOOSE(CONTROL!$C$38, 0.0347, 0)</f>
        <v>41.739400000000003</v>
      </c>
      <c r="H630" s="10">
        <f>41.7047 * CHOOSE(CONTROL!$C$15, $E$9, 100%, $G$9) + CHOOSE(CONTROL!$C$38, 0.0347, 0)</f>
        <v>41.739400000000003</v>
      </c>
      <c r="I630" s="10">
        <f>41.7063 * CHOOSE(CONTROL!$C$15, $E$9, 100%, $G$9) + CHOOSE(CONTROL!$C$38, 0.0347, 0)</f>
        <v>41.741</v>
      </c>
      <c r="J630" s="26">
        <f>313.4166</f>
        <v>313.41660000000002</v>
      </c>
    </row>
    <row r="631" spans="1:10" ht="15.75" x14ac:dyDescent="0.25">
      <c r="A631" s="13">
        <v>60510</v>
      </c>
      <c r="B631" s="10">
        <f>45.383 * CHOOSE(CONTROL!$C$15, $E$9, 100%, $G$9) + CHOOSE(CONTROL!$C$38, 0.0256, 0)</f>
        <v>45.4086</v>
      </c>
      <c r="C631" s="10">
        <f>41.8082 * CHOOSE(CONTROL!$C$15, $E$9, 100%, $G$9) + CHOOSE(CONTROL!$C$38, 0.0347, 0)</f>
        <v>41.8429</v>
      </c>
      <c r="D631" s="10">
        <f>41.8004 * CHOOSE(CONTROL!$C$15, $E$9, 100%, $G$9) + CHOOSE(CONTROL!$C$38, 0.0347, 0)</f>
        <v>41.835100000000004</v>
      </c>
      <c r="E631" s="28">
        <f>45.2267 * CHOOSE(CONTROL!$C$15, $E$9, 100%, $G$9) + CHOOSE(CONTROL!$C$38, 0.0347, 0)</f>
        <v>45.261400000000002</v>
      </c>
      <c r="F631" s="27">
        <f>45.2267 * CHOOSE(CONTROL!$C$15, $E$9, 100%, $G$9) + CHOOSE(CONTROL!$C$38, 0.0256, 0)</f>
        <v>45.252299999999998</v>
      </c>
      <c r="G631" s="10">
        <f>41.8066 * CHOOSE(CONTROL!$C$15, $E$9, 100%, $G$9) + CHOOSE(CONTROL!$C$38, 0.0347, 0)</f>
        <v>41.841300000000004</v>
      </c>
      <c r="H631" s="10">
        <f>41.8066 * CHOOSE(CONTROL!$C$15, $E$9, 100%, $G$9) + CHOOSE(CONTROL!$C$38, 0.0347, 0)</f>
        <v>41.841300000000004</v>
      </c>
      <c r="I631" s="10">
        <f>41.8082 * CHOOSE(CONTROL!$C$15, $E$9, 100%, $G$9) + CHOOSE(CONTROL!$C$38, 0.0347, 0)</f>
        <v>41.8429</v>
      </c>
      <c r="J631" s="26">
        <f>306.1204</f>
        <v>306.12040000000002</v>
      </c>
    </row>
    <row r="632" spans="1:10" ht="15.75" x14ac:dyDescent="0.25">
      <c r="A632" s="13">
        <v>60540</v>
      </c>
      <c r="B632" s="10">
        <f>45.6597 * CHOOSE(CONTROL!$C$15, $E$9, 100%, $G$9) + CHOOSE(CONTROL!$C$38, 0.0256, 0)</f>
        <v>45.685299999999998</v>
      </c>
      <c r="C632" s="10">
        <f>42.085 * CHOOSE(CONTROL!$C$15, $E$9, 100%, $G$9) + CHOOSE(CONTROL!$C$38, 0.0347, 0)</f>
        <v>42.119700000000002</v>
      </c>
      <c r="D632" s="10">
        <f>42.0772 * CHOOSE(CONTROL!$C$15, $E$9, 100%, $G$9) + CHOOSE(CONTROL!$C$38, 0.0347, 0)</f>
        <v>42.111899999999999</v>
      </c>
      <c r="E632" s="28">
        <f>45.5035 * CHOOSE(CONTROL!$C$15, $E$9, 100%, $G$9) + CHOOSE(CONTROL!$C$38, 0.0347, 0)</f>
        <v>45.538200000000003</v>
      </c>
      <c r="F632" s="27">
        <f>45.5035 * CHOOSE(CONTROL!$C$15, $E$9, 100%, $G$9) + CHOOSE(CONTROL!$C$38, 0.0256, 0)</f>
        <v>45.5291</v>
      </c>
      <c r="G632" s="10">
        <f>42.0834 * CHOOSE(CONTROL!$C$15, $E$9, 100%, $G$9) + CHOOSE(CONTROL!$C$38, 0.0347, 0)</f>
        <v>42.118099999999998</v>
      </c>
      <c r="H632" s="10">
        <f>42.0834 * CHOOSE(CONTROL!$C$15, $E$9, 100%, $G$9) + CHOOSE(CONTROL!$C$38, 0.0347, 0)</f>
        <v>42.118099999999998</v>
      </c>
      <c r="I632" s="10">
        <f>42.085 * CHOOSE(CONTROL!$C$15, $E$9, 100%, $G$9) + CHOOSE(CONTROL!$C$38, 0.0347, 0)</f>
        <v>42.119700000000002</v>
      </c>
      <c r="J632" s="26">
        <f>295.9455</f>
        <v>295.94549999999998</v>
      </c>
    </row>
    <row r="633" spans="1:10" ht="15.75" x14ac:dyDescent="0.25">
      <c r="A633" s="13">
        <v>60571</v>
      </c>
      <c r="B633" s="10">
        <f>45.8916 * CHOOSE(CONTROL!$C$15, $E$9, 100%, $G$9) + CHOOSE(CONTROL!$C$38, 0.0256, 0)</f>
        <v>45.917199999999994</v>
      </c>
      <c r="C633" s="10">
        <f>42.3168 * CHOOSE(CONTROL!$C$15, $E$9, 100%, $G$9) + CHOOSE(CONTROL!$C$38, 0.0347, 0)</f>
        <v>42.351500000000001</v>
      </c>
      <c r="D633" s="10">
        <f>42.309 * CHOOSE(CONTROL!$C$15, $E$9, 100%, $G$9) + CHOOSE(CONTROL!$C$38, 0.0347, 0)</f>
        <v>42.343699999999998</v>
      </c>
      <c r="E633" s="28">
        <f>45.7353 * CHOOSE(CONTROL!$C$15, $E$9, 100%, $G$9) + CHOOSE(CONTROL!$C$38, 0.0347, 0)</f>
        <v>45.77</v>
      </c>
      <c r="F633" s="27">
        <f>45.7353 * CHOOSE(CONTROL!$C$15, $E$9, 100%, $G$9) + CHOOSE(CONTROL!$C$38, 0.0256, 0)</f>
        <v>45.760899999999999</v>
      </c>
      <c r="G633" s="10">
        <f>42.3152 * CHOOSE(CONTROL!$C$15, $E$9, 100%, $G$9) + CHOOSE(CONTROL!$C$38, 0.0347, 0)</f>
        <v>42.349899999999998</v>
      </c>
      <c r="H633" s="10">
        <f>42.3152 * CHOOSE(CONTROL!$C$15, $E$9, 100%, $G$9) + CHOOSE(CONTROL!$C$38, 0.0347, 0)</f>
        <v>42.349899999999998</v>
      </c>
      <c r="I633" s="10">
        <f>42.3168 * CHOOSE(CONTROL!$C$15, $E$9, 100%, $G$9) + CHOOSE(CONTROL!$C$38, 0.0347, 0)</f>
        <v>42.351500000000001</v>
      </c>
      <c r="J633" s="26">
        <f>285.7114</f>
        <v>285.71140000000003</v>
      </c>
    </row>
    <row r="634" spans="1:10" ht="15.75" x14ac:dyDescent="0.25">
      <c r="A634" s="13">
        <v>60601</v>
      </c>
      <c r="B634" s="10">
        <f>46.085 * CHOOSE(CONTROL!$C$15, $E$9, 100%, $G$9) + CHOOSE(CONTROL!$C$38, 0.0256, 0)</f>
        <v>46.110599999999998</v>
      </c>
      <c r="C634" s="10">
        <f>42.5102 * CHOOSE(CONTROL!$C$15, $E$9, 100%, $G$9) + CHOOSE(CONTROL!$C$38, 0.0347, 0)</f>
        <v>42.544899999999998</v>
      </c>
      <c r="D634" s="10">
        <f>42.5024 * CHOOSE(CONTROL!$C$15, $E$9, 100%, $G$9) + CHOOSE(CONTROL!$C$38, 0.0347, 0)</f>
        <v>42.537100000000002</v>
      </c>
      <c r="E634" s="28">
        <f>45.9288 * CHOOSE(CONTROL!$C$15, $E$9, 100%, $G$9) + CHOOSE(CONTROL!$C$38, 0.0347, 0)</f>
        <v>45.963500000000003</v>
      </c>
      <c r="F634" s="27">
        <f>45.9288 * CHOOSE(CONTROL!$C$15, $E$9, 100%, $G$9) + CHOOSE(CONTROL!$C$38, 0.0256, 0)</f>
        <v>45.9544</v>
      </c>
      <c r="G634" s="10">
        <f>42.5087 * CHOOSE(CONTROL!$C$15, $E$9, 100%, $G$9) + CHOOSE(CONTROL!$C$38, 0.0347, 0)</f>
        <v>42.543399999999998</v>
      </c>
      <c r="H634" s="10">
        <f>42.5087 * CHOOSE(CONTROL!$C$15, $E$9, 100%, $G$9) + CHOOSE(CONTROL!$C$38, 0.0347, 0)</f>
        <v>42.543399999999998</v>
      </c>
      <c r="I634" s="10">
        <f>42.5102 * CHOOSE(CONTROL!$C$15, $E$9, 100%, $G$9) + CHOOSE(CONTROL!$C$38, 0.0347, 0)</f>
        <v>42.544899999999998</v>
      </c>
      <c r="J634" s="26">
        <f>283.6756</f>
        <v>283.67559999999997</v>
      </c>
    </row>
    <row r="635" spans="1:10" ht="15.75" x14ac:dyDescent="0.25">
      <c r="A635" s="13">
        <v>60632</v>
      </c>
      <c r="B635" s="10">
        <f>46.6811 * CHOOSE(CONTROL!$C$15, $E$9, 100%, $G$9) + CHOOSE(CONTROL!$C$38, 0.0256, 0)</f>
        <v>46.706699999999998</v>
      </c>
      <c r="C635" s="10">
        <f>43.1063 * CHOOSE(CONTROL!$C$15, $E$9, 100%, $G$9) + CHOOSE(CONTROL!$C$38, 0.0347, 0)</f>
        <v>43.140999999999998</v>
      </c>
      <c r="D635" s="10">
        <f>43.0985 * CHOOSE(CONTROL!$C$15, $E$9, 100%, $G$9) + CHOOSE(CONTROL!$C$38, 0.0347, 0)</f>
        <v>43.133200000000002</v>
      </c>
      <c r="E635" s="28">
        <f>46.5248 * CHOOSE(CONTROL!$C$15, $E$9, 100%, $G$9) + CHOOSE(CONTROL!$C$38, 0.0347, 0)</f>
        <v>46.5595</v>
      </c>
      <c r="F635" s="27">
        <f>46.5248 * CHOOSE(CONTROL!$C$15, $E$9, 100%, $G$9) + CHOOSE(CONTROL!$C$38, 0.0256, 0)</f>
        <v>46.550399999999996</v>
      </c>
      <c r="G635" s="10">
        <f>43.1047 * CHOOSE(CONTROL!$C$15, $E$9, 100%, $G$9) + CHOOSE(CONTROL!$C$38, 0.0347, 0)</f>
        <v>43.139400000000002</v>
      </c>
      <c r="H635" s="10">
        <f>43.1047 * CHOOSE(CONTROL!$C$15, $E$9, 100%, $G$9) + CHOOSE(CONTROL!$C$38, 0.0347, 0)</f>
        <v>43.139400000000002</v>
      </c>
      <c r="I635" s="10">
        <f>43.1063 * CHOOSE(CONTROL!$C$15, $E$9, 100%, $G$9) + CHOOSE(CONTROL!$C$38, 0.0347, 0)</f>
        <v>43.140999999999998</v>
      </c>
      <c r="J635" s="26">
        <f>275.2575</f>
        <v>275.25749999999999</v>
      </c>
    </row>
    <row r="636" spans="1:10" ht="15.75" x14ac:dyDescent="0.25">
      <c r="A636" s="13">
        <v>60663</v>
      </c>
      <c r="B636" s="10">
        <f>47.9558 * CHOOSE(CONTROL!$C$15, $E$9, 100%, $G$9) + CHOOSE(CONTROL!$C$38, 0.0256, 0)</f>
        <v>47.981400000000001</v>
      </c>
      <c r="C636" s="10">
        <f>44.3206 * CHOOSE(CONTROL!$C$15, $E$9, 100%, $G$9) + CHOOSE(CONTROL!$C$38, 0.0347, 0)</f>
        <v>44.3553</v>
      </c>
      <c r="D636" s="10">
        <f>44.3128 * CHOOSE(CONTROL!$C$15, $E$9, 100%, $G$9) + CHOOSE(CONTROL!$C$38, 0.0347, 0)</f>
        <v>44.347500000000004</v>
      </c>
      <c r="E636" s="28">
        <f>47.7996 * CHOOSE(CONTROL!$C$15, $E$9, 100%, $G$9) + CHOOSE(CONTROL!$C$38, 0.0347, 0)</f>
        <v>47.834299999999999</v>
      </c>
      <c r="F636" s="27">
        <f>47.7996 * CHOOSE(CONTROL!$C$15, $E$9, 100%, $G$9) + CHOOSE(CONTROL!$C$38, 0.0256, 0)</f>
        <v>47.825199999999995</v>
      </c>
      <c r="G636" s="10">
        <f>44.3191 * CHOOSE(CONTROL!$C$15, $E$9, 100%, $G$9) + CHOOSE(CONTROL!$C$38, 0.0347, 0)</f>
        <v>44.3538</v>
      </c>
      <c r="H636" s="10">
        <f>44.3191 * CHOOSE(CONTROL!$C$15, $E$9, 100%, $G$9) + CHOOSE(CONTROL!$C$38, 0.0347, 0)</f>
        <v>44.3538</v>
      </c>
      <c r="I636" s="10">
        <f>44.3206 * CHOOSE(CONTROL!$C$15, $E$9, 100%, $G$9) + CHOOSE(CONTROL!$C$38, 0.0347, 0)</f>
        <v>44.3553</v>
      </c>
      <c r="J636" s="26">
        <f>273.4137</f>
        <v>273.41370000000001</v>
      </c>
    </row>
    <row r="637" spans="1:10" ht="15.75" x14ac:dyDescent="0.25">
      <c r="A637" s="13">
        <v>60691</v>
      </c>
      <c r="B637" s="10">
        <f>48.1766 * CHOOSE(CONTROL!$C$15, $E$9, 100%, $G$9) + CHOOSE(CONTROL!$C$38, 0.0256, 0)</f>
        <v>48.202199999999998</v>
      </c>
      <c r="C637" s="10">
        <f>44.5414 * CHOOSE(CONTROL!$C$15, $E$9, 100%, $G$9) + CHOOSE(CONTROL!$C$38, 0.0347, 0)</f>
        <v>44.576100000000004</v>
      </c>
      <c r="D637" s="10">
        <f>44.5336 * CHOOSE(CONTROL!$C$15, $E$9, 100%, $G$9) + CHOOSE(CONTROL!$C$38, 0.0347, 0)</f>
        <v>44.568300000000001</v>
      </c>
      <c r="E637" s="28">
        <f>48.0203 * CHOOSE(CONTROL!$C$15, $E$9, 100%, $G$9) + CHOOSE(CONTROL!$C$38, 0.0347, 0)</f>
        <v>48.055</v>
      </c>
      <c r="F637" s="27">
        <f>48.0203 * CHOOSE(CONTROL!$C$15, $E$9, 100%, $G$9) + CHOOSE(CONTROL!$C$38, 0.0256, 0)</f>
        <v>48.045899999999996</v>
      </c>
      <c r="G637" s="10">
        <f>44.5398 * CHOOSE(CONTROL!$C$15, $E$9, 100%, $G$9) + CHOOSE(CONTROL!$C$38, 0.0347, 0)</f>
        <v>44.5745</v>
      </c>
      <c r="H637" s="10">
        <f>44.5398 * CHOOSE(CONTROL!$C$15, $E$9, 100%, $G$9) + CHOOSE(CONTROL!$C$38, 0.0347, 0)</f>
        <v>44.5745</v>
      </c>
      <c r="I637" s="10">
        <f>44.5414 * CHOOSE(CONTROL!$C$15, $E$9, 100%, $G$9) + CHOOSE(CONTROL!$C$38, 0.0347, 0)</f>
        <v>44.576100000000004</v>
      </c>
      <c r="J637" s="26">
        <f>272.6537</f>
        <v>272.65370000000001</v>
      </c>
    </row>
    <row r="638" spans="1:10" ht="15.75" x14ac:dyDescent="0.25">
      <c r="A638" s="13">
        <v>60722</v>
      </c>
      <c r="B638" s="10">
        <f>47.6655 * CHOOSE(CONTROL!$C$15, $E$9, 100%, $G$9) + CHOOSE(CONTROL!$C$38, 0.0256, 0)</f>
        <v>47.691099999999999</v>
      </c>
      <c r="C638" s="10">
        <f>44.0304 * CHOOSE(CONTROL!$C$15, $E$9, 100%, $G$9) + CHOOSE(CONTROL!$C$38, 0.0347, 0)</f>
        <v>44.065100000000001</v>
      </c>
      <c r="D638" s="10">
        <f>44.0225 * CHOOSE(CONTROL!$C$15, $E$9, 100%, $G$9) + CHOOSE(CONTROL!$C$38, 0.0347, 0)</f>
        <v>44.057200000000002</v>
      </c>
      <c r="E638" s="28">
        <f>47.5093 * CHOOSE(CONTROL!$C$15, $E$9, 100%, $G$9) + CHOOSE(CONTROL!$C$38, 0.0347, 0)</f>
        <v>47.544000000000004</v>
      </c>
      <c r="F638" s="27">
        <f>47.5093 * CHOOSE(CONTROL!$C$15, $E$9, 100%, $G$9) + CHOOSE(CONTROL!$C$38, 0.0256, 0)</f>
        <v>47.5349</v>
      </c>
      <c r="G638" s="10">
        <f>44.0288 * CHOOSE(CONTROL!$C$15, $E$9, 100%, $G$9) + CHOOSE(CONTROL!$C$38, 0.0347, 0)</f>
        <v>44.063499999999998</v>
      </c>
      <c r="H638" s="10">
        <f>44.0288 * CHOOSE(CONTROL!$C$15, $E$9, 100%, $G$9) + CHOOSE(CONTROL!$C$38, 0.0347, 0)</f>
        <v>44.063499999999998</v>
      </c>
      <c r="I638" s="10">
        <f>44.0304 * CHOOSE(CONTROL!$C$15, $E$9, 100%, $G$9) + CHOOSE(CONTROL!$C$38, 0.0347, 0)</f>
        <v>44.065100000000001</v>
      </c>
      <c r="J638" s="26">
        <f>287.0241</f>
        <v>287.02409999999998</v>
      </c>
    </row>
    <row r="639" spans="1:10" ht="15.75" x14ac:dyDescent="0.25">
      <c r="A639" s="13">
        <v>60752</v>
      </c>
      <c r="B639" s="10">
        <f>47.1704 * CHOOSE(CONTROL!$C$15, $E$9, 100%, $G$9) + CHOOSE(CONTROL!$C$38, 0.0256, 0)</f>
        <v>47.195999999999998</v>
      </c>
      <c r="C639" s="10">
        <f>43.5352 * CHOOSE(CONTROL!$C$15, $E$9, 100%, $G$9) + CHOOSE(CONTROL!$C$38, 0.0347, 0)</f>
        <v>43.569900000000004</v>
      </c>
      <c r="D639" s="10">
        <f>43.5274 * CHOOSE(CONTROL!$C$15, $E$9, 100%, $G$9) + CHOOSE(CONTROL!$C$38, 0.0347, 0)</f>
        <v>43.562100000000001</v>
      </c>
      <c r="E639" s="28">
        <f>47.0141 * CHOOSE(CONTROL!$C$15, $E$9, 100%, $G$9) + CHOOSE(CONTROL!$C$38, 0.0347, 0)</f>
        <v>47.0488</v>
      </c>
      <c r="F639" s="27">
        <f>47.0141 * CHOOSE(CONTROL!$C$15, $E$9, 100%, $G$9) + CHOOSE(CONTROL!$C$38, 0.0256, 0)</f>
        <v>47.039699999999996</v>
      </c>
      <c r="G639" s="10">
        <f>43.5336 * CHOOSE(CONTROL!$C$15, $E$9, 100%, $G$9) + CHOOSE(CONTROL!$C$38, 0.0347, 0)</f>
        <v>43.568300000000001</v>
      </c>
      <c r="H639" s="10">
        <f>43.5336 * CHOOSE(CONTROL!$C$15, $E$9, 100%, $G$9) + CHOOSE(CONTROL!$C$38, 0.0347, 0)</f>
        <v>43.568300000000001</v>
      </c>
      <c r="I639" s="10">
        <f>43.5352 * CHOOSE(CONTROL!$C$15, $E$9, 100%, $G$9) + CHOOSE(CONTROL!$C$38, 0.0347, 0)</f>
        <v>43.569900000000004</v>
      </c>
      <c r="J639" s="26">
        <f>305.6591</f>
        <v>305.65910000000002</v>
      </c>
    </row>
    <row r="640" spans="1:10" ht="15.75" x14ac:dyDescent="0.25">
      <c r="A640" s="13">
        <v>60783</v>
      </c>
      <c r="B640" s="10">
        <f>46.6542 * CHOOSE(CONTROL!$C$15, $E$9, 100%, $G$9) + CHOOSE(CONTROL!$C$38, 0.0256, 0)</f>
        <v>46.6798</v>
      </c>
      <c r="C640" s="10">
        <f>43.0191 * CHOOSE(CONTROL!$C$15, $E$9, 100%, $G$9) + CHOOSE(CONTROL!$C$38, 0.0347, 0)</f>
        <v>43.053800000000003</v>
      </c>
      <c r="D640" s="10">
        <f>43.0113 * CHOOSE(CONTROL!$C$15, $E$9, 100%, $G$9) + CHOOSE(CONTROL!$C$38, 0.0347, 0)</f>
        <v>43.045999999999999</v>
      </c>
      <c r="E640" s="28">
        <f>46.498 * CHOOSE(CONTROL!$C$15, $E$9, 100%, $G$9) + CHOOSE(CONTROL!$C$38, 0.0347, 0)</f>
        <v>46.532699999999998</v>
      </c>
      <c r="F640" s="27">
        <f>46.498 * CHOOSE(CONTROL!$C$15, $E$9, 100%, $G$9) + CHOOSE(CONTROL!$C$38, 0.0256, 0)</f>
        <v>46.523599999999995</v>
      </c>
      <c r="G640" s="10">
        <f>43.0175 * CHOOSE(CONTROL!$C$15, $E$9, 100%, $G$9) + CHOOSE(CONTROL!$C$38, 0.0347, 0)</f>
        <v>43.052199999999999</v>
      </c>
      <c r="H640" s="10">
        <f>43.0175 * CHOOSE(CONTROL!$C$15, $E$9, 100%, $G$9) + CHOOSE(CONTROL!$C$38, 0.0347, 0)</f>
        <v>43.052199999999999</v>
      </c>
      <c r="I640" s="10">
        <f>43.0191 * CHOOSE(CONTROL!$C$15, $E$9, 100%, $G$9) + CHOOSE(CONTROL!$C$38, 0.0347, 0)</f>
        <v>43.053800000000003</v>
      </c>
      <c r="J640" s="26">
        <f>315.9165</f>
        <v>315.91649999999998</v>
      </c>
    </row>
    <row r="641" spans="1:10" ht="15.75" x14ac:dyDescent="0.25">
      <c r="A641" s="13">
        <v>60813</v>
      </c>
      <c r="B641" s="10">
        <f>46.2924 * CHOOSE(CONTROL!$C$15, $E$9, 100%, $G$9) + CHOOSE(CONTROL!$C$38, 0.0256, 0)</f>
        <v>46.317999999999998</v>
      </c>
      <c r="C641" s="10">
        <f>42.6572 * CHOOSE(CONTROL!$C$15, $E$9, 100%, $G$9) + CHOOSE(CONTROL!$C$38, 0.0347, 0)</f>
        <v>42.691900000000004</v>
      </c>
      <c r="D641" s="10">
        <f>42.6494 * CHOOSE(CONTROL!$C$15, $E$9, 100%, $G$9) + CHOOSE(CONTROL!$C$38, 0.0347, 0)</f>
        <v>42.684100000000001</v>
      </c>
      <c r="E641" s="28">
        <f>46.1362 * CHOOSE(CONTROL!$C$15, $E$9, 100%, $G$9) + CHOOSE(CONTROL!$C$38, 0.0347, 0)</f>
        <v>46.170900000000003</v>
      </c>
      <c r="F641" s="27">
        <f>46.1362 * CHOOSE(CONTROL!$C$15, $E$9, 100%, $G$9) + CHOOSE(CONTROL!$C$38, 0.0256, 0)</f>
        <v>46.161799999999999</v>
      </c>
      <c r="G641" s="10">
        <f>42.6557 * CHOOSE(CONTROL!$C$15, $E$9, 100%, $G$9) + CHOOSE(CONTROL!$C$38, 0.0347, 0)</f>
        <v>42.690400000000004</v>
      </c>
      <c r="H641" s="10">
        <f>42.6557 * CHOOSE(CONTROL!$C$15, $E$9, 100%, $G$9) + CHOOSE(CONTROL!$C$38, 0.0347, 0)</f>
        <v>42.690400000000004</v>
      </c>
      <c r="I641" s="10">
        <f>42.6572 * CHOOSE(CONTROL!$C$15, $E$9, 100%, $G$9) + CHOOSE(CONTROL!$C$38, 0.0347, 0)</f>
        <v>42.691900000000004</v>
      </c>
      <c r="J641" s="26">
        <f>320.4685</f>
        <v>320.46850000000001</v>
      </c>
    </row>
    <row r="642" spans="1:10" ht="15.75" x14ac:dyDescent="0.25">
      <c r="A642" s="13">
        <v>60844</v>
      </c>
      <c r="B642" s="10">
        <f>46.0859 * CHOOSE(CONTROL!$C$15, $E$9, 100%, $G$9) + CHOOSE(CONTROL!$C$38, 0.0256, 0)</f>
        <v>46.111499999999999</v>
      </c>
      <c r="C642" s="10">
        <f>42.4507 * CHOOSE(CONTROL!$C$15, $E$9, 100%, $G$9) + CHOOSE(CONTROL!$C$38, 0.0347, 0)</f>
        <v>42.485399999999998</v>
      </c>
      <c r="D642" s="10">
        <f>42.4429 * CHOOSE(CONTROL!$C$15, $E$9, 100%, $G$9) + CHOOSE(CONTROL!$C$38, 0.0347, 0)</f>
        <v>42.477600000000002</v>
      </c>
      <c r="E642" s="28">
        <f>45.9297 * CHOOSE(CONTROL!$C$15, $E$9, 100%, $G$9) + CHOOSE(CONTROL!$C$38, 0.0347, 0)</f>
        <v>45.964399999999998</v>
      </c>
      <c r="F642" s="27">
        <f>45.9297 * CHOOSE(CONTROL!$C$15, $E$9, 100%, $G$9) + CHOOSE(CONTROL!$C$38, 0.0256, 0)</f>
        <v>45.955299999999994</v>
      </c>
      <c r="G642" s="10">
        <f>42.4492 * CHOOSE(CONTROL!$C$15, $E$9, 100%, $G$9) + CHOOSE(CONTROL!$C$38, 0.0347, 0)</f>
        <v>42.483899999999998</v>
      </c>
      <c r="H642" s="10">
        <f>42.4492 * CHOOSE(CONTROL!$C$15, $E$9, 100%, $G$9) + CHOOSE(CONTROL!$C$38, 0.0347, 0)</f>
        <v>42.483899999999998</v>
      </c>
      <c r="I642" s="10">
        <f>42.4507 * CHOOSE(CONTROL!$C$15, $E$9, 100%, $G$9) + CHOOSE(CONTROL!$C$38, 0.0347, 0)</f>
        <v>42.485399999999998</v>
      </c>
      <c r="J642" s="26">
        <f>318.9697</f>
        <v>318.96969999999999</v>
      </c>
    </row>
    <row r="643" spans="1:10" ht="15.75" x14ac:dyDescent="0.25">
      <c r="A643" s="13">
        <v>60875</v>
      </c>
      <c r="B643" s="10">
        <f>46.1878 * CHOOSE(CONTROL!$C$15, $E$9, 100%, $G$9) + CHOOSE(CONTROL!$C$38, 0.0256, 0)</f>
        <v>46.2134</v>
      </c>
      <c r="C643" s="10">
        <f>42.5527 * CHOOSE(CONTROL!$C$15, $E$9, 100%, $G$9) + CHOOSE(CONTROL!$C$38, 0.0347, 0)</f>
        <v>42.587400000000002</v>
      </c>
      <c r="D643" s="10">
        <f>42.5448 * CHOOSE(CONTROL!$C$15, $E$9, 100%, $G$9) + CHOOSE(CONTROL!$C$38, 0.0347, 0)</f>
        <v>42.579500000000003</v>
      </c>
      <c r="E643" s="28">
        <f>46.0316 * CHOOSE(CONTROL!$C$15, $E$9, 100%, $G$9) + CHOOSE(CONTROL!$C$38, 0.0347, 0)</f>
        <v>46.066299999999998</v>
      </c>
      <c r="F643" s="27">
        <f>46.0316 * CHOOSE(CONTROL!$C$15, $E$9, 100%, $G$9) + CHOOSE(CONTROL!$C$38, 0.0256, 0)</f>
        <v>46.057199999999995</v>
      </c>
      <c r="G643" s="10">
        <f>42.5511 * CHOOSE(CONTROL!$C$15, $E$9, 100%, $G$9) + CHOOSE(CONTROL!$C$38, 0.0347, 0)</f>
        <v>42.585799999999999</v>
      </c>
      <c r="H643" s="10">
        <f>42.5511 * CHOOSE(CONTROL!$C$15, $E$9, 100%, $G$9) + CHOOSE(CONTROL!$C$38, 0.0347, 0)</f>
        <v>42.585799999999999</v>
      </c>
      <c r="I643" s="10">
        <f>42.5527 * CHOOSE(CONTROL!$C$15, $E$9, 100%, $G$9) + CHOOSE(CONTROL!$C$38, 0.0347, 0)</f>
        <v>42.587400000000002</v>
      </c>
      <c r="J643" s="26">
        <f>311.5443</f>
        <v>311.54430000000002</v>
      </c>
    </row>
    <row r="644" spans="1:10" ht="15.75" x14ac:dyDescent="0.25">
      <c r="A644" s="13">
        <v>60905</v>
      </c>
      <c r="B644" s="10">
        <f>46.4646 * CHOOSE(CONTROL!$C$15, $E$9, 100%, $G$9) + CHOOSE(CONTROL!$C$38, 0.0256, 0)</f>
        <v>46.490199999999994</v>
      </c>
      <c r="C644" s="10">
        <f>42.8294 * CHOOSE(CONTROL!$C$15, $E$9, 100%, $G$9) + CHOOSE(CONTROL!$C$38, 0.0347, 0)</f>
        <v>42.864100000000001</v>
      </c>
      <c r="D644" s="10">
        <f>42.8216 * CHOOSE(CONTROL!$C$15, $E$9, 100%, $G$9) + CHOOSE(CONTROL!$C$38, 0.0347, 0)</f>
        <v>42.856299999999997</v>
      </c>
      <c r="E644" s="28">
        <f>46.3084 * CHOOSE(CONTROL!$C$15, $E$9, 100%, $G$9) + CHOOSE(CONTROL!$C$38, 0.0347, 0)</f>
        <v>46.3431</v>
      </c>
      <c r="F644" s="27">
        <f>46.3084 * CHOOSE(CONTROL!$C$15, $E$9, 100%, $G$9) + CHOOSE(CONTROL!$C$38, 0.0256, 0)</f>
        <v>46.333999999999996</v>
      </c>
      <c r="G644" s="10">
        <f>42.8279 * CHOOSE(CONTROL!$C$15, $E$9, 100%, $G$9) + CHOOSE(CONTROL!$C$38, 0.0347, 0)</f>
        <v>42.8626</v>
      </c>
      <c r="H644" s="10">
        <f>42.8279 * CHOOSE(CONTROL!$C$15, $E$9, 100%, $G$9) + CHOOSE(CONTROL!$C$38, 0.0347, 0)</f>
        <v>42.8626</v>
      </c>
      <c r="I644" s="10">
        <f>42.8294 * CHOOSE(CONTROL!$C$15, $E$9, 100%, $G$9) + CHOOSE(CONTROL!$C$38, 0.0347, 0)</f>
        <v>42.864100000000001</v>
      </c>
      <c r="J644" s="26">
        <f>301.1891</f>
        <v>301.1891</v>
      </c>
    </row>
    <row r="645" spans="1:10" ht="15.75" x14ac:dyDescent="0.25">
      <c r="A645" s="13">
        <v>60936</v>
      </c>
      <c r="B645" s="10">
        <f>46.6965 * CHOOSE(CONTROL!$C$15, $E$9, 100%, $G$9) + CHOOSE(CONTROL!$C$38, 0.0256, 0)</f>
        <v>46.722099999999998</v>
      </c>
      <c r="C645" s="10">
        <f>43.0613 * CHOOSE(CONTROL!$C$15, $E$9, 100%, $G$9) + CHOOSE(CONTROL!$C$38, 0.0347, 0)</f>
        <v>43.096000000000004</v>
      </c>
      <c r="D645" s="10">
        <f>43.0535 * CHOOSE(CONTROL!$C$15, $E$9, 100%, $G$9) + CHOOSE(CONTROL!$C$38, 0.0347, 0)</f>
        <v>43.088200000000001</v>
      </c>
      <c r="E645" s="28">
        <f>46.5402 * CHOOSE(CONTROL!$C$15, $E$9, 100%, $G$9) + CHOOSE(CONTROL!$C$38, 0.0347, 0)</f>
        <v>46.5749</v>
      </c>
      <c r="F645" s="27">
        <f>46.5402 * CHOOSE(CONTROL!$C$15, $E$9, 100%, $G$9) + CHOOSE(CONTROL!$C$38, 0.0256, 0)</f>
        <v>46.565799999999996</v>
      </c>
      <c r="G645" s="10">
        <f>43.0597 * CHOOSE(CONTROL!$C$15, $E$9, 100%, $G$9) + CHOOSE(CONTROL!$C$38, 0.0347, 0)</f>
        <v>43.0944</v>
      </c>
      <c r="H645" s="10">
        <f>43.0597 * CHOOSE(CONTROL!$C$15, $E$9, 100%, $G$9) + CHOOSE(CONTROL!$C$38, 0.0347, 0)</f>
        <v>43.0944</v>
      </c>
      <c r="I645" s="10">
        <f>43.0613 * CHOOSE(CONTROL!$C$15, $E$9, 100%, $G$9) + CHOOSE(CONTROL!$C$38, 0.0347, 0)</f>
        <v>43.096000000000004</v>
      </c>
      <c r="J645" s="26">
        <f>290.7736</f>
        <v>290.77359999999999</v>
      </c>
    </row>
    <row r="646" spans="1:10" ht="15.75" x14ac:dyDescent="0.25">
      <c r="A646" s="13">
        <v>60966</v>
      </c>
      <c r="B646" s="10">
        <f>46.8899 * CHOOSE(CONTROL!$C$15, $E$9, 100%, $G$9) + CHOOSE(CONTROL!$C$38, 0.0256, 0)</f>
        <v>46.915499999999994</v>
      </c>
      <c r="C646" s="10">
        <f>43.2547 * CHOOSE(CONTROL!$C$15, $E$9, 100%, $G$9) + CHOOSE(CONTROL!$C$38, 0.0347, 0)</f>
        <v>43.289400000000001</v>
      </c>
      <c r="D646" s="10">
        <f>43.2469 * CHOOSE(CONTROL!$C$15, $E$9, 100%, $G$9) + CHOOSE(CONTROL!$C$38, 0.0347, 0)</f>
        <v>43.281599999999997</v>
      </c>
      <c r="E646" s="28">
        <f>46.7336 * CHOOSE(CONTROL!$C$15, $E$9, 100%, $G$9) + CHOOSE(CONTROL!$C$38, 0.0347, 0)</f>
        <v>46.768300000000004</v>
      </c>
      <c r="F646" s="27">
        <f>46.7336 * CHOOSE(CONTROL!$C$15, $E$9, 100%, $G$9) + CHOOSE(CONTROL!$C$38, 0.0256, 0)</f>
        <v>46.7592</v>
      </c>
      <c r="G646" s="10">
        <f>43.2532 * CHOOSE(CONTROL!$C$15, $E$9, 100%, $G$9) + CHOOSE(CONTROL!$C$38, 0.0347, 0)</f>
        <v>43.2879</v>
      </c>
      <c r="H646" s="10">
        <f>43.2532 * CHOOSE(CONTROL!$C$15, $E$9, 100%, $G$9) + CHOOSE(CONTROL!$C$38, 0.0347, 0)</f>
        <v>43.2879</v>
      </c>
      <c r="I646" s="10">
        <f>43.2547 * CHOOSE(CONTROL!$C$15, $E$9, 100%, $G$9) + CHOOSE(CONTROL!$C$38, 0.0347, 0)</f>
        <v>43.289400000000001</v>
      </c>
      <c r="J646" s="26">
        <f>288.7018</f>
        <v>288.70179999999999</v>
      </c>
    </row>
    <row r="647" spans="1:10" ht="15.75" x14ac:dyDescent="0.25">
      <c r="A647" s="13">
        <v>60997</v>
      </c>
      <c r="B647" s="10">
        <f>47.486 * CHOOSE(CONTROL!$C$15, $E$9, 100%, $G$9) + CHOOSE(CONTROL!$C$38, 0.0256, 0)</f>
        <v>47.511599999999994</v>
      </c>
      <c r="C647" s="10">
        <f>43.8508 * CHOOSE(CONTROL!$C$15, $E$9, 100%, $G$9) + CHOOSE(CONTROL!$C$38, 0.0347, 0)</f>
        <v>43.8855</v>
      </c>
      <c r="D647" s="10">
        <f>43.843 * CHOOSE(CONTROL!$C$15, $E$9, 100%, $G$9) + CHOOSE(CONTROL!$C$38, 0.0347, 0)</f>
        <v>43.877700000000004</v>
      </c>
      <c r="E647" s="28">
        <f>47.3297 * CHOOSE(CONTROL!$C$15, $E$9, 100%, $G$9) + CHOOSE(CONTROL!$C$38, 0.0347, 0)</f>
        <v>47.364400000000003</v>
      </c>
      <c r="F647" s="27">
        <f>47.3297 * CHOOSE(CONTROL!$C$15, $E$9, 100%, $G$9) + CHOOSE(CONTROL!$C$38, 0.0256, 0)</f>
        <v>47.3553</v>
      </c>
      <c r="G647" s="10">
        <f>43.8492 * CHOOSE(CONTROL!$C$15, $E$9, 100%, $G$9) + CHOOSE(CONTROL!$C$38, 0.0347, 0)</f>
        <v>43.883900000000004</v>
      </c>
      <c r="H647" s="10">
        <f>43.8492 * CHOOSE(CONTROL!$C$15, $E$9, 100%, $G$9) + CHOOSE(CONTROL!$C$38, 0.0347, 0)</f>
        <v>43.883900000000004</v>
      </c>
      <c r="I647" s="10">
        <f>43.8508 * CHOOSE(CONTROL!$C$15, $E$9, 100%, $G$9) + CHOOSE(CONTROL!$C$38, 0.0347, 0)</f>
        <v>43.8855</v>
      </c>
      <c r="J647" s="26">
        <f>280.1345</f>
        <v>280.1345</v>
      </c>
    </row>
    <row r="648" spans="1:10" ht="15.75" x14ac:dyDescent="0.25">
      <c r="A648" s="13">
        <v>61028</v>
      </c>
      <c r="B648" s="10">
        <f>48.7749 * CHOOSE(CONTROL!$C$15, $E$9, 100%, $G$9) + CHOOSE(CONTROL!$C$38, 0.0256, 0)</f>
        <v>48.8005</v>
      </c>
      <c r="C648" s="10">
        <f>45.0783 * CHOOSE(CONTROL!$C$15, $E$9, 100%, $G$9) + CHOOSE(CONTROL!$C$38, 0.0347, 0)</f>
        <v>45.113</v>
      </c>
      <c r="D648" s="10">
        <f>45.0705 * CHOOSE(CONTROL!$C$15, $E$9, 100%, $G$9) + CHOOSE(CONTROL!$C$38, 0.0347, 0)</f>
        <v>45.105200000000004</v>
      </c>
      <c r="E648" s="28">
        <f>48.6187 * CHOOSE(CONTROL!$C$15, $E$9, 100%, $G$9) + CHOOSE(CONTROL!$C$38, 0.0347, 0)</f>
        <v>48.653399999999998</v>
      </c>
      <c r="F648" s="27">
        <f>48.6187 * CHOOSE(CONTROL!$C$15, $E$9, 100%, $G$9) + CHOOSE(CONTROL!$C$38, 0.0256, 0)</f>
        <v>48.644299999999994</v>
      </c>
      <c r="G648" s="10">
        <f>45.0767 * CHOOSE(CONTROL!$C$15, $E$9, 100%, $G$9) + CHOOSE(CONTROL!$C$38, 0.0347, 0)</f>
        <v>45.111400000000003</v>
      </c>
      <c r="H648" s="10">
        <f>45.0767 * CHOOSE(CONTROL!$C$15, $E$9, 100%, $G$9) + CHOOSE(CONTROL!$C$38, 0.0347, 0)</f>
        <v>45.111400000000003</v>
      </c>
      <c r="I648" s="10">
        <f>45.0783 * CHOOSE(CONTROL!$C$15, $E$9, 100%, $G$9) + CHOOSE(CONTROL!$C$38, 0.0347, 0)</f>
        <v>45.113</v>
      </c>
      <c r="J648" s="26">
        <f>278.2581</f>
        <v>278.25810000000001</v>
      </c>
    </row>
    <row r="649" spans="1:10" ht="15.75" x14ac:dyDescent="0.25">
      <c r="A649" s="13">
        <v>61056</v>
      </c>
      <c r="B649" s="10">
        <f>48.9957 * CHOOSE(CONTROL!$C$15, $E$9, 100%, $G$9) + CHOOSE(CONTROL!$C$38, 0.0256, 0)</f>
        <v>49.021299999999997</v>
      </c>
      <c r="C649" s="10">
        <f>45.299 * CHOOSE(CONTROL!$C$15, $E$9, 100%, $G$9) + CHOOSE(CONTROL!$C$38, 0.0347, 0)</f>
        <v>45.3337</v>
      </c>
      <c r="D649" s="10">
        <f>45.2912 * CHOOSE(CONTROL!$C$15, $E$9, 100%, $G$9) + CHOOSE(CONTROL!$C$38, 0.0347, 0)</f>
        <v>45.325900000000004</v>
      </c>
      <c r="E649" s="28">
        <f>48.8394 * CHOOSE(CONTROL!$C$15, $E$9, 100%, $G$9) + CHOOSE(CONTROL!$C$38, 0.0347, 0)</f>
        <v>48.874099999999999</v>
      </c>
      <c r="F649" s="27">
        <f>48.8394 * CHOOSE(CONTROL!$C$15, $E$9, 100%, $G$9) + CHOOSE(CONTROL!$C$38, 0.0256, 0)</f>
        <v>48.864999999999995</v>
      </c>
      <c r="G649" s="10">
        <f>45.2975 * CHOOSE(CONTROL!$C$15, $E$9, 100%, $G$9) + CHOOSE(CONTROL!$C$38, 0.0347, 0)</f>
        <v>45.3322</v>
      </c>
      <c r="H649" s="10">
        <f>45.2975 * CHOOSE(CONTROL!$C$15, $E$9, 100%, $G$9) + CHOOSE(CONTROL!$C$38, 0.0347, 0)</f>
        <v>45.3322</v>
      </c>
      <c r="I649" s="10">
        <f>45.299 * CHOOSE(CONTROL!$C$15, $E$9, 100%, $G$9) + CHOOSE(CONTROL!$C$38, 0.0347, 0)</f>
        <v>45.3337</v>
      </c>
      <c r="J649" s="26">
        <f>277.4846</f>
        <v>277.4846</v>
      </c>
    </row>
    <row r="650" spans="1:10" ht="15.75" x14ac:dyDescent="0.25">
      <c r="A650" s="13">
        <v>61087</v>
      </c>
      <c r="B650" s="10">
        <f>48.4846 * CHOOSE(CONTROL!$C$15, $E$9, 100%, $G$9) + CHOOSE(CONTROL!$C$38, 0.0256, 0)</f>
        <v>48.510199999999998</v>
      </c>
      <c r="C650" s="10">
        <f>44.788 * CHOOSE(CONTROL!$C$15, $E$9, 100%, $G$9) + CHOOSE(CONTROL!$C$38, 0.0347, 0)</f>
        <v>44.822699999999998</v>
      </c>
      <c r="D650" s="10">
        <f>44.7802 * CHOOSE(CONTROL!$C$15, $E$9, 100%, $G$9) + CHOOSE(CONTROL!$C$38, 0.0347, 0)</f>
        <v>44.814900000000002</v>
      </c>
      <c r="E650" s="28">
        <f>48.3284 * CHOOSE(CONTROL!$C$15, $E$9, 100%, $G$9) + CHOOSE(CONTROL!$C$38, 0.0347, 0)</f>
        <v>48.363100000000003</v>
      </c>
      <c r="F650" s="27">
        <f>48.3284 * CHOOSE(CONTROL!$C$15, $E$9, 100%, $G$9) + CHOOSE(CONTROL!$C$38, 0.0256, 0)</f>
        <v>48.353999999999999</v>
      </c>
      <c r="G650" s="10">
        <f>44.7864 * CHOOSE(CONTROL!$C$15, $E$9, 100%, $G$9) + CHOOSE(CONTROL!$C$38, 0.0347, 0)</f>
        <v>44.821100000000001</v>
      </c>
      <c r="H650" s="10">
        <f>44.7864 * CHOOSE(CONTROL!$C$15, $E$9, 100%, $G$9) + CHOOSE(CONTROL!$C$38, 0.0347, 0)</f>
        <v>44.821100000000001</v>
      </c>
      <c r="I650" s="10">
        <f>44.788 * CHOOSE(CONTROL!$C$15, $E$9, 100%, $G$9) + CHOOSE(CONTROL!$C$38, 0.0347, 0)</f>
        <v>44.822699999999998</v>
      </c>
      <c r="J650" s="26">
        <f>292.1097</f>
        <v>292.10969999999998</v>
      </c>
    </row>
    <row r="651" spans="1:10" ht="15.75" x14ac:dyDescent="0.25">
      <c r="A651" s="13">
        <v>61117</v>
      </c>
      <c r="B651" s="10">
        <f>47.9895 * CHOOSE(CONTROL!$C$15, $E$9, 100%, $G$9) + CHOOSE(CONTROL!$C$38, 0.0256, 0)</f>
        <v>48.015099999999997</v>
      </c>
      <c r="C651" s="10">
        <f>44.2928 * CHOOSE(CONTROL!$C$15, $E$9, 100%, $G$9) + CHOOSE(CONTROL!$C$38, 0.0347, 0)</f>
        <v>44.327500000000001</v>
      </c>
      <c r="D651" s="10">
        <f>44.285 * CHOOSE(CONTROL!$C$15, $E$9, 100%, $G$9) + CHOOSE(CONTROL!$C$38, 0.0347, 0)</f>
        <v>44.319699999999997</v>
      </c>
      <c r="E651" s="28">
        <f>47.8332 * CHOOSE(CONTROL!$C$15, $E$9, 100%, $G$9) + CHOOSE(CONTROL!$C$38, 0.0347, 0)</f>
        <v>47.867899999999999</v>
      </c>
      <c r="F651" s="27">
        <f>47.8332 * CHOOSE(CONTROL!$C$15, $E$9, 100%, $G$9) + CHOOSE(CONTROL!$C$38, 0.0256, 0)</f>
        <v>47.858799999999995</v>
      </c>
      <c r="G651" s="10">
        <f>44.2913 * CHOOSE(CONTROL!$C$15, $E$9, 100%, $G$9) + CHOOSE(CONTROL!$C$38, 0.0347, 0)</f>
        <v>44.326000000000001</v>
      </c>
      <c r="H651" s="10">
        <f>44.2913 * CHOOSE(CONTROL!$C$15, $E$9, 100%, $G$9) + CHOOSE(CONTROL!$C$38, 0.0347, 0)</f>
        <v>44.326000000000001</v>
      </c>
      <c r="I651" s="10">
        <f>44.2928 * CHOOSE(CONTROL!$C$15, $E$9, 100%, $G$9) + CHOOSE(CONTROL!$C$38, 0.0347, 0)</f>
        <v>44.327500000000001</v>
      </c>
      <c r="J651" s="26">
        <f>311.0748</f>
        <v>311.07479999999998</v>
      </c>
    </row>
    <row r="652" spans="1:10" ht="15.75" x14ac:dyDescent="0.25">
      <c r="A652" s="13">
        <v>61148</v>
      </c>
      <c r="B652" s="10">
        <f>47.4733 * CHOOSE(CONTROL!$C$15, $E$9, 100%, $G$9) + CHOOSE(CONTROL!$C$38, 0.0256, 0)</f>
        <v>47.498899999999999</v>
      </c>
      <c r="C652" s="10">
        <f>43.7767 * CHOOSE(CONTROL!$C$15, $E$9, 100%, $G$9) + CHOOSE(CONTROL!$C$38, 0.0347, 0)</f>
        <v>43.811399999999999</v>
      </c>
      <c r="D652" s="10">
        <f>43.7689 * CHOOSE(CONTROL!$C$15, $E$9, 100%, $G$9) + CHOOSE(CONTROL!$C$38, 0.0347, 0)</f>
        <v>43.803600000000003</v>
      </c>
      <c r="E652" s="28">
        <f>47.3171 * CHOOSE(CONTROL!$C$15, $E$9, 100%, $G$9) + CHOOSE(CONTROL!$C$38, 0.0347, 0)</f>
        <v>47.351800000000004</v>
      </c>
      <c r="F652" s="27">
        <f>47.3171 * CHOOSE(CONTROL!$C$15, $E$9, 100%, $G$9) + CHOOSE(CONTROL!$C$38, 0.0256, 0)</f>
        <v>47.342700000000001</v>
      </c>
      <c r="G652" s="10">
        <f>43.7751 * CHOOSE(CONTROL!$C$15, $E$9, 100%, $G$9) + CHOOSE(CONTROL!$C$38, 0.0347, 0)</f>
        <v>43.809800000000003</v>
      </c>
      <c r="H652" s="10">
        <f>43.7751 * CHOOSE(CONTROL!$C$15, $E$9, 100%, $G$9) + CHOOSE(CONTROL!$C$38, 0.0347, 0)</f>
        <v>43.809800000000003</v>
      </c>
      <c r="I652" s="10">
        <f>43.7767 * CHOOSE(CONTROL!$C$15, $E$9, 100%, $G$9) + CHOOSE(CONTROL!$C$38, 0.0347, 0)</f>
        <v>43.811399999999999</v>
      </c>
      <c r="J652" s="26">
        <f>321.5139</f>
        <v>321.51389999999998</v>
      </c>
    </row>
    <row r="653" spans="1:10" ht="15.75" x14ac:dyDescent="0.25">
      <c r="A653" s="13">
        <v>61178</v>
      </c>
      <c r="B653" s="10">
        <f>47.1115 * CHOOSE(CONTROL!$C$15, $E$9, 100%, $G$9) + CHOOSE(CONTROL!$C$38, 0.0256, 0)</f>
        <v>47.137099999999997</v>
      </c>
      <c r="C653" s="10">
        <f>43.4149 * CHOOSE(CONTROL!$C$15, $E$9, 100%, $G$9) + CHOOSE(CONTROL!$C$38, 0.0347, 0)</f>
        <v>43.449600000000004</v>
      </c>
      <c r="D653" s="10">
        <f>43.4071 * CHOOSE(CONTROL!$C$15, $E$9, 100%, $G$9) + CHOOSE(CONTROL!$C$38, 0.0347, 0)</f>
        <v>43.441800000000001</v>
      </c>
      <c r="E653" s="28">
        <f>46.9553 * CHOOSE(CONTROL!$C$15, $E$9, 100%, $G$9) + CHOOSE(CONTROL!$C$38, 0.0347, 0)</f>
        <v>46.99</v>
      </c>
      <c r="F653" s="27">
        <f>46.9553 * CHOOSE(CONTROL!$C$15, $E$9, 100%, $G$9) + CHOOSE(CONTROL!$C$38, 0.0256, 0)</f>
        <v>46.980899999999998</v>
      </c>
      <c r="G653" s="10">
        <f>43.4133 * CHOOSE(CONTROL!$C$15, $E$9, 100%, $G$9) + CHOOSE(CONTROL!$C$38, 0.0347, 0)</f>
        <v>43.448</v>
      </c>
      <c r="H653" s="10">
        <f>43.4133 * CHOOSE(CONTROL!$C$15, $E$9, 100%, $G$9) + CHOOSE(CONTROL!$C$38, 0.0347, 0)</f>
        <v>43.448</v>
      </c>
      <c r="I653" s="10">
        <f>43.4149 * CHOOSE(CONTROL!$C$15, $E$9, 100%, $G$9) + CHOOSE(CONTROL!$C$38, 0.0347, 0)</f>
        <v>43.449600000000004</v>
      </c>
      <c r="J653" s="26">
        <f>326.1466</f>
        <v>326.14659999999998</v>
      </c>
    </row>
    <row r="654" spans="1:10" ht="15.75" x14ac:dyDescent="0.25">
      <c r="A654" s="13">
        <v>61209</v>
      </c>
      <c r="B654" s="10">
        <f>46.905 * CHOOSE(CONTROL!$C$15, $E$9, 100%, $G$9) + CHOOSE(CONTROL!$C$38, 0.0256, 0)</f>
        <v>46.930599999999998</v>
      </c>
      <c r="C654" s="10">
        <f>43.2084 * CHOOSE(CONTROL!$C$15, $E$9, 100%, $G$9) + CHOOSE(CONTROL!$C$38, 0.0347, 0)</f>
        <v>43.243099999999998</v>
      </c>
      <c r="D654" s="10">
        <f>43.2006 * CHOOSE(CONTROL!$C$15, $E$9, 100%, $G$9) + CHOOSE(CONTROL!$C$38, 0.0347, 0)</f>
        <v>43.235300000000002</v>
      </c>
      <c r="E654" s="28">
        <f>46.7488 * CHOOSE(CONTROL!$C$15, $E$9, 100%, $G$9) + CHOOSE(CONTROL!$C$38, 0.0347, 0)</f>
        <v>46.783500000000004</v>
      </c>
      <c r="F654" s="27">
        <f>46.7488 * CHOOSE(CONTROL!$C$15, $E$9, 100%, $G$9) + CHOOSE(CONTROL!$C$38, 0.0256, 0)</f>
        <v>46.7744</v>
      </c>
      <c r="G654" s="10">
        <f>43.2068 * CHOOSE(CONTROL!$C$15, $E$9, 100%, $G$9) + CHOOSE(CONTROL!$C$38, 0.0347, 0)</f>
        <v>43.241500000000002</v>
      </c>
      <c r="H654" s="10">
        <f>43.2068 * CHOOSE(CONTROL!$C$15, $E$9, 100%, $G$9) + CHOOSE(CONTROL!$C$38, 0.0347, 0)</f>
        <v>43.241500000000002</v>
      </c>
      <c r="I654" s="10">
        <f>43.2084 * CHOOSE(CONTROL!$C$15, $E$9, 100%, $G$9) + CHOOSE(CONTROL!$C$38, 0.0347, 0)</f>
        <v>43.243099999999998</v>
      </c>
      <c r="J654" s="26">
        <f>324.6213</f>
        <v>324.62130000000002</v>
      </c>
    </row>
    <row r="655" spans="1:10" ht="15.75" x14ac:dyDescent="0.25">
      <c r="A655" s="13">
        <v>61240</v>
      </c>
      <c r="B655" s="10">
        <f>47.0069 * CHOOSE(CONTROL!$C$15, $E$9, 100%, $G$9) + CHOOSE(CONTROL!$C$38, 0.0256, 0)</f>
        <v>47.032499999999999</v>
      </c>
      <c r="C655" s="10">
        <f>43.3103 * CHOOSE(CONTROL!$C$15, $E$9, 100%, $G$9) + CHOOSE(CONTROL!$C$38, 0.0347, 0)</f>
        <v>43.344999999999999</v>
      </c>
      <c r="D655" s="10">
        <f>43.3025 * CHOOSE(CONTROL!$C$15, $E$9, 100%, $G$9) + CHOOSE(CONTROL!$C$38, 0.0347, 0)</f>
        <v>43.337200000000003</v>
      </c>
      <c r="E655" s="28">
        <f>46.8507 * CHOOSE(CONTROL!$C$15, $E$9, 100%, $G$9) + CHOOSE(CONTROL!$C$38, 0.0347, 0)</f>
        <v>46.885400000000004</v>
      </c>
      <c r="F655" s="27">
        <f>46.8507 * CHOOSE(CONTROL!$C$15, $E$9, 100%, $G$9) + CHOOSE(CONTROL!$C$38, 0.0256, 0)</f>
        <v>46.876300000000001</v>
      </c>
      <c r="G655" s="10">
        <f>43.3087 * CHOOSE(CONTROL!$C$15, $E$9, 100%, $G$9) + CHOOSE(CONTROL!$C$38, 0.0347, 0)</f>
        <v>43.343400000000003</v>
      </c>
      <c r="H655" s="10">
        <f>43.3087 * CHOOSE(CONTROL!$C$15, $E$9, 100%, $G$9) + CHOOSE(CONTROL!$C$38, 0.0347, 0)</f>
        <v>43.343400000000003</v>
      </c>
      <c r="I655" s="10">
        <f>43.3103 * CHOOSE(CONTROL!$C$15, $E$9, 100%, $G$9) + CHOOSE(CONTROL!$C$38, 0.0347, 0)</f>
        <v>43.344999999999999</v>
      </c>
      <c r="J655" s="26">
        <f>317.0642</f>
        <v>317.06420000000003</v>
      </c>
    </row>
    <row r="656" spans="1:10" ht="15.75" x14ac:dyDescent="0.25">
      <c r="A656" s="13">
        <v>61270</v>
      </c>
      <c r="B656" s="10">
        <f>47.2837 * CHOOSE(CONTROL!$C$15, $E$9, 100%, $G$9) + CHOOSE(CONTROL!$C$38, 0.0256, 0)</f>
        <v>47.3093</v>
      </c>
      <c r="C656" s="10">
        <f>43.5871 * CHOOSE(CONTROL!$C$15, $E$9, 100%, $G$9) + CHOOSE(CONTROL!$C$38, 0.0347, 0)</f>
        <v>43.6218</v>
      </c>
      <c r="D656" s="10">
        <f>43.5793 * CHOOSE(CONTROL!$C$15, $E$9, 100%, $G$9) + CHOOSE(CONTROL!$C$38, 0.0347, 0)</f>
        <v>43.614000000000004</v>
      </c>
      <c r="E656" s="28">
        <f>47.1275 * CHOOSE(CONTROL!$C$15, $E$9, 100%, $G$9) + CHOOSE(CONTROL!$C$38, 0.0347, 0)</f>
        <v>47.162199999999999</v>
      </c>
      <c r="F656" s="27">
        <f>47.1275 * CHOOSE(CONTROL!$C$15, $E$9, 100%, $G$9) + CHOOSE(CONTROL!$C$38, 0.0256, 0)</f>
        <v>47.153099999999995</v>
      </c>
      <c r="G656" s="10">
        <f>43.5855 * CHOOSE(CONTROL!$C$15, $E$9, 100%, $G$9) + CHOOSE(CONTROL!$C$38, 0.0347, 0)</f>
        <v>43.620200000000004</v>
      </c>
      <c r="H656" s="10">
        <f>43.5855 * CHOOSE(CONTROL!$C$15, $E$9, 100%, $G$9) + CHOOSE(CONTROL!$C$38, 0.0347, 0)</f>
        <v>43.620200000000004</v>
      </c>
      <c r="I656" s="10">
        <f>43.5871 * CHOOSE(CONTROL!$C$15, $E$9, 100%, $G$9) + CHOOSE(CONTROL!$C$38, 0.0347, 0)</f>
        <v>43.6218</v>
      </c>
      <c r="J656" s="26">
        <f>306.5256</f>
        <v>306.5256</v>
      </c>
    </row>
    <row r="657" spans="1:10" ht="15.75" x14ac:dyDescent="0.25">
      <c r="A657" s="13">
        <v>61301</v>
      </c>
      <c r="B657" s="10">
        <f>47.5156 * CHOOSE(CONTROL!$C$15, $E$9, 100%, $G$9) + CHOOSE(CONTROL!$C$38, 0.0256, 0)</f>
        <v>47.541199999999996</v>
      </c>
      <c r="C657" s="10">
        <f>43.8189 * CHOOSE(CONTROL!$C$15, $E$9, 100%, $G$9) + CHOOSE(CONTROL!$C$38, 0.0347, 0)</f>
        <v>43.8536</v>
      </c>
      <c r="D657" s="10">
        <f>43.8111 * CHOOSE(CONTROL!$C$15, $E$9, 100%, $G$9) + CHOOSE(CONTROL!$C$38, 0.0347, 0)</f>
        <v>43.845800000000004</v>
      </c>
      <c r="E657" s="28">
        <f>47.3593 * CHOOSE(CONTROL!$C$15, $E$9, 100%, $G$9) + CHOOSE(CONTROL!$C$38, 0.0347, 0)</f>
        <v>47.393999999999998</v>
      </c>
      <c r="F657" s="27">
        <f>47.3593 * CHOOSE(CONTROL!$C$15, $E$9, 100%, $G$9) + CHOOSE(CONTROL!$C$38, 0.0256, 0)</f>
        <v>47.384899999999995</v>
      </c>
      <c r="G657" s="10">
        <f>43.8173 * CHOOSE(CONTROL!$C$15, $E$9, 100%, $G$9) + CHOOSE(CONTROL!$C$38, 0.0347, 0)</f>
        <v>43.852000000000004</v>
      </c>
      <c r="H657" s="10">
        <f>43.8173 * CHOOSE(CONTROL!$C$15, $E$9, 100%, $G$9) + CHOOSE(CONTROL!$C$38, 0.0347, 0)</f>
        <v>43.852000000000004</v>
      </c>
      <c r="I657" s="10">
        <f>43.8189 * CHOOSE(CONTROL!$C$15, $E$9, 100%, $G$9) + CHOOSE(CONTROL!$C$38, 0.0347, 0)</f>
        <v>43.8536</v>
      </c>
      <c r="J657" s="26">
        <f>295.9256</f>
        <v>295.92559999999997</v>
      </c>
    </row>
    <row r="658" spans="1:10" ht="15.75" x14ac:dyDescent="0.25">
      <c r="A658" s="13">
        <v>61331</v>
      </c>
      <c r="B658" s="10">
        <f>47.709 * CHOOSE(CONTROL!$C$15, $E$9, 100%, $G$9) + CHOOSE(CONTROL!$C$38, 0.0256, 0)</f>
        <v>47.7346</v>
      </c>
      <c r="C658" s="10">
        <f>44.0123 * CHOOSE(CONTROL!$C$15, $E$9, 100%, $G$9) + CHOOSE(CONTROL!$C$38, 0.0347, 0)</f>
        <v>44.047000000000004</v>
      </c>
      <c r="D658" s="10">
        <f>44.0045 * CHOOSE(CONTROL!$C$15, $E$9, 100%, $G$9) + CHOOSE(CONTROL!$C$38, 0.0347, 0)</f>
        <v>44.039200000000001</v>
      </c>
      <c r="E658" s="28">
        <f>47.5527 * CHOOSE(CONTROL!$C$15, $E$9, 100%, $G$9) + CHOOSE(CONTROL!$C$38, 0.0347, 0)</f>
        <v>47.587400000000002</v>
      </c>
      <c r="F658" s="27">
        <f>47.5527 * CHOOSE(CONTROL!$C$15, $E$9, 100%, $G$9) + CHOOSE(CONTROL!$C$38, 0.0256, 0)</f>
        <v>47.578299999999999</v>
      </c>
      <c r="G658" s="10">
        <f>44.0108 * CHOOSE(CONTROL!$C$15, $E$9, 100%, $G$9) + CHOOSE(CONTROL!$C$38, 0.0347, 0)</f>
        <v>44.045500000000004</v>
      </c>
      <c r="H658" s="10">
        <f>44.0108 * CHOOSE(CONTROL!$C$15, $E$9, 100%, $G$9) + CHOOSE(CONTROL!$C$38, 0.0347, 0)</f>
        <v>44.045500000000004</v>
      </c>
      <c r="I658" s="10">
        <f>44.0123 * CHOOSE(CONTROL!$C$15, $E$9, 100%, $G$9) + CHOOSE(CONTROL!$C$38, 0.0347, 0)</f>
        <v>44.047000000000004</v>
      </c>
      <c r="J658" s="26">
        <f>293.817</f>
        <v>293.81700000000001</v>
      </c>
    </row>
    <row r="659" spans="1:10" ht="15.75" x14ac:dyDescent="0.25">
      <c r="A659" s="13">
        <v>61362</v>
      </c>
      <c r="B659" s="10">
        <f>48.3051 * CHOOSE(CONTROL!$C$15, $E$9, 100%, $G$9) + CHOOSE(CONTROL!$C$38, 0.0256, 0)</f>
        <v>48.3307</v>
      </c>
      <c r="C659" s="10">
        <f>44.6084 * CHOOSE(CONTROL!$C$15, $E$9, 100%, $G$9) + CHOOSE(CONTROL!$C$38, 0.0347, 0)</f>
        <v>44.643100000000004</v>
      </c>
      <c r="D659" s="10">
        <f>44.6006 * CHOOSE(CONTROL!$C$15, $E$9, 100%, $G$9) + CHOOSE(CONTROL!$C$38, 0.0347, 0)</f>
        <v>44.635300000000001</v>
      </c>
      <c r="E659" s="28">
        <f>48.1488 * CHOOSE(CONTROL!$C$15, $E$9, 100%, $G$9) + CHOOSE(CONTROL!$C$38, 0.0347, 0)</f>
        <v>48.183500000000002</v>
      </c>
      <c r="F659" s="27">
        <f>48.1488 * CHOOSE(CONTROL!$C$15, $E$9, 100%, $G$9) + CHOOSE(CONTROL!$C$38, 0.0256, 0)</f>
        <v>48.174399999999999</v>
      </c>
      <c r="G659" s="10">
        <f>44.6069 * CHOOSE(CONTROL!$C$15, $E$9, 100%, $G$9) + CHOOSE(CONTROL!$C$38, 0.0347, 0)</f>
        <v>44.641600000000004</v>
      </c>
      <c r="H659" s="10">
        <f>44.6069 * CHOOSE(CONTROL!$C$15, $E$9, 100%, $G$9) + CHOOSE(CONTROL!$C$38, 0.0347, 0)</f>
        <v>44.641600000000004</v>
      </c>
      <c r="I659" s="10">
        <f>44.6084 * CHOOSE(CONTROL!$C$15, $E$9, 100%, $G$9) + CHOOSE(CONTROL!$C$38, 0.0347, 0)</f>
        <v>44.643100000000004</v>
      </c>
      <c r="J659" s="26">
        <f>285.098</f>
        <v>285.09800000000001</v>
      </c>
    </row>
    <row r="660" spans="1:10" ht="15.75" x14ac:dyDescent="0.25">
      <c r="A660" s="13">
        <v>61393</v>
      </c>
      <c r="B660" s="10">
        <f>49.6085 * CHOOSE(CONTROL!$C$15, $E$9, 100%, $G$9) + CHOOSE(CONTROL!$C$38, 0.0256, 0)</f>
        <v>49.634099999999997</v>
      </c>
      <c r="C660" s="10">
        <f>45.8493 * CHOOSE(CONTROL!$C$15, $E$9, 100%, $G$9) + CHOOSE(CONTROL!$C$38, 0.0347, 0)</f>
        <v>45.884</v>
      </c>
      <c r="D660" s="10">
        <f>45.8415 * CHOOSE(CONTROL!$C$15, $E$9, 100%, $G$9) + CHOOSE(CONTROL!$C$38, 0.0347, 0)</f>
        <v>45.876200000000004</v>
      </c>
      <c r="E660" s="28">
        <f>49.4522 * CHOOSE(CONTROL!$C$15, $E$9, 100%, $G$9) + CHOOSE(CONTROL!$C$38, 0.0347, 0)</f>
        <v>49.486899999999999</v>
      </c>
      <c r="F660" s="27">
        <f>49.4522 * CHOOSE(CONTROL!$C$15, $E$9, 100%, $G$9) + CHOOSE(CONTROL!$C$38, 0.0256, 0)</f>
        <v>49.477799999999995</v>
      </c>
      <c r="G660" s="10">
        <f>45.8477 * CHOOSE(CONTROL!$C$15, $E$9, 100%, $G$9) + CHOOSE(CONTROL!$C$38, 0.0347, 0)</f>
        <v>45.882400000000004</v>
      </c>
      <c r="H660" s="10">
        <f>45.8477 * CHOOSE(CONTROL!$C$15, $E$9, 100%, $G$9) + CHOOSE(CONTROL!$C$38, 0.0347, 0)</f>
        <v>45.882400000000004</v>
      </c>
      <c r="I660" s="10">
        <f>45.8493 * CHOOSE(CONTROL!$C$15, $E$9, 100%, $G$9) + CHOOSE(CONTROL!$C$38, 0.0347, 0)</f>
        <v>45.884</v>
      </c>
      <c r="J660" s="26">
        <f>283.1883</f>
        <v>283.18830000000003</v>
      </c>
    </row>
    <row r="661" spans="1:10" ht="15.75" x14ac:dyDescent="0.25">
      <c r="A661" s="13">
        <v>61422</v>
      </c>
      <c r="B661" s="10">
        <f>49.8292 * CHOOSE(CONTROL!$C$15, $E$9, 100%, $G$9) + CHOOSE(CONTROL!$C$38, 0.0256, 0)</f>
        <v>49.854799999999997</v>
      </c>
      <c r="C661" s="10">
        <f>46.07 * CHOOSE(CONTROL!$C$15, $E$9, 100%, $G$9) + CHOOSE(CONTROL!$C$38, 0.0347, 0)</f>
        <v>46.104700000000001</v>
      </c>
      <c r="D661" s="10">
        <f>46.0622 * CHOOSE(CONTROL!$C$15, $E$9, 100%, $G$9) + CHOOSE(CONTROL!$C$38, 0.0347, 0)</f>
        <v>46.096899999999998</v>
      </c>
      <c r="E661" s="28">
        <f>49.673 * CHOOSE(CONTROL!$C$15, $E$9, 100%, $G$9) + CHOOSE(CONTROL!$C$38, 0.0347, 0)</f>
        <v>49.707700000000003</v>
      </c>
      <c r="F661" s="27">
        <f>49.673 * CHOOSE(CONTROL!$C$15, $E$9, 100%, $G$9) + CHOOSE(CONTROL!$C$38, 0.0256, 0)</f>
        <v>49.698599999999999</v>
      </c>
      <c r="G661" s="10">
        <f>46.0685 * CHOOSE(CONTROL!$C$15, $E$9, 100%, $G$9) + CHOOSE(CONTROL!$C$38, 0.0347, 0)</f>
        <v>46.103200000000001</v>
      </c>
      <c r="H661" s="10">
        <f>46.0685 * CHOOSE(CONTROL!$C$15, $E$9, 100%, $G$9) + CHOOSE(CONTROL!$C$38, 0.0347, 0)</f>
        <v>46.103200000000001</v>
      </c>
      <c r="I661" s="10">
        <f>46.07 * CHOOSE(CONTROL!$C$15, $E$9, 100%, $G$9) + CHOOSE(CONTROL!$C$38, 0.0347, 0)</f>
        <v>46.104700000000001</v>
      </c>
      <c r="J661" s="26">
        <f>282.4011</f>
        <v>282.40109999999999</v>
      </c>
    </row>
    <row r="662" spans="1:10" ht="15.75" x14ac:dyDescent="0.25">
      <c r="A662" s="13">
        <v>61453</v>
      </c>
      <c r="B662" s="10">
        <f>49.3182 * CHOOSE(CONTROL!$C$15, $E$9, 100%, $G$9) + CHOOSE(CONTROL!$C$38, 0.0256, 0)</f>
        <v>49.343799999999995</v>
      </c>
      <c r="C662" s="10">
        <f>45.559 * CHOOSE(CONTROL!$C$15, $E$9, 100%, $G$9) + CHOOSE(CONTROL!$C$38, 0.0347, 0)</f>
        <v>45.593699999999998</v>
      </c>
      <c r="D662" s="10">
        <f>45.5512 * CHOOSE(CONTROL!$C$15, $E$9, 100%, $G$9) + CHOOSE(CONTROL!$C$38, 0.0347, 0)</f>
        <v>45.585900000000002</v>
      </c>
      <c r="E662" s="28">
        <f>49.162 * CHOOSE(CONTROL!$C$15, $E$9, 100%, $G$9) + CHOOSE(CONTROL!$C$38, 0.0347, 0)</f>
        <v>49.1967</v>
      </c>
      <c r="F662" s="27">
        <f>49.162 * CHOOSE(CONTROL!$C$15, $E$9, 100%, $G$9) + CHOOSE(CONTROL!$C$38, 0.0256, 0)</f>
        <v>49.187599999999996</v>
      </c>
      <c r="G662" s="10">
        <f>45.5575 * CHOOSE(CONTROL!$C$15, $E$9, 100%, $G$9) + CHOOSE(CONTROL!$C$38, 0.0347, 0)</f>
        <v>45.592199999999998</v>
      </c>
      <c r="H662" s="10">
        <f>45.5575 * CHOOSE(CONTROL!$C$15, $E$9, 100%, $G$9) + CHOOSE(CONTROL!$C$38, 0.0347, 0)</f>
        <v>45.592199999999998</v>
      </c>
      <c r="I662" s="10">
        <f>45.559 * CHOOSE(CONTROL!$C$15, $E$9, 100%, $G$9) + CHOOSE(CONTROL!$C$38, 0.0347, 0)</f>
        <v>45.593699999999998</v>
      </c>
      <c r="J662" s="26">
        <f>297.2853</f>
        <v>297.28530000000001</v>
      </c>
    </row>
    <row r="663" spans="1:10" ht="15.75" x14ac:dyDescent="0.25">
      <c r="A663" s="13">
        <v>61483</v>
      </c>
      <c r="B663" s="10">
        <f>48.823 * CHOOSE(CONTROL!$C$15, $E$9, 100%, $G$9) + CHOOSE(CONTROL!$C$38, 0.0256, 0)</f>
        <v>48.848599999999998</v>
      </c>
      <c r="C663" s="10">
        <f>45.0638 * CHOOSE(CONTROL!$C$15, $E$9, 100%, $G$9) + CHOOSE(CONTROL!$C$38, 0.0347, 0)</f>
        <v>45.098500000000001</v>
      </c>
      <c r="D663" s="10">
        <f>45.056 * CHOOSE(CONTROL!$C$15, $E$9, 100%, $G$9) + CHOOSE(CONTROL!$C$38, 0.0347, 0)</f>
        <v>45.090699999999998</v>
      </c>
      <c r="E663" s="28">
        <f>48.6668 * CHOOSE(CONTROL!$C$15, $E$9, 100%, $G$9) + CHOOSE(CONTROL!$C$38, 0.0347, 0)</f>
        <v>48.701500000000003</v>
      </c>
      <c r="F663" s="27">
        <f>48.6668 * CHOOSE(CONTROL!$C$15, $E$9, 100%, $G$9) + CHOOSE(CONTROL!$C$38, 0.0256, 0)</f>
        <v>48.692399999999999</v>
      </c>
      <c r="G663" s="10">
        <f>45.0623 * CHOOSE(CONTROL!$C$15, $E$9, 100%, $G$9) + CHOOSE(CONTROL!$C$38, 0.0347, 0)</f>
        <v>45.097000000000001</v>
      </c>
      <c r="H663" s="10">
        <f>45.0623 * CHOOSE(CONTROL!$C$15, $E$9, 100%, $G$9) + CHOOSE(CONTROL!$C$38, 0.0347, 0)</f>
        <v>45.097000000000001</v>
      </c>
      <c r="I663" s="10">
        <f>45.0638 * CHOOSE(CONTROL!$C$15, $E$9, 100%, $G$9) + CHOOSE(CONTROL!$C$38, 0.0347, 0)</f>
        <v>45.098500000000001</v>
      </c>
      <c r="J663" s="26">
        <f>316.5865</f>
        <v>316.5865</v>
      </c>
    </row>
    <row r="664" spans="1:10" ht="15.75" x14ac:dyDescent="0.25">
      <c r="A664" s="13">
        <v>61514</v>
      </c>
      <c r="B664" s="10">
        <f>48.3069 * CHOOSE(CONTROL!$C$15, $E$9, 100%, $G$9) + CHOOSE(CONTROL!$C$38, 0.0256, 0)</f>
        <v>48.332499999999996</v>
      </c>
      <c r="C664" s="10">
        <f>44.5477 * CHOOSE(CONTROL!$C$15, $E$9, 100%, $G$9) + CHOOSE(CONTROL!$C$38, 0.0347, 0)</f>
        <v>44.5824</v>
      </c>
      <c r="D664" s="10">
        <f>44.5399 * CHOOSE(CONTROL!$C$15, $E$9, 100%, $G$9) + CHOOSE(CONTROL!$C$38, 0.0347, 0)</f>
        <v>44.574600000000004</v>
      </c>
      <c r="E664" s="28">
        <f>48.1507 * CHOOSE(CONTROL!$C$15, $E$9, 100%, $G$9) + CHOOSE(CONTROL!$C$38, 0.0347, 0)</f>
        <v>48.185400000000001</v>
      </c>
      <c r="F664" s="27">
        <f>48.1507 * CHOOSE(CONTROL!$C$15, $E$9, 100%, $G$9) + CHOOSE(CONTROL!$C$38, 0.0256, 0)</f>
        <v>48.176299999999998</v>
      </c>
      <c r="G664" s="10">
        <f>44.5462 * CHOOSE(CONTROL!$C$15, $E$9, 100%, $G$9) + CHOOSE(CONTROL!$C$38, 0.0347, 0)</f>
        <v>44.5809</v>
      </c>
      <c r="H664" s="10">
        <f>44.5462 * CHOOSE(CONTROL!$C$15, $E$9, 100%, $G$9) + CHOOSE(CONTROL!$C$38, 0.0347, 0)</f>
        <v>44.5809</v>
      </c>
      <c r="I664" s="10">
        <f>44.5477 * CHOOSE(CONTROL!$C$15, $E$9, 100%, $G$9) + CHOOSE(CONTROL!$C$38, 0.0347, 0)</f>
        <v>44.5824</v>
      </c>
      <c r="J664" s="26">
        <f>327.2105</f>
        <v>327.21050000000002</v>
      </c>
    </row>
    <row r="665" spans="1:10" ht="15.75" x14ac:dyDescent="0.25">
      <c r="A665" s="13">
        <v>61544</v>
      </c>
      <c r="B665" s="10">
        <f>47.9451 * CHOOSE(CONTROL!$C$15, $E$9, 100%, $G$9) + CHOOSE(CONTROL!$C$38, 0.0256, 0)</f>
        <v>47.970699999999994</v>
      </c>
      <c r="C665" s="10">
        <f>44.1859 * CHOOSE(CONTROL!$C$15, $E$9, 100%, $G$9) + CHOOSE(CONTROL!$C$38, 0.0347, 0)</f>
        <v>44.220599999999997</v>
      </c>
      <c r="D665" s="10">
        <f>44.1781 * CHOOSE(CONTROL!$C$15, $E$9, 100%, $G$9) + CHOOSE(CONTROL!$C$38, 0.0347, 0)</f>
        <v>44.212800000000001</v>
      </c>
      <c r="E665" s="28">
        <f>47.7888 * CHOOSE(CONTROL!$C$15, $E$9, 100%, $G$9) + CHOOSE(CONTROL!$C$38, 0.0347, 0)</f>
        <v>47.823500000000003</v>
      </c>
      <c r="F665" s="27">
        <f>47.7888 * CHOOSE(CONTROL!$C$15, $E$9, 100%, $G$9) + CHOOSE(CONTROL!$C$38, 0.0256, 0)</f>
        <v>47.814399999999999</v>
      </c>
      <c r="G665" s="10">
        <f>44.1843 * CHOOSE(CONTROL!$C$15, $E$9, 100%, $G$9) + CHOOSE(CONTROL!$C$38, 0.0347, 0)</f>
        <v>44.219000000000001</v>
      </c>
      <c r="H665" s="10">
        <f>44.1843 * CHOOSE(CONTROL!$C$15, $E$9, 100%, $G$9) + CHOOSE(CONTROL!$C$38, 0.0347, 0)</f>
        <v>44.219000000000001</v>
      </c>
      <c r="I665" s="10">
        <f>44.1859 * CHOOSE(CONTROL!$C$15, $E$9, 100%, $G$9) + CHOOSE(CONTROL!$C$38, 0.0347, 0)</f>
        <v>44.220599999999997</v>
      </c>
      <c r="J665" s="26">
        <f>331.9253</f>
        <v>331.92529999999999</v>
      </c>
    </row>
    <row r="666" spans="1:10" ht="15.75" x14ac:dyDescent="0.25">
      <c r="A666" s="13">
        <v>61575</v>
      </c>
      <c r="B666" s="10">
        <f>47.7386 * CHOOSE(CONTROL!$C$15, $E$9, 100%, $G$9) + CHOOSE(CONTROL!$C$38, 0.0256, 0)</f>
        <v>47.764199999999995</v>
      </c>
      <c r="C666" s="10">
        <f>43.9794 * CHOOSE(CONTROL!$C$15, $E$9, 100%, $G$9) + CHOOSE(CONTROL!$C$38, 0.0347, 0)</f>
        <v>44.014099999999999</v>
      </c>
      <c r="D666" s="10">
        <f>43.9716 * CHOOSE(CONTROL!$C$15, $E$9, 100%, $G$9) + CHOOSE(CONTROL!$C$38, 0.0347, 0)</f>
        <v>44.006300000000003</v>
      </c>
      <c r="E666" s="28">
        <f>47.5823 * CHOOSE(CONTROL!$C$15, $E$9, 100%, $G$9) + CHOOSE(CONTROL!$C$38, 0.0347, 0)</f>
        <v>47.616999999999997</v>
      </c>
      <c r="F666" s="27">
        <f>47.5823 * CHOOSE(CONTROL!$C$15, $E$9, 100%, $G$9) + CHOOSE(CONTROL!$C$38, 0.0256, 0)</f>
        <v>47.607899999999994</v>
      </c>
      <c r="G666" s="10">
        <f>43.9778 * CHOOSE(CONTROL!$C$15, $E$9, 100%, $G$9) + CHOOSE(CONTROL!$C$38, 0.0347, 0)</f>
        <v>44.012500000000003</v>
      </c>
      <c r="H666" s="10">
        <f>43.9778 * CHOOSE(CONTROL!$C$15, $E$9, 100%, $G$9) + CHOOSE(CONTROL!$C$38, 0.0347, 0)</f>
        <v>44.012500000000003</v>
      </c>
      <c r="I666" s="10">
        <f>43.9794 * CHOOSE(CONTROL!$C$15, $E$9, 100%, $G$9) + CHOOSE(CONTROL!$C$38, 0.0347, 0)</f>
        <v>44.014099999999999</v>
      </c>
      <c r="J666" s="26">
        <f>330.373</f>
        <v>330.37299999999999</v>
      </c>
    </row>
    <row r="667" spans="1:10" ht="15.75" x14ac:dyDescent="0.25">
      <c r="A667" s="13">
        <v>61606</v>
      </c>
      <c r="B667" s="10">
        <f>47.8405 * CHOOSE(CONTROL!$C$15, $E$9, 100%, $G$9) + CHOOSE(CONTROL!$C$38, 0.0256, 0)</f>
        <v>47.866099999999996</v>
      </c>
      <c r="C667" s="10">
        <f>44.0813 * CHOOSE(CONTROL!$C$15, $E$9, 100%, $G$9) + CHOOSE(CONTROL!$C$38, 0.0347, 0)</f>
        <v>44.116</v>
      </c>
      <c r="D667" s="10">
        <f>44.0735 * CHOOSE(CONTROL!$C$15, $E$9, 100%, $G$9) + CHOOSE(CONTROL!$C$38, 0.0347, 0)</f>
        <v>44.108200000000004</v>
      </c>
      <c r="E667" s="28">
        <f>47.6843 * CHOOSE(CONTROL!$C$15, $E$9, 100%, $G$9) + CHOOSE(CONTROL!$C$38, 0.0347, 0)</f>
        <v>47.719000000000001</v>
      </c>
      <c r="F667" s="27">
        <f>47.6843 * CHOOSE(CONTROL!$C$15, $E$9, 100%, $G$9) + CHOOSE(CONTROL!$C$38, 0.0256, 0)</f>
        <v>47.709899999999998</v>
      </c>
      <c r="G667" s="10">
        <f>44.0797 * CHOOSE(CONTROL!$C$15, $E$9, 100%, $G$9) + CHOOSE(CONTROL!$C$38, 0.0347, 0)</f>
        <v>44.114400000000003</v>
      </c>
      <c r="H667" s="10">
        <f>44.0797 * CHOOSE(CONTROL!$C$15, $E$9, 100%, $G$9) + CHOOSE(CONTROL!$C$38, 0.0347, 0)</f>
        <v>44.114400000000003</v>
      </c>
      <c r="I667" s="10">
        <f>44.0813 * CHOOSE(CONTROL!$C$15, $E$9, 100%, $G$9) + CHOOSE(CONTROL!$C$38, 0.0347, 0)</f>
        <v>44.116</v>
      </c>
      <c r="J667" s="26">
        <f>322.682</f>
        <v>322.68200000000002</v>
      </c>
    </row>
    <row r="668" spans="1:10" ht="15.75" x14ac:dyDescent="0.25">
      <c r="A668" s="13">
        <v>61636</v>
      </c>
      <c r="B668" s="10">
        <f>48.1173 * CHOOSE(CONTROL!$C$15, $E$9, 100%, $G$9) + CHOOSE(CONTROL!$C$38, 0.0256, 0)</f>
        <v>48.142899999999997</v>
      </c>
      <c r="C668" s="10">
        <f>44.3581 * CHOOSE(CONTROL!$C$15, $E$9, 100%, $G$9) + CHOOSE(CONTROL!$C$38, 0.0347, 0)</f>
        <v>44.392800000000001</v>
      </c>
      <c r="D668" s="10">
        <f>44.3503 * CHOOSE(CONTROL!$C$15, $E$9, 100%, $G$9) + CHOOSE(CONTROL!$C$38, 0.0347, 0)</f>
        <v>44.384999999999998</v>
      </c>
      <c r="E668" s="28">
        <f>47.9611 * CHOOSE(CONTROL!$C$15, $E$9, 100%, $G$9) + CHOOSE(CONTROL!$C$38, 0.0347, 0)</f>
        <v>47.995800000000003</v>
      </c>
      <c r="F668" s="27">
        <f>47.9611 * CHOOSE(CONTROL!$C$15, $E$9, 100%, $G$9) + CHOOSE(CONTROL!$C$38, 0.0256, 0)</f>
        <v>47.986699999999999</v>
      </c>
      <c r="G668" s="10">
        <f>44.3565 * CHOOSE(CONTROL!$C$15, $E$9, 100%, $G$9) + CHOOSE(CONTROL!$C$38, 0.0347, 0)</f>
        <v>44.391199999999998</v>
      </c>
      <c r="H668" s="10">
        <f>44.3565 * CHOOSE(CONTROL!$C$15, $E$9, 100%, $G$9) + CHOOSE(CONTROL!$C$38, 0.0347, 0)</f>
        <v>44.391199999999998</v>
      </c>
      <c r="I668" s="10">
        <f>44.3581 * CHOOSE(CONTROL!$C$15, $E$9, 100%, $G$9) + CHOOSE(CONTROL!$C$38, 0.0347, 0)</f>
        <v>44.392800000000001</v>
      </c>
      <c r="J668" s="26">
        <f>311.9566</f>
        <v>311.95659999999998</v>
      </c>
    </row>
    <row r="669" spans="1:10" ht="15.75" x14ac:dyDescent="0.25">
      <c r="A669" s="13">
        <v>61667</v>
      </c>
      <c r="B669" s="10">
        <f>48.3491 * CHOOSE(CONTROL!$C$15, $E$9, 100%, $G$9) + CHOOSE(CONTROL!$C$38, 0.0256, 0)</f>
        <v>48.374699999999997</v>
      </c>
      <c r="C669" s="10">
        <f>44.5899 * CHOOSE(CONTROL!$C$15, $E$9, 100%, $G$9) + CHOOSE(CONTROL!$C$38, 0.0347, 0)</f>
        <v>44.624600000000001</v>
      </c>
      <c r="D669" s="10">
        <f>44.5821 * CHOOSE(CONTROL!$C$15, $E$9, 100%, $G$9) + CHOOSE(CONTROL!$C$38, 0.0347, 0)</f>
        <v>44.616799999999998</v>
      </c>
      <c r="E669" s="28">
        <f>48.1929 * CHOOSE(CONTROL!$C$15, $E$9, 100%, $G$9) + CHOOSE(CONTROL!$C$38, 0.0347, 0)</f>
        <v>48.227600000000002</v>
      </c>
      <c r="F669" s="27">
        <f>48.1929 * CHOOSE(CONTROL!$C$15, $E$9, 100%, $G$9) + CHOOSE(CONTROL!$C$38, 0.0256, 0)</f>
        <v>48.218499999999999</v>
      </c>
      <c r="G669" s="10">
        <f>44.5884 * CHOOSE(CONTROL!$C$15, $E$9, 100%, $G$9) + CHOOSE(CONTROL!$C$38, 0.0347, 0)</f>
        <v>44.623100000000001</v>
      </c>
      <c r="H669" s="10">
        <f>44.5884 * CHOOSE(CONTROL!$C$15, $E$9, 100%, $G$9) + CHOOSE(CONTROL!$C$38, 0.0347, 0)</f>
        <v>44.623100000000001</v>
      </c>
      <c r="I669" s="10">
        <f>44.5899 * CHOOSE(CONTROL!$C$15, $E$9, 100%, $G$9) + CHOOSE(CONTROL!$C$38, 0.0347, 0)</f>
        <v>44.624600000000001</v>
      </c>
      <c r="J669" s="26">
        <f>301.1688</f>
        <v>301.16879999999998</v>
      </c>
    </row>
    <row r="670" spans="1:10" ht="15.75" x14ac:dyDescent="0.25">
      <c r="A670" s="13">
        <v>61697</v>
      </c>
      <c r="B670" s="10">
        <f>48.5426 * CHOOSE(CONTROL!$C$15, $E$9, 100%, $G$9) + CHOOSE(CONTROL!$C$38, 0.0256, 0)</f>
        <v>48.568199999999997</v>
      </c>
      <c r="C670" s="10">
        <f>44.7834 * CHOOSE(CONTROL!$C$15, $E$9, 100%, $G$9) + CHOOSE(CONTROL!$C$38, 0.0347, 0)</f>
        <v>44.818100000000001</v>
      </c>
      <c r="D670" s="10">
        <f>44.7756 * CHOOSE(CONTROL!$C$15, $E$9, 100%, $G$9) + CHOOSE(CONTROL!$C$38, 0.0347, 0)</f>
        <v>44.810299999999998</v>
      </c>
      <c r="E670" s="28">
        <f>48.3863 * CHOOSE(CONTROL!$C$15, $E$9, 100%, $G$9) + CHOOSE(CONTROL!$C$38, 0.0347, 0)</f>
        <v>48.420999999999999</v>
      </c>
      <c r="F670" s="27">
        <f>48.3863 * CHOOSE(CONTROL!$C$15, $E$9, 100%, $G$9) + CHOOSE(CONTROL!$C$38, 0.0256, 0)</f>
        <v>48.411899999999996</v>
      </c>
      <c r="G670" s="10">
        <f>44.7818 * CHOOSE(CONTROL!$C$15, $E$9, 100%, $G$9) + CHOOSE(CONTROL!$C$38, 0.0347, 0)</f>
        <v>44.816499999999998</v>
      </c>
      <c r="H670" s="10">
        <f>44.7818 * CHOOSE(CONTROL!$C$15, $E$9, 100%, $G$9) + CHOOSE(CONTROL!$C$38, 0.0347, 0)</f>
        <v>44.816499999999998</v>
      </c>
      <c r="I670" s="10">
        <f>44.7834 * CHOOSE(CONTROL!$C$15, $E$9, 100%, $G$9) + CHOOSE(CONTROL!$C$38, 0.0347, 0)</f>
        <v>44.818100000000001</v>
      </c>
      <c r="J670" s="26">
        <f>299.0229</f>
        <v>299.02289999999999</v>
      </c>
    </row>
    <row r="671" spans="1:10" ht="15.75" x14ac:dyDescent="0.25">
      <c r="A671" s="13">
        <v>61728</v>
      </c>
      <c r="B671" s="10">
        <f>49.1386 * CHOOSE(CONTROL!$C$15, $E$9, 100%, $G$9) + CHOOSE(CONTROL!$C$38, 0.0256, 0)</f>
        <v>49.164199999999994</v>
      </c>
      <c r="C671" s="10">
        <f>45.3794 * CHOOSE(CONTROL!$C$15, $E$9, 100%, $G$9) + CHOOSE(CONTROL!$C$38, 0.0347, 0)</f>
        <v>45.414099999999998</v>
      </c>
      <c r="D671" s="10">
        <f>45.3716 * CHOOSE(CONTROL!$C$15, $E$9, 100%, $G$9) + CHOOSE(CONTROL!$C$38, 0.0347, 0)</f>
        <v>45.406300000000002</v>
      </c>
      <c r="E671" s="28">
        <f>48.9824 * CHOOSE(CONTROL!$C$15, $E$9, 100%, $G$9) + CHOOSE(CONTROL!$C$38, 0.0347, 0)</f>
        <v>49.017099999999999</v>
      </c>
      <c r="F671" s="27">
        <f>48.9824 * CHOOSE(CONTROL!$C$15, $E$9, 100%, $G$9) + CHOOSE(CONTROL!$C$38, 0.0256, 0)</f>
        <v>49.007999999999996</v>
      </c>
      <c r="G671" s="10">
        <f>45.3779 * CHOOSE(CONTROL!$C$15, $E$9, 100%, $G$9) + CHOOSE(CONTROL!$C$38, 0.0347, 0)</f>
        <v>45.412599999999998</v>
      </c>
      <c r="H671" s="10">
        <f>45.3779 * CHOOSE(CONTROL!$C$15, $E$9, 100%, $G$9) + CHOOSE(CONTROL!$C$38, 0.0347, 0)</f>
        <v>45.412599999999998</v>
      </c>
      <c r="I671" s="10">
        <f>45.3794 * CHOOSE(CONTROL!$C$15, $E$9, 100%, $G$9) + CHOOSE(CONTROL!$C$38, 0.0347, 0)</f>
        <v>45.414099999999998</v>
      </c>
      <c r="J671" s="26">
        <f>290.1494</f>
        <v>290.14940000000001</v>
      </c>
    </row>
    <row r="672" spans="1:10" ht="15.75" x14ac:dyDescent="0.25">
      <c r="A672" s="13">
        <v>61759</v>
      </c>
      <c r="B672" s="10">
        <f>50.4568 * CHOOSE(CONTROL!$C$15, $E$9, 100%, $G$9) + CHOOSE(CONTROL!$C$38, 0.0256, 0)</f>
        <v>50.482399999999998</v>
      </c>
      <c r="C672" s="10">
        <f>46.6339 * CHOOSE(CONTROL!$C$15, $E$9, 100%, $G$9) + CHOOSE(CONTROL!$C$38, 0.0347, 0)</f>
        <v>46.668599999999998</v>
      </c>
      <c r="D672" s="10">
        <f>46.6261 * CHOOSE(CONTROL!$C$15, $E$9, 100%, $G$9) + CHOOSE(CONTROL!$C$38, 0.0347, 0)</f>
        <v>46.660800000000002</v>
      </c>
      <c r="E672" s="28">
        <f>50.3005 * CHOOSE(CONTROL!$C$15, $E$9, 100%, $G$9) + CHOOSE(CONTROL!$C$38, 0.0347, 0)</f>
        <v>50.3352</v>
      </c>
      <c r="F672" s="27">
        <f>50.3005 * CHOOSE(CONTROL!$C$15, $E$9, 100%, $G$9) + CHOOSE(CONTROL!$C$38, 0.0256, 0)</f>
        <v>50.326099999999997</v>
      </c>
      <c r="G672" s="10">
        <f>46.6324 * CHOOSE(CONTROL!$C$15, $E$9, 100%, $G$9) + CHOOSE(CONTROL!$C$38, 0.0347, 0)</f>
        <v>46.667099999999998</v>
      </c>
      <c r="H672" s="10">
        <f>46.6324 * CHOOSE(CONTROL!$C$15, $E$9, 100%, $G$9) + CHOOSE(CONTROL!$C$38, 0.0347, 0)</f>
        <v>46.667099999999998</v>
      </c>
      <c r="I672" s="10">
        <f>46.6339 * CHOOSE(CONTROL!$C$15, $E$9, 100%, $G$9) + CHOOSE(CONTROL!$C$38, 0.0347, 0)</f>
        <v>46.668599999999998</v>
      </c>
      <c r="J672" s="26">
        <f>288.2058</f>
        <v>288.20580000000001</v>
      </c>
    </row>
    <row r="673" spans="1:10" ht="15.75" x14ac:dyDescent="0.25">
      <c r="A673" s="13">
        <v>61787</v>
      </c>
      <c r="B673" s="10">
        <f>50.6775 * CHOOSE(CONTROL!$C$15, $E$9, 100%, $G$9) + CHOOSE(CONTROL!$C$38, 0.0256, 0)</f>
        <v>50.703099999999999</v>
      </c>
      <c r="C673" s="10">
        <f>46.8547 * CHOOSE(CONTROL!$C$15, $E$9, 100%, $G$9) + CHOOSE(CONTROL!$C$38, 0.0347, 0)</f>
        <v>46.889400000000002</v>
      </c>
      <c r="D673" s="10">
        <f>46.8469 * CHOOSE(CONTROL!$C$15, $E$9, 100%, $G$9) + CHOOSE(CONTROL!$C$38, 0.0347, 0)</f>
        <v>46.881599999999999</v>
      </c>
      <c r="E673" s="28">
        <f>50.5213 * CHOOSE(CONTROL!$C$15, $E$9, 100%, $G$9) + CHOOSE(CONTROL!$C$38, 0.0347, 0)</f>
        <v>50.555999999999997</v>
      </c>
      <c r="F673" s="27">
        <f>50.5213 * CHOOSE(CONTROL!$C$15, $E$9, 100%, $G$9) + CHOOSE(CONTROL!$C$38, 0.0256, 0)</f>
        <v>50.546899999999994</v>
      </c>
      <c r="G673" s="10">
        <f>46.8531 * CHOOSE(CONTROL!$C$15, $E$9, 100%, $G$9) + CHOOSE(CONTROL!$C$38, 0.0347, 0)</f>
        <v>46.887799999999999</v>
      </c>
      <c r="H673" s="10">
        <f>46.8531 * CHOOSE(CONTROL!$C$15, $E$9, 100%, $G$9) + CHOOSE(CONTROL!$C$38, 0.0347, 0)</f>
        <v>46.887799999999999</v>
      </c>
      <c r="I673" s="10">
        <f>46.8547 * CHOOSE(CONTROL!$C$15, $E$9, 100%, $G$9) + CHOOSE(CONTROL!$C$38, 0.0347, 0)</f>
        <v>46.889400000000002</v>
      </c>
      <c r="J673" s="26">
        <f>287.4047</f>
        <v>287.40469999999999</v>
      </c>
    </row>
    <row r="674" spans="1:10" ht="15.75" x14ac:dyDescent="0.25">
      <c r="A674" s="13">
        <v>61818</v>
      </c>
      <c r="B674" s="10">
        <f>50.1665 * CHOOSE(CONTROL!$C$15, $E$9, 100%, $G$9) + CHOOSE(CONTROL!$C$38, 0.0256, 0)</f>
        <v>50.192099999999996</v>
      </c>
      <c r="C674" s="10">
        <f>46.3437 * CHOOSE(CONTROL!$C$15, $E$9, 100%, $G$9) + CHOOSE(CONTROL!$C$38, 0.0347, 0)</f>
        <v>46.378399999999999</v>
      </c>
      <c r="D674" s="10">
        <f>46.3358 * CHOOSE(CONTROL!$C$15, $E$9, 100%, $G$9) + CHOOSE(CONTROL!$C$38, 0.0347, 0)</f>
        <v>46.3705</v>
      </c>
      <c r="E674" s="28">
        <f>50.0103 * CHOOSE(CONTROL!$C$15, $E$9, 100%, $G$9) + CHOOSE(CONTROL!$C$38, 0.0347, 0)</f>
        <v>50.045000000000002</v>
      </c>
      <c r="F674" s="27">
        <f>50.0103 * CHOOSE(CONTROL!$C$15, $E$9, 100%, $G$9) + CHOOSE(CONTROL!$C$38, 0.0256, 0)</f>
        <v>50.035899999999998</v>
      </c>
      <c r="G674" s="10">
        <f>46.3421 * CHOOSE(CONTROL!$C$15, $E$9, 100%, $G$9) + CHOOSE(CONTROL!$C$38, 0.0347, 0)</f>
        <v>46.376800000000003</v>
      </c>
      <c r="H674" s="10">
        <f>46.3421 * CHOOSE(CONTROL!$C$15, $E$9, 100%, $G$9) + CHOOSE(CONTROL!$C$38, 0.0347, 0)</f>
        <v>46.376800000000003</v>
      </c>
      <c r="I674" s="10">
        <f>46.3437 * CHOOSE(CONTROL!$C$15, $E$9, 100%, $G$9) + CHOOSE(CONTROL!$C$38, 0.0347, 0)</f>
        <v>46.378399999999999</v>
      </c>
      <c r="J674" s="26">
        <f>302.5526</f>
        <v>302.55259999999998</v>
      </c>
    </row>
    <row r="675" spans="1:10" ht="15.75" x14ac:dyDescent="0.25">
      <c r="A675" s="13">
        <v>61848</v>
      </c>
      <c r="B675" s="10">
        <f>49.6713 * CHOOSE(CONTROL!$C$15, $E$9, 100%, $G$9) + CHOOSE(CONTROL!$C$38, 0.0256, 0)</f>
        <v>49.696899999999999</v>
      </c>
      <c r="C675" s="10">
        <f>45.8485 * CHOOSE(CONTROL!$C$15, $E$9, 100%, $G$9) + CHOOSE(CONTROL!$C$38, 0.0347, 0)</f>
        <v>45.883200000000002</v>
      </c>
      <c r="D675" s="10">
        <f>45.8407 * CHOOSE(CONTROL!$C$15, $E$9, 100%, $G$9) + CHOOSE(CONTROL!$C$38, 0.0347, 0)</f>
        <v>45.875399999999999</v>
      </c>
      <c r="E675" s="28">
        <f>49.5151 * CHOOSE(CONTROL!$C$15, $E$9, 100%, $G$9) + CHOOSE(CONTROL!$C$38, 0.0347, 0)</f>
        <v>49.549799999999998</v>
      </c>
      <c r="F675" s="27">
        <f>49.5151 * CHOOSE(CONTROL!$C$15, $E$9, 100%, $G$9) + CHOOSE(CONTROL!$C$38, 0.0256, 0)</f>
        <v>49.540699999999994</v>
      </c>
      <c r="G675" s="10">
        <f>45.8469 * CHOOSE(CONTROL!$C$15, $E$9, 100%, $G$9) + CHOOSE(CONTROL!$C$38, 0.0347, 0)</f>
        <v>45.881599999999999</v>
      </c>
      <c r="H675" s="10">
        <f>45.8469 * CHOOSE(CONTROL!$C$15, $E$9, 100%, $G$9) + CHOOSE(CONTROL!$C$38, 0.0347, 0)</f>
        <v>45.881599999999999</v>
      </c>
      <c r="I675" s="10">
        <f>45.8485 * CHOOSE(CONTROL!$C$15, $E$9, 100%, $G$9) + CHOOSE(CONTROL!$C$38, 0.0347, 0)</f>
        <v>45.883200000000002</v>
      </c>
      <c r="J675" s="26">
        <f>322.1958</f>
        <v>322.19580000000002</v>
      </c>
    </row>
    <row r="676" spans="1:10" ht="15.75" x14ac:dyDescent="0.25">
      <c r="A676" s="13">
        <v>61879</v>
      </c>
      <c r="B676" s="10">
        <f>49.1552 * CHOOSE(CONTROL!$C$15, $E$9, 100%, $G$9) + CHOOSE(CONTROL!$C$38, 0.0256, 0)</f>
        <v>49.180799999999998</v>
      </c>
      <c r="C676" s="10">
        <f>45.3324 * CHOOSE(CONTROL!$C$15, $E$9, 100%, $G$9) + CHOOSE(CONTROL!$C$38, 0.0347, 0)</f>
        <v>45.367100000000001</v>
      </c>
      <c r="D676" s="10">
        <f>45.3246 * CHOOSE(CONTROL!$C$15, $E$9, 100%, $G$9) + CHOOSE(CONTROL!$C$38, 0.0347, 0)</f>
        <v>45.359299999999998</v>
      </c>
      <c r="E676" s="28">
        <f>48.999 * CHOOSE(CONTROL!$C$15, $E$9, 100%, $G$9) + CHOOSE(CONTROL!$C$38, 0.0347, 0)</f>
        <v>49.033700000000003</v>
      </c>
      <c r="F676" s="27">
        <f>48.999 * CHOOSE(CONTROL!$C$15, $E$9, 100%, $G$9) + CHOOSE(CONTROL!$C$38, 0.0256, 0)</f>
        <v>49.0246</v>
      </c>
      <c r="G676" s="10">
        <f>45.3308 * CHOOSE(CONTROL!$C$15, $E$9, 100%, $G$9) + CHOOSE(CONTROL!$C$38, 0.0347, 0)</f>
        <v>45.365500000000004</v>
      </c>
      <c r="H676" s="10">
        <f>45.3308 * CHOOSE(CONTROL!$C$15, $E$9, 100%, $G$9) + CHOOSE(CONTROL!$C$38, 0.0347, 0)</f>
        <v>45.365500000000004</v>
      </c>
      <c r="I676" s="10">
        <f>45.3324 * CHOOSE(CONTROL!$C$15, $E$9, 100%, $G$9) + CHOOSE(CONTROL!$C$38, 0.0347, 0)</f>
        <v>45.367100000000001</v>
      </c>
      <c r="J676" s="26">
        <f>333.0081</f>
        <v>333.00810000000001</v>
      </c>
    </row>
    <row r="677" spans="1:10" ht="15.75" x14ac:dyDescent="0.25">
      <c r="A677" s="13">
        <v>61909</v>
      </c>
      <c r="B677" s="10">
        <f>48.7934 * CHOOSE(CONTROL!$C$15, $E$9, 100%, $G$9) + CHOOSE(CONTROL!$C$38, 0.0256, 0)</f>
        <v>48.818999999999996</v>
      </c>
      <c r="C677" s="10">
        <f>44.9705 * CHOOSE(CONTROL!$C$15, $E$9, 100%, $G$9) + CHOOSE(CONTROL!$C$38, 0.0347, 0)</f>
        <v>45.005200000000002</v>
      </c>
      <c r="D677" s="10">
        <f>44.9627 * CHOOSE(CONTROL!$C$15, $E$9, 100%, $G$9) + CHOOSE(CONTROL!$C$38, 0.0347, 0)</f>
        <v>44.997399999999999</v>
      </c>
      <c r="E677" s="28">
        <f>48.6371 * CHOOSE(CONTROL!$C$15, $E$9, 100%, $G$9) + CHOOSE(CONTROL!$C$38, 0.0347, 0)</f>
        <v>48.671799999999998</v>
      </c>
      <c r="F677" s="27">
        <f>48.6371 * CHOOSE(CONTROL!$C$15, $E$9, 100%, $G$9) + CHOOSE(CONTROL!$C$38, 0.0256, 0)</f>
        <v>48.662699999999994</v>
      </c>
      <c r="G677" s="10">
        <f>44.969 * CHOOSE(CONTROL!$C$15, $E$9, 100%, $G$9) + CHOOSE(CONTROL!$C$38, 0.0347, 0)</f>
        <v>45.003700000000002</v>
      </c>
      <c r="H677" s="10">
        <f>44.969 * CHOOSE(CONTROL!$C$15, $E$9, 100%, $G$9) + CHOOSE(CONTROL!$C$38, 0.0347, 0)</f>
        <v>45.003700000000002</v>
      </c>
      <c r="I677" s="10">
        <f>44.9705 * CHOOSE(CONTROL!$C$15, $E$9, 100%, $G$9) + CHOOSE(CONTROL!$C$38, 0.0347, 0)</f>
        <v>45.005200000000002</v>
      </c>
      <c r="J677" s="26">
        <f>337.8064</f>
        <v>337.8064</v>
      </c>
    </row>
    <row r="678" spans="1:10" ht="15.75" x14ac:dyDescent="0.25">
      <c r="A678" s="13">
        <v>61940</v>
      </c>
      <c r="B678" s="10">
        <f>48.5869 * CHOOSE(CONTROL!$C$15, $E$9, 100%, $G$9) + CHOOSE(CONTROL!$C$38, 0.0256, 0)</f>
        <v>48.612499999999997</v>
      </c>
      <c r="C678" s="10">
        <f>44.764 * CHOOSE(CONTROL!$C$15, $E$9, 100%, $G$9) + CHOOSE(CONTROL!$C$38, 0.0347, 0)</f>
        <v>44.798700000000004</v>
      </c>
      <c r="D678" s="10">
        <f>44.7562 * CHOOSE(CONTROL!$C$15, $E$9, 100%, $G$9) + CHOOSE(CONTROL!$C$38, 0.0347, 0)</f>
        <v>44.790900000000001</v>
      </c>
      <c r="E678" s="28">
        <f>48.4306 * CHOOSE(CONTROL!$C$15, $E$9, 100%, $G$9) + CHOOSE(CONTROL!$C$38, 0.0347, 0)</f>
        <v>48.465299999999999</v>
      </c>
      <c r="F678" s="27">
        <f>48.4306 * CHOOSE(CONTROL!$C$15, $E$9, 100%, $G$9) + CHOOSE(CONTROL!$C$38, 0.0256, 0)</f>
        <v>48.456199999999995</v>
      </c>
      <c r="G678" s="10">
        <f>44.7625 * CHOOSE(CONTROL!$C$15, $E$9, 100%, $G$9) + CHOOSE(CONTROL!$C$38, 0.0347, 0)</f>
        <v>44.797200000000004</v>
      </c>
      <c r="H678" s="10">
        <f>44.7625 * CHOOSE(CONTROL!$C$15, $E$9, 100%, $G$9) + CHOOSE(CONTROL!$C$38, 0.0347, 0)</f>
        <v>44.797200000000004</v>
      </c>
      <c r="I678" s="10">
        <f>44.764 * CHOOSE(CONTROL!$C$15, $E$9, 100%, $G$9) + CHOOSE(CONTROL!$C$38, 0.0347, 0)</f>
        <v>44.798700000000004</v>
      </c>
      <c r="J678" s="26">
        <f>336.2265</f>
        <v>336.22649999999999</v>
      </c>
    </row>
    <row r="679" spans="1:10" ht="15.75" x14ac:dyDescent="0.25">
      <c r="A679" s="13">
        <v>61971</v>
      </c>
      <c r="B679" s="10">
        <f>48.6888 * CHOOSE(CONTROL!$C$15, $E$9, 100%, $G$9) + CHOOSE(CONTROL!$C$38, 0.0256, 0)</f>
        <v>48.714399999999998</v>
      </c>
      <c r="C679" s="10">
        <f>44.8659 * CHOOSE(CONTROL!$C$15, $E$9, 100%, $G$9) + CHOOSE(CONTROL!$C$38, 0.0347, 0)</f>
        <v>44.900600000000004</v>
      </c>
      <c r="D679" s="10">
        <f>44.8581 * CHOOSE(CONTROL!$C$15, $E$9, 100%, $G$9) + CHOOSE(CONTROL!$C$38, 0.0347, 0)</f>
        <v>44.892800000000001</v>
      </c>
      <c r="E679" s="28">
        <f>48.5326 * CHOOSE(CONTROL!$C$15, $E$9, 100%, $G$9) + CHOOSE(CONTROL!$C$38, 0.0347, 0)</f>
        <v>48.567300000000003</v>
      </c>
      <c r="F679" s="27">
        <f>48.5326 * CHOOSE(CONTROL!$C$15, $E$9, 100%, $G$9) + CHOOSE(CONTROL!$C$38, 0.0256, 0)</f>
        <v>48.558199999999999</v>
      </c>
      <c r="G679" s="10">
        <f>44.8644 * CHOOSE(CONTROL!$C$15, $E$9, 100%, $G$9) + CHOOSE(CONTROL!$C$38, 0.0347, 0)</f>
        <v>44.899100000000004</v>
      </c>
      <c r="H679" s="10">
        <f>44.8644 * CHOOSE(CONTROL!$C$15, $E$9, 100%, $G$9) + CHOOSE(CONTROL!$C$38, 0.0347, 0)</f>
        <v>44.899100000000004</v>
      </c>
      <c r="I679" s="10">
        <f>44.8659 * CHOOSE(CONTROL!$C$15, $E$9, 100%, $G$9) + CHOOSE(CONTROL!$C$38, 0.0347, 0)</f>
        <v>44.900600000000004</v>
      </c>
      <c r="J679" s="26">
        <f>328.3993</f>
        <v>328.39929999999998</v>
      </c>
    </row>
    <row r="680" spans="1:10" ht="15.75" x14ac:dyDescent="0.25">
      <c r="A680" s="13">
        <v>62001</v>
      </c>
      <c r="B680" s="10">
        <f>48.9656 * CHOOSE(CONTROL!$C$15, $E$9, 100%, $G$9) + CHOOSE(CONTROL!$C$38, 0.0256, 0)</f>
        <v>48.991199999999999</v>
      </c>
      <c r="C680" s="10">
        <f>45.1427 * CHOOSE(CONTROL!$C$15, $E$9, 100%, $G$9) + CHOOSE(CONTROL!$C$38, 0.0347, 0)</f>
        <v>45.177399999999999</v>
      </c>
      <c r="D680" s="10">
        <f>45.1349 * CHOOSE(CONTROL!$C$15, $E$9, 100%, $G$9) + CHOOSE(CONTROL!$C$38, 0.0347, 0)</f>
        <v>45.169600000000003</v>
      </c>
      <c r="E680" s="28">
        <f>48.8094 * CHOOSE(CONTROL!$C$15, $E$9, 100%, $G$9) + CHOOSE(CONTROL!$C$38, 0.0347, 0)</f>
        <v>48.844099999999997</v>
      </c>
      <c r="F680" s="27">
        <f>48.8094 * CHOOSE(CONTROL!$C$15, $E$9, 100%, $G$9) + CHOOSE(CONTROL!$C$38, 0.0256, 0)</f>
        <v>48.834999999999994</v>
      </c>
      <c r="G680" s="10">
        <f>45.1412 * CHOOSE(CONTROL!$C$15, $E$9, 100%, $G$9) + CHOOSE(CONTROL!$C$38, 0.0347, 0)</f>
        <v>45.175899999999999</v>
      </c>
      <c r="H680" s="10">
        <f>45.1412 * CHOOSE(CONTROL!$C$15, $E$9, 100%, $G$9) + CHOOSE(CONTROL!$C$38, 0.0347, 0)</f>
        <v>45.175899999999999</v>
      </c>
      <c r="I680" s="10">
        <f>45.1427 * CHOOSE(CONTROL!$C$15, $E$9, 100%, $G$9) + CHOOSE(CONTROL!$C$38, 0.0347, 0)</f>
        <v>45.177399999999999</v>
      </c>
      <c r="J680" s="26">
        <f>317.4839</f>
        <v>317.48390000000001</v>
      </c>
    </row>
    <row r="681" spans="1:10" ht="15.75" x14ac:dyDescent="0.25">
      <c r="A681" s="13">
        <v>62032</v>
      </c>
      <c r="B681" s="10">
        <f>49.1974 * CHOOSE(CONTROL!$C$15, $E$9, 100%, $G$9) + CHOOSE(CONTROL!$C$38, 0.0256, 0)</f>
        <v>49.222999999999999</v>
      </c>
      <c r="C681" s="10">
        <f>45.3746 * CHOOSE(CONTROL!$C$15, $E$9, 100%, $G$9) + CHOOSE(CONTROL!$C$38, 0.0347, 0)</f>
        <v>45.409300000000002</v>
      </c>
      <c r="D681" s="10">
        <f>45.3668 * CHOOSE(CONTROL!$C$15, $E$9, 100%, $G$9) + CHOOSE(CONTROL!$C$38, 0.0347, 0)</f>
        <v>45.401499999999999</v>
      </c>
      <c r="E681" s="28">
        <f>49.0412 * CHOOSE(CONTROL!$C$15, $E$9, 100%, $G$9) + CHOOSE(CONTROL!$C$38, 0.0347, 0)</f>
        <v>49.075900000000004</v>
      </c>
      <c r="F681" s="27">
        <f>49.0412 * CHOOSE(CONTROL!$C$15, $E$9, 100%, $G$9) + CHOOSE(CONTROL!$C$38, 0.0256, 0)</f>
        <v>49.066800000000001</v>
      </c>
      <c r="G681" s="10">
        <f>45.373 * CHOOSE(CONTROL!$C$15, $E$9, 100%, $G$9) + CHOOSE(CONTROL!$C$38, 0.0347, 0)</f>
        <v>45.407699999999998</v>
      </c>
      <c r="H681" s="10">
        <f>45.373 * CHOOSE(CONTROL!$C$15, $E$9, 100%, $G$9) + CHOOSE(CONTROL!$C$38, 0.0347, 0)</f>
        <v>45.407699999999998</v>
      </c>
      <c r="I681" s="10">
        <f>45.3746 * CHOOSE(CONTROL!$C$15, $E$9, 100%, $G$9) + CHOOSE(CONTROL!$C$38, 0.0347, 0)</f>
        <v>45.409300000000002</v>
      </c>
      <c r="J681" s="26">
        <f>306.505</f>
        <v>306.505</v>
      </c>
    </row>
    <row r="682" spans="1:10" ht="15.75" x14ac:dyDescent="0.25">
      <c r="A682" s="13">
        <v>62062</v>
      </c>
      <c r="B682" s="10">
        <f>49.3909 * CHOOSE(CONTROL!$C$15, $E$9, 100%, $G$9) + CHOOSE(CONTROL!$C$38, 0.0256, 0)</f>
        <v>49.416499999999999</v>
      </c>
      <c r="C682" s="10">
        <f>45.568 * CHOOSE(CONTROL!$C$15, $E$9, 100%, $G$9) + CHOOSE(CONTROL!$C$38, 0.0347, 0)</f>
        <v>45.602699999999999</v>
      </c>
      <c r="D682" s="10">
        <f>45.5602 * CHOOSE(CONTROL!$C$15, $E$9, 100%, $G$9) + CHOOSE(CONTROL!$C$38, 0.0347, 0)</f>
        <v>45.594900000000003</v>
      </c>
      <c r="E682" s="28">
        <f>49.2346 * CHOOSE(CONTROL!$C$15, $E$9, 100%, $G$9) + CHOOSE(CONTROL!$C$38, 0.0347, 0)</f>
        <v>49.269300000000001</v>
      </c>
      <c r="F682" s="27">
        <f>49.2346 * CHOOSE(CONTROL!$C$15, $E$9, 100%, $G$9) + CHOOSE(CONTROL!$C$38, 0.0256, 0)</f>
        <v>49.260199999999998</v>
      </c>
      <c r="G682" s="10">
        <f>45.5664 * CHOOSE(CONTROL!$C$15, $E$9, 100%, $G$9) + CHOOSE(CONTROL!$C$38, 0.0347, 0)</f>
        <v>45.601100000000002</v>
      </c>
      <c r="H682" s="10">
        <f>45.5664 * CHOOSE(CONTROL!$C$15, $E$9, 100%, $G$9) + CHOOSE(CONTROL!$C$38, 0.0347, 0)</f>
        <v>45.601100000000002</v>
      </c>
      <c r="I682" s="10">
        <f>45.568 * CHOOSE(CONTROL!$C$15, $E$9, 100%, $G$9) + CHOOSE(CONTROL!$C$38, 0.0347, 0)</f>
        <v>45.602699999999999</v>
      </c>
      <c r="J682" s="26">
        <f>304.3211</f>
        <v>304.3211</v>
      </c>
    </row>
    <row r="683" spans="1:10" ht="15.75" x14ac:dyDescent="0.25">
      <c r="A683" s="13">
        <v>62093</v>
      </c>
      <c r="B683" s="10">
        <f>49.9869 * CHOOSE(CONTROL!$C$15, $E$9, 100%, $G$9) + CHOOSE(CONTROL!$C$38, 0.0256, 0)</f>
        <v>50.012499999999996</v>
      </c>
      <c r="C683" s="10">
        <f>46.1641 * CHOOSE(CONTROL!$C$15, $E$9, 100%, $G$9) + CHOOSE(CONTROL!$C$38, 0.0347, 0)</f>
        <v>46.198799999999999</v>
      </c>
      <c r="D683" s="10">
        <f>46.1563 * CHOOSE(CONTROL!$C$15, $E$9, 100%, $G$9) + CHOOSE(CONTROL!$C$38, 0.0347, 0)</f>
        <v>46.191000000000003</v>
      </c>
      <c r="E683" s="28">
        <f>49.8307 * CHOOSE(CONTROL!$C$15, $E$9, 100%, $G$9) + CHOOSE(CONTROL!$C$38, 0.0347, 0)</f>
        <v>49.865400000000001</v>
      </c>
      <c r="F683" s="27">
        <f>49.8307 * CHOOSE(CONTROL!$C$15, $E$9, 100%, $G$9) + CHOOSE(CONTROL!$C$38, 0.0256, 0)</f>
        <v>49.856299999999997</v>
      </c>
      <c r="G683" s="10">
        <f>46.1625 * CHOOSE(CONTROL!$C$15, $E$9, 100%, $G$9) + CHOOSE(CONTROL!$C$38, 0.0347, 0)</f>
        <v>46.197200000000002</v>
      </c>
      <c r="H683" s="10">
        <f>46.1625 * CHOOSE(CONTROL!$C$15, $E$9, 100%, $G$9) + CHOOSE(CONTROL!$C$38, 0.0347, 0)</f>
        <v>46.197200000000002</v>
      </c>
      <c r="I683" s="10">
        <f>46.1641 * CHOOSE(CONTROL!$C$15, $E$9, 100%, $G$9) + CHOOSE(CONTROL!$C$38, 0.0347, 0)</f>
        <v>46.198799999999999</v>
      </c>
      <c r="J683" s="26">
        <f>295.2903</f>
        <v>295.2903</v>
      </c>
    </row>
    <row r="684" spans="1:10" ht="15.75" x14ac:dyDescent="0.25">
      <c r="A684" s="13">
        <v>62124</v>
      </c>
      <c r="B684" s="10">
        <f>51.3201 * CHOOSE(CONTROL!$C$15, $E$9, 100%, $G$9) + CHOOSE(CONTROL!$C$38, 0.0256, 0)</f>
        <v>51.345699999999994</v>
      </c>
      <c r="C684" s="10">
        <f>47.4324 * CHOOSE(CONTROL!$C$15, $E$9, 100%, $G$9) + CHOOSE(CONTROL!$C$38, 0.0347, 0)</f>
        <v>47.467100000000002</v>
      </c>
      <c r="D684" s="10">
        <f>47.4246 * CHOOSE(CONTROL!$C$15, $E$9, 100%, $G$9) + CHOOSE(CONTROL!$C$38, 0.0347, 0)</f>
        <v>47.459299999999999</v>
      </c>
      <c r="E684" s="28">
        <f>51.1638 * CHOOSE(CONTROL!$C$15, $E$9, 100%, $G$9) + CHOOSE(CONTROL!$C$38, 0.0347, 0)</f>
        <v>51.198500000000003</v>
      </c>
      <c r="F684" s="27">
        <f>51.1638 * CHOOSE(CONTROL!$C$15, $E$9, 100%, $G$9) + CHOOSE(CONTROL!$C$38, 0.0256, 0)</f>
        <v>51.189399999999999</v>
      </c>
      <c r="G684" s="10">
        <f>47.4309 * CHOOSE(CONTROL!$C$15, $E$9, 100%, $G$9) + CHOOSE(CONTROL!$C$38, 0.0347, 0)</f>
        <v>47.465600000000002</v>
      </c>
      <c r="H684" s="10">
        <f>47.4309 * CHOOSE(CONTROL!$C$15, $E$9, 100%, $G$9) + CHOOSE(CONTROL!$C$38, 0.0347, 0)</f>
        <v>47.465600000000002</v>
      </c>
      <c r="I684" s="10">
        <f>47.4324 * CHOOSE(CONTROL!$C$15, $E$9, 100%, $G$9) + CHOOSE(CONTROL!$C$38, 0.0347, 0)</f>
        <v>47.467100000000002</v>
      </c>
      <c r="J684" s="26">
        <f>293.3123</f>
        <v>293.31229999999999</v>
      </c>
    </row>
    <row r="685" spans="1:10" ht="15.75" x14ac:dyDescent="0.25">
      <c r="A685" s="13">
        <v>62152</v>
      </c>
      <c r="B685" s="10">
        <f>51.5408 * CHOOSE(CONTROL!$C$15, $E$9, 100%, $G$9) + CHOOSE(CONTROL!$C$38, 0.0256, 0)</f>
        <v>51.566399999999994</v>
      </c>
      <c r="C685" s="10">
        <f>47.6532 * CHOOSE(CONTROL!$C$15, $E$9, 100%, $G$9) + CHOOSE(CONTROL!$C$38, 0.0347, 0)</f>
        <v>47.687899999999999</v>
      </c>
      <c r="D685" s="10">
        <f>47.6454 * CHOOSE(CONTROL!$C$15, $E$9, 100%, $G$9) + CHOOSE(CONTROL!$C$38, 0.0347, 0)</f>
        <v>47.680100000000003</v>
      </c>
      <c r="E685" s="28">
        <f>51.3846 * CHOOSE(CONTROL!$C$15, $E$9, 100%, $G$9) + CHOOSE(CONTROL!$C$38, 0.0347, 0)</f>
        <v>51.4193</v>
      </c>
      <c r="F685" s="27">
        <f>51.3846 * CHOOSE(CONTROL!$C$15, $E$9, 100%, $G$9) + CHOOSE(CONTROL!$C$38, 0.0256, 0)</f>
        <v>51.410199999999996</v>
      </c>
      <c r="G685" s="10">
        <f>47.6516 * CHOOSE(CONTROL!$C$15, $E$9, 100%, $G$9) + CHOOSE(CONTROL!$C$38, 0.0347, 0)</f>
        <v>47.686300000000003</v>
      </c>
      <c r="H685" s="10">
        <f>47.6516 * CHOOSE(CONTROL!$C$15, $E$9, 100%, $G$9) + CHOOSE(CONTROL!$C$38, 0.0347, 0)</f>
        <v>47.686300000000003</v>
      </c>
      <c r="I685" s="10">
        <f>47.6532 * CHOOSE(CONTROL!$C$15, $E$9, 100%, $G$9) + CHOOSE(CONTROL!$C$38, 0.0347, 0)</f>
        <v>47.687899999999999</v>
      </c>
      <c r="J685" s="26">
        <f>292.497</f>
        <v>292.49700000000001</v>
      </c>
    </row>
    <row r="686" spans="1:10" ht="15.75" x14ac:dyDescent="0.25">
      <c r="A686" s="13">
        <v>62183</v>
      </c>
      <c r="B686" s="10">
        <f>51.0298 * CHOOSE(CONTROL!$C$15, $E$9, 100%, $G$9) + CHOOSE(CONTROL!$C$38, 0.0256, 0)</f>
        <v>51.055399999999999</v>
      </c>
      <c r="C686" s="10">
        <f>47.1422 * CHOOSE(CONTROL!$C$15, $E$9, 100%, $G$9) + CHOOSE(CONTROL!$C$38, 0.0347, 0)</f>
        <v>47.176900000000003</v>
      </c>
      <c r="D686" s="10">
        <f>47.1344 * CHOOSE(CONTROL!$C$15, $E$9, 100%, $G$9) + CHOOSE(CONTROL!$C$38, 0.0347, 0)</f>
        <v>47.1691</v>
      </c>
      <c r="E686" s="28">
        <f>50.8736 * CHOOSE(CONTROL!$C$15, $E$9, 100%, $G$9) + CHOOSE(CONTROL!$C$38, 0.0347, 0)</f>
        <v>50.908300000000004</v>
      </c>
      <c r="F686" s="27">
        <f>50.8736 * CHOOSE(CONTROL!$C$15, $E$9, 100%, $G$9) + CHOOSE(CONTROL!$C$38, 0.0256, 0)</f>
        <v>50.8992</v>
      </c>
      <c r="G686" s="10">
        <f>47.1406 * CHOOSE(CONTROL!$C$15, $E$9, 100%, $G$9) + CHOOSE(CONTROL!$C$38, 0.0347, 0)</f>
        <v>47.1753</v>
      </c>
      <c r="H686" s="10">
        <f>47.1406 * CHOOSE(CONTROL!$C$15, $E$9, 100%, $G$9) + CHOOSE(CONTROL!$C$38, 0.0347, 0)</f>
        <v>47.1753</v>
      </c>
      <c r="I686" s="10">
        <f>47.1422 * CHOOSE(CONTROL!$C$15, $E$9, 100%, $G$9) + CHOOSE(CONTROL!$C$38, 0.0347, 0)</f>
        <v>47.176900000000003</v>
      </c>
      <c r="J686" s="26">
        <f>307.9133</f>
        <v>307.91329999999999</v>
      </c>
    </row>
    <row r="687" spans="1:10" ht="15.75" x14ac:dyDescent="0.25">
      <c r="A687" s="13">
        <v>62213</v>
      </c>
      <c r="B687" s="10">
        <f>50.5346 * CHOOSE(CONTROL!$C$15, $E$9, 100%, $G$9) + CHOOSE(CONTROL!$C$38, 0.0256, 0)</f>
        <v>50.560199999999995</v>
      </c>
      <c r="C687" s="10">
        <f>46.647 * CHOOSE(CONTROL!$C$15, $E$9, 100%, $G$9) + CHOOSE(CONTROL!$C$38, 0.0347, 0)</f>
        <v>46.681699999999999</v>
      </c>
      <c r="D687" s="10">
        <f>46.6392 * CHOOSE(CONTROL!$C$15, $E$9, 100%, $G$9) + CHOOSE(CONTROL!$C$38, 0.0347, 0)</f>
        <v>46.673900000000003</v>
      </c>
      <c r="E687" s="28">
        <f>50.3784 * CHOOSE(CONTROL!$C$15, $E$9, 100%, $G$9) + CHOOSE(CONTROL!$C$38, 0.0347, 0)</f>
        <v>50.4131</v>
      </c>
      <c r="F687" s="27">
        <f>50.3784 * CHOOSE(CONTROL!$C$15, $E$9, 100%, $G$9) + CHOOSE(CONTROL!$C$38, 0.0256, 0)</f>
        <v>50.403999999999996</v>
      </c>
      <c r="G687" s="10">
        <f>46.6454 * CHOOSE(CONTROL!$C$15, $E$9, 100%, $G$9) + CHOOSE(CONTROL!$C$38, 0.0347, 0)</f>
        <v>46.680100000000003</v>
      </c>
      <c r="H687" s="10">
        <f>46.6454 * CHOOSE(CONTROL!$C$15, $E$9, 100%, $G$9) + CHOOSE(CONTROL!$C$38, 0.0347, 0)</f>
        <v>46.680100000000003</v>
      </c>
      <c r="I687" s="10">
        <f>46.647 * CHOOSE(CONTROL!$C$15, $E$9, 100%, $G$9) + CHOOSE(CONTROL!$C$38, 0.0347, 0)</f>
        <v>46.681699999999999</v>
      </c>
      <c r="J687" s="26">
        <f>327.9045</f>
        <v>327.90449999999998</v>
      </c>
    </row>
    <row r="688" spans="1:10" ht="15.75" x14ac:dyDescent="0.25">
      <c r="A688" s="13">
        <v>62244</v>
      </c>
      <c r="B688" s="10">
        <f>50.0185 * CHOOSE(CONTROL!$C$15, $E$9, 100%, $G$9) + CHOOSE(CONTROL!$C$38, 0.0256, 0)</f>
        <v>50.0441</v>
      </c>
      <c r="C688" s="10">
        <f>46.1309 * CHOOSE(CONTROL!$C$15, $E$9, 100%, $G$9) + CHOOSE(CONTROL!$C$38, 0.0347, 0)</f>
        <v>46.165599999999998</v>
      </c>
      <c r="D688" s="10">
        <f>46.1231 * CHOOSE(CONTROL!$C$15, $E$9, 100%, $G$9) + CHOOSE(CONTROL!$C$38, 0.0347, 0)</f>
        <v>46.157800000000002</v>
      </c>
      <c r="E688" s="28">
        <f>49.8623 * CHOOSE(CONTROL!$C$15, $E$9, 100%, $G$9) + CHOOSE(CONTROL!$C$38, 0.0347, 0)</f>
        <v>49.896999999999998</v>
      </c>
      <c r="F688" s="27">
        <f>49.8623 * CHOOSE(CONTROL!$C$15, $E$9, 100%, $G$9) + CHOOSE(CONTROL!$C$38, 0.0256, 0)</f>
        <v>49.887899999999995</v>
      </c>
      <c r="G688" s="10">
        <f>46.1293 * CHOOSE(CONTROL!$C$15, $E$9, 100%, $G$9) + CHOOSE(CONTROL!$C$38, 0.0347, 0)</f>
        <v>46.164000000000001</v>
      </c>
      <c r="H688" s="10">
        <f>46.1293 * CHOOSE(CONTROL!$C$15, $E$9, 100%, $G$9) + CHOOSE(CONTROL!$C$38, 0.0347, 0)</f>
        <v>46.164000000000001</v>
      </c>
      <c r="I688" s="10">
        <f>46.1309 * CHOOSE(CONTROL!$C$15, $E$9, 100%, $G$9) + CHOOSE(CONTROL!$C$38, 0.0347, 0)</f>
        <v>46.165599999999998</v>
      </c>
      <c r="J688" s="26">
        <f>338.9083</f>
        <v>338.9083</v>
      </c>
    </row>
    <row r="689" spans="1:10" ht="15.75" x14ac:dyDescent="0.25">
      <c r="A689" s="13">
        <v>62274</v>
      </c>
      <c r="B689" s="10">
        <f>49.6567 * CHOOSE(CONTROL!$C$15, $E$9, 100%, $G$9) + CHOOSE(CONTROL!$C$38, 0.0256, 0)</f>
        <v>49.682299999999998</v>
      </c>
      <c r="C689" s="10">
        <f>45.769 * CHOOSE(CONTROL!$C$15, $E$9, 100%, $G$9) + CHOOSE(CONTROL!$C$38, 0.0347, 0)</f>
        <v>45.803699999999999</v>
      </c>
      <c r="D689" s="10">
        <f>45.7612 * CHOOSE(CONTROL!$C$15, $E$9, 100%, $G$9) + CHOOSE(CONTROL!$C$38, 0.0347, 0)</f>
        <v>45.795900000000003</v>
      </c>
      <c r="E689" s="28">
        <f>49.5004 * CHOOSE(CONTROL!$C$15, $E$9, 100%, $G$9) + CHOOSE(CONTROL!$C$38, 0.0347, 0)</f>
        <v>49.5351</v>
      </c>
      <c r="F689" s="27">
        <f>49.5004 * CHOOSE(CONTROL!$C$15, $E$9, 100%, $G$9) + CHOOSE(CONTROL!$C$38, 0.0256, 0)</f>
        <v>49.525999999999996</v>
      </c>
      <c r="G689" s="10">
        <f>45.7675 * CHOOSE(CONTROL!$C$15, $E$9, 100%, $G$9) + CHOOSE(CONTROL!$C$38, 0.0347, 0)</f>
        <v>45.802199999999999</v>
      </c>
      <c r="H689" s="10">
        <f>45.7675 * CHOOSE(CONTROL!$C$15, $E$9, 100%, $G$9) + CHOOSE(CONTROL!$C$38, 0.0347, 0)</f>
        <v>45.802199999999999</v>
      </c>
      <c r="I689" s="10">
        <f>45.769 * CHOOSE(CONTROL!$C$15, $E$9, 100%, $G$9) + CHOOSE(CONTROL!$C$38, 0.0347, 0)</f>
        <v>45.803699999999999</v>
      </c>
      <c r="J689" s="26">
        <f>343.7916</f>
        <v>343.79160000000002</v>
      </c>
    </row>
    <row r="690" spans="1:10" ht="15.75" x14ac:dyDescent="0.25">
      <c r="A690" s="13">
        <v>62305</v>
      </c>
      <c r="B690" s="10">
        <f>49.4502 * CHOOSE(CONTROL!$C$15, $E$9, 100%, $G$9) + CHOOSE(CONTROL!$C$38, 0.0256, 0)</f>
        <v>49.4758</v>
      </c>
      <c r="C690" s="10">
        <f>45.5625 * CHOOSE(CONTROL!$C$15, $E$9, 100%, $G$9) + CHOOSE(CONTROL!$C$38, 0.0347, 0)</f>
        <v>45.597200000000001</v>
      </c>
      <c r="D690" s="10">
        <f>45.5547 * CHOOSE(CONTROL!$C$15, $E$9, 100%, $G$9) + CHOOSE(CONTROL!$C$38, 0.0347, 0)</f>
        <v>45.589399999999998</v>
      </c>
      <c r="E690" s="28">
        <f>49.2939 * CHOOSE(CONTROL!$C$15, $E$9, 100%, $G$9) + CHOOSE(CONTROL!$C$38, 0.0347, 0)</f>
        <v>49.328600000000002</v>
      </c>
      <c r="F690" s="27">
        <f>49.2939 * CHOOSE(CONTROL!$C$15, $E$9, 100%, $G$9) + CHOOSE(CONTROL!$C$38, 0.0256, 0)</f>
        <v>49.319499999999998</v>
      </c>
      <c r="G690" s="10">
        <f>45.561 * CHOOSE(CONTROL!$C$15, $E$9, 100%, $G$9) + CHOOSE(CONTROL!$C$38, 0.0347, 0)</f>
        <v>45.595700000000001</v>
      </c>
      <c r="H690" s="10">
        <f>45.561 * CHOOSE(CONTROL!$C$15, $E$9, 100%, $G$9) + CHOOSE(CONTROL!$C$38, 0.0347, 0)</f>
        <v>45.595700000000001</v>
      </c>
      <c r="I690" s="10">
        <f>45.5625 * CHOOSE(CONTROL!$C$15, $E$9, 100%, $G$9) + CHOOSE(CONTROL!$C$38, 0.0347, 0)</f>
        <v>45.597200000000001</v>
      </c>
      <c r="J690" s="26">
        <f>342.1838</f>
        <v>342.18380000000002</v>
      </c>
    </row>
    <row r="691" spans="1:10" ht="15.75" x14ac:dyDescent="0.25">
      <c r="A691" s="13">
        <v>62336</v>
      </c>
      <c r="B691" s="10">
        <f>49.5521 * CHOOSE(CONTROL!$C$15, $E$9, 100%, $G$9) + CHOOSE(CONTROL!$C$38, 0.0256, 0)</f>
        <v>49.5777</v>
      </c>
      <c r="C691" s="10">
        <f>45.6645 * CHOOSE(CONTROL!$C$15, $E$9, 100%, $G$9) + CHOOSE(CONTROL!$C$38, 0.0347, 0)</f>
        <v>45.699199999999998</v>
      </c>
      <c r="D691" s="10">
        <f>45.6566 * CHOOSE(CONTROL!$C$15, $E$9, 100%, $G$9) + CHOOSE(CONTROL!$C$38, 0.0347, 0)</f>
        <v>45.691299999999998</v>
      </c>
      <c r="E691" s="28">
        <f>49.3958 * CHOOSE(CONTROL!$C$15, $E$9, 100%, $G$9) + CHOOSE(CONTROL!$C$38, 0.0347, 0)</f>
        <v>49.430500000000002</v>
      </c>
      <c r="F691" s="27">
        <f>49.3958 * CHOOSE(CONTROL!$C$15, $E$9, 100%, $G$9) + CHOOSE(CONTROL!$C$38, 0.0256, 0)</f>
        <v>49.421399999999998</v>
      </c>
      <c r="G691" s="10">
        <f>45.6629 * CHOOSE(CONTROL!$C$15, $E$9, 100%, $G$9) + CHOOSE(CONTROL!$C$38, 0.0347, 0)</f>
        <v>45.697600000000001</v>
      </c>
      <c r="H691" s="10">
        <f>45.6629 * CHOOSE(CONTROL!$C$15, $E$9, 100%, $G$9) + CHOOSE(CONTROL!$C$38, 0.0347, 0)</f>
        <v>45.697600000000001</v>
      </c>
      <c r="I691" s="10">
        <f>45.6645 * CHOOSE(CONTROL!$C$15, $E$9, 100%, $G$9) + CHOOSE(CONTROL!$C$38, 0.0347, 0)</f>
        <v>45.699199999999998</v>
      </c>
      <c r="J691" s="26">
        <f>334.2179</f>
        <v>334.21789999999999</v>
      </c>
    </row>
    <row r="692" spans="1:10" ht="15.75" x14ac:dyDescent="0.25">
      <c r="A692" s="13">
        <v>62366</v>
      </c>
      <c r="B692" s="10">
        <f>49.8289 * CHOOSE(CONTROL!$C$15, $E$9, 100%, $G$9) + CHOOSE(CONTROL!$C$38, 0.0256, 0)</f>
        <v>49.854499999999994</v>
      </c>
      <c r="C692" s="10">
        <f>45.9413 * CHOOSE(CONTROL!$C$15, $E$9, 100%, $G$9) + CHOOSE(CONTROL!$C$38, 0.0347, 0)</f>
        <v>45.975999999999999</v>
      </c>
      <c r="D692" s="10">
        <f>45.9334 * CHOOSE(CONTROL!$C$15, $E$9, 100%, $G$9) + CHOOSE(CONTROL!$C$38, 0.0347, 0)</f>
        <v>45.9681</v>
      </c>
      <c r="E692" s="28">
        <f>49.6726 * CHOOSE(CONTROL!$C$15, $E$9, 100%, $G$9) + CHOOSE(CONTROL!$C$38, 0.0347, 0)</f>
        <v>49.707300000000004</v>
      </c>
      <c r="F692" s="27">
        <f>49.6726 * CHOOSE(CONTROL!$C$15, $E$9, 100%, $G$9) + CHOOSE(CONTROL!$C$38, 0.0256, 0)</f>
        <v>49.6982</v>
      </c>
      <c r="G692" s="10">
        <f>45.9397 * CHOOSE(CONTROL!$C$15, $E$9, 100%, $G$9) + CHOOSE(CONTROL!$C$38, 0.0347, 0)</f>
        <v>45.974400000000003</v>
      </c>
      <c r="H692" s="10">
        <f>45.9397 * CHOOSE(CONTROL!$C$15, $E$9, 100%, $G$9) + CHOOSE(CONTROL!$C$38, 0.0347, 0)</f>
        <v>45.974400000000003</v>
      </c>
      <c r="I692" s="10">
        <f>45.9413 * CHOOSE(CONTROL!$C$15, $E$9, 100%, $G$9) + CHOOSE(CONTROL!$C$38, 0.0347, 0)</f>
        <v>45.975999999999999</v>
      </c>
      <c r="J692" s="26">
        <f>323.1091</f>
        <v>323.10910000000001</v>
      </c>
    </row>
    <row r="693" spans="1:10" ht="15.75" x14ac:dyDescent="0.25">
      <c r="A693" s="13">
        <v>62397</v>
      </c>
      <c r="B693" s="10">
        <f>50.0607 * CHOOSE(CONTROL!$C$15, $E$9, 100%, $G$9) + CHOOSE(CONTROL!$C$38, 0.0256, 0)</f>
        <v>50.086299999999994</v>
      </c>
      <c r="C693" s="10">
        <f>46.1731 * CHOOSE(CONTROL!$C$15, $E$9, 100%, $G$9) + CHOOSE(CONTROL!$C$38, 0.0347, 0)</f>
        <v>46.207799999999999</v>
      </c>
      <c r="D693" s="10">
        <f>46.1653 * CHOOSE(CONTROL!$C$15, $E$9, 100%, $G$9) + CHOOSE(CONTROL!$C$38, 0.0347, 0)</f>
        <v>46.2</v>
      </c>
      <c r="E693" s="28">
        <f>49.9045 * CHOOSE(CONTROL!$C$15, $E$9, 100%, $G$9) + CHOOSE(CONTROL!$C$38, 0.0347, 0)</f>
        <v>49.9392</v>
      </c>
      <c r="F693" s="27">
        <f>49.9045 * CHOOSE(CONTROL!$C$15, $E$9, 100%, $G$9) + CHOOSE(CONTROL!$C$38, 0.0256, 0)</f>
        <v>49.930099999999996</v>
      </c>
      <c r="G693" s="10">
        <f>46.1715 * CHOOSE(CONTROL!$C$15, $E$9, 100%, $G$9) + CHOOSE(CONTROL!$C$38, 0.0347, 0)</f>
        <v>46.206200000000003</v>
      </c>
      <c r="H693" s="10">
        <f>46.1715 * CHOOSE(CONTROL!$C$15, $E$9, 100%, $G$9) + CHOOSE(CONTROL!$C$38, 0.0347, 0)</f>
        <v>46.206200000000003</v>
      </c>
      <c r="I693" s="10">
        <f>46.1731 * CHOOSE(CONTROL!$C$15, $E$9, 100%, $G$9) + CHOOSE(CONTROL!$C$38, 0.0347, 0)</f>
        <v>46.207799999999999</v>
      </c>
      <c r="J693" s="26">
        <f>311.9357</f>
        <v>311.9357</v>
      </c>
    </row>
    <row r="694" spans="1:10" ht="15.75" x14ac:dyDescent="0.25">
      <c r="A694" s="13">
        <v>62427</v>
      </c>
      <c r="B694" s="10">
        <f>50.2542 * CHOOSE(CONTROL!$C$15, $E$9, 100%, $G$9) + CHOOSE(CONTROL!$C$38, 0.0256, 0)</f>
        <v>50.279799999999994</v>
      </c>
      <c r="C694" s="10">
        <f>46.3665 * CHOOSE(CONTROL!$C$15, $E$9, 100%, $G$9) + CHOOSE(CONTROL!$C$38, 0.0347, 0)</f>
        <v>46.401200000000003</v>
      </c>
      <c r="D694" s="10">
        <f>46.3587 * CHOOSE(CONTROL!$C$15, $E$9, 100%, $G$9) + CHOOSE(CONTROL!$C$38, 0.0347, 0)</f>
        <v>46.3934</v>
      </c>
      <c r="E694" s="28">
        <f>50.0979 * CHOOSE(CONTROL!$C$15, $E$9, 100%, $G$9) + CHOOSE(CONTROL!$C$38, 0.0347, 0)</f>
        <v>50.132600000000004</v>
      </c>
      <c r="F694" s="27">
        <f>50.0979 * CHOOSE(CONTROL!$C$15, $E$9, 100%, $G$9) + CHOOSE(CONTROL!$C$38, 0.0256, 0)</f>
        <v>50.1235</v>
      </c>
      <c r="G694" s="10">
        <f>46.365 * CHOOSE(CONTROL!$C$15, $E$9, 100%, $G$9) + CHOOSE(CONTROL!$C$38, 0.0347, 0)</f>
        <v>46.399700000000003</v>
      </c>
      <c r="H694" s="10">
        <f>46.365 * CHOOSE(CONTROL!$C$15, $E$9, 100%, $G$9) + CHOOSE(CONTROL!$C$38, 0.0347, 0)</f>
        <v>46.399700000000003</v>
      </c>
      <c r="I694" s="10">
        <f>46.3665 * CHOOSE(CONTROL!$C$15, $E$9, 100%, $G$9) + CHOOSE(CONTROL!$C$38, 0.0347, 0)</f>
        <v>46.401200000000003</v>
      </c>
      <c r="J694" s="26">
        <f>309.713</f>
        <v>309.71300000000002</v>
      </c>
    </row>
    <row r="695" spans="1:10" ht="15.75" x14ac:dyDescent="0.25">
      <c r="A695" s="13">
        <v>62458</v>
      </c>
      <c r="B695" s="10">
        <f>50.8502 * CHOOSE(CONTROL!$C$15, $E$9, 100%, $G$9) + CHOOSE(CONTROL!$C$38, 0.0256, 0)</f>
        <v>50.875799999999998</v>
      </c>
      <c r="C695" s="10">
        <f>46.9626 * CHOOSE(CONTROL!$C$15, $E$9, 100%, $G$9) + CHOOSE(CONTROL!$C$38, 0.0347, 0)</f>
        <v>46.997300000000003</v>
      </c>
      <c r="D695" s="10">
        <f>46.9548 * CHOOSE(CONTROL!$C$15, $E$9, 100%, $G$9) + CHOOSE(CONTROL!$C$38, 0.0347, 0)</f>
        <v>46.9895</v>
      </c>
      <c r="E695" s="28">
        <f>50.694 * CHOOSE(CONTROL!$C$15, $E$9, 100%, $G$9) + CHOOSE(CONTROL!$C$38, 0.0347, 0)</f>
        <v>50.728700000000003</v>
      </c>
      <c r="F695" s="27">
        <f>50.694 * CHOOSE(CONTROL!$C$15, $E$9, 100%, $G$9) + CHOOSE(CONTROL!$C$38, 0.0256, 0)</f>
        <v>50.7196</v>
      </c>
      <c r="G695" s="10">
        <f>46.961 * CHOOSE(CONTROL!$C$15, $E$9, 100%, $G$9) + CHOOSE(CONTROL!$C$38, 0.0347, 0)</f>
        <v>46.995699999999999</v>
      </c>
      <c r="H695" s="10">
        <f>46.961 * CHOOSE(CONTROL!$C$15, $E$9, 100%, $G$9) + CHOOSE(CONTROL!$C$38, 0.0347, 0)</f>
        <v>46.995699999999999</v>
      </c>
      <c r="I695" s="10">
        <f>46.9626 * CHOOSE(CONTROL!$C$15, $E$9, 100%, $G$9) + CHOOSE(CONTROL!$C$38, 0.0347, 0)</f>
        <v>46.997300000000003</v>
      </c>
      <c r="J695" s="26">
        <f>300.5223</f>
        <v>300.52229999999997</v>
      </c>
    </row>
    <row r="696" spans="1:10" ht="15.75" x14ac:dyDescent="0.25">
      <c r="A696" s="13">
        <v>62489</v>
      </c>
      <c r="B696" s="10">
        <f>52.1986 * CHOOSE(CONTROL!$C$15, $E$9, 100%, $G$9) + CHOOSE(CONTROL!$C$38, 0.0256, 0)</f>
        <v>52.224199999999996</v>
      </c>
      <c r="C696" s="10">
        <f>48.245 * CHOOSE(CONTROL!$C$15, $E$9, 100%, $G$9) + CHOOSE(CONTROL!$C$38, 0.0347, 0)</f>
        <v>48.279699999999998</v>
      </c>
      <c r="D696" s="10">
        <f>48.2372 * CHOOSE(CONTROL!$C$15, $E$9, 100%, $G$9) + CHOOSE(CONTROL!$C$38, 0.0347, 0)</f>
        <v>48.271900000000002</v>
      </c>
      <c r="E696" s="28">
        <f>52.0424 * CHOOSE(CONTROL!$C$15, $E$9, 100%, $G$9) + CHOOSE(CONTROL!$C$38, 0.0347, 0)</f>
        <v>52.077100000000002</v>
      </c>
      <c r="F696" s="27">
        <f>52.0424 * CHOOSE(CONTROL!$C$15, $E$9, 100%, $G$9) + CHOOSE(CONTROL!$C$38, 0.0256, 0)</f>
        <v>52.067999999999998</v>
      </c>
      <c r="G696" s="10">
        <f>48.2435 * CHOOSE(CONTROL!$C$15, $E$9, 100%, $G$9) + CHOOSE(CONTROL!$C$38, 0.0347, 0)</f>
        <v>48.278199999999998</v>
      </c>
      <c r="H696" s="10">
        <f>48.2435 * CHOOSE(CONTROL!$C$15, $E$9, 100%, $G$9) + CHOOSE(CONTROL!$C$38, 0.0347, 0)</f>
        <v>48.278199999999998</v>
      </c>
      <c r="I696" s="10">
        <f>48.245 * CHOOSE(CONTROL!$C$15, $E$9, 100%, $G$9) + CHOOSE(CONTROL!$C$38, 0.0347, 0)</f>
        <v>48.279699999999998</v>
      </c>
      <c r="J696" s="26">
        <f>298.5092</f>
        <v>298.50920000000002</v>
      </c>
    </row>
    <row r="697" spans="1:10" ht="15.75" x14ac:dyDescent="0.25">
      <c r="A697" s="13">
        <v>62517</v>
      </c>
      <c r="B697" s="10">
        <f>52.4194 * CHOOSE(CONTROL!$C$15, $E$9, 100%, $G$9) + CHOOSE(CONTROL!$C$38, 0.0256, 0)</f>
        <v>52.445</v>
      </c>
      <c r="C697" s="10">
        <f>48.4658 * CHOOSE(CONTROL!$C$15, $E$9, 100%, $G$9) + CHOOSE(CONTROL!$C$38, 0.0347, 0)</f>
        <v>48.500500000000002</v>
      </c>
      <c r="D697" s="10">
        <f>48.458 * CHOOSE(CONTROL!$C$15, $E$9, 100%, $G$9) + CHOOSE(CONTROL!$C$38, 0.0347, 0)</f>
        <v>48.492699999999999</v>
      </c>
      <c r="E697" s="28">
        <f>52.2631 * CHOOSE(CONTROL!$C$15, $E$9, 100%, $G$9) + CHOOSE(CONTROL!$C$38, 0.0347, 0)</f>
        <v>52.297800000000002</v>
      </c>
      <c r="F697" s="27">
        <f>52.2631 * CHOOSE(CONTROL!$C$15, $E$9, 100%, $G$9) + CHOOSE(CONTROL!$C$38, 0.0256, 0)</f>
        <v>52.288699999999999</v>
      </c>
      <c r="G697" s="10">
        <f>48.4642 * CHOOSE(CONTROL!$C$15, $E$9, 100%, $G$9) + CHOOSE(CONTROL!$C$38, 0.0347, 0)</f>
        <v>48.498899999999999</v>
      </c>
      <c r="H697" s="10">
        <f>48.4642 * CHOOSE(CONTROL!$C$15, $E$9, 100%, $G$9) + CHOOSE(CONTROL!$C$38, 0.0347, 0)</f>
        <v>48.498899999999999</v>
      </c>
      <c r="I697" s="10">
        <f>48.4658 * CHOOSE(CONTROL!$C$15, $E$9, 100%, $G$9) + CHOOSE(CONTROL!$C$38, 0.0347, 0)</f>
        <v>48.500500000000002</v>
      </c>
      <c r="J697" s="26">
        <f>297.6795</f>
        <v>297.67950000000002</v>
      </c>
    </row>
    <row r="698" spans="1:10" ht="15.75" x14ac:dyDescent="0.25">
      <c r="A698" s="13">
        <v>62548</v>
      </c>
      <c r="B698" s="10">
        <f>51.9083 * CHOOSE(CONTROL!$C$15, $E$9, 100%, $G$9) + CHOOSE(CONTROL!$C$38, 0.0256, 0)</f>
        <v>51.933899999999994</v>
      </c>
      <c r="C698" s="10">
        <f>47.9548 * CHOOSE(CONTROL!$C$15, $E$9, 100%, $G$9) + CHOOSE(CONTROL!$C$38, 0.0347, 0)</f>
        <v>47.9895</v>
      </c>
      <c r="D698" s="10">
        <f>47.947 * CHOOSE(CONTROL!$C$15, $E$9, 100%, $G$9) + CHOOSE(CONTROL!$C$38, 0.0347, 0)</f>
        <v>47.981700000000004</v>
      </c>
      <c r="E698" s="28">
        <f>51.7521 * CHOOSE(CONTROL!$C$15, $E$9, 100%, $G$9) + CHOOSE(CONTROL!$C$38, 0.0347, 0)</f>
        <v>51.786799999999999</v>
      </c>
      <c r="F698" s="27">
        <f>51.7521 * CHOOSE(CONTROL!$C$15, $E$9, 100%, $G$9) + CHOOSE(CONTROL!$C$38, 0.0256, 0)</f>
        <v>51.777699999999996</v>
      </c>
      <c r="G698" s="10">
        <f>47.9532 * CHOOSE(CONTROL!$C$15, $E$9, 100%, $G$9) + CHOOSE(CONTROL!$C$38, 0.0347, 0)</f>
        <v>47.987900000000003</v>
      </c>
      <c r="H698" s="10">
        <f>47.9532 * CHOOSE(CONTROL!$C$15, $E$9, 100%, $G$9) + CHOOSE(CONTROL!$C$38, 0.0347, 0)</f>
        <v>47.987900000000003</v>
      </c>
      <c r="I698" s="10">
        <f>47.9548 * CHOOSE(CONTROL!$C$15, $E$9, 100%, $G$9) + CHOOSE(CONTROL!$C$38, 0.0347, 0)</f>
        <v>47.9895</v>
      </c>
      <c r="J698" s="26">
        <f>313.3689</f>
        <v>313.3689</v>
      </c>
    </row>
    <row r="699" spans="1:10" ht="15.75" x14ac:dyDescent="0.25">
      <c r="A699" s="13">
        <v>62578</v>
      </c>
      <c r="B699" s="10">
        <f>51.4132 * CHOOSE(CONTROL!$C$15, $E$9, 100%, $G$9) + CHOOSE(CONTROL!$C$38, 0.0256, 0)</f>
        <v>51.438800000000001</v>
      </c>
      <c r="C699" s="10">
        <f>47.4596 * CHOOSE(CONTROL!$C$15, $E$9, 100%, $G$9) + CHOOSE(CONTROL!$C$38, 0.0347, 0)</f>
        <v>47.494300000000003</v>
      </c>
      <c r="D699" s="10">
        <f>47.4518 * CHOOSE(CONTROL!$C$15, $E$9, 100%, $G$9) + CHOOSE(CONTROL!$C$38, 0.0347, 0)</f>
        <v>47.486499999999999</v>
      </c>
      <c r="E699" s="28">
        <f>51.2569 * CHOOSE(CONTROL!$C$15, $E$9, 100%, $G$9) + CHOOSE(CONTROL!$C$38, 0.0347, 0)</f>
        <v>51.291600000000003</v>
      </c>
      <c r="F699" s="27">
        <f>51.2569 * CHOOSE(CONTROL!$C$15, $E$9, 100%, $G$9) + CHOOSE(CONTROL!$C$38, 0.0256, 0)</f>
        <v>51.282499999999999</v>
      </c>
      <c r="G699" s="10">
        <f>47.458 * CHOOSE(CONTROL!$C$15, $E$9, 100%, $G$9) + CHOOSE(CONTROL!$C$38, 0.0347, 0)</f>
        <v>47.492699999999999</v>
      </c>
      <c r="H699" s="10">
        <f>47.458 * CHOOSE(CONTROL!$C$15, $E$9, 100%, $G$9) + CHOOSE(CONTROL!$C$38, 0.0347, 0)</f>
        <v>47.492699999999999</v>
      </c>
      <c r="I699" s="10">
        <f>47.4596 * CHOOSE(CONTROL!$C$15, $E$9, 100%, $G$9) + CHOOSE(CONTROL!$C$38, 0.0347, 0)</f>
        <v>47.494300000000003</v>
      </c>
      <c r="J699" s="26">
        <f>333.7144</f>
        <v>333.71440000000001</v>
      </c>
    </row>
    <row r="700" spans="1:10" ht="15.75" x14ac:dyDescent="0.25">
      <c r="A700" s="13">
        <v>62609</v>
      </c>
      <c r="B700" s="10">
        <f>50.897 * CHOOSE(CONTROL!$C$15, $E$9, 100%, $G$9) + CHOOSE(CONTROL!$C$38, 0.0256, 0)</f>
        <v>50.922599999999996</v>
      </c>
      <c r="C700" s="10">
        <f>46.9435 * CHOOSE(CONTROL!$C$15, $E$9, 100%, $G$9) + CHOOSE(CONTROL!$C$38, 0.0347, 0)</f>
        <v>46.978200000000001</v>
      </c>
      <c r="D700" s="10">
        <f>46.9357 * CHOOSE(CONTROL!$C$15, $E$9, 100%, $G$9) + CHOOSE(CONTROL!$C$38, 0.0347, 0)</f>
        <v>46.970399999999998</v>
      </c>
      <c r="E700" s="28">
        <f>50.7408 * CHOOSE(CONTROL!$C$15, $E$9, 100%, $G$9) + CHOOSE(CONTROL!$C$38, 0.0347, 0)</f>
        <v>50.775500000000001</v>
      </c>
      <c r="F700" s="27">
        <f>50.7408 * CHOOSE(CONTROL!$C$15, $E$9, 100%, $G$9) + CHOOSE(CONTROL!$C$38, 0.0256, 0)</f>
        <v>50.766399999999997</v>
      </c>
      <c r="G700" s="10">
        <f>46.9419 * CHOOSE(CONTROL!$C$15, $E$9, 100%, $G$9) + CHOOSE(CONTROL!$C$38, 0.0347, 0)</f>
        <v>46.976599999999998</v>
      </c>
      <c r="H700" s="10">
        <f>46.9419 * CHOOSE(CONTROL!$C$15, $E$9, 100%, $G$9) + CHOOSE(CONTROL!$C$38, 0.0347, 0)</f>
        <v>46.976599999999998</v>
      </c>
      <c r="I700" s="10">
        <f>46.9435 * CHOOSE(CONTROL!$C$15, $E$9, 100%, $G$9) + CHOOSE(CONTROL!$C$38, 0.0347, 0)</f>
        <v>46.978200000000001</v>
      </c>
      <c r="J700" s="26">
        <f>344.9132</f>
        <v>344.91320000000002</v>
      </c>
    </row>
    <row r="701" spans="1:10" ht="15.75" x14ac:dyDescent="0.25">
      <c r="A701" s="13">
        <v>62639</v>
      </c>
      <c r="B701" s="10">
        <f>50.5352 * CHOOSE(CONTROL!$C$15, $E$9, 100%, $G$9) + CHOOSE(CONTROL!$C$38, 0.0256, 0)</f>
        <v>50.5608</v>
      </c>
      <c r="C701" s="10">
        <f>46.5816 * CHOOSE(CONTROL!$C$15, $E$9, 100%, $G$9) + CHOOSE(CONTROL!$C$38, 0.0347, 0)</f>
        <v>46.616300000000003</v>
      </c>
      <c r="D701" s="10">
        <f>46.5738 * CHOOSE(CONTROL!$C$15, $E$9, 100%, $G$9) + CHOOSE(CONTROL!$C$38, 0.0347, 0)</f>
        <v>46.608499999999999</v>
      </c>
      <c r="E701" s="28">
        <f>50.379 * CHOOSE(CONTROL!$C$15, $E$9, 100%, $G$9) + CHOOSE(CONTROL!$C$38, 0.0347, 0)</f>
        <v>50.413699999999999</v>
      </c>
      <c r="F701" s="27">
        <f>50.379 * CHOOSE(CONTROL!$C$15, $E$9, 100%, $G$9) + CHOOSE(CONTROL!$C$38, 0.0256, 0)</f>
        <v>50.404599999999995</v>
      </c>
      <c r="G701" s="10">
        <f>46.5801 * CHOOSE(CONTROL!$C$15, $E$9, 100%, $G$9) + CHOOSE(CONTROL!$C$38, 0.0347, 0)</f>
        <v>46.614800000000002</v>
      </c>
      <c r="H701" s="10">
        <f>46.5801 * CHOOSE(CONTROL!$C$15, $E$9, 100%, $G$9) + CHOOSE(CONTROL!$C$38, 0.0347, 0)</f>
        <v>46.614800000000002</v>
      </c>
      <c r="I701" s="10">
        <f>46.5816 * CHOOSE(CONTROL!$C$15, $E$9, 100%, $G$9) + CHOOSE(CONTROL!$C$38, 0.0347, 0)</f>
        <v>46.616300000000003</v>
      </c>
      <c r="J701" s="26">
        <f>349.883</f>
        <v>349.88299999999998</v>
      </c>
    </row>
    <row r="702" spans="1:10" ht="15.75" x14ac:dyDescent="0.25">
      <c r="A702" s="13">
        <v>62670</v>
      </c>
      <c r="B702" s="10">
        <f>50.3287 * CHOOSE(CONTROL!$C$15, $E$9, 100%, $G$9) + CHOOSE(CONTROL!$C$38, 0.0256, 0)</f>
        <v>50.354299999999995</v>
      </c>
      <c r="C702" s="10">
        <f>46.3752 * CHOOSE(CONTROL!$C$15, $E$9, 100%, $G$9) + CHOOSE(CONTROL!$C$38, 0.0347, 0)</f>
        <v>46.4099</v>
      </c>
      <c r="D702" s="10">
        <f>46.3673 * CHOOSE(CONTROL!$C$15, $E$9, 100%, $G$9) + CHOOSE(CONTROL!$C$38, 0.0347, 0)</f>
        <v>46.402000000000001</v>
      </c>
      <c r="E702" s="28">
        <f>50.1725 * CHOOSE(CONTROL!$C$15, $E$9, 100%, $G$9) + CHOOSE(CONTROL!$C$38, 0.0347, 0)</f>
        <v>50.2072</v>
      </c>
      <c r="F702" s="27">
        <f>50.1725 * CHOOSE(CONTROL!$C$15, $E$9, 100%, $G$9) + CHOOSE(CONTROL!$C$38, 0.0256, 0)</f>
        <v>50.198099999999997</v>
      </c>
      <c r="G702" s="10">
        <f>46.3736 * CHOOSE(CONTROL!$C$15, $E$9, 100%, $G$9) + CHOOSE(CONTROL!$C$38, 0.0347, 0)</f>
        <v>46.408300000000004</v>
      </c>
      <c r="H702" s="10">
        <f>46.3736 * CHOOSE(CONTROL!$C$15, $E$9, 100%, $G$9) + CHOOSE(CONTROL!$C$38, 0.0347, 0)</f>
        <v>46.408300000000004</v>
      </c>
      <c r="I702" s="10">
        <f>46.3752 * CHOOSE(CONTROL!$C$15, $E$9, 100%, $G$9) + CHOOSE(CONTROL!$C$38, 0.0347, 0)</f>
        <v>46.4099</v>
      </c>
      <c r="J702" s="26">
        <f>348.2467</f>
        <v>348.24669999999998</v>
      </c>
    </row>
    <row r="703" spans="1:10" ht="15.75" x14ac:dyDescent="0.25">
      <c r="A703" s="13">
        <v>62701</v>
      </c>
      <c r="B703" s="10">
        <f>50.4306 * CHOOSE(CONTROL!$C$15, $E$9, 100%, $G$9) + CHOOSE(CONTROL!$C$38, 0.0256, 0)</f>
        <v>50.456199999999995</v>
      </c>
      <c r="C703" s="10">
        <f>46.4771 * CHOOSE(CONTROL!$C$15, $E$9, 100%, $G$9) + CHOOSE(CONTROL!$C$38, 0.0347, 0)</f>
        <v>46.511800000000001</v>
      </c>
      <c r="D703" s="10">
        <f>46.4693 * CHOOSE(CONTROL!$C$15, $E$9, 100%, $G$9) + CHOOSE(CONTROL!$C$38, 0.0347, 0)</f>
        <v>46.503999999999998</v>
      </c>
      <c r="E703" s="28">
        <f>50.2744 * CHOOSE(CONTROL!$C$15, $E$9, 100%, $G$9) + CHOOSE(CONTROL!$C$38, 0.0347, 0)</f>
        <v>50.309100000000001</v>
      </c>
      <c r="F703" s="27">
        <f>50.2744 * CHOOSE(CONTROL!$C$15, $E$9, 100%, $G$9) + CHOOSE(CONTROL!$C$38, 0.0256, 0)</f>
        <v>50.3</v>
      </c>
      <c r="G703" s="10">
        <f>46.4755 * CHOOSE(CONTROL!$C$15, $E$9, 100%, $G$9) + CHOOSE(CONTROL!$C$38, 0.0347, 0)</f>
        <v>46.510199999999998</v>
      </c>
      <c r="H703" s="10">
        <f>46.4755 * CHOOSE(CONTROL!$C$15, $E$9, 100%, $G$9) + CHOOSE(CONTROL!$C$38, 0.0347, 0)</f>
        <v>46.510199999999998</v>
      </c>
      <c r="I703" s="10">
        <f>46.4771 * CHOOSE(CONTROL!$C$15, $E$9, 100%, $G$9) + CHOOSE(CONTROL!$C$38, 0.0347, 0)</f>
        <v>46.511800000000001</v>
      </c>
      <c r="J703" s="26">
        <f>340.1396</f>
        <v>340.13959999999997</v>
      </c>
    </row>
    <row r="704" spans="1:10" ht="15.75" x14ac:dyDescent="0.25">
      <c r="A704" s="13">
        <v>62731</v>
      </c>
      <c r="B704" s="10">
        <f>50.7074 * CHOOSE(CONTROL!$C$15, $E$9, 100%, $G$9) + CHOOSE(CONTROL!$C$38, 0.0256, 0)</f>
        <v>50.732999999999997</v>
      </c>
      <c r="C704" s="10">
        <f>46.7539 * CHOOSE(CONTROL!$C$15, $E$9, 100%, $G$9) + CHOOSE(CONTROL!$C$38, 0.0347, 0)</f>
        <v>46.788600000000002</v>
      </c>
      <c r="D704" s="10">
        <f>46.7461 * CHOOSE(CONTROL!$C$15, $E$9, 100%, $G$9) + CHOOSE(CONTROL!$C$38, 0.0347, 0)</f>
        <v>46.780799999999999</v>
      </c>
      <c r="E704" s="28">
        <f>50.5512 * CHOOSE(CONTROL!$C$15, $E$9, 100%, $G$9) + CHOOSE(CONTROL!$C$38, 0.0347, 0)</f>
        <v>50.585900000000002</v>
      </c>
      <c r="F704" s="27">
        <f>50.5512 * CHOOSE(CONTROL!$C$15, $E$9, 100%, $G$9) + CHOOSE(CONTROL!$C$38, 0.0256, 0)</f>
        <v>50.576799999999999</v>
      </c>
      <c r="G704" s="10">
        <f>46.7523 * CHOOSE(CONTROL!$C$15, $E$9, 100%, $G$9) + CHOOSE(CONTROL!$C$38, 0.0347, 0)</f>
        <v>46.786999999999999</v>
      </c>
      <c r="H704" s="10">
        <f>46.7523 * CHOOSE(CONTROL!$C$15, $E$9, 100%, $G$9) + CHOOSE(CONTROL!$C$38, 0.0347, 0)</f>
        <v>46.786999999999999</v>
      </c>
      <c r="I704" s="10">
        <f>46.7539 * CHOOSE(CONTROL!$C$15, $E$9, 100%, $G$9) + CHOOSE(CONTROL!$C$38, 0.0347, 0)</f>
        <v>46.788600000000002</v>
      </c>
      <c r="J704" s="26">
        <f>328.834</f>
        <v>328.834</v>
      </c>
    </row>
    <row r="705" spans="1:10" ht="15.75" x14ac:dyDescent="0.25">
      <c r="A705" s="13">
        <v>62762</v>
      </c>
      <c r="B705" s="10">
        <f>50.9393 * CHOOSE(CONTROL!$C$15, $E$9, 100%, $G$9) + CHOOSE(CONTROL!$C$38, 0.0256, 0)</f>
        <v>50.9649</v>
      </c>
      <c r="C705" s="10">
        <f>46.9857 * CHOOSE(CONTROL!$C$15, $E$9, 100%, $G$9) + CHOOSE(CONTROL!$C$38, 0.0347, 0)</f>
        <v>47.020400000000002</v>
      </c>
      <c r="D705" s="10">
        <f>46.9779 * CHOOSE(CONTROL!$C$15, $E$9, 100%, $G$9) + CHOOSE(CONTROL!$C$38, 0.0347, 0)</f>
        <v>47.012599999999999</v>
      </c>
      <c r="E705" s="28">
        <f>50.783 * CHOOSE(CONTROL!$C$15, $E$9, 100%, $G$9) + CHOOSE(CONTROL!$C$38, 0.0347, 0)</f>
        <v>50.817700000000002</v>
      </c>
      <c r="F705" s="27">
        <f>50.783 * CHOOSE(CONTROL!$C$15, $E$9, 100%, $G$9) + CHOOSE(CONTROL!$C$38, 0.0256, 0)</f>
        <v>50.808599999999998</v>
      </c>
      <c r="G705" s="10">
        <f>46.9841 * CHOOSE(CONTROL!$C$15, $E$9, 100%, $G$9) + CHOOSE(CONTROL!$C$38, 0.0347, 0)</f>
        <v>47.018799999999999</v>
      </c>
      <c r="H705" s="10">
        <f>46.9841 * CHOOSE(CONTROL!$C$15, $E$9, 100%, $G$9) + CHOOSE(CONTROL!$C$38, 0.0347, 0)</f>
        <v>47.018799999999999</v>
      </c>
      <c r="I705" s="10">
        <f>46.9857 * CHOOSE(CONTROL!$C$15, $E$9, 100%, $G$9) + CHOOSE(CONTROL!$C$38, 0.0347, 0)</f>
        <v>47.020400000000002</v>
      </c>
      <c r="J705" s="26">
        <f>317.4626</f>
        <v>317.46260000000001</v>
      </c>
    </row>
    <row r="706" spans="1:10" ht="15.75" x14ac:dyDescent="0.25">
      <c r="A706" s="13">
        <v>62792</v>
      </c>
      <c r="B706" s="10">
        <f>51.1327 * CHOOSE(CONTROL!$C$15, $E$9, 100%, $G$9) + CHOOSE(CONTROL!$C$38, 0.0256, 0)</f>
        <v>51.158299999999997</v>
      </c>
      <c r="C706" s="10">
        <f>47.1791 * CHOOSE(CONTROL!$C$15, $E$9, 100%, $G$9) + CHOOSE(CONTROL!$C$38, 0.0347, 0)</f>
        <v>47.213799999999999</v>
      </c>
      <c r="D706" s="10">
        <f>47.1713 * CHOOSE(CONTROL!$C$15, $E$9, 100%, $G$9) + CHOOSE(CONTROL!$C$38, 0.0347, 0)</f>
        <v>47.206000000000003</v>
      </c>
      <c r="E706" s="28">
        <f>50.9764 * CHOOSE(CONTROL!$C$15, $E$9, 100%, $G$9) + CHOOSE(CONTROL!$C$38, 0.0347, 0)</f>
        <v>51.011099999999999</v>
      </c>
      <c r="F706" s="27">
        <f>50.9764 * CHOOSE(CONTROL!$C$15, $E$9, 100%, $G$9) + CHOOSE(CONTROL!$C$38, 0.0256, 0)</f>
        <v>51.001999999999995</v>
      </c>
      <c r="G706" s="10">
        <f>47.1776 * CHOOSE(CONTROL!$C$15, $E$9, 100%, $G$9) + CHOOSE(CONTROL!$C$38, 0.0347, 0)</f>
        <v>47.212299999999999</v>
      </c>
      <c r="H706" s="10">
        <f>47.1776 * CHOOSE(CONTROL!$C$15, $E$9, 100%, $G$9) + CHOOSE(CONTROL!$C$38, 0.0347, 0)</f>
        <v>47.212299999999999</v>
      </c>
      <c r="I706" s="10">
        <f>47.1791 * CHOOSE(CONTROL!$C$15, $E$9, 100%, $G$9) + CHOOSE(CONTROL!$C$38, 0.0347, 0)</f>
        <v>47.213799999999999</v>
      </c>
      <c r="J706" s="26">
        <f>315.2006</f>
        <v>315.20060000000001</v>
      </c>
    </row>
    <row r="707" spans="1:10" ht="15.75" x14ac:dyDescent="0.25">
      <c r="A707" s="13">
        <v>62823</v>
      </c>
      <c r="B707" s="10">
        <f>51.7288 * CHOOSE(CONTROL!$C$15, $E$9, 100%, $G$9) + CHOOSE(CONTROL!$C$38, 0.0256, 0)</f>
        <v>51.754399999999997</v>
      </c>
      <c r="C707" s="10">
        <f>47.7752 * CHOOSE(CONTROL!$C$15, $E$9, 100%, $G$9) + CHOOSE(CONTROL!$C$38, 0.0347, 0)</f>
        <v>47.809899999999999</v>
      </c>
      <c r="D707" s="10">
        <f>47.7674 * CHOOSE(CONTROL!$C$15, $E$9, 100%, $G$9) + CHOOSE(CONTROL!$C$38, 0.0347, 0)</f>
        <v>47.802100000000003</v>
      </c>
      <c r="E707" s="28">
        <f>51.5725 * CHOOSE(CONTROL!$C$15, $E$9, 100%, $G$9) + CHOOSE(CONTROL!$C$38, 0.0347, 0)</f>
        <v>51.607199999999999</v>
      </c>
      <c r="F707" s="27">
        <f>51.5725 * CHOOSE(CONTROL!$C$15, $E$9, 100%, $G$9) + CHOOSE(CONTROL!$C$38, 0.0256, 0)</f>
        <v>51.598099999999995</v>
      </c>
      <c r="G707" s="10">
        <f>47.7736 * CHOOSE(CONTROL!$C$15, $E$9, 100%, $G$9) + CHOOSE(CONTROL!$C$38, 0.0347, 0)</f>
        <v>47.808300000000003</v>
      </c>
      <c r="H707" s="10">
        <f>47.7736 * CHOOSE(CONTROL!$C$15, $E$9, 100%, $G$9) + CHOOSE(CONTROL!$C$38, 0.0347, 0)</f>
        <v>47.808300000000003</v>
      </c>
      <c r="I707" s="10">
        <f>47.7752 * CHOOSE(CONTROL!$C$15, $E$9, 100%, $G$9) + CHOOSE(CONTROL!$C$38, 0.0347, 0)</f>
        <v>47.809899999999999</v>
      </c>
      <c r="J707" s="26">
        <f>305.847</f>
        <v>305.84699999999998</v>
      </c>
    </row>
    <row r="708" spans="1:10" ht="15.75" x14ac:dyDescent="0.25">
      <c r="A708" s="13">
        <v>62854</v>
      </c>
      <c r="B708" s="10">
        <f>53.0927 * CHOOSE(CONTROL!$C$15, $E$9, 100%, $G$9) + CHOOSE(CONTROL!$C$38, 0.0256, 0)</f>
        <v>53.118299999999998</v>
      </c>
      <c r="C708" s="10">
        <f>49.072 * CHOOSE(CONTROL!$C$15, $E$9, 100%, $G$9) + CHOOSE(CONTROL!$C$38, 0.0347, 0)</f>
        <v>49.106700000000004</v>
      </c>
      <c r="D708" s="10">
        <f>49.0642 * CHOOSE(CONTROL!$C$15, $E$9, 100%, $G$9) + CHOOSE(CONTROL!$C$38, 0.0347, 0)</f>
        <v>49.0989</v>
      </c>
      <c r="E708" s="28">
        <f>52.9364 * CHOOSE(CONTROL!$C$15, $E$9, 100%, $G$9) + CHOOSE(CONTROL!$C$38, 0.0347, 0)</f>
        <v>52.9711</v>
      </c>
      <c r="F708" s="27">
        <f>52.9364 * CHOOSE(CONTROL!$C$15, $E$9, 100%, $G$9) + CHOOSE(CONTROL!$C$38, 0.0256, 0)</f>
        <v>52.961999999999996</v>
      </c>
      <c r="G708" s="10">
        <f>49.0705 * CHOOSE(CONTROL!$C$15, $E$9, 100%, $G$9) + CHOOSE(CONTROL!$C$38, 0.0347, 0)</f>
        <v>49.105200000000004</v>
      </c>
      <c r="H708" s="10">
        <f>49.0705 * CHOOSE(CONTROL!$C$15, $E$9, 100%, $G$9) + CHOOSE(CONTROL!$C$38, 0.0347, 0)</f>
        <v>49.105200000000004</v>
      </c>
      <c r="I708" s="10">
        <f>49.072 * CHOOSE(CONTROL!$C$15, $E$9, 100%, $G$9) + CHOOSE(CONTROL!$C$38, 0.0347, 0)</f>
        <v>49.106700000000004</v>
      </c>
      <c r="J708" s="26">
        <f>303.7983</f>
        <v>303.79829999999998</v>
      </c>
    </row>
    <row r="709" spans="1:10" ht="15.75" x14ac:dyDescent="0.25">
      <c r="A709" s="13">
        <v>62883</v>
      </c>
      <c r="B709" s="10">
        <f>53.3134 * CHOOSE(CONTROL!$C$15, $E$9, 100%, $G$9) + CHOOSE(CONTROL!$C$38, 0.0256, 0)</f>
        <v>53.338999999999999</v>
      </c>
      <c r="C709" s="10">
        <f>49.2928 * CHOOSE(CONTROL!$C$15, $E$9, 100%, $G$9) + CHOOSE(CONTROL!$C$38, 0.0347, 0)</f>
        <v>49.327500000000001</v>
      </c>
      <c r="D709" s="10">
        <f>49.285 * CHOOSE(CONTROL!$C$15, $E$9, 100%, $G$9) + CHOOSE(CONTROL!$C$38, 0.0347, 0)</f>
        <v>49.319699999999997</v>
      </c>
      <c r="E709" s="28">
        <f>53.1572 * CHOOSE(CONTROL!$C$15, $E$9, 100%, $G$9) + CHOOSE(CONTROL!$C$38, 0.0347, 0)</f>
        <v>53.191900000000004</v>
      </c>
      <c r="F709" s="27">
        <f>53.1572 * CHOOSE(CONTROL!$C$15, $E$9, 100%, $G$9) + CHOOSE(CONTROL!$C$38, 0.0256, 0)</f>
        <v>53.1828</v>
      </c>
      <c r="G709" s="10">
        <f>49.2912 * CHOOSE(CONTROL!$C$15, $E$9, 100%, $G$9) + CHOOSE(CONTROL!$C$38, 0.0347, 0)</f>
        <v>49.325900000000004</v>
      </c>
      <c r="H709" s="10">
        <f>49.2912 * CHOOSE(CONTROL!$C$15, $E$9, 100%, $G$9) + CHOOSE(CONTROL!$C$38, 0.0347, 0)</f>
        <v>49.325900000000004</v>
      </c>
      <c r="I709" s="10">
        <f>49.2928 * CHOOSE(CONTROL!$C$15, $E$9, 100%, $G$9) + CHOOSE(CONTROL!$C$38, 0.0347, 0)</f>
        <v>49.327500000000001</v>
      </c>
      <c r="J709" s="26">
        <f>302.9538</f>
        <v>302.9538</v>
      </c>
    </row>
    <row r="710" spans="1:10" ht="15.75" x14ac:dyDescent="0.25">
      <c r="A710" s="13">
        <v>62914</v>
      </c>
      <c r="B710" s="10">
        <f>52.8024 * CHOOSE(CONTROL!$C$15, $E$9, 100%, $G$9) + CHOOSE(CONTROL!$C$38, 0.0256, 0)</f>
        <v>52.827999999999996</v>
      </c>
      <c r="C710" s="10">
        <f>48.7817 * CHOOSE(CONTROL!$C$15, $E$9, 100%, $G$9) + CHOOSE(CONTROL!$C$38, 0.0347, 0)</f>
        <v>48.816400000000002</v>
      </c>
      <c r="D710" s="10">
        <f>48.7739 * CHOOSE(CONTROL!$C$15, $E$9, 100%, $G$9) + CHOOSE(CONTROL!$C$38, 0.0347, 0)</f>
        <v>48.808599999999998</v>
      </c>
      <c r="E710" s="28">
        <f>52.6462 * CHOOSE(CONTROL!$C$15, $E$9, 100%, $G$9) + CHOOSE(CONTROL!$C$38, 0.0347, 0)</f>
        <v>52.680900000000001</v>
      </c>
      <c r="F710" s="27">
        <f>52.6462 * CHOOSE(CONTROL!$C$15, $E$9, 100%, $G$9) + CHOOSE(CONTROL!$C$38, 0.0256, 0)</f>
        <v>52.671799999999998</v>
      </c>
      <c r="G710" s="10">
        <f>48.7802 * CHOOSE(CONTROL!$C$15, $E$9, 100%, $G$9) + CHOOSE(CONTROL!$C$38, 0.0347, 0)</f>
        <v>48.814900000000002</v>
      </c>
      <c r="H710" s="10">
        <f>48.7802 * CHOOSE(CONTROL!$C$15, $E$9, 100%, $G$9) + CHOOSE(CONTROL!$C$38, 0.0347, 0)</f>
        <v>48.814900000000002</v>
      </c>
      <c r="I710" s="10">
        <f>48.7817 * CHOOSE(CONTROL!$C$15, $E$9, 100%, $G$9) + CHOOSE(CONTROL!$C$38, 0.0347, 0)</f>
        <v>48.816400000000002</v>
      </c>
      <c r="J710" s="26">
        <f>318.9212</f>
        <v>318.9212</v>
      </c>
    </row>
    <row r="711" spans="1:10" ht="15.75" x14ac:dyDescent="0.25">
      <c r="A711" s="13">
        <v>62944</v>
      </c>
      <c r="B711" s="10">
        <f>52.3072 * CHOOSE(CONTROL!$C$15, $E$9, 100%, $G$9) + CHOOSE(CONTROL!$C$38, 0.0256, 0)</f>
        <v>52.332799999999999</v>
      </c>
      <c r="C711" s="10">
        <f>48.2866 * CHOOSE(CONTROL!$C$15, $E$9, 100%, $G$9) + CHOOSE(CONTROL!$C$38, 0.0347, 0)</f>
        <v>48.321300000000001</v>
      </c>
      <c r="D711" s="10">
        <f>48.2788 * CHOOSE(CONTROL!$C$15, $E$9, 100%, $G$9) + CHOOSE(CONTROL!$C$38, 0.0347, 0)</f>
        <v>48.313499999999998</v>
      </c>
      <c r="E711" s="28">
        <f>52.151 * CHOOSE(CONTROL!$C$15, $E$9, 100%, $G$9) + CHOOSE(CONTROL!$C$38, 0.0347, 0)</f>
        <v>52.185700000000004</v>
      </c>
      <c r="F711" s="27">
        <f>52.151 * CHOOSE(CONTROL!$C$15, $E$9, 100%, $G$9) + CHOOSE(CONTROL!$C$38, 0.0256, 0)</f>
        <v>52.176600000000001</v>
      </c>
      <c r="G711" s="10">
        <f>48.285 * CHOOSE(CONTROL!$C$15, $E$9, 100%, $G$9) + CHOOSE(CONTROL!$C$38, 0.0347, 0)</f>
        <v>48.319699999999997</v>
      </c>
      <c r="H711" s="10">
        <f>48.285 * CHOOSE(CONTROL!$C$15, $E$9, 100%, $G$9) + CHOOSE(CONTROL!$C$38, 0.0347, 0)</f>
        <v>48.319699999999997</v>
      </c>
      <c r="I711" s="10">
        <f>48.2866 * CHOOSE(CONTROL!$C$15, $E$9, 100%, $G$9) + CHOOSE(CONTROL!$C$38, 0.0347, 0)</f>
        <v>48.321300000000001</v>
      </c>
      <c r="J711" s="26">
        <f>339.6272</f>
        <v>339.62720000000002</v>
      </c>
    </row>
    <row r="712" spans="1:10" ht="15.75" x14ac:dyDescent="0.25">
      <c r="A712" s="13">
        <v>62975</v>
      </c>
      <c r="B712" s="10">
        <f>51.7911 * CHOOSE(CONTROL!$C$15, $E$9, 100%, $G$9) + CHOOSE(CONTROL!$C$38, 0.0256, 0)</f>
        <v>51.816699999999997</v>
      </c>
      <c r="C712" s="10">
        <f>47.7705 * CHOOSE(CONTROL!$C$15, $E$9, 100%, $G$9) + CHOOSE(CONTROL!$C$38, 0.0347, 0)</f>
        <v>47.805199999999999</v>
      </c>
      <c r="D712" s="10">
        <f>47.7626 * CHOOSE(CONTROL!$C$15, $E$9, 100%, $G$9) + CHOOSE(CONTROL!$C$38, 0.0347, 0)</f>
        <v>47.7973</v>
      </c>
      <c r="E712" s="28">
        <f>51.6349 * CHOOSE(CONTROL!$C$15, $E$9, 100%, $G$9) + CHOOSE(CONTROL!$C$38, 0.0347, 0)</f>
        <v>51.669600000000003</v>
      </c>
      <c r="F712" s="27">
        <f>51.6349 * CHOOSE(CONTROL!$C$15, $E$9, 100%, $G$9) + CHOOSE(CONTROL!$C$38, 0.0256, 0)</f>
        <v>51.660499999999999</v>
      </c>
      <c r="G712" s="10">
        <f>47.7689 * CHOOSE(CONTROL!$C$15, $E$9, 100%, $G$9) + CHOOSE(CONTROL!$C$38, 0.0347, 0)</f>
        <v>47.803600000000003</v>
      </c>
      <c r="H712" s="10">
        <f>47.7689 * CHOOSE(CONTROL!$C$15, $E$9, 100%, $G$9) + CHOOSE(CONTROL!$C$38, 0.0347, 0)</f>
        <v>47.803600000000003</v>
      </c>
      <c r="I712" s="10">
        <f>47.7705 * CHOOSE(CONTROL!$C$15, $E$9, 100%, $G$9) + CHOOSE(CONTROL!$C$38, 0.0347, 0)</f>
        <v>47.805199999999999</v>
      </c>
      <c r="J712" s="26">
        <f>351.0244</f>
        <v>351.02440000000001</v>
      </c>
    </row>
    <row r="713" spans="1:10" ht="15.75" x14ac:dyDescent="0.25">
      <c r="A713" s="13">
        <v>63005</v>
      </c>
      <c r="B713" s="10">
        <f>51.4293 * CHOOSE(CONTROL!$C$15, $E$9, 100%, $G$9) + CHOOSE(CONTROL!$C$38, 0.0256, 0)</f>
        <v>51.454899999999995</v>
      </c>
      <c r="C713" s="10">
        <f>47.4086 * CHOOSE(CONTROL!$C$15, $E$9, 100%, $G$9) + CHOOSE(CONTROL!$C$38, 0.0347, 0)</f>
        <v>47.443300000000001</v>
      </c>
      <c r="D713" s="10">
        <f>47.4008 * CHOOSE(CONTROL!$C$15, $E$9, 100%, $G$9) + CHOOSE(CONTROL!$C$38, 0.0347, 0)</f>
        <v>47.435499999999998</v>
      </c>
      <c r="E713" s="28">
        <f>51.273 * CHOOSE(CONTROL!$C$15, $E$9, 100%, $G$9) + CHOOSE(CONTROL!$C$38, 0.0347, 0)</f>
        <v>51.307700000000004</v>
      </c>
      <c r="F713" s="27">
        <f>51.273 * CHOOSE(CONTROL!$C$15, $E$9, 100%, $G$9) + CHOOSE(CONTROL!$C$38, 0.0256, 0)</f>
        <v>51.2986</v>
      </c>
      <c r="G713" s="10">
        <f>47.4071 * CHOOSE(CONTROL!$C$15, $E$9, 100%, $G$9) + CHOOSE(CONTROL!$C$38, 0.0347, 0)</f>
        <v>47.441800000000001</v>
      </c>
      <c r="H713" s="10">
        <f>47.4071 * CHOOSE(CONTROL!$C$15, $E$9, 100%, $G$9) + CHOOSE(CONTROL!$C$38, 0.0347, 0)</f>
        <v>47.441800000000001</v>
      </c>
      <c r="I713" s="10">
        <f>47.4086 * CHOOSE(CONTROL!$C$15, $E$9, 100%, $G$9) + CHOOSE(CONTROL!$C$38, 0.0347, 0)</f>
        <v>47.443300000000001</v>
      </c>
      <c r="J713" s="26">
        <f>356.0823</f>
        <v>356.08229999999998</v>
      </c>
    </row>
    <row r="714" spans="1:10" ht="15.75" x14ac:dyDescent="0.25">
      <c r="A714" s="13">
        <v>63036</v>
      </c>
      <c r="B714" s="10">
        <f>51.2228 * CHOOSE(CONTROL!$C$15, $E$9, 100%, $G$9) + CHOOSE(CONTROL!$C$38, 0.0256, 0)</f>
        <v>51.248399999999997</v>
      </c>
      <c r="C714" s="10">
        <f>47.2021 * CHOOSE(CONTROL!$C$15, $E$9, 100%, $G$9) + CHOOSE(CONTROL!$C$38, 0.0347, 0)</f>
        <v>47.236800000000002</v>
      </c>
      <c r="D714" s="10">
        <f>47.1943 * CHOOSE(CONTROL!$C$15, $E$9, 100%, $G$9) + CHOOSE(CONTROL!$C$38, 0.0347, 0)</f>
        <v>47.228999999999999</v>
      </c>
      <c r="E714" s="28">
        <f>51.0665 * CHOOSE(CONTROL!$C$15, $E$9, 100%, $G$9) + CHOOSE(CONTROL!$C$38, 0.0347, 0)</f>
        <v>51.101199999999999</v>
      </c>
      <c r="F714" s="27">
        <f>51.0665 * CHOOSE(CONTROL!$C$15, $E$9, 100%, $G$9) + CHOOSE(CONTROL!$C$38, 0.0256, 0)</f>
        <v>51.092099999999995</v>
      </c>
      <c r="G714" s="10">
        <f>47.2006 * CHOOSE(CONTROL!$C$15, $E$9, 100%, $G$9) + CHOOSE(CONTROL!$C$38, 0.0347, 0)</f>
        <v>47.235300000000002</v>
      </c>
      <c r="H714" s="10">
        <f>47.2006 * CHOOSE(CONTROL!$C$15, $E$9, 100%, $G$9) + CHOOSE(CONTROL!$C$38, 0.0347, 0)</f>
        <v>47.235300000000002</v>
      </c>
      <c r="I714" s="10">
        <f>47.2021 * CHOOSE(CONTROL!$C$15, $E$9, 100%, $G$9) + CHOOSE(CONTROL!$C$38, 0.0347, 0)</f>
        <v>47.236800000000002</v>
      </c>
      <c r="J714" s="26">
        <f>354.417</f>
        <v>354.41699999999997</v>
      </c>
    </row>
    <row r="715" spans="1:10" ht="15.75" x14ac:dyDescent="0.25">
      <c r="A715" s="13">
        <v>63067</v>
      </c>
      <c r="B715" s="10">
        <f>51.3247 * CHOOSE(CONTROL!$C$15, $E$9, 100%, $G$9) + CHOOSE(CONTROL!$C$38, 0.0256, 0)</f>
        <v>51.350299999999997</v>
      </c>
      <c r="C715" s="10">
        <f>47.304 * CHOOSE(CONTROL!$C$15, $E$9, 100%, $G$9) + CHOOSE(CONTROL!$C$38, 0.0347, 0)</f>
        <v>47.338700000000003</v>
      </c>
      <c r="D715" s="10">
        <f>47.2962 * CHOOSE(CONTROL!$C$15, $E$9, 100%, $G$9) + CHOOSE(CONTROL!$C$38, 0.0347, 0)</f>
        <v>47.3309</v>
      </c>
      <c r="E715" s="28">
        <f>51.1684 * CHOOSE(CONTROL!$C$15, $E$9, 100%, $G$9) + CHOOSE(CONTROL!$C$38, 0.0347, 0)</f>
        <v>51.203099999999999</v>
      </c>
      <c r="F715" s="27">
        <f>51.1684 * CHOOSE(CONTROL!$C$15, $E$9, 100%, $G$9) + CHOOSE(CONTROL!$C$38, 0.0256, 0)</f>
        <v>51.193999999999996</v>
      </c>
      <c r="G715" s="10">
        <f>47.3025 * CHOOSE(CONTROL!$C$15, $E$9, 100%, $G$9) + CHOOSE(CONTROL!$C$38, 0.0347, 0)</f>
        <v>47.337200000000003</v>
      </c>
      <c r="H715" s="10">
        <f>47.3025 * CHOOSE(CONTROL!$C$15, $E$9, 100%, $G$9) + CHOOSE(CONTROL!$C$38, 0.0347, 0)</f>
        <v>47.337200000000003</v>
      </c>
      <c r="I715" s="10">
        <f>47.304 * CHOOSE(CONTROL!$C$15, $E$9, 100%, $G$9) + CHOOSE(CONTROL!$C$38, 0.0347, 0)</f>
        <v>47.338700000000003</v>
      </c>
      <c r="J715" s="26">
        <f>346.1663</f>
        <v>346.16629999999998</v>
      </c>
    </row>
    <row r="716" spans="1:10" ht="15.75" x14ac:dyDescent="0.25">
      <c r="A716" s="13">
        <v>63097</v>
      </c>
      <c r="B716" s="10">
        <f>51.6015 * CHOOSE(CONTROL!$C$15, $E$9, 100%, $G$9) + CHOOSE(CONTROL!$C$38, 0.0256, 0)</f>
        <v>51.627099999999999</v>
      </c>
      <c r="C716" s="10">
        <f>47.5808 * CHOOSE(CONTROL!$C$15, $E$9, 100%, $G$9) + CHOOSE(CONTROL!$C$38, 0.0347, 0)</f>
        <v>47.615500000000004</v>
      </c>
      <c r="D716" s="10">
        <f>47.573 * CHOOSE(CONTROL!$C$15, $E$9, 100%, $G$9) + CHOOSE(CONTROL!$C$38, 0.0347, 0)</f>
        <v>47.607700000000001</v>
      </c>
      <c r="E716" s="28">
        <f>51.4452 * CHOOSE(CONTROL!$C$15, $E$9, 100%, $G$9) + CHOOSE(CONTROL!$C$38, 0.0347, 0)</f>
        <v>51.479900000000001</v>
      </c>
      <c r="F716" s="27">
        <f>51.4452 * CHOOSE(CONTROL!$C$15, $E$9, 100%, $G$9) + CHOOSE(CONTROL!$C$38, 0.0256, 0)</f>
        <v>51.470799999999997</v>
      </c>
      <c r="G716" s="10">
        <f>47.5793 * CHOOSE(CONTROL!$C$15, $E$9, 100%, $G$9) + CHOOSE(CONTROL!$C$38, 0.0347, 0)</f>
        <v>47.614000000000004</v>
      </c>
      <c r="H716" s="10">
        <f>47.5793 * CHOOSE(CONTROL!$C$15, $E$9, 100%, $G$9) + CHOOSE(CONTROL!$C$38, 0.0347, 0)</f>
        <v>47.614000000000004</v>
      </c>
      <c r="I716" s="10">
        <f>47.5808 * CHOOSE(CONTROL!$C$15, $E$9, 100%, $G$9) + CHOOSE(CONTROL!$C$38, 0.0347, 0)</f>
        <v>47.615500000000004</v>
      </c>
      <c r="J716" s="26">
        <f>334.6603</f>
        <v>334.66030000000001</v>
      </c>
    </row>
    <row r="717" spans="1:10" ht="15.75" x14ac:dyDescent="0.25">
      <c r="A717" s="13">
        <v>63128</v>
      </c>
      <c r="B717" s="10">
        <f>51.8333 * CHOOSE(CONTROL!$C$15, $E$9, 100%, $G$9) + CHOOSE(CONTROL!$C$38, 0.0256, 0)</f>
        <v>51.858899999999998</v>
      </c>
      <c r="C717" s="10">
        <f>47.8127 * CHOOSE(CONTROL!$C$15, $E$9, 100%, $G$9) + CHOOSE(CONTROL!$C$38, 0.0347, 0)</f>
        <v>47.8474</v>
      </c>
      <c r="D717" s="10">
        <f>47.8048 * CHOOSE(CONTROL!$C$15, $E$9, 100%, $G$9) + CHOOSE(CONTROL!$C$38, 0.0347, 0)</f>
        <v>47.839500000000001</v>
      </c>
      <c r="E717" s="28">
        <f>51.6771 * CHOOSE(CONTROL!$C$15, $E$9, 100%, $G$9) + CHOOSE(CONTROL!$C$38, 0.0347, 0)</f>
        <v>51.711800000000004</v>
      </c>
      <c r="F717" s="27">
        <f>51.6771 * CHOOSE(CONTROL!$C$15, $E$9, 100%, $G$9) + CHOOSE(CONTROL!$C$38, 0.0256, 0)</f>
        <v>51.7027</v>
      </c>
      <c r="G717" s="10">
        <f>47.8111 * CHOOSE(CONTROL!$C$15, $E$9, 100%, $G$9) + CHOOSE(CONTROL!$C$38, 0.0347, 0)</f>
        <v>47.845800000000004</v>
      </c>
      <c r="H717" s="10">
        <f>47.8111 * CHOOSE(CONTROL!$C$15, $E$9, 100%, $G$9) + CHOOSE(CONTROL!$C$38, 0.0347, 0)</f>
        <v>47.845800000000004</v>
      </c>
      <c r="I717" s="10">
        <f>47.8127 * CHOOSE(CONTROL!$C$15, $E$9, 100%, $G$9) + CHOOSE(CONTROL!$C$38, 0.0347, 0)</f>
        <v>47.8474</v>
      </c>
      <c r="J717" s="26">
        <f>323.0874</f>
        <v>323.0874</v>
      </c>
    </row>
    <row r="718" spans="1:10" ht="15.75" x14ac:dyDescent="0.25">
      <c r="A718" s="13">
        <v>63158</v>
      </c>
      <c r="B718" s="10">
        <f>52.0268 * CHOOSE(CONTROL!$C$15, $E$9, 100%, $G$9) + CHOOSE(CONTROL!$C$38, 0.0256, 0)</f>
        <v>52.052399999999999</v>
      </c>
      <c r="C718" s="10">
        <f>48.0061 * CHOOSE(CONTROL!$C$15, $E$9, 100%, $G$9) + CHOOSE(CONTROL!$C$38, 0.0347, 0)</f>
        <v>48.040800000000004</v>
      </c>
      <c r="D718" s="10">
        <f>47.9983 * CHOOSE(CONTROL!$C$15, $E$9, 100%, $G$9) + CHOOSE(CONTROL!$C$38, 0.0347, 0)</f>
        <v>48.033000000000001</v>
      </c>
      <c r="E718" s="28">
        <f>51.8705 * CHOOSE(CONTROL!$C$15, $E$9, 100%, $G$9) + CHOOSE(CONTROL!$C$38, 0.0347, 0)</f>
        <v>51.905200000000001</v>
      </c>
      <c r="F718" s="27">
        <f>51.8705 * CHOOSE(CONTROL!$C$15, $E$9, 100%, $G$9) + CHOOSE(CONTROL!$C$38, 0.0256, 0)</f>
        <v>51.896099999999997</v>
      </c>
      <c r="G718" s="10">
        <f>48.0045 * CHOOSE(CONTROL!$C$15, $E$9, 100%, $G$9) + CHOOSE(CONTROL!$C$38, 0.0347, 0)</f>
        <v>48.039200000000001</v>
      </c>
      <c r="H718" s="10">
        <f>48.0045 * CHOOSE(CONTROL!$C$15, $E$9, 100%, $G$9) + CHOOSE(CONTROL!$C$38, 0.0347, 0)</f>
        <v>48.039200000000001</v>
      </c>
      <c r="I718" s="10">
        <f>48.0061 * CHOOSE(CONTROL!$C$15, $E$9, 100%, $G$9) + CHOOSE(CONTROL!$C$38, 0.0347, 0)</f>
        <v>48.040800000000004</v>
      </c>
      <c r="J718" s="26">
        <f>320.7853</f>
        <v>320.78530000000001</v>
      </c>
    </row>
    <row r="719" spans="1:10" ht="15.75" x14ac:dyDescent="0.25">
      <c r="A719" s="13">
        <v>63189</v>
      </c>
      <c r="B719" s="10">
        <f>52.6228 * CHOOSE(CONTROL!$C$15, $E$9, 100%, $G$9) + CHOOSE(CONTROL!$C$38, 0.0256, 0)</f>
        <v>52.648399999999995</v>
      </c>
      <c r="C719" s="10">
        <f>48.6022 * CHOOSE(CONTROL!$C$15, $E$9, 100%, $G$9) + CHOOSE(CONTROL!$C$38, 0.0347, 0)</f>
        <v>48.636900000000004</v>
      </c>
      <c r="D719" s="10">
        <f>48.5944 * CHOOSE(CONTROL!$C$15, $E$9, 100%, $G$9) + CHOOSE(CONTROL!$C$38, 0.0347, 0)</f>
        <v>48.629100000000001</v>
      </c>
      <c r="E719" s="28">
        <f>52.4666 * CHOOSE(CONTROL!$C$15, $E$9, 100%, $G$9) + CHOOSE(CONTROL!$C$38, 0.0347, 0)</f>
        <v>52.501300000000001</v>
      </c>
      <c r="F719" s="27">
        <f>52.4666 * CHOOSE(CONTROL!$C$15, $E$9, 100%, $G$9) + CHOOSE(CONTROL!$C$38, 0.0256, 0)</f>
        <v>52.492199999999997</v>
      </c>
      <c r="G719" s="10">
        <f>48.6006 * CHOOSE(CONTROL!$C$15, $E$9, 100%, $G$9) + CHOOSE(CONTROL!$C$38, 0.0347, 0)</f>
        <v>48.635300000000001</v>
      </c>
      <c r="H719" s="10">
        <f>48.6006 * CHOOSE(CONTROL!$C$15, $E$9, 100%, $G$9) + CHOOSE(CONTROL!$C$38, 0.0347, 0)</f>
        <v>48.635300000000001</v>
      </c>
      <c r="I719" s="10">
        <f>48.6022 * CHOOSE(CONTROL!$C$15, $E$9, 100%, $G$9) + CHOOSE(CONTROL!$C$38, 0.0347, 0)</f>
        <v>48.636900000000004</v>
      </c>
      <c r="J719" s="26">
        <f>311.266</f>
        <v>311.26600000000002</v>
      </c>
    </row>
    <row r="720" spans="1:10" ht="15.75" x14ac:dyDescent="0.25">
      <c r="A720" s="13">
        <v>63220</v>
      </c>
      <c r="B720" s="10">
        <f>54.0025 * CHOOSE(CONTROL!$C$15, $E$9, 100%, $G$9) + CHOOSE(CONTROL!$C$38, 0.0256, 0)</f>
        <v>54.028099999999995</v>
      </c>
      <c r="C720" s="10">
        <f>49.9136 * CHOOSE(CONTROL!$C$15, $E$9, 100%, $G$9) + CHOOSE(CONTROL!$C$38, 0.0347, 0)</f>
        <v>49.948300000000003</v>
      </c>
      <c r="D720" s="10">
        <f>49.9058 * CHOOSE(CONTROL!$C$15, $E$9, 100%, $G$9) + CHOOSE(CONTROL!$C$38, 0.0347, 0)</f>
        <v>49.9405</v>
      </c>
      <c r="E720" s="28">
        <f>53.8463 * CHOOSE(CONTROL!$C$15, $E$9, 100%, $G$9) + CHOOSE(CONTROL!$C$38, 0.0347, 0)</f>
        <v>53.881</v>
      </c>
      <c r="F720" s="27">
        <f>53.8463 * CHOOSE(CONTROL!$C$15, $E$9, 100%, $G$9) + CHOOSE(CONTROL!$C$38, 0.0256, 0)</f>
        <v>53.871899999999997</v>
      </c>
      <c r="G720" s="10">
        <f>49.912 * CHOOSE(CONTROL!$C$15, $E$9, 100%, $G$9) + CHOOSE(CONTROL!$C$38, 0.0347, 0)</f>
        <v>49.9467</v>
      </c>
      <c r="H720" s="10">
        <f>49.912 * CHOOSE(CONTROL!$C$15, $E$9, 100%, $G$9) + CHOOSE(CONTROL!$C$38, 0.0347, 0)</f>
        <v>49.9467</v>
      </c>
      <c r="I720" s="10">
        <f>49.9136 * CHOOSE(CONTROL!$C$15, $E$9, 100%, $G$9) + CHOOSE(CONTROL!$C$38, 0.0347, 0)</f>
        <v>49.948300000000003</v>
      </c>
      <c r="J720" s="26">
        <f>309.181</f>
        <v>309.18099999999998</v>
      </c>
    </row>
    <row r="721" spans="1:10" ht="15.75" x14ac:dyDescent="0.25">
      <c r="A721" s="13">
        <v>63248</v>
      </c>
      <c r="B721" s="10">
        <f>54.2233 * CHOOSE(CONTROL!$C$15, $E$9, 100%, $G$9) + CHOOSE(CONTROL!$C$38, 0.0256, 0)</f>
        <v>54.248899999999999</v>
      </c>
      <c r="C721" s="10">
        <f>50.1344 * CHOOSE(CONTROL!$C$15, $E$9, 100%, $G$9) + CHOOSE(CONTROL!$C$38, 0.0347, 0)</f>
        <v>50.1691</v>
      </c>
      <c r="D721" s="10">
        <f>50.1266 * CHOOSE(CONTROL!$C$15, $E$9, 100%, $G$9) + CHOOSE(CONTROL!$C$38, 0.0347, 0)</f>
        <v>50.161300000000004</v>
      </c>
      <c r="E721" s="28">
        <f>54.067 * CHOOSE(CONTROL!$C$15, $E$9, 100%, $G$9) + CHOOSE(CONTROL!$C$38, 0.0347, 0)</f>
        <v>54.101700000000001</v>
      </c>
      <c r="F721" s="27">
        <f>54.067 * CHOOSE(CONTROL!$C$15, $E$9, 100%, $G$9) + CHOOSE(CONTROL!$C$38, 0.0256, 0)</f>
        <v>54.092599999999997</v>
      </c>
      <c r="G721" s="10">
        <f>50.1328 * CHOOSE(CONTROL!$C$15, $E$9, 100%, $G$9) + CHOOSE(CONTROL!$C$38, 0.0347, 0)</f>
        <v>50.167500000000004</v>
      </c>
      <c r="H721" s="10">
        <f>50.1328 * CHOOSE(CONTROL!$C$15, $E$9, 100%, $G$9) + CHOOSE(CONTROL!$C$38, 0.0347, 0)</f>
        <v>50.167500000000004</v>
      </c>
      <c r="I721" s="10">
        <f>50.1344 * CHOOSE(CONTROL!$C$15, $E$9, 100%, $G$9) + CHOOSE(CONTROL!$C$38, 0.0347, 0)</f>
        <v>50.1691</v>
      </c>
      <c r="J721" s="26">
        <f>308.3216</f>
        <v>308.32159999999999</v>
      </c>
    </row>
    <row r="722" spans="1:10" ht="15.75" x14ac:dyDescent="0.25">
      <c r="A722" s="13">
        <v>63279</v>
      </c>
      <c r="B722" s="10">
        <f>53.7123 * CHOOSE(CONTROL!$C$15, $E$9, 100%, $G$9) + CHOOSE(CONTROL!$C$38, 0.0256, 0)</f>
        <v>53.737899999999996</v>
      </c>
      <c r="C722" s="10">
        <f>49.6233 * CHOOSE(CONTROL!$C$15, $E$9, 100%, $G$9) + CHOOSE(CONTROL!$C$38, 0.0347, 0)</f>
        <v>49.658000000000001</v>
      </c>
      <c r="D722" s="10">
        <f>49.6155 * CHOOSE(CONTROL!$C$15, $E$9, 100%, $G$9) + CHOOSE(CONTROL!$C$38, 0.0347, 0)</f>
        <v>49.650199999999998</v>
      </c>
      <c r="E722" s="28">
        <f>53.556 * CHOOSE(CONTROL!$C$15, $E$9, 100%, $G$9) + CHOOSE(CONTROL!$C$38, 0.0347, 0)</f>
        <v>53.590699999999998</v>
      </c>
      <c r="F722" s="27">
        <f>53.556 * CHOOSE(CONTROL!$C$15, $E$9, 100%, $G$9) + CHOOSE(CONTROL!$C$38, 0.0256, 0)</f>
        <v>53.581599999999995</v>
      </c>
      <c r="G722" s="10">
        <f>49.6218 * CHOOSE(CONTROL!$C$15, $E$9, 100%, $G$9) + CHOOSE(CONTROL!$C$38, 0.0347, 0)</f>
        <v>49.656500000000001</v>
      </c>
      <c r="H722" s="10">
        <f>49.6218 * CHOOSE(CONTROL!$C$15, $E$9, 100%, $G$9) + CHOOSE(CONTROL!$C$38, 0.0347, 0)</f>
        <v>49.656500000000001</v>
      </c>
      <c r="I722" s="10">
        <f>49.6233 * CHOOSE(CONTROL!$C$15, $E$9, 100%, $G$9) + CHOOSE(CONTROL!$C$38, 0.0347, 0)</f>
        <v>49.658000000000001</v>
      </c>
      <c r="J722" s="26">
        <f>324.5719</f>
        <v>324.57190000000003</v>
      </c>
    </row>
    <row r="723" spans="1:10" ht="15.75" x14ac:dyDescent="0.25">
      <c r="A723" s="13">
        <v>63309</v>
      </c>
      <c r="B723" s="10">
        <f>53.2171 * CHOOSE(CONTROL!$C$15, $E$9, 100%, $G$9) + CHOOSE(CONTROL!$C$38, 0.0256, 0)</f>
        <v>53.242699999999999</v>
      </c>
      <c r="C723" s="10">
        <f>49.1282 * CHOOSE(CONTROL!$C$15, $E$9, 100%, $G$9) + CHOOSE(CONTROL!$C$38, 0.0347, 0)</f>
        <v>49.1629</v>
      </c>
      <c r="D723" s="10">
        <f>49.1203 * CHOOSE(CONTROL!$C$15, $E$9, 100%, $G$9) + CHOOSE(CONTROL!$C$38, 0.0347, 0)</f>
        <v>49.155000000000001</v>
      </c>
      <c r="E723" s="28">
        <f>53.0608 * CHOOSE(CONTROL!$C$15, $E$9, 100%, $G$9) + CHOOSE(CONTROL!$C$38, 0.0347, 0)</f>
        <v>53.095500000000001</v>
      </c>
      <c r="F723" s="27">
        <f>53.0608 * CHOOSE(CONTROL!$C$15, $E$9, 100%, $G$9) + CHOOSE(CONTROL!$C$38, 0.0256, 0)</f>
        <v>53.086399999999998</v>
      </c>
      <c r="G723" s="10">
        <f>49.1266 * CHOOSE(CONTROL!$C$15, $E$9, 100%, $G$9) + CHOOSE(CONTROL!$C$38, 0.0347, 0)</f>
        <v>49.161300000000004</v>
      </c>
      <c r="H723" s="10">
        <f>49.1266 * CHOOSE(CONTROL!$C$15, $E$9, 100%, $G$9) + CHOOSE(CONTROL!$C$38, 0.0347, 0)</f>
        <v>49.161300000000004</v>
      </c>
      <c r="I723" s="10">
        <f>49.1282 * CHOOSE(CONTROL!$C$15, $E$9, 100%, $G$9) + CHOOSE(CONTROL!$C$38, 0.0347, 0)</f>
        <v>49.1629</v>
      </c>
      <c r="J723" s="26">
        <f>345.6447</f>
        <v>345.6447</v>
      </c>
    </row>
    <row r="724" spans="1:10" ht="15.75" x14ac:dyDescent="0.25">
      <c r="A724" s="13">
        <v>63340</v>
      </c>
      <c r="B724" s="10">
        <f>52.701 * CHOOSE(CONTROL!$C$15, $E$9, 100%, $G$9) + CHOOSE(CONTROL!$C$38, 0.0256, 0)</f>
        <v>52.726599999999998</v>
      </c>
      <c r="C724" s="10">
        <f>48.612 * CHOOSE(CONTROL!$C$15, $E$9, 100%, $G$9) + CHOOSE(CONTROL!$C$38, 0.0347, 0)</f>
        <v>48.646700000000003</v>
      </c>
      <c r="D724" s="10">
        <f>48.6042 * CHOOSE(CONTROL!$C$15, $E$9, 100%, $G$9) + CHOOSE(CONTROL!$C$38, 0.0347, 0)</f>
        <v>48.6389</v>
      </c>
      <c r="E724" s="28">
        <f>52.5447 * CHOOSE(CONTROL!$C$15, $E$9, 100%, $G$9) + CHOOSE(CONTROL!$C$38, 0.0347, 0)</f>
        <v>52.5794</v>
      </c>
      <c r="F724" s="27">
        <f>52.5447 * CHOOSE(CONTROL!$C$15, $E$9, 100%, $G$9) + CHOOSE(CONTROL!$C$38, 0.0256, 0)</f>
        <v>52.570299999999996</v>
      </c>
      <c r="G724" s="10">
        <f>48.6105 * CHOOSE(CONTROL!$C$15, $E$9, 100%, $G$9) + CHOOSE(CONTROL!$C$38, 0.0347, 0)</f>
        <v>48.645200000000003</v>
      </c>
      <c r="H724" s="10">
        <f>48.6105 * CHOOSE(CONTROL!$C$15, $E$9, 100%, $G$9) + CHOOSE(CONTROL!$C$38, 0.0347, 0)</f>
        <v>48.645200000000003</v>
      </c>
      <c r="I724" s="10">
        <f>48.612 * CHOOSE(CONTROL!$C$15, $E$9, 100%, $G$9) + CHOOSE(CONTROL!$C$38, 0.0347, 0)</f>
        <v>48.646700000000003</v>
      </c>
      <c r="J724" s="26">
        <f>357.2439</f>
        <v>357.2439</v>
      </c>
    </row>
    <row r="725" spans="1:10" ht="15.75" x14ac:dyDescent="0.25">
      <c r="A725" s="13">
        <v>63370</v>
      </c>
      <c r="B725" s="10">
        <f>52.3391 * CHOOSE(CONTROL!$C$15, $E$9, 100%, $G$9) + CHOOSE(CONTROL!$C$38, 0.0256, 0)</f>
        <v>52.364699999999999</v>
      </c>
      <c r="C725" s="10">
        <f>48.2502 * CHOOSE(CONTROL!$C$15, $E$9, 100%, $G$9) + CHOOSE(CONTROL!$C$38, 0.0347, 0)</f>
        <v>48.2849</v>
      </c>
      <c r="D725" s="10">
        <f>48.2424 * CHOOSE(CONTROL!$C$15, $E$9, 100%, $G$9) + CHOOSE(CONTROL!$C$38, 0.0347, 0)</f>
        <v>48.277100000000004</v>
      </c>
      <c r="E725" s="28">
        <f>52.1829 * CHOOSE(CONTROL!$C$15, $E$9, 100%, $G$9) + CHOOSE(CONTROL!$C$38, 0.0347, 0)</f>
        <v>52.217599999999997</v>
      </c>
      <c r="F725" s="27">
        <f>52.1829 * CHOOSE(CONTROL!$C$15, $E$9, 100%, $G$9) + CHOOSE(CONTROL!$C$38, 0.0256, 0)</f>
        <v>52.208499999999994</v>
      </c>
      <c r="G725" s="10">
        <f>48.2486 * CHOOSE(CONTROL!$C$15, $E$9, 100%, $G$9) + CHOOSE(CONTROL!$C$38, 0.0347, 0)</f>
        <v>48.283300000000004</v>
      </c>
      <c r="H725" s="10">
        <f>48.2486 * CHOOSE(CONTROL!$C$15, $E$9, 100%, $G$9) + CHOOSE(CONTROL!$C$38, 0.0347, 0)</f>
        <v>48.283300000000004</v>
      </c>
      <c r="I725" s="10">
        <f>48.2502 * CHOOSE(CONTROL!$C$15, $E$9, 100%, $G$9) + CHOOSE(CONTROL!$C$38, 0.0347, 0)</f>
        <v>48.2849</v>
      </c>
      <c r="J725" s="26">
        <f>362.3914</f>
        <v>362.39139999999998</v>
      </c>
    </row>
    <row r="726" spans="1:10" ht="15.75" x14ac:dyDescent="0.25">
      <c r="A726" s="13">
        <v>63401</v>
      </c>
      <c r="B726" s="10">
        <f>52.1326 * CHOOSE(CONTROL!$C$15, $E$9, 100%, $G$9) + CHOOSE(CONTROL!$C$38, 0.0256, 0)</f>
        <v>52.158199999999994</v>
      </c>
      <c r="C726" s="10">
        <f>48.0437 * CHOOSE(CONTROL!$C$15, $E$9, 100%, $G$9) + CHOOSE(CONTROL!$C$38, 0.0347, 0)</f>
        <v>48.078400000000002</v>
      </c>
      <c r="D726" s="10">
        <f>48.0359 * CHOOSE(CONTROL!$C$15, $E$9, 100%, $G$9) + CHOOSE(CONTROL!$C$38, 0.0347, 0)</f>
        <v>48.070599999999999</v>
      </c>
      <c r="E726" s="28">
        <f>51.9764 * CHOOSE(CONTROL!$C$15, $E$9, 100%, $G$9) + CHOOSE(CONTROL!$C$38, 0.0347, 0)</f>
        <v>52.011099999999999</v>
      </c>
      <c r="F726" s="27">
        <f>51.9764 * CHOOSE(CONTROL!$C$15, $E$9, 100%, $G$9) + CHOOSE(CONTROL!$C$38, 0.0256, 0)</f>
        <v>52.001999999999995</v>
      </c>
      <c r="G726" s="10">
        <f>48.0422 * CHOOSE(CONTROL!$C$15, $E$9, 100%, $G$9) + CHOOSE(CONTROL!$C$38, 0.0347, 0)</f>
        <v>48.076900000000002</v>
      </c>
      <c r="H726" s="10">
        <f>48.0422 * CHOOSE(CONTROL!$C$15, $E$9, 100%, $G$9) + CHOOSE(CONTROL!$C$38, 0.0347, 0)</f>
        <v>48.076900000000002</v>
      </c>
      <c r="I726" s="10">
        <f>48.0437 * CHOOSE(CONTROL!$C$15, $E$9, 100%, $G$9) + CHOOSE(CONTROL!$C$38, 0.0347, 0)</f>
        <v>48.078400000000002</v>
      </c>
      <c r="J726" s="26">
        <f>360.6966</f>
        <v>360.69659999999999</v>
      </c>
    </row>
    <row r="727" spans="1:10" ht="15.75" x14ac:dyDescent="0.25">
      <c r="A727" s="13">
        <v>63432</v>
      </c>
      <c r="B727" s="10">
        <f>52.2346 * CHOOSE(CONTROL!$C$15, $E$9, 100%, $G$9) + CHOOSE(CONTROL!$C$38, 0.0256, 0)</f>
        <v>52.260199999999998</v>
      </c>
      <c r="C727" s="10">
        <f>48.1456 * CHOOSE(CONTROL!$C$15, $E$9, 100%, $G$9) + CHOOSE(CONTROL!$C$38, 0.0347, 0)</f>
        <v>48.180300000000003</v>
      </c>
      <c r="D727" s="10">
        <f>48.1378 * CHOOSE(CONTROL!$C$15, $E$9, 100%, $G$9) + CHOOSE(CONTROL!$C$38, 0.0347, 0)</f>
        <v>48.172499999999999</v>
      </c>
      <c r="E727" s="28">
        <f>52.0783 * CHOOSE(CONTROL!$C$15, $E$9, 100%, $G$9) + CHOOSE(CONTROL!$C$38, 0.0347, 0)</f>
        <v>52.113</v>
      </c>
      <c r="F727" s="27">
        <f>52.0783 * CHOOSE(CONTROL!$C$15, $E$9, 100%, $G$9) + CHOOSE(CONTROL!$C$38, 0.0256, 0)</f>
        <v>52.103899999999996</v>
      </c>
      <c r="G727" s="10">
        <f>48.1441 * CHOOSE(CONTROL!$C$15, $E$9, 100%, $G$9) + CHOOSE(CONTROL!$C$38, 0.0347, 0)</f>
        <v>48.178800000000003</v>
      </c>
      <c r="H727" s="10">
        <f>48.1441 * CHOOSE(CONTROL!$C$15, $E$9, 100%, $G$9) + CHOOSE(CONTROL!$C$38, 0.0347, 0)</f>
        <v>48.178800000000003</v>
      </c>
      <c r="I727" s="10">
        <f>48.1456 * CHOOSE(CONTROL!$C$15, $E$9, 100%, $G$9) + CHOOSE(CONTROL!$C$38, 0.0347, 0)</f>
        <v>48.180300000000003</v>
      </c>
      <c r="J727" s="26">
        <f>352.2997</f>
        <v>352.29969999999997</v>
      </c>
    </row>
    <row r="728" spans="1:10" ht="15.75" x14ac:dyDescent="0.25">
      <c r="A728" s="13">
        <v>63462</v>
      </c>
      <c r="B728" s="10">
        <f>52.5114 * CHOOSE(CONTROL!$C$15, $E$9, 100%, $G$9) + CHOOSE(CONTROL!$C$38, 0.0256, 0)</f>
        <v>52.536999999999999</v>
      </c>
      <c r="C728" s="10">
        <f>48.4224 * CHOOSE(CONTROL!$C$15, $E$9, 100%, $G$9) + CHOOSE(CONTROL!$C$38, 0.0347, 0)</f>
        <v>48.457100000000004</v>
      </c>
      <c r="D728" s="10">
        <f>48.4146 * CHOOSE(CONTROL!$C$15, $E$9, 100%, $G$9) + CHOOSE(CONTROL!$C$38, 0.0347, 0)</f>
        <v>48.449300000000001</v>
      </c>
      <c r="E728" s="28">
        <f>52.3551 * CHOOSE(CONTROL!$C$15, $E$9, 100%, $G$9) + CHOOSE(CONTROL!$C$38, 0.0347, 0)</f>
        <v>52.389800000000001</v>
      </c>
      <c r="F728" s="27">
        <f>52.3551 * CHOOSE(CONTROL!$C$15, $E$9, 100%, $G$9) + CHOOSE(CONTROL!$C$38, 0.0256, 0)</f>
        <v>52.380699999999997</v>
      </c>
      <c r="G728" s="10">
        <f>48.4209 * CHOOSE(CONTROL!$C$15, $E$9, 100%, $G$9) + CHOOSE(CONTROL!$C$38, 0.0347, 0)</f>
        <v>48.455600000000004</v>
      </c>
      <c r="H728" s="10">
        <f>48.4209 * CHOOSE(CONTROL!$C$15, $E$9, 100%, $G$9) + CHOOSE(CONTROL!$C$38, 0.0347, 0)</f>
        <v>48.455600000000004</v>
      </c>
      <c r="I728" s="10">
        <f>48.4224 * CHOOSE(CONTROL!$C$15, $E$9, 100%, $G$9) + CHOOSE(CONTROL!$C$38, 0.0347, 0)</f>
        <v>48.457100000000004</v>
      </c>
      <c r="J728" s="26">
        <f>340.5899</f>
        <v>340.5899</v>
      </c>
    </row>
    <row r="729" spans="1:10" ht="15.75" x14ac:dyDescent="0.25">
      <c r="A729" s="13">
        <v>63493</v>
      </c>
      <c r="B729" s="10">
        <f>52.7432 * CHOOSE(CONTROL!$C$15, $E$9, 100%, $G$9) + CHOOSE(CONTROL!$C$38, 0.0256, 0)</f>
        <v>52.768799999999999</v>
      </c>
      <c r="C729" s="10">
        <f>48.6542 * CHOOSE(CONTROL!$C$15, $E$9, 100%, $G$9) + CHOOSE(CONTROL!$C$38, 0.0347, 0)</f>
        <v>48.688900000000004</v>
      </c>
      <c r="D729" s="10">
        <f>48.6464 * CHOOSE(CONTROL!$C$15, $E$9, 100%, $G$9) + CHOOSE(CONTROL!$C$38, 0.0347, 0)</f>
        <v>48.681100000000001</v>
      </c>
      <c r="E729" s="28">
        <f>52.5869 * CHOOSE(CONTROL!$C$15, $E$9, 100%, $G$9) + CHOOSE(CONTROL!$C$38, 0.0347, 0)</f>
        <v>52.621600000000001</v>
      </c>
      <c r="F729" s="27">
        <f>52.5869 * CHOOSE(CONTROL!$C$15, $E$9, 100%, $G$9) + CHOOSE(CONTROL!$C$38, 0.0256, 0)</f>
        <v>52.612499999999997</v>
      </c>
      <c r="G729" s="10">
        <f>48.6527 * CHOOSE(CONTROL!$C$15, $E$9, 100%, $G$9) + CHOOSE(CONTROL!$C$38, 0.0347, 0)</f>
        <v>48.687400000000004</v>
      </c>
      <c r="H729" s="10">
        <f>48.6527 * CHOOSE(CONTROL!$C$15, $E$9, 100%, $G$9) + CHOOSE(CONTROL!$C$38, 0.0347, 0)</f>
        <v>48.687400000000004</v>
      </c>
      <c r="I729" s="10">
        <f>48.6542 * CHOOSE(CONTROL!$C$15, $E$9, 100%, $G$9) + CHOOSE(CONTROL!$C$38, 0.0347, 0)</f>
        <v>48.688900000000004</v>
      </c>
      <c r="J729" s="26">
        <f>328.8119</f>
        <v>328.81189999999998</v>
      </c>
    </row>
    <row r="730" spans="1:10" ht="15.75" x14ac:dyDescent="0.25">
      <c r="A730" s="13">
        <v>63523</v>
      </c>
      <c r="B730" s="10">
        <f>52.9366 * CHOOSE(CONTROL!$C$15, $E$9, 100%, $G$9) + CHOOSE(CONTROL!$C$38, 0.0256, 0)</f>
        <v>52.962199999999996</v>
      </c>
      <c r="C730" s="10">
        <f>48.8477 * CHOOSE(CONTROL!$C$15, $E$9, 100%, $G$9) + CHOOSE(CONTROL!$C$38, 0.0347, 0)</f>
        <v>48.882400000000004</v>
      </c>
      <c r="D730" s="10">
        <f>48.8399 * CHOOSE(CONTROL!$C$15, $E$9, 100%, $G$9) + CHOOSE(CONTROL!$C$38, 0.0347, 0)</f>
        <v>48.874600000000001</v>
      </c>
      <c r="E730" s="28">
        <f>52.7804 * CHOOSE(CONTROL!$C$15, $E$9, 100%, $G$9) + CHOOSE(CONTROL!$C$38, 0.0347, 0)</f>
        <v>52.815100000000001</v>
      </c>
      <c r="F730" s="27">
        <f>52.7804 * CHOOSE(CONTROL!$C$15, $E$9, 100%, $G$9) + CHOOSE(CONTROL!$C$38, 0.0256, 0)</f>
        <v>52.805999999999997</v>
      </c>
      <c r="G730" s="10">
        <f>48.8461 * CHOOSE(CONTROL!$C$15, $E$9, 100%, $G$9) + CHOOSE(CONTROL!$C$38, 0.0347, 0)</f>
        <v>48.880800000000001</v>
      </c>
      <c r="H730" s="10">
        <f>48.8461 * CHOOSE(CONTROL!$C$15, $E$9, 100%, $G$9) + CHOOSE(CONTROL!$C$38, 0.0347, 0)</f>
        <v>48.880800000000001</v>
      </c>
      <c r="I730" s="10">
        <f>48.8477 * CHOOSE(CONTROL!$C$15, $E$9, 100%, $G$9) + CHOOSE(CONTROL!$C$38, 0.0347, 0)</f>
        <v>48.882400000000004</v>
      </c>
      <c r="J730" s="26">
        <f>326.469</f>
        <v>326.46899999999999</v>
      </c>
    </row>
    <row r="731" spans="1:10" ht="15.75" x14ac:dyDescent="0.25">
      <c r="A731" s="13">
        <v>63554</v>
      </c>
      <c r="B731" s="10">
        <f>53.5327 * CHOOSE(CONTROL!$C$15, $E$9, 100%, $G$9) + CHOOSE(CONTROL!$C$38, 0.0256, 0)</f>
        <v>53.558299999999996</v>
      </c>
      <c r="C731" s="10">
        <f>49.4438 * CHOOSE(CONTROL!$C$15, $E$9, 100%, $G$9) + CHOOSE(CONTROL!$C$38, 0.0347, 0)</f>
        <v>49.478500000000004</v>
      </c>
      <c r="D731" s="10">
        <f>49.4359 * CHOOSE(CONTROL!$C$15, $E$9, 100%, $G$9) + CHOOSE(CONTROL!$C$38, 0.0347, 0)</f>
        <v>49.470599999999997</v>
      </c>
      <c r="E731" s="28">
        <f>53.3764 * CHOOSE(CONTROL!$C$15, $E$9, 100%, $G$9) + CHOOSE(CONTROL!$C$38, 0.0347, 0)</f>
        <v>53.411099999999998</v>
      </c>
      <c r="F731" s="27">
        <f>53.3764 * CHOOSE(CONTROL!$C$15, $E$9, 100%, $G$9) + CHOOSE(CONTROL!$C$38, 0.0256, 0)</f>
        <v>53.401999999999994</v>
      </c>
      <c r="G731" s="10">
        <f>49.4422 * CHOOSE(CONTROL!$C$15, $E$9, 100%, $G$9) + CHOOSE(CONTROL!$C$38, 0.0347, 0)</f>
        <v>49.476900000000001</v>
      </c>
      <c r="H731" s="10">
        <f>49.4422 * CHOOSE(CONTROL!$C$15, $E$9, 100%, $G$9) + CHOOSE(CONTROL!$C$38, 0.0347, 0)</f>
        <v>49.476900000000001</v>
      </c>
      <c r="I731" s="10">
        <f>49.4438 * CHOOSE(CONTROL!$C$15, $E$9, 100%, $G$9) + CHOOSE(CONTROL!$C$38, 0.0347, 0)</f>
        <v>49.478500000000004</v>
      </c>
      <c r="J731" s="26">
        <f>316.781</f>
        <v>316.78100000000001</v>
      </c>
    </row>
    <row r="732" spans="1:10" ht="15.75" x14ac:dyDescent="0.25">
      <c r="A732" s="13">
        <v>63585</v>
      </c>
      <c r="B732" s="10">
        <f>54.9285 * CHOOSE(CONTROL!$C$15, $E$9, 100%, $G$9) + CHOOSE(CONTROL!$C$38, 0.0256, 0)</f>
        <v>54.954099999999997</v>
      </c>
      <c r="C732" s="10">
        <f>50.7701 * CHOOSE(CONTROL!$C$15, $E$9, 100%, $G$9) + CHOOSE(CONTROL!$C$38, 0.0347, 0)</f>
        <v>50.8048</v>
      </c>
      <c r="D732" s="10">
        <f>50.7622 * CHOOSE(CONTROL!$C$15, $E$9, 100%, $G$9) + CHOOSE(CONTROL!$C$38, 0.0347, 0)</f>
        <v>50.796900000000001</v>
      </c>
      <c r="E732" s="28">
        <f>54.7722 * CHOOSE(CONTROL!$C$15, $E$9, 100%, $G$9) + CHOOSE(CONTROL!$C$38, 0.0347, 0)</f>
        <v>54.806899999999999</v>
      </c>
      <c r="F732" s="27">
        <f>54.7722 * CHOOSE(CONTROL!$C$15, $E$9, 100%, $G$9) + CHOOSE(CONTROL!$C$38, 0.0256, 0)</f>
        <v>54.797799999999995</v>
      </c>
      <c r="G732" s="10">
        <f>50.7685 * CHOOSE(CONTROL!$C$15, $E$9, 100%, $G$9) + CHOOSE(CONTROL!$C$38, 0.0347, 0)</f>
        <v>50.803200000000004</v>
      </c>
      <c r="H732" s="10">
        <f>50.7685 * CHOOSE(CONTROL!$C$15, $E$9, 100%, $G$9) + CHOOSE(CONTROL!$C$38, 0.0347, 0)</f>
        <v>50.803200000000004</v>
      </c>
      <c r="I732" s="10">
        <f>50.7701 * CHOOSE(CONTROL!$C$15, $E$9, 100%, $G$9) + CHOOSE(CONTROL!$C$38, 0.0347, 0)</f>
        <v>50.8048</v>
      </c>
      <c r="J732" s="26">
        <f>314.6591</f>
        <v>314.65910000000002</v>
      </c>
    </row>
    <row r="733" spans="1:10" ht="15.75" x14ac:dyDescent="0.25">
      <c r="A733" s="13">
        <v>63613</v>
      </c>
      <c r="B733" s="10">
        <f>55.1492 * CHOOSE(CONTROL!$C$15, $E$9, 100%, $G$9) + CHOOSE(CONTROL!$C$38, 0.0256, 0)</f>
        <v>55.174799999999998</v>
      </c>
      <c r="C733" s="10">
        <f>50.9908 * CHOOSE(CONTROL!$C$15, $E$9, 100%, $G$9) + CHOOSE(CONTROL!$C$38, 0.0347, 0)</f>
        <v>51.025500000000001</v>
      </c>
      <c r="D733" s="10">
        <f>50.983 * CHOOSE(CONTROL!$C$15, $E$9, 100%, $G$9) + CHOOSE(CONTROL!$C$38, 0.0347, 0)</f>
        <v>51.017699999999998</v>
      </c>
      <c r="E733" s="28">
        <f>54.993 * CHOOSE(CONTROL!$C$15, $E$9, 100%, $G$9) + CHOOSE(CONTROL!$C$38, 0.0347, 0)</f>
        <v>55.027700000000003</v>
      </c>
      <c r="F733" s="27">
        <f>54.993 * CHOOSE(CONTROL!$C$15, $E$9, 100%, $G$9) + CHOOSE(CONTROL!$C$38, 0.0256, 0)</f>
        <v>55.018599999999999</v>
      </c>
      <c r="G733" s="10">
        <f>50.9893 * CHOOSE(CONTROL!$C$15, $E$9, 100%, $G$9) + CHOOSE(CONTROL!$C$38, 0.0347, 0)</f>
        <v>51.024000000000001</v>
      </c>
      <c r="H733" s="10">
        <f>50.9893 * CHOOSE(CONTROL!$C$15, $E$9, 100%, $G$9) + CHOOSE(CONTROL!$C$38, 0.0347, 0)</f>
        <v>51.024000000000001</v>
      </c>
      <c r="I733" s="10">
        <f>50.9908 * CHOOSE(CONTROL!$C$15, $E$9, 100%, $G$9) + CHOOSE(CONTROL!$C$38, 0.0347, 0)</f>
        <v>51.025500000000001</v>
      </c>
      <c r="J733" s="26">
        <f>313.7845</f>
        <v>313.78449999999998</v>
      </c>
    </row>
    <row r="734" spans="1:10" ht="15.75" x14ac:dyDescent="0.25">
      <c r="A734" s="13">
        <v>63644</v>
      </c>
      <c r="B734" s="10">
        <f>54.6382 * CHOOSE(CONTROL!$C$15, $E$9, 100%, $G$9) + CHOOSE(CONTROL!$C$38, 0.0256, 0)</f>
        <v>54.663799999999995</v>
      </c>
      <c r="C734" s="10">
        <f>50.4798 * CHOOSE(CONTROL!$C$15, $E$9, 100%, $G$9) + CHOOSE(CONTROL!$C$38, 0.0347, 0)</f>
        <v>50.514499999999998</v>
      </c>
      <c r="D734" s="10">
        <f>50.472 * CHOOSE(CONTROL!$C$15, $E$9, 100%, $G$9) + CHOOSE(CONTROL!$C$38, 0.0347, 0)</f>
        <v>50.506700000000002</v>
      </c>
      <c r="E734" s="28">
        <f>54.482 * CHOOSE(CONTROL!$C$15, $E$9, 100%, $G$9) + CHOOSE(CONTROL!$C$38, 0.0347, 0)</f>
        <v>54.5167</v>
      </c>
      <c r="F734" s="27">
        <f>54.482 * CHOOSE(CONTROL!$C$15, $E$9, 100%, $G$9) + CHOOSE(CONTROL!$C$38, 0.0256, 0)</f>
        <v>54.507599999999996</v>
      </c>
      <c r="G734" s="10">
        <f>50.4782 * CHOOSE(CONTROL!$C$15, $E$9, 100%, $G$9) + CHOOSE(CONTROL!$C$38, 0.0347, 0)</f>
        <v>50.512900000000002</v>
      </c>
      <c r="H734" s="10">
        <f>50.4782 * CHOOSE(CONTROL!$C$15, $E$9, 100%, $G$9) + CHOOSE(CONTROL!$C$38, 0.0347, 0)</f>
        <v>50.512900000000002</v>
      </c>
      <c r="I734" s="10">
        <f>50.4798 * CHOOSE(CONTROL!$C$15, $E$9, 100%, $G$9) + CHOOSE(CONTROL!$C$38, 0.0347, 0)</f>
        <v>50.514499999999998</v>
      </c>
      <c r="J734" s="26">
        <f>330.3227</f>
        <v>330.3227</v>
      </c>
    </row>
    <row r="735" spans="1:10" ht="15.75" x14ac:dyDescent="0.25">
      <c r="A735" s="13">
        <v>63674</v>
      </c>
      <c r="B735" s="10">
        <f>54.143 * CHOOSE(CONTROL!$C$15, $E$9, 100%, $G$9) + CHOOSE(CONTROL!$C$38, 0.0256, 0)</f>
        <v>54.168599999999998</v>
      </c>
      <c r="C735" s="10">
        <f>49.9846 * CHOOSE(CONTROL!$C$15, $E$9, 100%, $G$9) + CHOOSE(CONTROL!$C$38, 0.0347, 0)</f>
        <v>50.019300000000001</v>
      </c>
      <c r="D735" s="10">
        <f>49.9768 * CHOOSE(CONTROL!$C$15, $E$9, 100%, $G$9) + CHOOSE(CONTROL!$C$38, 0.0347, 0)</f>
        <v>50.011499999999998</v>
      </c>
      <c r="E735" s="28">
        <f>53.9868 * CHOOSE(CONTROL!$C$15, $E$9, 100%, $G$9) + CHOOSE(CONTROL!$C$38, 0.0347, 0)</f>
        <v>54.021500000000003</v>
      </c>
      <c r="F735" s="27">
        <f>53.9868 * CHOOSE(CONTROL!$C$15, $E$9, 100%, $G$9) + CHOOSE(CONTROL!$C$38, 0.0256, 0)</f>
        <v>54.0124</v>
      </c>
      <c r="G735" s="10">
        <f>49.983 * CHOOSE(CONTROL!$C$15, $E$9, 100%, $G$9) + CHOOSE(CONTROL!$C$38, 0.0347, 0)</f>
        <v>50.017699999999998</v>
      </c>
      <c r="H735" s="10">
        <f>49.983 * CHOOSE(CONTROL!$C$15, $E$9, 100%, $G$9) + CHOOSE(CONTROL!$C$38, 0.0347, 0)</f>
        <v>50.017699999999998</v>
      </c>
      <c r="I735" s="10">
        <f>49.9846 * CHOOSE(CONTROL!$C$15, $E$9, 100%, $G$9) + CHOOSE(CONTROL!$C$38, 0.0347, 0)</f>
        <v>50.019300000000001</v>
      </c>
      <c r="J735" s="26">
        <f>351.7689</f>
        <v>351.76889999999997</v>
      </c>
    </row>
    <row r="736" spans="1:10" ht="15.75" x14ac:dyDescent="0.25">
      <c r="A736" s="13">
        <v>63705</v>
      </c>
      <c r="B736" s="10">
        <f>53.6269 * CHOOSE(CONTROL!$C$15, $E$9, 100%, $G$9) + CHOOSE(CONTROL!$C$38, 0.0256, 0)</f>
        <v>53.652499999999996</v>
      </c>
      <c r="C736" s="10">
        <f>49.4685 * CHOOSE(CONTROL!$C$15, $E$9, 100%, $G$9) + CHOOSE(CONTROL!$C$38, 0.0347, 0)</f>
        <v>49.5032</v>
      </c>
      <c r="D736" s="10">
        <f>49.4607 * CHOOSE(CONTROL!$C$15, $E$9, 100%, $G$9) + CHOOSE(CONTROL!$C$38, 0.0347, 0)</f>
        <v>49.495400000000004</v>
      </c>
      <c r="E736" s="28">
        <f>53.4707 * CHOOSE(CONTROL!$C$15, $E$9, 100%, $G$9) + CHOOSE(CONTROL!$C$38, 0.0347, 0)</f>
        <v>53.505400000000002</v>
      </c>
      <c r="F736" s="27">
        <f>53.4707 * CHOOSE(CONTROL!$C$15, $E$9, 100%, $G$9) + CHOOSE(CONTROL!$C$38, 0.0256, 0)</f>
        <v>53.496299999999998</v>
      </c>
      <c r="G736" s="10">
        <f>49.4669 * CHOOSE(CONTROL!$C$15, $E$9, 100%, $G$9) + CHOOSE(CONTROL!$C$38, 0.0347, 0)</f>
        <v>49.501600000000003</v>
      </c>
      <c r="H736" s="10">
        <f>49.4669 * CHOOSE(CONTROL!$C$15, $E$9, 100%, $G$9) + CHOOSE(CONTROL!$C$38, 0.0347, 0)</f>
        <v>49.501600000000003</v>
      </c>
      <c r="I736" s="10">
        <f>49.4685 * CHOOSE(CONTROL!$C$15, $E$9, 100%, $G$9) + CHOOSE(CONTROL!$C$38, 0.0347, 0)</f>
        <v>49.5032</v>
      </c>
      <c r="J736" s="26">
        <f>363.5735</f>
        <v>363.57350000000002</v>
      </c>
    </row>
    <row r="737" spans="1:10" ht="15.75" x14ac:dyDescent="0.25">
      <c r="A737" s="13">
        <v>63735</v>
      </c>
      <c r="B737" s="10">
        <f>53.2651 * CHOOSE(CONTROL!$C$15, $E$9, 100%, $G$9) + CHOOSE(CONTROL!$C$38, 0.0256, 0)</f>
        <v>53.290699999999994</v>
      </c>
      <c r="C737" s="10">
        <f>49.1067 * CHOOSE(CONTROL!$C$15, $E$9, 100%, $G$9) + CHOOSE(CONTROL!$C$38, 0.0347, 0)</f>
        <v>49.141399999999997</v>
      </c>
      <c r="D737" s="10">
        <f>49.0988 * CHOOSE(CONTROL!$C$15, $E$9, 100%, $G$9) + CHOOSE(CONTROL!$C$38, 0.0347, 0)</f>
        <v>49.133499999999998</v>
      </c>
      <c r="E737" s="28">
        <f>53.1088 * CHOOSE(CONTROL!$C$15, $E$9, 100%, $G$9) + CHOOSE(CONTROL!$C$38, 0.0347, 0)</f>
        <v>53.143500000000003</v>
      </c>
      <c r="F737" s="27">
        <f>53.1088 * CHOOSE(CONTROL!$C$15, $E$9, 100%, $G$9) + CHOOSE(CONTROL!$C$38, 0.0256, 0)</f>
        <v>53.134399999999999</v>
      </c>
      <c r="G737" s="10">
        <f>49.1051 * CHOOSE(CONTROL!$C$15, $E$9, 100%, $G$9) + CHOOSE(CONTROL!$C$38, 0.0347, 0)</f>
        <v>49.139800000000001</v>
      </c>
      <c r="H737" s="10">
        <f>49.1051 * CHOOSE(CONTROL!$C$15, $E$9, 100%, $G$9) + CHOOSE(CONTROL!$C$38, 0.0347, 0)</f>
        <v>49.139800000000001</v>
      </c>
      <c r="I737" s="10">
        <f>49.1067 * CHOOSE(CONTROL!$C$15, $E$9, 100%, $G$9) + CHOOSE(CONTROL!$C$38, 0.0347, 0)</f>
        <v>49.141399999999997</v>
      </c>
      <c r="J737" s="26">
        <f>368.8122</f>
        <v>368.81220000000002</v>
      </c>
    </row>
    <row r="738" spans="1:10" ht="15.75" x14ac:dyDescent="0.25">
      <c r="A738" s="13">
        <v>63766</v>
      </c>
      <c r="B738" s="10">
        <f>53.0586 * CHOOSE(CONTROL!$C$15, $E$9, 100%, $G$9) + CHOOSE(CONTROL!$C$38, 0.0256, 0)</f>
        <v>53.084199999999996</v>
      </c>
      <c r="C738" s="10">
        <f>48.9002 * CHOOSE(CONTROL!$C$15, $E$9, 100%, $G$9) + CHOOSE(CONTROL!$C$38, 0.0347, 0)</f>
        <v>48.934899999999999</v>
      </c>
      <c r="D738" s="10">
        <f>48.8924 * CHOOSE(CONTROL!$C$15, $E$9, 100%, $G$9) + CHOOSE(CONTROL!$C$38, 0.0347, 0)</f>
        <v>48.927100000000003</v>
      </c>
      <c r="E738" s="28">
        <f>52.9023 * CHOOSE(CONTROL!$C$15, $E$9, 100%, $G$9) + CHOOSE(CONTROL!$C$38, 0.0347, 0)</f>
        <v>52.936999999999998</v>
      </c>
      <c r="F738" s="27">
        <f>52.9023 * CHOOSE(CONTROL!$C$15, $E$9, 100%, $G$9) + CHOOSE(CONTROL!$C$38, 0.0256, 0)</f>
        <v>52.927899999999994</v>
      </c>
      <c r="G738" s="10">
        <f>48.8986 * CHOOSE(CONTROL!$C$15, $E$9, 100%, $G$9) + CHOOSE(CONTROL!$C$38, 0.0347, 0)</f>
        <v>48.933300000000003</v>
      </c>
      <c r="H738" s="10">
        <f>48.8986 * CHOOSE(CONTROL!$C$15, $E$9, 100%, $G$9) + CHOOSE(CONTROL!$C$38, 0.0347, 0)</f>
        <v>48.933300000000003</v>
      </c>
      <c r="I738" s="10">
        <f>48.9002 * CHOOSE(CONTROL!$C$15, $E$9, 100%, $G$9) + CHOOSE(CONTROL!$C$38, 0.0347, 0)</f>
        <v>48.934899999999999</v>
      </c>
      <c r="J738" s="26">
        <f>367.0874</f>
        <v>367.0874</v>
      </c>
    </row>
    <row r="739" spans="1:10" ht="15.75" x14ac:dyDescent="0.25">
      <c r="A739" s="13">
        <v>63797</v>
      </c>
      <c r="B739" s="10">
        <f>53.1605 * CHOOSE(CONTROL!$C$15, $E$9, 100%, $G$9) + CHOOSE(CONTROL!$C$38, 0.0256, 0)</f>
        <v>53.186099999999996</v>
      </c>
      <c r="C739" s="10">
        <f>49.0021 * CHOOSE(CONTROL!$C$15, $E$9, 100%, $G$9) + CHOOSE(CONTROL!$C$38, 0.0347, 0)</f>
        <v>49.036799999999999</v>
      </c>
      <c r="D739" s="10">
        <f>48.9943 * CHOOSE(CONTROL!$C$15, $E$9, 100%, $G$9) + CHOOSE(CONTROL!$C$38, 0.0347, 0)</f>
        <v>49.029000000000003</v>
      </c>
      <c r="E739" s="28">
        <f>53.0042 * CHOOSE(CONTROL!$C$15, $E$9, 100%, $G$9) + CHOOSE(CONTROL!$C$38, 0.0347, 0)</f>
        <v>53.038899999999998</v>
      </c>
      <c r="F739" s="27">
        <f>53.0042 * CHOOSE(CONTROL!$C$15, $E$9, 100%, $G$9) + CHOOSE(CONTROL!$C$38, 0.0256, 0)</f>
        <v>53.029799999999994</v>
      </c>
      <c r="G739" s="10">
        <f>49.0005 * CHOOSE(CONTROL!$C$15, $E$9, 100%, $G$9) + CHOOSE(CONTROL!$C$38, 0.0347, 0)</f>
        <v>49.035200000000003</v>
      </c>
      <c r="H739" s="10">
        <f>49.0005 * CHOOSE(CONTROL!$C$15, $E$9, 100%, $G$9) + CHOOSE(CONTROL!$C$38, 0.0347, 0)</f>
        <v>49.035200000000003</v>
      </c>
      <c r="I739" s="10">
        <f>49.0021 * CHOOSE(CONTROL!$C$15, $E$9, 100%, $G$9) + CHOOSE(CONTROL!$C$38, 0.0347, 0)</f>
        <v>49.036799999999999</v>
      </c>
      <c r="J739" s="26">
        <f>358.5418</f>
        <v>358.54180000000002</v>
      </c>
    </row>
    <row r="740" spans="1:10" ht="15.75" x14ac:dyDescent="0.25">
      <c r="A740" s="13">
        <v>63827</v>
      </c>
      <c r="B740" s="10">
        <f>53.4373 * CHOOSE(CONTROL!$C$15, $E$9, 100%, $G$9) + CHOOSE(CONTROL!$C$38, 0.0256, 0)</f>
        <v>53.462899999999998</v>
      </c>
      <c r="C740" s="10">
        <f>49.2789 * CHOOSE(CONTROL!$C$15, $E$9, 100%, $G$9) + CHOOSE(CONTROL!$C$38, 0.0347, 0)</f>
        <v>49.313600000000001</v>
      </c>
      <c r="D740" s="10">
        <f>49.2711 * CHOOSE(CONTROL!$C$15, $E$9, 100%, $G$9) + CHOOSE(CONTROL!$C$38, 0.0347, 0)</f>
        <v>49.305799999999998</v>
      </c>
      <c r="E740" s="28">
        <f>53.281 * CHOOSE(CONTROL!$C$15, $E$9, 100%, $G$9) + CHOOSE(CONTROL!$C$38, 0.0347, 0)</f>
        <v>53.3157</v>
      </c>
      <c r="F740" s="27">
        <f>53.281 * CHOOSE(CONTROL!$C$15, $E$9, 100%, $G$9) + CHOOSE(CONTROL!$C$38, 0.0256, 0)</f>
        <v>53.306599999999996</v>
      </c>
      <c r="G740" s="10">
        <f>49.2773 * CHOOSE(CONTROL!$C$15, $E$9, 100%, $G$9) + CHOOSE(CONTROL!$C$38, 0.0347, 0)</f>
        <v>49.311999999999998</v>
      </c>
      <c r="H740" s="10">
        <f>49.2773 * CHOOSE(CONTROL!$C$15, $E$9, 100%, $G$9) + CHOOSE(CONTROL!$C$38, 0.0347, 0)</f>
        <v>49.311999999999998</v>
      </c>
      <c r="I740" s="10">
        <f>49.2789 * CHOOSE(CONTROL!$C$15, $E$9, 100%, $G$9) + CHOOSE(CONTROL!$C$38, 0.0347, 0)</f>
        <v>49.313600000000001</v>
      </c>
      <c r="J740" s="26">
        <f>346.6245</f>
        <v>346.62450000000001</v>
      </c>
    </row>
    <row r="741" spans="1:10" ht="15.75" x14ac:dyDescent="0.25">
      <c r="A741" s="13">
        <v>63858</v>
      </c>
      <c r="B741" s="10">
        <f>53.6691 * CHOOSE(CONTROL!$C$15, $E$9, 100%, $G$9) + CHOOSE(CONTROL!$C$38, 0.0256, 0)</f>
        <v>53.694699999999997</v>
      </c>
      <c r="C741" s="10">
        <f>49.5107 * CHOOSE(CONTROL!$C$15, $E$9, 100%, $G$9) + CHOOSE(CONTROL!$C$38, 0.0347, 0)</f>
        <v>49.545400000000001</v>
      </c>
      <c r="D741" s="10">
        <f>49.5029 * CHOOSE(CONTROL!$C$15, $E$9, 100%, $G$9) + CHOOSE(CONTROL!$C$38, 0.0347, 0)</f>
        <v>49.537599999999998</v>
      </c>
      <c r="E741" s="28">
        <f>53.5129 * CHOOSE(CONTROL!$C$15, $E$9, 100%, $G$9) + CHOOSE(CONTROL!$C$38, 0.0347, 0)</f>
        <v>53.547600000000003</v>
      </c>
      <c r="F741" s="27">
        <f>53.5129 * CHOOSE(CONTROL!$C$15, $E$9, 100%, $G$9) + CHOOSE(CONTROL!$C$38, 0.0256, 0)</f>
        <v>53.538499999999999</v>
      </c>
      <c r="G741" s="10">
        <f>49.5091 * CHOOSE(CONTROL!$C$15, $E$9, 100%, $G$9) + CHOOSE(CONTROL!$C$38, 0.0347, 0)</f>
        <v>49.543799999999997</v>
      </c>
      <c r="H741" s="10">
        <f>49.5091 * CHOOSE(CONTROL!$C$15, $E$9, 100%, $G$9) + CHOOSE(CONTROL!$C$38, 0.0347, 0)</f>
        <v>49.543799999999997</v>
      </c>
      <c r="I741" s="10">
        <f>49.5107 * CHOOSE(CONTROL!$C$15, $E$9, 100%, $G$9) + CHOOSE(CONTROL!$C$38, 0.0347, 0)</f>
        <v>49.545400000000001</v>
      </c>
      <c r="J741" s="26">
        <f>334.6378</f>
        <v>334.63780000000003</v>
      </c>
    </row>
    <row r="742" spans="1:10" ht="15.75" x14ac:dyDescent="0.25">
      <c r="A742" s="13">
        <v>63888</v>
      </c>
      <c r="B742" s="10">
        <f>53.8626 * CHOOSE(CONTROL!$C$15, $E$9, 100%, $G$9) + CHOOSE(CONTROL!$C$38, 0.0256, 0)</f>
        <v>53.888199999999998</v>
      </c>
      <c r="C742" s="10">
        <f>49.7041 * CHOOSE(CONTROL!$C$15, $E$9, 100%, $G$9) + CHOOSE(CONTROL!$C$38, 0.0347, 0)</f>
        <v>49.738799999999998</v>
      </c>
      <c r="D742" s="10">
        <f>49.6963 * CHOOSE(CONTROL!$C$15, $E$9, 100%, $G$9) + CHOOSE(CONTROL!$C$38, 0.0347, 0)</f>
        <v>49.731000000000002</v>
      </c>
      <c r="E742" s="28">
        <f>53.7063 * CHOOSE(CONTROL!$C$15, $E$9, 100%, $G$9) + CHOOSE(CONTROL!$C$38, 0.0347, 0)</f>
        <v>53.741</v>
      </c>
      <c r="F742" s="27">
        <f>53.7063 * CHOOSE(CONTROL!$C$15, $E$9, 100%, $G$9) + CHOOSE(CONTROL!$C$38, 0.0256, 0)</f>
        <v>53.731899999999996</v>
      </c>
      <c r="G742" s="10">
        <f>49.7026 * CHOOSE(CONTROL!$C$15, $E$9, 100%, $G$9) + CHOOSE(CONTROL!$C$38, 0.0347, 0)</f>
        <v>49.737299999999998</v>
      </c>
      <c r="H742" s="10">
        <f>49.7026 * CHOOSE(CONTROL!$C$15, $E$9, 100%, $G$9) + CHOOSE(CONTROL!$C$38, 0.0347, 0)</f>
        <v>49.737299999999998</v>
      </c>
      <c r="I742" s="10">
        <f>49.7041 * CHOOSE(CONTROL!$C$15, $E$9, 100%, $G$9) + CHOOSE(CONTROL!$C$38, 0.0347, 0)</f>
        <v>49.738799999999998</v>
      </c>
      <c r="J742" s="26">
        <f>332.2535</f>
        <v>332.25349999999997</v>
      </c>
    </row>
    <row r="743" spans="1:10" ht="15.75" x14ac:dyDescent="0.25">
      <c r="A743" s="13">
        <v>63919</v>
      </c>
      <c r="B743" s="10">
        <f>54.4586 * CHOOSE(CONTROL!$C$15, $E$9, 100%, $G$9) + CHOOSE(CONTROL!$C$38, 0.0256, 0)</f>
        <v>54.484199999999994</v>
      </c>
      <c r="C743" s="10">
        <f>50.3002 * CHOOSE(CONTROL!$C$15, $E$9, 100%, $G$9) + CHOOSE(CONTROL!$C$38, 0.0347, 0)</f>
        <v>50.334899999999998</v>
      </c>
      <c r="D743" s="10">
        <f>50.2924 * CHOOSE(CONTROL!$C$15, $E$9, 100%, $G$9) + CHOOSE(CONTROL!$C$38, 0.0347, 0)</f>
        <v>50.327100000000002</v>
      </c>
      <c r="E743" s="28">
        <f>54.3024 * CHOOSE(CONTROL!$C$15, $E$9, 100%, $G$9) + CHOOSE(CONTROL!$C$38, 0.0347, 0)</f>
        <v>54.3371</v>
      </c>
      <c r="F743" s="27">
        <f>54.3024 * CHOOSE(CONTROL!$C$15, $E$9, 100%, $G$9) + CHOOSE(CONTROL!$C$38, 0.0256, 0)</f>
        <v>54.327999999999996</v>
      </c>
      <c r="G743" s="10">
        <f>50.2986 * CHOOSE(CONTROL!$C$15, $E$9, 100%, $G$9) + CHOOSE(CONTROL!$C$38, 0.0347, 0)</f>
        <v>50.333300000000001</v>
      </c>
      <c r="H743" s="10">
        <f>50.2986 * CHOOSE(CONTROL!$C$15, $E$9, 100%, $G$9) + CHOOSE(CONTROL!$C$38, 0.0347, 0)</f>
        <v>50.333300000000001</v>
      </c>
      <c r="I743" s="10">
        <f>50.3002 * CHOOSE(CONTROL!$C$15, $E$9, 100%, $G$9) + CHOOSE(CONTROL!$C$38, 0.0347, 0)</f>
        <v>50.334899999999998</v>
      </c>
      <c r="J743" s="26">
        <f>322.3938</f>
        <v>322.3938</v>
      </c>
    </row>
    <row r="744" spans="1:10" ht="15.75" x14ac:dyDescent="0.25">
      <c r="A744" s="13">
        <v>63950</v>
      </c>
      <c r="B744" s="10">
        <f>55.8708 * CHOOSE(CONTROL!$C$15, $E$9, 100%, $G$9) + CHOOSE(CONTROL!$C$38, 0.0256, 0)</f>
        <v>55.8964</v>
      </c>
      <c r="C744" s="10">
        <f>51.6416 * CHOOSE(CONTROL!$C$15, $E$9, 100%, $G$9) + CHOOSE(CONTROL!$C$38, 0.0347, 0)</f>
        <v>51.676299999999998</v>
      </c>
      <c r="D744" s="10">
        <f>51.6338 * CHOOSE(CONTROL!$C$15, $E$9, 100%, $G$9) + CHOOSE(CONTROL!$C$38, 0.0347, 0)</f>
        <v>51.668500000000002</v>
      </c>
      <c r="E744" s="28">
        <f>55.7145 * CHOOSE(CONTROL!$C$15, $E$9, 100%, $G$9) + CHOOSE(CONTROL!$C$38, 0.0347, 0)</f>
        <v>55.749200000000002</v>
      </c>
      <c r="F744" s="27">
        <f>55.7145 * CHOOSE(CONTROL!$C$15, $E$9, 100%, $G$9) + CHOOSE(CONTROL!$C$38, 0.0256, 0)</f>
        <v>55.740099999999998</v>
      </c>
      <c r="G744" s="10">
        <f>51.6401 * CHOOSE(CONTROL!$C$15, $E$9, 100%, $G$9) + CHOOSE(CONTROL!$C$38, 0.0347, 0)</f>
        <v>51.674799999999998</v>
      </c>
      <c r="H744" s="10">
        <f>51.6401 * CHOOSE(CONTROL!$C$15, $E$9, 100%, $G$9) + CHOOSE(CONTROL!$C$38, 0.0347, 0)</f>
        <v>51.674799999999998</v>
      </c>
      <c r="I744" s="10">
        <f>51.6416 * CHOOSE(CONTROL!$C$15, $E$9, 100%, $G$9) + CHOOSE(CONTROL!$C$38, 0.0347, 0)</f>
        <v>51.676299999999998</v>
      </c>
      <c r="J744" s="26">
        <f>320.2343</f>
        <v>320.23430000000002</v>
      </c>
    </row>
    <row r="745" spans="1:10" ht="15.75" x14ac:dyDescent="0.25">
      <c r="A745" s="13">
        <v>63978</v>
      </c>
      <c r="B745" s="10">
        <f>56.0915 * CHOOSE(CONTROL!$C$15, $E$9, 100%, $G$9) + CHOOSE(CONTROL!$C$38, 0.0256, 0)</f>
        <v>56.117100000000001</v>
      </c>
      <c r="C745" s="10">
        <f>51.8624 * CHOOSE(CONTROL!$C$15, $E$9, 100%, $G$9) + CHOOSE(CONTROL!$C$38, 0.0347, 0)</f>
        <v>51.897100000000002</v>
      </c>
      <c r="D745" s="10">
        <f>51.8546 * CHOOSE(CONTROL!$C$15, $E$9, 100%, $G$9) + CHOOSE(CONTROL!$C$38, 0.0347, 0)</f>
        <v>51.889299999999999</v>
      </c>
      <c r="E745" s="28">
        <f>55.9353 * CHOOSE(CONTROL!$C$15, $E$9, 100%, $G$9) + CHOOSE(CONTROL!$C$38, 0.0347, 0)</f>
        <v>55.97</v>
      </c>
      <c r="F745" s="27">
        <f>55.9353 * CHOOSE(CONTROL!$C$15, $E$9, 100%, $G$9) + CHOOSE(CONTROL!$C$38, 0.0256, 0)</f>
        <v>55.960899999999995</v>
      </c>
      <c r="G745" s="10">
        <f>51.8608 * CHOOSE(CONTROL!$C$15, $E$9, 100%, $G$9) + CHOOSE(CONTROL!$C$38, 0.0347, 0)</f>
        <v>51.895499999999998</v>
      </c>
      <c r="H745" s="10">
        <f>51.8608 * CHOOSE(CONTROL!$C$15, $E$9, 100%, $G$9) + CHOOSE(CONTROL!$C$38, 0.0347, 0)</f>
        <v>51.895499999999998</v>
      </c>
      <c r="I745" s="10">
        <f>51.8624 * CHOOSE(CONTROL!$C$15, $E$9, 100%, $G$9) + CHOOSE(CONTROL!$C$38, 0.0347, 0)</f>
        <v>51.897100000000002</v>
      </c>
      <c r="J745" s="26">
        <f>319.3441</f>
        <v>319.34410000000003</v>
      </c>
    </row>
    <row r="746" spans="1:10" ht="15.75" x14ac:dyDescent="0.25">
      <c r="A746" s="13">
        <v>64009</v>
      </c>
      <c r="B746" s="10">
        <f>55.5805 * CHOOSE(CONTROL!$C$15, $E$9, 100%, $G$9) + CHOOSE(CONTROL!$C$38, 0.0256, 0)</f>
        <v>55.606099999999998</v>
      </c>
      <c r="C746" s="10">
        <f>51.3514 * CHOOSE(CONTROL!$C$15, $E$9, 100%, $G$9) + CHOOSE(CONTROL!$C$38, 0.0347, 0)</f>
        <v>51.386099999999999</v>
      </c>
      <c r="D746" s="10">
        <f>51.3436 * CHOOSE(CONTROL!$C$15, $E$9, 100%, $G$9) + CHOOSE(CONTROL!$C$38, 0.0347, 0)</f>
        <v>51.378300000000003</v>
      </c>
      <c r="E746" s="28">
        <f>55.4242 * CHOOSE(CONTROL!$C$15, $E$9, 100%, $G$9) + CHOOSE(CONTROL!$C$38, 0.0347, 0)</f>
        <v>55.4589</v>
      </c>
      <c r="F746" s="27">
        <f>55.4242 * CHOOSE(CONTROL!$C$15, $E$9, 100%, $G$9) + CHOOSE(CONTROL!$C$38, 0.0256, 0)</f>
        <v>55.449799999999996</v>
      </c>
      <c r="G746" s="10">
        <f>51.3498 * CHOOSE(CONTROL!$C$15, $E$9, 100%, $G$9) + CHOOSE(CONTROL!$C$38, 0.0347, 0)</f>
        <v>51.384500000000003</v>
      </c>
      <c r="H746" s="10">
        <f>51.3498 * CHOOSE(CONTROL!$C$15, $E$9, 100%, $G$9) + CHOOSE(CONTROL!$C$38, 0.0347, 0)</f>
        <v>51.384500000000003</v>
      </c>
      <c r="I746" s="10">
        <f>51.3514 * CHOOSE(CONTROL!$C$15, $E$9, 100%, $G$9) + CHOOSE(CONTROL!$C$38, 0.0347, 0)</f>
        <v>51.386099999999999</v>
      </c>
      <c r="J746" s="26">
        <f>336.1754</f>
        <v>336.17540000000002</v>
      </c>
    </row>
    <row r="747" spans="1:10" ht="15.75" x14ac:dyDescent="0.25">
      <c r="A747" s="13">
        <v>64039</v>
      </c>
      <c r="B747" s="10">
        <f>55.0853 * CHOOSE(CONTROL!$C$15, $E$9, 100%, $G$9) + CHOOSE(CONTROL!$C$38, 0.0256, 0)</f>
        <v>55.110899999999994</v>
      </c>
      <c r="C747" s="10">
        <f>50.8562 * CHOOSE(CONTROL!$C$15, $E$9, 100%, $G$9) + CHOOSE(CONTROL!$C$38, 0.0347, 0)</f>
        <v>50.890900000000002</v>
      </c>
      <c r="D747" s="10">
        <f>50.8484 * CHOOSE(CONTROL!$C$15, $E$9, 100%, $G$9) + CHOOSE(CONTROL!$C$38, 0.0347, 0)</f>
        <v>50.883099999999999</v>
      </c>
      <c r="E747" s="28">
        <f>54.9291 * CHOOSE(CONTROL!$C$15, $E$9, 100%, $G$9) + CHOOSE(CONTROL!$C$38, 0.0347, 0)</f>
        <v>54.963799999999999</v>
      </c>
      <c r="F747" s="27">
        <f>54.9291 * CHOOSE(CONTROL!$C$15, $E$9, 100%, $G$9) + CHOOSE(CONTROL!$C$38, 0.0256, 0)</f>
        <v>54.954699999999995</v>
      </c>
      <c r="G747" s="10">
        <f>50.8546 * CHOOSE(CONTROL!$C$15, $E$9, 100%, $G$9) + CHOOSE(CONTROL!$C$38, 0.0347, 0)</f>
        <v>50.889299999999999</v>
      </c>
      <c r="H747" s="10">
        <f>50.8546 * CHOOSE(CONTROL!$C$15, $E$9, 100%, $G$9) + CHOOSE(CONTROL!$C$38, 0.0347, 0)</f>
        <v>50.889299999999999</v>
      </c>
      <c r="I747" s="10">
        <f>50.8562 * CHOOSE(CONTROL!$C$15, $E$9, 100%, $G$9) + CHOOSE(CONTROL!$C$38, 0.0347, 0)</f>
        <v>50.890900000000002</v>
      </c>
      <c r="J747" s="26">
        <f>358.0016</f>
        <v>358.0016</v>
      </c>
    </row>
    <row r="748" spans="1:10" ht="15.75" x14ac:dyDescent="0.25">
      <c r="A748" s="13">
        <v>64070</v>
      </c>
      <c r="B748" s="10">
        <f>54.5692 * CHOOSE(CONTROL!$C$15, $E$9, 100%, $G$9) + CHOOSE(CONTROL!$C$38, 0.0256, 0)</f>
        <v>54.594799999999999</v>
      </c>
      <c r="C748" s="10">
        <f>50.3401 * CHOOSE(CONTROL!$C$15, $E$9, 100%, $G$9) + CHOOSE(CONTROL!$C$38, 0.0347, 0)</f>
        <v>50.3748</v>
      </c>
      <c r="D748" s="10">
        <f>50.3323 * CHOOSE(CONTROL!$C$15, $E$9, 100%, $G$9) + CHOOSE(CONTROL!$C$38, 0.0347, 0)</f>
        <v>50.366999999999997</v>
      </c>
      <c r="E748" s="28">
        <f>54.413 * CHOOSE(CONTROL!$C$15, $E$9, 100%, $G$9) + CHOOSE(CONTROL!$C$38, 0.0347, 0)</f>
        <v>54.447699999999998</v>
      </c>
      <c r="F748" s="27">
        <f>54.413 * CHOOSE(CONTROL!$C$15, $E$9, 100%, $G$9) + CHOOSE(CONTROL!$C$38, 0.0256, 0)</f>
        <v>54.438599999999994</v>
      </c>
      <c r="G748" s="10">
        <f>50.3385 * CHOOSE(CONTROL!$C$15, $E$9, 100%, $G$9) + CHOOSE(CONTROL!$C$38, 0.0347, 0)</f>
        <v>50.373200000000004</v>
      </c>
      <c r="H748" s="10">
        <f>50.3385 * CHOOSE(CONTROL!$C$15, $E$9, 100%, $G$9) + CHOOSE(CONTROL!$C$38, 0.0347, 0)</f>
        <v>50.373200000000004</v>
      </c>
      <c r="I748" s="10">
        <f>50.3401 * CHOOSE(CONTROL!$C$15, $E$9, 100%, $G$9) + CHOOSE(CONTROL!$C$38, 0.0347, 0)</f>
        <v>50.3748</v>
      </c>
      <c r="J748" s="26">
        <f>370.0154</f>
        <v>370.0154</v>
      </c>
    </row>
    <row r="749" spans="1:10" ht="15.75" x14ac:dyDescent="0.25">
      <c r="A749" s="13">
        <v>64100</v>
      </c>
      <c r="B749" s="10">
        <f>54.2074 * CHOOSE(CONTROL!$C$15, $E$9, 100%, $G$9) + CHOOSE(CONTROL!$C$38, 0.0256, 0)</f>
        <v>54.232999999999997</v>
      </c>
      <c r="C749" s="10">
        <f>49.9782 * CHOOSE(CONTROL!$C$15, $E$9, 100%, $G$9) + CHOOSE(CONTROL!$C$38, 0.0347, 0)</f>
        <v>50.012900000000002</v>
      </c>
      <c r="D749" s="10">
        <f>49.9704 * CHOOSE(CONTROL!$C$15, $E$9, 100%, $G$9) + CHOOSE(CONTROL!$C$38, 0.0347, 0)</f>
        <v>50.005099999999999</v>
      </c>
      <c r="E749" s="28">
        <f>54.0511 * CHOOSE(CONTROL!$C$15, $E$9, 100%, $G$9) + CHOOSE(CONTROL!$C$38, 0.0347, 0)</f>
        <v>54.085799999999999</v>
      </c>
      <c r="F749" s="27">
        <f>54.0511 * CHOOSE(CONTROL!$C$15, $E$9, 100%, $G$9) + CHOOSE(CONTROL!$C$38, 0.0256, 0)</f>
        <v>54.076699999999995</v>
      </c>
      <c r="G749" s="10">
        <f>49.9767 * CHOOSE(CONTROL!$C$15, $E$9, 100%, $G$9) + CHOOSE(CONTROL!$C$38, 0.0347, 0)</f>
        <v>50.011400000000002</v>
      </c>
      <c r="H749" s="10">
        <f>49.9767 * CHOOSE(CONTROL!$C$15, $E$9, 100%, $G$9) + CHOOSE(CONTROL!$C$38, 0.0347, 0)</f>
        <v>50.011400000000002</v>
      </c>
      <c r="I749" s="10">
        <f>49.9782 * CHOOSE(CONTROL!$C$15, $E$9, 100%, $G$9) + CHOOSE(CONTROL!$C$38, 0.0347, 0)</f>
        <v>50.012900000000002</v>
      </c>
      <c r="J749" s="26">
        <f>375.3469</f>
        <v>375.34690000000001</v>
      </c>
    </row>
    <row r="750" spans="1:10" ht="15.75" x14ac:dyDescent="0.25">
      <c r="A750" s="13">
        <v>64131</v>
      </c>
      <c r="B750" s="10">
        <f>54.0009 * CHOOSE(CONTROL!$C$15, $E$9, 100%, $G$9) + CHOOSE(CONTROL!$C$38, 0.0256, 0)</f>
        <v>54.026499999999999</v>
      </c>
      <c r="C750" s="10">
        <f>49.7718 * CHOOSE(CONTROL!$C$15, $E$9, 100%, $G$9) + CHOOSE(CONTROL!$C$38, 0.0347, 0)</f>
        <v>49.8065</v>
      </c>
      <c r="D750" s="10">
        <f>49.7639 * CHOOSE(CONTROL!$C$15, $E$9, 100%, $G$9) + CHOOSE(CONTROL!$C$38, 0.0347, 0)</f>
        <v>49.7986</v>
      </c>
      <c r="E750" s="28">
        <f>53.8446 * CHOOSE(CONTROL!$C$15, $E$9, 100%, $G$9) + CHOOSE(CONTROL!$C$38, 0.0347, 0)</f>
        <v>53.879300000000001</v>
      </c>
      <c r="F750" s="27">
        <f>53.8446 * CHOOSE(CONTROL!$C$15, $E$9, 100%, $G$9) + CHOOSE(CONTROL!$C$38, 0.0256, 0)</f>
        <v>53.870199999999997</v>
      </c>
      <c r="G750" s="10">
        <f>49.7702 * CHOOSE(CONTROL!$C$15, $E$9, 100%, $G$9) + CHOOSE(CONTROL!$C$38, 0.0347, 0)</f>
        <v>49.804900000000004</v>
      </c>
      <c r="H750" s="10">
        <f>49.7702 * CHOOSE(CONTROL!$C$15, $E$9, 100%, $G$9) + CHOOSE(CONTROL!$C$38, 0.0347, 0)</f>
        <v>49.804900000000004</v>
      </c>
      <c r="I750" s="10">
        <f>49.7718 * CHOOSE(CONTROL!$C$15, $E$9, 100%, $G$9) + CHOOSE(CONTROL!$C$38, 0.0347, 0)</f>
        <v>49.8065</v>
      </c>
      <c r="J750" s="26">
        <f>373.5915</f>
        <v>373.5915</v>
      </c>
    </row>
    <row r="751" spans="1:10" ht="15.75" x14ac:dyDescent="0.25">
      <c r="A751" s="13">
        <v>64162</v>
      </c>
      <c r="B751" s="10">
        <f>54.1028 * CHOOSE(CONTROL!$C$15, $E$9, 100%, $G$9) + CHOOSE(CONTROL!$C$38, 0.0256, 0)</f>
        <v>54.128399999999999</v>
      </c>
      <c r="C751" s="10">
        <f>49.8737 * CHOOSE(CONTROL!$C$15, $E$9, 100%, $G$9) + CHOOSE(CONTROL!$C$38, 0.0347, 0)</f>
        <v>49.9084</v>
      </c>
      <c r="D751" s="10">
        <f>49.8658 * CHOOSE(CONTROL!$C$15, $E$9, 100%, $G$9) + CHOOSE(CONTROL!$C$38, 0.0347, 0)</f>
        <v>49.900500000000001</v>
      </c>
      <c r="E751" s="28">
        <f>53.9465 * CHOOSE(CONTROL!$C$15, $E$9, 100%, $G$9) + CHOOSE(CONTROL!$C$38, 0.0347, 0)</f>
        <v>53.981200000000001</v>
      </c>
      <c r="F751" s="27">
        <f>53.9465 * CHOOSE(CONTROL!$C$15, $E$9, 100%, $G$9) + CHOOSE(CONTROL!$C$38, 0.0256, 0)</f>
        <v>53.972099999999998</v>
      </c>
      <c r="G751" s="10">
        <f>49.8721 * CHOOSE(CONTROL!$C$15, $E$9, 100%, $G$9) + CHOOSE(CONTROL!$C$38, 0.0347, 0)</f>
        <v>49.906800000000004</v>
      </c>
      <c r="H751" s="10">
        <f>49.8721 * CHOOSE(CONTROL!$C$15, $E$9, 100%, $G$9) + CHOOSE(CONTROL!$C$38, 0.0347, 0)</f>
        <v>49.906800000000004</v>
      </c>
      <c r="I751" s="10">
        <f>49.8737 * CHOOSE(CONTROL!$C$15, $E$9, 100%, $G$9) + CHOOSE(CONTROL!$C$38, 0.0347, 0)</f>
        <v>49.9084</v>
      </c>
      <c r="J751" s="26">
        <f>364.8945</f>
        <v>364.89449999999999</v>
      </c>
    </row>
    <row r="752" spans="1:10" ht="15.75" x14ac:dyDescent="0.25">
      <c r="A752" s="13">
        <v>64192</v>
      </c>
      <c r="B752" s="10">
        <f>54.3796 * CHOOSE(CONTROL!$C$15, $E$9, 100%, $G$9) + CHOOSE(CONTROL!$C$38, 0.0256, 0)</f>
        <v>54.405200000000001</v>
      </c>
      <c r="C752" s="10">
        <f>50.1505 * CHOOSE(CONTROL!$C$15, $E$9, 100%, $G$9) + CHOOSE(CONTROL!$C$38, 0.0347, 0)</f>
        <v>50.185200000000002</v>
      </c>
      <c r="D752" s="10">
        <f>50.1426 * CHOOSE(CONTROL!$C$15, $E$9, 100%, $G$9) + CHOOSE(CONTROL!$C$38, 0.0347, 0)</f>
        <v>50.177300000000002</v>
      </c>
      <c r="E752" s="28">
        <f>54.2233 * CHOOSE(CONTROL!$C$15, $E$9, 100%, $G$9) + CHOOSE(CONTROL!$C$38, 0.0347, 0)</f>
        <v>54.258000000000003</v>
      </c>
      <c r="F752" s="27">
        <f>54.2233 * CHOOSE(CONTROL!$C$15, $E$9, 100%, $G$9) + CHOOSE(CONTROL!$C$38, 0.0256, 0)</f>
        <v>54.248899999999999</v>
      </c>
      <c r="G752" s="10">
        <f>50.1489 * CHOOSE(CONTROL!$C$15, $E$9, 100%, $G$9) + CHOOSE(CONTROL!$C$38, 0.0347, 0)</f>
        <v>50.183599999999998</v>
      </c>
      <c r="H752" s="10">
        <f>50.1489 * CHOOSE(CONTROL!$C$15, $E$9, 100%, $G$9) + CHOOSE(CONTROL!$C$38, 0.0347, 0)</f>
        <v>50.183599999999998</v>
      </c>
      <c r="I752" s="10">
        <f>50.1505 * CHOOSE(CONTROL!$C$15, $E$9, 100%, $G$9) + CHOOSE(CONTROL!$C$38, 0.0347, 0)</f>
        <v>50.185200000000002</v>
      </c>
      <c r="J752" s="26">
        <f>352.766</f>
        <v>352.76600000000002</v>
      </c>
    </row>
    <row r="753" spans="1:10" ht="15.75" x14ac:dyDescent="0.25">
      <c r="A753" s="13">
        <v>64223</v>
      </c>
      <c r="B753" s="10">
        <f>54.6114 * CHOOSE(CONTROL!$C$15, $E$9, 100%, $G$9) + CHOOSE(CONTROL!$C$38, 0.0256, 0)</f>
        <v>54.637</v>
      </c>
      <c r="C753" s="10">
        <f>50.3823 * CHOOSE(CONTROL!$C$15, $E$9, 100%, $G$9) + CHOOSE(CONTROL!$C$38, 0.0347, 0)</f>
        <v>50.417000000000002</v>
      </c>
      <c r="D753" s="10">
        <f>50.3745 * CHOOSE(CONTROL!$C$15, $E$9, 100%, $G$9) + CHOOSE(CONTROL!$C$38, 0.0347, 0)</f>
        <v>50.409199999999998</v>
      </c>
      <c r="E753" s="28">
        <f>54.4552 * CHOOSE(CONTROL!$C$15, $E$9, 100%, $G$9) + CHOOSE(CONTROL!$C$38, 0.0347, 0)</f>
        <v>54.489899999999999</v>
      </c>
      <c r="F753" s="27">
        <f>54.4552 * CHOOSE(CONTROL!$C$15, $E$9, 100%, $G$9) + CHOOSE(CONTROL!$C$38, 0.0256, 0)</f>
        <v>54.480799999999995</v>
      </c>
      <c r="G753" s="10">
        <f>50.3807 * CHOOSE(CONTROL!$C$15, $E$9, 100%, $G$9) + CHOOSE(CONTROL!$C$38, 0.0347, 0)</f>
        <v>50.415399999999998</v>
      </c>
      <c r="H753" s="10">
        <f>50.3807 * CHOOSE(CONTROL!$C$15, $E$9, 100%, $G$9) + CHOOSE(CONTROL!$C$38, 0.0347, 0)</f>
        <v>50.415399999999998</v>
      </c>
      <c r="I753" s="10">
        <f>50.3823 * CHOOSE(CONTROL!$C$15, $E$9, 100%, $G$9) + CHOOSE(CONTROL!$C$38, 0.0347, 0)</f>
        <v>50.417000000000002</v>
      </c>
      <c r="J753" s="26">
        <f>340.567</f>
        <v>340.56700000000001</v>
      </c>
    </row>
    <row r="754" spans="1:10" ht="15.75" x14ac:dyDescent="0.25">
      <c r="A754" s="13">
        <v>64253</v>
      </c>
      <c r="B754" s="10">
        <f>54.8049 * CHOOSE(CONTROL!$C$15, $E$9, 100%, $G$9) + CHOOSE(CONTROL!$C$38, 0.0256, 0)</f>
        <v>54.830500000000001</v>
      </c>
      <c r="C754" s="10">
        <f>50.5757 * CHOOSE(CONTROL!$C$15, $E$9, 100%, $G$9) + CHOOSE(CONTROL!$C$38, 0.0347, 0)</f>
        <v>50.610399999999998</v>
      </c>
      <c r="D754" s="10">
        <f>50.5679 * CHOOSE(CONTROL!$C$15, $E$9, 100%, $G$9) + CHOOSE(CONTROL!$C$38, 0.0347, 0)</f>
        <v>50.602600000000002</v>
      </c>
      <c r="E754" s="28">
        <f>54.6486 * CHOOSE(CONTROL!$C$15, $E$9, 100%, $G$9) + CHOOSE(CONTROL!$C$38, 0.0347, 0)</f>
        <v>54.683300000000003</v>
      </c>
      <c r="F754" s="27">
        <f>54.6486 * CHOOSE(CONTROL!$C$15, $E$9, 100%, $G$9) + CHOOSE(CONTROL!$C$38, 0.0256, 0)</f>
        <v>54.674199999999999</v>
      </c>
      <c r="G754" s="10">
        <f>50.5742 * CHOOSE(CONTROL!$C$15, $E$9, 100%, $G$9) + CHOOSE(CONTROL!$C$38, 0.0347, 0)</f>
        <v>50.608899999999998</v>
      </c>
      <c r="H754" s="10">
        <f>50.5742 * CHOOSE(CONTROL!$C$15, $E$9, 100%, $G$9) + CHOOSE(CONTROL!$C$38, 0.0347, 0)</f>
        <v>50.608899999999998</v>
      </c>
      <c r="I754" s="10">
        <f>50.5757 * CHOOSE(CONTROL!$C$15, $E$9, 100%, $G$9) + CHOOSE(CONTROL!$C$38, 0.0347, 0)</f>
        <v>50.610399999999998</v>
      </c>
      <c r="J754" s="26">
        <f>338.1404</f>
        <v>338.1404</v>
      </c>
    </row>
    <row r="755" spans="1:10" ht="15.75" x14ac:dyDescent="0.25">
      <c r="A755" s="13">
        <v>64284</v>
      </c>
      <c r="B755" s="10">
        <f>55.4009 * CHOOSE(CONTROL!$C$15, $E$9, 100%, $G$9) + CHOOSE(CONTROL!$C$38, 0.0256, 0)</f>
        <v>55.426499999999997</v>
      </c>
      <c r="C755" s="10">
        <f>51.1718 * CHOOSE(CONTROL!$C$15, $E$9, 100%, $G$9) + CHOOSE(CONTROL!$C$38, 0.0347, 0)</f>
        <v>51.206499999999998</v>
      </c>
      <c r="D755" s="10">
        <f>51.164 * CHOOSE(CONTROL!$C$15, $E$9, 100%, $G$9) + CHOOSE(CONTROL!$C$38, 0.0347, 0)</f>
        <v>51.198700000000002</v>
      </c>
      <c r="E755" s="28">
        <f>55.2447 * CHOOSE(CONTROL!$C$15, $E$9, 100%, $G$9) + CHOOSE(CONTROL!$C$38, 0.0347, 0)</f>
        <v>55.279400000000003</v>
      </c>
      <c r="F755" s="27">
        <f>55.2447 * CHOOSE(CONTROL!$C$15, $E$9, 100%, $G$9) + CHOOSE(CONTROL!$C$38, 0.0256, 0)</f>
        <v>55.270299999999999</v>
      </c>
      <c r="G755" s="10">
        <f>51.1702 * CHOOSE(CONTROL!$C$15, $E$9, 100%, $G$9) + CHOOSE(CONTROL!$C$38, 0.0347, 0)</f>
        <v>51.204900000000002</v>
      </c>
      <c r="H755" s="10">
        <f>51.1702 * CHOOSE(CONTROL!$C$15, $E$9, 100%, $G$9) + CHOOSE(CONTROL!$C$38, 0.0347, 0)</f>
        <v>51.204900000000002</v>
      </c>
      <c r="I755" s="10">
        <f>51.1718 * CHOOSE(CONTROL!$C$15, $E$9, 100%, $G$9) + CHOOSE(CONTROL!$C$38, 0.0347, 0)</f>
        <v>51.206499999999998</v>
      </c>
      <c r="J755" s="26">
        <f>328.106</f>
        <v>328.10599999999999</v>
      </c>
    </row>
    <row r="756" spans="1:10" ht="15.75" x14ac:dyDescent="0.25">
      <c r="A756" s="13">
        <v>64315</v>
      </c>
      <c r="B756" s="10">
        <f>56.8297 * CHOOSE(CONTROL!$C$15, $E$9, 100%, $G$9) + CHOOSE(CONTROL!$C$38, 0.0256, 0)</f>
        <v>56.8553</v>
      </c>
      <c r="C756" s="10">
        <f>52.5286 * CHOOSE(CONTROL!$C$15, $E$9, 100%, $G$9) + CHOOSE(CONTROL!$C$38, 0.0347, 0)</f>
        <v>52.563299999999998</v>
      </c>
      <c r="D756" s="10">
        <f>52.5208 * CHOOSE(CONTROL!$C$15, $E$9, 100%, $G$9) + CHOOSE(CONTROL!$C$38, 0.0347, 0)</f>
        <v>52.555500000000002</v>
      </c>
      <c r="E756" s="28">
        <f>56.6735 * CHOOSE(CONTROL!$C$15, $E$9, 100%, $G$9) + CHOOSE(CONTROL!$C$38, 0.0347, 0)</f>
        <v>56.708199999999998</v>
      </c>
      <c r="F756" s="27">
        <f>56.6735 * CHOOSE(CONTROL!$C$15, $E$9, 100%, $G$9) + CHOOSE(CONTROL!$C$38, 0.0256, 0)</f>
        <v>56.699099999999994</v>
      </c>
      <c r="G756" s="10">
        <f>52.5271 * CHOOSE(CONTROL!$C$15, $E$9, 100%, $G$9) + CHOOSE(CONTROL!$C$38, 0.0347, 0)</f>
        <v>52.561799999999998</v>
      </c>
      <c r="H756" s="10">
        <f>52.5271 * CHOOSE(CONTROL!$C$15, $E$9, 100%, $G$9) + CHOOSE(CONTROL!$C$38, 0.0347, 0)</f>
        <v>52.561799999999998</v>
      </c>
      <c r="I756" s="10">
        <f>52.5286 * CHOOSE(CONTROL!$C$15, $E$9, 100%, $G$9) + CHOOSE(CONTROL!$C$38, 0.0347, 0)</f>
        <v>52.563299999999998</v>
      </c>
      <c r="J756" s="26">
        <f>325.9082</f>
        <v>325.90820000000002</v>
      </c>
    </row>
    <row r="757" spans="1:10" ht="15.75" x14ac:dyDescent="0.25">
      <c r="A757" s="13">
        <v>64344</v>
      </c>
      <c r="B757" s="10">
        <f>57.0505 * CHOOSE(CONTROL!$C$15, $E$9, 100%, $G$9) + CHOOSE(CONTROL!$C$38, 0.0256, 0)</f>
        <v>57.076099999999997</v>
      </c>
      <c r="C757" s="10">
        <f>52.7494 * CHOOSE(CONTROL!$C$15, $E$9, 100%, $G$9) + CHOOSE(CONTROL!$C$38, 0.0347, 0)</f>
        <v>52.784100000000002</v>
      </c>
      <c r="D757" s="10">
        <f>52.7416 * CHOOSE(CONTROL!$C$15, $E$9, 100%, $G$9) + CHOOSE(CONTROL!$C$38, 0.0347, 0)</f>
        <v>52.776299999999999</v>
      </c>
      <c r="E757" s="28">
        <f>56.8942 * CHOOSE(CONTROL!$C$15, $E$9, 100%, $G$9) + CHOOSE(CONTROL!$C$38, 0.0347, 0)</f>
        <v>56.928899999999999</v>
      </c>
      <c r="F757" s="27">
        <f>56.8942 * CHOOSE(CONTROL!$C$15, $E$9, 100%, $G$9) + CHOOSE(CONTROL!$C$38, 0.0256, 0)</f>
        <v>56.919799999999995</v>
      </c>
      <c r="G757" s="10">
        <f>52.7478 * CHOOSE(CONTROL!$C$15, $E$9, 100%, $G$9) + CHOOSE(CONTROL!$C$38, 0.0347, 0)</f>
        <v>52.782499999999999</v>
      </c>
      <c r="H757" s="10">
        <f>52.7478 * CHOOSE(CONTROL!$C$15, $E$9, 100%, $G$9) + CHOOSE(CONTROL!$C$38, 0.0347, 0)</f>
        <v>52.782499999999999</v>
      </c>
      <c r="I757" s="10">
        <f>52.7494 * CHOOSE(CONTROL!$C$15, $E$9, 100%, $G$9) + CHOOSE(CONTROL!$C$38, 0.0347, 0)</f>
        <v>52.784100000000002</v>
      </c>
      <c r="J757" s="26">
        <f>325.0023</f>
        <v>325.00229999999999</v>
      </c>
    </row>
    <row r="758" spans="1:10" ht="15.75" x14ac:dyDescent="0.25">
      <c r="A758" s="13">
        <v>64375</v>
      </c>
      <c r="B758" s="10">
        <f>56.5394 * CHOOSE(CONTROL!$C$15, $E$9, 100%, $G$9) + CHOOSE(CONTROL!$C$38, 0.0256, 0)</f>
        <v>56.564999999999998</v>
      </c>
      <c r="C758" s="10">
        <f>52.2384 * CHOOSE(CONTROL!$C$15, $E$9, 100%, $G$9) + CHOOSE(CONTROL!$C$38, 0.0347, 0)</f>
        <v>52.273099999999999</v>
      </c>
      <c r="D758" s="10">
        <f>52.2305 * CHOOSE(CONTROL!$C$15, $E$9, 100%, $G$9) + CHOOSE(CONTROL!$C$38, 0.0347, 0)</f>
        <v>52.2652</v>
      </c>
      <c r="E758" s="28">
        <f>56.3832 * CHOOSE(CONTROL!$C$15, $E$9, 100%, $G$9) + CHOOSE(CONTROL!$C$38, 0.0347, 0)</f>
        <v>56.417900000000003</v>
      </c>
      <c r="F758" s="27">
        <f>56.3832 * CHOOSE(CONTROL!$C$15, $E$9, 100%, $G$9) + CHOOSE(CONTROL!$C$38, 0.0256, 0)</f>
        <v>56.408799999999999</v>
      </c>
      <c r="G758" s="10">
        <f>52.2368 * CHOOSE(CONTROL!$C$15, $E$9, 100%, $G$9) + CHOOSE(CONTROL!$C$38, 0.0347, 0)</f>
        <v>52.271500000000003</v>
      </c>
      <c r="H758" s="10">
        <f>52.2368 * CHOOSE(CONTROL!$C$15, $E$9, 100%, $G$9) + CHOOSE(CONTROL!$C$38, 0.0347, 0)</f>
        <v>52.271500000000003</v>
      </c>
      <c r="I758" s="10">
        <f>52.2384 * CHOOSE(CONTROL!$C$15, $E$9, 100%, $G$9) + CHOOSE(CONTROL!$C$38, 0.0347, 0)</f>
        <v>52.273099999999999</v>
      </c>
      <c r="J758" s="26">
        <f>342.1318</f>
        <v>342.1318</v>
      </c>
    </row>
    <row r="759" spans="1:10" ht="15.75" x14ac:dyDescent="0.25">
      <c r="A759" s="13">
        <v>64405</v>
      </c>
      <c r="B759" s="10">
        <f>56.0443 * CHOOSE(CONTROL!$C$15, $E$9, 100%, $G$9) + CHOOSE(CONTROL!$C$38, 0.0256, 0)</f>
        <v>56.069899999999997</v>
      </c>
      <c r="C759" s="10">
        <f>51.7432 * CHOOSE(CONTROL!$C$15, $E$9, 100%, $G$9) + CHOOSE(CONTROL!$C$38, 0.0347, 0)</f>
        <v>51.777900000000002</v>
      </c>
      <c r="D759" s="10">
        <f>51.7354 * CHOOSE(CONTROL!$C$15, $E$9, 100%, $G$9) + CHOOSE(CONTROL!$C$38, 0.0347, 0)</f>
        <v>51.770099999999999</v>
      </c>
      <c r="E759" s="28">
        <f>55.888 * CHOOSE(CONTROL!$C$15, $E$9, 100%, $G$9) + CHOOSE(CONTROL!$C$38, 0.0347, 0)</f>
        <v>55.922699999999999</v>
      </c>
      <c r="F759" s="27">
        <f>55.888 * CHOOSE(CONTROL!$C$15, $E$9, 100%, $G$9) + CHOOSE(CONTROL!$C$38, 0.0256, 0)</f>
        <v>55.913599999999995</v>
      </c>
      <c r="G759" s="10">
        <f>51.7416 * CHOOSE(CONTROL!$C$15, $E$9, 100%, $G$9) + CHOOSE(CONTROL!$C$38, 0.0347, 0)</f>
        <v>51.776299999999999</v>
      </c>
      <c r="H759" s="10">
        <f>51.7416 * CHOOSE(CONTROL!$C$15, $E$9, 100%, $G$9) + CHOOSE(CONTROL!$C$38, 0.0347, 0)</f>
        <v>51.776299999999999</v>
      </c>
      <c r="I759" s="10">
        <f>51.7432 * CHOOSE(CONTROL!$C$15, $E$9, 100%, $G$9) + CHOOSE(CONTROL!$C$38, 0.0347, 0)</f>
        <v>51.777900000000002</v>
      </c>
      <c r="J759" s="26">
        <f>364.3447</f>
        <v>364.34469999999999</v>
      </c>
    </row>
    <row r="760" spans="1:10" ht="15.75" x14ac:dyDescent="0.25">
      <c r="A760" s="13">
        <v>64436</v>
      </c>
      <c r="B760" s="10">
        <f>55.5281 * CHOOSE(CONTROL!$C$15, $E$9, 100%, $G$9) + CHOOSE(CONTROL!$C$38, 0.0256, 0)</f>
        <v>55.553699999999999</v>
      </c>
      <c r="C760" s="10">
        <f>51.2271 * CHOOSE(CONTROL!$C$15, $E$9, 100%, $G$9) + CHOOSE(CONTROL!$C$38, 0.0347, 0)</f>
        <v>51.261800000000001</v>
      </c>
      <c r="D760" s="10">
        <f>51.2192 * CHOOSE(CONTROL!$C$15, $E$9, 100%, $G$9) + CHOOSE(CONTROL!$C$38, 0.0347, 0)</f>
        <v>51.253900000000002</v>
      </c>
      <c r="E760" s="28">
        <f>55.3719 * CHOOSE(CONTROL!$C$15, $E$9, 100%, $G$9) + CHOOSE(CONTROL!$C$38, 0.0347, 0)</f>
        <v>55.406599999999997</v>
      </c>
      <c r="F760" s="27">
        <f>55.3719 * CHOOSE(CONTROL!$C$15, $E$9, 100%, $G$9) + CHOOSE(CONTROL!$C$38, 0.0256, 0)</f>
        <v>55.397499999999994</v>
      </c>
      <c r="G760" s="10">
        <f>51.2255 * CHOOSE(CONTROL!$C$15, $E$9, 100%, $G$9) + CHOOSE(CONTROL!$C$38, 0.0347, 0)</f>
        <v>51.260199999999998</v>
      </c>
      <c r="H760" s="10">
        <f>51.2255 * CHOOSE(CONTROL!$C$15, $E$9, 100%, $G$9) + CHOOSE(CONTROL!$C$38, 0.0347, 0)</f>
        <v>51.260199999999998</v>
      </c>
      <c r="I760" s="10">
        <f>51.2271 * CHOOSE(CONTROL!$C$15, $E$9, 100%, $G$9) + CHOOSE(CONTROL!$C$38, 0.0347, 0)</f>
        <v>51.261800000000001</v>
      </c>
      <c r="J760" s="26">
        <f>376.5714</f>
        <v>376.57139999999998</v>
      </c>
    </row>
    <row r="761" spans="1:10" ht="15.75" x14ac:dyDescent="0.25">
      <c r="A761" s="13">
        <v>64466</v>
      </c>
      <c r="B761" s="10">
        <f>55.1663 * CHOOSE(CONTROL!$C$15, $E$9, 100%, $G$9) + CHOOSE(CONTROL!$C$38, 0.0256, 0)</f>
        <v>55.191899999999997</v>
      </c>
      <c r="C761" s="10">
        <f>50.8652 * CHOOSE(CONTROL!$C$15, $E$9, 100%, $G$9) + CHOOSE(CONTROL!$C$38, 0.0347, 0)</f>
        <v>50.899900000000002</v>
      </c>
      <c r="D761" s="10">
        <f>50.8574 * CHOOSE(CONTROL!$C$15, $E$9, 100%, $G$9) + CHOOSE(CONTROL!$C$38, 0.0347, 0)</f>
        <v>50.892099999999999</v>
      </c>
      <c r="E761" s="28">
        <f>55.0101 * CHOOSE(CONTROL!$C$15, $E$9, 100%, $G$9) + CHOOSE(CONTROL!$C$38, 0.0347, 0)</f>
        <v>55.044800000000002</v>
      </c>
      <c r="F761" s="27">
        <f>55.0101 * CHOOSE(CONTROL!$C$15, $E$9, 100%, $G$9) + CHOOSE(CONTROL!$C$38, 0.0256, 0)</f>
        <v>55.035699999999999</v>
      </c>
      <c r="G761" s="10">
        <f>50.8637 * CHOOSE(CONTROL!$C$15, $E$9, 100%, $G$9) + CHOOSE(CONTROL!$C$38, 0.0347, 0)</f>
        <v>50.898400000000002</v>
      </c>
      <c r="H761" s="10">
        <f>50.8637 * CHOOSE(CONTROL!$C$15, $E$9, 100%, $G$9) + CHOOSE(CONTROL!$C$38, 0.0347, 0)</f>
        <v>50.898400000000002</v>
      </c>
      <c r="I761" s="10">
        <f>50.8652 * CHOOSE(CONTROL!$C$15, $E$9, 100%, $G$9) + CHOOSE(CONTROL!$C$38, 0.0347, 0)</f>
        <v>50.899900000000002</v>
      </c>
      <c r="J761" s="26">
        <f>381.9973</f>
        <v>381.9973</v>
      </c>
    </row>
    <row r="762" spans="1:10" ht="15.75" x14ac:dyDescent="0.25">
      <c r="A762" s="13">
        <v>64497</v>
      </c>
      <c r="B762" s="10">
        <f>54.9598 * CHOOSE(CONTROL!$C$15, $E$9, 100%, $G$9) + CHOOSE(CONTROL!$C$38, 0.0256, 0)</f>
        <v>54.985399999999998</v>
      </c>
      <c r="C762" s="10">
        <f>50.6587 * CHOOSE(CONTROL!$C$15, $E$9, 100%, $G$9) + CHOOSE(CONTROL!$C$38, 0.0347, 0)</f>
        <v>50.693400000000004</v>
      </c>
      <c r="D762" s="10">
        <f>50.6509 * CHOOSE(CONTROL!$C$15, $E$9, 100%, $G$9) + CHOOSE(CONTROL!$C$38, 0.0347, 0)</f>
        <v>50.685600000000001</v>
      </c>
      <c r="E762" s="28">
        <f>54.8036 * CHOOSE(CONTROL!$C$15, $E$9, 100%, $G$9) + CHOOSE(CONTROL!$C$38, 0.0347, 0)</f>
        <v>54.838300000000004</v>
      </c>
      <c r="F762" s="27">
        <f>54.8036 * CHOOSE(CONTROL!$C$15, $E$9, 100%, $G$9) + CHOOSE(CONTROL!$C$38, 0.0256, 0)</f>
        <v>54.8292</v>
      </c>
      <c r="G762" s="10">
        <f>50.6572 * CHOOSE(CONTROL!$C$15, $E$9, 100%, $G$9) + CHOOSE(CONTROL!$C$38, 0.0347, 0)</f>
        <v>50.691900000000004</v>
      </c>
      <c r="H762" s="10">
        <f>50.6572 * CHOOSE(CONTROL!$C$15, $E$9, 100%, $G$9) + CHOOSE(CONTROL!$C$38, 0.0347, 0)</f>
        <v>50.691900000000004</v>
      </c>
      <c r="I762" s="10">
        <f>50.6587 * CHOOSE(CONTROL!$C$15, $E$9, 100%, $G$9) + CHOOSE(CONTROL!$C$38, 0.0347, 0)</f>
        <v>50.693400000000004</v>
      </c>
      <c r="J762" s="26">
        <f>380.2109</f>
        <v>380.21089999999998</v>
      </c>
    </row>
    <row r="763" spans="1:10" ht="15.75" x14ac:dyDescent="0.25">
      <c r="A763" s="13">
        <v>64528</v>
      </c>
      <c r="B763" s="10">
        <f>55.0617 * CHOOSE(CONTROL!$C$15, $E$9, 100%, $G$9) + CHOOSE(CONTROL!$C$38, 0.0256, 0)</f>
        <v>55.087299999999999</v>
      </c>
      <c r="C763" s="10">
        <f>50.7606 * CHOOSE(CONTROL!$C$15, $E$9, 100%, $G$9) + CHOOSE(CONTROL!$C$38, 0.0347, 0)</f>
        <v>50.795299999999997</v>
      </c>
      <c r="D763" s="10">
        <f>50.7528 * CHOOSE(CONTROL!$C$15, $E$9, 100%, $G$9) + CHOOSE(CONTROL!$C$38, 0.0347, 0)</f>
        <v>50.787500000000001</v>
      </c>
      <c r="E763" s="28">
        <f>54.9055 * CHOOSE(CONTROL!$C$15, $E$9, 100%, $G$9) + CHOOSE(CONTROL!$C$38, 0.0347, 0)</f>
        <v>54.940200000000004</v>
      </c>
      <c r="F763" s="27">
        <f>54.9055 * CHOOSE(CONTROL!$C$15, $E$9, 100%, $G$9) + CHOOSE(CONTROL!$C$38, 0.0256, 0)</f>
        <v>54.931100000000001</v>
      </c>
      <c r="G763" s="10">
        <f>50.7591 * CHOOSE(CONTROL!$C$15, $E$9, 100%, $G$9) + CHOOSE(CONTROL!$C$38, 0.0347, 0)</f>
        <v>50.793799999999997</v>
      </c>
      <c r="H763" s="10">
        <f>50.7591 * CHOOSE(CONTROL!$C$15, $E$9, 100%, $G$9) + CHOOSE(CONTROL!$C$38, 0.0347, 0)</f>
        <v>50.793799999999997</v>
      </c>
      <c r="I763" s="10">
        <f>50.7606 * CHOOSE(CONTROL!$C$15, $E$9, 100%, $G$9) + CHOOSE(CONTROL!$C$38, 0.0347, 0)</f>
        <v>50.795299999999997</v>
      </c>
      <c r="J763" s="26">
        <f>371.3597</f>
        <v>371.35969999999998</v>
      </c>
    </row>
    <row r="764" spans="1:10" ht="15.75" x14ac:dyDescent="0.25">
      <c r="A764" s="13">
        <v>64558</v>
      </c>
      <c r="B764" s="10">
        <f>55.3385 * CHOOSE(CONTROL!$C$15, $E$9, 100%, $G$9) + CHOOSE(CONTROL!$C$38, 0.0256, 0)</f>
        <v>55.364100000000001</v>
      </c>
      <c r="C764" s="10">
        <f>51.0374 * CHOOSE(CONTROL!$C$15, $E$9, 100%, $G$9) + CHOOSE(CONTROL!$C$38, 0.0347, 0)</f>
        <v>51.072099999999999</v>
      </c>
      <c r="D764" s="10">
        <f>51.0296 * CHOOSE(CONTROL!$C$15, $E$9, 100%, $G$9) + CHOOSE(CONTROL!$C$38, 0.0347, 0)</f>
        <v>51.064300000000003</v>
      </c>
      <c r="E764" s="28">
        <f>55.1823 * CHOOSE(CONTROL!$C$15, $E$9, 100%, $G$9) + CHOOSE(CONTROL!$C$38, 0.0347, 0)</f>
        <v>55.216999999999999</v>
      </c>
      <c r="F764" s="27">
        <f>55.1823 * CHOOSE(CONTROL!$C$15, $E$9, 100%, $G$9) + CHOOSE(CONTROL!$C$38, 0.0256, 0)</f>
        <v>55.207899999999995</v>
      </c>
      <c r="G764" s="10">
        <f>51.0359 * CHOOSE(CONTROL!$C$15, $E$9, 100%, $G$9) + CHOOSE(CONTROL!$C$38, 0.0347, 0)</f>
        <v>51.070599999999999</v>
      </c>
      <c r="H764" s="10">
        <f>51.0359 * CHOOSE(CONTROL!$C$15, $E$9, 100%, $G$9) + CHOOSE(CONTROL!$C$38, 0.0347, 0)</f>
        <v>51.070599999999999</v>
      </c>
      <c r="I764" s="10">
        <f>51.0374 * CHOOSE(CONTROL!$C$15, $E$9, 100%, $G$9) + CHOOSE(CONTROL!$C$38, 0.0347, 0)</f>
        <v>51.072099999999999</v>
      </c>
      <c r="J764" s="26">
        <f>359.0163</f>
        <v>359.0163</v>
      </c>
    </row>
    <row r="765" spans="1:10" ht="15.75" x14ac:dyDescent="0.25">
      <c r="A765" s="13">
        <v>64589</v>
      </c>
      <c r="B765" s="10">
        <f>55.5704 * CHOOSE(CONTROL!$C$15, $E$9, 100%, $G$9) + CHOOSE(CONTROL!$C$38, 0.0256, 0)</f>
        <v>55.595999999999997</v>
      </c>
      <c r="C765" s="10">
        <f>51.2693 * CHOOSE(CONTROL!$C$15, $E$9, 100%, $G$9) + CHOOSE(CONTROL!$C$38, 0.0347, 0)</f>
        <v>51.304000000000002</v>
      </c>
      <c r="D765" s="10">
        <f>51.2615 * CHOOSE(CONTROL!$C$15, $E$9, 100%, $G$9) + CHOOSE(CONTROL!$C$38, 0.0347, 0)</f>
        <v>51.296199999999999</v>
      </c>
      <c r="E765" s="28">
        <f>55.4141 * CHOOSE(CONTROL!$C$15, $E$9, 100%, $G$9) + CHOOSE(CONTROL!$C$38, 0.0347, 0)</f>
        <v>55.448799999999999</v>
      </c>
      <c r="F765" s="27">
        <f>55.4141 * CHOOSE(CONTROL!$C$15, $E$9, 100%, $G$9) + CHOOSE(CONTROL!$C$38, 0.0256, 0)</f>
        <v>55.439699999999995</v>
      </c>
      <c r="G765" s="10">
        <f>51.2677 * CHOOSE(CONTROL!$C$15, $E$9, 100%, $G$9) + CHOOSE(CONTROL!$C$38, 0.0347, 0)</f>
        <v>51.302399999999999</v>
      </c>
      <c r="H765" s="10">
        <f>51.2677 * CHOOSE(CONTROL!$C$15, $E$9, 100%, $G$9) + CHOOSE(CONTROL!$C$38, 0.0347, 0)</f>
        <v>51.302399999999999</v>
      </c>
      <c r="I765" s="10">
        <f>51.2693 * CHOOSE(CONTROL!$C$15, $E$9, 100%, $G$9) + CHOOSE(CONTROL!$C$38, 0.0347, 0)</f>
        <v>51.304000000000002</v>
      </c>
      <c r="J765" s="26">
        <f>346.6012</f>
        <v>346.60120000000001</v>
      </c>
    </row>
    <row r="766" spans="1:10" ht="15.75" x14ac:dyDescent="0.25">
      <c r="A766" s="13">
        <v>64619</v>
      </c>
      <c r="B766" s="10">
        <f>55.7638 * CHOOSE(CONTROL!$C$15, $E$9, 100%, $G$9) + CHOOSE(CONTROL!$C$38, 0.0256, 0)</f>
        <v>55.789400000000001</v>
      </c>
      <c r="C766" s="10">
        <f>51.4627 * CHOOSE(CONTROL!$C$15, $E$9, 100%, $G$9) + CHOOSE(CONTROL!$C$38, 0.0347, 0)</f>
        <v>51.497399999999999</v>
      </c>
      <c r="D766" s="10">
        <f>51.4549 * CHOOSE(CONTROL!$C$15, $E$9, 100%, $G$9) + CHOOSE(CONTROL!$C$38, 0.0347, 0)</f>
        <v>51.489600000000003</v>
      </c>
      <c r="E766" s="28">
        <f>55.6075 * CHOOSE(CONTROL!$C$15, $E$9, 100%, $G$9) + CHOOSE(CONTROL!$C$38, 0.0347, 0)</f>
        <v>55.642200000000003</v>
      </c>
      <c r="F766" s="27">
        <f>55.6075 * CHOOSE(CONTROL!$C$15, $E$9, 100%, $G$9) + CHOOSE(CONTROL!$C$38, 0.0256, 0)</f>
        <v>55.633099999999999</v>
      </c>
      <c r="G766" s="10">
        <f>51.4611 * CHOOSE(CONTROL!$C$15, $E$9, 100%, $G$9) + CHOOSE(CONTROL!$C$38, 0.0347, 0)</f>
        <v>51.495800000000003</v>
      </c>
      <c r="H766" s="10">
        <f>51.4611 * CHOOSE(CONTROL!$C$15, $E$9, 100%, $G$9) + CHOOSE(CONTROL!$C$38, 0.0347, 0)</f>
        <v>51.495800000000003</v>
      </c>
      <c r="I766" s="10">
        <f>51.4627 * CHOOSE(CONTROL!$C$15, $E$9, 100%, $G$9) + CHOOSE(CONTROL!$C$38, 0.0347, 0)</f>
        <v>51.497399999999999</v>
      </c>
      <c r="J766" s="26">
        <f>344.1316</f>
        <v>344.13159999999999</v>
      </c>
    </row>
    <row r="767" spans="1:10" ht="15.75" x14ac:dyDescent="0.25">
      <c r="A767" s="13">
        <v>64650</v>
      </c>
      <c r="B767" s="10">
        <f>56.3599 * CHOOSE(CONTROL!$C$15, $E$9, 100%, $G$9) + CHOOSE(CONTROL!$C$38, 0.0256, 0)</f>
        <v>56.3855</v>
      </c>
      <c r="C767" s="10">
        <f>52.0588 * CHOOSE(CONTROL!$C$15, $E$9, 100%, $G$9) + CHOOSE(CONTROL!$C$38, 0.0347, 0)</f>
        <v>52.093499999999999</v>
      </c>
      <c r="D767" s="10">
        <f>52.051 * CHOOSE(CONTROL!$C$15, $E$9, 100%, $G$9) + CHOOSE(CONTROL!$C$38, 0.0347, 0)</f>
        <v>52.085700000000003</v>
      </c>
      <c r="E767" s="28">
        <f>56.2036 * CHOOSE(CONTROL!$C$15, $E$9, 100%, $G$9) + CHOOSE(CONTROL!$C$38, 0.0347, 0)</f>
        <v>56.238300000000002</v>
      </c>
      <c r="F767" s="27">
        <f>56.2036 * CHOOSE(CONTROL!$C$15, $E$9, 100%, $G$9) + CHOOSE(CONTROL!$C$38, 0.0256, 0)</f>
        <v>56.229199999999999</v>
      </c>
      <c r="G767" s="10">
        <f>52.0572 * CHOOSE(CONTROL!$C$15, $E$9, 100%, $G$9) + CHOOSE(CONTROL!$C$38, 0.0347, 0)</f>
        <v>52.091900000000003</v>
      </c>
      <c r="H767" s="10">
        <f>52.0572 * CHOOSE(CONTROL!$C$15, $E$9, 100%, $G$9) + CHOOSE(CONTROL!$C$38, 0.0347, 0)</f>
        <v>52.091900000000003</v>
      </c>
      <c r="I767" s="10">
        <f>52.0588 * CHOOSE(CONTROL!$C$15, $E$9, 100%, $G$9) + CHOOSE(CONTROL!$C$38, 0.0347, 0)</f>
        <v>52.093499999999999</v>
      </c>
      <c r="J767" s="26">
        <f>333.9194</f>
        <v>333.9194</v>
      </c>
    </row>
    <row r="768" spans="1:10" ht="15.75" x14ac:dyDescent="0.25">
      <c r="A768" s="13">
        <v>64681</v>
      </c>
      <c r="B768" s="10">
        <f>57.8056 * CHOOSE(CONTROL!$C$15, $E$9, 100%, $G$9) + CHOOSE(CONTROL!$C$38, 0.0256, 0)</f>
        <v>57.831199999999995</v>
      </c>
      <c r="C768" s="10">
        <f>53.4313 * CHOOSE(CONTROL!$C$15, $E$9, 100%, $G$9) + CHOOSE(CONTROL!$C$38, 0.0347, 0)</f>
        <v>53.466000000000001</v>
      </c>
      <c r="D768" s="10">
        <f>53.4235 * CHOOSE(CONTROL!$C$15, $E$9, 100%, $G$9) + CHOOSE(CONTROL!$C$38, 0.0347, 0)</f>
        <v>53.458199999999998</v>
      </c>
      <c r="E768" s="28">
        <f>57.6493 * CHOOSE(CONTROL!$C$15, $E$9, 100%, $G$9) + CHOOSE(CONTROL!$C$38, 0.0347, 0)</f>
        <v>57.683999999999997</v>
      </c>
      <c r="F768" s="27">
        <f>57.6493 * CHOOSE(CONTROL!$C$15, $E$9, 100%, $G$9) + CHOOSE(CONTROL!$C$38, 0.0256, 0)</f>
        <v>57.674899999999994</v>
      </c>
      <c r="G768" s="10">
        <f>53.4297 * CHOOSE(CONTROL!$C$15, $E$9, 100%, $G$9) + CHOOSE(CONTROL!$C$38, 0.0347, 0)</f>
        <v>53.464399999999998</v>
      </c>
      <c r="H768" s="10">
        <f>53.4297 * CHOOSE(CONTROL!$C$15, $E$9, 100%, $G$9) + CHOOSE(CONTROL!$C$38, 0.0347, 0)</f>
        <v>53.464399999999998</v>
      </c>
      <c r="I768" s="10">
        <f>53.4313 * CHOOSE(CONTROL!$C$15, $E$9, 100%, $G$9) + CHOOSE(CONTROL!$C$38, 0.0347, 0)</f>
        <v>53.466000000000001</v>
      </c>
      <c r="J768" s="26">
        <f>331.6827</f>
        <v>331.68270000000001</v>
      </c>
    </row>
    <row r="769" spans="1:10" ht="15.75" x14ac:dyDescent="0.25">
      <c r="A769" s="13">
        <v>64709</v>
      </c>
      <c r="B769" s="10">
        <f>58.0264 * CHOOSE(CONTROL!$C$15, $E$9, 100%, $G$9) + CHOOSE(CONTROL!$C$38, 0.0256, 0)</f>
        <v>58.052</v>
      </c>
      <c r="C769" s="10">
        <f>53.652 * CHOOSE(CONTROL!$C$15, $E$9, 100%, $G$9) + CHOOSE(CONTROL!$C$38, 0.0347, 0)</f>
        <v>53.686700000000002</v>
      </c>
      <c r="D769" s="10">
        <f>53.6442 * CHOOSE(CONTROL!$C$15, $E$9, 100%, $G$9) + CHOOSE(CONTROL!$C$38, 0.0347, 0)</f>
        <v>53.678899999999999</v>
      </c>
      <c r="E769" s="28">
        <f>57.8701 * CHOOSE(CONTROL!$C$15, $E$9, 100%, $G$9) + CHOOSE(CONTROL!$C$38, 0.0347, 0)</f>
        <v>57.904800000000002</v>
      </c>
      <c r="F769" s="27">
        <f>57.8701 * CHOOSE(CONTROL!$C$15, $E$9, 100%, $G$9) + CHOOSE(CONTROL!$C$38, 0.0256, 0)</f>
        <v>57.895699999999998</v>
      </c>
      <c r="G769" s="10">
        <f>53.6505 * CHOOSE(CONTROL!$C$15, $E$9, 100%, $G$9) + CHOOSE(CONTROL!$C$38, 0.0347, 0)</f>
        <v>53.685200000000002</v>
      </c>
      <c r="H769" s="10">
        <f>53.6505 * CHOOSE(CONTROL!$C$15, $E$9, 100%, $G$9) + CHOOSE(CONTROL!$C$38, 0.0347, 0)</f>
        <v>53.685200000000002</v>
      </c>
      <c r="I769" s="10">
        <f>53.652 * CHOOSE(CONTROL!$C$15, $E$9, 100%, $G$9) + CHOOSE(CONTROL!$C$38, 0.0347, 0)</f>
        <v>53.686700000000002</v>
      </c>
      <c r="J769" s="26">
        <f>330.7607</f>
        <v>330.76069999999999</v>
      </c>
    </row>
    <row r="770" spans="1:10" ht="15.75" x14ac:dyDescent="0.25">
      <c r="A770" s="13">
        <v>64740</v>
      </c>
      <c r="B770" s="10">
        <f>57.5153 * CHOOSE(CONTROL!$C$15, $E$9, 100%, $G$9) + CHOOSE(CONTROL!$C$38, 0.0256, 0)</f>
        <v>57.540900000000001</v>
      </c>
      <c r="C770" s="10">
        <f>53.141 * CHOOSE(CONTROL!$C$15, $E$9, 100%, $G$9) + CHOOSE(CONTROL!$C$38, 0.0347, 0)</f>
        <v>53.175699999999999</v>
      </c>
      <c r="D770" s="10">
        <f>53.1332 * CHOOSE(CONTROL!$C$15, $E$9, 100%, $G$9) + CHOOSE(CONTROL!$C$38, 0.0347, 0)</f>
        <v>53.167900000000003</v>
      </c>
      <c r="E770" s="28">
        <f>57.3591 * CHOOSE(CONTROL!$C$15, $E$9, 100%, $G$9) + CHOOSE(CONTROL!$C$38, 0.0347, 0)</f>
        <v>57.393799999999999</v>
      </c>
      <c r="F770" s="27">
        <f>57.3591 * CHOOSE(CONTROL!$C$15, $E$9, 100%, $G$9) + CHOOSE(CONTROL!$C$38, 0.0256, 0)</f>
        <v>57.384699999999995</v>
      </c>
      <c r="G770" s="10">
        <f>53.1394 * CHOOSE(CONTROL!$C$15, $E$9, 100%, $G$9) + CHOOSE(CONTROL!$C$38, 0.0347, 0)</f>
        <v>53.174100000000003</v>
      </c>
      <c r="H770" s="10">
        <f>53.1394 * CHOOSE(CONTROL!$C$15, $E$9, 100%, $G$9) + CHOOSE(CONTROL!$C$38, 0.0347, 0)</f>
        <v>53.174100000000003</v>
      </c>
      <c r="I770" s="10">
        <f>53.141 * CHOOSE(CONTROL!$C$15, $E$9, 100%, $G$9) + CHOOSE(CONTROL!$C$38, 0.0347, 0)</f>
        <v>53.175699999999999</v>
      </c>
      <c r="J770" s="26">
        <f>348.1937</f>
        <v>348.19369999999998</v>
      </c>
    </row>
    <row r="771" spans="1:10" ht="15.75" x14ac:dyDescent="0.25">
      <c r="A771" s="13">
        <v>64770</v>
      </c>
      <c r="B771" s="10">
        <f>57.0201 * CHOOSE(CONTROL!$C$15, $E$9, 100%, $G$9) + CHOOSE(CONTROL!$C$38, 0.0256, 0)</f>
        <v>57.045699999999997</v>
      </c>
      <c r="C771" s="10">
        <f>52.6458 * CHOOSE(CONTROL!$C$15, $E$9, 100%, $G$9) + CHOOSE(CONTROL!$C$38, 0.0347, 0)</f>
        <v>52.680500000000002</v>
      </c>
      <c r="D771" s="10">
        <f>52.638 * CHOOSE(CONTROL!$C$15, $E$9, 100%, $G$9) + CHOOSE(CONTROL!$C$38, 0.0347, 0)</f>
        <v>52.672699999999999</v>
      </c>
      <c r="E771" s="28">
        <f>56.8639 * CHOOSE(CONTROL!$C$15, $E$9, 100%, $G$9) + CHOOSE(CONTROL!$C$38, 0.0347, 0)</f>
        <v>56.898600000000002</v>
      </c>
      <c r="F771" s="27">
        <f>56.8639 * CHOOSE(CONTROL!$C$15, $E$9, 100%, $G$9) + CHOOSE(CONTROL!$C$38, 0.0256, 0)</f>
        <v>56.889499999999998</v>
      </c>
      <c r="G771" s="10">
        <f>52.6443 * CHOOSE(CONTROL!$C$15, $E$9, 100%, $G$9) + CHOOSE(CONTROL!$C$38, 0.0347, 0)</f>
        <v>52.679000000000002</v>
      </c>
      <c r="H771" s="10">
        <f>52.6443 * CHOOSE(CONTROL!$C$15, $E$9, 100%, $G$9) + CHOOSE(CONTROL!$C$38, 0.0347, 0)</f>
        <v>52.679000000000002</v>
      </c>
      <c r="I771" s="10">
        <f>52.6458 * CHOOSE(CONTROL!$C$15, $E$9, 100%, $G$9) + CHOOSE(CONTROL!$C$38, 0.0347, 0)</f>
        <v>52.680500000000002</v>
      </c>
      <c r="J771" s="26">
        <f>370.8002</f>
        <v>370.80020000000002</v>
      </c>
    </row>
    <row r="772" spans="1:10" ht="15.75" x14ac:dyDescent="0.25">
      <c r="A772" s="13">
        <v>64801</v>
      </c>
      <c r="B772" s="10">
        <f>56.504 * CHOOSE(CONTROL!$C$15, $E$9, 100%, $G$9) + CHOOSE(CONTROL!$C$38, 0.0256, 0)</f>
        <v>56.529599999999995</v>
      </c>
      <c r="C772" s="10">
        <f>52.1297 * CHOOSE(CONTROL!$C$15, $E$9, 100%, $G$9) + CHOOSE(CONTROL!$C$38, 0.0347, 0)</f>
        <v>52.164400000000001</v>
      </c>
      <c r="D772" s="10">
        <f>52.1219 * CHOOSE(CONTROL!$C$15, $E$9, 100%, $G$9) + CHOOSE(CONTROL!$C$38, 0.0347, 0)</f>
        <v>52.156599999999997</v>
      </c>
      <c r="E772" s="28">
        <f>56.3478 * CHOOSE(CONTROL!$C$15, $E$9, 100%, $G$9) + CHOOSE(CONTROL!$C$38, 0.0347, 0)</f>
        <v>56.3825</v>
      </c>
      <c r="F772" s="27">
        <f>56.3478 * CHOOSE(CONTROL!$C$15, $E$9, 100%, $G$9) + CHOOSE(CONTROL!$C$38, 0.0256, 0)</f>
        <v>56.373399999999997</v>
      </c>
      <c r="G772" s="10">
        <f>52.1282 * CHOOSE(CONTROL!$C$15, $E$9, 100%, $G$9) + CHOOSE(CONTROL!$C$38, 0.0347, 0)</f>
        <v>52.1629</v>
      </c>
      <c r="H772" s="10">
        <f>52.1282 * CHOOSE(CONTROL!$C$15, $E$9, 100%, $G$9) + CHOOSE(CONTROL!$C$38, 0.0347, 0)</f>
        <v>52.1629</v>
      </c>
      <c r="I772" s="10">
        <f>52.1297 * CHOOSE(CONTROL!$C$15, $E$9, 100%, $G$9) + CHOOSE(CONTROL!$C$38, 0.0347, 0)</f>
        <v>52.164400000000001</v>
      </c>
      <c r="J772" s="26">
        <f>383.2435</f>
        <v>383.24349999999998</v>
      </c>
    </row>
    <row r="773" spans="1:10" ht="15.75" x14ac:dyDescent="0.25">
      <c r="A773" s="13">
        <v>64831</v>
      </c>
      <c r="B773" s="10">
        <f>56.1422 * CHOOSE(CONTROL!$C$15, $E$9, 100%, $G$9) + CHOOSE(CONTROL!$C$38, 0.0256, 0)</f>
        <v>56.1678</v>
      </c>
      <c r="C773" s="10">
        <f>51.7679 * CHOOSE(CONTROL!$C$15, $E$9, 100%, $G$9) + CHOOSE(CONTROL!$C$38, 0.0347, 0)</f>
        <v>51.802599999999998</v>
      </c>
      <c r="D773" s="10">
        <f>51.7601 * CHOOSE(CONTROL!$C$15, $E$9, 100%, $G$9) + CHOOSE(CONTROL!$C$38, 0.0347, 0)</f>
        <v>51.794800000000002</v>
      </c>
      <c r="E773" s="28">
        <f>55.986 * CHOOSE(CONTROL!$C$15, $E$9, 100%, $G$9) + CHOOSE(CONTROL!$C$38, 0.0347, 0)</f>
        <v>56.020699999999998</v>
      </c>
      <c r="F773" s="27">
        <f>55.986 * CHOOSE(CONTROL!$C$15, $E$9, 100%, $G$9) + CHOOSE(CONTROL!$C$38, 0.0256, 0)</f>
        <v>56.011599999999994</v>
      </c>
      <c r="G773" s="10">
        <f>51.7663 * CHOOSE(CONTROL!$C$15, $E$9, 100%, $G$9) + CHOOSE(CONTROL!$C$38, 0.0347, 0)</f>
        <v>51.801000000000002</v>
      </c>
      <c r="H773" s="10">
        <f>51.7663 * CHOOSE(CONTROL!$C$15, $E$9, 100%, $G$9) + CHOOSE(CONTROL!$C$38, 0.0347, 0)</f>
        <v>51.801000000000002</v>
      </c>
      <c r="I773" s="10">
        <f>51.7679 * CHOOSE(CONTROL!$C$15, $E$9, 100%, $G$9) + CHOOSE(CONTROL!$C$38, 0.0347, 0)</f>
        <v>51.802599999999998</v>
      </c>
      <c r="J773" s="26">
        <f>388.7656</f>
        <v>388.76560000000001</v>
      </c>
    </row>
    <row r="774" spans="1:10" ht="15.75" x14ac:dyDescent="0.25">
      <c r="A774" s="13">
        <v>64862</v>
      </c>
      <c r="B774" s="10">
        <f>55.9357 * CHOOSE(CONTROL!$C$15, $E$9, 100%, $G$9) + CHOOSE(CONTROL!$C$38, 0.0256, 0)</f>
        <v>55.961299999999994</v>
      </c>
      <c r="C774" s="10">
        <f>51.5614 * CHOOSE(CONTROL!$C$15, $E$9, 100%, $G$9) + CHOOSE(CONTROL!$C$38, 0.0347, 0)</f>
        <v>51.5961</v>
      </c>
      <c r="D774" s="10">
        <f>51.5536 * CHOOSE(CONTROL!$C$15, $E$9, 100%, $G$9) + CHOOSE(CONTROL!$C$38, 0.0347, 0)</f>
        <v>51.588300000000004</v>
      </c>
      <c r="E774" s="28">
        <f>55.7795 * CHOOSE(CONTROL!$C$15, $E$9, 100%, $G$9) + CHOOSE(CONTROL!$C$38, 0.0347, 0)</f>
        <v>55.8142</v>
      </c>
      <c r="F774" s="27">
        <f>55.7795 * CHOOSE(CONTROL!$C$15, $E$9, 100%, $G$9) + CHOOSE(CONTROL!$C$38, 0.0256, 0)</f>
        <v>55.805099999999996</v>
      </c>
      <c r="G774" s="10">
        <f>51.5598 * CHOOSE(CONTROL!$C$15, $E$9, 100%, $G$9) + CHOOSE(CONTROL!$C$38, 0.0347, 0)</f>
        <v>51.594500000000004</v>
      </c>
      <c r="H774" s="10">
        <f>51.5598 * CHOOSE(CONTROL!$C$15, $E$9, 100%, $G$9) + CHOOSE(CONTROL!$C$38, 0.0347, 0)</f>
        <v>51.594500000000004</v>
      </c>
      <c r="I774" s="10">
        <f>51.5614 * CHOOSE(CONTROL!$C$15, $E$9, 100%, $G$9) + CHOOSE(CONTROL!$C$38, 0.0347, 0)</f>
        <v>51.5961</v>
      </c>
      <c r="J774" s="26">
        <f>386.9475</f>
        <v>386.94749999999999</v>
      </c>
    </row>
    <row r="775" spans="1:10" ht="15.75" x14ac:dyDescent="0.25">
      <c r="A775" s="13">
        <v>64893</v>
      </c>
      <c r="B775" s="10">
        <f>56.0376 * CHOOSE(CONTROL!$C$15, $E$9, 100%, $G$9) + CHOOSE(CONTROL!$C$38, 0.0256, 0)</f>
        <v>56.063199999999995</v>
      </c>
      <c r="C775" s="10">
        <f>51.6633 * CHOOSE(CONTROL!$C$15, $E$9, 100%, $G$9) + CHOOSE(CONTROL!$C$38, 0.0347, 0)</f>
        <v>51.698</v>
      </c>
      <c r="D775" s="10">
        <f>51.6555 * CHOOSE(CONTROL!$C$15, $E$9, 100%, $G$9) + CHOOSE(CONTROL!$C$38, 0.0347, 0)</f>
        <v>51.690200000000004</v>
      </c>
      <c r="E775" s="28">
        <f>55.8814 * CHOOSE(CONTROL!$C$15, $E$9, 100%, $G$9) + CHOOSE(CONTROL!$C$38, 0.0347, 0)</f>
        <v>55.9161</v>
      </c>
      <c r="F775" s="27">
        <f>55.8814 * CHOOSE(CONTROL!$C$15, $E$9, 100%, $G$9) + CHOOSE(CONTROL!$C$38, 0.0256, 0)</f>
        <v>55.906999999999996</v>
      </c>
      <c r="G775" s="10">
        <f>51.6617 * CHOOSE(CONTROL!$C$15, $E$9, 100%, $G$9) + CHOOSE(CONTROL!$C$38, 0.0347, 0)</f>
        <v>51.696400000000004</v>
      </c>
      <c r="H775" s="10">
        <f>51.6617 * CHOOSE(CONTROL!$C$15, $E$9, 100%, $G$9) + CHOOSE(CONTROL!$C$38, 0.0347, 0)</f>
        <v>51.696400000000004</v>
      </c>
      <c r="I775" s="10">
        <f>51.6633 * CHOOSE(CONTROL!$C$15, $E$9, 100%, $G$9) + CHOOSE(CONTROL!$C$38, 0.0347, 0)</f>
        <v>51.698</v>
      </c>
      <c r="J775" s="26">
        <f>377.9395</f>
        <v>377.93950000000001</v>
      </c>
    </row>
    <row r="776" spans="1:10" ht="15.75" x14ac:dyDescent="0.25">
      <c r="A776" s="13">
        <v>64923</v>
      </c>
      <c r="B776" s="10">
        <f>56.3144 * CHOOSE(CONTROL!$C$15, $E$9, 100%, $G$9) + CHOOSE(CONTROL!$C$38, 0.0256, 0)</f>
        <v>56.339999999999996</v>
      </c>
      <c r="C776" s="10">
        <f>51.9401 * CHOOSE(CONTROL!$C$15, $E$9, 100%, $G$9) + CHOOSE(CONTROL!$C$38, 0.0347, 0)</f>
        <v>51.974800000000002</v>
      </c>
      <c r="D776" s="10">
        <f>51.9323 * CHOOSE(CONTROL!$C$15, $E$9, 100%, $G$9) + CHOOSE(CONTROL!$C$38, 0.0347, 0)</f>
        <v>51.966999999999999</v>
      </c>
      <c r="E776" s="28">
        <f>56.1582 * CHOOSE(CONTROL!$C$15, $E$9, 100%, $G$9) + CHOOSE(CONTROL!$C$38, 0.0347, 0)</f>
        <v>56.192900000000002</v>
      </c>
      <c r="F776" s="27">
        <f>56.1582 * CHOOSE(CONTROL!$C$15, $E$9, 100%, $G$9) + CHOOSE(CONTROL!$C$38, 0.0256, 0)</f>
        <v>56.183799999999998</v>
      </c>
      <c r="G776" s="10">
        <f>51.9385 * CHOOSE(CONTROL!$C$15, $E$9, 100%, $G$9) + CHOOSE(CONTROL!$C$38, 0.0347, 0)</f>
        <v>51.973199999999999</v>
      </c>
      <c r="H776" s="10">
        <f>51.9385 * CHOOSE(CONTROL!$C$15, $E$9, 100%, $G$9) + CHOOSE(CONTROL!$C$38, 0.0347, 0)</f>
        <v>51.973199999999999</v>
      </c>
      <c r="I776" s="10">
        <f>51.9401 * CHOOSE(CONTROL!$C$15, $E$9, 100%, $G$9) + CHOOSE(CONTROL!$C$38, 0.0347, 0)</f>
        <v>51.974800000000002</v>
      </c>
      <c r="J776" s="26">
        <f>365.3774</f>
        <v>365.37740000000002</v>
      </c>
    </row>
    <row r="777" spans="1:10" ht="15.75" x14ac:dyDescent="0.25">
      <c r="A777" s="13">
        <v>64954</v>
      </c>
      <c r="B777" s="10">
        <f>56.5462 * CHOOSE(CONTROL!$C$15, $E$9, 100%, $G$9) + CHOOSE(CONTROL!$C$38, 0.0256, 0)</f>
        <v>56.571799999999996</v>
      </c>
      <c r="C777" s="10">
        <f>52.1719 * CHOOSE(CONTROL!$C$15, $E$9, 100%, $G$9) + CHOOSE(CONTROL!$C$38, 0.0347, 0)</f>
        <v>52.206600000000002</v>
      </c>
      <c r="D777" s="10">
        <f>52.1641 * CHOOSE(CONTROL!$C$15, $E$9, 100%, $G$9) + CHOOSE(CONTROL!$C$38, 0.0347, 0)</f>
        <v>52.198799999999999</v>
      </c>
      <c r="E777" s="28">
        <f>56.39 * CHOOSE(CONTROL!$C$15, $E$9, 100%, $G$9) + CHOOSE(CONTROL!$C$38, 0.0347, 0)</f>
        <v>56.424700000000001</v>
      </c>
      <c r="F777" s="27">
        <f>56.39 * CHOOSE(CONTROL!$C$15, $E$9, 100%, $G$9) + CHOOSE(CONTROL!$C$38, 0.0256, 0)</f>
        <v>56.415599999999998</v>
      </c>
      <c r="G777" s="10">
        <f>52.1704 * CHOOSE(CONTROL!$C$15, $E$9, 100%, $G$9) + CHOOSE(CONTROL!$C$38, 0.0347, 0)</f>
        <v>52.205100000000002</v>
      </c>
      <c r="H777" s="10">
        <f>52.1704 * CHOOSE(CONTROL!$C$15, $E$9, 100%, $G$9) + CHOOSE(CONTROL!$C$38, 0.0347, 0)</f>
        <v>52.205100000000002</v>
      </c>
      <c r="I777" s="10">
        <f>52.1719 * CHOOSE(CONTROL!$C$15, $E$9, 100%, $G$9) + CHOOSE(CONTROL!$C$38, 0.0347, 0)</f>
        <v>52.206600000000002</v>
      </c>
      <c r="J777" s="26">
        <f>352.7423</f>
        <v>352.7423</v>
      </c>
    </row>
    <row r="778" spans="1:10" ht="15.75" x14ac:dyDescent="0.25">
      <c r="A778" s="13">
        <v>64984</v>
      </c>
      <c r="B778" s="10">
        <f>56.7397 * CHOOSE(CONTROL!$C$15, $E$9, 100%, $G$9) + CHOOSE(CONTROL!$C$38, 0.0256, 0)</f>
        <v>56.765299999999996</v>
      </c>
      <c r="C778" s="10">
        <f>52.3654 * CHOOSE(CONTROL!$C$15, $E$9, 100%, $G$9) + CHOOSE(CONTROL!$C$38, 0.0347, 0)</f>
        <v>52.400100000000002</v>
      </c>
      <c r="D778" s="10">
        <f>52.3575 * CHOOSE(CONTROL!$C$15, $E$9, 100%, $G$9) + CHOOSE(CONTROL!$C$38, 0.0347, 0)</f>
        <v>52.392200000000003</v>
      </c>
      <c r="E778" s="28">
        <f>56.5834 * CHOOSE(CONTROL!$C$15, $E$9, 100%, $G$9) + CHOOSE(CONTROL!$C$38, 0.0347, 0)</f>
        <v>56.618099999999998</v>
      </c>
      <c r="F778" s="27">
        <f>56.5834 * CHOOSE(CONTROL!$C$15, $E$9, 100%, $G$9) + CHOOSE(CONTROL!$C$38, 0.0256, 0)</f>
        <v>56.608999999999995</v>
      </c>
      <c r="G778" s="10">
        <f>52.3638 * CHOOSE(CONTROL!$C$15, $E$9, 100%, $G$9) + CHOOSE(CONTROL!$C$38, 0.0347, 0)</f>
        <v>52.398499999999999</v>
      </c>
      <c r="H778" s="10">
        <f>52.3638 * CHOOSE(CONTROL!$C$15, $E$9, 100%, $G$9) + CHOOSE(CONTROL!$C$38, 0.0347, 0)</f>
        <v>52.398499999999999</v>
      </c>
      <c r="I778" s="10">
        <f>52.3654 * CHOOSE(CONTROL!$C$15, $E$9, 100%, $G$9) + CHOOSE(CONTROL!$C$38, 0.0347, 0)</f>
        <v>52.400100000000002</v>
      </c>
      <c r="J778" s="26">
        <f>350.2289</f>
        <v>350.22890000000001</v>
      </c>
    </row>
    <row r="779" spans="1:10" ht="15.75" x14ac:dyDescent="0.25">
      <c r="A779" s="13">
        <v>65015</v>
      </c>
      <c r="B779" s="10">
        <f>57.3358 * CHOOSE(CONTROL!$C$15, $E$9, 100%, $G$9) + CHOOSE(CONTROL!$C$38, 0.0256, 0)</f>
        <v>57.361399999999996</v>
      </c>
      <c r="C779" s="10">
        <f>52.9614 * CHOOSE(CONTROL!$C$15, $E$9, 100%, $G$9) + CHOOSE(CONTROL!$C$38, 0.0347, 0)</f>
        <v>52.996099999999998</v>
      </c>
      <c r="D779" s="10">
        <f>52.9536 * CHOOSE(CONTROL!$C$15, $E$9, 100%, $G$9) + CHOOSE(CONTROL!$C$38, 0.0347, 0)</f>
        <v>52.988300000000002</v>
      </c>
      <c r="E779" s="28">
        <f>57.1795 * CHOOSE(CONTROL!$C$15, $E$9, 100%, $G$9) + CHOOSE(CONTROL!$C$38, 0.0347, 0)</f>
        <v>57.214199999999998</v>
      </c>
      <c r="F779" s="27">
        <f>57.1795 * CHOOSE(CONTROL!$C$15, $E$9, 100%, $G$9) + CHOOSE(CONTROL!$C$38, 0.0256, 0)</f>
        <v>57.205099999999995</v>
      </c>
      <c r="G779" s="10">
        <f>52.9599 * CHOOSE(CONTROL!$C$15, $E$9, 100%, $G$9) + CHOOSE(CONTROL!$C$38, 0.0347, 0)</f>
        <v>52.994599999999998</v>
      </c>
      <c r="H779" s="10">
        <f>52.9599 * CHOOSE(CONTROL!$C$15, $E$9, 100%, $G$9) + CHOOSE(CONTROL!$C$38, 0.0347, 0)</f>
        <v>52.994599999999998</v>
      </c>
      <c r="I779" s="10">
        <f>52.9614 * CHOOSE(CONTROL!$C$15, $E$9, 100%, $G$9) + CHOOSE(CONTROL!$C$38, 0.0347, 0)</f>
        <v>52.996099999999998</v>
      </c>
      <c r="J779" s="26">
        <f>339.8359</f>
        <v>339.83589999999998</v>
      </c>
    </row>
    <row r="780" spans="1:10" ht="15.75" x14ac:dyDescent="0.25">
      <c r="A780" s="13">
        <v>65046</v>
      </c>
      <c r="B780" s="10">
        <f>58.7987 * CHOOSE(CONTROL!$C$15, $E$9, 100%, $G$9) + CHOOSE(CONTROL!$C$38, 0.0256, 0)</f>
        <v>58.824299999999994</v>
      </c>
      <c r="C780" s="10">
        <f>54.3499 * CHOOSE(CONTROL!$C$15, $E$9, 100%, $G$9) + CHOOSE(CONTROL!$C$38, 0.0347, 0)</f>
        <v>54.384599999999999</v>
      </c>
      <c r="D780" s="10">
        <f>54.3421 * CHOOSE(CONTROL!$C$15, $E$9, 100%, $G$9) + CHOOSE(CONTROL!$C$38, 0.0347, 0)</f>
        <v>54.376800000000003</v>
      </c>
      <c r="E780" s="28">
        <f>58.6425 * CHOOSE(CONTROL!$C$15, $E$9, 100%, $G$9) + CHOOSE(CONTROL!$C$38, 0.0347, 0)</f>
        <v>58.677199999999999</v>
      </c>
      <c r="F780" s="27">
        <f>58.6425 * CHOOSE(CONTROL!$C$15, $E$9, 100%, $G$9) + CHOOSE(CONTROL!$C$38, 0.0256, 0)</f>
        <v>58.668099999999995</v>
      </c>
      <c r="G780" s="10">
        <f>54.3483 * CHOOSE(CONTROL!$C$15, $E$9, 100%, $G$9) + CHOOSE(CONTROL!$C$38, 0.0347, 0)</f>
        <v>54.383000000000003</v>
      </c>
      <c r="H780" s="10">
        <f>54.3483 * CHOOSE(CONTROL!$C$15, $E$9, 100%, $G$9) + CHOOSE(CONTROL!$C$38, 0.0347, 0)</f>
        <v>54.383000000000003</v>
      </c>
      <c r="I780" s="10">
        <f>54.3499 * CHOOSE(CONTROL!$C$15, $E$9, 100%, $G$9) + CHOOSE(CONTROL!$C$38, 0.0347, 0)</f>
        <v>54.384599999999999</v>
      </c>
      <c r="J780" s="26">
        <f>337.5595</f>
        <v>337.55950000000001</v>
      </c>
    </row>
    <row r="781" spans="1:10" ht="15.75" x14ac:dyDescent="0.25">
      <c r="A781" s="13">
        <v>65074</v>
      </c>
      <c r="B781" s="10">
        <f>59.0195 * CHOOSE(CONTROL!$C$15, $E$9, 100%, $G$9) + CHOOSE(CONTROL!$C$38, 0.0256, 0)</f>
        <v>59.045099999999998</v>
      </c>
      <c r="C781" s="10">
        <f>54.5706 * CHOOSE(CONTROL!$C$15, $E$9, 100%, $G$9) + CHOOSE(CONTROL!$C$38, 0.0347, 0)</f>
        <v>54.6053</v>
      </c>
      <c r="D781" s="10">
        <f>54.5628 * CHOOSE(CONTROL!$C$15, $E$9, 100%, $G$9) + CHOOSE(CONTROL!$C$38, 0.0347, 0)</f>
        <v>54.597500000000004</v>
      </c>
      <c r="E781" s="28">
        <f>58.8632 * CHOOSE(CONTROL!$C$15, $E$9, 100%, $G$9) + CHOOSE(CONTROL!$C$38, 0.0347, 0)</f>
        <v>58.8979</v>
      </c>
      <c r="F781" s="27">
        <f>58.8632 * CHOOSE(CONTROL!$C$15, $E$9, 100%, $G$9) + CHOOSE(CONTROL!$C$38, 0.0256, 0)</f>
        <v>58.888799999999996</v>
      </c>
      <c r="G781" s="10">
        <f>54.5691 * CHOOSE(CONTROL!$C$15, $E$9, 100%, $G$9) + CHOOSE(CONTROL!$C$38, 0.0347, 0)</f>
        <v>54.6038</v>
      </c>
      <c r="H781" s="10">
        <f>54.5691 * CHOOSE(CONTROL!$C$15, $E$9, 100%, $G$9) + CHOOSE(CONTROL!$C$38, 0.0347, 0)</f>
        <v>54.6038</v>
      </c>
      <c r="I781" s="10">
        <f>54.5706 * CHOOSE(CONTROL!$C$15, $E$9, 100%, $G$9) + CHOOSE(CONTROL!$C$38, 0.0347, 0)</f>
        <v>54.6053</v>
      </c>
      <c r="J781" s="26">
        <f>336.6212</f>
        <v>336.62119999999999</v>
      </c>
    </row>
    <row r="782" spans="1:10" ht="15.75" x14ac:dyDescent="0.25">
      <c r="A782" s="13">
        <v>65105</v>
      </c>
      <c r="B782" s="10">
        <f>58.5085 * CHOOSE(CONTROL!$C$15, $E$9, 100%, $G$9) + CHOOSE(CONTROL!$C$38, 0.0256, 0)</f>
        <v>58.534099999999995</v>
      </c>
      <c r="C782" s="10">
        <f>54.0596 * CHOOSE(CONTROL!$C$15, $E$9, 100%, $G$9) + CHOOSE(CONTROL!$C$38, 0.0347, 0)</f>
        <v>54.094300000000004</v>
      </c>
      <c r="D782" s="10">
        <f>54.0518 * CHOOSE(CONTROL!$C$15, $E$9, 100%, $G$9) + CHOOSE(CONTROL!$C$38, 0.0347, 0)</f>
        <v>54.086500000000001</v>
      </c>
      <c r="E782" s="28">
        <f>58.3522 * CHOOSE(CONTROL!$C$15, $E$9, 100%, $G$9) + CHOOSE(CONTROL!$C$38, 0.0347, 0)</f>
        <v>58.386900000000004</v>
      </c>
      <c r="F782" s="27">
        <f>58.3522 * CHOOSE(CONTROL!$C$15, $E$9, 100%, $G$9) + CHOOSE(CONTROL!$C$38, 0.0256, 0)</f>
        <v>58.377800000000001</v>
      </c>
      <c r="G782" s="10">
        <f>54.058 * CHOOSE(CONTROL!$C$15, $E$9, 100%, $G$9) + CHOOSE(CONTROL!$C$38, 0.0347, 0)</f>
        <v>54.092700000000001</v>
      </c>
      <c r="H782" s="10">
        <f>54.058 * CHOOSE(CONTROL!$C$15, $E$9, 100%, $G$9) + CHOOSE(CONTROL!$C$38, 0.0347, 0)</f>
        <v>54.092700000000001</v>
      </c>
      <c r="I782" s="10">
        <f>54.0596 * CHOOSE(CONTROL!$C$15, $E$9, 100%, $G$9) + CHOOSE(CONTROL!$C$38, 0.0347, 0)</f>
        <v>54.094300000000004</v>
      </c>
      <c r="J782" s="26">
        <f>354.3631</f>
        <v>354.36309999999997</v>
      </c>
    </row>
    <row r="783" spans="1:10" ht="15.75" x14ac:dyDescent="0.25">
      <c r="A783" s="13">
        <v>65135</v>
      </c>
      <c r="B783" s="10">
        <f>58.0133 * CHOOSE(CONTROL!$C$15, $E$9, 100%, $G$9) + CHOOSE(CONTROL!$C$38, 0.0256, 0)</f>
        <v>58.038899999999998</v>
      </c>
      <c r="C783" s="10">
        <f>53.5644 * CHOOSE(CONTROL!$C$15, $E$9, 100%, $G$9) + CHOOSE(CONTROL!$C$38, 0.0347, 0)</f>
        <v>53.5991</v>
      </c>
      <c r="D783" s="10">
        <f>53.5566 * CHOOSE(CONTROL!$C$15, $E$9, 100%, $G$9) + CHOOSE(CONTROL!$C$38, 0.0347, 0)</f>
        <v>53.591300000000004</v>
      </c>
      <c r="E783" s="28">
        <f>57.857 * CHOOSE(CONTROL!$C$15, $E$9, 100%, $G$9) + CHOOSE(CONTROL!$C$38, 0.0347, 0)</f>
        <v>57.8917</v>
      </c>
      <c r="F783" s="27">
        <f>57.857 * CHOOSE(CONTROL!$C$15, $E$9, 100%, $G$9) + CHOOSE(CONTROL!$C$38, 0.0256, 0)</f>
        <v>57.882599999999996</v>
      </c>
      <c r="G783" s="10">
        <f>53.5629 * CHOOSE(CONTROL!$C$15, $E$9, 100%, $G$9) + CHOOSE(CONTROL!$C$38, 0.0347, 0)</f>
        <v>53.5976</v>
      </c>
      <c r="H783" s="10">
        <f>53.5629 * CHOOSE(CONTROL!$C$15, $E$9, 100%, $G$9) + CHOOSE(CONTROL!$C$38, 0.0347, 0)</f>
        <v>53.5976</v>
      </c>
      <c r="I783" s="10">
        <f>53.5644 * CHOOSE(CONTROL!$C$15, $E$9, 100%, $G$9) + CHOOSE(CONTROL!$C$38, 0.0347, 0)</f>
        <v>53.5991</v>
      </c>
      <c r="J783" s="26">
        <f>377.37</f>
        <v>377.37</v>
      </c>
    </row>
    <row r="784" spans="1:10" ht="15.75" x14ac:dyDescent="0.25">
      <c r="A784" s="13">
        <v>65166</v>
      </c>
      <c r="B784" s="10">
        <f>57.4972 * CHOOSE(CONTROL!$C$15, $E$9, 100%, $G$9) + CHOOSE(CONTROL!$C$38, 0.0256, 0)</f>
        <v>57.522799999999997</v>
      </c>
      <c r="C784" s="10">
        <f>53.0483 * CHOOSE(CONTROL!$C$15, $E$9, 100%, $G$9) + CHOOSE(CONTROL!$C$38, 0.0347, 0)</f>
        <v>53.082999999999998</v>
      </c>
      <c r="D784" s="10">
        <f>53.0405 * CHOOSE(CONTROL!$C$15, $E$9, 100%, $G$9) + CHOOSE(CONTROL!$C$38, 0.0347, 0)</f>
        <v>53.075200000000002</v>
      </c>
      <c r="E784" s="28">
        <f>57.3409 * CHOOSE(CONTROL!$C$15, $E$9, 100%, $G$9) + CHOOSE(CONTROL!$C$38, 0.0347, 0)</f>
        <v>57.375599999999999</v>
      </c>
      <c r="F784" s="27">
        <f>57.3409 * CHOOSE(CONTROL!$C$15, $E$9, 100%, $G$9) + CHOOSE(CONTROL!$C$38, 0.0256, 0)</f>
        <v>57.366499999999995</v>
      </c>
      <c r="G784" s="10">
        <f>53.0468 * CHOOSE(CONTROL!$C$15, $E$9, 100%, $G$9) + CHOOSE(CONTROL!$C$38, 0.0347, 0)</f>
        <v>53.081499999999998</v>
      </c>
      <c r="H784" s="10">
        <f>53.0468 * CHOOSE(CONTROL!$C$15, $E$9, 100%, $G$9) + CHOOSE(CONTROL!$C$38, 0.0347, 0)</f>
        <v>53.081499999999998</v>
      </c>
      <c r="I784" s="10">
        <f>53.0483 * CHOOSE(CONTROL!$C$15, $E$9, 100%, $G$9) + CHOOSE(CONTROL!$C$38, 0.0347, 0)</f>
        <v>53.082999999999998</v>
      </c>
      <c r="J784" s="26">
        <f>390.0338</f>
        <v>390.03379999999999</v>
      </c>
    </row>
    <row r="785" spans="1:10" ht="15.75" x14ac:dyDescent="0.25">
      <c r="A785" s="13">
        <v>65196</v>
      </c>
      <c r="B785" s="10">
        <f>57.1353 * CHOOSE(CONTROL!$C$15, $E$9, 100%, $G$9) + CHOOSE(CONTROL!$C$38, 0.0256, 0)</f>
        <v>57.160899999999998</v>
      </c>
      <c r="C785" s="10">
        <f>52.6865 * CHOOSE(CONTROL!$C$15, $E$9, 100%, $G$9) + CHOOSE(CONTROL!$C$38, 0.0347, 0)</f>
        <v>52.721200000000003</v>
      </c>
      <c r="D785" s="10">
        <f>52.6787 * CHOOSE(CONTROL!$C$15, $E$9, 100%, $G$9) + CHOOSE(CONTROL!$C$38, 0.0347, 0)</f>
        <v>52.7134</v>
      </c>
      <c r="E785" s="28">
        <f>56.9791 * CHOOSE(CONTROL!$C$15, $E$9, 100%, $G$9) + CHOOSE(CONTROL!$C$38, 0.0347, 0)</f>
        <v>57.013800000000003</v>
      </c>
      <c r="F785" s="27">
        <f>56.9791 * CHOOSE(CONTROL!$C$15, $E$9, 100%, $G$9) + CHOOSE(CONTROL!$C$38, 0.0256, 0)</f>
        <v>57.0047</v>
      </c>
      <c r="G785" s="10">
        <f>52.6849 * CHOOSE(CONTROL!$C$15, $E$9, 100%, $G$9) + CHOOSE(CONTROL!$C$38, 0.0347, 0)</f>
        <v>52.7196</v>
      </c>
      <c r="H785" s="10">
        <f>52.6849 * CHOOSE(CONTROL!$C$15, $E$9, 100%, $G$9) + CHOOSE(CONTROL!$C$38, 0.0347, 0)</f>
        <v>52.7196</v>
      </c>
      <c r="I785" s="10">
        <f>52.6865 * CHOOSE(CONTROL!$C$15, $E$9, 100%, $G$9) + CHOOSE(CONTROL!$C$38, 0.0347, 0)</f>
        <v>52.721200000000003</v>
      </c>
      <c r="J785" s="26">
        <f>395.6538</f>
        <v>395.65379999999999</v>
      </c>
    </row>
    <row r="786" spans="1:10" ht="15.75" x14ac:dyDescent="0.25">
      <c r="A786" s="13">
        <v>65227</v>
      </c>
      <c r="B786" s="10">
        <f>56.9288 * CHOOSE(CONTROL!$C$15, $E$9, 100%, $G$9) + CHOOSE(CONTROL!$C$38, 0.0256, 0)</f>
        <v>56.9544</v>
      </c>
      <c r="C786" s="10">
        <f>52.48 * CHOOSE(CONTROL!$C$15, $E$9, 100%, $G$9) + CHOOSE(CONTROL!$C$38, 0.0347, 0)</f>
        <v>52.514699999999998</v>
      </c>
      <c r="D786" s="10">
        <f>52.4722 * CHOOSE(CONTROL!$C$15, $E$9, 100%, $G$9) + CHOOSE(CONTROL!$C$38, 0.0347, 0)</f>
        <v>52.506900000000002</v>
      </c>
      <c r="E786" s="28">
        <f>56.7726 * CHOOSE(CONTROL!$C$15, $E$9, 100%, $G$9) + CHOOSE(CONTROL!$C$38, 0.0347, 0)</f>
        <v>56.807299999999998</v>
      </c>
      <c r="F786" s="27">
        <f>56.7726 * CHOOSE(CONTROL!$C$15, $E$9, 100%, $G$9) + CHOOSE(CONTROL!$C$38, 0.0256, 0)</f>
        <v>56.798199999999994</v>
      </c>
      <c r="G786" s="10">
        <f>52.4784 * CHOOSE(CONTROL!$C$15, $E$9, 100%, $G$9) + CHOOSE(CONTROL!$C$38, 0.0347, 0)</f>
        <v>52.513100000000001</v>
      </c>
      <c r="H786" s="10">
        <f>52.4784 * CHOOSE(CONTROL!$C$15, $E$9, 100%, $G$9) + CHOOSE(CONTROL!$C$38, 0.0347, 0)</f>
        <v>52.513100000000001</v>
      </c>
      <c r="I786" s="10">
        <f>52.48 * CHOOSE(CONTROL!$C$15, $E$9, 100%, $G$9) + CHOOSE(CONTROL!$C$38, 0.0347, 0)</f>
        <v>52.514699999999998</v>
      </c>
      <c r="J786" s="26">
        <f>393.8034</f>
        <v>393.80340000000001</v>
      </c>
    </row>
    <row r="787" spans="1:10" ht="15.75" x14ac:dyDescent="0.25">
      <c r="A787" s="13">
        <v>65258</v>
      </c>
      <c r="B787" s="10">
        <f>57.0308 * CHOOSE(CONTROL!$C$15, $E$9, 100%, $G$9) + CHOOSE(CONTROL!$C$38, 0.0256, 0)</f>
        <v>57.056399999999996</v>
      </c>
      <c r="C787" s="10">
        <f>52.5819 * CHOOSE(CONTROL!$C$15, $E$9, 100%, $G$9) + CHOOSE(CONTROL!$C$38, 0.0347, 0)</f>
        <v>52.616599999999998</v>
      </c>
      <c r="D787" s="10">
        <f>52.5741 * CHOOSE(CONTROL!$C$15, $E$9, 100%, $G$9) + CHOOSE(CONTROL!$C$38, 0.0347, 0)</f>
        <v>52.608800000000002</v>
      </c>
      <c r="E787" s="28">
        <f>56.8745 * CHOOSE(CONTROL!$C$15, $E$9, 100%, $G$9) + CHOOSE(CONTROL!$C$38, 0.0347, 0)</f>
        <v>56.909199999999998</v>
      </c>
      <c r="F787" s="27">
        <f>56.8745 * CHOOSE(CONTROL!$C$15, $E$9, 100%, $G$9) + CHOOSE(CONTROL!$C$38, 0.0256, 0)</f>
        <v>56.900099999999995</v>
      </c>
      <c r="G787" s="10">
        <f>52.5803 * CHOOSE(CONTROL!$C$15, $E$9, 100%, $G$9) + CHOOSE(CONTROL!$C$38, 0.0347, 0)</f>
        <v>52.615000000000002</v>
      </c>
      <c r="H787" s="10">
        <f>52.5803 * CHOOSE(CONTROL!$C$15, $E$9, 100%, $G$9) + CHOOSE(CONTROL!$C$38, 0.0347, 0)</f>
        <v>52.615000000000002</v>
      </c>
      <c r="I787" s="10">
        <f>52.5819 * CHOOSE(CONTROL!$C$15, $E$9, 100%, $G$9) + CHOOSE(CONTROL!$C$38, 0.0347, 0)</f>
        <v>52.616599999999998</v>
      </c>
      <c r="J787" s="26">
        <f>384.6359</f>
        <v>384.63589999999999</v>
      </c>
    </row>
    <row r="788" spans="1:10" ht="15.75" x14ac:dyDescent="0.25">
      <c r="A788" s="13">
        <v>65288</v>
      </c>
      <c r="B788" s="10">
        <f>57.3075 * CHOOSE(CONTROL!$C$15, $E$9, 100%, $G$9) + CHOOSE(CONTROL!$C$38, 0.0256, 0)</f>
        <v>57.333099999999995</v>
      </c>
      <c r="C788" s="10">
        <f>52.8587 * CHOOSE(CONTROL!$C$15, $E$9, 100%, $G$9) + CHOOSE(CONTROL!$C$38, 0.0347, 0)</f>
        <v>52.8934</v>
      </c>
      <c r="D788" s="10">
        <f>52.8509 * CHOOSE(CONTROL!$C$15, $E$9, 100%, $G$9) + CHOOSE(CONTROL!$C$38, 0.0347, 0)</f>
        <v>52.885600000000004</v>
      </c>
      <c r="E788" s="28">
        <f>57.1513 * CHOOSE(CONTROL!$C$15, $E$9, 100%, $G$9) + CHOOSE(CONTROL!$C$38, 0.0347, 0)</f>
        <v>57.186</v>
      </c>
      <c r="F788" s="27">
        <f>57.1513 * CHOOSE(CONTROL!$C$15, $E$9, 100%, $G$9) + CHOOSE(CONTROL!$C$38, 0.0256, 0)</f>
        <v>57.176899999999996</v>
      </c>
      <c r="G788" s="10">
        <f>52.8571 * CHOOSE(CONTROL!$C$15, $E$9, 100%, $G$9) + CHOOSE(CONTROL!$C$38, 0.0347, 0)</f>
        <v>52.891800000000003</v>
      </c>
      <c r="H788" s="10">
        <f>52.8571 * CHOOSE(CONTROL!$C$15, $E$9, 100%, $G$9) + CHOOSE(CONTROL!$C$38, 0.0347, 0)</f>
        <v>52.891800000000003</v>
      </c>
      <c r="I788" s="10">
        <f>52.8587 * CHOOSE(CONTROL!$C$15, $E$9, 100%, $G$9) + CHOOSE(CONTROL!$C$38, 0.0347, 0)</f>
        <v>52.8934</v>
      </c>
      <c r="J788" s="26">
        <f>371.8512</f>
        <v>371.85120000000001</v>
      </c>
    </row>
    <row r="789" spans="1:10" ht="15.75" x14ac:dyDescent="0.25">
      <c r="A789" s="13">
        <v>65319</v>
      </c>
      <c r="B789" s="10">
        <f>57.5394 * CHOOSE(CONTROL!$C$15, $E$9, 100%, $G$9) + CHOOSE(CONTROL!$C$38, 0.0256, 0)</f>
        <v>57.564999999999998</v>
      </c>
      <c r="C789" s="10">
        <f>53.0905 * CHOOSE(CONTROL!$C$15, $E$9, 100%, $G$9) + CHOOSE(CONTROL!$C$38, 0.0347, 0)</f>
        <v>53.1252</v>
      </c>
      <c r="D789" s="10">
        <f>53.0827 * CHOOSE(CONTROL!$C$15, $E$9, 100%, $G$9) + CHOOSE(CONTROL!$C$38, 0.0347, 0)</f>
        <v>53.117400000000004</v>
      </c>
      <c r="E789" s="28">
        <f>57.3831 * CHOOSE(CONTROL!$C$15, $E$9, 100%, $G$9) + CHOOSE(CONTROL!$C$38, 0.0347, 0)</f>
        <v>57.4178</v>
      </c>
      <c r="F789" s="27">
        <f>57.3831 * CHOOSE(CONTROL!$C$15, $E$9, 100%, $G$9) + CHOOSE(CONTROL!$C$38, 0.0256, 0)</f>
        <v>57.408699999999996</v>
      </c>
      <c r="G789" s="10">
        <f>53.089 * CHOOSE(CONTROL!$C$15, $E$9, 100%, $G$9) + CHOOSE(CONTROL!$C$38, 0.0347, 0)</f>
        <v>53.123699999999999</v>
      </c>
      <c r="H789" s="10">
        <f>53.089 * CHOOSE(CONTROL!$C$15, $E$9, 100%, $G$9) + CHOOSE(CONTROL!$C$38, 0.0347, 0)</f>
        <v>53.123699999999999</v>
      </c>
      <c r="I789" s="10">
        <f>53.0905 * CHOOSE(CONTROL!$C$15, $E$9, 100%, $G$9) + CHOOSE(CONTROL!$C$38, 0.0347, 0)</f>
        <v>53.1252</v>
      </c>
      <c r="J789" s="26">
        <f>358.9922</f>
        <v>358.99220000000003</v>
      </c>
    </row>
    <row r="790" spans="1:10" ht="15.75" x14ac:dyDescent="0.25">
      <c r="A790" s="13">
        <v>65349</v>
      </c>
      <c r="B790" s="10">
        <f>57.7328 * CHOOSE(CONTROL!$C$15, $E$9, 100%, $G$9) + CHOOSE(CONTROL!$C$38, 0.0256, 0)</f>
        <v>57.758399999999995</v>
      </c>
      <c r="C790" s="10">
        <f>53.284 * CHOOSE(CONTROL!$C$15, $E$9, 100%, $G$9) + CHOOSE(CONTROL!$C$38, 0.0347, 0)</f>
        <v>53.3187</v>
      </c>
      <c r="D790" s="10">
        <f>53.2762 * CHOOSE(CONTROL!$C$15, $E$9, 100%, $G$9) + CHOOSE(CONTROL!$C$38, 0.0347, 0)</f>
        <v>53.310900000000004</v>
      </c>
      <c r="E790" s="28">
        <f>57.5766 * CHOOSE(CONTROL!$C$15, $E$9, 100%, $G$9) + CHOOSE(CONTROL!$C$38, 0.0347, 0)</f>
        <v>57.6113</v>
      </c>
      <c r="F790" s="27">
        <f>57.5766 * CHOOSE(CONTROL!$C$15, $E$9, 100%, $G$9) + CHOOSE(CONTROL!$C$38, 0.0256, 0)</f>
        <v>57.602199999999996</v>
      </c>
      <c r="G790" s="10">
        <f>53.2824 * CHOOSE(CONTROL!$C$15, $E$9, 100%, $G$9) + CHOOSE(CONTROL!$C$38, 0.0347, 0)</f>
        <v>53.317100000000003</v>
      </c>
      <c r="H790" s="10">
        <f>53.2824 * CHOOSE(CONTROL!$C$15, $E$9, 100%, $G$9) + CHOOSE(CONTROL!$C$38, 0.0347, 0)</f>
        <v>53.317100000000003</v>
      </c>
      <c r="I790" s="10">
        <f>53.284 * CHOOSE(CONTROL!$C$15, $E$9, 100%, $G$9) + CHOOSE(CONTROL!$C$38, 0.0347, 0)</f>
        <v>53.3187</v>
      </c>
      <c r="J790" s="26">
        <f>356.4343</f>
        <v>356.43430000000001</v>
      </c>
    </row>
    <row r="791" spans="1:10" ht="15.75" x14ac:dyDescent="0.25">
      <c r="A791" s="13">
        <v>65380</v>
      </c>
      <c r="B791" s="10">
        <f>58.3289 * CHOOSE(CONTROL!$C$15, $E$9, 100%, $G$9) + CHOOSE(CONTROL!$C$38, 0.0256, 0)</f>
        <v>58.354499999999994</v>
      </c>
      <c r="C791" s="10">
        <f>53.88 * CHOOSE(CONTROL!$C$15, $E$9, 100%, $G$9) + CHOOSE(CONTROL!$C$38, 0.0347, 0)</f>
        <v>53.914700000000003</v>
      </c>
      <c r="D791" s="10">
        <f>53.8722 * CHOOSE(CONTROL!$C$15, $E$9, 100%, $G$9) + CHOOSE(CONTROL!$C$38, 0.0347, 0)</f>
        <v>53.9069</v>
      </c>
      <c r="E791" s="28">
        <f>58.1726 * CHOOSE(CONTROL!$C$15, $E$9, 100%, $G$9) + CHOOSE(CONTROL!$C$38, 0.0347, 0)</f>
        <v>58.207300000000004</v>
      </c>
      <c r="F791" s="27">
        <f>58.1726 * CHOOSE(CONTROL!$C$15, $E$9, 100%, $G$9) + CHOOSE(CONTROL!$C$38, 0.0256, 0)</f>
        <v>58.1982</v>
      </c>
      <c r="G791" s="10">
        <f>53.8785 * CHOOSE(CONTROL!$C$15, $E$9, 100%, $G$9) + CHOOSE(CONTROL!$C$38, 0.0347, 0)</f>
        <v>53.913200000000003</v>
      </c>
      <c r="H791" s="10">
        <f>53.8785 * CHOOSE(CONTROL!$C$15, $E$9, 100%, $G$9) + CHOOSE(CONTROL!$C$38, 0.0347, 0)</f>
        <v>53.913200000000003</v>
      </c>
      <c r="I791" s="10">
        <f>53.88 * CHOOSE(CONTROL!$C$15, $E$9, 100%, $G$9) + CHOOSE(CONTROL!$C$38, 0.0347, 0)</f>
        <v>53.914700000000003</v>
      </c>
      <c r="J791" s="26">
        <f>345.8571</f>
        <v>345.8571</v>
      </c>
    </row>
    <row r="792" spans="1:10" ht="15.75" x14ac:dyDescent="0.25">
      <c r="A792" s="13">
        <v>65411</v>
      </c>
      <c r="B792" s="10">
        <f>59.8094 * CHOOSE(CONTROL!$C$15, $E$9, 100%, $G$9) + CHOOSE(CONTROL!$C$38, 0.0256, 0)</f>
        <v>59.834999999999994</v>
      </c>
      <c r="C792" s="10">
        <f>55.2847 * CHOOSE(CONTROL!$C$15, $E$9, 100%, $G$9) + CHOOSE(CONTROL!$C$38, 0.0347, 0)</f>
        <v>55.319400000000002</v>
      </c>
      <c r="D792" s="10">
        <f>55.2769 * CHOOSE(CONTROL!$C$15, $E$9, 100%, $G$9) + CHOOSE(CONTROL!$C$38, 0.0347, 0)</f>
        <v>55.311599999999999</v>
      </c>
      <c r="E792" s="28">
        <f>59.6532 * CHOOSE(CONTROL!$C$15, $E$9, 100%, $G$9) + CHOOSE(CONTROL!$C$38, 0.0347, 0)</f>
        <v>59.687899999999999</v>
      </c>
      <c r="F792" s="27">
        <f>59.6532 * CHOOSE(CONTROL!$C$15, $E$9, 100%, $G$9) + CHOOSE(CONTROL!$C$38, 0.0256, 0)</f>
        <v>59.678799999999995</v>
      </c>
      <c r="G792" s="10">
        <f>55.2832 * CHOOSE(CONTROL!$C$15, $E$9, 100%, $G$9) + CHOOSE(CONTROL!$C$38, 0.0347, 0)</f>
        <v>55.317900000000002</v>
      </c>
      <c r="H792" s="10">
        <f>55.2832 * CHOOSE(CONTROL!$C$15, $E$9, 100%, $G$9) + CHOOSE(CONTROL!$C$38, 0.0347, 0)</f>
        <v>55.317900000000002</v>
      </c>
      <c r="I792" s="10">
        <f>55.2847 * CHOOSE(CONTROL!$C$15, $E$9, 100%, $G$9) + CHOOSE(CONTROL!$C$38, 0.0347, 0)</f>
        <v>55.319400000000002</v>
      </c>
      <c r="J792" s="26">
        <f>343.5404</f>
        <v>343.54039999999998</v>
      </c>
    </row>
    <row r="793" spans="1:10" ht="15.75" x14ac:dyDescent="0.25">
      <c r="A793" s="13">
        <v>65439</v>
      </c>
      <c r="B793" s="10">
        <f>60.0302 * CHOOSE(CONTROL!$C$15, $E$9, 100%, $G$9) + CHOOSE(CONTROL!$C$38, 0.0256, 0)</f>
        <v>60.055799999999998</v>
      </c>
      <c r="C793" s="10">
        <f>55.5055 * CHOOSE(CONTROL!$C$15, $E$9, 100%, $G$9) + CHOOSE(CONTROL!$C$38, 0.0347, 0)</f>
        <v>55.540199999999999</v>
      </c>
      <c r="D793" s="10">
        <f>55.4977 * CHOOSE(CONTROL!$C$15, $E$9, 100%, $G$9) + CHOOSE(CONTROL!$C$38, 0.0347, 0)</f>
        <v>55.532400000000003</v>
      </c>
      <c r="E793" s="28">
        <f>59.8739 * CHOOSE(CONTROL!$C$15, $E$9, 100%, $G$9) + CHOOSE(CONTROL!$C$38, 0.0347, 0)</f>
        <v>59.9086</v>
      </c>
      <c r="F793" s="27">
        <f>59.8739 * CHOOSE(CONTROL!$C$15, $E$9, 100%, $G$9) + CHOOSE(CONTROL!$C$38, 0.0256, 0)</f>
        <v>59.899499999999996</v>
      </c>
      <c r="G793" s="10">
        <f>55.5039 * CHOOSE(CONTROL!$C$15, $E$9, 100%, $G$9) + CHOOSE(CONTROL!$C$38, 0.0347, 0)</f>
        <v>55.538600000000002</v>
      </c>
      <c r="H793" s="10">
        <f>55.5039 * CHOOSE(CONTROL!$C$15, $E$9, 100%, $G$9) + CHOOSE(CONTROL!$C$38, 0.0347, 0)</f>
        <v>55.538600000000002</v>
      </c>
      <c r="I793" s="10">
        <f>55.5055 * CHOOSE(CONTROL!$C$15, $E$9, 100%, $G$9) + CHOOSE(CONTROL!$C$38, 0.0347, 0)</f>
        <v>55.540199999999999</v>
      </c>
      <c r="J793" s="26">
        <f>342.5855</f>
        <v>342.58550000000002</v>
      </c>
    </row>
    <row r="794" spans="1:10" ht="15.75" x14ac:dyDescent="0.25">
      <c r="A794" s="13">
        <v>65470</v>
      </c>
      <c r="B794" s="10">
        <f>59.5191 * CHOOSE(CONTROL!$C$15, $E$9, 100%, $G$9) + CHOOSE(CONTROL!$C$38, 0.0256, 0)</f>
        <v>59.544699999999999</v>
      </c>
      <c r="C794" s="10">
        <f>54.9944 * CHOOSE(CONTROL!$C$15, $E$9, 100%, $G$9) + CHOOSE(CONTROL!$C$38, 0.0347, 0)</f>
        <v>55.0291</v>
      </c>
      <c r="D794" s="10">
        <f>54.9866 * CHOOSE(CONTROL!$C$15, $E$9, 100%, $G$9) + CHOOSE(CONTROL!$C$38, 0.0347, 0)</f>
        <v>55.021300000000004</v>
      </c>
      <c r="E794" s="28">
        <f>59.3629 * CHOOSE(CONTROL!$C$15, $E$9, 100%, $G$9) + CHOOSE(CONTROL!$C$38, 0.0347, 0)</f>
        <v>59.397600000000004</v>
      </c>
      <c r="F794" s="27">
        <f>59.3629 * CHOOSE(CONTROL!$C$15, $E$9, 100%, $G$9) + CHOOSE(CONTROL!$C$38, 0.0256, 0)</f>
        <v>59.388500000000001</v>
      </c>
      <c r="G794" s="10">
        <f>54.9929 * CHOOSE(CONTROL!$C$15, $E$9, 100%, $G$9) + CHOOSE(CONTROL!$C$38, 0.0347, 0)</f>
        <v>55.0276</v>
      </c>
      <c r="H794" s="10">
        <f>54.9929 * CHOOSE(CONTROL!$C$15, $E$9, 100%, $G$9) + CHOOSE(CONTROL!$C$38, 0.0347, 0)</f>
        <v>55.0276</v>
      </c>
      <c r="I794" s="10">
        <f>54.9944 * CHOOSE(CONTROL!$C$15, $E$9, 100%, $G$9) + CHOOSE(CONTROL!$C$38, 0.0347, 0)</f>
        <v>55.0291</v>
      </c>
      <c r="J794" s="26">
        <f>360.6417</f>
        <v>360.64170000000001</v>
      </c>
    </row>
    <row r="795" spans="1:10" ht="15.75" x14ac:dyDescent="0.25">
      <c r="A795" s="13">
        <v>65500</v>
      </c>
      <c r="B795" s="10">
        <f>59.024 * CHOOSE(CONTROL!$C$15, $E$9, 100%, $G$9) + CHOOSE(CONTROL!$C$38, 0.0256, 0)</f>
        <v>59.049599999999998</v>
      </c>
      <c r="C795" s="10">
        <f>54.4993 * CHOOSE(CONTROL!$C$15, $E$9, 100%, $G$9) + CHOOSE(CONTROL!$C$38, 0.0347, 0)</f>
        <v>54.533999999999999</v>
      </c>
      <c r="D795" s="10">
        <f>54.4915 * CHOOSE(CONTROL!$C$15, $E$9, 100%, $G$9) + CHOOSE(CONTROL!$C$38, 0.0347, 0)</f>
        <v>54.526200000000003</v>
      </c>
      <c r="E795" s="28">
        <f>58.8677 * CHOOSE(CONTROL!$C$15, $E$9, 100%, $G$9) + CHOOSE(CONTROL!$C$38, 0.0347, 0)</f>
        <v>58.9024</v>
      </c>
      <c r="F795" s="27">
        <f>58.8677 * CHOOSE(CONTROL!$C$15, $E$9, 100%, $G$9) + CHOOSE(CONTROL!$C$38, 0.0256, 0)</f>
        <v>58.893299999999996</v>
      </c>
      <c r="G795" s="10">
        <f>54.4977 * CHOOSE(CONTROL!$C$15, $E$9, 100%, $G$9) + CHOOSE(CONTROL!$C$38, 0.0347, 0)</f>
        <v>54.532400000000003</v>
      </c>
      <c r="H795" s="10">
        <f>54.4977 * CHOOSE(CONTROL!$C$15, $E$9, 100%, $G$9) + CHOOSE(CONTROL!$C$38, 0.0347, 0)</f>
        <v>54.532400000000003</v>
      </c>
      <c r="I795" s="10">
        <f>54.4993 * CHOOSE(CONTROL!$C$15, $E$9, 100%, $G$9) + CHOOSE(CONTROL!$C$38, 0.0347, 0)</f>
        <v>54.533999999999999</v>
      </c>
      <c r="J795" s="26">
        <f>384.0563</f>
        <v>384.05630000000002</v>
      </c>
    </row>
    <row r="796" spans="1:10" ht="15.75" x14ac:dyDescent="0.25">
      <c r="A796" s="13">
        <v>65531</v>
      </c>
      <c r="B796" s="10">
        <f>58.5078 * CHOOSE(CONTROL!$C$15, $E$9, 100%, $G$9) + CHOOSE(CONTROL!$C$38, 0.0256, 0)</f>
        <v>58.5334</v>
      </c>
      <c r="C796" s="10">
        <f>53.9831 * CHOOSE(CONTROL!$C$15, $E$9, 100%, $G$9) + CHOOSE(CONTROL!$C$38, 0.0347, 0)</f>
        <v>54.017800000000001</v>
      </c>
      <c r="D796" s="10">
        <f>53.9753 * CHOOSE(CONTROL!$C$15, $E$9, 100%, $G$9) + CHOOSE(CONTROL!$C$38, 0.0347, 0)</f>
        <v>54.01</v>
      </c>
      <c r="E796" s="28">
        <f>58.3516 * CHOOSE(CONTROL!$C$15, $E$9, 100%, $G$9) + CHOOSE(CONTROL!$C$38, 0.0347, 0)</f>
        <v>58.386299999999999</v>
      </c>
      <c r="F796" s="27">
        <f>58.3516 * CHOOSE(CONTROL!$C$15, $E$9, 100%, $G$9) + CHOOSE(CONTROL!$C$38, 0.0256, 0)</f>
        <v>58.377199999999995</v>
      </c>
      <c r="G796" s="10">
        <f>53.9816 * CHOOSE(CONTROL!$C$15, $E$9, 100%, $G$9) + CHOOSE(CONTROL!$C$38, 0.0347, 0)</f>
        <v>54.016300000000001</v>
      </c>
      <c r="H796" s="10">
        <f>53.9816 * CHOOSE(CONTROL!$C$15, $E$9, 100%, $G$9) + CHOOSE(CONTROL!$C$38, 0.0347, 0)</f>
        <v>54.016300000000001</v>
      </c>
      <c r="I796" s="10">
        <f>53.9831 * CHOOSE(CONTROL!$C$15, $E$9, 100%, $G$9) + CHOOSE(CONTROL!$C$38, 0.0347, 0)</f>
        <v>54.017800000000001</v>
      </c>
      <c r="J796" s="26">
        <f>396.9445</f>
        <v>396.94450000000001</v>
      </c>
    </row>
    <row r="797" spans="1:10" ht="15.75" x14ac:dyDescent="0.25">
      <c r="A797" s="13">
        <v>65561</v>
      </c>
      <c r="B797" s="10">
        <f>58.146 * CHOOSE(CONTROL!$C$15, $E$9, 100%, $G$9) + CHOOSE(CONTROL!$C$38, 0.0256, 0)</f>
        <v>58.171599999999998</v>
      </c>
      <c r="C797" s="10">
        <f>53.6213 * CHOOSE(CONTROL!$C$15, $E$9, 100%, $G$9) + CHOOSE(CONTROL!$C$38, 0.0347, 0)</f>
        <v>53.655999999999999</v>
      </c>
      <c r="D797" s="10">
        <f>53.6135 * CHOOSE(CONTROL!$C$15, $E$9, 100%, $G$9) + CHOOSE(CONTROL!$C$38, 0.0347, 0)</f>
        <v>53.648200000000003</v>
      </c>
      <c r="E797" s="28">
        <f>57.9898 * CHOOSE(CONTROL!$C$15, $E$9, 100%, $G$9) + CHOOSE(CONTROL!$C$38, 0.0347, 0)</f>
        <v>58.024500000000003</v>
      </c>
      <c r="F797" s="27">
        <f>57.9898 * CHOOSE(CONTROL!$C$15, $E$9, 100%, $G$9) + CHOOSE(CONTROL!$C$38, 0.0256, 0)</f>
        <v>58.0154</v>
      </c>
      <c r="G797" s="10">
        <f>53.6198 * CHOOSE(CONTROL!$C$15, $E$9, 100%, $G$9) + CHOOSE(CONTROL!$C$38, 0.0347, 0)</f>
        <v>53.654499999999999</v>
      </c>
      <c r="H797" s="10">
        <f>53.6198 * CHOOSE(CONTROL!$C$15, $E$9, 100%, $G$9) + CHOOSE(CONTROL!$C$38, 0.0347, 0)</f>
        <v>53.654499999999999</v>
      </c>
      <c r="I797" s="10">
        <f>53.6213 * CHOOSE(CONTROL!$C$15, $E$9, 100%, $G$9) + CHOOSE(CONTROL!$C$38, 0.0347, 0)</f>
        <v>53.655999999999999</v>
      </c>
      <c r="J797" s="26">
        <f>402.664</f>
        <v>402.66399999999999</v>
      </c>
    </row>
    <row r="798" spans="1:10" ht="15.75" x14ac:dyDescent="0.25">
      <c r="A798" s="13">
        <v>65592</v>
      </c>
      <c r="B798" s="10">
        <f>57.9395 * CHOOSE(CONTROL!$C$15, $E$9, 100%, $G$9) + CHOOSE(CONTROL!$C$38, 0.0256, 0)</f>
        <v>57.9651</v>
      </c>
      <c r="C798" s="10">
        <f>53.4148 * CHOOSE(CONTROL!$C$15, $E$9, 100%, $G$9) + CHOOSE(CONTROL!$C$38, 0.0347, 0)</f>
        <v>53.4495</v>
      </c>
      <c r="D798" s="10">
        <f>53.407 * CHOOSE(CONTROL!$C$15, $E$9, 100%, $G$9) + CHOOSE(CONTROL!$C$38, 0.0347, 0)</f>
        <v>53.441699999999997</v>
      </c>
      <c r="E798" s="28">
        <f>57.7833 * CHOOSE(CONTROL!$C$15, $E$9, 100%, $G$9) + CHOOSE(CONTROL!$C$38, 0.0347, 0)</f>
        <v>57.817999999999998</v>
      </c>
      <c r="F798" s="27">
        <f>57.7833 * CHOOSE(CONTROL!$C$15, $E$9, 100%, $G$9) + CHOOSE(CONTROL!$C$38, 0.0256, 0)</f>
        <v>57.808899999999994</v>
      </c>
      <c r="G798" s="10">
        <f>53.4133 * CHOOSE(CONTROL!$C$15, $E$9, 100%, $G$9) + CHOOSE(CONTROL!$C$38, 0.0347, 0)</f>
        <v>53.448</v>
      </c>
      <c r="H798" s="10">
        <f>53.4133 * CHOOSE(CONTROL!$C$15, $E$9, 100%, $G$9) + CHOOSE(CONTROL!$C$38, 0.0347, 0)</f>
        <v>53.448</v>
      </c>
      <c r="I798" s="10">
        <f>53.4148 * CHOOSE(CONTROL!$C$15, $E$9, 100%, $G$9) + CHOOSE(CONTROL!$C$38, 0.0347, 0)</f>
        <v>53.4495</v>
      </c>
      <c r="J798" s="26">
        <f>400.7809</f>
        <v>400.78089999999997</v>
      </c>
    </row>
    <row r="799" spans="1:10" ht="15.75" x14ac:dyDescent="0.25">
      <c r="A799" s="13">
        <v>65623</v>
      </c>
      <c r="B799" s="10">
        <f>58.0414 * CHOOSE(CONTROL!$C$15, $E$9, 100%, $G$9) + CHOOSE(CONTROL!$C$38, 0.0256, 0)</f>
        <v>58.067</v>
      </c>
      <c r="C799" s="10">
        <f>53.5167 * CHOOSE(CONTROL!$C$15, $E$9, 100%, $G$9) + CHOOSE(CONTROL!$C$38, 0.0347, 0)</f>
        <v>53.551400000000001</v>
      </c>
      <c r="D799" s="10">
        <f>53.5089 * CHOOSE(CONTROL!$C$15, $E$9, 100%, $G$9) + CHOOSE(CONTROL!$C$38, 0.0347, 0)</f>
        <v>53.543599999999998</v>
      </c>
      <c r="E799" s="28">
        <f>57.8852 * CHOOSE(CONTROL!$C$15, $E$9, 100%, $G$9) + CHOOSE(CONTROL!$C$38, 0.0347, 0)</f>
        <v>57.919899999999998</v>
      </c>
      <c r="F799" s="27">
        <f>57.8852 * CHOOSE(CONTROL!$C$15, $E$9, 100%, $G$9) + CHOOSE(CONTROL!$C$38, 0.0256, 0)</f>
        <v>57.910799999999995</v>
      </c>
      <c r="G799" s="10">
        <f>53.5152 * CHOOSE(CONTROL!$C$15, $E$9, 100%, $G$9) + CHOOSE(CONTROL!$C$38, 0.0347, 0)</f>
        <v>53.549900000000001</v>
      </c>
      <c r="H799" s="10">
        <f>53.5152 * CHOOSE(CONTROL!$C$15, $E$9, 100%, $G$9) + CHOOSE(CONTROL!$C$38, 0.0347, 0)</f>
        <v>53.549900000000001</v>
      </c>
      <c r="I799" s="10">
        <f>53.5167 * CHOOSE(CONTROL!$C$15, $E$9, 100%, $G$9) + CHOOSE(CONTROL!$C$38, 0.0347, 0)</f>
        <v>53.551400000000001</v>
      </c>
      <c r="J799" s="26">
        <f>391.4509</f>
        <v>391.45089999999999</v>
      </c>
    </row>
    <row r="800" spans="1:10" ht="15.75" x14ac:dyDescent="0.25">
      <c r="A800" s="13">
        <v>65653</v>
      </c>
      <c r="B800" s="10">
        <f>58.3182 * CHOOSE(CONTROL!$C$15, $E$9, 100%, $G$9) + CHOOSE(CONTROL!$C$38, 0.0256, 0)</f>
        <v>58.343799999999995</v>
      </c>
      <c r="C800" s="10">
        <f>53.7935 * CHOOSE(CONTROL!$C$15, $E$9, 100%, $G$9) + CHOOSE(CONTROL!$C$38, 0.0347, 0)</f>
        <v>53.828200000000002</v>
      </c>
      <c r="D800" s="10">
        <f>53.7857 * CHOOSE(CONTROL!$C$15, $E$9, 100%, $G$9) + CHOOSE(CONTROL!$C$38, 0.0347, 0)</f>
        <v>53.820399999999999</v>
      </c>
      <c r="E800" s="28">
        <f>58.162 * CHOOSE(CONTROL!$C$15, $E$9, 100%, $G$9) + CHOOSE(CONTROL!$C$38, 0.0347, 0)</f>
        <v>58.1967</v>
      </c>
      <c r="F800" s="27">
        <f>58.162 * CHOOSE(CONTROL!$C$15, $E$9, 100%, $G$9) + CHOOSE(CONTROL!$C$38, 0.0256, 0)</f>
        <v>58.187599999999996</v>
      </c>
      <c r="G800" s="10">
        <f>53.792 * CHOOSE(CONTROL!$C$15, $E$9, 100%, $G$9) + CHOOSE(CONTROL!$C$38, 0.0347, 0)</f>
        <v>53.826700000000002</v>
      </c>
      <c r="H800" s="10">
        <f>53.792 * CHOOSE(CONTROL!$C$15, $E$9, 100%, $G$9) + CHOOSE(CONTROL!$C$38, 0.0347, 0)</f>
        <v>53.826700000000002</v>
      </c>
      <c r="I800" s="10">
        <f>53.7935 * CHOOSE(CONTROL!$C$15, $E$9, 100%, $G$9) + CHOOSE(CONTROL!$C$38, 0.0347, 0)</f>
        <v>53.828200000000002</v>
      </c>
      <c r="J800" s="26">
        <f>378.4397</f>
        <v>378.43970000000002</v>
      </c>
    </row>
    <row r="801" spans="1:10" ht="15.75" x14ac:dyDescent="0.25">
      <c r="A801" s="13">
        <v>65684</v>
      </c>
      <c r="B801" s="10">
        <f>58.55 * CHOOSE(CONTROL!$C$15, $E$9, 100%, $G$9) + CHOOSE(CONTROL!$C$38, 0.0256, 0)</f>
        <v>58.575599999999994</v>
      </c>
      <c r="C801" s="10">
        <f>54.0254 * CHOOSE(CONTROL!$C$15, $E$9, 100%, $G$9) + CHOOSE(CONTROL!$C$38, 0.0347, 0)</f>
        <v>54.060099999999998</v>
      </c>
      <c r="D801" s="10">
        <f>54.0175 * CHOOSE(CONTROL!$C$15, $E$9, 100%, $G$9) + CHOOSE(CONTROL!$C$38, 0.0347, 0)</f>
        <v>54.052199999999999</v>
      </c>
      <c r="E801" s="28">
        <f>58.3938 * CHOOSE(CONTROL!$C$15, $E$9, 100%, $G$9) + CHOOSE(CONTROL!$C$38, 0.0347, 0)</f>
        <v>58.4285</v>
      </c>
      <c r="F801" s="27">
        <f>58.3938 * CHOOSE(CONTROL!$C$15, $E$9, 100%, $G$9) + CHOOSE(CONTROL!$C$38, 0.0256, 0)</f>
        <v>58.419399999999996</v>
      </c>
      <c r="G801" s="10">
        <f>54.0238 * CHOOSE(CONTROL!$C$15, $E$9, 100%, $G$9) + CHOOSE(CONTROL!$C$38, 0.0347, 0)</f>
        <v>54.058500000000002</v>
      </c>
      <c r="H801" s="10">
        <f>54.0238 * CHOOSE(CONTROL!$C$15, $E$9, 100%, $G$9) + CHOOSE(CONTROL!$C$38, 0.0347, 0)</f>
        <v>54.058500000000002</v>
      </c>
      <c r="I801" s="10">
        <f>54.0254 * CHOOSE(CONTROL!$C$15, $E$9, 100%, $G$9) + CHOOSE(CONTROL!$C$38, 0.0347, 0)</f>
        <v>54.060099999999998</v>
      </c>
      <c r="J801" s="26">
        <f>365.3529</f>
        <v>365.35289999999998</v>
      </c>
    </row>
    <row r="802" spans="1:10" ht="15.75" x14ac:dyDescent="0.25">
      <c r="A802" s="13">
        <v>65714</v>
      </c>
      <c r="B802" s="10">
        <f>58.7435 * CHOOSE(CONTROL!$C$15, $E$9, 100%, $G$9) + CHOOSE(CONTROL!$C$38, 0.0256, 0)</f>
        <v>58.769099999999995</v>
      </c>
      <c r="C802" s="10">
        <f>54.2188 * CHOOSE(CONTROL!$C$15, $E$9, 100%, $G$9) + CHOOSE(CONTROL!$C$38, 0.0347, 0)</f>
        <v>54.253500000000003</v>
      </c>
      <c r="D802" s="10">
        <f>54.211 * CHOOSE(CONTROL!$C$15, $E$9, 100%, $G$9) + CHOOSE(CONTROL!$C$38, 0.0347, 0)</f>
        <v>54.245699999999999</v>
      </c>
      <c r="E802" s="28">
        <f>58.5872 * CHOOSE(CONTROL!$C$15, $E$9, 100%, $G$9) + CHOOSE(CONTROL!$C$38, 0.0347, 0)</f>
        <v>58.621900000000004</v>
      </c>
      <c r="F802" s="27">
        <f>58.5872 * CHOOSE(CONTROL!$C$15, $E$9, 100%, $G$9) + CHOOSE(CONTROL!$C$38, 0.0256, 0)</f>
        <v>58.6128</v>
      </c>
      <c r="G802" s="10">
        <f>54.2172 * CHOOSE(CONTROL!$C$15, $E$9, 100%, $G$9) + CHOOSE(CONTROL!$C$38, 0.0347, 0)</f>
        <v>54.251899999999999</v>
      </c>
      <c r="H802" s="10">
        <f>54.2172 * CHOOSE(CONTROL!$C$15, $E$9, 100%, $G$9) + CHOOSE(CONTROL!$C$38, 0.0347, 0)</f>
        <v>54.251899999999999</v>
      </c>
      <c r="I802" s="10">
        <f>54.2188 * CHOOSE(CONTROL!$C$15, $E$9, 100%, $G$9) + CHOOSE(CONTROL!$C$38, 0.0347, 0)</f>
        <v>54.253500000000003</v>
      </c>
      <c r="J802" s="26">
        <f>362.7497</f>
        <v>362.74970000000002</v>
      </c>
    </row>
    <row r="803" spans="1:10" ht="15.75" x14ac:dyDescent="0.25">
      <c r="A803" s="13">
        <v>65745</v>
      </c>
      <c r="B803" s="10">
        <f>59.3396 * CHOOSE(CONTROL!$C$15, $E$9, 100%, $G$9) + CHOOSE(CONTROL!$C$38, 0.0256, 0)</f>
        <v>59.365199999999994</v>
      </c>
      <c r="C803" s="10">
        <f>54.8149 * CHOOSE(CONTROL!$C$15, $E$9, 100%, $G$9) + CHOOSE(CONTROL!$C$38, 0.0347, 0)</f>
        <v>54.849600000000002</v>
      </c>
      <c r="D803" s="10">
        <f>54.8071 * CHOOSE(CONTROL!$C$15, $E$9, 100%, $G$9) + CHOOSE(CONTROL!$C$38, 0.0347, 0)</f>
        <v>54.841799999999999</v>
      </c>
      <c r="E803" s="28">
        <f>59.1833 * CHOOSE(CONTROL!$C$15, $E$9, 100%, $G$9) + CHOOSE(CONTROL!$C$38, 0.0347, 0)</f>
        <v>59.218000000000004</v>
      </c>
      <c r="F803" s="27">
        <f>59.1833 * CHOOSE(CONTROL!$C$15, $E$9, 100%, $G$9) + CHOOSE(CONTROL!$C$38, 0.0256, 0)</f>
        <v>59.2089</v>
      </c>
      <c r="G803" s="10">
        <f>54.8133 * CHOOSE(CONTROL!$C$15, $E$9, 100%, $G$9) + CHOOSE(CONTROL!$C$38, 0.0347, 0)</f>
        <v>54.847999999999999</v>
      </c>
      <c r="H803" s="10">
        <f>54.8133 * CHOOSE(CONTROL!$C$15, $E$9, 100%, $G$9) + CHOOSE(CONTROL!$C$38, 0.0347, 0)</f>
        <v>54.847999999999999</v>
      </c>
      <c r="I803" s="10">
        <f>54.8149 * CHOOSE(CONTROL!$C$15, $E$9, 100%, $G$9) + CHOOSE(CONTROL!$C$38, 0.0347, 0)</f>
        <v>54.849600000000002</v>
      </c>
      <c r="J803" s="26">
        <f>351.985</f>
        <v>351.98500000000001</v>
      </c>
    </row>
    <row r="804" spans="1:10" ht="15.75" x14ac:dyDescent="0.25">
      <c r="A804" s="13">
        <v>65776</v>
      </c>
      <c r="B804" s="10">
        <f>60.8379 * CHOOSE(CONTROL!$C$15, $E$9, 100%, $G$9) + CHOOSE(CONTROL!$C$38, 0.0256, 0)</f>
        <v>60.863499999999995</v>
      </c>
      <c r="C804" s="10">
        <f>56.2361 * CHOOSE(CONTROL!$C$15, $E$9, 100%, $G$9) + CHOOSE(CONTROL!$C$38, 0.0347, 0)</f>
        <v>56.270800000000001</v>
      </c>
      <c r="D804" s="10">
        <f>56.2283 * CHOOSE(CONTROL!$C$15, $E$9, 100%, $G$9) + CHOOSE(CONTROL!$C$38, 0.0347, 0)</f>
        <v>56.262999999999998</v>
      </c>
      <c r="E804" s="28">
        <f>60.6817 * CHOOSE(CONTROL!$C$15, $E$9, 100%, $G$9) + CHOOSE(CONTROL!$C$38, 0.0347, 0)</f>
        <v>60.7164</v>
      </c>
      <c r="F804" s="27">
        <f>60.6817 * CHOOSE(CONTROL!$C$15, $E$9, 100%, $G$9) + CHOOSE(CONTROL!$C$38, 0.0256, 0)</f>
        <v>60.707299999999996</v>
      </c>
      <c r="G804" s="10">
        <f>56.2345 * CHOOSE(CONTROL!$C$15, $E$9, 100%, $G$9) + CHOOSE(CONTROL!$C$38, 0.0347, 0)</f>
        <v>56.269199999999998</v>
      </c>
      <c r="H804" s="10">
        <f>56.2345 * CHOOSE(CONTROL!$C$15, $E$9, 100%, $G$9) + CHOOSE(CONTROL!$C$38, 0.0347, 0)</f>
        <v>56.269199999999998</v>
      </c>
      <c r="I804" s="10">
        <f>56.2361 * CHOOSE(CONTROL!$C$15, $E$9, 100%, $G$9) + CHOOSE(CONTROL!$C$38, 0.0347, 0)</f>
        <v>56.270800000000001</v>
      </c>
      <c r="J804" s="26">
        <f>349.6273</f>
        <v>349.62729999999999</v>
      </c>
    </row>
    <row r="805" spans="1:10" ht="15.75" x14ac:dyDescent="0.25">
      <c r="A805" s="13">
        <v>65805</v>
      </c>
      <c r="B805" s="10">
        <f>61.0587 * CHOOSE(CONTROL!$C$15, $E$9, 100%, $G$9) + CHOOSE(CONTROL!$C$38, 0.0256, 0)</f>
        <v>61.084299999999999</v>
      </c>
      <c r="C805" s="10">
        <f>56.4568 * CHOOSE(CONTROL!$C$15, $E$9, 100%, $G$9) + CHOOSE(CONTROL!$C$38, 0.0347, 0)</f>
        <v>56.491500000000002</v>
      </c>
      <c r="D805" s="10">
        <f>56.449 * CHOOSE(CONTROL!$C$15, $E$9, 100%, $G$9) + CHOOSE(CONTROL!$C$38, 0.0347, 0)</f>
        <v>56.483699999999999</v>
      </c>
      <c r="E805" s="28">
        <f>60.9024 * CHOOSE(CONTROL!$C$15, $E$9, 100%, $G$9) + CHOOSE(CONTROL!$C$38, 0.0347, 0)</f>
        <v>60.937100000000001</v>
      </c>
      <c r="F805" s="27">
        <f>60.9024 * CHOOSE(CONTROL!$C$15, $E$9, 100%, $G$9) + CHOOSE(CONTROL!$C$38, 0.0256, 0)</f>
        <v>60.927999999999997</v>
      </c>
      <c r="G805" s="10">
        <f>56.4553 * CHOOSE(CONTROL!$C$15, $E$9, 100%, $G$9) + CHOOSE(CONTROL!$C$38, 0.0347, 0)</f>
        <v>56.49</v>
      </c>
      <c r="H805" s="10">
        <f>56.4553 * CHOOSE(CONTROL!$C$15, $E$9, 100%, $G$9) + CHOOSE(CONTROL!$C$38, 0.0347, 0)</f>
        <v>56.49</v>
      </c>
      <c r="I805" s="10">
        <f>56.4568 * CHOOSE(CONTROL!$C$15, $E$9, 100%, $G$9) + CHOOSE(CONTROL!$C$38, 0.0347, 0)</f>
        <v>56.491500000000002</v>
      </c>
      <c r="J805" s="26">
        <f>348.6554</f>
        <v>348.65539999999999</v>
      </c>
    </row>
    <row r="806" spans="1:10" ht="15.75" x14ac:dyDescent="0.25">
      <c r="A806" s="13">
        <v>65836</v>
      </c>
      <c r="B806" s="10">
        <f>60.5477 * CHOOSE(CONTROL!$C$15, $E$9, 100%, $G$9) + CHOOSE(CONTROL!$C$38, 0.0256, 0)</f>
        <v>60.573299999999996</v>
      </c>
      <c r="C806" s="10">
        <f>55.9458 * CHOOSE(CONTROL!$C$15, $E$9, 100%, $G$9) + CHOOSE(CONTROL!$C$38, 0.0347, 0)</f>
        <v>55.980499999999999</v>
      </c>
      <c r="D806" s="10">
        <f>55.938 * CHOOSE(CONTROL!$C$15, $E$9, 100%, $G$9) + CHOOSE(CONTROL!$C$38, 0.0347, 0)</f>
        <v>55.972700000000003</v>
      </c>
      <c r="E806" s="28">
        <f>60.3914 * CHOOSE(CONTROL!$C$15, $E$9, 100%, $G$9) + CHOOSE(CONTROL!$C$38, 0.0347, 0)</f>
        <v>60.426099999999998</v>
      </c>
      <c r="F806" s="27">
        <f>60.3914 * CHOOSE(CONTROL!$C$15, $E$9, 100%, $G$9) + CHOOSE(CONTROL!$C$38, 0.0256, 0)</f>
        <v>60.416999999999994</v>
      </c>
      <c r="G806" s="10">
        <f>55.9442 * CHOOSE(CONTROL!$C$15, $E$9, 100%, $G$9) + CHOOSE(CONTROL!$C$38, 0.0347, 0)</f>
        <v>55.978900000000003</v>
      </c>
      <c r="H806" s="10">
        <f>55.9442 * CHOOSE(CONTROL!$C$15, $E$9, 100%, $G$9) + CHOOSE(CONTROL!$C$38, 0.0347, 0)</f>
        <v>55.978900000000003</v>
      </c>
      <c r="I806" s="10">
        <f>55.9458 * CHOOSE(CONTROL!$C$15, $E$9, 100%, $G$9) + CHOOSE(CONTROL!$C$38, 0.0347, 0)</f>
        <v>55.980499999999999</v>
      </c>
      <c r="J806" s="26">
        <f>367.0316</f>
        <v>367.03160000000003</v>
      </c>
    </row>
    <row r="807" spans="1:10" ht="15.75" x14ac:dyDescent="0.25">
      <c r="A807" s="13">
        <v>65866</v>
      </c>
      <c r="B807" s="10">
        <f>60.0525 * CHOOSE(CONTROL!$C$15, $E$9, 100%, $G$9) + CHOOSE(CONTROL!$C$38, 0.0256, 0)</f>
        <v>60.078099999999999</v>
      </c>
      <c r="C807" s="10">
        <f>55.4506 * CHOOSE(CONTROL!$C$15, $E$9, 100%, $G$9) + CHOOSE(CONTROL!$C$38, 0.0347, 0)</f>
        <v>55.485300000000002</v>
      </c>
      <c r="D807" s="10">
        <f>55.4428 * CHOOSE(CONTROL!$C$15, $E$9, 100%, $G$9) + CHOOSE(CONTROL!$C$38, 0.0347, 0)</f>
        <v>55.477499999999999</v>
      </c>
      <c r="E807" s="28">
        <f>59.8962 * CHOOSE(CONTROL!$C$15, $E$9, 100%, $G$9) + CHOOSE(CONTROL!$C$38, 0.0347, 0)</f>
        <v>59.930900000000001</v>
      </c>
      <c r="F807" s="27">
        <f>59.8962 * CHOOSE(CONTROL!$C$15, $E$9, 100%, $G$9) + CHOOSE(CONTROL!$C$38, 0.0256, 0)</f>
        <v>59.921799999999998</v>
      </c>
      <c r="G807" s="10">
        <f>55.4491 * CHOOSE(CONTROL!$C$15, $E$9, 100%, $G$9) + CHOOSE(CONTROL!$C$38, 0.0347, 0)</f>
        <v>55.483800000000002</v>
      </c>
      <c r="H807" s="10">
        <f>55.4491 * CHOOSE(CONTROL!$C$15, $E$9, 100%, $G$9) + CHOOSE(CONTROL!$C$38, 0.0347, 0)</f>
        <v>55.483800000000002</v>
      </c>
      <c r="I807" s="10">
        <f>55.4506 * CHOOSE(CONTROL!$C$15, $E$9, 100%, $G$9) + CHOOSE(CONTROL!$C$38, 0.0347, 0)</f>
        <v>55.485300000000002</v>
      </c>
      <c r="J807" s="26">
        <f>390.8611</f>
        <v>390.86110000000002</v>
      </c>
    </row>
    <row r="808" spans="1:10" ht="15.75" x14ac:dyDescent="0.25">
      <c r="A808" s="13">
        <v>65897</v>
      </c>
      <c r="B808" s="10">
        <f>59.5364 * CHOOSE(CONTROL!$C$15, $E$9, 100%, $G$9) + CHOOSE(CONTROL!$C$38, 0.0256, 0)</f>
        <v>59.561999999999998</v>
      </c>
      <c r="C808" s="10">
        <f>54.9345 * CHOOSE(CONTROL!$C$15, $E$9, 100%, $G$9) + CHOOSE(CONTROL!$C$38, 0.0347, 0)</f>
        <v>54.969200000000001</v>
      </c>
      <c r="D808" s="10">
        <f>54.9267 * CHOOSE(CONTROL!$C$15, $E$9, 100%, $G$9) + CHOOSE(CONTROL!$C$38, 0.0347, 0)</f>
        <v>54.961399999999998</v>
      </c>
      <c r="E808" s="28">
        <f>59.3801 * CHOOSE(CONTROL!$C$15, $E$9, 100%, $G$9) + CHOOSE(CONTROL!$C$38, 0.0347, 0)</f>
        <v>59.4148</v>
      </c>
      <c r="F808" s="27">
        <f>59.3801 * CHOOSE(CONTROL!$C$15, $E$9, 100%, $G$9) + CHOOSE(CONTROL!$C$38, 0.0256, 0)</f>
        <v>59.405699999999996</v>
      </c>
      <c r="G808" s="10">
        <f>54.9329 * CHOOSE(CONTROL!$C$15, $E$9, 100%, $G$9) + CHOOSE(CONTROL!$C$38, 0.0347, 0)</f>
        <v>54.967599999999997</v>
      </c>
      <c r="H808" s="10">
        <f>54.9329 * CHOOSE(CONTROL!$C$15, $E$9, 100%, $G$9) + CHOOSE(CONTROL!$C$38, 0.0347, 0)</f>
        <v>54.967599999999997</v>
      </c>
      <c r="I808" s="10">
        <f>54.9345 * CHOOSE(CONTROL!$C$15, $E$9, 100%, $G$9) + CHOOSE(CONTROL!$C$38, 0.0347, 0)</f>
        <v>54.969200000000001</v>
      </c>
      <c r="J808" s="26">
        <f>403.9776</f>
        <v>403.9776</v>
      </c>
    </row>
    <row r="809" spans="1:10" ht="15.75" x14ac:dyDescent="0.25">
      <c r="A809" s="13">
        <v>65927</v>
      </c>
      <c r="B809" s="10">
        <f>59.1745 * CHOOSE(CONTROL!$C$15, $E$9, 100%, $G$9) + CHOOSE(CONTROL!$C$38, 0.0256, 0)</f>
        <v>59.200099999999999</v>
      </c>
      <c r="C809" s="10">
        <f>54.5727 * CHOOSE(CONTROL!$C$15, $E$9, 100%, $G$9) + CHOOSE(CONTROL!$C$38, 0.0347, 0)</f>
        <v>54.607399999999998</v>
      </c>
      <c r="D809" s="10">
        <f>54.5649 * CHOOSE(CONTROL!$C$15, $E$9, 100%, $G$9) + CHOOSE(CONTROL!$C$38, 0.0347, 0)</f>
        <v>54.599600000000002</v>
      </c>
      <c r="E809" s="28">
        <f>59.0183 * CHOOSE(CONTROL!$C$15, $E$9, 100%, $G$9) + CHOOSE(CONTROL!$C$38, 0.0347, 0)</f>
        <v>59.053000000000004</v>
      </c>
      <c r="F809" s="27">
        <f>59.0183 * CHOOSE(CONTROL!$C$15, $E$9, 100%, $G$9) + CHOOSE(CONTROL!$C$38, 0.0256, 0)</f>
        <v>59.043900000000001</v>
      </c>
      <c r="G809" s="10">
        <f>54.5711 * CHOOSE(CONTROL!$C$15, $E$9, 100%, $G$9) + CHOOSE(CONTROL!$C$38, 0.0347, 0)</f>
        <v>54.605800000000002</v>
      </c>
      <c r="H809" s="10">
        <f>54.5711 * CHOOSE(CONTROL!$C$15, $E$9, 100%, $G$9) + CHOOSE(CONTROL!$C$38, 0.0347, 0)</f>
        <v>54.605800000000002</v>
      </c>
      <c r="I809" s="10">
        <f>54.5727 * CHOOSE(CONTROL!$C$15, $E$9, 100%, $G$9) + CHOOSE(CONTROL!$C$38, 0.0347, 0)</f>
        <v>54.607399999999998</v>
      </c>
      <c r="J809" s="26">
        <f>409.7985</f>
        <v>409.79849999999999</v>
      </c>
    </row>
    <row r="810" spans="1:10" ht="15.75" x14ac:dyDescent="0.25">
      <c r="A810" s="13">
        <v>65958</v>
      </c>
      <c r="B810" s="10">
        <f>58.9681 * CHOOSE(CONTROL!$C$15, $E$9, 100%, $G$9) + CHOOSE(CONTROL!$C$38, 0.0256, 0)</f>
        <v>58.993699999999997</v>
      </c>
      <c r="C810" s="10">
        <f>54.3662 * CHOOSE(CONTROL!$C$15, $E$9, 100%, $G$9) + CHOOSE(CONTROL!$C$38, 0.0347, 0)</f>
        <v>54.4009</v>
      </c>
      <c r="D810" s="10">
        <f>54.3584 * CHOOSE(CONTROL!$C$15, $E$9, 100%, $G$9) + CHOOSE(CONTROL!$C$38, 0.0347, 0)</f>
        <v>54.393100000000004</v>
      </c>
      <c r="E810" s="28">
        <f>58.8118 * CHOOSE(CONTROL!$C$15, $E$9, 100%, $G$9) + CHOOSE(CONTROL!$C$38, 0.0347, 0)</f>
        <v>58.846499999999999</v>
      </c>
      <c r="F810" s="27">
        <f>58.8118 * CHOOSE(CONTROL!$C$15, $E$9, 100%, $G$9) + CHOOSE(CONTROL!$C$38, 0.0256, 0)</f>
        <v>58.837399999999995</v>
      </c>
      <c r="G810" s="10">
        <f>54.3646 * CHOOSE(CONTROL!$C$15, $E$9, 100%, $G$9) + CHOOSE(CONTROL!$C$38, 0.0347, 0)</f>
        <v>54.399300000000004</v>
      </c>
      <c r="H810" s="10">
        <f>54.3646 * CHOOSE(CONTROL!$C$15, $E$9, 100%, $G$9) + CHOOSE(CONTROL!$C$38, 0.0347, 0)</f>
        <v>54.399300000000004</v>
      </c>
      <c r="I810" s="10">
        <f>54.3662 * CHOOSE(CONTROL!$C$15, $E$9, 100%, $G$9) + CHOOSE(CONTROL!$C$38, 0.0347, 0)</f>
        <v>54.4009</v>
      </c>
      <c r="J810" s="26">
        <f>407.882</f>
        <v>407.88200000000001</v>
      </c>
    </row>
    <row r="811" spans="1:10" ht="15.75" x14ac:dyDescent="0.25">
      <c r="A811" s="13">
        <v>65989</v>
      </c>
      <c r="B811" s="10">
        <f>59.07 * CHOOSE(CONTROL!$C$15, $E$9, 100%, $G$9) + CHOOSE(CONTROL!$C$38, 0.0256, 0)</f>
        <v>59.095599999999997</v>
      </c>
      <c r="C811" s="10">
        <f>54.4681 * CHOOSE(CONTROL!$C$15, $E$9, 100%, $G$9) + CHOOSE(CONTROL!$C$38, 0.0347, 0)</f>
        <v>54.502800000000001</v>
      </c>
      <c r="D811" s="10">
        <f>54.4603 * CHOOSE(CONTROL!$C$15, $E$9, 100%, $G$9) + CHOOSE(CONTROL!$C$38, 0.0347, 0)</f>
        <v>54.494999999999997</v>
      </c>
      <c r="E811" s="28">
        <f>58.9137 * CHOOSE(CONTROL!$C$15, $E$9, 100%, $G$9) + CHOOSE(CONTROL!$C$38, 0.0347, 0)</f>
        <v>58.948399999999999</v>
      </c>
      <c r="F811" s="27">
        <f>58.9137 * CHOOSE(CONTROL!$C$15, $E$9, 100%, $G$9) + CHOOSE(CONTROL!$C$38, 0.0256, 0)</f>
        <v>58.939299999999996</v>
      </c>
      <c r="G811" s="10">
        <f>54.4665 * CHOOSE(CONTROL!$C$15, $E$9, 100%, $G$9) + CHOOSE(CONTROL!$C$38, 0.0347, 0)</f>
        <v>54.501200000000004</v>
      </c>
      <c r="H811" s="10">
        <f>54.4665 * CHOOSE(CONTROL!$C$15, $E$9, 100%, $G$9) + CHOOSE(CONTROL!$C$38, 0.0347, 0)</f>
        <v>54.501200000000004</v>
      </c>
      <c r="I811" s="10">
        <f>54.4681 * CHOOSE(CONTROL!$C$15, $E$9, 100%, $G$9) + CHOOSE(CONTROL!$C$38, 0.0347, 0)</f>
        <v>54.502800000000001</v>
      </c>
      <c r="J811" s="26">
        <f>398.3867</f>
        <v>398.38670000000002</v>
      </c>
    </row>
    <row r="812" spans="1:10" ht="15.75" x14ac:dyDescent="0.25">
      <c r="A812" s="13">
        <v>66019</v>
      </c>
      <c r="B812" s="10">
        <f>59.3468 * CHOOSE(CONTROL!$C$15, $E$9, 100%, $G$9) + CHOOSE(CONTROL!$C$38, 0.0256, 0)</f>
        <v>59.372399999999999</v>
      </c>
      <c r="C812" s="10">
        <f>54.7449 * CHOOSE(CONTROL!$C$15, $E$9, 100%, $G$9) + CHOOSE(CONTROL!$C$38, 0.0347, 0)</f>
        <v>54.779600000000002</v>
      </c>
      <c r="D812" s="10">
        <f>54.7371 * CHOOSE(CONTROL!$C$15, $E$9, 100%, $G$9) + CHOOSE(CONTROL!$C$38, 0.0347, 0)</f>
        <v>54.771799999999999</v>
      </c>
      <c r="E812" s="28">
        <f>59.1905 * CHOOSE(CONTROL!$C$15, $E$9, 100%, $G$9) + CHOOSE(CONTROL!$C$38, 0.0347, 0)</f>
        <v>59.225200000000001</v>
      </c>
      <c r="F812" s="27">
        <f>59.1905 * CHOOSE(CONTROL!$C$15, $E$9, 100%, $G$9) + CHOOSE(CONTROL!$C$38, 0.0256, 0)</f>
        <v>59.216099999999997</v>
      </c>
      <c r="G812" s="10">
        <f>54.7433 * CHOOSE(CONTROL!$C$15, $E$9, 100%, $G$9) + CHOOSE(CONTROL!$C$38, 0.0347, 0)</f>
        <v>54.777999999999999</v>
      </c>
      <c r="H812" s="10">
        <f>54.7433 * CHOOSE(CONTROL!$C$15, $E$9, 100%, $G$9) + CHOOSE(CONTROL!$C$38, 0.0347, 0)</f>
        <v>54.777999999999999</v>
      </c>
      <c r="I812" s="10">
        <f>54.7449 * CHOOSE(CONTROL!$C$15, $E$9, 100%, $G$9) + CHOOSE(CONTROL!$C$38, 0.0347, 0)</f>
        <v>54.779600000000002</v>
      </c>
      <c r="J812" s="26">
        <f>385.145</f>
        <v>385.14499999999998</v>
      </c>
    </row>
    <row r="813" spans="1:10" ht="15.75" x14ac:dyDescent="0.25">
      <c r="A813" s="13">
        <v>66050</v>
      </c>
      <c r="B813" s="10">
        <f>59.5786 * CHOOSE(CONTROL!$C$15, $E$9, 100%, $G$9) + CHOOSE(CONTROL!$C$38, 0.0256, 0)</f>
        <v>59.604199999999999</v>
      </c>
      <c r="C813" s="10">
        <f>54.9767 * CHOOSE(CONTROL!$C$15, $E$9, 100%, $G$9) + CHOOSE(CONTROL!$C$38, 0.0347, 0)</f>
        <v>55.011400000000002</v>
      </c>
      <c r="D813" s="10">
        <f>54.9689 * CHOOSE(CONTROL!$C$15, $E$9, 100%, $G$9) + CHOOSE(CONTROL!$C$38, 0.0347, 0)</f>
        <v>55.003599999999999</v>
      </c>
      <c r="E813" s="28">
        <f>59.4223 * CHOOSE(CONTROL!$C$15, $E$9, 100%, $G$9) + CHOOSE(CONTROL!$C$38, 0.0347, 0)</f>
        <v>59.457000000000001</v>
      </c>
      <c r="F813" s="27">
        <f>59.4223 * CHOOSE(CONTROL!$C$15, $E$9, 100%, $G$9) + CHOOSE(CONTROL!$C$38, 0.0256, 0)</f>
        <v>59.447899999999997</v>
      </c>
      <c r="G813" s="10">
        <f>54.9751 * CHOOSE(CONTROL!$C$15, $E$9, 100%, $G$9) + CHOOSE(CONTROL!$C$38, 0.0347, 0)</f>
        <v>55.009799999999998</v>
      </c>
      <c r="H813" s="10">
        <f>54.9751 * CHOOSE(CONTROL!$C$15, $E$9, 100%, $G$9) + CHOOSE(CONTROL!$C$38, 0.0347, 0)</f>
        <v>55.009799999999998</v>
      </c>
      <c r="I813" s="10">
        <f>54.9767 * CHOOSE(CONTROL!$C$15, $E$9, 100%, $G$9) + CHOOSE(CONTROL!$C$38, 0.0347, 0)</f>
        <v>55.011400000000002</v>
      </c>
      <c r="J813" s="26">
        <f>371.8263</f>
        <v>371.8263</v>
      </c>
    </row>
    <row r="814" spans="1:10" ht="15.75" x14ac:dyDescent="0.25">
      <c r="A814" s="13">
        <v>66080</v>
      </c>
      <c r="B814" s="10">
        <f>59.772 * CHOOSE(CONTROL!$C$15, $E$9, 100%, $G$9) + CHOOSE(CONTROL!$C$38, 0.0256, 0)</f>
        <v>59.797599999999996</v>
      </c>
      <c r="C814" s="10">
        <f>55.1701 * CHOOSE(CONTROL!$C$15, $E$9, 100%, $G$9) + CHOOSE(CONTROL!$C$38, 0.0347, 0)</f>
        <v>55.204799999999999</v>
      </c>
      <c r="D814" s="10">
        <f>55.1623 * CHOOSE(CONTROL!$C$15, $E$9, 100%, $G$9) + CHOOSE(CONTROL!$C$38, 0.0347, 0)</f>
        <v>55.197000000000003</v>
      </c>
      <c r="E814" s="28">
        <f>59.6158 * CHOOSE(CONTROL!$C$15, $E$9, 100%, $G$9) + CHOOSE(CONTROL!$C$38, 0.0347, 0)</f>
        <v>59.650500000000001</v>
      </c>
      <c r="F814" s="27">
        <f>59.6158 * CHOOSE(CONTROL!$C$15, $E$9, 100%, $G$9) + CHOOSE(CONTROL!$C$38, 0.0256, 0)</f>
        <v>59.641399999999997</v>
      </c>
      <c r="G814" s="10">
        <f>55.1686 * CHOOSE(CONTROL!$C$15, $E$9, 100%, $G$9) + CHOOSE(CONTROL!$C$38, 0.0347, 0)</f>
        <v>55.203299999999999</v>
      </c>
      <c r="H814" s="10">
        <f>55.1686 * CHOOSE(CONTROL!$C$15, $E$9, 100%, $G$9) + CHOOSE(CONTROL!$C$38, 0.0347, 0)</f>
        <v>55.203299999999999</v>
      </c>
      <c r="I814" s="10">
        <f>55.1701 * CHOOSE(CONTROL!$C$15, $E$9, 100%, $G$9) + CHOOSE(CONTROL!$C$38, 0.0347, 0)</f>
        <v>55.204799999999999</v>
      </c>
      <c r="J814" s="26">
        <f>369.1769</f>
        <v>369.17689999999999</v>
      </c>
    </row>
    <row r="815" spans="1:10" ht="15.75" x14ac:dyDescent="0.25">
      <c r="A815" s="13">
        <v>66111</v>
      </c>
      <c r="B815" s="10">
        <f>60.3681 * CHOOSE(CONTROL!$C$15, $E$9, 100%, $G$9) + CHOOSE(CONTROL!$C$38, 0.0256, 0)</f>
        <v>60.393699999999995</v>
      </c>
      <c r="C815" s="10">
        <f>55.7662 * CHOOSE(CONTROL!$C$15, $E$9, 100%, $G$9) + CHOOSE(CONTROL!$C$38, 0.0347, 0)</f>
        <v>55.800899999999999</v>
      </c>
      <c r="D815" s="10">
        <f>55.7584 * CHOOSE(CONTROL!$C$15, $E$9, 100%, $G$9) + CHOOSE(CONTROL!$C$38, 0.0347, 0)</f>
        <v>55.793100000000003</v>
      </c>
      <c r="E815" s="28">
        <f>60.2118 * CHOOSE(CONTROL!$C$15, $E$9, 100%, $G$9) + CHOOSE(CONTROL!$C$38, 0.0347, 0)</f>
        <v>60.246499999999997</v>
      </c>
      <c r="F815" s="27">
        <f>60.2118 * CHOOSE(CONTROL!$C$15, $E$9, 100%, $G$9) + CHOOSE(CONTROL!$C$38, 0.0256, 0)</f>
        <v>60.237399999999994</v>
      </c>
      <c r="G815" s="10">
        <f>55.7647 * CHOOSE(CONTROL!$C$15, $E$9, 100%, $G$9) + CHOOSE(CONTROL!$C$38, 0.0347, 0)</f>
        <v>55.799399999999999</v>
      </c>
      <c r="H815" s="10">
        <f>55.7647 * CHOOSE(CONTROL!$C$15, $E$9, 100%, $G$9) + CHOOSE(CONTROL!$C$38, 0.0347, 0)</f>
        <v>55.799399999999999</v>
      </c>
      <c r="I815" s="10">
        <f>55.7662 * CHOOSE(CONTROL!$C$15, $E$9, 100%, $G$9) + CHOOSE(CONTROL!$C$38, 0.0347, 0)</f>
        <v>55.800899999999999</v>
      </c>
      <c r="J815" s="26">
        <f>358.2216</f>
        <v>358.22160000000002</v>
      </c>
    </row>
    <row r="816" spans="1:10" ht="15.75" x14ac:dyDescent="0.25">
      <c r="A816" s="13">
        <v>66142</v>
      </c>
      <c r="B816" s="10">
        <f>61.8846 * CHOOSE(CONTROL!$C$15, $E$9, 100%, $G$9) + CHOOSE(CONTROL!$C$38, 0.0256, 0)</f>
        <v>61.910199999999996</v>
      </c>
      <c r="C816" s="10">
        <f>57.2042 * CHOOSE(CONTROL!$C$15, $E$9, 100%, $G$9) + CHOOSE(CONTROL!$C$38, 0.0347, 0)</f>
        <v>57.238900000000001</v>
      </c>
      <c r="D816" s="10">
        <f>57.1964 * CHOOSE(CONTROL!$C$15, $E$9, 100%, $G$9) + CHOOSE(CONTROL!$C$38, 0.0347, 0)</f>
        <v>57.231099999999998</v>
      </c>
      <c r="E816" s="28">
        <f>61.7284 * CHOOSE(CONTROL!$C$15, $E$9, 100%, $G$9) + CHOOSE(CONTROL!$C$38, 0.0347, 0)</f>
        <v>61.763100000000001</v>
      </c>
      <c r="F816" s="27">
        <f>61.7284 * CHOOSE(CONTROL!$C$15, $E$9, 100%, $G$9) + CHOOSE(CONTROL!$C$38, 0.0256, 0)</f>
        <v>61.753999999999998</v>
      </c>
      <c r="G816" s="10">
        <f>57.2027 * CHOOSE(CONTROL!$C$15, $E$9, 100%, $G$9) + CHOOSE(CONTROL!$C$38, 0.0347, 0)</f>
        <v>57.237400000000001</v>
      </c>
      <c r="H816" s="10">
        <f>57.2027 * CHOOSE(CONTROL!$C$15, $E$9, 100%, $G$9) + CHOOSE(CONTROL!$C$38, 0.0347, 0)</f>
        <v>57.237400000000001</v>
      </c>
      <c r="I816" s="10">
        <f>57.2042 * CHOOSE(CONTROL!$C$15, $E$9, 100%, $G$9) + CHOOSE(CONTROL!$C$38, 0.0347, 0)</f>
        <v>57.238900000000001</v>
      </c>
      <c r="J816" s="26">
        <f>355.822</f>
        <v>355.822</v>
      </c>
    </row>
    <row r="817" spans="1:10" ht="15.75" x14ac:dyDescent="0.25">
      <c r="A817" s="13">
        <v>66170</v>
      </c>
      <c r="B817" s="10">
        <f>62.1054 * CHOOSE(CONTROL!$C$15, $E$9, 100%, $G$9) + CHOOSE(CONTROL!$C$38, 0.0256, 0)</f>
        <v>62.131</v>
      </c>
      <c r="C817" s="10">
        <f>57.425 * CHOOSE(CONTROL!$C$15, $E$9, 100%, $G$9) + CHOOSE(CONTROL!$C$38, 0.0347, 0)</f>
        <v>57.459699999999998</v>
      </c>
      <c r="D817" s="10">
        <f>57.4172 * CHOOSE(CONTROL!$C$15, $E$9, 100%, $G$9) + CHOOSE(CONTROL!$C$38, 0.0347, 0)</f>
        <v>57.451900000000002</v>
      </c>
      <c r="E817" s="28">
        <f>61.9492 * CHOOSE(CONTROL!$C$15, $E$9, 100%, $G$9) + CHOOSE(CONTROL!$C$38, 0.0347, 0)</f>
        <v>61.983899999999998</v>
      </c>
      <c r="F817" s="27">
        <f>61.9492 * CHOOSE(CONTROL!$C$15, $E$9, 100%, $G$9) + CHOOSE(CONTROL!$C$38, 0.0256, 0)</f>
        <v>61.974799999999995</v>
      </c>
      <c r="G817" s="10">
        <f>57.4234 * CHOOSE(CONTROL!$C$15, $E$9, 100%, $G$9) + CHOOSE(CONTROL!$C$38, 0.0347, 0)</f>
        <v>57.458100000000002</v>
      </c>
      <c r="H817" s="10">
        <f>57.4234 * CHOOSE(CONTROL!$C$15, $E$9, 100%, $G$9) + CHOOSE(CONTROL!$C$38, 0.0347, 0)</f>
        <v>57.458100000000002</v>
      </c>
      <c r="I817" s="10">
        <f>57.425 * CHOOSE(CONTROL!$C$15, $E$9, 100%, $G$9) + CHOOSE(CONTROL!$C$38, 0.0347, 0)</f>
        <v>57.459699999999998</v>
      </c>
      <c r="J817" s="26">
        <f>354.833</f>
        <v>354.83300000000003</v>
      </c>
    </row>
    <row r="818" spans="1:10" ht="15.75" x14ac:dyDescent="0.25">
      <c r="A818" s="13">
        <v>66201</v>
      </c>
      <c r="B818" s="10">
        <f>61.5944 * CHOOSE(CONTROL!$C$15, $E$9, 100%, $G$9) + CHOOSE(CONTROL!$C$38, 0.0256, 0)</f>
        <v>61.62</v>
      </c>
      <c r="C818" s="10">
        <f>56.914 * CHOOSE(CONTROL!$C$15, $E$9, 100%, $G$9) + CHOOSE(CONTROL!$C$38, 0.0347, 0)</f>
        <v>56.948700000000002</v>
      </c>
      <c r="D818" s="10">
        <f>56.9061 * CHOOSE(CONTROL!$C$15, $E$9, 100%, $G$9) + CHOOSE(CONTROL!$C$38, 0.0347, 0)</f>
        <v>56.940800000000003</v>
      </c>
      <c r="E818" s="28">
        <f>61.4381 * CHOOSE(CONTROL!$C$15, $E$9, 100%, $G$9) + CHOOSE(CONTROL!$C$38, 0.0347, 0)</f>
        <v>61.472799999999999</v>
      </c>
      <c r="F818" s="27">
        <f>61.4381 * CHOOSE(CONTROL!$C$15, $E$9, 100%, $G$9) + CHOOSE(CONTROL!$C$38, 0.0256, 0)</f>
        <v>61.463699999999996</v>
      </c>
      <c r="G818" s="10">
        <f>56.9124 * CHOOSE(CONTROL!$C$15, $E$9, 100%, $G$9) + CHOOSE(CONTROL!$C$38, 0.0347, 0)</f>
        <v>56.947099999999999</v>
      </c>
      <c r="H818" s="10">
        <f>56.9124 * CHOOSE(CONTROL!$C$15, $E$9, 100%, $G$9) + CHOOSE(CONTROL!$C$38, 0.0347, 0)</f>
        <v>56.947099999999999</v>
      </c>
      <c r="I818" s="10">
        <f>56.914 * CHOOSE(CONTROL!$C$15, $E$9, 100%, $G$9) + CHOOSE(CONTROL!$C$38, 0.0347, 0)</f>
        <v>56.948700000000002</v>
      </c>
      <c r="J818" s="26">
        <f>373.5347</f>
        <v>373.53469999999999</v>
      </c>
    </row>
    <row r="819" spans="1:10" ht="15.75" x14ac:dyDescent="0.25">
      <c r="A819" s="13">
        <v>66231</v>
      </c>
      <c r="B819" s="10">
        <f>61.0992 * CHOOSE(CONTROL!$C$15, $E$9, 100%, $G$9) + CHOOSE(CONTROL!$C$38, 0.0256, 0)</f>
        <v>61.1248</v>
      </c>
      <c r="C819" s="10">
        <f>56.4188 * CHOOSE(CONTROL!$C$15, $E$9, 100%, $G$9) + CHOOSE(CONTROL!$C$38, 0.0347, 0)</f>
        <v>56.453499999999998</v>
      </c>
      <c r="D819" s="10">
        <f>56.411 * CHOOSE(CONTROL!$C$15, $E$9, 100%, $G$9) + CHOOSE(CONTROL!$C$38, 0.0347, 0)</f>
        <v>56.445700000000002</v>
      </c>
      <c r="E819" s="28">
        <f>60.9429 * CHOOSE(CONTROL!$C$15, $E$9, 100%, $G$9) + CHOOSE(CONTROL!$C$38, 0.0347, 0)</f>
        <v>60.977600000000002</v>
      </c>
      <c r="F819" s="27">
        <f>60.9429 * CHOOSE(CONTROL!$C$15, $E$9, 100%, $G$9) + CHOOSE(CONTROL!$C$38, 0.0256, 0)</f>
        <v>60.968499999999999</v>
      </c>
      <c r="G819" s="10">
        <f>56.4172 * CHOOSE(CONTROL!$C$15, $E$9, 100%, $G$9) + CHOOSE(CONTROL!$C$38, 0.0347, 0)</f>
        <v>56.451900000000002</v>
      </c>
      <c r="H819" s="10">
        <f>56.4172 * CHOOSE(CONTROL!$C$15, $E$9, 100%, $G$9) + CHOOSE(CONTROL!$C$38, 0.0347, 0)</f>
        <v>56.451900000000002</v>
      </c>
      <c r="I819" s="10">
        <f>56.4188 * CHOOSE(CONTROL!$C$15, $E$9, 100%, $G$9) + CHOOSE(CONTROL!$C$38, 0.0347, 0)</f>
        <v>56.453499999999998</v>
      </c>
      <c r="J819" s="26">
        <f>397.7864</f>
        <v>397.78640000000001</v>
      </c>
    </row>
    <row r="820" spans="1:10" ht="15.75" x14ac:dyDescent="0.25">
      <c r="A820" s="13">
        <v>66262</v>
      </c>
      <c r="B820" s="10">
        <f>60.5831 * CHOOSE(CONTROL!$C$15, $E$9, 100%, $G$9) + CHOOSE(CONTROL!$C$38, 0.0256, 0)</f>
        <v>60.608699999999999</v>
      </c>
      <c r="C820" s="10">
        <f>55.9027 * CHOOSE(CONTROL!$C$15, $E$9, 100%, $G$9) + CHOOSE(CONTROL!$C$38, 0.0347, 0)</f>
        <v>55.937400000000004</v>
      </c>
      <c r="D820" s="10">
        <f>55.8948 * CHOOSE(CONTROL!$C$15, $E$9, 100%, $G$9) + CHOOSE(CONTROL!$C$38, 0.0347, 0)</f>
        <v>55.929499999999997</v>
      </c>
      <c r="E820" s="28">
        <f>60.4268 * CHOOSE(CONTROL!$C$15, $E$9, 100%, $G$9) + CHOOSE(CONTROL!$C$38, 0.0347, 0)</f>
        <v>60.461500000000001</v>
      </c>
      <c r="F820" s="27">
        <f>60.4268 * CHOOSE(CONTROL!$C$15, $E$9, 100%, $G$9) + CHOOSE(CONTROL!$C$38, 0.0256, 0)</f>
        <v>60.452399999999997</v>
      </c>
      <c r="G820" s="10">
        <f>55.9011 * CHOOSE(CONTROL!$C$15, $E$9, 100%, $G$9) + CHOOSE(CONTROL!$C$38, 0.0347, 0)</f>
        <v>55.9358</v>
      </c>
      <c r="H820" s="10">
        <f>55.9011 * CHOOSE(CONTROL!$C$15, $E$9, 100%, $G$9) + CHOOSE(CONTROL!$C$38, 0.0347, 0)</f>
        <v>55.9358</v>
      </c>
      <c r="I820" s="10">
        <f>55.9027 * CHOOSE(CONTROL!$C$15, $E$9, 100%, $G$9) + CHOOSE(CONTROL!$C$38, 0.0347, 0)</f>
        <v>55.937400000000004</v>
      </c>
      <c r="J820" s="26">
        <f>411.1353</f>
        <v>411.13529999999997</v>
      </c>
    </row>
    <row r="821" spans="1:10" ht="15.75" x14ac:dyDescent="0.25">
      <c r="A821" s="13">
        <v>66292</v>
      </c>
      <c r="B821" s="10">
        <f>60.2212 * CHOOSE(CONTROL!$C$15, $E$9, 100%, $G$9) + CHOOSE(CONTROL!$C$38, 0.0256, 0)</f>
        <v>60.2468</v>
      </c>
      <c r="C821" s="10">
        <f>55.5408 * CHOOSE(CONTROL!$C$15, $E$9, 100%, $G$9) + CHOOSE(CONTROL!$C$38, 0.0347, 0)</f>
        <v>55.575499999999998</v>
      </c>
      <c r="D821" s="10">
        <f>55.533 * CHOOSE(CONTROL!$C$15, $E$9, 100%, $G$9) + CHOOSE(CONTROL!$C$38, 0.0347, 0)</f>
        <v>55.567700000000002</v>
      </c>
      <c r="E821" s="28">
        <f>60.065 * CHOOSE(CONTROL!$C$15, $E$9, 100%, $G$9) + CHOOSE(CONTROL!$C$38, 0.0347, 0)</f>
        <v>60.099699999999999</v>
      </c>
      <c r="F821" s="27">
        <f>60.065 * CHOOSE(CONTROL!$C$15, $E$9, 100%, $G$9) + CHOOSE(CONTROL!$C$38, 0.0256, 0)</f>
        <v>60.090599999999995</v>
      </c>
      <c r="G821" s="10">
        <f>55.5393 * CHOOSE(CONTROL!$C$15, $E$9, 100%, $G$9) + CHOOSE(CONTROL!$C$38, 0.0347, 0)</f>
        <v>55.573999999999998</v>
      </c>
      <c r="H821" s="10">
        <f>55.5393 * CHOOSE(CONTROL!$C$15, $E$9, 100%, $G$9) + CHOOSE(CONTROL!$C$38, 0.0347, 0)</f>
        <v>55.573999999999998</v>
      </c>
      <c r="I821" s="10">
        <f>55.5408 * CHOOSE(CONTROL!$C$15, $E$9, 100%, $G$9) + CHOOSE(CONTROL!$C$38, 0.0347, 0)</f>
        <v>55.575499999999998</v>
      </c>
      <c r="J821" s="26">
        <f>417.0593</f>
        <v>417.05930000000001</v>
      </c>
    </row>
    <row r="822" spans="1:10" ht="15.75" x14ac:dyDescent="0.25">
      <c r="A822" s="13">
        <v>66323</v>
      </c>
      <c r="B822" s="10">
        <f>60.0148 * CHOOSE(CONTROL!$C$15, $E$9, 100%, $G$9) + CHOOSE(CONTROL!$C$38, 0.0256, 0)</f>
        <v>60.040399999999998</v>
      </c>
      <c r="C822" s="10">
        <f>55.3343 * CHOOSE(CONTROL!$C$15, $E$9, 100%, $G$9) + CHOOSE(CONTROL!$C$38, 0.0347, 0)</f>
        <v>55.369</v>
      </c>
      <c r="D822" s="10">
        <f>55.3265 * CHOOSE(CONTROL!$C$15, $E$9, 100%, $G$9) + CHOOSE(CONTROL!$C$38, 0.0347, 0)</f>
        <v>55.361200000000004</v>
      </c>
      <c r="E822" s="28">
        <f>59.8585 * CHOOSE(CONTROL!$C$15, $E$9, 100%, $G$9) + CHOOSE(CONTROL!$C$38, 0.0347, 0)</f>
        <v>59.8932</v>
      </c>
      <c r="F822" s="27">
        <f>59.8585 * CHOOSE(CONTROL!$C$15, $E$9, 100%, $G$9) + CHOOSE(CONTROL!$C$38, 0.0256, 0)</f>
        <v>59.884099999999997</v>
      </c>
      <c r="G822" s="10">
        <f>55.3328 * CHOOSE(CONTROL!$C$15, $E$9, 100%, $G$9) + CHOOSE(CONTROL!$C$38, 0.0347, 0)</f>
        <v>55.3675</v>
      </c>
      <c r="H822" s="10">
        <f>55.3328 * CHOOSE(CONTROL!$C$15, $E$9, 100%, $G$9) + CHOOSE(CONTROL!$C$38, 0.0347, 0)</f>
        <v>55.3675</v>
      </c>
      <c r="I822" s="10">
        <f>55.3343 * CHOOSE(CONTROL!$C$15, $E$9, 100%, $G$9) + CHOOSE(CONTROL!$C$38, 0.0347, 0)</f>
        <v>55.369</v>
      </c>
      <c r="J822" s="26">
        <f>415.1089</f>
        <v>415.10890000000001</v>
      </c>
    </row>
    <row r="823" spans="1:10" ht="15.75" x14ac:dyDescent="0.25">
      <c r="A823" s="13">
        <v>66354</v>
      </c>
      <c r="B823" s="10">
        <f>60.1167 * CHOOSE(CONTROL!$C$15, $E$9, 100%, $G$9) + CHOOSE(CONTROL!$C$38, 0.0256, 0)</f>
        <v>60.142299999999999</v>
      </c>
      <c r="C823" s="10">
        <f>55.4362 * CHOOSE(CONTROL!$C$15, $E$9, 100%, $G$9) + CHOOSE(CONTROL!$C$38, 0.0347, 0)</f>
        <v>55.4709</v>
      </c>
      <c r="D823" s="10">
        <f>55.4284 * CHOOSE(CONTROL!$C$15, $E$9, 100%, $G$9) + CHOOSE(CONTROL!$C$38, 0.0347, 0)</f>
        <v>55.463100000000004</v>
      </c>
      <c r="E823" s="28">
        <f>59.9604 * CHOOSE(CONTROL!$C$15, $E$9, 100%, $G$9) + CHOOSE(CONTROL!$C$38, 0.0347, 0)</f>
        <v>59.995100000000001</v>
      </c>
      <c r="F823" s="27">
        <f>59.9604 * CHOOSE(CONTROL!$C$15, $E$9, 100%, $G$9) + CHOOSE(CONTROL!$C$38, 0.0256, 0)</f>
        <v>59.985999999999997</v>
      </c>
      <c r="G823" s="10">
        <f>55.4347 * CHOOSE(CONTROL!$C$15, $E$9, 100%, $G$9) + CHOOSE(CONTROL!$C$38, 0.0347, 0)</f>
        <v>55.4694</v>
      </c>
      <c r="H823" s="10">
        <f>55.4347 * CHOOSE(CONTROL!$C$15, $E$9, 100%, $G$9) + CHOOSE(CONTROL!$C$38, 0.0347, 0)</f>
        <v>55.4694</v>
      </c>
      <c r="I823" s="10">
        <f>55.4362 * CHOOSE(CONTROL!$C$15, $E$9, 100%, $G$9) + CHOOSE(CONTROL!$C$38, 0.0347, 0)</f>
        <v>55.4709</v>
      </c>
      <c r="J823" s="26">
        <f>405.4453</f>
        <v>405.44529999999997</v>
      </c>
    </row>
    <row r="824" spans="1:10" ht="15.75" x14ac:dyDescent="0.25">
      <c r="A824" s="13">
        <v>66384</v>
      </c>
      <c r="B824" s="10">
        <f>60.3935 * CHOOSE(CONTROL!$C$15, $E$9, 100%, $G$9) + CHOOSE(CONTROL!$C$38, 0.0256, 0)</f>
        <v>60.4191</v>
      </c>
      <c r="C824" s="10">
        <f>55.713 * CHOOSE(CONTROL!$C$15, $E$9, 100%, $G$9) + CHOOSE(CONTROL!$C$38, 0.0347, 0)</f>
        <v>55.747700000000002</v>
      </c>
      <c r="D824" s="10">
        <f>55.7052 * CHOOSE(CONTROL!$C$15, $E$9, 100%, $G$9) + CHOOSE(CONTROL!$C$38, 0.0347, 0)</f>
        <v>55.739899999999999</v>
      </c>
      <c r="E824" s="28">
        <f>60.2372 * CHOOSE(CONTROL!$C$15, $E$9, 100%, $G$9) + CHOOSE(CONTROL!$C$38, 0.0347, 0)</f>
        <v>60.271900000000002</v>
      </c>
      <c r="F824" s="27">
        <f>60.2372 * CHOOSE(CONTROL!$C$15, $E$9, 100%, $G$9) + CHOOSE(CONTROL!$C$38, 0.0256, 0)</f>
        <v>60.262799999999999</v>
      </c>
      <c r="G824" s="10">
        <f>55.7115 * CHOOSE(CONTROL!$C$15, $E$9, 100%, $G$9) + CHOOSE(CONTROL!$C$38, 0.0347, 0)</f>
        <v>55.746200000000002</v>
      </c>
      <c r="H824" s="10">
        <f>55.7115 * CHOOSE(CONTROL!$C$15, $E$9, 100%, $G$9) + CHOOSE(CONTROL!$C$38, 0.0347, 0)</f>
        <v>55.746200000000002</v>
      </c>
      <c r="I824" s="10">
        <f>55.713 * CHOOSE(CONTROL!$C$15, $E$9, 100%, $G$9) + CHOOSE(CONTROL!$C$38, 0.0347, 0)</f>
        <v>55.747700000000002</v>
      </c>
      <c r="J824" s="26">
        <f>391.969</f>
        <v>391.96899999999999</v>
      </c>
    </row>
    <row r="825" spans="1:10" ht="15.75" x14ac:dyDescent="0.25">
      <c r="A825" s="13">
        <v>66415</v>
      </c>
      <c r="B825" s="10">
        <f>60.6253 * CHOOSE(CONTROL!$C$15, $E$9, 100%, $G$9) + CHOOSE(CONTROL!$C$38, 0.0256, 0)</f>
        <v>60.6509</v>
      </c>
      <c r="C825" s="10">
        <f>55.9449 * CHOOSE(CONTROL!$C$15, $E$9, 100%, $G$9) + CHOOSE(CONTROL!$C$38, 0.0347, 0)</f>
        <v>55.979599999999998</v>
      </c>
      <c r="D825" s="10">
        <f>55.9371 * CHOOSE(CONTROL!$C$15, $E$9, 100%, $G$9) + CHOOSE(CONTROL!$C$38, 0.0347, 0)</f>
        <v>55.971800000000002</v>
      </c>
      <c r="E825" s="28">
        <f>60.469 * CHOOSE(CONTROL!$C$15, $E$9, 100%, $G$9) + CHOOSE(CONTROL!$C$38, 0.0347, 0)</f>
        <v>60.503700000000002</v>
      </c>
      <c r="F825" s="27">
        <f>60.469 * CHOOSE(CONTROL!$C$15, $E$9, 100%, $G$9) + CHOOSE(CONTROL!$C$38, 0.0256, 0)</f>
        <v>60.494599999999998</v>
      </c>
      <c r="G825" s="10">
        <f>55.9433 * CHOOSE(CONTROL!$C$15, $E$9, 100%, $G$9) + CHOOSE(CONTROL!$C$38, 0.0347, 0)</f>
        <v>55.978000000000002</v>
      </c>
      <c r="H825" s="10">
        <f>55.9433 * CHOOSE(CONTROL!$C$15, $E$9, 100%, $G$9) + CHOOSE(CONTROL!$C$38, 0.0347, 0)</f>
        <v>55.978000000000002</v>
      </c>
      <c r="I825" s="10">
        <f>55.9449 * CHOOSE(CONTROL!$C$15, $E$9, 100%, $G$9) + CHOOSE(CONTROL!$C$38, 0.0347, 0)</f>
        <v>55.979599999999998</v>
      </c>
      <c r="J825" s="26">
        <f>378.4143</f>
        <v>378.41430000000003</v>
      </c>
    </row>
    <row r="826" spans="1:10" ht="15.75" x14ac:dyDescent="0.25">
      <c r="A826" s="13">
        <v>66445</v>
      </c>
      <c r="B826" s="10">
        <f>60.8187 * CHOOSE(CONTROL!$C$15, $E$9, 100%, $G$9) + CHOOSE(CONTROL!$C$38, 0.0256, 0)</f>
        <v>60.844299999999997</v>
      </c>
      <c r="C826" s="10">
        <f>56.1383 * CHOOSE(CONTROL!$C$15, $E$9, 100%, $G$9) + CHOOSE(CONTROL!$C$38, 0.0347, 0)</f>
        <v>56.173000000000002</v>
      </c>
      <c r="D826" s="10">
        <f>56.1305 * CHOOSE(CONTROL!$C$15, $E$9, 100%, $G$9) + CHOOSE(CONTROL!$C$38, 0.0347, 0)</f>
        <v>56.165199999999999</v>
      </c>
      <c r="E826" s="28">
        <f>60.6625 * CHOOSE(CONTROL!$C$15, $E$9, 100%, $G$9) + CHOOSE(CONTROL!$C$38, 0.0347, 0)</f>
        <v>60.697200000000002</v>
      </c>
      <c r="F826" s="27">
        <f>60.6625 * CHOOSE(CONTROL!$C$15, $E$9, 100%, $G$9) + CHOOSE(CONTROL!$C$38, 0.0256, 0)</f>
        <v>60.688099999999999</v>
      </c>
      <c r="G826" s="10">
        <f>56.1367 * CHOOSE(CONTROL!$C$15, $E$9, 100%, $G$9) + CHOOSE(CONTROL!$C$38, 0.0347, 0)</f>
        <v>56.171399999999998</v>
      </c>
      <c r="H826" s="10">
        <f>56.1367 * CHOOSE(CONTROL!$C$15, $E$9, 100%, $G$9) + CHOOSE(CONTROL!$C$38, 0.0347, 0)</f>
        <v>56.171399999999998</v>
      </c>
      <c r="I826" s="10">
        <f>56.1383 * CHOOSE(CONTROL!$C$15, $E$9, 100%, $G$9) + CHOOSE(CONTROL!$C$38, 0.0347, 0)</f>
        <v>56.173000000000002</v>
      </c>
      <c r="J826" s="26">
        <f>375.718</f>
        <v>375.71800000000002</v>
      </c>
    </row>
    <row r="827" spans="1:10" ht="15.75" x14ac:dyDescent="0.25">
      <c r="A827" s="13">
        <v>66476</v>
      </c>
      <c r="B827" s="10">
        <f>61.4148 * CHOOSE(CONTROL!$C$15, $E$9, 100%, $G$9) + CHOOSE(CONTROL!$C$38, 0.0256, 0)</f>
        <v>61.440399999999997</v>
      </c>
      <c r="C827" s="10">
        <f>56.7344 * CHOOSE(CONTROL!$C$15, $E$9, 100%, $G$9) + CHOOSE(CONTROL!$C$38, 0.0347, 0)</f>
        <v>56.769100000000002</v>
      </c>
      <c r="D827" s="10">
        <f>56.7266 * CHOOSE(CONTROL!$C$15, $E$9, 100%, $G$9) + CHOOSE(CONTROL!$C$38, 0.0347, 0)</f>
        <v>56.761299999999999</v>
      </c>
      <c r="E827" s="28">
        <f>61.2585 * CHOOSE(CONTROL!$C$15, $E$9, 100%, $G$9) + CHOOSE(CONTROL!$C$38, 0.0347, 0)</f>
        <v>61.293199999999999</v>
      </c>
      <c r="F827" s="27">
        <f>61.2585 * CHOOSE(CONTROL!$C$15, $E$9, 100%, $G$9) + CHOOSE(CONTROL!$C$38, 0.0256, 0)</f>
        <v>61.284099999999995</v>
      </c>
      <c r="G827" s="10">
        <f>56.7328 * CHOOSE(CONTROL!$C$15, $E$9, 100%, $G$9) + CHOOSE(CONTROL!$C$38, 0.0347, 0)</f>
        <v>56.767499999999998</v>
      </c>
      <c r="H827" s="10">
        <f>56.7328 * CHOOSE(CONTROL!$C$15, $E$9, 100%, $G$9) + CHOOSE(CONTROL!$C$38, 0.0347, 0)</f>
        <v>56.767499999999998</v>
      </c>
      <c r="I827" s="10">
        <f>56.7344 * CHOOSE(CONTROL!$C$15, $E$9, 100%, $G$9) + CHOOSE(CONTROL!$C$38, 0.0347, 0)</f>
        <v>56.769100000000002</v>
      </c>
      <c r="J827" s="26">
        <f>364.5686</f>
        <v>364.5686</v>
      </c>
    </row>
    <row r="828" spans="1:10" ht="15.75" x14ac:dyDescent="0.25">
      <c r="A828" s="13">
        <v>66507</v>
      </c>
      <c r="B828" s="10">
        <f>62.9498 * CHOOSE(CONTROL!$C$15, $E$9, 100%, $G$9) + CHOOSE(CONTROL!$C$38, 0.0256, 0)</f>
        <v>62.9754</v>
      </c>
      <c r="C828" s="10">
        <f>58.1895 * CHOOSE(CONTROL!$C$15, $E$9, 100%, $G$9) + CHOOSE(CONTROL!$C$38, 0.0347, 0)</f>
        <v>58.224200000000003</v>
      </c>
      <c r="D828" s="10">
        <f>58.1817 * CHOOSE(CONTROL!$C$15, $E$9, 100%, $G$9) + CHOOSE(CONTROL!$C$38, 0.0347, 0)</f>
        <v>58.2164</v>
      </c>
      <c r="E828" s="28">
        <f>62.7936 * CHOOSE(CONTROL!$C$15, $E$9, 100%, $G$9) + CHOOSE(CONTROL!$C$38, 0.0347, 0)</f>
        <v>62.828299999999999</v>
      </c>
      <c r="F828" s="27">
        <f>62.7936 * CHOOSE(CONTROL!$C$15, $E$9, 100%, $G$9) + CHOOSE(CONTROL!$C$38, 0.0256, 0)</f>
        <v>62.819199999999995</v>
      </c>
      <c r="G828" s="10">
        <f>58.1879 * CHOOSE(CONTROL!$C$15, $E$9, 100%, $G$9) + CHOOSE(CONTROL!$C$38, 0.0347, 0)</f>
        <v>58.2226</v>
      </c>
      <c r="H828" s="10">
        <f>58.1879 * CHOOSE(CONTROL!$C$15, $E$9, 100%, $G$9) + CHOOSE(CONTROL!$C$38, 0.0347, 0)</f>
        <v>58.2226</v>
      </c>
      <c r="I828" s="10">
        <f>58.1895 * CHOOSE(CONTROL!$C$15, $E$9, 100%, $G$9) + CHOOSE(CONTROL!$C$38, 0.0347, 0)</f>
        <v>58.224200000000003</v>
      </c>
      <c r="J828" s="26">
        <f>362.1265</f>
        <v>362.12650000000002</v>
      </c>
    </row>
    <row r="829" spans="1:10" ht="15.75" x14ac:dyDescent="0.25">
      <c r="A829" s="13">
        <v>66535</v>
      </c>
      <c r="B829" s="10">
        <f>63.1706 * CHOOSE(CONTROL!$C$15, $E$9, 100%, $G$9) + CHOOSE(CONTROL!$C$38, 0.0256, 0)</f>
        <v>63.196199999999997</v>
      </c>
      <c r="C829" s="10">
        <f>58.4102 * CHOOSE(CONTROL!$C$15, $E$9, 100%, $G$9) + CHOOSE(CONTROL!$C$38, 0.0347, 0)</f>
        <v>58.444900000000004</v>
      </c>
      <c r="D829" s="10">
        <f>58.4024 * CHOOSE(CONTROL!$C$15, $E$9, 100%, $G$9) + CHOOSE(CONTROL!$C$38, 0.0347, 0)</f>
        <v>58.437100000000001</v>
      </c>
      <c r="E829" s="28">
        <f>63.0144 * CHOOSE(CONTROL!$C$15, $E$9, 100%, $G$9) + CHOOSE(CONTROL!$C$38, 0.0347, 0)</f>
        <v>63.049100000000003</v>
      </c>
      <c r="F829" s="27">
        <f>63.0144 * CHOOSE(CONTROL!$C$15, $E$9, 100%, $G$9) + CHOOSE(CONTROL!$C$38, 0.0256, 0)</f>
        <v>63.04</v>
      </c>
      <c r="G829" s="10">
        <f>58.4087 * CHOOSE(CONTROL!$C$15, $E$9, 100%, $G$9) + CHOOSE(CONTROL!$C$38, 0.0347, 0)</f>
        <v>58.443400000000004</v>
      </c>
      <c r="H829" s="10">
        <f>58.4087 * CHOOSE(CONTROL!$C$15, $E$9, 100%, $G$9) + CHOOSE(CONTROL!$C$38, 0.0347, 0)</f>
        <v>58.443400000000004</v>
      </c>
      <c r="I829" s="10">
        <f>58.4102 * CHOOSE(CONTROL!$C$15, $E$9, 100%, $G$9) + CHOOSE(CONTROL!$C$38, 0.0347, 0)</f>
        <v>58.444900000000004</v>
      </c>
      <c r="J829" s="26">
        <f>361.1199</f>
        <v>361.11989999999997</v>
      </c>
    </row>
    <row r="830" spans="1:10" ht="15.75" x14ac:dyDescent="0.25">
      <c r="A830" s="13">
        <v>66566</v>
      </c>
      <c r="B830" s="10">
        <f>62.6596 * CHOOSE(CONTROL!$C$15, $E$9, 100%, $G$9) + CHOOSE(CONTROL!$C$38, 0.0256, 0)</f>
        <v>62.685199999999995</v>
      </c>
      <c r="C830" s="10">
        <f>57.8992 * CHOOSE(CONTROL!$C$15, $E$9, 100%, $G$9) + CHOOSE(CONTROL!$C$38, 0.0347, 0)</f>
        <v>57.933900000000001</v>
      </c>
      <c r="D830" s="10">
        <f>57.8914 * CHOOSE(CONTROL!$C$15, $E$9, 100%, $G$9) + CHOOSE(CONTROL!$C$38, 0.0347, 0)</f>
        <v>57.926099999999998</v>
      </c>
      <c r="E830" s="28">
        <f>62.5033 * CHOOSE(CONTROL!$C$15, $E$9, 100%, $G$9) + CHOOSE(CONTROL!$C$38, 0.0347, 0)</f>
        <v>62.538000000000004</v>
      </c>
      <c r="F830" s="27">
        <f>62.5033 * CHOOSE(CONTROL!$C$15, $E$9, 100%, $G$9) + CHOOSE(CONTROL!$C$38, 0.0256, 0)</f>
        <v>62.5289</v>
      </c>
      <c r="G830" s="10">
        <f>57.8977 * CHOOSE(CONTROL!$C$15, $E$9, 100%, $G$9) + CHOOSE(CONTROL!$C$38, 0.0347, 0)</f>
        <v>57.932400000000001</v>
      </c>
      <c r="H830" s="10">
        <f>57.8977 * CHOOSE(CONTROL!$C$15, $E$9, 100%, $G$9) + CHOOSE(CONTROL!$C$38, 0.0347, 0)</f>
        <v>57.932400000000001</v>
      </c>
      <c r="I830" s="10">
        <f>57.8992 * CHOOSE(CONTROL!$C$15, $E$9, 100%, $G$9) + CHOOSE(CONTROL!$C$38, 0.0347, 0)</f>
        <v>57.933900000000001</v>
      </c>
      <c r="J830" s="26">
        <f>380.153</f>
        <v>380.15300000000002</v>
      </c>
    </row>
    <row r="831" spans="1:10" ht="15.75" x14ac:dyDescent="0.25">
      <c r="A831" s="13">
        <v>66596</v>
      </c>
      <c r="B831" s="10">
        <f>62.1644 * CHOOSE(CONTROL!$C$15, $E$9, 100%, $G$9) + CHOOSE(CONTROL!$C$38, 0.0256, 0)</f>
        <v>62.19</v>
      </c>
      <c r="C831" s="10">
        <f>57.404 * CHOOSE(CONTROL!$C$15, $E$9, 100%, $G$9) + CHOOSE(CONTROL!$C$38, 0.0347, 0)</f>
        <v>57.438700000000004</v>
      </c>
      <c r="D831" s="10">
        <f>57.3962 * CHOOSE(CONTROL!$C$15, $E$9, 100%, $G$9) + CHOOSE(CONTROL!$C$38, 0.0347, 0)</f>
        <v>57.430900000000001</v>
      </c>
      <c r="E831" s="28">
        <f>62.0081 * CHOOSE(CONTROL!$C$15, $E$9, 100%, $G$9) + CHOOSE(CONTROL!$C$38, 0.0347, 0)</f>
        <v>62.0428</v>
      </c>
      <c r="F831" s="27">
        <f>62.0081 * CHOOSE(CONTROL!$C$15, $E$9, 100%, $G$9) + CHOOSE(CONTROL!$C$38, 0.0256, 0)</f>
        <v>62.033699999999996</v>
      </c>
      <c r="G831" s="10">
        <f>57.4025 * CHOOSE(CONTROL!$C$15, $E$9, 100%, $G$9) + CHOOSE(CONTROL!$C$38, 0.0347, 0)</f>
        <v>57.437200000000004</v>
      </c>
      <c r="H831" s="10">
        <f>57.4025 * CHOOSE(CONTROL!$C$15, $E$9, 100%, $G$9) + CHOOSE(CONTROL!$C$38, 0.0347, 0)</f>
        <v>57.437200000000004</v>
      </c>
      <c r="I831" s="10">
        <f>57.404 * CHOOSE(CONTROL!$C$15, $E$9, 100%, $G$9) + CHOOSE(CONTROL!$C$38, 0.0347, 0)</f>
        <v>57.438700000000004</v>
      </c>
      <c r="J831" s="26">
        <f>404.8344</f>
        <v>404.83440000000002</v>
      </c>
    </row>
    <row r="832" spans="1:10" ht="15.75" x14ac:dyDescent="0.25">
      <c r="A832" s="13">
        <v>66627</v>
      </c>
      <c r="B832" s="10">
        <f>61.6483 * CHOOSE(CONTROL!$C$15, $E$9, 100%, $G$9) + CHOOSE(CONTROL!$C$38, 0.0256, 0)</f>
        <v>61.673899999999996</v>
      </c>
      <c r="C832" s="10">
        <f>56.8879 * CHOOSE(CONTROL!$C$15, $E$9, 100%, $G$9) + CHOOSE(CONTROL!$C$38, 0.0347, 0)</f>
        <v>56.922600000000003</v>
      </c>
      <c r="D832" s="10">
        <f>56.8801 * CHOOSE(CONTROL!$C$15, $E$9, 100%, $G$9) + CHOOSE(CONTROL!$C$38, 0.0347, 0)</f>
        <v>56.9148</v>
      </c>
      <c r="E832" s="28">
        <f>61.492 * CHOOSE(CONTROL!$C$15, $E$9, 100%, $G$9) + CHOOSE(CONTROL!$C$38, 0.0347, 0)</f>
        <v>61.526699999999998</v>
      </c>
      <c r="F832" s="27">
        <f>61.492 * CHOOSE(CONTROL!$C$15, $E$9, 100%, $G$9) + CHOOSE(CONTROL!$C$38, 0.0256, 0)</f>
        <v>61.517599999999995</v>
      </c>
      <c r="G832" s="10">
        <f>56.8864 * CHOOSE(CONTROL!$C$15, $E$9, 100%, $G$9) + CHOOSE(CONTROL!$C$38, 0.0347, 0)</f>
        <v>56.921100000000003</v>
      </c>
      <c r="H832" s="10">
        <f>56.8864 * CHOOSE(CONTROL!$C$15, $E$9, 100%, $G$9) + CHOOSE(CONTROL!$C$38, 0.0347, 0)</f>
        <v>56.921100000000003</v>
      </c>
      <c r="I832" s="10">
        <f>56.8879 * CHOOSE(CONTROL!$C$15, $E$9, 100%, $G$9) + CHOOSE(CONTROL!$C$38, 0.0347, 0)</f>
        <v>56.922600000000003</v>
      </c>
      <c r="J832" s="26">
        <f>418.4199</f>
        <v>418.41989999999998</v>
      </c>
    </row>
    <row r="833" spans="1:10" ht="15.75" x14ac:dyDescent="0.25">
      <c r="A833" s="13">
        <v>66657</v>
      </c>
      <c r="B833" s="10">
        <f>61.2864 * CHOOSE(CONTROL!$C$15, $E$9, 100%, $G$9) + CHOOSE(CONTROL!$C$38, 0.0256, 0)</f>
        <v>61.311999999999998</v>
      </c>
      <c r="C833" s="10">
        <f>56.5261 * CHOOSE(CONTROL!$C$15, $E$9, 100%, $G$9) + CHOOSE(CONTROL!$C$38, 0.0347, 0)</f>
        <v>56.5608</v>
      </c>
      <c r="D833" s="10">
        <f>56.5183 * CHOOSE(CONTROL!$C$15, $E$9, 100%, $G$9) + CHOOSE(CONTROL!$C$38, 0.0347, 0)</f>
        <v>56.553000000000004</v>
      </c>
      <c r="E833" s="28">
        <f>61.1302 * CHOOSE(CONTROL!$C$15, $E$9, 100%, $G$9) + CHOOSE(CONTROL!$C$38, 0.0347, 0)</f>
        <v>61.164900000000003</v>
      </c>
      <c r="F833" s="27">
        <f>61.1302 * CHOOSE(CONTROL!$C$15, $E$9, 100%, $G$9) + CHOOSE(CONTROL!$C$38, 0.0256, 0)</f>
        <v>61.155799999999999</v>
      </c>
      <c r="G833" s="10">
        <f>56.5245 * CHOOSE(CONTROL!$C$15, $E$9, 100%, $G$9) + CHOOSE(CONTROL!$C$38, 0.0347, 0)</f>
        <v>56.559200000000004</v>
      </c>
      <c r="H833" s="10">
        <f>56.5245 * CHOOSE(CONTROL!$C$15, $E$9, 100%, $G$9) + CHOOSE(CONTROL!$C$38, 0.0347, 0)</f>
        <v>56.559200000000004</v>
      </c>
      <c r="I833" s="10">
        <f>56.5261 * CHOOSE(CONTROL!$C$15, $E$9, 100%, $G$9) + CHOOSE(CONTROL!$C$38, 0.0347, 0)</f>
        <v>56.5608</v>
      </c>
      <c r="J833" s="26">
        <f>424.4488</f>
        <v>424.44880000000001</v>
      </c>
    </row>
    <row r="834" spans="1:10" ht="15.75" x14ac:dyDescent="0.25">
      <c r="A834" s="13">
        <v>66688</v>
      </c>
      <c r="B834" s="10">
        <f>61.08 * CHOOSE(CONTROL!$C$15, $E$9, 100%, $G$9) + CHOOSE(CONTROL!$C$38, 0.0256, 0)</f>
        <v>61.105599999999995</v>
      </c>
      <c r="C834" s="10">
        <f>56.3196 * CHOOSE(CONTROL!$C$15, $E$9, 100%, $G$9) + CHOOSE(CONTROL!$C$38, 0.0347, 0)</f>
        <v>56.354300000000002</v>
      </c>
      <c r="D834" s="10">
        <f>56.3118 * CHOOSE(CONTROL!$C$15, $E$9, 100%, $G$9) + CHOOSE(CONTROL!$C$38, 0.0347, 0)</f>
        <v>56.346499999999999</v>
      </c>
      <c r="E834" s="28">
        <f>60.9237 * CHOOSE(CONTROL!$C$15, $E$9, 100%, $G$9) + CHOOSE(CONTROL!$C$38, 0.0347, 0)</f>
        <v>60.958399999999997</v>
      </c>
      <c r="F834" s="27">
        <f>60.9237 * CHOOSE(CONTROL!$C$15, $E$9, 100%, $G$9) + CHOOSE(CONTROL!$C$38, 0.0256, 0)</f>
        <v>60.949299999999994</v>
      </c>
      <c r="G834" s="10">
        <f>56.318 * CHOOSE(CONTROL!$C$15, $E$9, 100%, $G$9) + CHOOSE(CONTROL!$C$38, 0.0347, 0)</f>
        <v>56.352699999999999</v>
      </c>
      <c r="H834" s="10">
        <f>56.318 * CHOOSE(CONTROL!$C$15, $E$9, 100%, $G$9) + CHOOSE(CONTROL!$C$38, 0.0347, 0)</f>
        <v>56.352699999999999</v>
      </c>
      <c r="I834" s="10">
        <f>56.3196 * CHOOSE(CONTROL!$C$15, $E$9, 100%, $G$9) + CHOOSE(CONTROL!$C$38, 0.0347, 0)</f>
        <v>56.354300000000002</v>
      </c>
      <c r="J834" s="26">
        <f>422.4638</f>
        <v>422.46379999999999</v>
      </c>
    </row>
    <row r="835" spans="1:10" ht="15.75" x14ac:dyDescent="0.25">
      <c r="A835" s="13">
        <v>66719</v>
      </c>
      <c r="B835" s="10">
        <f>61.1819 * CHOOSE(CONTROL!$C$15, $E$9, 100%, $G$9) + CHOOSE(CONTROL!$C$38, 0.0256, 0)</f>
        <v>61.207499999999996</v>
      </c>
      <c r="C835" s="10">
        <f>56.4215 * CHOOSE(CONTROL!$C$15, $E$9, 100%, $G$9) + CHOOSE(CONTROL!$C$38, 0.0347, 0)</f>
        <v>56.456200000000003</v>
      </c>
      <c r="D835" s="10">
        <f>56.4137 * CHOOSE(CONTROL!$C$15, $E$9, 100%, $G$9) + CHOOSE(CONTROL!$C$38, 0.0347, 0)</f>
        <v>56.448399999999999</v>
      </c>
      <c r="E835" s="28">
        <f>61.0256 * CHOOSE(CONTROL!$C$15, $E$9, 100%, $G$9) + CHOOSE(CONTROL!$C$38, 0.0347, 0)</f>
        <v>61.060299999999998</v>
      </c>
      <c r="F835" s="27">
        <f>61.0256 * CHOOSE(CONTROL!$C$15, $E$9, 100%, $G$9) + CHOOSE(CONTROL!$C$38, 0.0256, 0)</f>
        <v>61.051199999999994</v>
      </c>
      <c r="G835" s="10">
        <f>56.4199 * CHOOSE(CONTROL!$C$15, $E$9, 100%, $G$9) + CHOOSE(CONTROL!$C$38, 0.0347, 0)</f>
        <v>56.454599999999999</v>
      </c>
      <c r="H835" s="10">
        <f>56.4199 * CHOOSE(CONTROL!$C$15, $E$9, 100%, $G$9) + CHOOSE(CONTROL!$C$38, 0.0347, 0)</f>
        <v>56.454599999999999</v>
      </c>
      <c r="I835" s="10">
        <f>56.4215 * CHOOSE(CONTROL!$C$15, $E$9, 100%, $G$9) + CHOOSE(CONTROL!$C$38, 0.0347, 0)</f>
        <v>56.456200000000003</v>
      </c>
      <c r="J835" s="26">
        <f>412.629</f>
        <v>412.62900000000002</v>
      </c>
    </row>
    <row r="836" spans="1:10" ht="15.75" x14ac:dyDescent="0.25">
      <c r="A836" s="13">
        <v>66749</v>
      </c>
      <c r="B836" s="10">
        <f>61.4587 * CHOOSE(CONTROL!$C$15, $E$9, 100%, $G$9) + CHOOSE(CONTROL!$C$38, 0.0256, 0)</f>
        <v>61.484299999999998</v>
      </c>
      <c r="C836" s="10">
        <f>56.6983 * CHOOSE(CONTROL!$C$15, $E$9, 100%, $G$9) + CHOOSE(CONTROL!$C$38, 0.0347, 0)</f>
        <v>56.733000000000004</v>
      </c>
      <c r="D836" s="10">
        <f>56.6905 * CHOOSE(CONTROL!$C$15, $E$9, 100%, $G$9) + CHOOSE(CONTROL!$C$38, 0.0347, 0)</f>
        <v>56.725200000000001</v>
      </c>
      <c r="E836" s="28">
        <f>61.3024 * CHOOSE(CONTROL!$C$15, $E$9, 100%, $G$9) + CHOOSE(CONTROL!$C$38, 0.0347, 0)</f>
        <v>61.3371</v>
      </c>
      <c r="F836" s="27">
        <f>61.3024 * CHOOSE(CONTROL!$C$15, $E$9, 100%, $G$9) + CHOOSE(CONTROL!$C$38, 0.0256, 0)</f>
        <v>61.327999999999996</v>
      </c>
      <c r="G836" s="10">
        <f>56.6967 * CHOOSE(CONTROL!$C$15, $E$9, 100%, $G$9) + CHOOSE(CONTROL!$C$38, 0.0347, 0)</f>
        <v>56.731400000000001</v>
      </c>
      <c r="H836" s="10">
        <f>56.6967 * CHOOSE(CONTROL!$C$15, $E$9, 100%, $G$9) + CHOOSE(CONTROL!$C$38, 0.0347, 0)</f>
        <v>56.731400000000001</v>
      </c>
      <c r="I836" s="10">
        <f>56.6983 * CHOOSE(CONTROL!$C$15, $E$9, 100%, $G$9) + CHOOSE(CONTROL!$C$38, 0.0347, 0)</f>
        <v>56.733000000000004</v>
      </c>
      <c r="J836" s="26">
        <f>398.914</f>
        <v>398.91399999999999</v>
      </c>
    </row>
    <row r="837" spans="1:10" ht="15.75" x14ac:dyDescent="0.25">
      <c r="A837" s="13">
        <v>66780</v>
      </c>
      <c r="B837" s="10">
        <f>61.6905 * CHOOSE(CONTROL!$C$15, $E$9, 100%, $G$9) + CHOOSE(CONTROL!$C$38, 0.0256, 0)</f>
        <v>61.716099999999997</v>
      </c>
      <c r="C837" s="10">
        <f>56.9301 * CHOOSE(CONTROL!$C$15, $E$9, 100%, $G$9) + CHOOSE(CONTROL!$C$38, 0.0347, 0)</f>
        <v>56.964800000000004</v>
      </c>
      <c r="D837" s="10">
        <f>56.9223 * CHOOSE(CONTROL!$C$15, $E$9, 100%, $G$9) + CHOOSE(CONTROL!$C$38, 0.0347, 0)</f>
        <v>56.957000000000001</v>
      </c>
      <c r="E837" s="28">
        <f>61.5342 * CHOOSE(CONTROL!$C$15, $E$9, 100%, $G$9) + CHOOSE(CONTROL!$C$38, 0.0347, 0)</f>
        <v>61.568899999999999</v>
      </c>
      <c r="F837" s="27">
        <f>61.5342 * CHOOSE(CONTROL!$C$15, $E$9, 100%, $G$9) + CHOOSE(CONTROL!$C$38, 0.0256, 0)</f>
        <v>61.559799999999996</v>
      </c>
      <c r="G837" s="10">
        <f>56.9286 * CHOOSE(CONTROL!$C$15, $E$9, 100%, $G$9) + CHOOSE(CONTROL!$C$38, 0.0347, 0)</f>
        <v>56.963300000000004</v>
      </c>
      <c r="H837" s="10">
        <f>56.9286 * CHOOSE(CONTROL!$C$15, $E$9, 100%, $G$9) + CHOOSE(CONTROL!$C$38, 0.0347, 0)</f>
        <v>56.963300000000004</v>
      </c>
      <c r="I837" s="10">
        <f>56.9301 * CHOOSE(CONTROL!$C$15, $E$9, 100%, $G$9) + CHOOSE(CONTROL!$C$38, 0.0347, 0)</f>
        <v>56.964800000000004</v>
      </c>
      <c r="J837" s="26">
        <f>385.1191</f>
        <v>385.1191</v>
      </c>
    </row>
    <row r="838" spans="1:10" ht="15.75" x14ac:dyDescent="0.25">
      <c r="A838" s="13">
        <v>66810</v>
      </c>
      <c r="B838" s="10">
        <f>61.8839 * CHOOSE(CONTROL!$C$15, $E$9, 100%, $G$9) + CHOOSE(CONTROL!$C$38, 0.0256, 0)</f>
        <v>61.909499999999994</v>
      </c>
      <c r="C838" s="10">
        <f>57.1236 * CHOOSE(CONTROL!$C$15, $E$9, 100%, $G$9) + CHOOSE(CONTROL!$C$38, 0.0347, 0)</f>
        <v>57.158300000000004</v>
      </c>
      <c r="D838" s="10">
        <f>57.1158 * CHOOSE(CONTROL!$C$15, $E$9, 100%, $G$9) + CHOOSE(CONTROL!$C$38, 0.0347, 0)</f>
        <v>57.150500000000001</v>
      </c>
      <c r="E838" s="28">
        <f>61.7277 * CHOOSE(CONTROL!$C$15, $E$9, 100%, $G$9) + CHOOSE(CONTROL!$C$38, 0.0347, 0)</f>
        <v>61.7624</v>
      </c>
      <c r="F838" s="27">
        <f>61.7277 * CHOOSE(CONTROL!$C$15, $E$9, 100%, $G$9) + CHOOSE(CONTROL!$C$38, 0.0256, 0)</f>
        <v>61.753299999999996</v>
      </c>
      <c r="G838" s="10">
        <f>57.122 * CHOOSE(CONTROL!$C$15, $E$9, 100%, $G$9) + CHOOSE(CONTROL!$C$38, 0.0347, 0)</f>
        <v>57.156700000000001</v>
      </c>
      <c r="H838" s="10">
        <f>57.122 * CHOOSE(CONTROL!$C$15, $E$9, 100%, $G$9) + CHOOSE(CONTROL!$C$38, 0.0347, 0)</f>
        <v>57.156700000000001</v>
      </c>
      <c r="I838" s="10">
        <f>57.1236 * CHOOSE(CONTROL!$C$15, $E$9, 100%, $G$9) + CHOOSE(CONTROL!$C$38, 0.0347, 0)</f>
        <v>57.158300000000004</v>
      </c>
      <c r="J838" s="26">
        <f>382.375</f>
        <v>382.375</v>
      </c>
    </row>
    <row r="839" spans="1:10" ht="15.75" x14ac:dyDescent="0.25">
      <c r="A839" s="13">
        <v>66841</v>
      </c>
      <c r="B839" s="10">
        <f>62.48 * CHOOSE(CONTROL!$C$15, $E$9, 100%, $G$9) + CHOOSE(CONTROL!$C$38, 0.0256, 0)</f>
        <v>62.505599999999994</v>
      </c>
      <c r="C839" s="10">
        <f>57.7196 * CHOOSE(CONTROL!$C$15, $E$9, 100%, $G$9) + CHOOSE(CONTROL!$C$38, 0.0347, 0)</f>
        <v>57.754300000000001</v>
      </c>
      <c r="D839" s="10">
        <f>57.7118 * CHOOSE(CONTROL!$C$15, $E$9, 100%, $G$9) + CHOOSE(CONTROL!$C$38, 0.0347, 0)</f>
        <v>57.746499999999997</v>
      </c>
      <c r="E839" s="28">
        <f>62.3237 * CHOOSE(CONTROL!$C$15, $E$9, 100%, $G$9) + CHOOSE(CONTROL!$C$38, 0.0347, 0)</f>
        <v>62.358400000000003</v>
      </c>
      <c r="F839" s="27">
        <f>62.3237 * CHOOSE(CONTROL!$C$15, $E$9, 100%, $G$9) + CHOOSE(CONTROL!$C$38, 0.0256, 0)</f>
        <v>62.349299999999999</v>
      </c>
      <c r="G839" s="10">
        <f>57.7181 * CHOOSE(CONTROL!$C$15, $E$9, 100%, $G$9) + CHOOSE(CONTROL!$C$38, 0.0347, 0)</f>
        <v>57.752800000000001</v>
      </c>
      <c r="H839" s="10">
        <f>57.7181 * CHOOSE(CONTROL!$C$15, $E$9, 100%, $G$9) + CHOOSE(CONTROL!$C$38, 0.0347, 0)</f>
        <v>57.752800000000001</v>
      </c>
      <c r="I839" s="10">
        <f>57.7196 * CHOOSE(CONTROL!$C$15, $E$9, 100%, $G$9) + CHOOSE(CONTROL!$C$38, 0.0347, 0)</f>
        <v>57.754300000000001</v>
      </c>
      <c r="J839" s="26">
        <f>371.028</f>
        <v>371.02800000000002</v>
      </c>
    </row>
    <row r="840" spans="1:10" ht="15.75" x14ac:dyDescent="0.25">
      <c r="A840" s="13">
        <v>66872</v>
      </c>
      <c r="B840" s="10">
        <f>64.0339 * CHOOSE(CONTROL!$C$15, $E$9, 100%, $G$9) + CHOOSE(CONTROL!$C$38, 0.0256, 0)</f>
        <v>64.0595</v>
      </c>
      <c r="C840" s="10">
        <f>59.1922 * CHOOSE(CONTROL!$C$15, $E$9, 100%, $G$9) + CHOOSE(CONTROL!$C$38, 0.0347, 0)</f>
        <v>59.226900000000001</v>
      </c>
      <c r="D840" s="10">
        <f>59.1843 * CHOOSE(CONTROL!$C$15, $E$9, 100%, $G$9) + CHOOSE(CONTROL!$C$38, 0.0347, 0)</f>
        <v>59.219000000000001</v>
      </c>
      <c r="E840" s="28">
        <f>63.8776 * CHOOSE(CONTROL!$C$15, $E$9, 100%, $G$9) + CHOOSE(CONTROL!$C$38, 0.0347, 0)</f>
        <v>63.912300000000002</v>
      </c>
      <c r="F840" s="27">
        <f>63.8776 * CHOOSE(CONTROL!$C$15, $E$9, 100%, $G$9) + CHOOSE(CONTROL!$C$38, 0.0256, 0)</f>
        <v>63.903199999999998</v>
      </c>
      <c r="G840" s="10">
        <f>59.1906 * CHOOSE(CONTROL!$C$15, $E$9, 100%, $G$9) + CHOOSE(CONTROL!$C$38, 0.0347, 0)</f>
        <v>59.225300000000004</v>
      </c>
      <c r="H840" s="10">
        <f>59.1906 * CHOOSE(CONTROL!$C$15, $E$9, 100%, $G$9) + CHOOSE(CONTROL!$C$38, 0.0347, 0)</f>
        <v>59.225300000000004</v>
      </c>
      <c r="I840" s="10">
        <f>59.1922 * CHOOSE(CONTROL!$C$15, $E$9, 100%, $G$9) + CHOOSE(CONTROL!$C$38, 0.0347, 0)</f>
        <v>59.226900000000001</v>
      </c>
      <c r="J840" s="26">
        <f>368.5427</f>
        <v>368.54270000000002</v>
      </c>
    </row>
    <row r="841" spans="1:10" ht="15.75" x14ac:dyDescent="0.25">
      <c r="A841" s="13">
        <v>66900</v>
      </c>
      <c r="B841" s="10">
        <f>64.2546 * CHOOSE(CONTROL!$C$15, $E$9, 100%, $G$9) + CHOOSE(CONTROL!$C$38, 0.0256, 0)</f>
        <v>64.280199999999994</v>
      </c>
      <c r="C841" s="10">
        <f>59.4129 * CHOOSE(CONTROL!$C$15, $E$9, 100%, $G$9) + CHOOSE(CONTROL!$C$38, 0.0347, 0)</f>
        <v>59.447600000000001</v>
      </c>
      <c r="D841" s="10">
        <f>59.4051 * CHOOSE(CONTROL!$C$15, $E$9, 100%, $G$9) + CHOOSE(CONTROL!$C$38, 0.0347, 0)</f>
        <v>59.439799999999998</v>
      </c>
      <c r="E841" s="28">
        <f>64.0984 * CHOOSE(CONTROL!$C$15, $E$9, 100%, $G$9) + CHOOSE(CONTROL!$C$38, 0.0347, 0)</f>
        <v>64.133099999999999</v>
      </c>
      <c r="F841" s="27">
        <f>64.0984 * CHOOSE(CONTROL!$C$15, $E$9, 100%, $G$9) + CHOOSE(CONTROL!$C$38, 0.0256, 0)</f>
        <v>64.123999999999995</v>
      </c>
      <c r="G841" s="10">
        <f>59.4114 * CHOOSE(CONTROL!$C$15, $E$9, 100%, $G$9) + CHOOSE(CONTROL!$C$38, 0.0347, 0)</f>
        <v>59.446100000000001</v>
      </c>
      <c r="H841" s="10">
        <f>59.4114 * CHOOSE(CONTROL!$C$15, $E$9, 100%, $G$9) + CHOOSE(CONTROL!$C$38, 0.0347, 0)</f>
        <v>59.446100000000001</v>
      </c>
      <c r="I841" s="10">
        <f>59.4129 * CHOOSE(CONTROL!$C$15, $E$9, 100%, $G$9) + CHOOSE(CONTROL!$C$38, 0.0347, 0)</f>
        <v>59.447600000000001</v>
      </c>
      <c r="J841" s="26">
        <f>367.5183</f>
        <v>367.51830000000001</v>
      </c>
    </row>
    <row r="842" spans="1:10" ht="15.75" x14ac:dyDescent="0.25">
      <c r="A842" s="13">
        <v>66931</v>
      </c>
      <c r="B842" s="10">
        <f>63.7436 * CHOOSE(CONTROL!$C$15, $E$9, 100%, $G$9) + CHOOSE(CONTROL!$C$38, 0.0256, 0)</f>
        <v>63.769199999999998</v>
      </c>
      <c r="C842" s="10">
        <f>58.9019 * CHOOSE(CONTROL!$C$15, $E$9, 100%, $G$9) + CHOOSE(CONTROL!$C$38, 0.0347, 0)</f>
        <v>58.936599999999999</v>
      </c>
      <c r="D842" s="10">
        <f>58.8941 * CHOOSE(CONTROL!$C$15, $E$9, 100%, $G$9) + CHOOSE(CONTROL!$C$38, 0.0347, 0)</f>
        <v>58.928800000000003</v>
      </c>
      <c r="E842" s="28">
        <f>63.5873 * CHOOSE(CONTROL!$C$15, $E$9, 100%, $G$9) + CHOOSE(CONTROL!$C$38, 0.0347, 0)</f>
        <v>63.622</v>
      </c>
      <c r="F842" s="27">
        <f>63.5873 * CHOOSE(CONTROL!$C$15, $E$9, 100%, $G$9) + CHOOSE(CONTROL!$C$38, 0.0256, 0)</f>
        <v>63.612899999999996</v>
      </c>
      <c r="G842" s="10">
        <f>58.9003 * CHOOSE(CONTROL!$C$15, $E$9, 100%, $G$9) + CHOOSE(CONTROL!$C$38, 0.0347, 0)</f>
        <v>58.935000000000002</v>
      </c>
      <c r="H842" s="10">
        <f>58.9003 * CHOOSE(CONTROL!$C$15, $E$9, 100%, $G$9) + CHOOSE(CONTROL!$C$38, 0.0347, 0)</f>
        <v>58.935000000000002</v>
      </c>
      <c r="I842" s="10">
        <f>58.9019 * CHOOSE(CONTROL!$C$15, $E$9, 100%, $G$9) + CHOOSE(CONTROL!$C$38, 0.0347, 0)</f>
        <v>58.936599999999999</v>
      </c>
      <c r="J842" s="26">
        <f>386.8886</f>
        <v>386.8886</v>
      </c>
    </row>
    <row r="843" spans="1:10" ht="15.75" x14ac:dyDescent="0.25">
      <c r="A843" s="13">
        <v>66961</v>
      </c>
      <c r="B843" s="10">
        <f>63.2484 * CHOOSE(CONTROL!$C$15, $E$9, 100%, $G$9) + CHOOSE(CONTROL!$C$38, 0.0256, 0)</f>
        <v>63.273999999999994</v>
      </c>
      <c r="C843" s="10">
        <f>58.4067 * CHOOSE(CONTROL!$C$15, $E$9, 100%, $G$9) + CHOOSE(CONTROL!$C$38, 0.0347, 0)</f>
        <v>58.441400000000002</v>
      </c>
      <c r="D843" s="10">
        <f>58.3989 * CHOOSE(CONTROL!$C$15, $E$9, 100%, $G$9) + CHOOSE(CONTROL!$C$38, 0.0347, 0)</f>
        <v>58.433599999999998</v>
      </c>
      <c r="E843" s="28">
        <f>63.0922 * CHOOSE(CONTROL!$C$15, $E$9, 100%, $G$9) + CHOOSE(CONTROL!$C$38, 0.0347, 0)</f>
        <v>63.126899999999999</v>
      </c>
      <c r="F843" s="27">
        <f>63.0922 * CHOOSE(CONTROL!$C$15, $E$9, 100%, $G$9) + CHOOSE(CONTROL!$C$38, 0.0256, 0)</f>
        <v>63.117799999999995</v>
      </c>
      <c r="G843" s="10">
        <f>58.4051 * CHOOSE(CONTROL!$C$15, $E$9, 100%, $G$9) + CHOOSE(CONTROL!$C$38, 0.0347, 0)</f>
        <v>58.439799999999998</v>
      </c>
      <c r="H843" s="10">
        <f>58.4051 * CHOOSE(CONTROL!$C$15, $E$9, 100%, $G$9) + CHOOSE(CONTROL!$C$38, 0.0347, 0)</f>
        <v>58.439799999999998</v>
      </c>
      <c r="I843" s="10">
        <f>58.4067 * CHOOSE(CONTROL!$C$15, $E$9, 100%, $G$9) + CHOOSE(CONTROL!$C$38, 0.0347, 0)</f>
        <v>58.441400000000002</v>
      </c>
      <c r="J843" s="26">
        <f>412.0073</f>
        <v>412.00729999999999</v>
      </c>
    </row>
    <row r="844" spans="1:10" ht="15.75" x14ac:dyDescent="0.25">
      <c r="A844" s="13">
        <v>66992</v>
      </c>
      <c r="B844" s="10">
        <f>62.7323 * CHOOSE(CONTROL!$C$15, $E$9, 100%, $G$9) + CHOOSE(CONTROL!$C$38, 0.0256, 0)</f>
        <v>62.757899999999999</v>
      </c>
      <c r="C844" s="10">
        <f>57.8906 * CHOOSE(CONTROL!$C$15, $E$9, 100%, $G$9) + CHOOSE(CONTROL!$C$38, 0.0347, 0)</f>
        <v>57.9253</v>
      </c>
      <c r="D844" s="10">
        <f>57.8828 * CHOOSE(CONTROL!$C$15, $E$9, 100%, $G$9) + CHOOSE(CONTROL!$C$38, 0.0347, 0)</f>
        <v>57.917500000000004</v>
      </c>
      <c r="E844" s="28">
        <f>62.576 * CHOOSE(CONTROL!$C$15, $E$9, 100%, $G$9) + CHOOSE(CONTROL!$C$38, 0.0347, 0)</f>
        <v>62.610700000000001</v>
      </c>
      <c r="F844" s="27">
        <f>62.576 * CHOOSE(CONTROL!$C$15, $E$9, 100%, $G$9) + CHOOSE(CONTROL!$C$38, 0.0256, 0)</f>
        <v>62.601599999999998</v>
      </c>
      <c r="G844" s="10">
        <f>57.889 * CHOOSE(CONTROL!$C$15, $E$9, 100%, $G$9) + CHOOSE(CONTROL!$C$38, 0.0347, 0)</f>
        <v>57.923700000000004</v>
      </c>
      <c r="H844" s="10">
        <f>57.889 * CHOOSE(CONTROL!$C$15, $E$9, 100%, $G$9) + CHOOSE(CONTROL!$C$38, 0.0347, 0)</f>
        <v>57.923700000000004</v>
      </c>
      <c r="I844" s="10">
        <f>57.8906 * CHOOSE(CONTROL!$C$15, $E$9, 100%, $G$9) + CHOOSE(CONTROL!$C$38, 0.0347, 0)</f>
        <v>57.9253</v>
      </c>
      <c r="J844" s="26">
        <f>425.8335</f>
        <v>425.83350000000002</v>
      </c>
    </row>
    <row r="845" spans="1:10" ht="15.75" x14ac:dyDescent="0.25">
      <c r="A845" s="13">
        <v>67022</v>
      </c>
      <c r="B845" s="10">
        <f>62.3705 * CHOOSE(CONTROL!$C$15, $E$9, 100%, $G$9) + CHOOSE(CONTROL!$C$38, 0.0256, 0)</f>
        <v>62.396099999999997</v>
      </c>
      <c r="C845" s="10">
        <f>57.5288 * CHOOSE(CONTROL!$C$15, $E$9, 100%, $G$9) + CHOOSE(CONTROL!$C$38, 0.0347, 0)</f>
        <v>57.563499999999998</v>
      </c>
      <c r="D845" s="10">
        <f>57.521 * CHOOSE(CONTROL!$C$15, $E$9, 100%, $G$9) + CHOOSE(CONTROL!$C$38, 0.0347, 0)</f>
        <v>57.555700000000002</v>
      </c>
      <c r="E845" s="28">
        <f>62.2142 * CHOOSE(CONTROL!$C$15, $E$9, 100%, $G$9) + CHOOSE(CONTROL!$C$38, 0.0347, 0)</f>
        <v>62.248899999999999</v>
      </c>
      <c r="F845" s="27">
        <f>62.2142 * CHOOSE(CONTROL!$C$15, $E$9, 100%, $G$9) + CHOOSE(CONTROL!$C$38, 0.0256, 0)</f>
        <v>62.239799999999995</v>
      </c>
      <c r="G845" s="10">
        <f>57.5272 * CHOOSE(CONTROL!$C$15, $E$9, 100%, $G$9) + CHOOSE(CONTROL!$C$38, 0.0347, 0)</f>
        <v>57.561900000000001</v>
      </c>
      <c r="H845" s="10">
        <f>57.5272 * CHOOSE(CONTROL!$C$15, $E$9, 100%, $G$9) + CHOOSE(CONTROL!$C$38, 0.0347, 0)</f>
        <v>57.561900000000001</v>
      </c>
      <c r="I845" s="10">
        <f>57.5288 * CHOOSE(CONTROL!$C$15, $E$9, 100%, $G$9) + CHOOSE(CONTROL!$C$38, 0.0347, 0)</f>
        <v>57.563499999999998</v>
      </c>
      <c r="J845" s="26">
        <f>431.9693</f>
        <v>431.96929999999998</v>
      </c>
    </row>
    <row r="846" spans="1:10" ht="15.75" x14ac:dyDescent="0.25">
      <c r="A846" s="13">
        <v>67053</v>
      </c>
      <c r="B846" s="10">
        <f>62.164 * CHOOSE(CONTROL!$C$15, $E$9, 100%, $G$9) + CHOOSE(CONTROL!$C$38, 0.0256, 0)</f>
        <v>62.189599999999999</v>
      </c>
      <c r="C846" s="10">
        <f>57.3223 * CHOOSE(CONTROL!$C$15, $E$9, 100%, $G$9) + CHOOSE(CONTROL!$C$38, 0.0347, 0)</f>
        <v>57.356999999999999</v>
      </c>
      <c r="D846" s="10">
        <f>57.3145 * CHOOSE(CONTROL!$C$15, $E$9, 100%, $G$9) + CHOOSE(CONTROL!$C$38, 0.0347, 0)</f>
        <v>57.349200000000003</v>
      </c>
      <c r="E846" s="28">
        <f>62.0077 * CHOOSE(CONTROL!$C$15, $E$9, 100%, $G$9) + CHOOSE(CONTROL!$C$38, 0.0347, 0)</f>
        <v>62.042400000000001</v>
      </c>
      <c r="F846" s="27">
        <f>62.0077 * CHOOSE(CONTROL!$C$15, $E$9, 100%, $G$9) + CHOOSE(CONTROL!$C$38, 0.0256, 0)</f>
        <v>62.033299999999997</v>
      </c>
      <c r="G846" s="10">
        <f>57.3207 * CHOOSE(CONTROL!$C$15, $E$9, 100%, $G$9) + CHOOSE(CONTROL!$C$38, 0.0347, 0)</f>
        <v>57.355400000000003</v>
      </c>
      <c r="H846" s="10">
        <f>57.3207 * CHOOSE(CONTROL!$C$15, $E$9, 100%, $G$9) + CHOOSE(CONTROL!$C$38, 0.0347, 0)</f>
        <v>57.355400000000003</v>
      </c>
      <c r="I846" s="10">
        <f>57.3223 * CHOOSE(CONTROL!$C$15, $E$9, 100%, $G$9) + CHOOSE(CONTROL!$C$38, 0.0347, 0)</f>
        <v>57.356999999999999</v>
      </c>
      <c r="J846" s="26">
        <f>429.9491</f>
        <v>429.94909999999999</v>
      </c>
    </row>
    <row r="847" spans="1:10" ht="15.75" x14ac:dyDescent="0.25">
      <c r="A847" s="13">
        <v>67084</v>
      </c>
      <c r="B847" s="10">
        <f>62.2659 * CHOOSE(CONTROL!$C$15, $E$9, 100%, $G$9) + CHOOSE(CONTROL!$C$38, 0.0256, 0)</f>
        <v>62.291499999999999</v>
      </c>
      <c r="C847" s="10">
        <f>57.4242 * CHOOSE(CONTROL!$C$15, $E$9, 100%, $G$9) + CHOOSE(CONTROL!$C$38, 0.0347, 0)</f>
        <v>57.4589</v>
      </c>
      <c r="D847" s="10">
        <f>57.4164 * CHOOSE(CONTROL!$C$15, $E$9, 100%, $G$9) + CHOOSE(CONTROL!$C$38, 0.0347, 0)</f>
        <v>57.451100000000004</v>
      </c>
      <c r="E847" s="28">
        <f>62.1096 * CHOOSE(CONTROL!$C$15, $E$9, 100%, $G$9) + CHOOSE(CONTROL!$C$38, 0.0347, 0)</f>
        <v>62.144300000000001</v>
      </c>
      <c r="F847" s="27">
        <f>62.1096 * CHOOSE(CONTROL!$C$15, $E$9, 100%, $G$9) + CHOOSE(CONTROL!$C$38, 0.0256, 0)</f>
        <v>62.135199999999998</v>
      </c>
      <c r="G847" s="10">
        <f>57.4226 * CHOOSE(CONTROL!$C$15, $E$9, 100%, $G$9) + CHOOSE(CONTROL!$C$38, 0.0347, 0)</f>
        <v>57.457300000000004</v>
      </c>
      <c r="H847" s="10">
        <f>57.4226 * CHOOSE(CONTROL!$C$15, $E$9, 100%, $G$9) + CHOOSE(CONTROL!$C$38, 0.0347, 0)</f>
        <v>57.457300000000004</v>
      </c>
      <c r="I847" s="10">
        <f>57.4242 * CHOOSE(CONTROL!$C$15, $E$9, 100%, $G$9) + CHOOSE(CONTROL!$C$38, 0.0347, 0)</f>
        <v>57.4589</v>
      </c>
      <c r="J847" s="26">
        <f>419.9401</f>
        <v>419.94009999999997</v>
      </c>
    </row>
    <row r="848" spans="1:10" ht="15.75" x14ac:dyDescent="0.25">
      <c r="A848" s="13">
        <v>67114</v>
      </c>
      <c r="B848" s="10">
        <f>62.5427 * CHOOSE(CONTROL!$C$15, $E$9, 100%, $G$9) + CHOOSE(CONTROL!$C$38, 0.0256, 0)</f>
        <v>62.568300000000001</v>
      </c>
      <c r="C848" s="10">
        <f>57.701 * CHOOSE(CONTROL!$C$15, $E$9, 100%, $G$9) + CHOOSE(CONTROL!$C$38, 0.0347, 0)</f>
        <v>57.735700000000001</v>
      </c>
      <c r="D848" s="10">
        <f>57.6932 * CHOOSE(CONTROL!$C$15, $E$9, 100%, $G$9) + CHOOSE(CONTROL!$C$38, 0.0347, 0)</f>
        <v>57.727899999999998</v>
      </c>
      <c r="E848" s="28">
        <f>62.3864 * CHOOSE(CONTROL!$C$15, $E$9, 100%, $G$9) + CHOOSE(CONTROL!$C$38, 0.0347, 0)</f>
        <v>62.421100000000003</v>
      </c>
      <c r="F848" s="27">
        <f>62.3864 * CHOOSE(CONTROL!$C$15, $E$9, 100%, $G$9) + CHOOSE(CONTROL!$C$38, 0.0256, 0)</f>
        <v>62.411999999999999</v>
      </c>
      <c r="G848" s="10">
        <f>57.6994 * CHOOSE(CONTROL!$C$15, $E$9, 100%, $G$9) + CHOOSE(CONTROL!$C$38, 0.0347, 0)</f>
        <v>57.734099999999998</v>
      </c>
      <c r="H848" s="10">
        <f>57.6994 * CHOOSE(CONTROL!$C$15, $E$9, 100%, $G$9) + CHOOSE(CONTROL!$C$38, 0.0347, 0)</f>
        <v>57.734099999999998</v>
      </c>
      <c r="I848" s="10">
        <f>57.701 * CHOOSE(CONTROL!$C$15, $E$9, 100%, $G$9) + CHOOSE(CONTROL!$C$38, 0.0347, 0)</f>
        <v>57.735700000000001</v>
      </c>
      <c r="J848" s="26">
        <f>405.982</f>
        <v>405.98200000000003</v>
      </c>
    </row>
    <row r="849" spans="1:10" ht="15.75" x14ac:dyDescent="0.25">
      <c r="A849" s="13">
        <v>67145</v>
      </c>
      <c r="B849" s="10">
        <f>62.7745 * CHOOSE(CONTROL!$C$15, $E$9, 100%, $G$9) + CHOOSE(CONTROL!$C$38, 0.0256, 0)</f>
        <v>62.8001</v>
      </c>
      <c r="C849" s="10">
        <f>57.9328 * CHOOSE(CONTROL!$C$15, $E$9, 100%, $G$9) + CHOOSE(CONTROL!$C$38, 0.0347, 0)</f>
        <v>57.967500000000001</v>
      </c>
      <c r="D849" s="10">
        <f>57.925 * CHOOSE(CONTROL!$C$15, $E$9, 100%, $G$9) + CHOOSE(CONTROL!$C$38, 0.0347, 0)</f>
        <v>57.959699999999998</v>
      </c>
      <c r="E849" s="28">
        <f>62.6183 * CHOOSE(CONTROL!$C$15, $E$9, 100%, $G$9) + CHOOSE(CONTROL!$C$38, 0.0347, 0)</f>
        <v>62.652999999999999</v>
      </c>
      <c r="F849" s="27">
        <f>62.6183 * CHOOSE(CONTROL!$C$15, $E$9, 100%, $G$9) + CHOOSE(CONTROL!$C$38, 0.0256, 0)</f>
        <v>62.643899999999995</v>
      </c>
      <c r="G849" s="10">
        <f>57.9312 * CHOOSE(CONTROL!$C$15, $E$9, 100%, $G$9) + CHOOSE(CONTROL!$C$38, 0.0347, 0)</f>
        <v>57.965899999999998</v>
      </c>
      <c r="H849" s="10">
        <f>57.9312 * CHOOSE(CONTROL!$C$15, $E$9, 100%, $G$9) + CHOOSE(CONTROL!$C$38, 0.0347, 0)</f>
        <v>57.965899999999998</v>
      </c>
      <c r="I849" s="10">
        <f>57.9328 * CHOOSE(CONTROL!$C$15, $E$9, 100%, $G$9) + CHOOSE(CONTROL!$C$38, 0.0347, 0)</f>
        <v>57.967500000000001</v>
      </c>
      <c r="J849" s="26">
        <f>391.9427</f>
        <v>391.9427</v>
      </c>
    </row>
    <row r="850" spans="1:10" ht="15.75" x14ac:dyDescent="0.25">
      <c r="A850" s="13">
        <v>67175</v>
      </c>
      <c r="B850" s="10">
        <f>62.9679 * CHOOSE(CONTROL!$C$15, $E$9, 100%, $G$9) + CHOOSE(CONTROL!$C$38, 0.0256, 0)</f>
        <v>62.993499999999997</v>
      </c>
      <c r="C850" s="10">
        <f>58.1262 * CHOOSE(CONTROL!$C$15, $E$9, 100%, $G$9) + CHOOSE(CONTROL!$C$38, 0.0347, 0)</f>
        <v>58.160899999999998</v>
      </c>
      <c r="D850" s="10">
        <f>58.1184 * CHOOSE(CONTROL!$C$15, $E$9, 100%, $G$9) + CHOOSE(CONTROL!$C$38, 0.0347, 0)</f>
        <v>58.153100000000002</v>
      </c>
      <c r="E850" s="28">
        <f>62.8117 * CHOOSE(CONTROL!$C$15, $E$9, 100%, $G$9) + CHOOSE(CONTROL!$C$38, 0.0347, 0)</f>
        <v>62.846400000000003</v>
      </c>
      <c r="F850" s="27">
        <f>62.8117 * CHOOSE(CONTROL!$C$15, $E$9, 100%, $G$9) + CHOOSE(CONTROL!$C$38, 0.0256, 0)</f>
        <v>62.837299999999999</v>
      </c>
      <c r="G850" s="10">
        <f>58.1247 * CHOOSE(CONTROL!$C$15, $E$9, 100%, $G$9) + CHOOSE(CONTROL!$C$38, 0.0347, 0)</f>
        <v>58.159399999999998</v>
      </c>
      <c r="H850" s="10">
        <f>58.1247 * CHOOSE(CONTROL!$C$15, $E$9, 100%, $G$9) + CHOOSE(CONTROL!$C$38, 0.0347, 0)</f>
        <v>58.159399999999998</v>
      </c>
      <c r="I850" s="10">
        <f>58.1262 * CHOOSE(CONTROL!$C$15, $E$9, 100%, $G$9) + CHOOSE(CONTROL!$C$38, 0.0347, 0)</f>
        <v>58.160899999999998</v>
      </c>
      <c r="J850" s="26">
        <f>389.15</f>
        <v>389.15</v>
      </c>
    </row>
    <row r="851" spans="1:10" ht="15.75" x14ac:dyDescent="0.25">
      <c r="A851" s="13">
        <v>67206</v>
      </c>
      <c r="B851" s="10">
        <f>63.564 * CHOOSE(CONTROL!$C$15, $E$9, 100%, $G$9) + CHOOSE(CONTROL!$C$38, 0.0256, 0)</f>
        <v>63.589599999999997</v>
      </c>
      <c r="C851" s="10">
        <f>58.7223 * CHOOSE(CONTROL!$C$15, $E$9, 100%, $G$9) + CHOOSE(CONTROL!$C$38, 0.0347, 0)</f>
        <v>58.756999999999998</v>
      </c>
      <c r="D851" s="10">
        <f>58.7145 * CHOOSE(CONTROL!$C$15, $E$9, 100%, $G$9) + CHOOSE(CONTROL!$C$38, 0.0347, 0)</f>
        <v>58.749200000000002</v>
      </c>
      <c r="E851" s="28">
        <f>63.4078 * CHOOSE(CONTROL!$C$15, $E$9, 100%, $G$9) + CHOOSE(CONTROL!$C$38, 0.0347, 0)</f>
        <v>63.442500000000003</v>
      </c>
      <c r="F851" s="27">
        <f>63.4078 * CHOOSE(CONTROL!$C$15, $E$9, 100%, $G$9) + CHOOSE(CONTROL!$C$38, 0.0256, 0)</f>
        <v>63.433399999999999</v>
      </c>
      <c r="G851" s="10">
        <f>58.7208 * CHOOSE(CONTROL!$C$15, $E$9, 100%, $G$9) + CHOOSE(CONTROL!$C$38, 0.0347, 0)</f>
        <v>58.755499999999998</v>
      </c>
      <c r="H851" s="10">
        <f>58.7208 * CHOOSE(CONTROL!$C$15, $E$9, 100%, $G$9) + CHOOSE(CONTROL!$C$38, 0.0347, 0)</f>
        <v>58.755499999999998</v>
      </c>
      <c r="I851" s="10">
        <f>58.7223 * CHOOSE(CONTROL!$C$15, $E$9, 100%, $G$9) + CHOOSE(CONTROL!$C$38, 0.0347, 0)</f>
        <v>58.756999999999998</v>
      </c>
      <c r="J851" s="26">
        <f>377.6019</f>
        <v>377.6019</v>
      </c>
    </row>
    <row r="852" spans="1:10" ht="15.75" x14ac:dyDescent="0.25">
      <c r="A852" s="13">
        <v>67237</v>
      </c>
      <c r="B852" s="10">
        <f>65.137 * CHOOSE(CONTROL!$C$15, $E$9, 100%, $G$9) + CHOOSE(CONTROL!$C$38, 0.0256, 0)</f>
        <v>65.162599999999998</v>
      </c>
      <c r="C852" s="10">
        <f>60.2125 * CHOOSE(CONTROL!$C$15, $E$9, 100%, $G$9) + CHOOSE(CONTROL!$C$38, 0.0347, 0)</f>
        <v>60.247199999999999</v>
      </c>
      <c r="D852" s="10">
        <f>60.2047 * CHOOSE(CONTROL!$C$15, $E$9, 100%, $G$9) + CHOOSE(CONTROL!$C$38, 0.0347, 0)</f>
        <v>60.239400000000003</v>
      </c>
      <c r="E852" s="28">
        <f>64.9808 * CHOOSE(CONTROL!$C$15, $E$9, 100%, $G$9) + CHOOSE(CONTROL!$C$38, 0.0347, 0)</f>
        <v>65.015500000000003</v>
      </c>
      <c r="F852" s="27">
        <f>64.9808 * CHOOSE(CONTROL!$C$15, $E$9, 100%, $G$9) + CHOOSE(CONTROL!$C$38, 0.0256, 0)</f>
        <v>65.006399999999999</v>
      </c>
      <c r="G852" s="10">
        <f>60.211 * CHOOSE(CONTROL!$C$15, $E$9, 100%, $G$9) + CHOOSE(CONTROL!$C$38, 0.0347, 0)</f>
        <v>60.245699999999999</v>
      </c>
      <c r="H852" s="10">
        <f>60.211 * CHOOSE(CONTROL!$C$15, $E$9, 100%, $G$9) + CHOOSE(CONTROL!$C$38, 0.0347, 0)</f>
        <v>60.245699999999999</v>
      </c>
      <c r="I852" s="10">
        <f>60.2125 * CHOOSE(CONTROL!$C$15, $E$9, 100%, $G$9) + CHOOSE(CONTROL!$C$38, 0.0347, 0)</f>
        <v>60.247199999999999</v>
      </c>
      <c r="J852" s="26">
        <f>375.0726</f>
        <v>375.07260000000002</v>
      </c>
    </row>
    <row r="853" spans="1:10" ht="15.75" x14ac:dyDescent="0.25">
      <c r="A853" s="13">
        <v>67266</v>
      </c>
      <c r="B853" s="10">
        <f>65.3578 * CHOOSE(CONTROL!$C$15, $E$9, 100%, $G$9) + CHOOSE(CONTROL!$C$38, 0.0256, 0)</f>
        <v>65.383399999999995</v>
      </c>
      <c r="C853" s="10">
        <f>60.4333 * CHOOSE(CONTROL!$C$15, $E$9, 100%, $G$9) + CHOOSE(CONTROL!$C$38, 0.0347, 0)</f>
        <v>60.468000000000004</v>
      </c>
      <c r="D853" s="10">
        <f>60.4255 * CHOOSE(CONTROL!$C$15, $E$9, 100%, $G$9) + CHOOSE(CONTROL!$C$38, 0.0347, 0)</f>
        <v>60.4602</v>
      </c>
      <c r="E853" s="28">
        <f>65.2015 * CHOOSE(CONTROL!$C$15, $E$9, 100%, $G$9) + CHOOSE(CONTROL!$C$38, 0.0347, 0)</f>
        <v>65.236199999999997</v>
      </c>
      <c r="F853" s="27">
        <f>65.2015 * CHOOSE(CONTROL!$C$15, $E$9, 100%, $G$9) + CHOOSE(CONTROL!$C$38, 0.0256, 0)</f>
        <v>65.227099999999993</v>
      </c>
      <c r="G853" s="10">
        <f>60.4317 * CHOOSE(CONTROL!$C$15, $E$9, 100%, $G$9) + CHOOSE(CONTROL!$C$38, 0.0347, 0)</f>
        <v>60.4664</v>
      </c>
      <c r="H853" s="10">
        <f>60.4317 * CHOOSE(CONTROL!$C$15, $E$9, 100%, $G$9) + CHOOSE(CONTROL!$C$38, 0.0347, 0)</f>
        <v>60.4664</v>
      </c>
      <c r="I853" s="10">
        <f>60.4333 * CHOOSE(CONTROL!$C$15, $E$9, 100%, $G$9) + CHOOSE(CONTROL!$C$38, 0.0347, 0)</f>
        <v>60.468000000000004</v>
      </c>
      <c r="J853" s="26">
        <f>374.03</f>
        <v>374.03</v>
      </c>
    </row>
    <row r="854" spans="1:10" ht="15.75" x14ac:dyDescent="0.25">
      <c r="A854" s="13">
        <v>67297</v>
      </c>
      <c r="B854" s="10">
        <f>64.8468 * CHOOSE(CONTROL!$C$15, $E$9, 100%, $G$9) + CHOOSE(CONTROL!$C$38, 0.0256, 0)</f>
        <v>64.872399999999999</v>
      </c>
      <c r="C854" s="10">
        <f>59.9223 * CHOOSE(CONTROL!$C$15, $E$9, 100%, $G$9) + CHOOSE(CONTROL!$C$38, 0.0347, 0)</f>
        <v>59.957000000000001</v>
      </c>
      <c r="D854" s="10">
        <f>59.9145 * CHOOSE(CONTROL!$C$15, $E$9, 100%, $G$9) + CHOOSE(CONTROL!$C$38, 0.0347, 0)</f>
        <v>59.949199999999998</v>
      </c>
      <c r="E854" s="28">
        <f>64.6905 * CHOOSE(CONTROL!$C$15, $E$9, 100%, $G$9) + CHOOSE(CONTROL!$C$38, 0.0347, 0)</f>
        <v>64.725200000000001</v>
      </c>
      <c r="F854" s="27">
        <f>64.6905 * CHOOSE(CONTROL!$C$15, $E$9, 100%, $G$9) + CHOOSE(CONTROL!$C$38, 0.0256, 0)</f>
        <v>64.716099999999997</v>
      </c>
      <c r="G854" s="10">
        <f>59.9207 * CHOOSE(CONTROL!$C$15, $E$9, 100%, $G$9) + CHOOSE(CONTROL!$C$38, 0.0347, 0)</f>
        <v>59.955399999999997</v>
      </c>
      <c r="H854" s="10">
        <f>59.9207 * CHOOSE(CONTROL!$C$15, $E$9, 100%, $G$9) + CHOOSE(CONTROL!$C$38, 0.0347, 0)</f>
        <v>59.955399999999997</v>
      </c>
      <c r="I854" s="10">
        <f>59.9223 * CHOOSE(CONTROL!$C$15, $E$9, 100%, $G$9) + CHOOSE(CONTROL!$C$38, 0.0347, 0)</f>
        <v>59.957000000000001</v>
      </c>
      <c r="J854" s="26">
        <f>393.7436</f>
        <v>393.74360000000001</v>
      </c>
    </row>
    <row r="855" spans="1:10" ht="15.75" x14ac:dyDescent="0.25">
      <c r="A855" s="13">
        <v>67327</v>
      </c>
      <c r="B855" s="10">
        <f>64.3516 * CHOOSE(CONTROL!$C$15, $E$9, 100%, $G$9) + CHOOSE(CONTROL!$C$38, 0.0256, 0)</f>
        <v>64.377200000000002</v>
      </c>
      <c r="C855" s="10">
        <f>59.4271 * CHOOSE(CONTROL!$C$15, $E$9, 100%, $G$9) + CHOOSE(CONTROL!$C$38, 0.0347, 0)</f>
        <v>59.461800000000004</v>
      </c>
      <c r="D855" s="10">
        <f>59.4193 * CHOOSE(CONTROL!$C$15, $E$9, 100%, $G$9) + CHOOSE(CONTROL!$C$38, 0.0347, 0)</f>
        <v>59.454000000000001</v>
      </c>
      <c r="E855" s="28">
        <f>64.1953 * CHOOSE(CONTROL!$C$15, $E$9, 100%, $G$9) + CHOOSE(CONTROL!$C$38, 0.0347, 0)</f>
        <v>64.23</v>
      </c>
      <c r="F855" s="27">
        <f>64.1953 * CHOOSE(CONTROL!$C$15, $E$9, 100%, $G$9) + CHOOSE(CONTROL!$C$38, 0.0256, 0)</f>
        <v>64.2209</v>
      </c>
      <c r="G855" s="10">
        <f>59.4255 * CHOOSE(CONTROL!$C$15, $E$9, 100%, $G$9) + CHOOSE(CONTROL!$C$38, 0.0347, 0)</f>
        <v>59.4602</v>
      </c>
      <c r="H855" s="10">
        <f>59.4255 * CHOOSE(CONTROL!$C$15, $E$9, 100%, $G$9) + CHOOSE(CONTROL!$C$38, 0.0347, 0)</f>
        <v>59.4602</v>
      </c>
      <c r="I855" s="10">
        <f>59.4271 * CHOOSE(CONTROL!$C$15, $E$9, 100%, $G$9) + CHOOSE(CONTROL!$C$38, 0.0347, 0)</f>
        <v>59.461800000000004</v>
      </c>
      <c r="J855" s="26">
        <f>419.3073</f>
        <v>419.3073</v>
      </c>
    </row>
    <row r="856" spans="1:10" ht="15.75" x14ac:dyDescent="0.25">
      <c r="A856" s="13">
        <v>67358</v>
      </c>
      <c r="B856" s="10">
        <f>63.8355 * CHOOSE(CONTROL!$C$15, $E$9, 100%, $G$9) + CHOOSE(CONTROL!$C$38, 0.0256, 0)</f>
        <v>63.8611</v>
      </c>
      <c r="C856" s="10">
        <f>58.911 * CHOOSE(CONTROL!$C$15, $E$9, 100%, $G$9) + CHOOSE(CONTROL!$C$38, 0.0347, 0)</f>
        <v>58.945700000000002</v>
      </c>
      <c r="D856" s="10">
        <f>58.9032 * CHOOSE(CONTROL!$C$15, $E$9, 100%, $G$9) + CHOOSE(CONTROL!$C$38, 0.0347, 0)</f>
        <v>58.937899999999999</v>
      </c>
      <c r="E856" s="28">
        <f>63.6792 * CHOOSE(CONTROL!$C$15, $E$9, 100%, $G$9) + CHOOSE(CONTROL!$C$38, 0.0347, 0)</f>
        <v>63.713900000000002</v>
      </c>
      <c r="F856" s="27">
        <f>63.6792 * CHOOSE(CONTROL!$C$15, $E$9, 100%, $G$9) + CHOOSE(CONTROL!$C$38, 0.0256, 0)</f>
        <v>63.704799999999999</v>
      </c>
      <c r="G856" s="10">
        <f>58.9094 * CHOOSE(CONTROL!$C$15, $E$9, 100%, $G$9) + CHOOSE(CONTROL!$C$38, 0.0347, 0)</f>
        <v>58.944099999999999</v>
      </c>
      <c r="H856" s="10">
        <f>58.9094 * CHOOSE(CONTROL!$C$15, $E$9, 100%, $G$9) + CHOOSE(CONTROL!$C$38, 0.0347, 0)</f>
        <v>58.944099999999999</v>
      </c>
      <c r="I856" s="10">
        <f>58.911 * CHOOSE(CONTROL!$C$15, $E$9, 100%, $G$9) + CHOOSE(CONTROL!$C$38, 0.0347, 0)</f>
        <v>58.945700000000002</v>
      </c>
      <c r="J856" s="26">
        <f>433.3784</f>
        <v>433.3784</v>
      </c>
    </row>
    <row r="857" spans="1:10" ht="15.75" x14ac:dyDescent="0.25">
      <c r="A857" s="13">
        <v>67388</v>
      </c>
      <c r="B857" s="10">
        <f>63.4736 * CHOOSE(CONTROL!$C$15, $E$9, 100%, $G$9) + CHOOSE(CONTROL!$C$38, 0.0256, 0)</f>
        <v>63.499199999999995</v>
      </c>
      <c r="C857" s="10">
        <f>58.5492 * CHOOSE(CONTROL!$C$15, $E$9, 100%, $G$9) + CHOOSE(CONTROL!$C$38, 0.0347, 0)</f>
        <v>58.5839</v>
      </c>
      <c r="D857" s="10">
        <f>58.5413 * CHOOSE(CONTROL!$C$15, $E$9, 100%, $G$9) + CHOOSE(CONTROL!$C$38, 0.0347, 0)</f>
        <v>58.576000000000001</v>
      </c>
      <c r="E857" s="28">
        <f>63.3174 * CHOOSE(CONTROL!$C$15, $E$9, 100%, $G$9) + CHOOSE(CONTROL!$C$38, 0.0347, 0)</f>
        <v>63.3521</v>
      </c>
      <c r="F857" s="27">
        <f>63.3174 * CHOOSE(CONTROL!$C$15, $E$9, 100%, $G$9) + CHOOSE(CONTROL!$C$38, 0.0256, 0)</f>
        <v>63.342999999999996</v>
      </c>
      <c r="G857" s="10">
        <f>58.5476 * CHOOSE(CONTROL!$C$15, $E$9, 100%, $G$9) + CHOOSE(CONTROL!$C$38, 0.0347, 0)</f>
        <v>58.582300000000004</v>
      </c>
      <c r="H857" s="10">
        <f>58.5476 * CHOOSE(CONTROL!$C$15, $E$9, 100%, $G$9) + CHOOSE(CONTROL!$C$38, 0.0347, 0)</f>
        <v>58.582300000000004</v>
      </c>
      <c r="I857" s="10">
        <f>58.5492 * CHOOSE(CONTROL!$C$15, $E$9, 100%, $G$9) + CHOOSE(CONTROL!$C$38, 0.0347, 0)</f>
        <v>58.5839</v>
      </c>
      <c r="J857" s="26">
        <f>439.623</f>
        <v>439.62299999999999</v>
      </c>
    </row>
    <row r="858" spans="1:10" ht="15.75" x14ac:dyDescent="0.25">
      <c r="A858" s="13">
        <v>67419</v>
      </c>
      <c r="B858" s="10">
        <f>63.2671 * CHOOSE(CONTROL!$C$15, $E$9, 100%, $G$9) + CHOOSE(CONTROL!$C$38, 0.0256, 0)</f>
        <v>63.292699999999996</v>
      </c>
      <c r="C858" s="10">
        <f>58.3427 * CHOOSE(CONTROL!$C$15, $E$9, 100%, $G$9) + CHOOSE(CONTROL!$C$38, 0.0347, 0)</f>
        <v>58.377400000000002</v>
      </c>
      <c r="D858" s="10">
        <f>58.3348 * CHOOSE(CONTROL!$C$15, $E$9, 100%, $G$9) + CHOOSE(CONTROL!$C$38, 0.0347, 0)</f>
        <v>58.369500000000002</v>
      </c>
      <c r="E858" s="28">
        <f>63.1109 * CHOOSE(CONTROL!$C$15, $E$9, 100%, $G$9) + CHOOSE(CONTROL!$C$38, 0.0347, 0)</f>
        <v>63.145600000000002</v>
      </c>
      <c r="F858" s="27">
        <f>63.1109 * CHOOSE(CONTROL!$C$15, $E$9, 100%, $G$9) + CHOOSE(CONTROL!$C$38, 0.0256, 0)</f>
        <v>63.136499999999998</v>
      </c>
      <c r="G858" s="10">
        <f>58.3411 * CHOOSE(CONTROL!$C$15, $E$9, 100%, $G$9) + CHOOSE(CONTROL!$C$38, 0.0347, 0)</f>
        <v>58.375799999999998</v>
      </c>
      <c r="H858" s="10">
        <f>58.3411 * CHOOSE(CONTROL!$C$15, $E$9, 100%, $G$9) + CHOOSE(CONTROL!$C$38, 0.0347, 0)</f>
        <v>58.375799999999998</v>
      </c>
      <c r="I858" s="10">
        <f>58.3427 * CHOOSE(CONTROL!$C$15, $E$9, 100%, $G$9) + CHOOSE(CONTROL!$C$38, 0.0347, 0)</f>
        <v>58.377400000000002</v>
      </c>
      <c r="J858" s="26">
        <f>437.567</f>
        <v>437.56700000000001</v>
      </c>
    </row>
    <row r="859" spans="1:10" ht="15.75" x14ac:dyDescent="0.25">
      <c r="A859" s="13">
        <v>67450</v>
      </c>
      <c r="B859" s="10">
        <f>63.3691 * CHOOSE(CONTROL!$C$15, $E$9, 100%, $G$9) + CHOOSE(CONTROL!$C$38, 0.0256, 0)</f>
        <v>63.3947</v>
      </c>
      <c r="C859" s="10">
        <f>58.4446 * CHOOSE(CONTROL!$C$15, $E$9, 100%, $G$9) + CHOOSE(CONTROL!$C$38, 0.0347, 0)</f>
        <v>58.479300000000002</v>
      </c>
      <c r="D859" s="10">
        <f>58.4368 * CHOOSE(CONTROL!$C$15, $E$9, 100%, $G$9) + CHOOSE(CONTROL!$C$38, 0.0347, 0)</f>
        <v>58.471499999999999</v>
      </c>
      <c r="E859" s="28">
        <f>63.2128 * CHOOSE(CONTROL!$C$15, $E$9, 100%, $G$9) + CHOOSE(CONTROL!$C$38, 0.0347, 0)</f>
        <v>63.247500000000002</v>
      </c>
      <c r="F859" s="27">
        <f>63.2128 * CHOOSE(CONTROL!$C$15, $E$9, 100%, $G$9) + CHOOSE(CONTROL!$C$38, 0.0256, 0)</f>
        <v>63.238399999999999</v>
      </c>
      <c r="G859" s="10">
        <f>58.443 * CHOOSE(CONTROL!$C$15, $E$9, 100%, $G$9) + CHOOSE(CONTROL!$C$38, 0.0347, 0)</f>
        <v>58.477699999999999</v>
      </c>
      <c r="H859" s="10">
        <f>58.443 * CHOOSE(CONTROL!$C$15, $E$9, 100%, $G$9) + CHOOSE(CONTROL!$C$38, 0.0347, 0)</f>
        <v>58.477699999999999</v>
      </c>
      <c r="I859" s="10">
        <f>58.4446 * CHOOSE(CONTROL!$C$15, $E$9, 100%, $G$9) + CHOOSE(CONTROL!$C$38, 0.0347, 0)</f>
        <v>58.479300000000002</v>
      </c>
      <c r="J859" s="26">
        <f>427.3806</f>
        <v>427.38060000000002</v>
      </c>
    </row>
    <row r="860" spans="1:10" ht="15.75" x14ac:dyDescent="0.25">
      <c r="A860" s="13">
        <v>67480</v>
      </c>
      <c r="B860" s="10">
        <f>63.6459 * CHOOSE(CONTROL!$C$15, $E$9, 100%, $G$9) + CHOOSE(CONTROL!$C$38, 0.0256, 0)</f>
        <v>63.671499999999995</v>
      </c>
      <c r="C860" s="10">
        <f>58.7214 * CHOOSE(CONTROL!$C$15, $E$9, 100%, $G$9) + CHOOSE(CONTROL!$C$38, 0.0347, 0)</f>
        <v>58.756100000000004</v>
      </c>
      <c r="D860" s="10">
        <f>58.7136 * CHOOSE(CONTROL!$C$15, $E$9, 100%, $G$9) + CHOOSE(CONTROL!$C$38, 0.0347, 0)</f>
        <v>58.7483</v>
      </c>
      <c r="E860" s="28">
        <f>63.4896 * CHOOSE(CONTROL!$C$15, $E$9, 100%, $G$9) + CHOOSE(CONTROL!$C$38, 0.0347, 0)</f>
        <v>63.524300000000004</v>
      </c>
      <c r="F860" s="27">
        <f>63.4896 * CHOOSE(CONTROL!$C$15, $E$9, 100%, $G$9) + CHOOSE(CONTROL!$C$38, 0.0256, 0)</f>
        <v>63.5152</v>
      </c>
      <c r="G860" s="10">
        <f>58.7198 * CHOOSE(CONTROL!$C$15, $E$9, 100%, $G$9) + CHOOSE(CONTROL!$C$38, 0.0347, 0)</f>
        <v>58.7545</v>
      </c>
      <c r="H860" s="10">
        <f>58.7198 * CHOOSE(CONTROL!$C$15, $E$9, 100%, $G$9) + CHOOSE(CONTROL!$C$38, 0.0347, 0)</f>
        <v>58.7545</v>
      </c>
      <c r="I860" s="10">
        <f>58.7214 * CHOOSE(CONTROL!$C$15, $E$9, 100%, $G$9) + CHOOSE(CONTROL!$C$38, 0.0347, 0)</f>
        <v>58.756100000000004</v>
      </c>
      <c r="J860" s="26">
        <f>413.1752</f>
        <v>413.17520000000002</v>
      </c>
    </row>
    <row r="861" spans="1:10" ht="15.75" x14ac:dyDescent="0.25">
      <c r="A861" s="13">
        <v>67511</v>
      </c>
      <c r="B861" s="10">
        <f>63.8777 * CHOOSE(CONTROL!$C$15, $E$9, 100%, $G$9) + CHOOSE(CONTROL!$C$38, 0.0256, 0)</f>
        <v>63.903299999999994</v>
      </c>
      <c r="C861" s="10">
        <f>58.9532 * CHOOSE(CONTROL!$C$15, $E$9, 100%, $G$9) + CHOOSE(CONTROL!$C$38, 0.0347, 0)</f>
        <v>58.987900000000003</v>
      </c>
      <c r="D861" s="10">
        <f>58.9454 * CHOOSE(CONTROL!$C$15, $E$9, 100%, $G$9) + CHOOSE(CONTROL!$C$38, 0.0347, 0)</f>
        <v>58.9801</v>
      </c>
      <c r="E861" s="28">
        <f>63.7214 * CHOOSE(CONTROL!$C$15, $E$9, 100%, $G$9) + CHOOSE(CONTROL!$C$38, 0.0347, 0)</f>
        <v>63.756100000000004</v>
      </c>
      <c r="F861" s="27">
        <f>63.7214 * CHOOSE(CONTROL!$C$15, $E$9, 100%, $G$9) + CHOOSE(CONTROL!$C$38, 0.0256, 0)</f>
        <v>63.747</v>
      </c>
      <c r="G861" s="10">
        <f>58.9516 * CHOOSE(CONTROL!$C$15, $E$9, 100%, $G$9) + CHOOSE(CONTROL!$C$38, 0.0347, 0)</f>
        <v>58.9863</v>
      </c>
      <c r="H861" s="10">
        <f>58.9516 * CHOOSE(CONTROL!$C$15, $E$9, 100%, $G$9) + CHOOSE(CONTROL!$C$38, 0.0347, 0)</f>
        <v>58.9863</v>
      </c>
      <c r="I861" s="10">
        <f>58.9532 * CHOOSE(CONTROL!$C$15, $E$9, 100%, $G$9) + CHOOSE(CONTROL!$C$38, 0.0347, 0)</f>
        <v>58.987900000000003</v>
      </c>
      <c r="J861" s="26">
        <f>398.8872</f>
        <v>398.88720000000001</v>
      </c>
    </row>
    <row r="862" spans="1:10" ht="15.75" x14ac:dyDescent="0.25">
      <c r="A862" s="13">
        <v>67541</v>
      </c>
      <c r="B862" s="10">
        <f>64.0711 * CHOOSE(CONTROL!$C$15, $E$9, 100%, $G$9) + CHOOSE(CONTROL!$C$38, 0.0256, 0)</f>
        <v>64.096699999999998</v>
      </c>
      <c r="C862" s="10">
        <f>59.1466 * CHOOSE(CONTROL!$C$15, $E$9, 100%, $G$9) + CHOOSE(CONTROL!$C$38, 0.0347, 0)</f>
        <v>59.1813</v>
      </c>
      <c r="D862" s="10">
        <f>59.1388 * CHOOSE(CONTROL!$C$15, $E$9, 100%, $G$9) + CHOOSE(CONTROL!$C$38, 0.0347, 0)</f>
        <v>59.173500000000004</v>
      </c>
      <c r="E862" s="28">
        <f>63.9149 * CHOOSE(CONTROL!$C$15, $E$9, 100%, $G$9) + CHOOSE(CONTROL!$C$38, 0.0347, 0)</f>
        <v>63.949600000000004</v>
      </c>
      <c r="F862" s="27">
        <f>63.9149 * CHOOSE(CONTROL!$C$15, $E$9, 100%, $G$9) + CHOOSE(CONTROL!$C$38, 0.0256, 0)</f>
        <v>63.9405</v>
      </c>
      <c r="G862" s="10">
        <f>59.1451 * CHOOSE(CONTROL!$C$15, $E$9, 100%, $G$9) + CHOOSE(CONTROL!$C$38, 0.0347, 0)</f>
        <v>59.1798</v>
      </c>
      <c r="H862" s="10">
        <f>59.1451 * CHOOSE(CONTROL!$C$15, $E$9, 100%, $G$9) + CHOOSE(CONTROL!$C$38, 0.0347, 0)</f>
        <v>59.1798</v>
      </c>
      <c r="I862" s="10">
        <f>59.1466 * CHOOSE(CONTROL!$C$15, $E$9, 100%, $G$9) + CHOOSE(CONTROL!$C$38, 0.0347, 0)</f>
        <v>59.1813</v>
      </c>
      <c r="J862" s="26">
        <f>396.045</f>
        <v>396.04500000000002</v>
      </c>
    </row>
    <row r="863" spans="1:10" ht="15.75" x14ac:dyDescent="0.25">
      <c r="A863" s="13">
        <v>67572</v>
      </c>
      <c r="B863" s="10">
        <f>64.6672 * CHOOSE(CONTROL!$C$15, $E$9, 100%, $G$9) + CHOOSE(CONTROL!$C$38, 0.0256, 0)</f>
        <v>64.692799999999991</v>
      </c>
      <c r="C863" s="10">
        <f>59.7427 * CHOOSE(CONTROL!$C$15, $E$9, 100%, $G$9) + CHOOSE(CONTROL!$C$38, 0.0347, 0)</f>
        <v>59.7774</v>
      </c>
      <c r="D863" s="10">
        <f>59.7349 * CHOOSE(CONTROL!$C$15, $E$9, 100%, $G$9) + CHOOSE(CONTROL!$C$38, 0.0347, 0)</f>
        <v>59.769600000000004</v>
      </c>
      <c r="E863" s="28">
        <f>64.5109 * CHOOSE(CONTROL!$C$15, $E$9, 100%, $G$9) + CHOOSE(CONTROL!$C$38, 0.0347, 0)</f>
        <v>64.545600000000007</v>
      </c>
      <c r="F863" s="27">
        <f>64.5109 * CHOOSE(CONTROL!$C$15, $E$9, 100%, $G$9) + CHOOSE(CONTROL!$C$38, 0.0256, 0)</f>
        <v>64.536500000000004</v>
      </c>
      <c r="G863" s="10">
        <f>59.7411 * CHOOSE(CONTROL!$C$15, $E$9, 100%, $G$9) + CHOOSE(CONTROL!$C$38, 0.0347, 0)</f>
        <v>59.775800000000004</v>
      </c>
      <c r="H863" s="10">
        <f>59.7411 * CHOOSE(CONTROL!$C$15, $E$9, 100%, $G$9) + CHOOSE(CONTROL!$C$38, 0.0347, 0)</f>
        <v>59.775800000000004</v>
      </c>
      <c r="I863" s="10">
        <f>59.7427 * CHOOSE(CONTROL!$C$15, $E$9, 100%, $G$9) + CHOOSE(CONTROL!$C$38, 0.0347, 0)</f>
        <v>59.7774</v>
      </c>
      <c r="J863" s="26">
        <f>384.2923</f>
        <v>384.29230000000001</v>
      </c>
    </row>
    <row r="864" spans="1:10" ht="15.75" x14ac:dyDescent="0.25">
      <c r="A864" s="13">
        <v>67603</v>
      </c>
      <c r="B864" s="10">
        <f>66.2597 * CHOOSE(CONTROL!$C$15, $E$9, 100%, $G$9) + CHOOSE(CONTROL!$C$38, 0.0256, 0)</f>
        <v>66.285299999999992</v>
      </c>
      <c r="C864" s="10">
        <f>61.251 * CHOOSE(CONTROL!$C$15, $E$9, 100%, $G$9) + CHOOSE(CONTROL!$C$38, 0.0347, 0)</f>
        <v>61.285699999999999</v>
      </c>
      <c r="D864" s="10">
        <f>61.2432 * CHOOSE(CONTROL!$C$15, $E$9, 100%, $G$9) + CHOOSE(CONTROL!$C$38, 0.0347, 0)</f>
        <v>61.277900000000002</v>
      </c>
      <c r="E864" s="28">
        <f>66.1034 * CHOOSE(CONTROL!$C$15, $E$9, 100%, $G$9) + CHOOSE(CONTROL!$C$38, 0.0347, 0)</f>
        <v>66.138099999999994</v>
      </c>
      <c r="F864" s="27">
        <f>66.1034 * CHOOSE(CONTROL!$C$15, $E$9, 100%, $G$9) + CHOOSE(CONTROL!$C$38, 0.0256, 0)</f>
        <v>66.128999999999991</v>
      </c>
      <c r="G864" s="10">
        <f>61.2494 * CHOOSE(CONTROL!$C$15, $E$9, 100%, $G$9) + CHOOSE(CONTROL!$C$38, 0.0347, 0)</f>
        <v>61.284100000000002</v>
      </c>
      <c r="H864" s="10">
        <f>61.2494 * CHOOSE(CONTROL!$C$15, $E$9, 100%, $G$9) + CHOOSE(CONTROL!$C$38, 0.0347, 0)</f>
        <v>61.284100000000002</v>
      </c>
      <c r="I864" s="10">
        <f>61.251 * CHOOSE(CONTROL!$C$15, $E$9, 100%, $G$9) + CHOOSE(CONTROL!$C$38, 0.0347, 0)</f>
        <v>61.285699999999999</v>
      </c>
      <c r="J864" s="26">
        <f>381.7182</f>
        <v>381.71820000000002</v>
      </c>
    </row>
    <row r="865" spans="1:10" ht="15.75" x14ac:dyDescent="0.25">
      <c r="A865" s="13">
        <v>67631</v>
      </c>
      <c r="B865" s="10">
        <f>66.4805 * CHOOSE(CONTROL!$C$15, $E$9, 100%, $G$9) + CHOOSE(CONTROL!$C$38, 0.0256, 0)</f>
        <v>66.506100000000004</v>
      </c>
      <c r="C865" s="10">
        <f>61.4717 * CHOOSE(CONTROL!$C$15, $E$9, 100%, $G$9) + CHOOSE(CONTROL!$C$38, 0.0347, 0)</f>
        <v>61.506399999999999</v>
      </c>
      <c r="D865" s="10">
        <f>61.4639 * CHOOSE(CONTROL!$C$15, $E$9, 100%, $G$9) + CHOOSE(CONTROL!$C$38, 0.0347, 0)</f>
        <v>61.498600000000003</v>
      </c>
      <c r="E865" s="28">
        <f>66.3242 * CHOOSE(CONTROL!$C$15, $E$9, 100%, $G$9) + CHOOSE(CONTROL!$C$38, 0.0347, 0)</f>
        <v>66.358900000000006</v>
      </c>
      <c r="F865" s="27">
        <f>66.3242 * CHOOSE(CONTROL!$C$15, $E$9, 100%, $G$9) + CHOOSE(CONTROL!$C$38, 0.0256, 0)</f>
        <v>66.349800000000002</v>
      </c>
      <c r="G865" s="10">
        <f>61.4702 * CHOOSE(CONTROL!$C$15, $E$9, 100%, $G$9) + CHOOSE(CONTROL!$C$38, 0.0347, 0)</f>
        <v>61.504899999999999</v>
      </c>
      <c r="H865" s="10">
        <f>61.4702 * CHOOSE(CONTROL!$C$15, $E$9, 100%, $G$9) + CHOOSE(CONTROL!$C$38, 0.0347, 0)</f>
        <v>61.504899999999999</v>
      </c>
      <c r="I865" s="10">
        <f>61.4717 * CHOOSE(CONTROL!$C$15, $E$9, 100%, $G$9) + CHOOSE(CONTROL!$C$38, 0.0347, 0)</f>
        <v>61.506399999999999</v>
      </c>
      <c r="J865" s="26">
        <f>380.6571</f>
        <v>380.65710000000001</v>
      </c>
    </row>
    <row r="866" spans="1:10" ht="15.75" x14ac:dyDescent="0.25">
      <c r="A866" s="13">
        <v>67662</v>
      </c>
      <c r="B866" s="10">
        <f>65.9694 * CHOOSE(CONTROL!$C$15, $E$9, 100%, $G$9) + CHOOSE(CONTROL!$C$38, 0.0256, 0)</f>
        <v>65.99499999999999</v>
      </c>
      <c r="C866" s="10">
        <f>60.9607 * CHOOSE(CONTROL!$C$15, $E$9, 100%, $G$9) + CHOOSE(CONTROL!$C$38, 0.0347, 0)</f>
        <v>60.995400000000004</v>
      </c>
      <c r="D866" s="10">
        <f>60.9529 * CHOOSE(CONTROL!$C$15, $E$9, 100%, $G$9) + CHOOSE(CONTROL!$C$38, 0.0347, 0)</f>
        <v>60.9876</v>
      </c>
      <c r="E866" s="28">
        <f>65.8132 * CHOOSE(CONTROL!$C$15, $E$9, 100%, $G$9) + CHOOSE(CONTROL!$C$38, 0.0347, 0)</f>
        <v>65.847899999999996</v>
      </c>
      <c r="F866" s="27">
        <f>65.8132 * CHOOSE(CONTROL!$C$15, $E$9, 100%, $G$9) + CHOOSE(CONTROL!$C$38, 0.0256, 0)</f>
        <v>65.838799999999992</v>
      </c>
      <c r="G866" s="10">
        <f>60.9591 * CHOOSE(CONTROL!$C$15, $E$9, 100%, $G$9) + CHOOSE(CONTROL!$C$38, 0.0347, 0)</f>
        <v>60.9938</v>
      </c>
      <c r="H866" s="10">
        <f>60.9591 * CHOOSE(CONTROL!$C$15, $E$9, 100%, $G$9) + CHOOSE(CONTROL!$C$38, 0.0347, 0)</f>
        <v>60.9938</v>
      </c>
      <c r="I866" s="10">
        <f>60.9607 * CHOOSE(CONTROL!$C$15, $E$9, 100%, $G$9) + CHOOSE(CONTROL!$C$38, 0.0347, 0)</f>
        <v>60.995400000000004</v>
      </c>
      <c r="J866" s="26">
        <f>400.72</f>
        <v>400.72</v>
      </c>
    </row>
    <row r="867" spans="1:10" ht="15.75" x14ac:dyDescent="0.25">
      <c r="A867" s="13">
        <v>67692</v>
      </c>
      <c r="B867" s="10">
        <f>65.4742 * CHOOSE(CONTROL!$C$15, $E$9, 100%, $G$9) + CHOOSE(CONTROL!$C$38, 0.0256, 0)</f>
        <v>65.499799999999993</v>
      </c>
      <c r="C867" s="10">
        <f>60.4655 * CHOOSE(CONTROL!$C$15, $E$9, 100%, $G$9) + CHOOSE(CONTROL!$C$38, 0.0347, 0)</f>
        <v>60.5002</v>
      </c>
      <c r="D867" s="10">
        <f>60.4577 * CHOOSE(CONTROL!$C$15, $E$9, 100%, $G$9) + CHOOSE(CONTROL!$C$38, 0.0347, 0)</f>
        <v>60.492400000000004</v>
      </c>
      <c r="E867" s="28">
        <f>65.318 * CHOOSE(CONTROL!$C$15, $E$9, 100%, $G$9) + CHOOSE(CONTROL!$C$38, 0.0347, 0)</f>
        <v>65.352699999999999</v>
      </c>
      <c r="F867" s="27">
        <f>65.318 * CHOOSE(CONTROL!$C$15, $E$9, 100%, $G$9) + CHOOSE(CONTROL!$C$38, 0.0256, 0)</f>
        <v>65.343599999999995</v>
      </c>
      <c r="G867" s="10">
        <f>60.464 * CHOOSE(CONTROL!$C$15, $E$9, 100%, $G$9) + CHOOSE(CONTROL!$C$38, 0.0347, 0)</f>
        <v>60.498699999999999</v>
      </c>
      <c r="H867" s="10">
        <f>60.464 * CHOOSE(CONTROL!$C$15, $E$9, 100%, $G$9) + CHOOSE(CONTROL!$C$38, 0.0347, 0)</f>
        <v>60.498699999999999</v>
      </c>
      <c r="I867" s="10">
        <f>60.4655 * CHOOSE(CONTROL!$C$15, $E$9, 100%, $G$9) + CHOOSE(CONTROL!$C$38, 0.0347, 0)</f>
        <v>60.5002</v>
      </c>
      <c r="J867" s="26">
        <f>426.7367</f>
        <v>426.73669999999998</v>
      </c>
    </row>
    <row r="868" spans="1:10" ht="15.75" x14ac:dyDescent="0.25">
      <c r="A868" s="13">
        <v>67723</v>
      </c>
      <c r="B868" s="10">
        <f>64.9581 * CHOOSE(CONTROL!$C$15, $E$9, 100%, $G$9) + CHOOSE(CONTROL!$C$38, 0.0256, 0)</f>
        <v>64.983699999999999</v>
      </c>
      <c r="C868" s="10">
        <f>59.9494 * CHOOSE(CONTROL!$C$15, $E$9, 100%, $G$9) + CHOOSE(CONTROL!$C$38, 0.0347, 0)</f>
        <v>59.984099999999998</v>
      </c>
      <c r="D868" s="10">
        <f>59.9416 * CHOOSE(CONTROL!$C$15, $E$9, 100%, $G$9) + CHOOSE(CONTROL!$C$38, 0.0347, 0)</f>
        <v>59.976300000000002</v>
      </c>
      <c r="E868" s="28">
        <f>64.8019 * CHOOSE(CONTROL!$C$15, $E$9, 100%, $G$9) + CHOOSE(CONTROL!$C$38, 0.0347, 0)</f>
        <v>64.836600000000004</v>
      </c>
      <c r="F868" s="27">
        <f>64.8019 * CHOOSE(CONTROL!$C$15, $E$9, 100%, $G$9) + CHOOSE(CONTROL!$C$38, 0.0256, 0)</f>
        <v>64.827500000000001</v>
      </c>
      <c r="G868" s="10">
        <f>59.9478 * CHOOSE(CONTROL!$C$15, $E$9, 100%, $G$9) + CHOOSE(CONTROL!$C$38, 0.0347, 0)</f>
        <v>59.982500000000002</v>
      </c>
      <c r="H868" s="10">
        <f>59.9478 * CHOOSE(CONTROL!$C$15, $E$9, 100%, $G$9) + CHOOSE(CONTROL!$C$38, 0.0347, 0)</f>
        <v>59.982500000000002</v>
      </c>
      <c r="I868" s="10">
        <f>59.9494 * CHOOSE(CONTROL!$C$15, $E$9, 100%, $G$9) + CHOOSE(CONTROL!$C$38, 0.0347, 0)</f>
        <v>59.984099999999998</v>
      </c>
      <c r="J868" s="26">
        <f>441.0571</f>
        <v>441.05709999999999</v>
      </c>
    </row>
    <row r="869" spans="1:10" ht="15.75" x14ac:dyDescent="0.25">
      <c r="A869" s="13">
        <v>67753</v>
      </c>
      <c r="B869" s="10">
        <f>64.5963 * CHOOSE(CONTROL!$C$15, $E$9, 100%, $G$9) + CHOOSE(CONTROL!$C$38, 0.0256, 0)</f>
        <v>64.621899999999997</v>
      </c>
      <c r="C869" s="10">
        <f>59.5876 * CHOOSE(CONTROL!$C$15, $E$9, 100%, $G$9) + CHOOSE(CONTROL!$C$38, 0.0347, 0)</f>
        <v>59.622300000000003</v>
      </c>
      <c r="D869" s="10">
        <f>59.5798 * CHOOSE(CONTROL!$C$15, $E$9, 100%, $G$9) + CHOOSE(CONTROL!$C$38, 0.0347, 0)</f>
        <v>59.6145</v>
      </c>
      <c r="E869" s="28">
        <f>64.4401 * CHOOSE(CONTROL!$C$15, $E$9, 100%, $G$9) + CHOOSE(CONTROL!$C$38, 0.0347, 0)</f>
        <v>64.474800000000002</v>
      </c>
      <c r="F869" s="27">
        <f>64.4401 * CHOOSE(CONTROL!$C$15, $E$9, 100%, $G$9) + CHOOSE(CONTROL!$C$38, 0.0256, 0)</f>
        <v>64.465699999999998</v>
      </c>
      <c r="G869" s="10">
        <f>59.586 * CHOOSE(CONTROL!$C$15, $E$9, 100%, $G$9) + CHOOSE(CONTROL!$C$38, 0.0347, 0)</f>
        <v>59.620699999999999</v>
      </c>
      <c r="H869" s="10">
        <f>59.586 * CHOOSE(CONTROL!$C$15, $E$9, 100%, $G$9) + CHOOSE(CONTROL!$C$38, 0.0347, 0)</f>
        <v>59.620699999999999</v>
      </c>
      <c r="I869" s="10">
        <f>59.5876 * CHOOSE(CONTROL!$C$15, $E$9, 100%, $G$9) + CHOOSE(CONTROL!$C$38, 0.0347, 0)</f>
        <v>59.622300000000003</v>
      </c>
      <c r="J869" s="26">
        <f>447.4122</f>
        <v>447.41219999999998</v>
      </c>
    </row>
    <row r="870" spans="1:10" ht="15.75" x14ac:dyDescent="0.25">
      <c r="A870" s="13">
        <v>67784</v>
      </c>
      <c r="B870" s="10">
        <f>64.3898 * CHOOSE(CONTROL!$C$15, $E$9, 100%, $G$9) + CHOOSE(CONTROL!$C$38, 0.0256, 0)</f>
        <v>64.415399999999991</v>
      </c>
      <c r="C870" s="10">
        <f>59.3811 * CHOOSE(CONTROL!$C$15, $E$9, 100%, $G$9) + CHOOSE(CONTROL!$C$38, 0.0347, 0)</f>
        <v>59.415800000000004</v>
      </c>
      <c r="D870" s="10">
        <f>59.3733 * CHOOSE(CONTROL!$C$15, $E$9, 100%, $G$9) + CHOOSE(CONTROL!$C$38, 0.0347, 0)</f>
        <v>59.408000000000001</v>
      </c>
      <c r="E870" s="28">
        <f>64.2336 * CHOOSE(CONTROL!$C$15, $E$9, 100%, $G$9) + CHOOSE(CONTROL!$C$38, 0.0347, 0)</f>
        <v>64.268299999999996</v>
      </c>
      <c r="F870" s="27">
        <f>64.2336 * CHOOSE(CONTROL!$C$15, $E$9, 100%, $G$9) + CHOOSE(CONTROL!$C$38, 0.0256, 0)</f>
        <v>64.259199999999993</v>
      </c>
      <c r="G870" s="10">
        <f>59.3795 * CHOOSE(CONTROL!$C$15, $E$9, 100%, $G$9) + CHOOSE(CONTROL!$C$38, 0.0347, 0)</f>
        <v>59.414200000000001</v>
      </c>
      <c r="H870" s="10">
        <f>59.3795 * CHOOSE(CONTROL!$C$15, $E$9, 100%, $G$9) + CHOOSE(CONTROL!$C$38, 0.0347, 0)</f>
        <v>59.414200000000001</v>
      </c>
      <c r="I870" s="10">
        <f>59.3811 * CHOOSE(CONTROL!$C$15, $E$9, 100%, $G$9) + CHOOSE(CONTROL!$C$38, 0.0347, 0)</f>
        <v>59.415800000000004</v>
      </c>
      <c r="J870" s="26">
        <f>445.3198</f>
        <v>445.31979999999999</v>
      </c>
    </row>
    <row r="871" spans="1:10" ht="15.75" x14ac:dyDescent="0.25">
      <c r="A871" s="13">
        <v>67815</v>
      </c>
      <c r="B871" s="10">
        <f>64.4917 * CHOOSE(CONTROL!$C$15, $E$9, 100%, $G$9) + CHOOSE(CONTROL!$C$38, 0.0256, 0)</f>
        <v>64.517299999999992</v>
      </c>
      <c r="C871" s="10">
        <f>59.483 * CHOOSE(CONTROL!$C$15, $E$9, 100%, $G$9) + CHOOSE(CONTROL!$C$38, 0.0347, 0)</f>
        <v>59.517699999999998</v>
      </c>
      <c r="D871" s="10">
        <f>59.4752 * CHOOSE(CONTROL!$C$15, $E$9, 100%, $G$9) + CHOOSE(CONTROL!$C$38, 0.0347, 0)</f>
        <v>59.509900000000002</v>
      </c>
      <c r="E871" s="28">
        <f>64.3355 * CHOOSE(CONTROL!$C$15, $E$9, 100%, $G$9) + CHOOSE(CONTROL!$C$38, 0.0347, 0)</f>
        <v>64.370199999999997</v>
      </c>
      <c r="F871" s="27">
        <f>64.3355 * CHOOSE(CONTROL!$C$15, $E$9, 100%, $G$9) + CHOOSE(CONTROL!$C$38, 0.0256, 0)</f>
        <v>64.361099999999993</v>
      </c>
      <c r="G871" s="10">
        <f>59.4814 * CHOOSE(CONTROL!$C$15, $E$9, 100%, $G$9) + CHOOSE(CONTROL!$C$38, 0.0347, 0)</f>
        <v>59.516100000000002</v>
      </c>
      <c r="H871" s="10">
        <f>59.4814 * CHOOSE(CONTROL!$C$15, $E$9, 100%, $G$9) + CHOOSE(CONTROL!$C$38, 0.0347, 0)</f>
        <v>59.516100000000002</v>
      </c>
      <c r="I871" s="10">
        <f>59.483 * CHOOSE(CONTROL!$C$15, $E$9, 100%, $G$9) + CHOOSE(CONTROL!$C$38, 0.0347, 0)</f>
        <v>59.517699999999998</v>
      </c>
      <c r="J871" s="26">
        <f>434.953</f>
        <v>434.95299999999997</v>
      </c>
    </row>
    <row r="872" spans="1:10" ht="15.75" x14ac:dyDescent="0.25">
      <c r="A872" s="13">
        <v>67845</v>
      </c>
      <c r="B872" s="10">
        <f>64.7685 * CHOOSE(CONTROL!$C$15, $E$9, 100%, $G$9) + CHOOSE(CONTROL!$C$38, 0.0256, 0)</f>
        <v>64.7941</v>
      </c>
      <c r="C872" s="10">
        <f>59.7598 * CHOOSE(CONTROL!$C$15, $E$9, 100%, $G$9) + CHOOSE(CONTROL!$C$38, 0.0347, 0)</f>
        <v>59.794499999999999</v>
      </c>
      <c r="D872" s="10">
        <f>59.752 * CHOOSE(CONTROL!$C$15, $E$9, 100%, $G$9) + CHOOSE(CONTROL!$C$38, 0.0347, 0)</f>
        <v>59.786700000000003</v>
      </c>
      <c r="E872" s="28">
        <f>64.6123 * CHOOSE(CONTROL!$C$15, $E$9, 100%, $G$9) + CHOOSE(CONTROL!$C$38, 0.0347, 0)</f>
        <v>64.647000000000006</v>
      </c>
      <c r="F872" s="27">
        <f>64.6123 * CHOOSE(CONTROL!$C$15, $E$9, 100%, $G$9) + CHOOSE(CONTROL!$C$38, 0.0256, 0)</f>
        <v>64.637900000000002</v>
      </c>
      <c r="G872" s="10">
        <f>59.7582 * CHOOSE(CONTROL!$C$15, $E$9, 100%, $G$9) + CHOOSE(CONTROL!$C$38, 0.0347, 0)</f>
        <v>59.792900000000003</v>
      </c>
      <c r="H872" s="10">
        <f>59.7582 * CHOOSE(CONTROL!$C$15, $E$9, 100%, $G$9) + CHOOSE(CONTROL!$C$38, 0.0347, 0)</f>
        <v>59.792900000000003</v>
      </c>
      <c r="I872" s="10">
        <f>59.7598 * CHOOSE(CONTROL!$C$15, $E$9, 100%, $G$9) + CHOOSE(CONTROL!$C$38, 0.0347, 0)</f>
        <v>59.794499999999999</v>
      </c>
      <c r="J872" s="26">
        <f>420.4959</f>
        <v>420.49590000000001</v>
      </c>
    </row>
    <row r="873" spans="1:10" ht="15.75" x14ac:dyDescent="0.25">
      <c r="A873" s="13">
        <v>67876</v>
      </c>
      <c r="B873" s="10">
        <f>65.0003 * CHOOSE(CONTROL!$C$15, $E$9, 100%, $G$9) + CHOOSE(CONTROL!$C$38, 0.0256, 0)</f>
        <v>65.025899999999993</v>
      </c>
      <c r="C873" s="10">
        <f>59.9916 * CHOOSE(CONTROL!$C$15, $E$9, 100%, $G$9) + CHOOSE(CONTROL!$C$38, 0.0347, 0)</f>
        <v>60.026299999999999</v>
      </c>
      <c r="D873" s="10">
        <f>59.9838 * CHOOSE(CONTROL!$C$15, $E$9, 100%, $G$9) + CHOOSE(CONTROL!$C$38, 0.0347, 0)</f>
        <v>60.018500000000003</v>
      </c>
      <c r="E873" s="28">
        <f>64.8441 * CHOOSE(CONTROL!$C$15, $E$9, 100%, $G$9) + CHOOSE(CONTROL!$C$38, 0.0347, 0)</f>
        <v>64.878799999999998</v>
      </c>
      <c r="F873" s="27">
        <f>64.8441 * CHOOSE(CONTROL!$C$15, $E$9, 100%, $G$9) + CHOOSE(CONTROL!$C$38, 0.0256, 0)</f>
        <v>64.869699999999995</v>
      </c>
      <c r="G873" s="10">
        <f>59.99 * CHOOSE(CONTROL!$C$15, $E$9, 100%, $G$9) + CHOOSE(CONTROL!$C$38, 0.0347, 0)</f>
        <v>60.024700000000003</v>
      </c>
      <c r="H873" s="10">
        <f>59.99 * CHOOSE(CONTROL!$C$15, $E$9, 100%, $G$9) + CHOOSE(CONTROL!$C$38, 0.0347, 0)</f>
        <v>60.024700000000003</v>
      </c>
      <c r="I873" s="10">
        <f>59.9916 * CHOOSE(CONTROL!$C$15, $E$9, 100%, $G$9) + CHOOSE(CONTROL!$C$38, 0.0347, 0)</f>
        <v>60.026299999999999</v>
      </c>
      <c r="J873" s="26">
        <f>405.9547</f>
        <v>405.9547</v>
      </c>
    </row>
    <row r="874" spans="1:10" ht="15.75" x14ac:dyDescent="0.25">
      <c r="A874" s="13">
        <v>67906</v>
      </c>
      <c r="B874" s="10">
        <f>65.1938 * CHOOSE(CONTROL!$C$15, $E$9, 100%, $G$9) + CHOOSE(CONTROL!$C$38, 0.0256, 0)</f>
        <v>65.219399999999993</v>
      </c>
      <c r="C874" s="10">
        <f>60.185 * CHOOSE(CONTROL!$C$15, $E$9, 100%, $G$9) + CHOOSE(CONTROL!$C$38, 0.0347, 0)</f>
        <v>60.219700000000003</v>
      </c>
      <c r="D874" s="10">
        <f>60.1772 * CHOOSE(CONTROL!$C$15, $E$9, 100%, $G$9) + CHOOSE(CONTROL!$C$38, 0.0347, 0)</f>
        <v>60.2119</v>
      </c>
      <c r="E874" s="28">
        <f>65.0375 * CHOOSE(CONTROL!$C$15, $E$9, 100%, $G$9) + CHOOSE(CONTROL!$C$38, 0.0347, 0)</f>
        <v>65.072199999999995</v>
      </c>
      <c r="F874" s="27">
        <f>65.0375 * CHOOSE(CONTROL!$C$15, $E$9, 100%, $G$9) + CHOOSE(CONTROL!$C$38, 0.0256, 0)</f>
        <v>65.063099999999991</v>
      </c>
      <c r="G874" s="10">
        <f>60.1835 * CHOOSE(CONTROL!$C$15, $E$9, 100%, $G$9) + CHOOSE(CONTROL!$C$38, 0.0347, 0)</f>
        <v>60.218200000000003</v>
      </c>
      <c r="H874" s="10">
        <f>60.1835 * CHOOSE(CONTROL!$C$15, $E$9, 100%, $G$9) + CHOOSE(CONTROL!$C$38, 0.0347, 0)</f>
        <v>60.218200000000003</v>
      </c>
      <c r="I874" s="10">
        <f>60.185 * CHOOSE(CONTROL!$C$15, $E$9, 100%, $G$9) + CHOOSE(CONTROL!$C$38, 0.0347, 0)</f>
        <v>60.219700000000003</v>
      </c>
      <c r="J874" s="26">
        <f>403.0622</f>
        <v>403.06220000000002</v>
      </c>
    </row>
    <row r="875" spans="1:10" ht="15.75" x14ac:dyDescent="0.25">
      <c r="A875" s="13">
        <v>67937</v>
      </c>
      <c r="B875" s="10">
        <f>65.7899 * CHOOSE(CONTROL!$C$15, $E$9, 100%, $G$9) + CHOOSE(CONTROL!$C$38, 0.0256, 0)</f>
        <v>65.8155</v>
      </c>
      <c r="C875" s="10">
        <f>60.7811 * CHOOSE(CONTROL!$C$15, $E$9, 100%, $G$9) + CHOOSE(CONTROL!$C$38, 0.0347, 0)</f>
        <v>60.815800000000003</v>
      </c>
      <c r="D875" s="10">
        <f>60.7733 * CHOOSE(CONTROL!$C$15, $E$9, 100%, $G$9) + CHOOSE(CONTROL!$C$38, 0.0347, 0)</f>
        <v>60.808</v>
      </c>
      <c r="E875" s="28">
        <f>65.6336 * CHOOSE(CONTROL!$C$15, $E$9, 100%, $G$9) + CHOOSE(CONTROL!$C$38, 0.0347, 0)</f>
        <v>65.668300000000002</v>
      </c>
      <c r="F875" s="27">
        <f>65.6336 * CHOOSE(CONTROL!$C$15, $E$9, 100%, $G$9) + CHOOSE(CONTROL!$C$38, 0.0256, 0)</f>
        <v>65.659199999999998</v>
      </c>
      <c r="G875" s="10">
        <f>60.7796 * CHOOSE(CONTROL!$C$15, $E$9, 100%, $G$9) + CHOOSE(CONTROL!$C$38, 0.0347, 0)</f>
        <v>60.814300000000003</v>
      </c>
      <c r="H875" s="10">
        <f>60.7796 * CHOOSE(CONTROL!$C$15, $E$9, 100%, $G$9) + CHOOSE(CONTROL!$C$38, 0.0347, 0)</f>
        <v>60.814300000000003</v>
      </c>
      <c r="I875" s="10">
        <f>60.7811 * CHOOSE(CONTROL!$C$15, $E$9, 100%, $G$9) + CHOOSE(CONTROL!$C$38, 0.0347, 0)</f>
        <v>60.815800000000003</v>
      </c>
      <c r="J875" s="26">
        <f>391.1013</f>
        <v>391.10129999999998</v>
      </c>
    </row>
    <row r="876" spans="1:10" ht="15.75" x14ac:dyDescent="0.25">
      <c r="A876" s="13">
        <v>67968</v>
      </c>
      <c r="B876" s="10">
        <f>67.4022 * CHOOSE(CONTROL!$C$15, $E$9, 100%, $G$9) + CHOOSE(CONTROL!$C$38, 0.0256, 0)</f>
        <v>67.427799999999991</v>
      </c>
      <c r="C876" s="10">
        <f>62.3077 * CHOOSE(CONTROL!$C$15, $E$9, 100%, $G$9) + CHOOSE(CONTROL!$C$38, 0.0347, 0)</f>
        <v>62.342399999999998</v>
      </c>
      <c r="D876" s="10">
        <f>62.2999 * CHOOSE(CONTROL!$C$15, $E$9, 100%, $G$9) + CHOOSE(CONTROL!$C$38, 0.0347, 0)</f>
        <v>62.334600000000002</v>
      </c>
      <c r="E876" s="28">
        <f>67.2459 * CHOOSE(CONTROL!$C$15, $E$9, 100%, $G$9) + CHOOSE(CONTROL!$C$38, 0.0347, 0)</f>
        <v>67.280600000000007</v>
      </c>
      <c r="F876" s="27">
        <f>67.2459 * CHOOSE(CONTROL!$C$15, $E$9, 100%, $G$9) + CHOOSE(CONTROL!$C$38, 0.0256, 0)</f>
        <v>67.271500000000003</v>
      </c>
      <c r="G876" s="10">
        <f>62.3062 * CHOOSE(CONTROL!$C$15, $E$9, 100%, $G$9) + CHOOSE(CONTROL!$C$38, 0.0347, 0)</f>
        <v>62.340899999999998</v>
      </c>
      <c r="H876" s="10">
        <f>62.3062 * CHOOSE(CONTROL!$C$15, $E$9, 100%, $G$9) + CHOOSE(CONTROL!$C$38, 0.0347, 0)</f>
        <v>62.340899999999998</v>
      </c>
      <c r="I876" s="10">
        <f>62.3077 * CHOOSE(CONTROL!$C$15, $E$9, 100%, $G$9) + CHOOSE(CONTROL!$C$38, 0.0347, 0)</f>
        <v>62.342399999999998</v>
      </c>
      <c r="J876" s="26">
        <f>388.4815</f>
        <v>388.48149999999998</v>
      </c>
    </row>
    <row r="877" spans="1:10" ht="15.75" x14ac:dyDescent="0.25">
      <c r="A877" s="13">
        <v>67996</v>
      </c>
      <c r="B877" s="10">
        <f>67.623 * CHOOSE(CONTROL!$C$15, $E$9, 100%, $G$9) + CHOOSE(CONTROL!$C$38, 0.0256, 0)</f>
        <v>67.648600000000002</v>
      </c>
      <c r="C877" s="10">
        <f>62.5285 * CHOOSE(CONTROL!$C$15, $E$9, 100%, $G$9) + CHOOSE(CONTROL!$C$38, 0.0347, 0)</f>
        <v>62.563200000000002</v>
      </c>
      <c r="D877" s="10">
        <f>62.5207 * CHOOSE(CONTROL!$C$15, $E$9, 100%, $G$9) + CHOOSE(CONTROL!$C$38, 0.0347, 0)</f>
        <v>62.555399999999999</v>
      </c>
      <c r="E877" s="28">
        <f>67.4667 * CHOOSE(CONTROL!$C$15, $E$9, 100%, $G$9) + CHOOSE(CONTROL!$C$38, 0.0347, 0)</f>
        <v>67.501400000000004</v>
      </c>
      <c r="F877" s="27">
        <f>67.4667 * CHOOSE(CONTROL!$C$15, $E$9, 100%, $G$9) + CHOOSE(CONTROL!$C$38, 0.0256, 0)</f>
        <v>67.4923</v>
      </c>
      <c r="G877" s="10">
        <f>62.5269 * CHOOSE(CONTROL!$C$15, $E$9, 100%, $G$9) + CHOOSE(CONTROL!$C$38, 0.0347, 0)</f>
        <v>62.561599999999999</v>
      </c>
      <c r="H877" s="10">
        <f>62.5269 * CHOOSE(CONTROL!$C$15, $E$9, 100%, $G$9) + CHOOSE(CONTROL!$C$38, 0.0347, 0)</f>
        <v>62.561599999999999</v>
      </c>
      <c r="I877" s="10">
        <f>62.5285 * CHOOSE(CONTROL!$C$15, $E$9, 100%, $G$9) + CHOOSE(CONTROL!$C$38, 0.0347, 0)</f>
        <v>62.563200000000002</v>
      </c>
      <c r="J877" s="26">
        <f>387.4016</f>
        <v>387.40159999999997</v>
      </c>
    </row>
    <row r="878" spans="1:10" ht="15.75" x14ac:dyDescent="0.25">
      <c r="A878" s="13">
        <v>68027</v>
      </c>
      <c r="B878" s="10">
        <f>67.1119 * CHOOSE(CONTROL!$C$15, $E$9, 100%, $G$9) + CHOOSE(CONTROL!$C$38, 0.0256, 0)</f>
        <v>67.137500000000003</v>
      </c>
      <c r="C878" s="10">
        <f>62.0175 * CHOOSE(CONTROL!$C$15, $E$9, 100%, $G$9) + CHOOSE(CONTROL!$C$38, 0.0347, 0)</f>
        <v>62.052199999999999</v>
      </c>
      <c r="D878" s="10">
        <f>62.0096 * CHOOSE(CONTROL!$C$15, $E$9, 100%, $G$9) + CHOOSE(CONTROL!$C$38, 0.0347, 0)</f>
        <v>62.0443</v>
      </c>
      <c r="E878" s="28">
        <f>66.9557 * CHOOSE(CONTROL!$C$15, $E$9, 100%, $G$9) + CHOOSE(CONTROL!$C$38, 0.0347, 0)</f>
        <v>66.990399999999994</v>
      </c>
      <c r="F878" s="27">
        <f>66.9557 * CHOOSE(CONTROL!$C$15, $E$9, 100%, $G$9) + CHOOSE(CONTROL!$C$38, 0.0256, 0)</f>
        <v>66.98129999999999</v>
      </c>
      <c r="G878" s="10">
        <f>62.0159 * CHOOSE(CONTROL!$C$15, $E$9, 100%, $G$9) + CHOOSE(CONTROL!$C$38, 0.0347, 0)</f>
        <v>62.050600000000003</v>
      </c>
      <c r="H878" s="10">
        <f>62.0159 * CHOOSE(CONTROL!$C$15, $E$9, 100%, $G$9) + CHOOSE(CONTROL!$C$38, 0.0347, 0)</f>
        <v>62.050600000000003</v>
      </c>
      <c r="I878" s="10">
        <f>62.0175 * CHOOSE(CONTROL!$C$15, $E$9, 100%, $G$9) + CHOOSE(CONTROL!$C$38, 0.0347, 0)</f>
        <v>62.052199999999999</v>
      </c>
      <c r="J878" s="26">
        <f>407.82</f>
        <v>407.82</v>
      </c>
    </row>
    <row r="879" spans="1:10" ht="15.75" x14ac:dyDescent="0.25">
      <c r="A879" s="13">
        <v>68057</v>
      </c>
      <c r="B879" s="10">
        <f>66.6167 * CHOOSE(CONTROL!$C$15, $E$9, 100%, $G$9) + CHOOSE(CONTROL!$C$38, 0.0256, 0)</f>
        <v>66.642299999999992</v>
      </c>
      <c r="C879" s="10">
        <f>61.5223 * CHOOSE(CONTROL!$C$15, $E$9, 100%, $G$9) + CHOOSE(CONTROL!$C$38, 0.0347, 0)</f>
        <v>61.557000000000002</v>
      </c>
      <c r="D879" s="10">
        <f>61.5145 * CHOOSE(CONTROL!$C$15, $E$9, 100%, $G$9) + CHOOSE(CONTROL!$C$38, 0.0347, 0)</f>
        <v>61.549199999999999</v>
      </c>
      <c r="E879" s="28">
        <f>66.4605 * CHOOSE(CONTROL!$C$15, $E$9, 100%, $G$9) + CHOOSE(CONTROL!$C$38, 0.0347, 0)</f>
        <v>66.495199999999997</v>
      </c>
      <c r="F879" s="27">
        <f>66.4605 * CHOOSE(CONTROL!$C$15, $E$9, 100%, $G$9) + CHOOSE(CONTROL!$C$38, 0.0256, 0)</f>
        <v>66.486099999999993</v>
      </c>
      <c r="G879" s="10">
        <f>61.5207 * CHOOSE(CONTROL!$C$15, $E$9, 100%, $G$9) + CHOOSE(CONTROL!$C$38, 0.0347, 0)</f>
        <v>61.555399999999999</v>
      </c>
      <c r="H879" s="10">
        <f>61.5207 * CHOOSE(CONTROL!$C$15, $E$9, 100%, $G$9) + CHOOSE(CONTROL!$C$38, 0.0347, 0)</f>
        <v>61.555399999999999</v>
      </c>
      <c r="I879" s="10">
        <f>61.5223 * CHOOSE(CONTROL!$C$15, $E$9, 100%, $G$9) + CHOOSE(CONTROL!$C$38, 0.0347, 0)</f>
        <v>61.557000000000002</v>
      </c>
      <c r="J879" s="26">
        <f>434.2976</f>
        <v>434.29759999999999</v>
      </c>
    </row>
    <row r="880" spans="1:10" ht="15.75" x14ac:dyDescent="0.25">
      <c r="A880" s="13">
        <v>68088</v>
      </c>
      <c r="B880" s="10">
        <f>66.1006 * CHOOSE(CONTROL!$C$15, $E$9, 100%, $G$9) + CHOOSE(CONTROL!$C$38, 0.0256, 0)</f>
        <v>66.126199999999997</v>
      </c>
      <c r="C880" s="10">
        <f>61.0062 * CHOOSE(CONTROL!$C$15, $E$9, 100%, $G$9) + CHOOSE(CONTROL!$C$38, 0.0347, 0)</f>
        <v>61.040900000000001</v>
      </c>
      <c r="D880" s="10">
        <f>60.9984 * CHOOSE(CONTROL!$C$15, $E$9, 100%, $G$9) + CHOOSE(CONTROL!$C$38, 0.0347, 0)</f>
        <v>61.033099999999997</v>
      </c>
      <c r="E880" s="28">
        <f>65.9444 * CHOOSE(CONTROL!$C$15, $E$9, 100%, $G$9) + CHOOSE(CONTROL!$C$38, 0.0347, 0)</f>
        <v>65.979100000000003</v>
      </c>
      <c r="F880" s="27">
        <f>65.9444 * CHOOSE(CONTROL!$C$15, $E$9, 100%, $G$9) + CHOOSE(CONTROL!$C$38, 0.0256, 0)</f>
        <v>65.97</v>
      </c>
      <c r="G880" s="10">
        <f>61.0046 * CHOOSE(CONTROL!$C$15, $E$9, 100%, $G$9) + CHOOSE(CONTROL!$C$38, 0.0347, 0)</f>
        <v>61.039300000000004</v>
      </c>
      <c r="H880" s="10">
        <f>61.0046 * CHOOSE(CONTROL!$C$15, $E$9, 100%, $G$9) + CHOOSE(CONTROL!$C$38, 0.0347, 0)</f>
        <v>61.039300000000004</v>
      </c>
      <c r="I880" s="10">
        <f>61.0062 * CHOOSE(CONTROL!$C$15, $E$9, 100%, $G$9) + CHOOSE(CONTROL!$C$38, 0.0347, 0)</f>
        <v>61.040900000000001</v>
      </c>
      <c r="J880" s="26">
        <f>448.8718</f>
        <v>448.87180000000001</v>
      </c>
    </row>
    <row r="881" spans="1:10" ht="15.75" x14ac:dyDescent="0.25">
      <c r="A881" s="13">
        <v>68118</v>
      </c>
      <c r="B881" s="10">
        <f>65.7388 * CHOOSE(CONTROL!$C$15, $E$9, 100%, $G$9) + CHOOSE(CONTROL!$C$38, 0.0256, 0)</f>
        <v>65.764399999999995</v>
      </c>
      <c r="C881" s="10">
        <f>60.6443 * CHOOSE(CONTROL!$C$15, $E$9, 100%, $G$9) + CHOOSE(CONTROL!$C$38, 0.0347, 0)</f>
        <v>60.679000000000002</v>
      </c>
      <c r="D881" s="10">
        <f>60.6365 * CHOOSE(CONTROL!$C$15, $E$9, 100%, $G$9) + CHOOSE(CONTROL!$C$38, 0.0347, 0)</f>
        <v>60.671199999999999</v>
      </c>
      <c r="E881" s="28">
        <f>65.5825 * CHOOSE(CONTROL!$C$15, $E$9, 100%, $G$9) + CHOOSE(CONTROL!$C$38, 0.0347, 0)</f>
        <v>65.617199999999997</v>
      </c>
      <c r="F881" s="27">
        <f>65.5825 * CHOOSE(CONTROL!$C$15, $E$9, 100%, $G$9) + CHOOSE(CONTROL!$C$38, 0.0256, 0)</f>
        <v>65.608099999999993</v>
      </c>
      <c r="G881" s="10">
        <f>60.6428 * CHOOSE(CONTROL!$C$15, $E$9, 100%, $G$9) + CHOOSE(CONTROL!$C$38, 0.0347, 0)</f>
        <v>60.677500000000002</v>
      </c>
      <c r="H881" s="10">
        <f>60.6428 * CHOOSE(CONTROL!$C$15, $E$9, 100%, $G$9) + CHOOSE(CONTROL!$C$38, 0.0347, 0)</f>
        <v>60.677500000000002</v>
      </c>
      <c r="I881" s="10">
        <f>60.6443 * CHOOSE(CONTROL!$C$15, $E$9, 100%, $G$9) + CHOOSE(CONTROL!$C$38, 0.0347, 0)</f>
        <v>60.679000000000002</v>
      </c>
      <c r="J881" s="26">
        <f>455.3395</f>
        <v>455.33949999999999</v>
      </c>
    </row>
    <row r="882" spans="1:10" ht="15.75" x14ac:dyDescent="0.25">
      <c r="A882" s="13">
        <v>68149</v>
      </c>
      <c r="B882" s="10">
        <f>65.5323 * CHOOSE(CONTROL!$C$15, $E$9, 100%, $G$9) + CHOOSE(CONTROL!$C$38, 0.0256, 0)</f>
        <v>65.557900000000004</v>
      </c>
      <c r="C882" s="10">
        <f>60.4378 * CHOOSE(CONTROL!$C$15, $E$9, 100%, $G$9) + CHOOSE(CONTROL!$C$38, 0.0347, 0)</f>
        <v>60.472500000000004</v>
      </c>
      <c r="D882" s="10">
        <f>60.43 * CHOOSE(CONTROL!$C$15, $E$9, 100%, $G$9) + CHOOSE(CONTROL!$C$38, 0.0347, 0)</f>
        <v>60.464700000000001</v>
      </c>
      <c r="E882" s="28">
        <f>65.3761 * CHOOSE(CONTROL!$C$15, $E$9, 100%, $G$9) + CHOOSE(CONTROL!$C$38, 0.0347, 0)</f>
        <v>65.410799999999995</v>
      </c>
      <c r="F882" s="27">
        <f>65.3761 * CHOOSE(CONTROL!$C$15, $E$9, 100%, $G$9) + CHOOSE(CONTROL!$C$38, 0.0256, 0)</f>
        <v>65.401699999999991</v>
      </c>
      <c r="G882" s="10">
        <f>60.4363 * CHOOSE(CONTROL!$C$15, $E$9, 100%, $G$9) + CHOOSE(CONTROL!$C$38, 0.0347, 0)</f>
        <v>60.471000000000004</v>
      </c>
      <c r="H882" s="10">
        <f>60.4363 * CHOOSE(CONTROL!$C$15, $E$9, 100%, $G$9) + CHOOSE(CONTROL!$C$38, 0.0347, 0)</f>
        <v>60.471000000000004</v>
      </c>
      <c r="I882" s="10">
        <f>60.4378 * CHOOSE(CONTROL!$C$15, $E$9, 100%, $G$9) + CHOOSE(CONTROL!$C$38, 0.0347, 0)</f>
        <v>60.472500000000004</v>
      </c>
      <c r="J882" s="26">
        <f>453.2101</f>
        <v>453.21010000000001</v>
      </c>
    </row>
    <row r="883" spans="1:10" ht="15.75" x14ac:dyDescent="0.25">
      <c r="A883" s="13">
        <v>68180</v>
      </c>
      <c r="B883" s="10">
        <f>65.6342 * CHOOSE(CONTROL!$C$15, $E$9, 100%, $G$9) + CHOOSE(CONTROL!$C$38, 0.0256, 0)</f>
        <v>65.659800000000004</v>
      </c>
      <c r="C883" s="10">
        <f>60.5398 * CHOOSE(CONTROL!$C$15, $E$9, 100%, $G$9) + CHOOSE(CONTROL!$C$38, 0.0347, 0)</f>
        <v>60.5745</v>
      </c>
      <c r="D883" s="10">
        <f>60.5319 * CHOOSE(CONTROL!$C$15, $E$9, 100%, $G$9) + CHOOSE(CONTROL!$C$38, 0.0347, 0)</f>
        <v>60.566600000000001</v>
      </c>
      <c r="E883" s="28">
        <f>65.478 * CHOOSE(CONTROL!$C$15, $E$9, 100%, $G$9) + CHOOSE(CONTROL!$C$38, 0.0347, 0)</f>
        <v>65.512699999999995</v>
      </c>
      <c r="F883" s="27">
        <f>65.478 * CHOOSE(CONTROL!$C$15, $E$9, 100%, $G$9) + CHOOSE(CONTROL!$C$38, 0.0256, 0)</f>
        <v>65.503599999999992</v>
      </c>
      <c r="G883" s="10">
        <f>60.5382 * CHOOSE(CONTROL!$C$15, $E$9, 100%, $G$9) + CHOOSE(CONTROL!$C$38, 0.0347, 0)</f>
        <v>60.572900000000004</v>
      </c>
      <c r="H883" s="10">
        <f>60.5382 * CHOOSE(CONTROL!$C$15, $E$9, 100%, $G$9) + CHOOSE(CONTROL!$C$38, 0.0347, 0)</f>
        <v>60.572900000000004</v>
      </c>
      <c r="I883" s="10">
        <f>60.5398 * CHOOSE(CONTROL!$C$15, $E$9, 100%, $G$9) + CHOOSE(CONTROL!$C$38, 0.0347, 0)</f>
        <v>60.5745</v>
      </c>
      <c r="J883" s="26">
        <f>442.6595</f>
        <v>442.65949999999998</v>
      </c>
    </row>
    <row r="884" spans="1:10" ht="15.75" x14ac:dyDescent="0.25">
      <c r="A884" s="13">
        <v>68210</v>
      </c>
      <c r="B884" s="10">
        <f>65.911 * CHOOSE(CONTROL!$C$15, $E$9, 100%, $G$9) + CHOOSE(CONTROL!$C$38, 0.0256, 0)</f>
        <v>65.936599999999999</v>
      </c>
      <c r="C884" s="10">
        <f>60.8165 * CHOOSE(CONTROL!$C$15, $E$9, 100%, $G$9) + CHOOSE(CONTROL!$C$38, 0.0347, 0)</f>
        <v>60.851199999999999</v>
      </c>
      <c r="D884" s="10">
        <f>60.8087 * CHOOSE(CONTROL!$C$15, $E$9, 100%, $G$9) + CHOOSE(CONTROL!$C$38, 0.0347, 0)</f>
        <v>60.843400000000003</v>
      </c>
      <c r="E884" s="28">
        <f>65.7548 * CHOOSE(CONTROL!$C$15, $E$9, 100%, $G$9) + CHOOSE(CONTROL!$C$38, 0.0347, 0)</f>
        <v>65.789500000000004</v>
      </c>
      <c r="F884" s="27">
        <f>65.7548 * CHOOSE(CONTROL!$C$15, $E$9, 100%, $G$9) + CHOOSE(CONTROL!$C$38, 0.0256, 0)</f>
        <v>65.7804</v>
      </c>
      <c r="G884" s="10">
        <f>60.815 * CHOOSE(CONTROL!$C$15, $E$9, 100%, $G$9) + CHOOSE(CONTROL!$C$38, 0.0347, 0)</f>
        <v>60.849699999999999</v>
      </c>
      <c r="H884" s="10">
        <f>60.815 * CHOOSE(CONTROL!$C$15, $E$9, 100%, $G$9) + CHOOSE(CONTROL!$C$38, 0.0347, 0)</f>
        <v>60.849699999999999</v>
      </c>
      <c r="I884" s="10">
        <f>60.8165 * CHOOSE(CONTROL!$C$15, $E$9, 100%, $G$9) + CHOOSE(CONTROL!$C$38, 0.0347, 0)</f>
        <v>60.851199999999999</v>
      </c>
      <c r="J884" s="26">
        <f>427.9463</f>
        <v>427.94630000000001</v>
      </c>
    </row>
    <row r="885" spans="1:10" ht="15.75" x14ac:dyDescent="0.25">
      <c r="A885" s="13">
        <v>68241</v>
      </c>
      <c r="B885" s="10">
        <f>66.1428 * CHOOSE(CONTROL!$C$15, $E$9, 100%, $G$9) + CHOOSE(CONTROL!$C$38, 0.0256, 0)</f>
        <v>66.168399999999991</v>
      </c>
      <c r="C885" s="10">
        <f>61.0484 * CHOOSE(CONTROL!$C$15, $E$9, 100%, $G$9) + CHOOSE(CONTROL!$C$38, 0.0347, 0)</f>
        <v>61.083100000000002</v>
      </c>
      <c r="D885" s="10">
        <f>61.0406 * CHOOSE(CONTROL!$C$15, $E$9, 100%, $G$9) + CHOOSE(CONTROL!$C$38, 0.0347, 0)</f>
        <v>61.075299999999999</v>
      </c>
      <c r="E885" s="28">
        <f>65.9866 * CHOOSE(CONTROL!$C$15, $E$9, 100%, $G$9) + CHOOSE(CONTROL!$C$38, 0.0347, 0)</f>
        <v>66.021299999999997</v>
      </c>
      <c r="F885" s="27">
        <f>65.9866 * CHOOSE(CONTROL!$C$15, $E$9, 100%, $G$9) + CHOOSE(CONTROL!$C$38, 0.0256, 0)</f>
        <v>66.012199999999993</v>
      </c>
      <c r="G885" s="10">
        <f>61.0468 * CHOOSE(CONTROL!$C$15, $E$9, 100%, $G$9) + CHOOSE(CONTROL!$C$38, 0.0347, 0)</f>
        <v>61.081499999999998</v>
      </c>
      <c r="H885" s="10">
        <f>61.0468 * CHOOSE(CONTROL!$C$15, $E$9, 100%, $G$9) + CHOOSE(CONTROL!$C$38, 0.0347, 0)</f>
        <v>61.081499999999998</v>
      </c>
      <c r="I885" s="10">
        <f>61.0484 * CHOOSE(CONTROL!$C$15, $E$9, 100%, $G$9) + CHOOSE(CONTROL!$C$38, 0.0347, 0)</f>
        <v>61.083100000000002</v>
      </c>
      <c r="J885" s="26">
        <f>413.1475</f>
        <v>413.14749999999998</v>
      </c>
    </row>
    <row r="886" spans="1:10" ht="15.75" x14ac:dyDescent="0.25">
      <c r="A886" s="13">
        <v>68271</v>
      </c>
      <c r="B886" s="10">
        <f>66.3363 * CHOOSE(CONTROL!$C$15, $E$9, 100%, $G$9) + CHOOSE(CONTROL!$C$38, 0.0256, 0)</f>
        <v>66.361899999999991</v>
      </c>
      <c r="C886" s="10">
        <f>61.2418 * CHOOSE(CONTROL!$C$15, $E$9, 100%, $G$9) + CHOOSE(CONTROL!$C$38, 0.0347, 0)</f>
        <v>61.276499999999999</v>
      </c>
      <c r="D886" s="10">
        <f>61.234 * CHOOSE(CONTROL!$C$15, $E$9, 100%, $G$9) + CHOOSE(CONTROL!$C$38, 0.0347, 0)</f>
        <v>61.268700000000003</v>
      </c>
      <c r="E886" s="28">
        <f>66.18 * CHOOSE(CONTROL!$C$15, $E$9, 100%, $G$9) + CHOOSE(CONTROL!$C$38, 0.0347, 0)</f>
        <v>66.214700000000008</v>
      </c>
      <c r="F886" s="27">
        <f>66.18 * CHOOSE(CONTROL!$C$15, $E$9, 100%, $G$9) + CHOOSE(CONTROL!$C$38, 0.0256, 0)</f>
        <v>66.205600000000004</v>
      </c>
      <c r="G886" s="10">
        <f>61.2403 * CHOOSE(CONTROL!$C$15, $E$9, 100%, $G$9) + CHOOSE(CONTROL!$C$38, 0.0347, 0)</f>
        <v>61.274999999999999</v>
      </c>
      <c r="H886" s="10">
        <f>61.2403 * CHOOSE(CONTROL!$C$15, $E$9, 100%, $G$9) + CHOOSE(CONTROL!$C$38, 0.0347, 0)</f>
        <v>61.274999999999999</v>
      </c>
      <c r="I886" s="10">
        <f>61.2418 * CHOOSE(CONTROL!$C$15, $E$9, 100%, $G$9) + CHOOSE(CONTROL!$C$38, 0.0347, 0)</f>
        <v>61.276499999999999</v>
      </c>
      <c r="J886" s="26">
        <f>410.2037</f>
        <v>410.20370000000003</v>
      </c>
    </row>
    <row r="887" spans="1:10" ht="15.75" x14ac:dyDescent="0.25">
      <c r="A887" s="13">
        <v>68302</v>
      </c>
      <c r="B887" s="10">
        <f>66.9323 * CHOOSE(CONTROL!$C$15, $E$9, 100%, $G$9) + CHOOSE(CONTROL!$C$38, 0.0256, 0)</f>
        <v>66.957899999999995</v>
      </c>
      <c r="C887" s="10">
        <f>61.8379 * CHOOSE(CONTROL!$C$15, $E$9, 100%, $G$9) + CHOOSE(CONTROL!$C$38, 0.0347, 0)</f>
        <v>61.872599999999998</v>
      </c>
      <c r="D887" s="10">
        <f>61.8301 * CHOOSE(CONTROL!$C$15, $E$9, 100%, $G$9) + CHOOSE(CONTROL!$C$38, 0.0347, 0)</f>
        <v>61.864800000000002</v>
      </c>
      <c r="E887" s="28">
        <f>66.7761 * CHOOSE(CONTROL!$C$15, $E$9, 100%, $G$9) + CHOOSE(CONTROL!$C$38, 0.0347, 0)</f>
        <v>66.8108</v>
      </c>
      <c r="F887" s="27">
        <f>66.7761 * CHOOSE(CONTROL!$C$15, $E$9, 100%, $G$9) + CHOOSE(CONTROL!$C$38, 0.0256, 0)</f>
        <v>66.801699999999997</v>
      </c>
      <c r="G887" s="10">
        <f>61.8363 * CHOOSE(CONTROL!$C$15, $E$9, 100%, $G$9) + CHOOSE(CONTROL!$C$38, 0.0347, 0)</f>
        <v>61.871000000000002</v>
      </c>
      <c r="H887" s="10">
        <f>61.8363 * CHOOSE(CONTROL!$C$15, $E$9, 100%, $G$9) + CHOOSE(CONTROL!$C$38, 0.0347, 0)</f>
        <v>61.871000000000002</v>
      </c>
      <c r="I887" s="10">
        <f>61.8379 * CHOOSE(CONTROL!$C$15, $E$9, 100%, $G$9) + CHOOSE(CONTROL!$C$38, 0.0347, 0)</f>
        <v>61.872599999999998</v>
      </c>
      <c r="J887" s="26">
        <f>398.0308</f>
        <v>398.0308</v>
      </c>
    </row>
    <row r="888" spans="1:10" ht="15.75" x14ac:dyDescent="0.25">
      <c r="A888" s="13">
        <v>68333</v>
      </c>
      <c r="B888" s="10">
        <f>68.5649 * CHOOSE(CONTROL!$C$15, $E$9, 100%, $G$9) + CHOOSE(CONTROL!$C$38, 0.0256, 0)</f>
        <v>68.590499999999992</v>
      </c>
      <c r="C888" s="10">
        <f>63.3832 * CHOOSE(CONTROL!$C$15, $E$9, 100%, $G$9) + CHOOSE(CONTROL!$C$38, 0.0347, 0)</f>
        <v>63.417900000000003</v>
      </c>
      <c r="D888" s="10">
        <f>63.3754 * CHOOSE(CONTROL!$C$15, $E$9, 100%, $G$9) + CHOOSE(CONTROL!$C$38, 0.0347, 0)</f>
        <v>63.4101</v>
      </c>
      <c r="E888" s="28">
        <f>68.4086 * CHOOSE(CONTROL!$C$15, $E$9, 100%, $G$9) + CHOOSE(CONTROL!$C$38, 0.0347, 0)</f>
        <v>68.443300000000008</v>
      </c>
      <c r="F888" s="27">
        <f>68.4086 * CHOOSE(CONTROL!$C$15, $E$9, 100%, $G$9) + CHOOSE(CONTROL!$C$38, 0.0256, 0)</f>
        <v>68.434200000000004</v>
      </c>
      <c r="G888" s="10">
        <f>63.3816 * CHOOSE(CONTROL!$C$15, $E$9, 100%, $G$9) + CHOOSE(CONTROL!$C$38, 0.0347, 0)</f>
        <v>63.4163</v>
      </c>
      <c r="H888" s="10">
        <f>63.3816 * CHOOSE(CONTROL!$C$15, $E$9, 100%, $G$9) + CHOOSE(CONTROL!$C$38, 0.0347, 0)</f>
        <v>63.4163</v>
      </c>
      <c r="I888" s="10">
        <f>63.3832 * CHOOSE(CONTROL!$C$15, $E$9, 100%, $G$9) + CHOOSE(CONTROL!$C$38, 0.0347, 0)</f>
        <v>63.417900000000003</v>
      </c>
      <c r="J888" s="26">
        <f>395.3647</f>
        <v>395.36470000000003</v>
      </c>
    </row>
    <row r="889" spans="1:10" ht="15.75" x14ac:dyDescent="0.25">
      <c r="A889" s="13">
        <v>68361</v>
      </c>
      <c r="B889" s="10">
        <f>68.7856 * CHOOSE(CONTROL!$C$15, $E$9, 100%, $G$9) + CHOOSE(CONTROL!$C$38, 0.0256, 0)</f>
        <v>68.811199999999999</v>
      </c>
      <c r="C889" s="10">
        <f>63.6039 * CHOOSE(CONTROL!$C$15, $E$9, 100%, $G$9) + CHOOSE(CONTROL!$C$38, 0.0347, 0)</f>
        <v>63.638600000000004</v>
      </c>
      <c r="D889" s="10">
        <f>63.5961 * CHOOSE(CONTROL!$C$15, $E$9, 100%, $G$9) + CHOOSE(CONTROL!$C$38, 0.0347, 0)</f>
        <v>63.630800000000001</v>
      </c>
      <c r="E889" s="28">
        <f>68.6294 * CHOOSE(CONTROL!$C$15, $E$9, 100%, $G$9) + CHOOSE(CONTROL!$C$38, 0.0347, 0)</f>
        <v>68.664100000000005</v>
      </c>
      <c r="F889" s="27">
        <f>68.6294 * CHOOSE(CONTROL!$C$15, $E$9, 100%, $G$9) + CHOOSE(CONTROL!$C$38, 0.0256, 0)</f>
        <v>68.655000000000001</v>
      </c>
      <c r="G889" s="10">
        <f>63.6024 * CHOOSE(CONTROL!$C$15, $E$9, 100%, $G$9) + CHOOSE(CONTROL!$C$38, 0.0347, 0)</f>
        <v>63.637100000000004</v>
      </c>
      <c r="H889" s="10">
        <f>63.6024 * CHOOSE(CONTROL!$C$15, $E$9, 100%, $G$9) + CHOOSE(CONTROL!$C$38, 0.0347, 0)</f>
        <v>63.637100000000004</v>
      </c>
      <c r="I889" s="10">
        <f>63.6039 * CHOOSE(CONTROL!$C$15, $E$9, 100%, $G$9) + CHOOSE(CONTROL!$C$38, 0.0347, 0)</f>
        <v>63.638600000000004</v>
      </c>
      <c r="J889" s="26">
        <f>394.2657</f>
        <v>394.26569999999998</v>
      </c>
    </row>
    <row r="890" spans="1:10" ht="15.75" x14ac:dyDescent="0.25">
      <c r="A890" s="13">
        <v>68392</v>
      </c>
      <c r="B890" s="10">
        <f>68.2746 * CHOOSE(CONTROL!$C$15, $E$9, 100%, $G$9) + CHOOSE(CONTROL!$C$38, 0.0256, 0)</f>
        <v>68.300200000000004</v>
      </c>
      <c r="C890" s="10">
        <f>63.0929 * CHOOSE(CONTROL!$C$15, $E$9, 100%, $G$9) + CHOOSE(CONTROL!$C$38, 0.0347, 0)</f>
        <v>63.127600000000001</v>
      </c>
      <c r="D890" s="10">
        <f>63.0851 * CHOOSE(CONTROL!$C$15, $E$9, 100%, $G$9) + CHOOSE(CONTROL!$C$38, 0.0347, 0)</f>
        <v>63.119799999999998</v>
      </c>
      <c r="E890" s="28">
        <f>68.1184 * CHOOSE(CONTROL!$C$15, $E$9, 100%, $G$9) + CHOOSE(CONTROL!$C$38, 0.0347, 0)</f>
        <v>68.153099999999995</v>
      </c>
      <c r="F890" s="27">
        <f>68.1184 * CHOOSE(CONTROL!$C$15, $E$9, 100%, $G$9) + CHOOSE(CONTROL!$C$38, 0.0256, 0)</f>
        <v>68.143999999999991</v>
      </c>
      <c r="G890" s="10">
        <f>63.0913 * CHOOSE(CONTROL!$C$15, $E$9, 100%, $G$9) + CHOOSE(CONTROL!$C$38, 0.0347, 0)</f>
        <v>63.125999999999998</v>
      </c>
      <c r="H890" s="10">
        <f>63.0913 * CHOOSE(CONTROL!$C$15, $E$9, 100%, $G$9) + CHOOSE(CONTROL!$C$38, 0.0347, 0)</f>
        <v>63.125999999999998</v>
      </c>
      <c r="I890" s="10">
        <f>63.0929 * CHOOSE(CONTROL!$C$15, $E$9, 100%, $G$9) + CHOOSE(CONTROL!$C$38, 0.0347, 0)</f>
        <v>63.127600000000001</v>
      </c>
      <c r="J890" s="26">
        <f>415.0458</f>
        <v>415.04579999999999</v>
      </c>
    </row>
    <row r="891" spans="1:10" ht="15.75" x14ac:dyDescent="0.25">
      <c r="A891" s="13">
        <v>68422</v>
      </c>
      <c r="B891" s="10">
        <f>67.7794 * CHOOSE(CONTROL!$C$15, $E$9, 100%, $G$9) + CHOOSE(CONTROL!$C$38, 0.0256, 0)</f>
        <v>67.804999999999993</v>
      </c>
      <c r="C891" s="10">
        <f>62.5977 * CHOOSE(CONTROL!$C$15, $E$9, 100%, $G$9) + CHOOSE(CONTROL!$C$38, 0.0347, 0)</f>
        <v>62.632400000000004</v>
      </c>
      <c r="D891" s="10">
        <f>62.5899 * CHOOSE(CONTROL!$C$15, $E$9, 100%, $G$9) + CHOOSE(CONTROL!$C$38, 0.0347, 0)</f>
        <v>62.624600000000001</v>
      </c>
      <c r="E891" s="28">
        <f>67.6232 * CHOOSE(CONTROL!$C$15, $E$9, 100%, $G$9) + CHOOSE(CONTROL!$C$38, 0.0347, 0)</f>
        <v>67.657899999999998</v>
      </c>
      <c r="F891" s="27">
        <f>67.6232 * CHOOSE(CONTROL!$C$15, $E$9, 100%, $G$9) + CHOOSE(CONTROL!$C$38, 0.0256, 0)</f>
        <v>67.648799999999994</v>
      </c>
      <c r="G891" s="10">
        <f>62.5962 * CHOOSE(CONTROL!$C$15, $E$9, 100%, $G$9) + CHOOSE(CONTROL!$C$38, 0.0347, 0)</f>
        <v>62.630900000000004</v>
      </c>
      <c r="H891" s="10">
        <f>62.5962 * CHOOSE(CONTROL!$C$15, $E$9, 100%, $G$9) + CHOOSE(CONTROL!$C$38, 0.0347, 0)</f>
        <v>62.630900000000004</v>
      </c>
      <c r="I891" s="10">
        <f>62.5977 * CHOOSE(CONTROL!$C$15, $E$9, 100%, $G$9) + CHOOSE(CONTROL!$C$38, 0.0347, 0)</f>
        <v>62.632400000000004</v>
      </c>
      <c r="J891" s="26">
        <f>441.9926</f>
        <v>441.99259999999998</v>
      </c>
    </row>
    <row r="892" spans="1:10" ht="15.75" x14ac:dyDescent="0.25">
      <c r="A892" s="13">
        <v>68453</v>
      </c>
      <c r="B892" s="10">
        <f>67.2633 * CHOOSE(CONTROL!$C$15, $E$9, 100%, $G$9) + CHOOSE(CONTROL!$C$38, 0.0256, 0)</f>
        <v>67.288899999999998</v>
      </c>
      <c r="C892" s="10">
        <f>62.0816 * CHOOSE(CONTROL!$C$15, $E$9, 100%, $G$9) + CHOOSE(CONTROL!$C$38, 0.0347, 0)</f>
        <v>62.116300000000003</v>
      </c>
      <c r="D892" s="10">
        <f>62.0738 * CHOOSE(CONTROL!$C$15, $E$9, 100%, $G$9) + CHOOSE(CONTROL!$C$38, 0.0347, 0)</f>
        <v>62.108499999999999</v>
      </c>
      <c r="E892" s="28">
        <f>67.1071 * CHOOSE(CONTROL!$C$15, $E$9, 100%, $G$9) + CHOOSE(CONTROL!$C$38, 0.0347, 0)</f>
        <v>67.141800000000003</v>
      </c>
      <c r="F892" s="27">
        <f>67.1071 * CHOOSE(CONTROL!$C$15, $E$9, 100%, $G$9) + CHOOSE(CONTROL!$C$38, 0.0256, 0)</f>
        <v>67.1327</v>
      </c>
      <c r="G892" s="10">
        <f>62.08 * CHOOSE(CONTROL!$C$15, $E$9, 100%, $G$9) + CHOOSE(CONTROL!$C$38, 0.0347, 0)</f>
        <v>62.114699999999999</v>
      </c>
      <c r="H892" s="10">
        <f>62.08 * CHOOSE(CONTROL!$C$15, $E$9, 100%, $G$9) + CHOOSE(CONTROL!$C$38, 0.0347, 0)</f>
        <v>62.114699999999999</v>
      </c>
      <c r="I892" s="10">
        <f>62.0816 * CHOOSE(CONTROL!$C$15, $E$9, 100%, $G$9) + CHOOSE(CONTROL!$C$38, 0.0347, 0)</f>
        <v>62.116300000000003</v>
      </c>
      <c r="J892" s="26">
        <f>456.8249</f>
        <v>456.82490000000001</v>
      </c>
    </row>
    <row r="893" spans="1:10" ht="15.75" x14ac:dyDescent="0.25">
      <c r="A893" s="13">
        <v>68483</v>
      </c>
      <c r="B893" s="10">
        <f>66.9015 * CHOOSE(CONTROL!$C$15, $E$9, 100%, $G$9) + CHOOSE(CONTROL!$C$38, 0.0256, 0)</f>
        <v>66.927099999999996</v>
      </c>
      <c r="C893" s="10">
        <f>61.7198 * CHOOSE(CONTROL!$C$15, $E$9, 100%, $G$9) + CHOOSE(CONTROL!$C$38, 0.0347, 0)</f>
        <v>61.7545</v>
      </c>
      <c r="D893" s="10">
        <f>61.712 * CHOOSE(CONTROL!$C$15, $E$9, 100%, $G$9) + CHOOSE(CONTROL!$C$38, 0.0347, 0)</f>
        <v>61.746700000000004</v>
      </c>
      <c r="E893" s="28">
        <f>66.7452 * CHOOSE(CONTROL!$C$15, $E$9, 100%, $G$9) + CHOOSE(CONTROL!$C$38, 0.0347, 0)</f>
        <v>66.779899999999998</v>
      </c>
      <c r="F893" s="27">
        <f>66.7452 * CHOOSE(CONTROL!$C$15, $E$9, 100%, $G$9) + CHOOSE(CONTROL!$C$38, 0.0256, 0)</f>
        <v>66.770799999999994</v>
      </c>
      <c r="G893" s="10">
        <f>61.7182 * CHOOSE(CONTROL!$C$15, $E$9, 100%, $G$9) + CHOOSE(CONTROL!$C$38, 0.0347, 0)</f>
        <v>61.752900000000004</v>
      </c>
      <c r="H893" s="10">
        <f>61.7182 * CHOOSE(CONTROL!$C$15, $E$9, 100%, $G$9) + CHOOSE(CONTROL!$C$38, 0.0347, 0)</f>
        <v>61.752900000000004</v>
      </c>
      <c r="I893" s="10">
        <f>61.7198 * CHOOSE(CONTROL!$C$15, $E$9, 100%, $G$9) + CHOOSE(CONTROL!$C$38, 0.0347, 0)</f>
        <v>61.7545</v>
      </c>
      <c r="J893" s="26">
        <f>463.4073</f>
        <v>463.40730000000002</v>
      </c>
    </row>
    <row r="894" spans="1:10" ht="15.75" x14ac:dyDescent="0.25">
      <c r="A894" s="13">
        <v>68514</v>
      </c>
      <c r="B894" s="10">
        <f>66.695 * CHOOSE(CONTROL!$C$15, $E$9, 100%, $G$9) + CHOOSE(CONTROL!$C$38, 0.0256, 0)</f>
        <v>66.72059999999999</v>
      </c>
      <c r="C894" s="10">
        <f>61.5133 * CHOOSE(CONTROL!$C$15, $E$9, 100%, $G$9) + CHOOSE(CONTROL!$C$38, 0.0347, 0)</f>
        <v>61.548000000000002</v>
      </c>
      <c r="D894" s="10">
        <f>61.5055 * CHOOSE(CONTROL!$C$15, $E$9, 100%, $G$9) + CHOOSE(CONTROL!$C$38, 0.0347, 0)</f>
        <v>61.540199999999999</v>
      </c>
      <c r="E894" s="28">
        <f>66.5387 * CHOOSE(CONTROL!$C$15, $E$9, 100%, $G$9) + CHOOSE(CONTROL!$C$38, 0.0347, 0)</f>
        <v>66.573400000000007</v>
      </c>
      <c r="F894" s="27">
        <f>66.5387 * CHOOSE(CONTROL!$C$15, $E$9, 100%, $G$9) + CHOOSE(CONTROL!$C$38, 0.0256, 0)</f>
        <v>66.564300000000003</v>
      </c>
      <c r="G894" s="10">
        <f>61.5117 * CHOOSE(CONTROL!$C$15, $E$9, 100%, $G$9) + CHOOSE(CONTROL!$C$38, 0.0347, 0)</f>
        <v>61.546399999999998</v>
      </c>
      <c r="H894" s="10">
        <f>61.5117 * CHOOSE(CONTROL!$C$15, $E$9, 100%, $G$9) + CHOOSE(CONTROL!$C$38, 0.0347, 0)</f>
        <v>61.546399999999998</v>
      </c>
      <c r="I894" s="10">
        <f>61.5133 * CHOOSE(CONTROL!$C$15, $E$9, 100%, $G$9) + CHOOSE(CONTROL!$C$38, 0.0347, 0)</f>
        <v>61.548000000000002</v>
      </c>
      <c r="J894" s="26">
        <f>461.2401</f>
        <v>461.24009999999998</v>
      </c>
    </row>
    <row r="895" spans="1:10" ht="15.75" x14ac:dyDescent="0.25">
      <c r="A895" s="13">
        <v>68545</v>
      </c>
      <c r="B895" s="10">
        <f>66.7969 * CHOOSE(CONTROL!$C$15, $E$9, 100%, $G$9) + CHOOSE(CONTROL!$C$38, 0.0256, 0)</f>
        <v>66.822499999999991</v>
      </c>
      <c r="C895" s="10">
        <f>61.6152 * CHOOSE(CONTROL!$C$15, $E$9, 100%, $G$9) + CHOOSE(CONTROL!$C$38, 0.0347, 0)</f>
        <v>61.649900000000002</v>
      </c>
      <c r="D895" s="10">
        <f>61.6074 * CHOOSE(CONTROL!$C$15, $E$9, 100%, $G$9) + CHOOSE(CONTROL!$C$38, 0.0347, 0)</f>
        <v>61.642099999999999</v>
      </c>
      <c r="E895" s="28">
        <f>66.6407 * CHOOSE(CONTROL!$C$15, $E$9, 100%, $G$9) + CHOOSE(CONTROL!$C$38, 0.0347, 0)</f>
        <v>66.675399999999996</v>
      </c>
      <c r="F895" s="27">
        <f>66.6407 * CHOOSE(CONTROL!$C$15, $E$9, 100%, $G$9) + CHOOSE(CONTROL!$C$38, 0.0256, 0)</f>
        <v>66.666299999999993</v>
      </c>
      <c r="G895" s="10">
        <f>61.6136 * CHOOSE(CONTROL!$C$15, $E$9, 100%, $G$9) + CHOOSE(CONTROL!$C$38, 0.0347, 0)</f>
        <v>61.648299999999999</v>
      </c>
      <c r="H895" s="10">
        <f>61.6136 * CHOOSE(CONTROL!$C$15, $E$9, 100%, $G$9) + CHOOSE(CONTROL!$C$38, 0.0347, 0)</f>
        <v>61.648299999999999</v>
      </c>
      <c r="I895" s="10">
        <f>61.6152 * CHOOSE(CONTROL!$C$15, $E$9, 100%, $G$9) + CHOOSE(CONTROL!$C$38, 0.0347, 0)</f>
        <v>61.649900000000002</v>
      </c>
      <c r="J895" s="26">
        <f>450.5026</f>
        <v>450.50259999999997</v>
      </c>
    </row>
    <row r="896" spans="1:10" ht="15.75" x14ac:dyDescent="0.25">
      <c r="A896" s="13">
        <v>68575</v>
      </c>
      <c r="B896" s="10">
        <f>67.0737 * CHOOSE(CONTROL!$C$15, $E$9, 100%, $G$9) + CHOOSE(CONTROL!$C$38, 0.0256, 0)</f>
        <v>67.099299999999999</v>
      </c>
      <c r="C896" s="10">
        <f>61.892 * CHOOSE(CONTROL!$C$15, $E$9, 100%, $G$9) + CHOOSE(CONTROL!$C$38, 0.0347, 0)</f>
        <v>61.926700000000004</v>
      </c>
      <c r="D896" s="10">
        <f>61.8842 * CHOOSE(CONTROL!$C$15, $E$9, 100%, $G$9) + CHOOSE(CONTROL!$C$38, 0.0347, 0)</f>
        <v>61.918900000000001</v>
      </c>
      <c r="E896" s="28">
        <f>66.9175 * CHOOSE(CONTROL!$C$15, $E$9, 100%, $G$9) + CHOOSE(CONTROL!$C$38, 0.0347, 0)</f>
        <v>66.952200000000005</v>
      </c>
      <c r="F896" s="27">
        <f>66.9175 * CHOOSE(CONTROL!$C$15, $E$9, 100%, $G$9) + CHOOSE(CONTROL!$C$38, 0.0256, 0)</f>
        <v>66.943100000000001</v>
      </c>
      <c r="G896" s="10">
        <f>61.8904 * CHOOSE(CONTROL!$C$15, $E$9, 100%, $G$9) + CHOOSE(CONTROL!$C$38, 0.0347, 0)</f>
        <v>61.9251</v>
      </c>
      <c r="H896" s="10">
        <f>61.8904 * CHOOSE(CONTROL!$C$15, $E$9, 100%, $G$9) + CHOOSE(CONTROL!$C$38, 0.0347, 0)</f>
        <v>61.9251</v>
      </c>
      <c r="I896" s="10">
        <f>61.892 * CHOOSE(CONTROL!$C$15, $E$9, 100%, $G$9) + CHOOSE(CONTROL!$C$38, 0.0347, 0)</f>
        <v>61.926700000000004</v>
      </c>
      <c r="J896" s="26">
        <f>435.5287</f>
        <v>435.52870000000001</v>
      </c>
    </row>
    <row r="897" spans="1:10" ht="15.75" x14ac:dyDescent="0.25">
      <c r="A897" s="13">
        <v>68606</v>
      </c>
      <c r="B897" s="10">
        <f>67.3055 * CHOOSE(CONTROL!$C$15, $E$9, 100%, $G$9) + CHOOSE(CONTROL!$C$38, 0.0256, 0)</f>
        <v>67.331099999999992</v>
      </c>
      <c r="C897" s="10">
        <f>62.1238 * CHOOSE(CONTROL!$C$15, $E$9, 100%, $G$9) + CHOOSE(CONTROL!$C$38, 0.0347, 0)</f>
        <v>62.158500000000004</v>
      </c>
      <c r="D897" s="10">
        <f>62.116 * CHOOSE(CONTROL!$C$15, $E$9, 100%, $G$9) + CHOOSE(CONTROL!$C$38, 0.0347, 0)</f>
        <v>62.150700000000001</v>
      </c>
      <c r="E897" s="28">
        <f>67.1493 * CHOOSE(CONTROL!$C$15, $E$9, 100%, $G$9) + CHOOSE(CONTROL!$C$38, 0.0347, 0)</f>
        <v>67.183999999999997</v>
      </c>
      <c r="F897" s="27">
        <f>67.1493 * CHOOSE(CONTROL!$C$15, $E$9, 100%, $G$9) + CHOOSE(CONTROL!$C$38, 0.0256, 0)</f>
        <v>67.174899999999994</v>
      </c>
      <c r="G897" s="10">
        <f>62.1222 * CHOOSE(CONTROL!$C$15, $E$9, 100%, $G$9) + CHOOSE(CONTROL!$C$38, 0.0347, 0)</f>
        <v>62.1569</v>
      </c>
      <c r="H897" s="10">
        <f>62.1222 * CHOOSE(CONTROL!$C$15, $E$9, 100%, $G$9) + CHOOSE(CONTROL!$C$38, 0.0347, 0)</f>
        <v>62.1569</v>
      </c>
      <c r="I897" s="10">
        <f>62.1238 * CHOOSE(CONTROL!$C$15, $E$9, 100%, $G$9) + CHOOSE(CONTROL!$C$38, 0.0347, 0)</f>
        <v>62.158500000000004</v>
      </c>
      <c r="J897" s="26">
        <f>420.4676</f>
        <v>420.4676</v>
      </c>
    </row>
    <row r="898" spans="1:10" ht="15.75" x14ac:dyDescent="0.25">
      <c r="A898" s="13">
        <v>68636</v>
      </c>
      <c r="B898" s="10">
        <f>67.499 * CHOOSE(CONTROL!$C$15, $E$9, 100%, $G$9) + CHOOSE(CONTROL!$C$38, 0.0256, 0)</f>
        <v>67.524599999999992</v>
      </c>
      <c r="C898" s="10">
        <f>62.3172 * CHOOSE(CONTROL!$C$15, $E$9, 100%, $G$9) + CHOOSE(CONTROL!$C$38, 0.0347, 0)</f>
        <v>62.351900000000001</v>
      </c>
      <c r="D898" s="10">
        <f>62.3094 * CHOOSE(CONTROL!$C$15, $E$9, 100%, $G$9) + CHOOSE(CONTROL!$C$38, 0.0347, 0)</f>
        <v>62.344099999999997</v>
      </c>
      <c r="E898" s="28">
        <f>67.3427 * CHOOSE(CONTROL!$C$15, $E$9, 100%, $G$9) + CHOOSE(CONTROL!$C$38, 0.0347, 0)</f>
        <v>67.377399999999994</v>
      </c>
      <c r="F898" s="27">
        <f>67.3427 * CHOOSE(CONTROL!$C$15, $E$9, 100%, $G$9) + CHOOSE(CONTROL!$C$38, 0.0256, 0)</f>
        <v>67.368299999999991</v>
      </c>
      <c r="G898" s="10">
        <f>62.3157 * CHOOSE(CONTROL!$C$15, $E$9, 100%, $G$9) + CHOOSE(CONTROL!$C$38, 0.0347, 0)</f>
        <v>62.3504</v>
      </c>
      <c r="H898" s="10">
        <f>62.3157 * CHOOSE(CONTROL!$C$15, $E$9, 100%, $G$9) + CHOOSE(CONTROL!$C$38, 0.0347, 0)</f>
        <v>62.3504</v>
      </c>
      <c r="I898" s="10">
        <f>62.3172 * CHOOSE(CONTROL!$C$15, $E$9, 100%, $G$9) + CHOOSE(CONTROL!$C$38, 0.0347, 0)</f>
        <v>62.351900000000001</v>
      </c>
      <c r="J898" s="26">
        <f>417.4717</f>
        <v>417.4717</v>
      </c>
    </row>
    <row r="899" spans="1:10" ht="15.75" x14ac:dyDescent="0.25">
      <c r="A899" s="13">
        <v>68667</v>
      </c>
      <c r="B899" s="10">
        <f>68.095 * CHOOSE(CONTROL!$C$15, $E$9, 100%, $G$9) + CHOOSE(CONTROL!$C$38, 0.0256, 0)</f>
        <v>68.120599999999996</v>
      </c>
      <c r="C899" s="10">
        <f>62.9133 * CHOOSE(CONTROL!$C$15, $E$9, 100%, $G$9) + CHOOSE(CONTROL!$C$38, 0.0347, 0)</f>
        <v>62.948</v>
      </c>
      <c r="D899" s="10">
        <f>62.9055 * CHOOSE(CONTROL!$C$15, $E$9, 100%, $G$9) + CHOOSE(CONTROL!$C$38, 0.0347, 0)</f>
        <v>62.940200000000004</v>
      </c>
      <c r="E899" s="28">
        <f>67.9388 * CHOOSE(CONTROL!$C$15, $E$9, 100%, $G$9) + CHOOSE(CONTROL!$C$38, 0.0347, 0)</f>
        <v>67.973500000000001</v>
      </c>
      <c r="F899" s="27">
        <f>67.9388 * CHOOSE(CONTROL!$C$15, $E$9, 100%, $G$9) + CHOOSE(CONTROL!$C$38, 0.0256, 0)</f>
        <v>67.964399999999998</v>
      </c>
      <c r="G899" s="10">
        <f>62.9118 * CHOOSE(CONTROL!$C$15, $E$9, 100%, $G$9) + CHOOSE(CONTROL!$C$38, 0.0347, 0)</f>
        <v>62.9465</v>
      </c>
      <c r="H899" s="10">
        <f>62.9118 * CHOOSE(CONTROL!$C$15, $E$9, 100%, $G$9) + CHOOSE(CONTROL!$C$38, 0.0347, 0)</f>
        <v>62.9465</v>
      </c>
      <c r="I899" s="10">
        <f>62.9133 * CHOOSE(CONTROL!$C$15, $E$9, 100%, $G$9) + CHOOSE(CONTROL!$C$38, 0.0347, 0)</f>
        <v>62.948</v>
      </c>
      <c r="J899" s="26">
        <f>405.0832</f>
        <v>405.08319999999998</v>
      </c>
    </row>
    <row r="900" spans="1:10" ht="15.75" x14ac:dyDescent="0.25">
      <c r="A900" s="13">
        <v>68698</v>
      </c>
      <c r="B900" s="10">
        <f>69.7481 * CHOOSE(CONTROL!$C$15, $E$9, 100%, $G$9) + CHOOSE(CONTROL!$C$38, 0.0256, 0)</f>
        <v>69.773699999999991</v>
      </c>
      <c r="C900" s="10">
        <f>64.4776 * CHOOSE(CONTROL!$C$15, $E$9, 100%, $G$9) + CHOOSE(CONTROL!$C$38, 0.0347, 0)</f>
        <v>64.512299999999996</v>
      </c>
      <c r="D900" s="10">
        <f>64.4698 * CHOOSE(CONTROL!$C$15, $E$9, 100%, $G$9) + CHOOSE(CONTROL!$C$38, 0.0347, 0)</f>
        <v>64.504500000000007</v>
      </c>
      <c r="E900" s="28">
        <f>69.5919 * CHOOSE(CONTROL!$C$15, $E$9, 100%, $G$9) + CHOOSE(CONTROL!$C$38, 0.0347, 0)</f>
        <v>69.626599999999996</v>
      </c>
      <c r="F900" s="27">
        <f>69.5919 * CHOOSE(CONTROL!$C$15, $E$9, 100%, $G$9) + CHOOSE(CONTROL!$C$38, 0.0256, 0)</f>
        <v>69.617499999999993</v>
      </c>
      <c r="G900" s="10">
        <f>64.476 * CHOOSE(CONTROL!$C$15, $E$9, 100%, $G$9) + CHOOSE(CONTROL!$C$38, 0.0347, 0)</f>
        <v>64.5107</v>
      </c>
      <c r="H900" s="10">
        <f>64.476 * CHOOSE(CONTROL!$C$15, $E$9, 100%, $G$9) + CHOOSE(CONTROL!$C$38, 0.0347, 0)</f>
        <v>64.5107</v>
      </c>
      <c r="I900" s="10">
        <f>64.4776 * CHOOSE(CONTROL!$C$15, $E$9, 100%, $G$9) + CHOOSE(CONTROL!$C$38, 0.0347, 0)</f>
        <v>64.512299999999996</v>
      </c>
      <c r="J900" s="26">
        <f>402.3698</f>
        <v>402.3698</v>
      </c>
    </row>
    <row r="901" spans="1:10" ht="15.75" x14ac:dyDescent="0.25">
      <c r="A901" s="13">
        <v>68727</v>
      </c>
      <c r="B901" s="10">
        <f>69.9689 * CHOOSE(CONTROL!$C$15, $E$9, 100%, $G$9) + CHOOSE(CONTROL!$C$38, 0.0256, 0)</f>
        <v>69.994500000000002</v>
      </c>
      <c r="C901" s="10">
        <f>64.6984 * CHOOSE(CONTROL!$C$15, $E$9, 100%, $G$9) + CHOOSE(CONTROL!$C$38, 0.0347, 0)</f>
        <v>64.733100000000007</v>
      </c>
      <c r="D901" s="10">
        <f>64.6905 * CHOOSE(CONTROL!$C$15, $E$9, 100%, $G$9) + CHOOSE(CONTROL!$C$38, 0.0347, 0)</f>
        <v>64.725200000000001</v>
      </c>
      <c r="E901" s="28">
        <f>69.8126 * CHOOSE(CONTROL!$C$15, $E$9, 100%, $G$9) + CHOOSE(CONTROL!$C$38, 0.0347, 0)</f>
        <v>69.847300000000004</v>
      </c>
      <c r="F901" s="27">
        <f>69.8126 * CHOOSE(CONTROL!$C$15, $E$9, 100%, $G$9) + CHOOSE(CONTROL!$C$38, 0.0256, 0)</f>
        <v>69.838200000000001</v>
      </c>
      <c r="G901" s="10">
        <f>64.6968 * CHOOSE(CONTROL!$C$15, $E$9, 100%, $G$9) + CHOOSE(CONTROL!$C$38, 0.0347, 0)</f>
        <v>64.731499999999997</v>
      </c>
      <c r="H901" s="10">
        <f>64.6968 * CHOOSE(CONTROL!$C$15, $E$9, 100%, $G$9) + CHOOSE(CONTROL!$C$38, 0.0347, 0)</f>
        <v>64.731499999999997</v>
      </c>
      <c r="I901" s="10">
        <f>64.6984 * CHOOSE(CONTROL!$C$15, $E$9, 100%, $G$9) + CHOOSE(CONTROL!$C$38, 0.0347, 0)</f>
        <v>64.733100000000007</v>
      </c>
      <c r="J901" s="26">
        <f>401.2513</f>
        <v>401.25130000000001</v>
      </c>
    </row>
    <row r="902" spans="1:10" ht="15.75" x14ac:dyDescent="0.25">
      <c r="A902" s="13">
        <v>68758</v>
      </c>
      <c r="B902" s="10">
        <f>69.4578 * CHOOSE(CONTROL!$C$15, $E$9, 100%, $G$9) + CHOOSE(CONTROL!$C$38, 0.0256, 0)</f>
        <v>69.483400000000003</v>
      </c>
      <c r="C902" s="10">
        <f>64.1873 * CHOOSE(CONTROL!$C$15, $E$9, 100%, $G$9) + CHOOSE(CONTROL!$C$38, 0.0347, 0)</f>
        <v>64.221999999999994</v>
      </c>
      <c r="D902" s="10">
        <f>64.1795 * CHOOSE(CONTROL!$C$15, $E$9, 100%, $G$9) + CHOOSE(CONTROL!$C$38, 0.0347, 0)</f>
        <v>64.214200000000005</v>
      </c>
      <c r="E902" s="28">
        <f>69.3016 * CHOOSE(CONTROL!$C$15, $E$9, 100%, $G$9) + CHOOSE(CONTROL!$C$38, 0.0347, 0)</f>
        <v>69.336299999999994</v>
      </c>
      <c r="F902" s="27">
        <f>69.3016 * CHOOSE(CONTROL!$C$15, $E$9, 100%, $G$9) + CHOOSE(CONTROL!$C$38, 0.0256, 0)</f>
        <v>69.327199999999991</v>
      </c>
      <c r="G902" s="10">
        <f>64.1858 * CHOOSE(CONTROL!$C$15, $E$9, 100%, $G$9) + CHOOSE(CONTROL!$C$38, 0.0347, 0)</f>
        <v>64.220500000000001</v>
      </c>
      <c r="H902" s="10">
        <f>64.1858 * CHOOSE(CONTROL!$C$15, $E$9, 100%, $G$9) + CHOOSE(CONTROL!$C$38, 0.0347, 0)</f>
        <v>64.220500000000001</v>
      </c>
      <c r="I902" s="10">
        <f>64.1873 * CHOOSE(CONTROL!$C$15, $E$9, 100%, $G$9) + CHOOSE(CONTROL!$C$38, 0.0347, 0)</f>
        <v>64.221999999999994</v>
      </c>
      <c r="J902" s="26">
        <f>422.3996</f>
        <v>422.39960000000002</v>
      </c>
    </row>
    <row r="903" spans="1:10" ht="15.75" x14ac:dyDescent="0.25">
      <c r="A903" s="13">
        <v>68788</v>
      </c>
      <c r="B903" s="10">
        <f>68.9627 * CHOOSE(CONTROL!$C$15, $E$9, 100%, $G$9) + CHOOSE(CONTROL!$C$38, 0.0256, 0)</f>
        <v>68.988299999999995</v>
      </c>
      <c r="C903" s="10">
        <f>63.6922 * CHOOSE(CONTROL!$C$15, $E$9, 100%, $G$9) + CHOOSE(CONTROL!$C$38, 0.0347, 0)</f>
        <v>63.726900000000001</v>
      </c>
      <c r="D903" s="10">
        <f>63.6843 * CHOOSE(CONTROL!$C$15, $E$9, 100%, $G$9) + CHOOSE(CONTROL!$C$38, 0.0347, 0)</f>
        <v>63.719000000000001</v>
      </c>
      <c r="E903" s="28">
        <f>68.8064 * CHOOSE(CONTROL!$C$15, $E$9, 100%, $G$9) + CHOOSE(CONTROL!$C$38, 0.0347, 0)</f>
        <v>68.841099999999997</v>
      </c>
      <c r="F903" s="27">
        <f>68.8064 * CHOOSE(CONTROL!$C$15, $E$9, 100%, $G$9) + CHOOSE(CONTROL!$C$38, 0.0256, 0)</f>
        <v>68.831999999999994</v>
      </c>
      <c r="G903" s="10">
        <f>63.6906 * CHOOSE(CONTROL!$C$15, $E$9, 100%, $G$9) + CHOOSE(CONTROL!$C$38, 0.0347, 0)</f>
        <v>63.725300000000004</v>
      </c>
      <c r="H903" s="10">
        <f>63.6906 * CHOOSE(CONTROL!$C$15, $E$9, 100%, $G$9) + CHOOSE(CONTROL!$C$38, 0.0347, 0)</f>
        <v>63.725300000000004</v>
      </c>
      <c r="I903" s="10">
        <f>63.6922 * CHOOSE(CONTROL!$C$15, $E$9, 100%, $G$9) + CHOOSE(CONTROL!$C$38, 0.0347, 0)</f>
        <v>63.726900000000001</v>
      </c>
      <c r="J903" s="26">
        <f>449.8238</f>
        <v>449.82380000000001</v>
      </c>
    </row>
    <row r="904" spans="1:10" ht="15.75" x14ac:dyDescent="0.25">
      <c r="A904" s="13">
        <v>68819</v>
      </c>
      <c r="B904" s="10">
        <f>68.4465 * CHOOSE(CONTROL!$C$15, $E$9, 100%, $G$9) + CHOOSE(CONTROL!$C$38, 0.0256, 0)</f>
        <v>68.472099999999998</v>
      </c>
      <c r="C904" s="10">
        <f>63.176 * CHOOSE(CONTROL!$C$15, $E$9, 100%, $G$9) + CHOOSE(CONTROL!$C$38, 0.0347, 0)</f>
        <v>63.210700000000003</v>
      </c>
      <c r="D904" s="10">
        <f>63.1682 * CHOOSE(CONTROL!$C$15, $E$9, 100%, $G$9) + CHOOSE(CONTROL!$C$38, 0.0347, 0)</f>
        <v>63.2029</v>
      </c>
      <c r="E904" s="28">
        <f>68.2903 * CHOOSE(CONTROL!$C$15, $E$9, 100%, $G$9) + CHOOSE(CONTROL!$C$38, 0.0347, 0)</f>
        <v>68.325000000000003</v>
      </c>
      <c r="F904" s="27">
        <f>68.2903 * CHOOSE(CONTROL!$C$15, $E$9, 100%, $G$9) + CHOOSE(CONTROL!$C$38, 0.0256, 0)</f>
        <v>68.315899999999999</v>
      </c>
      <c r="G904" s="10">
        <f>63.1745 * CHOOSE(CONTROL!$C$15, $E$9, 100%, $G$9) + CHOOSE(CONTROL!$C$38, 0.0347, 0)</f>
        <v>63.209200000000003</v>
      </c>
      <c r="H904" s="10">
        <f>63.1745 * CHOOSE(CONTROL!$C$15, $E$9, 100%, $G$9) + CHOOSE(CONTROL!$C$38, 0.0347, 0)</f>
        <v>63.209200000000003</v>
      </c>
      <c r="I904" s="10">
        <f>63.176 * CHOOSE(CONTROL!$C$15, $E$9, 100%, $G$9) + CHOOSE(CONTROL!$C$38, 0.0347, 0)</f>
        <v>63.210700000000003</v>
      </c>
      <c r="J904" s="26">
        <f>464.919</f>
        <v>464.91899999999998</v>
      </c>
    </row>
    <row r="905" spans="1:10" ht="15.75" x14ac:dyDescent="0.25">
      <c r="A905" s="13">
        <v>68849</v>
      </c>
      <c r="B905" s="10">
        <f>68.0847 * CHOOSE(CONTROL!$C$15, $E$9, 100%, $G$9) + CHOOSE(CONTROL!$C$38, 0.0256, 0)</f>
        <v>68.110299999999995</v>
      </c>
      <c r="C905" s="10">
        <f>62.8142 * CHOOSE(CONTROL!$C$15, $E$9, 100%, $G$9) + CHOOSE(CONTROL!$C$38, 0.0347, 0)</f>
        <v>62.8489</v>
      </c>
      <c r="D905" s="10">
        <f>62.8064 * CHOOSE(CONTROL!$C$15, $E$9, 100%, $G$9) + CHOOSE(CONTROL!$C$38, 0.0347, 0)</f>
        <v>62.841099999999997</v>
      </c>
      <c r="E905" s="28">
        <f>67.9285 * CHOOSE(CONTROL!$C$15, $E$9, 100%, $G$9) + CHOOSE(CONTROL!$C$38, 0.0347, 0)</f>
        <v>67.963200000000001</v>
      </c>
      <c r="F905" s="27">
        <f>67.9285 * CHOOSE(CONTROL!$C$15, $E$9, 100%, $G$9) + CHOOSE(CONTROL!$C$38, 0.0256, 0)</f>
        <v>67.954099999999997</v>
      </c>
      <c r="G905" s="10">
        <f>62.8126 * CHOOSE(CONTROL!$C$15, $E$9, 100%, $G$9) + CHOOSE(CONTROL!$C$38, 0.0347, 0)</f>
        <v>62.847300000000004</v>
      </c>
      <c r="H905" s="10">
        <f>62.8126 * CHOOSE(CONTROL!$C$15, $E$9, 100%, $G$9) + CHOOSE(CONTROL!$C$38, 0.0347, 0)</f>
        <v>62.847300000000004</v>
      </c>
      <c r="I905" s="10">
        <f>62.8142 * CHOOSE(CONTROL!$C$15, $E$9, 100%, $G$9) + CHOOSE(CONTROL!$C$38, 0.0347, 0)</f>
        <v>62.8489</v>
      </c>
      <c r="J905" s="26">
        <f>471.618</f>
        <v>471.61799999999999</v>
      </c>
    </row>
    <row r="906" spans="1:10" ht="15.75" x14ac:dyDescent="0.25">
      <c r="A906" s="13">
        <v>68880</v>
      </c>
      <c r="B906" s="10">
        <f>67.8782 * CHOOSE(CONTROL!$C$15, $E$9, 100%, $G$9) + CHOOSE(CONTROL!$C$38, 0.0256, 0)</f>
        <v>67.903800000000004</v>
      </c>
      <c r="C906" s="10">
        <f>62.6077 * CHOOSE(CONTROL!$C$15, $E$9, 100%, $G$9) + CHOOSE(CONTROL!$C$38, 0.0347, 0)</f>
        <v>62.642400000000002</v>
      </c>
      <c r="D906" s="10">
        <f>62.5999 * CHOOSE(CONTROL!$C$15, $E$9, 100%, $G$9) + CHOOSE(CONTROL!$C$38, 0.0347, 0)</f>
        <v>62.634599999999999</v>
      </c>
      <c r="E906" s="28">
        <f>67.722 * CHOOSE(CONTROL!$C$15, $E$9, 100%, $G$9) + CHOOSE(CONTROL!$C$38, 0.0347, 0)</f>
        <v>67.756699999999995</v>
      </c>
      <c r="F906" s="27">
        <f>67.722 * CHOOSE(CONTROL!$C$15, $E$9, 100%, $G$9) + CHOOSE(CONTROL!$C$38, 0.0256, 0)</f>
        <v>67.747599999999991</v>
      </c>
      <c r="G906" s="10">
        <f>62.6062 * CHOOSE(CONTROL!$C$15, $E$9, 100%, $G$9) + CHOOSE(CONTROL!$C$38, 0.0347, 0)</f>
        <v>62.640900000000002</v>
      </c>
      <c r="H906" s="10">
        <f>62.6062 * CHOOSE(CONTROL!$C$15, $E$9, 100%, $G$9) + CHOOSE(CONTROL!$C$38, 0.0347, 0)</f>
        <v>62.640900000000002</v>
      </c>
      <c r="I906" s="10">
        <f>62.6077 * CHOOSE(CONTROL!$C$15, $E$9, 100%, $G$9) + CHOOSE(CONTROL!$C$38, 0.0347, 0)</f>
        <v>62.642400000000002</v>
      </c>
      <c r="J906" s="26">
        <f>469.4124</f>
        <v>469.41239999999999</v>
      </c>
    </row>
    <row r="907" spans="1:10" ht="15.75" x14ac:dyDescent="0.25">
      <c r="A907" s="13">
        <v>68911</v>
      </c>
      <c r="B907" s="10">
        <f>67.9801 * CHOOSE(CONTROL!$C$15, $E$9, 100%, $G$9) + CHOOSE(CONTROL!$C$38, 0.0256, 0)</f>
        <v>68.00569999999999</v>
      </c>
      <c r="C907" s="10">
        <f>62.7096 * CHOOSE(CONTROL!$C$15, $E$9, 100%, $G$9) + CHOOSE(CONTROL!$C$38, 0.0347, 0)</f>
        <v>62.744300000000003</v>
      </c>
      <c r="D907" s="10">
        <f>62.7018 * CHOOSE(CONTROL!$C$15, $E$9, 100%, $G$9) + CHOOSE(CONTROL!$C$38, 0.0347, 0)</f>
        <v>62.736499999999999</v>
      </c>
      <c r="E907" s="28">
        <f>67.8239 * CHOOSE(CONTROL!$C$15, $E$9, 100%, $G$9) + CHOOSE(CONTROL!$C$38, 0.0347, 0)</f>
        <v>67.858599999999996</v>
      </c>
      <c r="F907" s="27">
        <f>67.8239 * CHOOSE(CONTROL!$C$15, $E$9, 100%, $G$9) + CHOOSE(CONTROL!$C$38, 0.0256, 0)</f>
        <v>67.849499999999992</v>
      </c>
      <c r="G907" s="10">
        <f>62.7081 * CHOOSE(CONTROL!$C$15, $E$9, 100%, $G$9) + CHOOSE(CONTROL!$C$38, 0.0347, 0)</f>
        <v>62.742800000000003</v>
      </c>
      <c r="H907" s="10">
        <f>62.7081 * CHOOSE(CONTROL!$C$15, $E$9, 100%, $G$9) + CHOOSE(CONTROL!$C$38, 0.0347, 0)</f>
        <v>62.742800000000003</v>
      </c>
      <c r="I907" s="10">
        <f>62.7096 * CHOOSE(CONTROL!$C$15, $E$9, 100%, $G$9) + CHOOSE(CONTROL!$C$38, 0.0347, 0)</f>
        <v>62.744300000000003</v>
      </c>
      <c r="J907" s="26">
        <f>458.4847</f>
        <v>458.48469999999998</v>
      </c>
    </row>
    <row r="908" spans="1:10" ht="15.75" x14ac:dyDescent="0.25">
      <c r="A908" s="13">
        <v>68941</v>
      </c>
      <c r="B908" s="10">
        <f>68.2569 * CHOOSE(CONTROL!$C$15, $E$9, 100%, $G$9) + CHOOSE(CONTROL!$C$38, 0.0256, 0)</f>
        <v>68.282499999999999</v>
      </c>
      <c r="C908" s="10">
        <f>62.9864 * CHOOSE(CONTROL!$C$15, $E$9, 100%, $G$9) + CHOOSE(CONTROL!$C$38, 0.0347, 0)</f>
        <v>63.021100000000004</v>
      </c>
      <c r="D908" s="10">
        <f>62.9786 * CHOOSE(CONTROL!$C$15, $E$9, 100%, $G$9) + CHOOSE(CONTROL!$C$38, 0.0347, 0)</f>
        <v>63.013300000000001</v>
      </c>
      <c r="E908" s="28">
        <f>68.1007 * CHOOSE(CONTROL!$C$15, $E$9, 100%, $G$9) + CHOOSE(CONTROL!$C$38, 0.0347, 0)</f>
        <v>68.135400000000004</v>
      </c>
      <c r="F908" s="27">
        <f>68.1007 * CHOOSE(CONTROL!$C$15, $E$9, 100%, $G$9) + CHOOSE(CONTROL!$C$38, 0.0256, 0)</f>
        <v>68.126300000000001</v>
      </c>
      <c r="G908" s="10">
        <f>62.9849 * CHOOSE(CONTROL!$C$15, $E$9, 100%, $G$9) + CHOOSE(CONTROL!$C$38, 0.0347, 0)</f>
        <v>63.019600000000004</v>
      </c>
      <c r="H908" s="10">
        <f>62.9849 * CHOOSE(CONTROL!$C$15, $E$9, 100%, $G$9) + CHOOSE(CONTROL!$C$38, 0.0347, 0)</f>
        <v>63.019600000000004</v>
      </c>
      <c r="I908" s="10">
        <f>62.9864 * CHOOSE(CONTROL!$C$15, $E$9, 100%, $G$9) + CHOOSE(CONTROL!$C$38, 0.0347, 0)</f>
        <v>63.021100000000004</v>
      </c>
      <c r="J908" s="26">
        <f>443.2454</f>
        <v>443.24540000000002</v>
      </c>
    </row>
    <row r="909" spans="1:10" ht="15.75" x14ac:dyDescent="0.25">
      <c r="A909" s="13">
        <v>68972</v>
      </c>
      <c r="B909" s="10">
        <f>68.4888 * CHOOSE(CONTROL!$C$15, $E$9, 100%, $G$9) + CHOOSE(CONTROL!$C$38, 0.0256, 0)</f>
        <v>68.514399999999995</v>
      </c>
      <c r="C909" s="10">
        <f>63.2182 * CHOOSE(CONTROL!$C$15, $E$9, 100%, $G$9) + CHOOSE(CONTROL!$C$38, 0.0347, 0)</f>
        <v>63.252900000000004</v>
      </c>
      <c r="D909" s="10">
        <f>63.2104 * CHOOSE(CONTROL!$C$15, $E$9, 100%, $G$9) + CHOOSE(CONTROL!$C$38, 0.0347, 0)</f>
        <v>63.245100000000001</v>
      </c>
      <c r="E909" s="28">
        <f>68.3325 * CHOOSE(CONTROL!$C$15, $E$9, 100%, $G$9) + CHOOSE(CONTROL!$C$38, 0.0347, 0)</f>
        <v>68.367199999999997</v>
      </c>
      <c r="F909" s="27">
        <f>68.3325 * CHOOSE(CONTROL!$C$15, $E$9, 100%, $G$9) + CHOOSE(CONTROL!$C$38, 0.0256, 0)</f>
        <v>68.358099999999993</v>
      </c>
      <c r="G909" s="10">
        <f>63.2167 * CHOOSE(CONTROL!$C$15, $E$9, 100%, $G$9) + CHOOSE(CONTROL!$C$38, 0.0347, 0)</f>
        <v>63.251400000000004</v>
      </c>
      <c r="H909" s="10">
        <f>63.2167 * CHOOSE(CONTROL!$C$15, $E$9, 100%, $G$9) + CHOOSE(CONTROL!$C$38, 0.0347, 0)</f>
        <v>63.251400000000004</v>
      </c>
      <c r="I909" s="10">
        <f>63.2182 * CHOOSE(CONTROL!$C$15, $E$9, 100%, $G$9) + CHOOSE(CONTROL!$C$38, 0.0347, 0)</f>
        <v>63.252900000000004</v>
      </c>
      <c r="J909" s="26">
        <f>427.9175</f>
        <v>427.91750000000002</v>
      </c>
    </row>
    <row r="910" spans="1:10" ht="15.75" x14ac:dyDescent="0.25">
      <c r="A910" s="13">
        <v>69002</v>
      </c>
      <c r="B910" s="10">
        <f>68.6822 * CHOOSE(CONTROL!$C$15, $E$9, 100%, $G$9) + CHOOSE(CONTROL!$C$38, 0.0256, 0)</f>
        <v>68.707799999999992</v>
      </c>
      <c r="C910" s="10">
        <f>63.4117 * CHOOSE(CONTROL!$C$15, $E$9, 100%, $G$9) + CHOOSE(CONTROL!$C$38, 0.0347, 0)</f>
        <v>63.446400000000004</v>
      </c>
      <c r="D910" s="10">
        <f>63.4039 * CHOOSE(CONTROL!$C$15, $E$9, 100%, $G$9) + CHOOSE(CONTROL!$C$38, 0.0347, 0)</f>
        <v>63.438600000000001</v>
      </c>
      <c r="E910" s="28">
        <f>68.5259 * CHOOSE(CONTROL!$C$15, $E$9, 100%, $G$9) + CHOOSE(CONTROL!$C$38, 0.0347, 0)</f>
        <v>68.560599999999994</v>
      </c>
      <c r="F910" s="27">
        <f>68.5259 * CHOOSE(CONTROL!$C$15, $E$9, 100%, $G$9) + CHOOSE(CONTROL!$C$38, 0.0256, 0)</f>
        <v>68.55149999999999</v>
      </c>
      <c r="G910" s="10">
        <f>63.4101 * CHOOSE(CONTROL!$C$15, $E$9, 100%, $G$9) + CHOOSE(CONTROL!$C$38, 0.0347, 0)</f>
        <v>63.444800000000001</v>
      </c>
      <c r="H910" s="10">
        <f>63.4101 * CHOOSE(CONTROL!$C$15, $E$9, 100%, $G$9) + CHOOSE(CONTROL!$C$38, 0.0347, 0)</f>
        <v>63.444800000000001</v>
      </c>
      <c r="I910" s="10">
        <f>63.4117 * CHOOSE(CONTROL!$C$15, $E$9, 100%, $G$9) + CHOOSE(CONTROL!$C$38, 0.0347, 0)</f>
        <v>63.446400000000004</v>
      </c>
      <c r="J910" s="26">
        <f>424.8685</f>
        <v>424.86849999999998</v>
      </c>
    </row>
    <row r="911" spans="1:10" ht="15.75" x14ac:dyDescent="0.25">
      <c r="A911" s="13">
        <v>69033</v>
      </c>
      <c r="B911" s="10">
        <f>69.2783 * CHOOSE(CONTROL!$C$15, $E$9, 100%, $G$9) + CHOOSE(CONTROL!$C$38, 0.0256, 0)</f>
        <v>69.303899999999999</v>
      </c>
      <c r="C911" s="10">
        <f>64.0078 * CHOOSE(CONTROL!$C$15, $E$9, 100%, $G$9) + CHOOSE(CONTROL!$C$38, 0.0347, 0)</f>
        <v>64.042500000000004</v>
      </c>
      <c r="D911" s="10">
        <f>63.9999 * CHOOSE(CONTROL!$C$15, $E$9, 100%, $G$9) + CHOOSE(CONTROL!$C$38, 0.0347, 0)</f>
        <v>64.034599999999998</v>
      </c>
      <c r="E911" s="28">
        <f>69.122 * CHOOSE(CONTROL!$C$15, $E$9, 100%, $G$9) + CHOOSE(CONTROL!$C$38, 0.0347, 0)</f>
        <v>69.156700000000001</v>
      </c>
      <c r="F911" s="27">
        <f>69.122 * CHOOSE(CONTROL!$C$15, $E$9, 100%, $G$9) + CHOOSE(CONTROL!$C$38, 0.0256, 0)</f>
        <v>69.147599999999997</v>
      </c>
      <c r="G911" s="10">
        <f>64.0062 * CHOOSE(CONTROL!$C$15, $E$9, 100%, $G$9) + CHOOSE(CONTROL!$C$38, 0.0347, 0)</f>
        <v>64.040900000000008</v>
      </c>
      <c r="H911" s="10">
        <f>64.0062 * CHOOSE(CONTROL!$C$15, $E$9, 100%, $G$9) + CHOOSE(CONTROL!$C$38, 0.0347, 0)</f>
        <v>64.040900000000008</v>
      </c>
      <c r="I911" s="10">
        <f>64.0078 * CHOOSE(CONTROL!$C$15, $E$9, 100%, $G$9) + CHOOSE(CONTROL!$C$38, 0.0347, 0)</f>
        <v>64.042500000000004</v>
      </c>
      <c r="J911" s="26">
        <f>412.2605</f>
        <v>412.26049999999998</v>
      </c>
    </row>
    <row r="912" spans="1:10" ht="15.75" x14ac:dyDescent="0.25">
      <c r="A912" s="13">
        <v>69064</v>
      </c>
      <c r="B912" s="10">
        <f>70.9522 * CHOOSE(CONTROL!$C$15, $E$9, 100%, $G$9) + CHOOSE(CONTROL!$C$38, 0.0256, 0)</f>
        <v>70.977800000000002</v>
      </c>
      <c r="C912" s="10">
        <f>65.5914 * CHOOSE(CONTROL!$C$15, $E$9, 100%, $G$9) + CHOOSE(CONTROL!$C$38, 0.0347, 0)</f>
        <v>65.626099999999994</v>
      </c>
      <c r="D912" s="10">
        <f>65.5836 * CHOOSE(CONTROL!$C$15, $E$9, 100%, $G$9) + CHOOSE(CONTROL!$C$38, 0.0347, 0)</f>
        <v>65.618300000000005</v>
      </c>
      <c r="E912" s="28">
        <f>70.796 * CHOOSE(CONTROL!$C$15, $E$9, 100%, $G$9) + CHOOSE(CONTROL!$C$38, 0.0347, 0)</f>
        <v>70.830700000000007</v>
      </c>
      <c r="F912" s="27">
        <f>70.796 * CHOOSE(CONTROL!$C$15, $E$9, 100%, $G$9) + CHOOSE(CONTROL!$C$38, 0.0256, 0)</f>
        <v>70.821600000000004</v>
      </c>
      <c r="G912" s="10">
        <f>65.5898 * CHOOSE(CONTROL!$C$15, $E$9, 100%, $G$9) + CHOOSE(CONTROL!$C$38, 0.0347, 0)</f>
        <v>65.624499999999998</v>
      </c>
      <c r="H912" s="10">
        <f>65.5898 * CHOOSE(CONTROL!$C$15, $E$9, 100%, $G$9) + CHOOSE(CONTROL!$C$38, 0.0347, 0)</f>
        <v>65.624499999999998</v>
      </c>
      <c r="I912" s="10">
        <f>65.5914 * CHOOSE(CONTROL!$C$15, $E$9, 100%, $G$9) + CHOOSE(CONTROL!$C$38, 0.0347, 0)</f>
        <v>65.626099999999994</v>
      </c>
      <c r="J912" s="26">
        <f>409.499</f>
        <v>409.49900000000002</v>
      </c>
    </row>
    <row r="913" spans="1:10" ht="15.75" x14ac:dyDescent="0.25">
      <c r="A913" s="13">
        <v>69092</v>
      </c>
      <c r="B913" s="10">
        <f>71.173 * CHOOSE(CONTROL!$C$15, $E$9, 100%, $G$9) + CHOOSE(CONTROL!$C$38, 0.0256, 0)</f>
        <v>71.198599999999999</v>
      </c>
      <c r="C913" s="10">
        <f>65.8121 * CHOOSE(CONTROL!$C$15, $E$9, 100%, $G$9) + CHOOSE(CONTROL!$C$38, 0.0347, 0)</f>
        <v>65.846800000000002</v>
      </c>
      <c r="D913" s="10">
        <f>65.8043 * CHOOSE(CONTROL!$C$15, $E$9, 100%, $G$9) + CHOOSE(CONTROL!$C$38, 0.0347, 0)</f>
        <v>65.838999999999999</v>
      </c>
      <c r="E913" s="28">
        <f>71.0168 * CHOOSE(CONTROL!$C$15, $E$9, 100%, $G$9) + CHOOSE(CONTROL!$C$38, 0.0347, 0)</f>
        <v>71.051500000000004</v>
      </c>
      <c r="F913" s="27">
        <f>71.0168 * CHOOSE(CONTROL!$C$15, $E$9, 100%, $G$9) + CHOOSE(CONTROL!$C$38, 0.0256, 0)</f>
        <v>71.042400000000001</v>
      </c>
      <c r="G913" s="10">
        <f>65.8106 * CHOOSE(CONTROL!$C$15, $E$9, 100%, $G$9) + CHOOSE(CONTROL!$C$38, 0.0347, 0)</f>
        <v>65.845299999999995</v>
      </c>
      <c r="H913" s="10">
        <f>65.8106 * CHOOSE(CONTROL!$C$15, $E$9, 100%, $G$9) + CHOOSE(CONTROL!$C$38, 0.0347, 0)</f>
        <v>65.845299999999995</v>
      </c>
      <c r="I913" s="10">
        <f>65.8121 * CHOOSE(CONTROL!$C$15, $E$9, 100%, $G$9) + CHOOSE(CONTROL!$C$38, 0.0347, 0)</f>
        <v>65.846800000000002</v>
      </c>
      <c r="J913" s="26">
        <f>408.3607</f>
        <v>408.36070000000001</v>
      </c>
    </row>
    <row r="914" spans="1:10" ht="15.75" x14ac:dyDescent="0.25">
      <c r="A914" s="13">
        <v>69123</v>
      </c>
      <c r="B914" s="10">
        <f>70.662 * CHOOSE(CONTROL!$C$15, $E$9, 100%, $G$9) + CHOOSE(CONTROL!$C$38, 0.0256, 0)</f>
        <v>70.687600000000003</v>
      </c>
      <c r="C914" s="10">
        <f>65.3011 * CHOOSE(CONTROL!$C$15, $E$9, 100%, $G$9) + CHOOSE(CONTROL!$C$38, 0.0347, 0)</f>
        <v>65.335800000000006</v>
      </c>
      <c r="D914" s="10">
        <f>65.2933 * CHOOSE(CONTROL!$C$15, $E$9, 100%, $G$9) + CHOOSE(CONTROL!$C$38, 0.0347, 0)</f>
        <v>65.328000000000003</v>
      </c>
      <c r="E914" s="28">
        <f>70.5057 * CHOOSE(CONTROL!$C$15, $E$9, 100%, $G$9) + CHOOSE(CONTROL!$C$38, 0.0347, 0)</f>
        <v>70.540400000000005</v>
      </c>
      <c r="F914" s="27">
        <f>70.5057 * CHOOSE(CONTROL!$C$15, $E$9, 100%, $G$9) + CHOOSE(CONTROL!$C$38, 0.0256, 0)</f>
        <v>70.531300000000002</v>
      </c>
      <c r="G914" s="10">
        <f>65.2995 * CHOOSE(CONTROL!$C$15, $E$9, 100%, $G$9) + CHOOSE(CONTROL!$C$38, 0.0347, 0)</f>
        <v>65.334199999999996</v>
      </c>
      <c r="H914" s="10">
        <f>65.2995 * CHOOSE(CONTROL!$C$15, $E$9, 100%, $G$9) + CHOOSE(CONTROL!$C$38, 0.0347, 0)</f>
        <v>65.334199999999996</v>
      </c>
      <c r="I914" s="10">
        <f>65.3011 * CHOOSE(CONTROL!$C$15, $E$9, 100%, $G$9) + CHOOSE(CONTROL!$C$38, 0.0347, 0)</f>
        <v>65.335800000000006</v>
      </c>
      <c r="J914" s="26">
        <f>429.8837</f>
        <v>429.88369999999998</v>
      </c>
    </row>
    <row r="915" spans="1:10" ht="15.75" x14ac:dyDescent="0.25">
      <c r="A915" s="13">
        <v>69153</v>
      </c>
      <c r="B915" s="10">
        <f>70.1668 * CHOOSE(CONTROL!$C$15, $E$9, 100%, $G$9) + CHOOSE(CONTROL!$C$38, 0.0256, 0)</f>
        <v>70.192399999999992</v>
      </c>
      <c r="C915" s="10">
        <f>64.8059 * CHOOSE(CONTROL!$C$15, $E$9, 100%, $G$9) + CHOOSE(CONTROL!$C$38, 0.0347, 0)</f>
        <v>64.840599999999995</v>
      </c>
      <c r="D915" s="10">
        <f>64.7981 * CHOOSE(CONTROL!$C$15, $E$9, 100%, $G$9) + CHOOSE(CONTROL!$C$38, 0.0347, 0)</f>
        <v>64.832800000000006</v>
      </c>
      <c r="E915" s="28">
        <f>70.0105 * CHOOSE(CONTROL!$C$15, $E$9, 100%, $G$9) + CHOOSE(CONTROL!$C$38, 0.0347, 0)</f>
        <v>70.045199999999994</v>
      </c>
      <c r="F915" s="27">
        <f>70.0105 * CHOOSE(CONTROL!$C$15, $E$9, 100%, $G$9) + CHOOSE(CONTROL!$C$38, 0.0256, 0)</f>
        <v>70.03609999999999</v>
      </c>
      <c r="G915" s="10">
        <f>64.8044 * CHOOSE(CONTROL!$C$15, $E$9, 100%, $G$9) + CHOOSE(CONTROL!$C$38, 0.0347, 0)</f>
        <v>64.839100000000002</v>
      </c>
      <c r="H915" s="10">
        <f>64.8044 * CHOOSE(CONTROL!$C$15, $E$9, 100%, $G$9) + CHOOSE(CONTROL!$C$38, 0.0347, 0)</f>
        <v>64.839100000000002</v>
      </c>
      <c r="I915" s="10">
        <f>64.8059 * CHOOSE(CONTROL!$C$15, $E$9, 100%, $G$9) + CHOOSE(CONTROL!$C$38, 0.0347, 0)</f>
        <v>64.840599999999995</v>
      </c>
      <c r="J915" s="26">
        <f>457.7939</f>
        <v>457.79390000000001</v>
      </c>
    </row>
    <row r="916" spans="1:10" ht="15.75" x14ac:dyDescent="0.25">
      <c r="A916" s="13">
        <v>69184</v>
      </c>
      <c r="B916" s="10">
        <f>69.6507 * CHOOSE(CONTROL!$C$15, $E$9, 100%, $G$9) + CHOOSE(CONTROL!$C$38, 0.0256, 0)</f>
        <v>69.676299999999998</v>
      </c>
      <c r="C916" s="10">
        <f>64.2898 * CHOOSE(CONTROL!$C$15, $E$9, 100%, $G$9) + CHOOSE(CONTROL!$C$38, 0.0347, 0)</f>
        <v>64.3245</v>
      </c>
      <c r="D916" s="10">
        <f>64.282 * CHOOSE(CONTROL!$C$15, $E$9, 100%, $G$9) + CHOOSE(CONTROL!$C$38, 0.0347, 0)</f>
        <v>64.316699999999997</v>
      </c>
      <c r="E916" s="28">
        <f>69.4944 * CHOOSE(CONTROL!$C$15, $E$9, 100%, $G$9) + CHOOSE(CONTROL!$C$38, 0.0347, 0)</f>
        <v>69.5291</v>
      </c>
      <c r="F916" s="27">
        <f>69.4944 * CHOOSE(CONTROL!$C$15, $E$9, 100%, $G$9) + CHOOSE(CONTROL!$C$38, 0.0256, 0)</f>
        <v>69.52</v>
      </c>
      <c r="G916" s="10">
        <f>64.2882 * CHOOSE(CONTROL!$C$15, $E$9, 100%, $G$9) + CHOOSE(CONTROL!$C$38, 0.0347, 0)</f>
        <v>64.322900000000004</v>
      </c>
      <c r="H916" s="10">
        <f>64.2882 * CHOOSE(CONTROL!$C$15, $E$9, 100%, $G$9) + CHOOSE(CONTROL!$C$38, 0.0347, 0)</f>
        <v>64.322900000000004</v>
      </c>
      <c r="I916" s="10">
        <f>64.2898 * CHOOSE(CONTROL!$C$15, $E$9, 100%, $G$9) + CHOOSE(CONTROL!$C$38, 0.0347, 0)</f>
        <v>64.3245</v>
      </c>
      <c r="J916" s="26">
        <f>473.1565</f>
        <v>473.15649999999999</v>
      </c>
    </row>
    <row r="917" spans="1:10" ht="15.75" x14ac:dyDescent="0.25">
      <c r="A917" s="13">
        <v>69214</v>
      </c>
      <c r="B917" s="10">
        <f>69.2888 * CHOOSE(CONTROL!$C$15, $E$9, 100%, $G$9) + CHOOSE(CONTROL!$C$38, 0.0256, 0)</f>
        <v>69.314399999999992</v>
      </c>
      <c r="C917" s="10">
        <f>63.928 * CHOOSE(CONTROL!$C$15, $E$9, 100%, $G$9) + CHOOSE(CONTROL!$C$38, 0.0347, 0)</f>
        <v>63.962699999999998</v>
      </c>
      <c r="D917" s="10">
        <f>63.9202 * CHOOSE(CONTROL!$C$15, $E$9, 100%, $G$9) + CHOOSE(CONTROL!$C$38, 0.0347, 0)</f>
        <v>63.954900000000002</v>
      </c>
      <c r="E917" s="28">
        <f>69.1326 * CHOOSE(CONTROL!$C$15, $E$9, 100%, $G$9) + CHOOSE(CONTROL!$C$38, 0.0347, 0)</f>
        <v>69.167299999999997</v>
      </c>
      <c r="F917" s="27">
        <f>69.1326 * CHOOSE(CONTROL!$C$15, $E$9, 100%, $G$9) + CHOOSE(CONTROL!$C$38, 0.0256, 0)</f>
        <v>69.158199999999994</v>
      </c>
      <c r="G917" s="10">
        <f>63.9264 * CHOOSE(CONTROL!$C$15, $E$9, 100%, $G$9) + CHOOSE(CONTROL!$C$38, 0.0347, 0)</f>
        <v>63.961100000000002</v>
      </c>
      <c r="H917" s="10">
        <f>63.9264 * CHOOSE(CONTROL!$C$15, $E$9, 100%, $G$9) + CHOOSE(CONTROL!$C$38, 0.0347, 0)</f>
        <v>63.961100000000002</v>
      </c>
      <c r="I917" s="10">
        <f>63.928 * CHOOSE(CONTROL!$C$15, $E$9, 100%, $G$9) + CHOOSE(CONTROL!$C$38, 0.0347, 0)</f>
        <v>63.962699999999998</v>
      </c>
      <c r="J917" s="26">
        <f>479.9742</f>
        <v>479.9742</v>
      </c>
    </row>
    <row r="918" spans="1:10" ht="15.75" x14ac:dyDescent="0.25">
      <c r="A918" s="13">
        <v>69245</v>
      </c>
      <c r="B918" s="10">
        <f>69.0824 * CHOOSE(CONTROL!$C$15, $E$9, 100%, $G$9) + CHOOSE(CONTROL!$C$38, 0.0256, 0)</f>
        <v>69.108000000000004</v>
      </c>
      <c r="C918" s="10">
        <f>63.7215 * CHOOSE(CONTROL!$C$15, $E$9, 100%, $G$9) + CHOOSE(CONTROL!$C$38, 0.0347, 0)</f>
        <v>63.7562</v>
      </c>
      <c r="D918" s="10">
        <f>63.7137 * CHOOSE(CONTROL!$C$15, $E$9, 100%, $G$9) + CHOOSE(CONTROL!$C$38, 0.0347, 0)</f>
        <v>63.748400000000004</v>
      </c>
      <c r="E918" s="28">
        <f>68.9261 * CHOOSE(CONTROL!$C$15, $E$9, 100%, $G$9) + CHOOSE(CONTROL!$C$38, 0.0347, 0)</f>
        <v>68.960800000000006</v>
      </c>
      <c r="F918" s="27">
        <f>68.9261 * CHOOSE(CONTROL!$C$15, $E$9, 100%, $G$9) + CHOOSE(CONTROL!$C$38, 0.0256, 0)</f>
        <v>68.951700000000002</v>
      </c>
      <c r="G918" s="10">
        <f>63.7199 * CHOOSE(CONTROL!$C$15, $E$9, 100%, $G$9) + CHOOSE(CONTROL!$C$38, 0.0347, 0)</f>
        <v>63.754600000000003</v>
      </c>
      <c r="H918" s="10">
        <f>63.7199 * CHOOSE(CONTROL!$C$15, $E$9, 100%, $G$9) + CHOOSE(CONTROL!$C$38, 0.0347, 0)</f>
        <v>63.754600000000003</v>
      </c>
      <c r="I918" s="10">
        <f>63.7215 * CHOOSE(CONTROL!$C$15, $E$9, 100%, $G$9) + CHOOSE(CONTROL!$C$38, 0.0347, 0)</f>
        <v>63.7562</v>
      </c>
      <c r="J918" s="26">
        <f>477.7295</f>
        <v>477.72949999999997</v>
      </c>
    </row>
    <row r="919" spans="1:10" ht="15.75" x14ac:dyDescent="0.25">
      <c r="A919" s="13">
        <v>69276</v>
      </c>
      <c r="B919" s="10">
        <f>69.1843 * CHOOSE(CONTROL!$C$15, $E$9, 100%, $G$9) + CHOOSE(CONTROL!$C$38, 0.0256, 0)</f>
        <v>69.20989999999999</v>
      </c>
      <c r="C919" s="10">
        <f>63.8234 * CHOOSE(CONTROL!$C$15, $E$9, 100%, $G$9) + CHOOSE(CONTROL!$C$38, 0.0347, 0)</f>
        <v>63.8581</v>
      </c>
      <c r="D919" s="10">
        <f>63.8156 * CHOOSE(CONTROL!$C$15, $E$9, 100%, $G$9) + CHOOSE(CONTROL!$C$38, 0.0347, 0)</f>
        <v>63.850300000000004</v>
      </c>
      <c r="E919" s="28">
        <f>69.028 * CHOOSE(CONTROL!$C$15, $E$9, 100%, $G$9) + CHOOSE(CONTROL!$C$38, 0.0347, 0)</f>
        <v>69.062700000000007</v>
      </c>
      <c r="F919" s="27">
        <f>69.028 * CHOOSE(CONTROL!$C$15, $E$9, 100%, $G$9) + CHOOSE(CONTROL!$C$38, 0.0256, 0)</f>
        <v>69.053600000000003</v>
      </c>
      <c r="G919" s="10">
        <f>63.8218 * CHOOSE(CONTROL!$C$15, $E$9, 100%, $G$9) + CHOOSE(CONTROL!$C$38, 0.0347, 0)</f>
        <v>63.856500000000004</v>
      </c>
      <c r="H919" s="10">
        <f>63.8218 * CHOOSE(CONTROL!$C$15, $E$9, 100%, $G$9) + CHOOSE(CONTROL!$C$38, 0.0347, 0)</f>
        <v>63.856500000000004</v>
      </c>
      <c r="I919" s="10">
        <f>63.8234 * CHOOSE(CONTROL!$C$15, $E$9, 100%, $G$9) + CHOOSE(CONTROL!$C$38, 0.0347, 0)</f>
        <v>63.8581</v>
      </c>
      <c r="J919" s="26">
        <f>466.6081</f>
        <v>466.60809999999998</v>
      </c>
    </row>
    <row r="920" spans="1:10" ht="15.75" x14ac:dyDescent="0.25">
      <c r="A920" s="13">
        <v>69306</v>
      </c>
      <c r="B920" s="10">
        <f>69.4611 * CHOOSE(CONTROL!$C$15, $E$9, 100%, $G$9) + CHOOSE(CONTROL!$C$38, 0.0256, 0)</f>
        <v>69.486699999999999</v>
      </c>
      <c r="C920" s="10">
        <f>64.1002 * CHOOSE(CONTROL!$C$15, $E$9, 100%, $G$9) + CHOOSE(CONTROL!$C$38, 0.0347, 0)</f>
        <v>64.134900000000002</v>
      </c>
      <c r="D920" s="10">
        <f>64.0924 * CHOOSE(CONTROL!$C$15, $E$9, 100%, $G$9) + CHOOSE(CONTROL!$C$38, 0.0347, 0)</f>
        <v>64.127099999999999</v>
      </c>
      <c r="E920" s="28">
        <f>69.3048 * CHOOSE(CONTROL!$C$15, $E$9, 100%, $G$9) + CHOOSE(CONTROL!$C$38, 0.0347, 0)</f>
        <v>69.339500000000001</v>
      </c>
      <c r="F920" s="27">
        <f>69.3048 * CHOOSE(CONTROL!$C$15, $E$9, 100%, $G$9) + CHOOSE(CONTROL!$C$38, 0.0256, 0)</f>
        <v>69.330399999999997</v>
      </c>
      <c r="G920" s="10">
        <f>64.0986 * CHOOSE(CONTROL!$C$15, $E$9, 100%, $G$9) + CHOOSE(CONTROL!$C$38, 0.0347, 0)</f>
        <v>64.133300000000006</v>
      </c>
      <c r="H920" s="10">
        <f>64.0986 * CHOOSE(CONTROL!$C$15, $E$9, 100%, $G$9) + CHOOSE(CONTROL!$C$38, 0.0347, 0)</f>
        <v>64.133300000000006</v>
      </c>
      <c r="I920" s="10">
        <f>64.1002 * CHOOSE(CONTROL!$C$15, $E$9, 100%, $G$9) + CHOOSE(CONTROL!$C$38, 0.0347, 0)</f>
        <v>64.134900000000002</v>
      </c>
      <c r="J920" s="26">
        <f>451.0989</f>
        <v>451.09890000000001</v>
      </c>
    </row>
    <row r="921" spans="1:10" ht="15.75" x14ac:dyDescent="0.25">
      <c r="A921" s="13">
        <v>69337</v>
      </c>
      <c r="B921" s="10">
        <f>69.6929 * CHOOSE(CONTROL!$C$15, $E$9, 100%, $G$9) + CHOOSE(CONTROL!$C$38, 0.0256, 0)</f>
        <v>69.718499999999992</v>
      </c>
      <c r="C921" s="10">
        <f>64.332 * CHOOSE(CONTROL!$C$15, $E$9, 100%, $G$9) + CHOOSE(CONTROL!$C$38, 0.0347, 0)</f>
        <v>64.366699999999994</v>
      </c>
      <c r="D921" s="10">
        <f>64.3242 * CHOOSE(CONTROL!$C$15, $E$9, 100%, $G$9) + CHOOSE(CONTROL!$C$38, 0.0347, 0)</f>
        <v>64.358900000000006</v>
      </c>
      <c r="E921" s="28">
        <f>69.5366 * CHOOSE(CONTROL!$C$15, $E$9, 100%, $G$9) + CHOOSE(CONTROL!$C$38, 0.0347, 0)</f>
        <v>69.571300000000008</v>
      </c>
      <c r="F921" s="27">
        <f>69.5366 * CHOOSE(CONTROL!$C$15, $E$9, 100%, $G$9) + CHOOSE(CONTROL!$C$38, 0.0256, 0)</f>
        <v>69.562200000000004</v>
      </c>
      <c r="G921" s="10">
        <f>64.3305 * CHOOSE(CONTROL!$C$15, $E$9, 100%, $G$9) + CHOOSE(CONTROL!$C$38, 0.0347, 0)</f>
        <v>64.365200000000002</v>
      </c>
      <c r="H921" s="10">
        <f>64.3305 * CHOOSE(CONTROL!$C$15, $E$9, 100%, $G$9) + CHOOSE(CONTROL!$C$38, 0.0347, 0)</f>
        <v>64.365200000000002</v>
      </c>
      <c r="I921" s="10">
        <f>64.332 * CHOOSE(CONTROL!$C$15, $E$9, 100%, $G$9) + CHOOSE(CONTROL!$C$38, 0.0347, 0)</f>
        <v>64.366699999999994</v>
      </c>
      <c r="J921" s="26">
        <f>435.4994</f>
        <v>435.49939999999998</v>
      </c>
    </row>
    <row r="922" spans="1:10" ht="15.75" x14ac:dyDescent="0.25">
      <c r="A922" s="13">
        <v>69367</v>
      </c>
      <c r="B922" s="10">
        <f>69.8863 * CHOOSE(CONTROL!$C$15, $E$9, 100%, $G$9) + CHOOSE(CONTROL!$C$38, 0.0256, 0)</f>
        <v>69.911900000000003</v>
      </c>
      <c r="C922" s="10">
        <f>64.5255 * CHOOSE(CONTROL!$C$15, $E$9, 100%, $G$9) + CHOOSE(CONTROL!$C$38, 0.0347, 0)</f>
        <v>64.560199999999995</v>
      </c>
      <c r="D922" s="10">
        <f>64.5176 * CHOOSE(CONTROL!$C$15, $E$9, 100%, $G$9) + CHOOSE(CONTROL!$C$38, 0.0347, 0)</f>
        <v>64.552300000000002</v>
      </c>
      <c r="E922" s="28">
        <f>69.7301 * CHOOSE(CONTROL!$C$15, $E$9, 100%, $G$9) + CHOOSE(CONTROL!$C$38, 0.0347, 0)</f>
        <v>69.764799999999994</v>
      </c>
      <c r="F922" s="27">
        <f>69.7301 * CHOOSE(CONTROL!$C$15, $E$9, 100%, $G$9) + CHOOSE(CONTROL!$C$38, 0.0256, 0)</f>
        <v>69.75569999999999</v>
      </c>
      <c r="G922" s="10">
        <f>64.5239 * CHOOSE(CONTROL!$C$15, $E$9, 100%, $G$9) + CHOOSE(CONTROL!$C$38, 0.0347, 0)</f>
        <v>64.558599999999998</v>
      </c>
      <c r="H922" s="10">
        <f>64.5239 * CHOOSE(CONTROL!$C$15, $E$9, 100%, $G$9) + CHOOSE(CONTROL!$C$38, 0.0347, 0)</f>
        <v>64.558599999999998</v>
      </c>
      <c r="I922" s="10">
        <f>64.5255 * CHOOSE(CONTROL!$C$15, $E$9, 100%, $G$9) + CHOOSE(CONTROL!$C$38, 0.0347, 0)</f>
        <v>64.560199999999995</v>
      </c>
      <c r="J922" s="26">
        <f>432.3964</f>
        <v>432.39640000000003</v>
      </c>
    </row>
    <row r="923" spans="1:10" ht="15.75" x14ac:dyDescent="0.25">
      <c r="A923" s="13">
        <v>69398</v>
      </c>
      <c r="B923" s="10">
        <f>70.4824 * CHOOSE(CONTROL!$C$15, $E$9, 100%, $G$9) + CHOOSE(CONTROL!$C$38, 0.0256, 0)</f>
        <v>70.507999999999996</v>
      </c>
      <c r="C923" s="10">
        <f>65.1215 * CHOOSE(CONTROL!$C$15, $E$9, 100%, $G$9) + CHOOSE(CONTROL!$C$38, 0.0347, 0)</f>
        <v>65.156199999999998</v>
      </c>
      <c r="D923" s="10">
        <f>65.1137 * CHOOSE(CONTROL!$C$15, $E$9, 100%, $G$9) + CHOOSE(CONTROL!$C$38, 0.0347, 0)</f>
        <v>65.148399999999995</v>
      </c>
      <c r="E923" s="28">
        <f>70.3261 * CHOOSE(CONTROL!$C$15, $E$9, 100%, $G$9) + CHOOSE(CONTROL!$C$38, 0.0347, 0)</f>
        <v>70.360799999999998</v>
      </c>
      <c r="F923" s="27">
        <f>70.3261 * CHOOSE(CONTROL!$C$15, $E$9, 100%, $G$9) + CHOOSE(CONTROL!$C$38, 0.0256, 0)</f>
        <v>70.351699999999994</v>
      </c>
      <c r="G923" s="10">
        <f>65.12 * CHOOSE(CONTROL!$C$15, $E$9, 100%, $G$9) + CHOOSE(CONTROL!$C$38, 0.0347, 0)</f>
        <v>65.154700000000005</v>
      </c>
      <c r="H923" s="10">
        <f>65.12 * CHOOSE(CONTROL!$C$15, $E$9, 100%, $G$9) + CHOOSE(CONTROL!$C$38, 0.0347, 0)</f>
        <v>65.154700000000005</v>
      </c>
      <c r="I923" s="10">
        <f>65.1215 * CHOOSE(CONTROL!$C$15, $E$9, 100%, $G$9) + CHOOSE(CONTROL!$C$38, 0.0347, 0)</f>
        <v>65.156199999999998</v>
      </c>
      <c r="J923" s="26">
        <f>419.565</f>
        <v>419.565</v>
      </c>
    </row>
    <row r="924" spans="1:10" ht="15.75" x14ac:dyDescent="0.25">
      <c r="A924" s="13">
        <v>69429</v>
      </c>
      <c r="B924" s="10">
        <f>72.1776 * CHOOSE(CONTROL!$C$15, $E$9, 100%, $G$9) + CHOOSE(CONTROL!$C$38, 0.0256, 0)</f>
        <v>72.203199999999995</v>
      </c>
      <c r="C924" s="10">
        <f>66.7248 * CHOOSE(CONTROL!$C$15, $E$9, 100%, $G$9) + CHOOSE(CONTROL!$C$38, 0.0347, 0)</f>
        <v>66.759500000000003</v>
      </c>
      <c r="D924" s="10">
        <f>66.717 * CHOOSE(CONTROL!$C$15, $E$9, 100%, $G$9) + CHOOSE(CONTROL!$C$38, 0.0347, 0)</f>
        <v>66.7517</v>
      </c>
      <c r="E924" s="28">
        <f>72.0214 * CHOOSE(CONTROL!$C$15, $E$9, 100%, $G$9) + CHOOSE(CONTROL!$C$38, 0.0347, 0)</f>
        <v>72.056100000000001</v>
      </c>
      <c r="F924" s="27">
        <f>72.0214 * CHOOSE(CONTROL!$C$15, $E$9, 100%, $G$9) + CHOOSE(CONTROL!$C$38, 0.0256, 0)</f>
        <v>72.046999999999997</v>
      </c>
      <c r="G924" s="10">
        <f>66.7233 * CHOOSE(CONTROL!$C$15, $E$9, 100%, $G$9) + CHOOSE(CONTROL!$C$38, 0.0347, 0)</f>
        <v>66.757999999999996</v>
      </c>
      <c r="H924" s="10">
        <f>66.7233 * CHOOSE(CONTROL!$C$15, $E$9, 100%, $G$9) + CHOOSE(CONTROL!$C$38, 0.0347, 0)</f>
        <v>66.757999999999996</v>
      </c>
      <c r="I924" s="10">
        <f>66.7248 * CHOOSE(CONTROL!$C$15, $E$9, 100%, $G$9) + CHOOSE(CONTROL!$C$38, 0.0347, 0)</f>
        <v>66.759500000000003</v>
      </c>
      <c r="J924" s="26">
        <f>416.7545</f>
        <v>416.75450000000001</v>
      </c>
    </row>
    <row r="925" spans="1:10" ht="15.75" x14ac:dyDescent="0.25">
      <c r="A925" s="13">
        <v>69457</v>
      </c>
      <c r="B925" s="10">
        <f>72.3984 * CHOOSE(CONTROL!$C$15, $E$9, 100%, $G$9) + CHOOSE(CONTROL!$C$38, 0.0256, 0)</f>
        <v>72.423999999999992</v>
      </c>
      <c r="C925" s="10">
        <f>66.9456 * CHOOSE(CONTROL!$C$15, $E$9, 100%, $G$9) + CHOOSE(CONTROL!$C$38, 0.0347, 0)</f>
        <v>66.9803</v>
      </c>
      <c r="D925" s="10">
        <f>66.9378 * CHOOSE(CONTROL!$C$15, $E$9, 100%, $G$9) + CHOOSE(CONTROL!$C$38, 0.0347, 0)</f>
        <v>66.972499999999997</v>
      </c>
      <c r="E925" s="28">
        <f>72.2422 * CHOOSE(CONTROL!$C$15, $E$9, 100%, $G$9) + CHOOSE(CONTROL!$C$38, 0.0347, 0)</f>
        <v>72.276899999999998</v>
      </c>
      <c r="F925" s="27">
        <f>72.2422 * CHOOSE(CONTROL!$C$15, $E$9, 100%, $G$9) + CHOOSE(CONTROL!$C$38, 0.0256, 0)</f>
        <v>72.267799999999994</v>
      </c>
      <c r="G925" s="10">
        <f>66.944 * CHOOSE(CONTROL!$C$15, $E$9, 100%, $G$9) + CHOOSE(CONTROL!$C$38, 0.0347, 0)</f>
        <v>66.978700000000003</v>
      </c>
      <c r="H925" s="10">
        <f>66.944 * CHOOSE(CONTROL!$C$15, $E$9, 100%, $G$9) + CHOOSE(CONTROL!$C$38, 0.0347, 0)</f>
        <v>66.978700000000003</v>
      </c>
      <c r="I925" s="10">
        <f>66.9456 * CHOOSE(CONTROL!$C$15, $E$9, 100%, $G$9) + CHOOSE(CONTROL!$C$38, 0.0347, 0)</f>
        <v>66.9803</v>
      </c>
      <c r="J925" s="26">
        <f>415.5961</f>
        <v>415.59609999999998</v>
      </c>
    </row>
    <row r="926" spans="1:10" ht="15.75" x14ac:dyDescent="0.25">
      <c r="A926" s="13">
        <v>69488</v>
      </c>
      <c r="B926" s="10">
        <f>71.8874 * CHOOSE(CONTROL!$C$15, $E$9, 100%, $G$9) + CHOOSE(CONTROL!$C$38, 0.0256, 0)</f>
        <v>71.912999999999997</v>
      </c>
      <c r="C926" s="10">
        <f>66.4346 * CHOOSE(CONTROL!$C$15, $E$9, 100%, $G$9) + CHOOSE(CONTROL!$C$38, 0.0347, 0)</f>
        <v>66.469300000000004</v>
      </c>
      <c r="D926" s="10">
        <f>66.4267 * CHOOSE(CONTROL!$C$15, $E$9, 100%, $G$9) + CHOOSE(CONTROL!$C$38, 0.0347, 0)</f>
        <v>66.461399999999998</v>
      </c>
      <c r="E926" s="28">
        <f>71.7311 * CHOOSE(CONTROL!$C$15, $E$9, 100%, $G$9) + CHOOSE(CONTROL!$C$38, 0.0347, 0)</f>
        <v>71.765799999999999</v>
      </c>
      <c r="F926" s="27">
        <f>71.7311 * CHOOSE(CONTROL!$C$15, $E$9, 100%, $G$9) + CHOOSE(CONTROL!$C$38, 0.0256, 0)</f>
        <v>71.756699999999995</v>
      </c>
      <c r="G926" s="10">
        <f>66.433 * CHOOSE(CONTROL!$C$15, $E$9, 100%, $G$9) + CHOOSE(CONTROL!$C$38, 0.0347, 0)</f>
        <v>66.467700000000008</v>
      </c>
      <c r="H926" s="10">
        <f>66.433 * CHOOSE(CONTROL!$C$15, $E$9, 100%, $G$9) + CHOOSE(CONTROL!$C$38, 0.0347, 0)</f>
        <v>66.467700000000008</v>
      </c>
      <c r="I926" s="10">
        <f>66.4346 * CHOOSE(CONTROL!$C$15, $E$9, 100%, $G$9) + CHOOSE(CONTROL!$C$38, 0.0347, 0)</f>
        <v>66.469300000000004</v>
      </c>
      <c r="J926" s="26">
        <f>437.5004</f>
        <v>437.50040000000001</v>
      </c>
    </row>
    <row r="927" spans="1:10" ht="15.75" x14ac:dyDescent="0.25">
      <c r="A927" s="13">
        <v>69518</v>
      </c>
      <c r="B927" s="10">
        <f>71.3922 * CHOOSE(CONTROL!$C$15, $E$9, 100%, $G$9) + CHOOSE(CONTROL!$C$38, 0.0256, 0)</f>
        <v>71.4178</v>
      </c>
      <c r="C927" s="10">
        <f>65.9394 * CHOOSE(CONTROL!$C$15, $E$9, 100%, $G$9) + CHOOSE(CONTROL!$C$38, 0.0347, 0)</f>
        <v>65.974100000000007</v>
      </c>
      <c r="D927" s="10">
        <f>65.9316 * CHOOSE(CONTROL!$C$15, $E$9, 100%, $G$9) + CHOOSE(CONTROL!$C$38, 0.0347, 0)</f>
        <v>65.966300000000004</v>
      </c>
      <c r="E927" s="28">
        <f>71.2359 * CHOOSE(CONTROL!$C$15, $E$9, 100%, $G$9) + CHOOSE(CONTROL!$C$38, 0.0347, 0)</f>
        <v>71.270600000000002</v>
      </c>
      <c r="F927" s="27">
        <f>71.2359 * CHOOSE(CONTROL!$C$15, $E$9, 100%, $G$9) + CHOOSE(CONTROL!$C$38, 0.0256, 0)</f>
        <v>71.261499999999998</v>
      </c>
      <c r="G927" s="10">
        <f>65.9378 * CHOOSE(CONTROL!$C$15, $E$9, 100%, $G$9) + CHOOSE(CONTROL!$C$38, 0.0347, 0)</f>
        <v>65.972499999999997</v>
      </c>
      <c r="H927" s="10">
        <f>65.9378 * CHOOSE(CONTROL!$C$15, $E$9, 100%, $G$9) + CHOOSE(CONTROL!$C$38, 0.0347, 0)</f>
        <v>65.972499999999997</v>
      </c>
      <c r="I927" s="10">
        <f>65.9394 * CHOOSE(CONTROL!$C$15, $E$9, 100%, $G$9) + CHOOSE(CONTROL!$C$38, 0.0347, 0)</f>
        <v>65.974100000000007</v>
      </c>
      <c r="J927" s="26">
        <f>465.9051</f>
        <v>465.9051</v>
      </c>
    </row>
    <row r="928" spans="1:10" ht="15.75" x14ac:dyDescent="0.25">
      <c r="A928" s="13">
        <v>69549</v>
      </c>
      <c r="B928" s="10">
        <f>70.8761 * CHOOSE(CONTROL!$C$15, $E$9, 100%, $G$9) + CHOOSE(CONTROL!$C$38, 0.0256, 0)</f>
        <v>70.901699999999991</v>
      </c>
      <c r="C928" s="10">
        <f>65.4233 * CHOOSE(CONTROL!$C$15, $E$9, 100%, $G$9) + CHOOSE(CONTROL!$C$38, 0.0347, 0)</f>
        <v>65.457999999999998</v>
      </c>
      <c r="D928" s="10">
        <f>65.4154 * CHOOSE(CONTROL!$C$15, $E$9, 100%, $G$9) + CHOOSE(CONTROL!$C$38, 0.0347, 0)</f>
        <v>65.450100000000006</v>
      </c>
      <c r="E928" s="28">
        <f>70.7198 * CHOOSE(CONTROL!$C$15, $E$9, 100%, $G$9) + CHOOSE(CONTROL!$C$38, 0.0347, 0)</f>
        <v>70.754500000000007</v>
      </c>
      <c r="F928" s="27">
        <f>70.7198 * CHOOSE(CONTROL!$C$15, $E$9, 100%, $G$9) + CHOOSE(CONTROL!$C$38, 0.0256, 0)</f>
        <v>70.745400000000004</v>
      </c>
      <c r="G928" s="10">
        <f>65.4217 * CHOOSE(CONTROL!$C$15, $E$9, 100%, $G$9) + CHOOSE(CONTROL!$C$38, 0.0347, 0)</f>
        <v>65.456400000000002</v>
      </c>
      <c r="H928" s="10">
        <f>65.4217 * CHOOSE(CONTROL!$C$15, $E$9, 100%, $G$9) + CHOOSE(CONTROL!$C$38, 0.0347, 0)</f>
        <v>65.456400000000002</v>
      </c>
      <c r="I928" s="10">
        <f>65.4233 * CHOOSE(CONTROL!$C$15, $E$9, 100%, $G$9) + CHOOSE(CONTROL!$C$38, 0.0347, 0)</f>
        <v>65.457999999999998</v>
      </c>
      <c r="J928" s="26">
        <f>481.5399</f>
        <v>481.53989999999999</v>
      </c>
    </row>
    <row r="929" spans="1:10" ht="15.75" x14ac:dyDescent="0.25">
      <c r="A929" s="13">
        <v>69579</v>
      </c>
      <c r="B929" s="10">
        <f>70.5143 * CHOOSE(CONTROL!$C$15, $E$9, 100%, $G$9) + CHOOSE(CONTROL!$C$38, 0.0256, 0)</f>
        <v>70.539900000000003</v>
      </c>
      <c r="C929" s="10">
        <f>65.0614 * CHOOSE(CONTROL!$C$15, $E$9, 100%, $G$9) + CHOOSE(CONTROL!$C$38, 0.0347, 0)</f>
        <v>65.096100000000007</v>
      </c>
      <c r="D929" s="10">
        <f>65.0536 * CHOOSE(CONTROL!$C$15, $E$9, 100%, $G$9) + CHOOSE(CONTROL!$C$38, 0.0347, 0)</f>
        <v>65.088300000000004</v>
      </c>
      <c r="E929" s="28">
        <f>70.358 * CHOOSE(CONTROL!$C$15, $E$9, 100%, $G$9) + CHOOSE(CONTROL!$C$38, 0.0347, 0)</f>
        <v>70.392700000000005</v>
      </c>
      <c r="F929" s="27">
        <f>70.358 * CHOOSE(CONTROL!$C$15, $E$9, 100%, $G$9) + CHOOSE(CONTROL!$C$38, 0.0256, 0)</f>
        <v>70.383600000000001</v>
      </c>
      <c r="G929" s="10">
        <f>65.0599 * CHOOSE(CONTROL!$C$15, $E$9, 100%, $G$9) + CHOOSE(CONTROL!$C$38, 0.0347, 0)</f>
        <v>65.0946</v>
      </c>
      <c r="H929" s="10">
        <f>65.0599 * CHOOSE(CONTROL!$C$15, $E$9, 100%, $G$9) + CHOOSE(CONTROL!$C$38, 0.0347, 0)</f>
        <v>65.0946</v>
      </c>
      <c r="I929" s="10">
        <f>65.0614 * CHOOSE(CONTROL!$C$15, $E$9, 100%, $G$9) + CHOOSE(CONTROL!$C$38, 0.0347, 0)</f>
        <v>65.096100000000007</v>
      </c>
      <c r="J929" s="26">
        <f>488.4784</f>
        <v>488.47840000000002</v>
      </c>
    </row>
    <row r="930" spans="1:10" ht="15.75" x14ac:dyDescent="0.25">
      <c r="A930" s="13">
        <v>69610</v>
      </c>
      <c r="B930" s="10">
        <f>70.3078 * CHOOSE(CONTROL!$C$15, $E$9, 100%, $G$9) + CHOOSE(CONTROL!$C$38, 0.0256, 0)</f>
        <v>70.333399999999997</v>
      </c>
      <c r="C930" s="10">
        <f>64.8549 * CHOOSE(CONTROL!$C$15, $E$9, 100%, $G$9) + CHOOSE(CONTROL!$C$38, 0.0347, 0)</f>
        <v>64.889600000000002</v>
      </c>
      <c r="D930" s="10">
        <f>64.8471 * CHOOSE(CONTROL!$C$15, $E$9, 100%, $G$9) + CHOOSE(CONTROL!$C$38, 0.0347, 0)</f>
        <v>64.881799999999998</v>
      </c>
      <c r="E930" s="28">
        <f>70.1515 * CHOOSE(CONTROL!$C$15, $E$9, 100%, $G$9) + CHOOSE(CONTROL!$C$38, 0.0347, 0)</f>
        <v>70.186199999999999</v>
      </c>
      <c r="F930" s="27">
        <f>70.1515 * CHOOSE(CONTROL!$C$15, $E$9, 100%, $G$9) + CHOOSE(CONTROL!$C$38, 0.0256, 0)</f>
        <v>70.177099999999996</v>
      </c>
      <c r="G930" s="10">
        <f>64.8534 * CHOOSE(CONTROL!$C$15, $E$9, 100%, $G$9) + CHOOSE(CONTROL!$C$38, 0.0347, 0)</f>
        <v>64.888099999999994</v>
      </c>
      <c r="H930" s="10">
        <f>64.8534 * CHOOSE(CONTROL!$C$15, $E$9, 100%, $G$9) + CHOOSE(CONTROL!$C$38, 0.0347, 0)</f>
        <v>64.888099999999994</v>
      </c>
      <c r="I930" s="10">
        <f>64.8549 * CHOOSE(CONTROL!$C$15, $E$9, 100%, $G$9) + CHOOSE(CONTROL!$C$38, 0.0347, 0)</f>
        <v>64.889600000000002</v>
      </c>
      <c r="J930" s="26">
        <f>486.1939</f>
        <v>486.19389999999999</v>
      </c>
    </row>
    <row r="931" spans="1:10" ht="15.75" x14ac:dyDescent="0.25">
      <c r="A931" s="13">
        <v>69641</v>
      </c>
      <c r="B931" s="10">
        <f>70.4097 * CHOOSE(CONTROL!$C$15, $E$9, 100%, $G$9) + CHOOSE(CONTROL!$C$38, 0.0256, 0)</f>
        <v>70.435299999999998</v>
      </c>
      <c r="C931" s="10">
        <f>64.9568 * CHOOSE(CONTROL!$C$15, $E$9, 100%, $G$9) + CHOOSE(CONTROL!$C$38, 0.0347, 0)</f>
        <v>64.991500000000002</v>
      </c>
      <c r="D931" s="10">
        <f>64.949 * CHOOSE(CONTROL!$C$15, $E$9, 100%, $G$9) + CHOOSE(CONTROL!$C$38, 0.0347, 0)</f>
        <v>64.983699999999999</v>
      </c>
      <c r="E931" s="28">
        <f>70.2534 * CHOOSE(CONTROL!$C$15, $E$9, 100%, $G$9) + CHOOSE(CONTROL!$C$38, 0.0347, 0)</f>
        <v>70.2881</v>
      </c>
      <c r="F931" s="27">
        <f>70.2534 * CHOOSE(CONTROL!$C$15, $E$9, 100%, $G$9) + CHOOSE(CONTROL!$C$38, 0.0256, 0)</f>
        <v>70.278999999999996</v>
      </c>
      <c r="G931" s="10">
        <f>64.9553 * CHOOSE(CONTROL!$C$15, $E$9, 100%, $G$9) + CHOOSE(CONTROL!$C$38, 0.0347, 0)</f>
        <v>64.989999999999995</v>
      </c>
      <c r="H931" s="10">
        <f>64.9553 * CHOOSE(CONTROL!$C$15, $E$9, 100%, $G$9) + CHOOSE(CONTROL!$C$38, 0.0347, 0)</f>
        <v>64.989999999999995</v>
      </c>
      <c r="I931" s="10">
        <f>64.9568 * CHOOSE(CONTROL!$C$15, $E$9, 100%, $G$9) + CHOOSE(CONTROL!$C$38, 0.0347, 0)</f>
        <v>64.991500000000002</v>
      </c>
      <c r="J931" s="26">
        <f>474.8756</f>
        <v>474.87560000000002</v>
      </c>
    </row>
    <row r="932" spans="1:10" ht="15.75" x14ac:dyDescent="0.25">
      <c r="A932" s="13">
        <v>69671</v>
      </c>
      <c r="B932" s="10">
        <f>70.6865 * CHOOSE(CONTROL!$C$15, $E$9, 100%, $G$9) + CHOOSE(CONTROL!$C$38, 0.0256, 0)</f>
        <v>70.712099999999992</v>
      </c>
      <c r="C932" s="10">
        <f>65.2336 * CHOOSE(CONTROL!$C$15, $E$9, 100%, $G$9) + CHOOSE(CONTROL!$C$38, 0.0347, 0)</f>
        <v>65.268299999999996</v>
      </c>
      <c r="D932" s="10">
        <f>65.2258 * CHOOSE(CONTROL!$C$15, $E$9, 100%, $G$9) + CHOOSE(CONTROL!$C$38, 0.0347, 0)</f>
        <v>65.260500000000008</v>
      </c>
      <c r="E932" s="28">
        <f>70.5302 * CHOOSE(CONTROL!$C$15, $E$9, 100%, $G$9) + CHOOSE(CONTROL!$C$38, 0.0347, 0)</f>
        <v>70.564899999999994</v>
      </c>
      <c r="F932" s="27">
        <f>70.5302 * CHOOSE(CONTROL!$C$15, $E$9, 100%, $G$9) + CHOOSE(CONTROL!$C$38, 0.0256, 0)</f>
        <v>70.555799999999991</v>
      </c>
      <c r="G932" s="10">
        <f>65.2321 * CHOOSE(CONTROL!$C$15, $E$9, 100%, $G$9) + CHOOSE(CONTROL!$C$38, 0.0347, 0)</f>
        <v>65.266800000000003</v>
      </c>
      <c r="H932" s="10">
        <f>65.2321 * CHOOSE(CONTROL!$C$15, $E$9, 100%, $G$9) + CHOOSE(CONTROL!$C$38, 0.0347, 0)</f>
        <v>65.266800000000003</v>
      </c>
      <c r="I932" s="10">
        <f>65.2336 * CHOOSE(CONTROL!$C$15, $E$9, 100%, $G$9) + CHOOSE(CONTROL!$C$38, 0.0347, 0)</f>
        <v>65.268299999999996</v>
      </c>
      <c r="J932" s="26">
        <f>459.0915</f>
        <v>459.0915</v>
      </c>
    </row>
    <row r="933" spans="1:10" ht="15.75" x14ac:dyDescent="0.25">
      <c r="A933" s="13">
        <v>69702</v>
      </c>
      <c r="B933" s="10">
        <f>70.9183 * CHOOSE(CONTROL!$C$15, $E$9, 100%, $G$9) + CHOOSE(CONTROL!$C$38, 0.0256, 0)</f>
        <v>70.943899999999999</v>
      </c>
      <c r="C933" s="10">
        <f>65.4655 * CHOOSE(CONTROL!$C$15, $E$9, 100%, $G$9) + CHOOSE(CONTROL!$C$38, 0.0347, 0)</f>
        <v>65.500200000000007</v>
      </c>
      <c r="D933" s="10">
        <f>65.4577 * CHOOSE(CONTROL!$C$15, $E$9, 100%, $G$9) + CHOOSE(CONTROL!$C$38, 0.0347, 0)</f>
        <v>65.492400000000004</v>
      </c>
      <c r="E933" s="28">
        <f>70.762 * CHOOSE(CONTROL!$C$15, $E$9, 100%, $G$9) + CHOOSE(CONTROL!$C$38, 0.0347, 0)</f>
        <v>70.796700000000001</v>
      </c>
      <c r="F933" s="27">
        <f>70.762 * CHOOSE(CONTROL!$C$15, $E$9, 100%, $G$9) + CHOOSE(CONTROL!$C$38, 0.0256, 0)</f>
        <v>70.787599999999998</v>
      </c>
      <c r="G933" s="10">
        <f>65.4639 * CHOOSE(CONTROL!$C$15, $E$9, 100%, $G$9) + CHOOSE(CONTROL!$C$38, 0.0347, 0)</f>
        <v>65.498599999999996</v>
      </c>
      <c r="H933" s="10">
        <f>65.4639 * CHOOSE(CONTROL!$C$15, $E$9, 100%, $G$9) + CHOOSE(CONTROL!$C$38, 0.0347, 0)</f>
        <v>65.498599999999996</v>
      </c>
      <c r="I933" s="10">
        <f>65.4655 * CHOOSE(CONTROL!$C$15, $E$9, 100%, $G$9) + CHOOSE(CONTROL!$C$38, 0.0347, 0)</f>
        <v>65.500200000000007</v>
      </c>
      <c r="J933" s="26">
        <f>443.2157</f>
        <v>443.21570000000003</v>
      </c>
    </row>
    <row r="934" spans="1:10" ht="15.75" x14ac:dyDescent="0.25">
      <c r="A934" s="13">
        <v>69732</v>
      </c>
      <c r="B934" s="10">
        <f>71.1117 * CHOOSE(CONTROL!$C$15, $E$9, 100%, $G$9) + CHOOSE(CONTROL!$C$38, 0.0256, 0)</f>
        <v>71.137299999999996</v>
      </c>
      <c r="C934" s="10">
        <f>65.6589 * CHOOSE(CONTROL!$C$15, $E$9, 100%, $G$9) + CHOOSE(CONTROL!$C$38, 0.0347, 0)</f>
        <v>65.693600000000004</v>
      </c>
      <c r="D934" s="10">
        <f>65.6511 * CHOOSE(CONTROL!$C$15, $E$9, 100%, $G$9) + CHOOSE(CONTROL!$C$38, 0.0347, 0)</f>
        <v>65.6858</v>
      </c>
      <c r="E934" s="28">
        <f>70.9555 * CHOOSE(CONTROL!$C$15, $E$9, 100%, $G$9) + CHOOSE(CONTROL!$C$38, 0.0347, 0)</f>
        <v>70.990200000000002</v>
      </c>
      <c r="F934" s="27">
        <f>70.9555 * CHOOSE(CONTROL!$C$15, $E$9, 100%, $G$9) + CHOOSE(CONTROL!$C$38, 0.0256, 0)</f>
        <v>70.981099999999998</v>
      </c>
      <c r="G934" s="10">
        <f>65.6573 * CHOOSE(CONTROL!$C$15, $E$9, 100%, $G$9) + CHOOSE(CONTROL!$C$38, 0.0347, 0)</f>
        <v>65.692000000000007</v>
      </c>
      <c r="H934" s="10">
        <f>65.6573 * CHOOSE(CONTROL!$C$15, $E$9, 100%, $G$9) + CHOOSE(CONTROL!$C$38, 0.0347, 0)</f>
        <v>65.692000000000007</v>
      </c>
      <c r="I934" s="10">
        <f>65.6589 * CHOOSE(CONTROL!$C$15, $E$9, 100%, $G$9) + CHOOSE(CONTROL!$C$38, 0.0347, 0)</f>
        <v>65.693600000000004</v>
      </c>
      <c r="J934" s="26">
        <f>440.0576</f>
        <v>440.05759999999998</v>
      </c>
    </row>
    <row r="935" spans="1:10" ht="15.75" x14ac:dyDescent="0.25">
      <c r="A935" s="13">
        <v>69763</v>
      </c>
      <c r="B935" s="10">
        <f>71.7078 * CHOOSE(CONTROL!$C$15, $E$9, 100%, $G$9) + CHOOSE(CONTROL!$C$38, 0.0256, 0)</f>
        <v>71.733400000000003</v>
      </c>
      <c r="C935" s="10">
        <f>66.255 * CHOOSE(CONTROL!$C$15, $E$9, 100%, $G$9) + CHOOSE(CONTROL!$C$38, 0.0347, 0)</f>
        <v>66.289699999999996</v>
      </c>
      <c r="D935" s="10">
        <f>66.2472 * CHOOSE(CONTROL!$C$15, $E$9, 100%, $G$9) + CHOOSE(CONTROL!$C$38, 0.0347, 0)</f>
        <v>66.281900000000007</v>
      </c>
      <c r="E935" s="28">
        <f>71.5516 * CHOOSE(CONTROL!$C$15, $E$9, 100%, $G$9) + CHOOSE(CONTROL!$C$38, 0.0347, 0)</f>
        <v>71.586299999999994</v>
      </c>
      <c r="F935" s="27">
        <f>71.5516 * CHOOSE(CONTROL!$C$15, $E$9, 100%, $G$9) + CHOOSE(CONTROL!$C$38, 0.0256, 0)</f>
        <v>71.577199999999991</v>
      </c>
      <c r="G935" s="10">
        <f>66.2534 * CHOOSE(CONTROL!$C$15, $E$9, 100%, $G$9) + CHOOSE(CONTROL!$C$38, 0.0347, 0)</f>
        <v>66.2881</v>
      </c>
      <c r="H935" s="10">
        <f>66.2534 * CHOOSE(CONTROL!$C$15, $E$9, 100%, $G$9) + CHOOSE(CONTROL!$C$38, 0.0347, 0)</f>
        <v>66.2881</v>
      </c>
      <c r="I935" s="10">
        <f>66.255 * CHOOSE(CONTROL!$C$15, $E$9, 100%, $G$9) + CHOOSE(CONTROL!$C$38, 0.0347, 0)</f>
        <v>66.289699999999996</v>
      </c>
      <c r="J935" s="26">
        <f>426.9989</f>
        <v>426.99889999999999</v>
      </c>
    </row>
    <row r="936" spans="1:10" ht="15.75" x14ac:dyDescent="0.25">
      <c r="A936" s="13">
        <v>69794</v>
      </c>
      <c r="B936" s="10">
        <f>73.4247 * CHOOSE(CONTROL!$C$15, $E$9, 100%, $G$9) + CHOOSE(CONTROL!$C$38, 0.0256, 0)</f>
        <v>73.450299999999999</v>
      </c>
      <c r="C936" s="10">
        <f>67.8783 * CHOOSE(CONTROL!$C$15, $E$9, 100%, $G$9) + CHOOSE(CONTROL!$C$38, 0.0347, 0)</f>
        <v>67.912999999999997</v>
      </c>
      <c r="D936" s="10">
        <f>67.8705 * CHOOSE(CONTROL!$C$15, $E$9, 100%, $G$9) + CHOOSE(CONTROL!$C$38, 0.0347, 0)</f>
        <v>67.905200000000008</v>
      </c>
      <c r="E936" s="28">
        <f>73.2685 * CHOOSE(CONTROL!$C$15, $E$9, 100%, $G$9) + CHOOSE(CONTROL!$C$38, 0.0347, 0)</f>
        <v>73.303200000000004</v>
      </c>
      <c r="F936" s="27">
        <f>73.2685 * CHOOSE(CONTROL!$C$15, $E$9, 100%, $G$9) + CHOOSE(CONTROL!$C$38, 0.0256, 0)</f>
        <v>73.2941</v>
      </c>
      <c r="G936" s="10">
        <f>67.8767 * CHOOSE(CONTROL!$C$15, $E$9, 100%, $G$9) + CHOOSE(CONTROL!$C$38, 0.0347, 0)</f>
        <v>67.9114</v>
      </c>
      <c r="H936" s="10">
        <f>67.8767 * CHOOSE(CONTROL!$C$15, $E$9, 100%, $G$9) + CHOOSE(CONTROL!$C$38, 0.0347, 0)</f>
        <v>67.9114</v>
      </c>
      <c r="I936" s="10">
        <f>67.8783 * CHOOSE(CONTROL!$C$15, $E$9, 100%, $G$9) + CHOOSE(CONTROL!$C$38, 0.0347, 0)</f>
        <v>67.912999999999997</v>
      </c>
      <c r="J936" s="26">
        <f>424.1387</f>
        <v>424.13869999999997</v>
      </c>
    </row>
    <row r="937" spans="1:10" ht="15.75" x14ac:dyDescent="0.25">
      <c r="A937" s="13">
        <v>69822</v>
      </c>
      <c r="B937" s="10">
        <f>73.6455 * CHOOSE(CONTROL!$C$15, $E$9, 100%, $G$9) + CHOOSE(CONTROL!$C$38, 0.0256, 0)</f>
        <v>73.671099999999996</v>
      </c>
      <c r="C937" s="10">
        <f>68.0991 * CHOOSE(CONTROL!$C$15, $E$9, 100%, $G$9) + CHOOSE(CONTROL!$C$38, 0.0347, 0)</f>
        <v>68.133800000000008</v>
      </c>
      <c r="D937" s="10">
        <f>68.0913 * CHOOSE(CONTROL!$C$15, $E$9, 100%, $G$9) + CHOOSE(CONTROL!$C$38, 0.0347, 0)</f>
        <v>68.126000000000005</v>
      </c>
      <c r="E937" s="28">
        <f>73.4892 * CHOOSE(CONTROL!$C$15, $E$9, 100%, $G$9) + CHOOSE(CONTROL!$C$38, 0.0347, 0)</f>
        <v>73.523899999999998</v>
      </c>
      <c r="F937" s="27">
        <f>73.4892 * CHOOSE(CONTROL!$C$15, $E$9, 100%, $G$9) + CHOOSE(CONTROL!$C$38, 0.0256, 0)</f>
        <v>73.514799999999994</v>
      </c>
      <c r="G937" s="10">
        <f>68.0975 * CHOOSE(CONTROL!$C$15, $E$9, 100%, $G$9) + CHOOSE(CONTROL!$C$38, 0.0347, 0)</f>
        <v>68.132199999999997</v>
      </c>
      <c r="H937" s="10">
        <f>68.0975 * CHOOSE(CONTROL!$C$15, $E$9, 100%, $G$9) + CHOOSE(CONTROL!$C$38, 0.0347, 0)</f>
        <v>68.132199999999997</v>
      </c>
      <c r="I937" s="10">
        <f>68.0991 * CHOOSE(CONTROL!$C$15, $E$9, 100%, $G$9) + CHOOSE(CONTROL!$C$38, 0.0347, 0)</f>
        <v>68.133800000000008</v>
      </c>
      <c r="J937" s="26">
        <f>422.9597</f>
        <v>422.9597</v>
      </c>
    </row>
    <row r="938" spans="1:10" ht="15.75" x14ac:dyDescent="0.25">
      <c r="A938" s="13">
        <v>69853</v>
      </c>
      <c r="B938" s="10">
        <f>73.1344 * CHOOSE(CONTROL!$C$15, $E$9, 100%, $G$9) + CHOOSE(CONTROL!$C$38, 0.0256, 0)</f>
        <v>73.16</v>
      </c>
      <c r="C938" s="10">
        <f>67.588 * CHOOSE(CONTROL!$C$15, $E$9, 100%, $G$9) + CHOOSE(CONTROL!$C$38, 0.0347, 0)</f>
        <v>67.622699999999995</v>
      </c>
      <c r="D938" s="10">
        <f>67.5802 * CHOOSE(CONTROL!$C$15, $E$9, 100%, $G$9) + CHOOSE(CONTROL!$C$38, 0.0347, 0)</f>
        <v>67.614900000000006</v>
      </c>
      <c r="E938" s="28">
        <f>72.9782 * CHOOSE(CONTROL!$C$15, $E$9, 100%, $G$9) + CHOOSE(CONTROL!$C$38, 0.0347, 0)</f>
        <v>73.012900000000002</v>
      </c>
      <c r="F938" s="27">
        <f>72.9782 * CHOOSE(CONTROL!$C$15, $E$9, 100%, $G$9) + CHOOSE(CONTROL!$C$38, 0.0256, 0)</f>
        <v>73.003799999999998</v>
      </c>
      <c r="G938" s="10">
        <f>67.5865 * CHOOSE(CONTROL!$C$15, $E$9, 100%, $G$9) + CHOOSE(CONTROL!$C$38, 0.0347, 0)</f>
        <v>67.621200000000002</v>
      </c>
      <c r="H938" s="10">
        <f>67.5865 * CHOOSE(CONTROL!$C$15, $E$9, 100%, $G$9) + CHOOSE(CONTROL!$C$38, 0.0347, 0)</f>
        <v>67.621200000000002</v>
      </c>
      <c r="I938" s="10">
        <f>67.588 * CHOOSE(CONTROL!$C$15, $E$9, 100%, $G$9) + CHOOSE(CONTROL!$C$38, 0.0347, 0)</f>
        <v>67.622699999999995</v>
      </c>
      <c r="J938" s="26">
        <f>445.2521</f>
        <v>445.25209999999998</v>
      </c>
    </row>
    <row r="939" spans="1:10" ht="15.75" x14ac:dyDescent="0.25">
      <c r="A939" s="13">
        <v>69883</v>
      </c>
      <c r="B939" s="10">
        <f>72.6393 * CHOOSE(CONTROL!$C$15, $E$9, 100%, $G$9) + CHOOSE(CONTROL!$C$38, 0.0256, 0)</f>
        <v>72.664900000000003</v>
      </c>
      <c r="C939" s="10">
        <f>67.0929 * CHOOSE(CONTROL!$C$15, $E$9, 100%, $G$9) + CHOOSE(CONTROL!$C$38, 0.0347, 0)</f>
        <v>67.127600000000001</v>
      </c>
      <c r="D939" s="10">
        <f>67.085 * CHOOSE(CONTROL!$C$15, $E$9, 100%, $G$9) + CHOOSE(CONTROL!$C$38, 0.0347, 0)</f>
        <v>67.119699999999995</v>
      </c>
      <c r="E939" s="28">
        <f>72.483 * CHOOSE(CONTROL!$C$15, $E$9, 100%, $G$9) + CHOOSE(CONTROL!$C$38, 0.0347, 0)</f>
        <v>72.517700000000005</v>
      </c>
      <c r="F939" s="27">
        <f>72.483 * CHOOSE(CONTROL!$C$15, $E$9, 100%, $G$9) + CHOOSE(CONTROL!$C$38, 0.0256, 0)</f>
        <v>72.508600000000001</v>
      </c>
      <c r="G939" s="10">
        <f>67.0913 * CHOOSE(CONTROL!$C$15, $E$9, 100%, $G$9) + CHOOSE(CONTROL!$C$38, 0.0347, 0)</f>
        <v>67.126000000000005</v>
      </c>
      <c r="H939" s="10">
        <f>67.0913 * CHOOSE(CONTROL!$C$15, $E$9, 100%, $G$9) + CHOOSE(CONTROL!$C$38, 0.0347, 0)</f>
        <v>67.126000000000005</v>
      </c>
      <c r="I939" s="10">
        <f>67.0929 * CHOOSE(CONTROL!$C$15, $E$9, 100%, $G$9) + CHOOSE(CONTROL!$C$38, 0.0347, 0)</f>
        <v>67.127600000000001</v>
      </c>
      <c r="J939" s="26">
        <f>474.1601</f>
        <v>474.1601</v>
      </c>
    </row>
    <row r="940" spans="1:10" ht="15.75" x14ac:dyDescent="0.25">
      <c r="A940" s="13">
        <v>69914</v>
      </c>
      <c r="B940" s="10">
        <f>72.1231 * CHOOSE(CONTROL!$C$15, $E$9, 100%, $G$9) + CHOOSE(CONTROL!$C$38, 0.0256, 0)</f>
        <v>72.148699999999991</v>
      </c>
      <c r="C940" s="10">
        <f>66.5767 * CHOOSE(CONTROL!$C$15, $E$9, 100%, $G$9) + CHOOSE(CONTROL!$C$38, 0.0347, 0)</f>
        <v>66.611400000000003</v>
      </c>
      <c r="D940" s="10">
        <f>66.5689 * CHOOSE(CONTROL!$C$15, $E$9, 100%, $G$9) + CHOOSE(CONTROL!$C$38, 0.0347, 0)</f>
        <v>66.6036</v>
      </c>
      <c r="E940" s="28">
        <f>71.9669 * CHOOSE(CONTROL!$C$15, $E$9, 100%, $G$9) + CHOOSE(CONTROL!$C$38, 0.0347, 0)</f>
        <v>72.001599999999996</v>
      </c>
      <c r="F940" s="27">
        <f>71.9669 * CHOOSE(CONTROL!$C$15, $E$9, 100%, $G$9) + CHOOSE(CONTROL!$C$38, 0.0256, 0)</f>
        <v>71.992499999999993</v>
      </c>
      <c r="G940" s="10">
        <f>66.5752 * CHOOSE(CONTROL!$C$15, $E$9, 100%, $G$9) + CHOOSE(CONTROL!$C$38, 0.0347, 0)</f>
        <v>66.609899999999996</v>
      </c>
      <c r="H940" s="10">
        <f>66.5752 * CHOOSE(CONTROL!$C$15, $E$9, 100%, $G$9) + CHOOSE(CONTROL!$C$38, 0.0347, 0)</f>
        <v>66.609899999999996</v>
      </c>
      <c r="I940" s="10">
        <f>66.5767 * CHOOSE(CONTROL!$C$15, $E$9, 100%, $G$9) + CHOOSE(CONTROL!$C$38, 0.0347, 0)</f>
        <v>66.611400000000003</v>
      </c>
      <c r="J940" s="26">
        <f>490.0719</f>
        <v>490.07190000000003</v>
      </c>
    </row>
    <row r="941" spans="1:10" ht="15.75" x14ac:dyDescent="0.25">
      <c r="A941" s="13">
        <v>69944</v>
      </c>
      <c r="B941" s="10">
        <f>71.7613 * CHOOSE(CONTROL!$C$15, $E$9, 100%, $G$9) + CHOOSE(CONTROL!$C$38, 0.0256, 0)</f>
        <v>71.786900000000003</v>
      </c>
      <c r="C941" s="10">
        <f>66.2149 * CHOOSE(CONTROL!$C$15, $E$9, 100%, $G$9) + CHOOSE(CONTROL!$C$38, 0.0347, 0)</f>
        <v>66.249600000000001</v>
      </c>
      <c r="D941" s="10">
        <f>66.2071 * CHOOSE(CONTROL!$C$15, $E$9, 100%, $G$9) + CHOOSE(CONTROL!$C$38, 0.0347, 0)</f>
        <v>66.241799999999998</v>
      </c>
      <c r="E941" s="28">
        <f>71.6051 * CHOOSE(CONTROL!$C$15, $E$9, 100%, $G$9) + CHOOSE(CONTROL!$C$38, 0.0347, 0)</f>
        <v>71.639799999999994</v>
      </c>
      <c r="F941" s="27">
        <f>71.6051 * CHOOSE(CONTROL!$C$15, $E$9, 100%, $G$9) + CHOOSE(CONTROL!$C$38, 0.0256, 0)</f>
        <v>71.63069999999999</v>
      </c>
      <c r="G941" s="10">
        <f>66.2133 * CHOOSE(CONTROL!$C$15, $E$9, 100%, $G$9) + CHOOSE(CONTROL!$C$38, 0.0347, 0)</f>
        <v>66.248000000000005</v>
      </c>
      <c r="H941" s="10">
        <f>66.2133 * CHOOSE(CONTROL!$C$15, $E$9, 100%, $G$9) + CHOOSE(CONTROL!$C$38, 0.0347, 0)</f>
        <v>66.248000000000005</v>
      </c>
      <c r="I941" s="10">
        <f>66.2149 * CHOOSE(CONTROL!$C$15, $E$9, 100%, $G$9) + CHOOSE(CONTROL!$C$38, 0.0347, 0)</f>
        <v>66.249600000000001</v>
      </c>
      <c r="J941" s="26">
        <f>497.1333</f>
        <v>497.13330000000002</v>
      </c>
    </row>
    <row r="942" spans="1:10" ht="15.75" x14ac:dyDescent="0.25">
      <c r="A942" s="13">
        <v>69975</v>
      </c>
      <c r="B942" s="10">
        <f>71.5548 * CHOOSE(CONTROL!$C$15, $E$9, 100%, $G$9) + CHOOSE(CONTROL!$C$38, 0.0256, 0)</f>
        <v>71.580399999999997</v>
      </c>
      <c r="C942" s="10">
        <f>66.0084 * CHOOSE(CONTROL!$C$15, $E$9, 100%, $G$9) + CHOOSE(CONTROL!$C$38, 0.0347, 0)</f>
        <v>66.043099999999995</v>
      </c>
      <c r="D942" s="10">
        <f>66.0006 * CHOOSE(CONTROL!$C$15, $E$9, 100%, $G$9) + CHOOSE(CONTROL!$C$38, 0.0347, 0)</f>
        <v>66.035300000000007</v>
      </c>
      <c r="E942" s="28">
        <f>71.3986 * CHOOSE(CONTROL!$C$15, $E$9, 100%, $G$9) + CHOOSE(CONTROL!$C$38, 0.0347, 0)</f>
        <v>71.433300000000003</v>
      </c>
      <c r="F942" s="27">
        <f>71.3986 * CHOOSE(CONTROL!$C$15, $E$9, 100%, $G$9) + CHOOSE(CONTROL!$C$38, 0.0256, 0)</f>
        <v>71.424199999999999</v>
      </c>
      <c r="G942" s="10">
        <f>66.0069 * CHOOSE(CONTROL!$C$15, $E$9, 100%, $G$9) + CHOOSE(CONTROL!$C$38, 0.0347, 0)</f>
        <v>66.041600000000003</v>
      </c>
      <c r="H942" s="10">
        <f>66.0069 * CHOOSE(CONTROL!$C$15, $E$9, 100%, $G$9) + CHOOSE(CONTROL!$C$38, 0.0347, 0)</f>
        <v>66.041600000000003</v>
      </c>
      <c r="I942" s="10">
        <f>66.0084 * CHOOSE(CONTROL!$C$15, $E$9, 100%, $G$9) + CHOOSE(CONTROL!$C$38, 0.0347, 0)</f>
        <v>66.043099999999995</v>
      </c>
      <c r="J942" s="26">
        <f>494.8084</f>
        <v>494.80840000000001</v>
      </c>
    </row>
    <row r="943" spans="1:10" ht="15.75" x14ac:dyDescent="0.25">
      <c r="A943" s="13">
        <v>70006</v>
      </c>
      <c r="B943" s="10">
        <f>71.6567 * CHOOSE(CONTROL!$C$15, $E$9, 100%, $G$9) + CHOOSE(CONTROL!$C$38, 0.0256, 0)</f>
        <v>71.682299999999998</v>
      </c>
      <c r="C943" s="10">
        <f>66.1103 * CHOOSE(CONTROL!$C$15, $E$9, 100%, $G$9) + CHOOSE(CONTROL!$C$38, 0.0347, 0)</f>
        <v>66.144999999999996</v>
      </c>
      <c r="D943" s="10">
        <f>66.1025 * CHOOSE(CONTROL!$C$15, $E$9, 100%, $G$9) + CHOOSE(CONTROL!$C$38, 0.0347, 0)</f>
        <v>66.137200000000007</v>
      </c>
      <c r="E943" s="28">
        <f>71.5005 * CHOOSE(CONTROL!$C$15, $E$9, 100%, $G$9) + CHOOSE(CONTROL!$C$38, 0.0347, 0)</f>
        <v>71.535200000000003</v>
      </c>
      <c r="F943" s="27">
        <f>71.5005 * CHOOSE(CONTROL!$C$15, $E$9, 100%, $G$9) + CHOOSE(CONTROL!$C$38, 0.0256, 0)</f>
        <v>71.5261</v>
      </c>
      <c r="G943" s="10">
        <f>66.1088 * CHOOSE(CONTROL!$C$15, $E$9, 100%, $G$9) + CHOOSE(CONTROL!$C$38, 0.0347, 0)</f>
        <v>66.143500000000003</v>
      </c>
      <c r="H943" s="10">
        <f>66.1088 * CHOOSE(CONTROL!$C$15, $E$9, 100%, $G$9) + CHOOSE(CONTROL!$C$38, 0.0347, 0)</f>
        <v>66.143500000000003</v>
      </c>
      <c r="I943" s="10">
        <f>66.1103 * CHOOSE(CONTROL!$C$15, $E$9, 100%, $G$9) + CHOOSE(CONTROL!$C$38, 0.0347, 0)</f>
        <v>66.144999999999996</v>
      </c>
      <c r="J943" s="26">
        <f>483.2895</f>
        <v>483.28949999999998</v>
      </c>
    </row>
    <row r="944" spans="1:10" ht="15.75" x14ac:dyDescent="0.25">
      <c r="A944" s="13">
        <v>70036</v>
      </c>
      <c r="B944" s="10">
        <f>71.9335 * CHOOSE(CONTROL!$C$15, $E$9, 100%, $G$9) + CHOOSE(CONTROL!$C$38, 0.0256, 0)</f>
        <v>71.959099999999992</v>
      </c>
      <c r="C944" s="10">
        <f>66.3871 * CHOOSE(CONTROL!$C$15, $E$9, 100%, $G$9) + CHOOSE(CONTROL!$C$38, 0.0347, 0)</f>
        <v>66.421800000000005</v>
      </c>
      <c r="D944" s="10">
        <f>66.3793 * CHOOSE(CONTROL!$C$15, $E$9, 100%, $G$9) + CHOOSE(CONTROL!$C$38, 0.0347, 0)</f>
        <v>66.414000000000001</v>
      </c>
      <c r="E944" s="28">
        <f>71.7773 * CHOOSE(CONTROL!$C$15, $E$9, 100%, $G$9) + CHOOSE(CONTROL!$C$38, 0.0347, 0)</f>
        <v>71.811999999999998</v>
      </c>
      <c r="F944" s="27">
        <f>71.7773 * CHOOSE(CONTROL!$C$15, $E$9, 100%, $G$9) + CHOOSE(CONTROL!$C$38, 0.0256, 0)</f>
        <v>71.802899999999994</v>
      </c>
      <c r="G944" s="10">
        <f>66.3856 * CHOOSE(CONTROL!$C$15, $E$9, 100%, $G$9) + CHOOSE(CONTROL!$C$38, 0.0347, 0)</f>
        <v>66.420299999999997</v>
      </c>
      <c r="H944" s="10">
        <f>66.3856 * CHOOSE(CONTROL!$C$15, $E$9, 100%, $G$9) + CHOOSE(CONTROL!$C$38, 0.0347, 0)</f>
        <v>66.420299999999997</v>
      </c>
      <c r="I944" s="10">
        <f>66.3871 * CHOOSE(CONTROL!$C$15, $E$9, 100%, $G$9) + CHOOSE(CONTROL!$C$38, 0.0347, 0)</f>
        <v>66.421800000000005</v>
      </c>
      <c r="J944" s="26">
        <f>467.2257</f>
        <v>467.22570000000002</v>
      </c>
    </row>
    <row r="945" spans="1:10" ht="15.75" x14ac:dyDescent="0.25">
      <c r="A945" s="13">
        <v>70067</v>
      </c>
      <c r="B945" s="10">
        <f>72.1654 * CHOOSE(CONTROL!$C$15, $E$9, 100%, $G$9) + CHOOSE(CONTROL!$C$38, 0.0256, 0)</f>
        <v>72.191000000000003</v>
      </c>
      <c r="C945" s="10">
        <f>66.6189 * CHOOSE(CONTROL!$C$15, $E$9, 100%, $G$9) + CHOOSE(CONTROL!$C$38, 0.0347, 0)</f>
        <v>66.653599999999997</v>
      </c>
      <c r="D945" s="10">
        <f>66.6111 * CHOOSE(CONTROL!$C$15, $E$9, 100%, $G$9) + CHOOSE(CONTROL!$C$38, 0.0347, 0)</f>
        <v>66.645799999999994</v>
      </c>
      <c r="E945" s="28">
        <f>72.0091 * CHOOSE(CONTROL!$C$15, $E$9, 100%, $G$9) + CHOOSE(CONTROL!$C$38, 0.0347, 0)</f>
        <v>72.043800000000005</v>
      </c>
      <c r="F945" s="27">
        <f>72.0091 * CHOOSE(CONTROL!$C$15, $E$9, 100%, $G$9) + CHOOSE(CONTROL!$C$38, 0.0256, 0)</f>
        <v>72.034700000000001</v>
      </c>
      <c r="G945" s="10">
        <f>66.6174 * CHOOSE(CONTROL!$C$15, $E$9, 100%, $G$9) + CHOOSE(CONTROL!$C$38, 0.0347, 0)</f>
        <v>66.652100000000004</v>
      </c>
      <c r="H945" s="10">
        <f>66.6174 * CHOOSE(CONTROL!$C$15, $E$9, 100%, $G$9) + CHOOSE(CONTROL!$C$38, 0.0347, 0)</f>
        <v>66.652100000000004</v>
      </c>
      <c r="I945" s="10">
        <f>66.6189 * CHOOSE(CONTROL!$C$15, $E$9, 100%, $G$9) + CHOOSE(CONTROL!$C$38, 0.0347, 0)</f>
        <v>66.653599999999997</v>
      </c>
      <c r="J945" s="26">
        <f>451.0686</f>
        <v>451.0686</v>
      </c>
    </row>
    <row r="946" spans="1:10" ht="15.75" x14ac:dyDescent="0.25">
      <c r="A946" s="13">
        <v>70097</v>
      </c>
      <c r="B946" s="10">
        <f>72.3588 * CHOOSE(CONTROL!$C$15, $E$9, 100%, $G$9) + CHOOSE(CONTROL!$C$38, 0.0256, 0)</f>
        <v>72.384399999999999</v>
      </c>
      <c r="C946" s="10">
        <f>66.8124 * CHOOSE(CONTROL!$C$15, $E$9, 100%, $G$9) + CHOOSE(CONTROL!$C$38, 0.0347, 0)</f>
        <v>66.847099999999998</v>
      </c>
      <c r="D946" s="10">
        <f>66.8046 * CHOOSE(CONTROL!$C$15, $E$9, 100%, $G$9) + CHOOSE(CONTROL!$C$38, 0.0347, 0)</f>
        <v>66.839299999999994</v>
      </c>
      <c r="E946" s="28">
        <f>72.2025 * CHOOSE(CONTROL!$C$15, $E$9, 100%, $G$9) + CHOOSE(CONTROL!$C$38, 0.0347, 0)</f>
        <v>72.237200000000001</v>
      </c>
      <c r="F946" s="27">
        <f>72.2025 * CHOOSE(CONTROL!$C$15, $E$9, 100%, $G$9) + CHOOSE(CONTROL!$C$38, 0.0256, 0)</f>
        <v>72.228099999999998</v>
      </c>
      <c r="G946" s="10">
        <f>66.8108 * CHOOSE(CONTROL!$C$15, $E$9, 100%, $G$9) + CHOOSE(CONTROL!$C$38, 0.0347, 0)</f>
        <v>66.845500000000001</v>
      </c>
      <c r="H946" s="10">
        <f>66.8108 * CHOOSE(CONTROL!$C$15, $E$9, 100%, $G$9) + CHOOSE(CONTROL!$C$38, 0.0347, 0)</f>
        <v>66.845500000000001</v>
      </c>
      <c r="I946" s="10">
        <f>66.8124 * CHOOSE(CONTROL!$C$15, $E$9, 100%, $G$9) + CHOOSE(CONTROL!$C$38, 0.0347, 0)</f>
        <v>66.847099999999998</v>
      </c>
      <c r="J946" s="26">
        <f>447.8546</f>
        <v>447.8546</v>
      </c>
    </row>
    <row r="947" spans="1:10" ht="15.75" x14ac:dyDescent="0.25">
      <c r="A947" s="13">
        <v>70128</v>
      </c>
      <c r="B947" s="10">
        <f>72.9549 * CHOOSE(CONTROL!$C$15, $E$9, 100%, $G$9) + CHOOSE(CONTROL!$C$38, 0.0256, 0)</f>
        <v>72.980499999999992</v>
      </c>
      <c r="C947" s="10">
        <f>67.4085 * CHOOSE(CONTROL!$C$15, $E$9, 100%, $G$9) + CHOOSE(CONTROL!$C$38, 0.0347, 0)</f>
        <v>67.443200000000004</v>
      </c>
      <c r="D947" s="10">
        <f>67.4006 * CHOOSE(CONTROL!$C$15, $E$9, 100%, $G$9) + CHOOSE(CONTROL!$C$38, 0.0347, 0)</f>
        <v>67.435299999999998</v>
      </c>
      <c r="E947" s="28">
        <f>72.7986 * CHOOSE(CONTROL!$C$15, $E$9, 100%, $G$9) + CHOOSE(CONTROL!$C$38, 0.0347, 0)</f>
        <v>72.833299999999994</v>
      </c>
      <c r="F947" s="27">
        <f>72.7986 * CHOOSE(CONTROL!$C$15, $E$9, 100%, $G$9) + CHOOSE(CONTROL!$C$38, 0.0256, 0)</f>
        <v>72.82419999999999</v>
      </c>
      <c r="G947" s="10">
        <f>67.4069 * CHOOSE(CONTROL!$C$15, $E$9, 100%, $G$9) + CHOOSE(CONTROL!$C$38, 0.0347, 0)</f>
        <v>67.441599999999994</v>
      </c>
      <c r="H947" s="10">
        <f>67.4069 * CHOOSE(CONTROL!$C$15, $E$9, 100%, $G$9) + CHOOSE(CONTROL!$C$38, 0.0347, 0)</f>
        <v>67.441599999999994</v>
      </c>
      <c r="I947" s="10">
        <f>67.4085 * CHOOSE(CONTROL!$C$15, $E$9, 100%, $G$9) + CHOOSE(CONTROL!$C$38, 0.0347, 0)</f>
        <v>67.443200000000004</v>
      </c>
      <c r="J947" s="26">
        <f>434.5645</f>
        <v>434.56450000000001</v>
      </c>
    </row>
    <row r="948" spans="1:10" ht="15.75" x14ac:dyDescent="0.25">
      <c r="A948" s="13">
        <v>70159</v>
      </c>
      <c r="B948" s="10">
        <f>74.6938 * CHOOSE(CONTROL!$C$15, $E$9, 100%, $G$9) + CHOOSE(CONTROL!$C$38, 0.0256, 0)</f>
        <v>74.719399999999993</v>
      </c>
      <c r="C948" s="10">
        <f>69.0522 * CHOOSE(CONTROL!$C$15, $E$9, 100%, $G$9) + CHOOSE(CONTROL!$C$38, 0.0347, 0)</f>
        <v>69.0869</v>
      </c>
      <c r="D948" s="10">
        <f>69.0443 * CHOOSE(CONTROL!$C$15, $E$9, 100%, $G$9) + CHOOSE(CONTROL!$C$38, 0.0347, 0)</f>
        <v>69.079000000000008</v>
      </c>
      <c r="E948" s="28">
        <f>74.5376 * CHOOSE(CONTROL!$C$15, $E$9, 100%, $G$9) + CHOOSE(CONTROL!$C$38, 0.0347, 0)</f>
        <v>74.572299999999998</v>
      </c>
      <c r="F948" s="27">
        <f>74.5376 * CHOOSE(CONTROL!$C$15, $E$9, 100%, $G$9) + CHOOSE(CONTROL!$C$38, 0.0256, 0)</f>
        <v>74.563199999999995</v>
      </c>
      <c r="G948" s="10">
        <f>69.0506 * CHOOSE(CONTROL!$C$15, $E$9, 100%, $G$9) + CHOOSE(CONTROL!$C$38, 0.0347, 0)</f>
        <v>69.085300000000004</v>
      </c>
      <c r="H948" s="10">
        <f>69.0506 * CHOOSE(CONTROL!$C$15, $E$9, 100%, $G$9) + CHOOSE(CONTROL!$C$38, 0.0347, 0)</f>
        <v>69.085300000000004</v>
      </c>
      <c r="I948" s="10">
        <f>69.0522 * CHOOSE(CONTROL!$C$15, $E$9, 100%, $G$9) + CHOOSE(CONTROL!$C$38, 0.0347, 0)</f>
        <v>69.0869</v>
      </c>
      <c r="J948" s="26">
        <f>431.6536</f>
        <v>431.65359999999998</v>
      </c>
    </row>
    <row r="949" spans="1:10" ht="15.75" x14ac:dyDescent="0.25">
      <c r="A949" s="13">
        <v>70188</v>
      </c>
      <c r="B949" s="10">
        <f>74.9146 * CHOOSE(CONTROL!$C$15, $E$9, 100%, $G$9) + CHOOSE(CONTROL!$C$38, 0.0256, 0)</f>
        <v>74.94019999999999</v>
      </c>
      <c r="C949" s="10">
        <f>69.2729 * CHOOSE(CONTROL!$C$15, $E$9, 100%, $G$9) + CHOOSE(CONTROL!$C$38, 0.0347, 0)</f>
        <v>69.307600000000008</v>
      </c>
      <c r="D949" s="10">
        <f>69.2651 * CHOOSE(CONTROL!$C$15, $E$9, 100%, $G$9) + CHOOSE(CONTROL!$C$38, 0.0347, 0)</f>
        <v>69.299800000000005</v>
      </c>
      <c r="E949" s="28">
        <f>74.7583 * CHOOSE(CONTROL!$C$15, $E$9, 100%, $G$9) + CHOOSE(CONTROL!$C$38, 0.0347, 0)</f>
        <v>74.793000000000006</v>
      </c>
      <c r="F949" s="27">
        <f>74.7583 * CHOOSE(CONTROL!$C$15, $E$9, 100%, $G$9) + CHOOSE(CONTROL!$C$38, 0.0256, 0)</f>
        <v>74.783900000000003</v>
      </c>
      <c r="G949" s="10">
        <f>69.2714 * CHOOSE(CONTROL!$C$15, $E$9, 100%, $G$9) + CHOOSE(CONTROL!$C$38, 0.0347, 0)</f>
        <v>69.306100000000001</v>
      </c>
      <c r="H949" s="10">
        <f>69.2714 * CHOOSE(CONTROL!$C$15, $E$9, 100%, $G$9) + CHOOSE(CONTROL!$C$38, 0.0347, 0)</f>
        <v>69.306100000000001</v>
      </c>
      <c r="I949" s="10">
        <f>69.2729 * CHOOSE(CONTROL!$C$15, $E$9, 100%, $G$9) + CHOOSE(CONTROL!$C$38, 0.0347, 0)</f>
        <v>69.307600000000008</v>
      </c>
      <c r="J949" s="26">
        <f>430.4537</f>
        <v>430.45370000000003</v>
      </c>
    </row>
    <row r="950" spans="1:10" ht="15.75" x14ac:dyDescent="0.25">
      <c r="A950" s="13">
        <v>70219</v>
      </c>
      <c r="B950" s="10">
        <f>74.4035 * CHOOSE(CONTROL!$C$15, $E$9, 100%, $G$9) + CHOOSE(CONTROL!$C$38, 0.0256, 0)</f>
        <v>74.429099999999991</v>
      </c>
      <c r="C950" s="10">
        <f>68.7619 * CHOOSE(CONTROL!$C$15, $E$9, 100%, $G$9) + CHOOSE(CONTROL!$C$38, 0.0347, 0)</f>
        <v>68.796599999999998</v>
      </c>
      <c r="D950" s="10">
        <f>68.7541 * CHOOSE(CONTROL!$C$15, $E$9, 100%, $G$9) + CHOOSE(CONTROL!$C$38, 0.0347, 0)</f>
        <v>68.788799999999995</v>
      </c>
      <c r="E950" s="28">
        <f>74.2473 * CHOOSE(CONTROL!$C$15, $E$9, 100%, $G$9) + CHOOSE(CONTROL!$C$38, 0.0347, 0)</f>
        <v>74.281999999999996</v>
      </c>
      <c r="F950" s="27">
        <f>74.2473 * CHOOSE(CONTROL!$C$15, $E$9, 100%, $G$9) + CHOOSE(CONTROL!$C$38, 0.0256, 0)</f>
        <v>74.272899999999993</v>
      </c>
      <c r="G950" s="10">
        <f>68.7603 * CHOOSE(CONTROL!$C$15, $E$9, 100%, $G$9) + CHOOSE(CONTROL!$C$38, 0.0347, 0)</f>
        <v>68.795000000000002</v>
      </c>
      <c r="H950" s="10">
        <f>68.7603 * CHOOSE(CONTROL!$C$15, $E$9, 100%, $G$9) + CHOOSE(CONTROL!$C$38, 0.0347, 0)</f>
        <v>68.795000000000002</v>
      </c>
      <c r="I950" s="10">
        <f>68.7619 * CHOOSE(CONTROL!$C$15, $E$9, 100%, $G$9) + CHOOSE(CONTROL!$C$38, 0.0347, 0)</f>
        <v>68.796599999999998</v>
      </c>
      <c r="J950" s="26">
        <f>453.1411</f>
        <v>453.14109999999999</v>
      </c>
    </row>
    <row r="951" spans="1:10" ht="15.75" x14ac:dyDescent="0.25">
      <c r="A951" s="13">
        <v>70249</v>
      </c>
      <c r="B951" s="10">
        <f>73.9084 * CHOOSE(CONTROL!$C$15, $E$9, 100%, $G$9) + CHOOSE(CONTROL!$C$38, 0.0256, 0)</f>
        <v>73.933999999999997</v>
      </c>
      <c r="C951" s="10">
        <f>68.2667 * CHOOSE(CONTROL!$C$15, $E$9, 100%, $G$9) + CHOOSE(CONTROL!$C$38, 0.0347, 0)</f>
        <v>68.301400000000001</v>
      </c>
      <c r="D951" s="10">
        <f>68.2589 * CHOOSE(CONTROL!$C$15, $E$9, 100%, $G$9) + CHOOSE(CONTROL!$C$38, 0.0347, 0)</f>
        <v>68.293599999999998</v>
      </c>
      <c r="E951" s="28">
        <f>73.7521 * CHOOSE(CONTROL!$C$15, $E$9, 100%, $G$9) + CHOOSE(CONTROL!$C$38, 0.0347, 0)</f>
        <v>73.786799999999999</v>
      </c>
      <c r="F951" s="27">
        <f>73.7521 * CHOOSE(CONTROL!$C$15, $E$9, 100%, $G$9) + CHOOSE(CONTROL!$C$38, 0.0256, 0)</f>
        <v>73.777699999999996</v>
      </c>
      <c r="G951" s="10">
        <f>68.2651 * CHOOSE(CONTROL!$C$15, $E$9, 100%, $G$9) + CHOOSE(CONTROL!$C$38, 0.0347, 0)</f>
        <v>68.299800000000005</v>
      </c>
      <c r="H951" s="10">
        <f>68.2651 * CHOOSE(CONTROL!$C$15, $E$9, 100%, $G$9) + CHOOSE(CONTROL!$C$38, 0.0347, 0)</f>
        <v>68.299800000000005</v>
      </c>
      <c r="I951" s="10">
        <f>68.2667 * CHOOSE(CONTROL!$C$15, $E$9, 100%, $G$9) + CHOOSE(CONTROL!$C$38, 0.0347, 0)</f>
        <v>68.301400000000001</v>
      </c>
      <c r="J951" s="26">
        <f>482.5613</f>
        <v>482.56130000000002</v>
      </c>
    </row>
    <row r="952" spans="1:10" ht="15.75" x14ac:dyDescent="0.25">
      <c r="A952" s="13">
        <v>70280</v>
      </c>
      <c r="B952" s="10">
        <f>73.3922 * CHOOSE(CONTROL!$C$15, $E$9, 100%, $G$9) + CHOOSE(CONTROL!$C$38, 0.0256, 0)</f>
        <v>73.4178</v>
      </c>
      <c r="C952" s="10">
        <f>67.7506 * CHOOSE(CONTROL!$C$15, $E$9, 100%, $G$9) + CHOOSE(CONTROL!$C$38, 0.0347, 0)</f>
        <v>67.785300000000007</v>
      </c>
      <c r="D952" s="10">
        <f>67.7428 * CHOOSE(CONTROL!$C$15, $E$9, 100%, $G$9) + CHOOSE(CONTROL!$C$38, 0.0347, 0)</f>
        <v>67.777500000000003</v>
      </c>
      <c r="E952" s="28">
        <f>73.236 * CHOOSE(CONTROL!$C$15, $E$9, 100%, $G$9) + CHOOSE(CONTROL!$C$38, 0.0347, 0)</f>
        <v>73.270700000000005</v>
      </c>
      <c r="F952" s="27">
        <f>73.236 * CHOOSE(CONTROL!$C$15, $E$9, 100%, $G$9) + CHOOSE(CONTROL!$C$38, 0.0256, 0)</f>
        <v>73.261600000000001</v>
      </c>
      <c r="G952" s="10">
        <f>67.749 * CHOOSE(CONTROL!$C$15, $E$9, 100%, $G$9) + CHOOSE(CONTROL!$C$38, 0.0347, 0)</f>
        <v>67.783699999999996</v>
      </c>
      <c r="H952" s="10">
        <f>67.749 * CHOOSE(CONTROL!$C$15, $E$9, 100%, $G$9) + CHOOSE(CONTROL!$C$38, 0.0347, 0)</f>
        <v>67.783699999999996</v>
      </c>
      <c r="I952" s="10">
        <f>67.7506 * CHOOSE(CONTROL!$C$15, $E$9, 100%, $G$9) + CHOOSE(CONTROL!$C$38, 0.0347, 0)</f>
        <v>67.785300000000007</v>
      </c>
      <c r="J952" s="26">
        <f>498.7551</f>
        <v>498.75510000000003</v>
      </c>
    </row>
    <row r="953" spans="1:10" ht="15.75" x14ac:dyDescent="0.25">
      <c r="A953" s="13">
        <v>70310</v>
      </c>
      <c r="B953" s="10">
        <f>73.0304 * CHOOSE(CONTROL!$C$15, $E$9, 100%, $G$9) + CHOOSE(CONTROL!$C$38, 0.0256, 0)</f>
        <v>73.055999999999997</v>
      </c>
      <c r="C953" s="10">
        <f>67.3888 * CHOOSE(CONTROL!$C$15, $E$9, 100%, $G$9) + CHOOSE(CONTROL!$C$38, 0.0347, 0)</f>
        <v>67.423500000000004</v>
      </c>
      <c r="D953" s="10">
        <f>67.3809 * CHOOSE(CONTROL!$C$15, $E$9, 100%, $G$9) + CHOOSE(CONTROL!$C$38, 0.0347, 0)</f>
        <v>67.415599999999998</v>
      </c>
      <c r="E953" s="28">
        <f>72.8742 * CHOOSE(CONTROL!$C$15, $E$9, 100%, $G$9) + CHOOSE(CONTROL!$C$38, 0.0347, 0)</f>
        <v>72.908900000000003</v>
      </c>
      <c r="F953" s="27">
        <f>72.8742 * CHOOSE(CONTROL!$C$15, $E$9, 100%, $G$9) + CHOOSE(CONTROL!$C$38, 0.0256, 0)</f>
        <v>72.899799999999999</v>
      </c>
      <c r="G953" s="10">
        <f>67.3872 * CHOOSE(CONTROL!$C$15, $E$9, 100%, $G$9) + CHOOSE(CONTROL!$C$38, 0.0347, 0)</f>
        <v>67.421900000000008</v>
      </c>
      <c r="H953" s="10">
        <f>67.3872 * CHOOSE(CONTROL!$C$15, $E$9, 100%, $G$9) + CHOOSE(CONTROL!$C$38, 0.0347, 0)</f>
        <v>67.421900000000008</v>
      </c>
      <c r="I953" s="10">
        <f>67.3888 * CHOOSE(CONTROL!$C$15, $E$9, 100%, $G$9) + CHOOSE(CONTROL!$C$38, 0.0347, 0)</f>
        <v>67.423500000000004</v>
      </c>
      <c r="J953" s="26">
        <f>505.9416</f>
        <v>505.94159999999999</v>
      </c>
    </row>
    <row r="954" spans="1:10" ht="15.75" x14ac:dyDescent="0.25">
      <c r="A954" s="13">
        <v>70341</v>
      </c>
      <c r="B954" s="10">
        <f>72.8239 * CHOOSE(CONTROL!$C$15, $E$9, 100%, $G$9) + CHOOSE(CONTROL!$C$38, 0.0256, 0)</f>
        <v>72.849499999999992</v>
      </c>
      <c r="C954" s="10">
        <f>67.1823 * CHOOSE(CONTROL!$C$15, $E$9, 100%, $G$9) + CHOOSE(CONTROL!$C$38, 0.0347, 0)</f>
        <v>67.216999999999999</v>
      </c>
      <c r="D954" s="10">
        <f>67.1745 * CHOOSE(CONTROL!$C$15, $E$9, 100%, $G$9) + CHOOSE(CONTROL!$C$38, 0.0347, 0)</f>
        <v>67.209199999999996</v>
      </c>
      <c r="E954" s="28">
        <f>72.6677 * CHOOSE(CONTROL!$C$15, $E$9, 100%, $G$9) + CHOOSE(CONTROL!$C$38, 0.0347, 0)</f>
        <v>72.702399999999997</v>
      </c>
      <c r="F954" s="27">
        <f>72.6677 * CHOOSE(CONTROL!$C$15, $E$9, 100%, $G$9) + CHOOSE(CONTROL!$C$38, 0.0256, 0)</f>
        <v>72.693299999999994</v>
      </c>
      <c r="G954" s="10">
        <f>67.1807 * CHOOSE(CONTROL!$C$15, $E$9, 100%, $G$9) + CHOOSE(CONTROL!$C$38, 0.0347, 0)</f>
        <v>67.215400000000002</v>
      </c>
      <c r="H954" s="10">
        <f>67.1807 * CHOOSE(CONTROL!$C$15, $E$9, 100%, $G$9) + CHOOSE(CONTROL!$C$38, 0.0347, 0)</f>
        <v>67.215400000000002</v>
      </c>
      <c r="I954" s="10">
        <f>67.1823 * CHOOSE(CONTROL!$C$15, $E$9, 100%, $G$9) + CHOOSE(CONTROL!$C$38, 0.0347, 0)</f>
        <v>67.216999999999999</v>
      </c>
      <c r="J954" s="26">
        <f>503.5755</f>
        <v>503.57549999999998</v>
      </c>
    </row>
    <row r="955" spans="1:10" ht="15.75" x14ac:dyDescent="0.25">
      <c r="A955" s="13">
        <v>70372</v>
      </c>
      <c r="B955" s="10">
        <f>72.9258 * CHOOSE(CONTROL!$C$15, $E$9, 100%, $G$9) + CHOOSE(CONTROL!$C$38, 0.0256, 0)</f>
        <v>72.951399999999992</v>
      </c>
      <c r="C955" s="10">
        <f>67.2842 * CHOOSE(CONTROL!$C$15, $E$9, 100%, $G$9) + CHOOSE(CONTROL!$C$38, 0.0347, 0)</f>
        <v>67.318899999999999</v>
      </c>
      <c r="D955" s="10">
        <f>67.2764 * CHOOSE(CONTROL!$C$15, $E$9, 100%, $G$9) + CHOOSE(CONTROL!$C$38, 0.0347, 0)</f>
        <v>67.311099999999996</v>
      </c>
      <c r="E955" s="28">
        <f>72.7696 * CHOOSE(CONTROL!$C$15, $E$9, 100%, $G$9) + CHOOSE(CONTROL!$C$38, 0.0347, 0)</f>
        <v>72.804299999999998</v>
      </c>
      <c r="F955" s="27">
        <f>72.7696 * CHOOSE(CONTROL!$C$15, $E$9, 100%, $G$9) + CHOOSE(CONTROL!$C$38, 0.0256, 0)</f>
        <v>72.795199999999994</v>
      </c>
      <c r="G955" s="10">
        <f>67.2826 * CHOOSE(CONTROL!$C$15, $E$9, 100%, $G$9) + CHOOSE(CONTROL!$C$38, 0.0347, 0)</f>
        <v>67.317300000000003</v>
      </c>
      <c r="H955" s="10">
        <f>67.2826 * CHOOSE(CONTROL!$C$15, $E$9, 100%, $G$9) + CHOOSE(CONTROL!$C$38, 0.0347, 0)</f>
        <v>67.317300000000003</v>
      </c>
      <c r="I955" s="10">
        <f>67.2842 * CHOOSE(CONTROL!$C$15, $E$9, 100%, $G$9) + CHOOSE(CONTROL!$C$38, 0.0347, 0)</f>
        <v>67.318899999999999</v>
      </c>
      <c r="J955" s="26">
        <f>491.8524</f>
        <v>491.85239999999999</v>
      </c>
    </row>
    <row r="956" spans="1:10" ht="15.75" x14ac:dyDescent="0.25">
      <c r="A956" s="13">
        <v>70402</v>
      </c>
      <c r="B956" s="10">
        <f>73.2026 * CHOOSE(CONTROL!$C$15, $E$9, 100%, $G$9) + CHOOSE(CONTROL!$C$38, 0.0256, 0)</f>
        <v>73.228200000000001</v>
      </c>
      <c r="C956" s="10">
        <f>67.561 * CHOOSE(CONTROL!$C$15, $E$9, 100%, $G$9) + CHOOSE(CONTROL!$C$38, 0.0347, 0)</f>
        <v>67.595700000000008</v>
      </c>
      <c r="D956" s="10">
        <f>67.5532 * CHOOSE(CONTROL!$C$15, $E$9, 100%, $G$9) + CHOOSE(CONTROL!$C$38, 0.0347, 0)</f>
        <v>67.587900000000005</v>
      </c>
      <c r="E956" s="28">
        <f>73.0464 * CHOOSE(CONTROL!$C$15, $E$9, 100%, $G$9) + CHOOSE(CONTROL!$C$38, 0.0347, 0)</f>
        <v>73.081100000000006</v>
      </c>
      <c r="F956" s="27">
        <f>73.0464 * CHOOSE(CONTROL!$C$15, $E$9, 100%, $G$9) + CHOOSE(CONTROL!$C$38, 0.0256, 0)</f>
        <v>73.072000000000003</v>
      </c>
      <c r="G956" s="10">
        <f>67.5594 * CHOOSE(CONTROL!$C$15, $E$9, 100%, $G$9) + CHOOSE(CONTROL!$C$38, 0.0347, 0)</f>
        <v>67.594099999999997</v>
      </c>
      <c r="H956" s="10">
        <f>67.5594 * CHOOSE(CONTROL!$C$15, $E$9, 100%, $G$9) + CHOOSE(CONTROL!$C$38, 0.0347, 0)</f>
        <v>67.594099999999997</v>
      </c>
      <c r="I956" s="10">
        <f>67.561 * CHOOSE(CONTROL!$C$15, $E$9, 100%, $G$9) + CHOOSE(CONTROL!$C$38, 0.0347, 0)</f>
        <v>67.595700000000008</v>
      </c>
      <c r="J956" s="26">
        <f>475.5041</f>
        <v>475.50409999999999</v>
      </c>
    </row>
    <row r="957" spans="1:10" ht="15.75" x14ac:dyDescent="0.25">
      <c r="A957" s="13">
        <v>70433</v>
      </c>
      <c r="B957" s="10">
        <f>73.4344 * CHOOSE(CONTROL!$C$15, $E$9, 100%, $G$9) + CHOOSE(CONTROL!$C$38, 0.0256, 0)</f>
        <v>73.459999999999994</v>
      </c>
      <c r="C957" s="10">
        <f>67.7928 * CHOOSE(CONTROL!$C$15, $E$9, 100%, $G$9) + CHOOSE(CONTROL!$C$38, 0.0347, 0)</f>
        <v>67.827500000000001</v>
      </c>
      <c r="D957" s="10">
        <f>67.785 * CHOOSE(CONTROL!$C$15, $E$9, 100%, $G$9) + CHOOSE(CONTROL!$C$38, 0.0347, 0)</f>
        <v>67.819699999999997</v>
      </c>
      <c r="E957" s="28">
        <f>73.2782 * CHOOSE(CONTROL!$C$15, $E$9, 100%, $G$9) + CHOOSE(CONTROL!$C$38, 0.0347, 0)</f>
        <v>73.312899999999999</v>
      </c>
      <c r="F957" s="27">
        <f>73.2782 * CHOOSE(CONTROL!$C$15, $E$9, 100%, $G$9) + CHOOSE(CONTROL!$C$38, 0.0256, 0)</f>
        <v>73.303799999999995</v>
      </c>
      <c r="G957" s="10">
        <f>67.7912 * CHOOSE(CONTROL!$C$15, $E$9, 100%, $G$9) + CHOOSE(CONTROL!$C$38, 0.0347, 0)</f>
        <v>67.825900000000004</v>
      </c>
      <c r="H957" s="10">
        <f>67.7912 * CHOOSE(CONTROL!$C$15, $E$9, 100%, $G$9) + CHOOSE(CONTROL!$C$38, 0.0347, 0)</f>
        <v>67.825900000000004</v>
      </c>
      <c r="I957" s="10">
        <f>67.7928 * CHOOSE(CONTROL!$C$15, $E$9, 100%, $G$9) + CHOOSE(CONTROL!$C$38, 0.0347, 0)</f>
        <v>67.827500000000001</v>
      </c>
      <c r="J957" s="26">
        <f>459.0607</f>
        <v>459.0607</v>
      </c>
    </row>
    <row r="958" spans="1:10" ht="15.75" x14ac:dyDescent="0.25">
      <c r="A958" s="13">
        <v>70463</v>
      </c>
      <c r="B958" s="10">
        <f>73.6279 * CHOOSE(CONTROL!$C$15, $E$9, 100%, $G$9) + CHOOSE(CONTROL!$C$38, 0.0256, 0)</f>
        <v>73.653499999999994</v>
      </c>
      <c r="C958" s="10">
        <f>67.9862 * CHOOSE(CONTROL!$C$15, $E$9, 100%, $G$9) + CHOOSE(CONTROL!$C$38, 0.0347, 0)</f>
        <v>68.020899999999997</v>
      </c>
      <c r="D958" s="10">
        <f>67.9784 * CHOOSE(CONTROL!$C$15, $E$9, 100%, $G$9) + CHOOSE(CONTROL!$C$38, 0.0347, 0)</f>
        <v>68.013099999999994</v>
      </c>
      <c r="E958" s="28">
        <f>73.4716 * CHOOSE(CONTROL!$C$15, $E$9, 100%, $G$9) + CHOOSE(CONTROL!$C$38, 0.0347, 0)</f>
        <v>73.506299999999996</v>
      </c>
      <c r="F958" s="27">
        <f>73.4716 * CHOOSE(CONTROL!$C$15, $E$9, 100%, $G$9) + CHOOSE(CONTROL!$C$38, 0.0256, 0)</f>
        <v>73.497199999999992</v>
      </c>
      <c r="G958" s="10">
        <f>67.9847 * CHOOSE(CONTROL!$C$15, $E$9, 100%, $G$9) + CHOOSE(CONTROL!$C$38, 0.0347, 0)</f>
        <v>68.019400000000005</v>
      </c>
      <c r="H958" s="10">
        <f>67.9847 * CHOOSE(CONTROL!$C$15, $E$9, 100%, $G$9) + CHOOSE(CONTROL!$C$38, 0.0347, 0)</f>
        <v>68.019400000000005</v>
      </c>
      <c r="I958" s="10">
        <f>67.9862 * CHOOSE(CONTROL!$C$15, $E$9, 100%, $G$9) + CHOOSE(CONTROL!$C$38, 0.0347, 0)</f>
        <v>68.020899999999997</v>
      </c>
      <c r="J958" s="26">
        <f>455.7898</f>
        <v>455.78980000000001</v>
      </c>
    </row>
    <row r="959" spans="1:10" ht="15.75" x14ac:dyDescent="0.25">
      <c r="A959" s="13">
        <v>70494</v>
      </c>
      <c r="B959" s="10">
        <f>74.224 * CHOOSE(CONTROL!$C$15, $E$9, 100%, $G$9) + CHOOSE(CONTROL!$C$38, 0.0256, 0)</f>
        <v>74.249600000000001</v>
      </c>
      <c r="C959" s="10">
        <f>68.5823 * CHOOSE(CONTROL!$C$15, $E$9, 100%, $G$9) + CHOOSE(CONTROL!$C$38, 0.0347, 0)</f>
        <v>68.617000000000004</v>
      </c>
      <c r="D959" s="10">
        <f>68.5745 * CHOOSE(CONTROL!$C$15, $E$9, 100%, $G$9) + CHOOSE(CONTROL!$C$38, 0.0347, 0)</f>
        <v>68.609200000000001</v>
      </c>
      <c r="E959" s="28">
        <f>74.0677 * CHOOSE(CONTROL!$C$15, $E$9, 100%, $G$9) + CHOOSE(CONTROL!$C$38, 0.0347, 0)</f>
        <v>74.102400000000003</v>
      </c>
      <c r="F959" s="27">
        <f>74.0677 * CHOOSE(CONTROL!$C$15, $E$9, 100%, $G$9) + CHOOSE(CONTROL!$C$38, 0.0256, 0)</f>
        <v>74.093299999999999</v>
      </c>
      <c r="G959" s="10">
        <f>68.5807 * CHOOSE(CONTROL!$C$15, $E$9, 100%, $G$9) + CHOOSE(CONTROL!$C$38, 0.0347, 0)</f>
        <v>68.615399999999994</v>
      </c>
      <c r="H959" s="10">
        <f>68.5807 * CHOOSE(CONTROL!$C$15, $E$9, 100%, $G$9) + CHOOSE(CONTROL!$C$38, 0.0347, 0)</f>
        <v>68.615399999999994</v>
      </c>
      <c r="I959" s="10">
        <f>68.5823 * CHOOSE(CONTROL!$C$15, $E$9, 100%, $G$9) + CHOOSE(CONTROL!$C$38, 0.0347, 0)</f>
        <v>68.617000000000004</v>
      </c>
      <c r="J959" s="26">
        <f>442.2642</f>
        <v>442.26420000000002</v>
      </c>
    </row>
    <row r="960" spans="1:10" ht="15.75" x14ac:dyDescent="0.25">
      <c r="A960" s="13">
        <v>70525</v>
      </c>
      <c r="B960" s="10">
        <f>75.9853 * CHOOSE(CONTROL!$C$15, $E$9, 100%, $G$9) + CHOOSE(CONTROL!$C$38, 0.0256, 0)</f>
        <v>76.010899999999992</v>
      </c>
      <c r="C960" s="10">
        <f>70.2468 * CHOOSE(CONTROL!$C$15, $E$9, 100%, $G$9) + CHOOSE(CONTROL!$C$38, 0.0347, 0)</f>
        <v>70.281499999999994</v>
      </c>
      <c r="D960" s="10">
        <f>70.2389 * CHOOSE(CONTROL!$C$15, $E$9, 100%, $G$9) + CHOOSE(CONTROL!$C$38, 0.0347, 0)</f>
        <v>70.273600000000002</v>
      </c>
      <c r="E960" s="28">
        <f>75.8291 * CHOOSE(CONTROL!$C$15, $E$9, 100%, $G$9) + CHOOSE(CONTROL!$C$38, 0.0347, 0)</f>
        <v>75.863799999999998</v>
      </c>
      <c r="F960" s="27">
        <f>75.8291 * CHOOSE(CONTROL!$C$15, $E$9, 100%, $G$9) + CHOOSE(CONTROL!$C$38, 0.0256, 0)</f>
        <v>75.854699999999994</v>
      </c>
      <c r="G960" s="10">
        <f>70.2452 * CHOOSE(CONTROL!$C$15, $E$9, 100%, $G$9) + CHOOSE(CONTROL!$C$38, 0.0347, 0)</f>
        <v>70.279899999999998</v>
      </c>
      <c r="H960" s="10">
        <f>70.2452 * CHOOSE(CONTROL!$C$15, $E$9, 100%, $G$9) + CHOOSE(CONTROL!$C$38, 0.0347, 0)</f>
        <v>70.279899999999998</v>
      </c>
      <c r="I960" s="10">
        <f>70.2468 * CHOOSE(CONTROL!$C$15, $E$9, 100%, $G$9) + CHOOSE(CONTROL!$C$38, 0.0347, 0)</f>
        <v>70.281499999999994</v>
      </c>
      <c r="J960" s="26">
        <f>439.3017</f>
        <v>439.30169999999998</v>
      </c>
    </row>
    <row r="961" spans="1:10" ht="15.75" x14ac:dyDescent="0.25">
      <c r="A961" s="13">
        <v>70553</v>
      </c>
      <c r="B961" s="10">
        <f>76.2061 * CHOOSE(CONTROL!$C$15, $E$9, 100%, $G$9) + CHOOSE(CONTROL!$C$38, 0.0256, 0)</f>
        <v>76.231700000000004</v>
      </c>
      <c r="C961" s="10">
        <f>70.4675 * CHOOSE(CONTROL!$C$15, $E$9, 100%, $G$9) + CHOOSE(CONTROL!$C$38, 0.0347, 0)</f>
        <v>70.502200000000002</v>
      </c>
      <c r="D961" s="10">
        <f>70.4597 * CHOOSE(CONTROL!$C$15, $E$9, 100%, $G$9) + CHOOSE(CONTROL!$C$38, 0.0347, 0)</f>
        <v>70.494399999999999</v>
      </c>
      <c r="E961" s="28">
        <f>76.0498 * CHOOSE(CONTROL!$C$15, $E$9, 100%, $G$9) + CHOOSE(CONTROL!$C$38, 0.0347, 0)</f>
        <v>76.084500000000006</v>
      </c>
      <c r="F961" s="27">
        <f>76.0498 * CHOOSE(CONTROL!$C$15, $E$9, 100%, $G$9) + CHOOSE(CONTROL!$C$38, 0.0256, 0)</f>
        <v>76.075400000000002</v>
      </c>
      <c r="G961" s="10">
        <f>70.466 * CHOOSE(CONTROL!$C$15, $E$9, 100%, $G$9) + CHOOSE(CONTROL!$C$38, 0.0347, 0)</f>
        <v>70.500699999999995</v>
      </c>
      <c r="H961" s="10">
        <f>70.466 * CHOOSE(CONTROL!$C$15, $E$9, 100%, $G$9) + CHOOSE(CONTROL!$C$38, 0.0347, 0)</f>
        <v>70.500699999999995</v>
      </c>
      <c r="I961" s="10">
        <f>70.4675 * CHOOSE(CONTROL!$C$15, $E$9, 100%, $G$9) + CHOOSE(CONTROL!$C$38, 0.0347, 0)</f>
        <v>70.502200000000002</v>
      </c>
      <c r="J961" s="26">
        <f>438.0806</f>
        <v>438.0806</v>
      </c>
    </row>
    <row r="962" spans="1:10" ht="15.75" x14ac:dyDescent="0.25">
      <c r="A962" s="13">
        <v>70584</v>
      </c>
      <c r="B962" s="10">
        <f>75.695 * CHOOSE(CONTROL!$C$15, $E$9, 100%, $G$9) + CHOOSE(CONTROL!$C$38, 0.0256, 0)</f>
        <v>75.72059999999999</v>
      </c>
      <c r="C962" s="10">
        <f>69.9565 * CHOOSE(CONTROL!$C$15, $E$9, 100%, $G$9) + CHOOSE(CONTROL!$C$38, 0.0347, 0)</f>
        <v>69.991200000000006</v>
      </c>
      <c r="D962" s="10">
        <f>69.9487 * CHOOSE(CONTROL!$C$15, $E$9, 100%, $G$9) + CHOOSE(CONTROL!$C$38, 0.0347, 0)</f>
        <v>69.983400000000003</v>
      </c>
      <c r="E962" s="28">
        <f>75.5388 * CHOOSE(CONTROL!$C$15, $E$9, 100%, $G$9) + CHOOSE(CONTROL!$C$38, 0.0347, 0)</f>
        <v>75.573499999999996</v>
      </c>
      <c r="F962" s="27">
        <f>75.5388 * CHOOSE(CONTROL!$C$15, $E$9, 100%, $G$9) + CHOOSE(CONTROL!$C$38, 0.0256, 0)</f>
        <v>75.564399999999992</v>
      </c>
      <c r="G962" s="10">
        <f>69.9549 * CHOOSE(CONTROL!$C$15, $E$9, 100%, $G$9) + CHOOSE(CONTROL!$C$38, 0.0347, 0)</f>
        <v>69.989599999999996</v>
      </c>
      <c r="H962" s="10">
        <f>69.9549 * CHOOSE(CONTROL!$C$15, $E$9, 100%, $G$9) + CHOOSE(CONTROL!$C$38, 0.0347, 0)</f>
        <v>69.989599999999996</v>
      </c>
      <c r="I962" s="10">
        <f>69.9565 * CHOOSE(CONTROL!$C$15, $E$9, 100%, $G$9) + CHOOSE(CONTROL!$C$38, 0.0347, 0)</f>
        <v>69.991200000000006</v>
      </c>
      <c r="J962" s="26">
        <f>461.1699</f>
        <v>461.16989999999998</v>
      </c>
    </row>
    <row r="963" spans="1:10" ht="15.75" x14ac:dyDescent="0.25">
      <c r="A963" s="13">
        <v>70614</v>
      </c>
      <c r="B963" s="10">
        <f>75.1999 * CHOOSE(CONTROL!$C$15, $E$9, 100%, $G$9) + CHOOSE(CONTROL!$C$38, 0.0256, 0)</f>
        <v>75.225499999999997</v>
      </c>
      <c r="C963" s="10">
        <f>69.4613 * CHOOSE(CONTROL!$C$15, $E$9, 100%, $G$9) + CHOOSE(CONTROL!$C$38, 0.0347, 0)</f>
        <v>69.495999999999995</v>
      </c>
      <c r="D963" s="10">
        <f>69.4535 * CHOOSE(CONTROL!$C$15, $E$9, 100%, $G$9) + CHOOSE(CONTROL!$C$38, 0.0347, 0)</f>
        <v>69.488200000000006</v>
      </c>
      <c r="E963" s="28">
        <f>75.0436 * CHOOSE(CONTROL!$C$15, $E$9, 100%, $G$9) + CHOOSE(CONTROL!$C$38, 0.0347, 0)</f>
        <v>75.078299999999999</v>
      </c>
      <c r="F963" s="27">
        <f>75.0436 * CHOOSE(CONTROL!$C$15, $E$9, 100%, $G$9) + CHOOSE(CONTROL!$C$38, 0.0256, 0)</f>
        <v>75.069199999999995</v>
      </c>
      <c r="G963" s="10">
        <f>69.4597 * CHOOSE(CONTROL!$C$15, $E$9, 100%, $G$9) + CHOOSE(CONTROL!$C$38, 0.0347, 0)</f>
        <v>69.494399999999999</v>
      </c>
      <c r="H963" s="10">
        <f>69.4597 * CHOOSE(CONTROL!$C$15, $E$9, 100%, $G$9) + CHOOSE(CONTROL!$C$38, 0.0347, 0)</f>
        <v>69.494399999999999</v>
      </c>
      <c r="I963" s="10">
        <f>69.4613 * CHOOSE(CONTROL!$C$15, $E$9, 100%, $G$9) + CHOOSE(CONTROL!$C$38, 0.0347, 0)</f>
        <v>69.495999999999995</v>
      </c>
      <c r="J963" s="26">
        <f>491.1113</f>
        <v>491.11130000000003</v>
      </c>
    </row>
    <row r="964" spans="1:10" ht="15.75" x14ac:dyDescent="0.25">
      <c r="A964" s="13">
        <v>70645</v>
      </c>
      <c r="B964" s="10">
        <f>74.6838 * CHOOSE(CONTROL!$C$15, $E$9, 100%, $G$9) + CHOOSE(CONTROL!$C$38, 0.0256, 0)</f>
        <v>74.709400000000002</v>
      </c>
      <c r="C964" s="10">
        <f>68.9452 * CHOOSE(CONTROL!$C$15, $E$9, 100%, $G$9) + CHOOSE(CONTROL!$C$38, 0.0347, 0)</f>
        <v>68.979900000000001</v>
      </c>
      <c r="D964" s="10">
        <f>68.9374 * CHOOSE(CONTROL!$C$15, $E$9, 100%, $G$9) + CHOOSE(CONTROL!$C$38, 0.0347, 0)</f>
        <v>68.972099999999998</v>
      </c>
      <c r="E964" s="28">
        <f>74.5275 * CHOOSE(CONTROL!$C$15, $E$9, 100%, $G$9) + CHOOSE(CONTROL!$C$38, 0.0347, 0)</f>
        <v>74.562200000000004</v>
      </c>
      <c r="F964" s="27">
        <f>74.5275 * CHOOSE(CONTROL!$C$15, $E$9, 100%, $G$9) + CHOOSE(CONTROL!$C$38, 0.0256, 0)</f>
        <v>74.553100000000001</v>
      </c>
      <c r="G964" s="10">
        <f>68.9436 * CHOOSE(CONTROL!$C$15, $E$9, 100%, $G$9) + CHOOSE(CONTROL!$C$38, 0.0347, 0)</f>
        <v>68.978300000000004</v>
      </c>
      <c r="H964" s="10">
        <f>68.9436 * CHOOSE(CONTROL!$C$15, $E$9, 100%, $G$9) + CHOOSE(CONTROL!$C$38, 0.0347, 0)</f>
        <v>68.978300000000004</v>
      </c>
      <c r="I964" s="10">
        <f>68.9452 * CHOOSE(CONTROL!$C$15, $E$9, 100%, $G$9) + CHOOSE(CONTROL!$C$38, 0.0347, 0)</f>
        <v>68.979900000000001</v>
      </c>
      <c r="J964" s="26">
        <f>507.5921</f>
        <v>507.59210000000002</v>
      </c>
    </row>
    <row r="965" spans="1:10" ht="15.75" x14ac:dyDescent="0.25">
      <c r="A965" s="13">
        <v>70675</v>
      </c>
      <c r="B965" s="10">
        <f>74.3219 * CHOOSE(CONTROL!$C$15, $E$9, 100%, $G$9) + CHOOSE(CONTROL!$C$38, 0.0256, 0)</f>
        <v>74.347499999999997</v>
      </c>
      <c r="C965" s="10">
        <f>68.5834 * CHOOSE(CONTROL!$C$15, $E$9, 100%, $G$9) + CHOOSE(CONTROL!$C$38, 0.0347, 0)</f>
        <v>68.618099999999998</v>
      </c>
      <c r="D965" s="10">
        <f>68.5755 * CHOOSE(CONTROL!$C$15, $E$9, 100%, $G$9) + CHOOSE(CONTROL!$C$38, 0.0347, 0)</f>
        <v>68.610200000000006</v>
      </c>
      <c r="E965" s="28">
        <f>74.1657 * CHOOSE(CONTROL!$C$15, $E$9, 100%, $G$9) + CHOOSE(CONTROL!$C$38, 0.0347, 0)</f>
        <v>74.200400000000002</v>
      </c>
      <c r="F965" s="27">
        <f>74.1657 * CHOOSE(CONTROL!$C$15, $E$9, 100%, $G$9) + CHOOSE(CONTROL!$C$38, 0.0256, 0)</f>
        <v>74.191299999999998</v>
      </c>
      <c r="G965" s="10">
        <f>68.5818 * CHOOSE(CONTROL!$C$15, $E$9, 100%, $G$9) + CHOOSE(CONTROL!$C$38, 0.0347, 0)</f>
        <v>68.616500000000002</v>
      </c>
      <c r="H965" s="10">
        <f>68.5818 * CHOOSE(CONTROL!$C$15, $E$9, 100%, $G$9) + CHOOSE(CONTROL!$C$38, 0.0347, 0)</f>
        <v>68.616500000000002</v>
      </c>
      <c r="I965" s="10">
        <f>68.5834 * CHOOSE(CONTROL!$C$15, $E$9, 100%, $G$9) + CHOOSE(CONTROL!$C$38, 0.0347, 0)</f>
        <v>68.618099999999998</v>
      </c>
      <c r="J965" s="26">
        <f>514.9059</f>
        <v>514.90589999999997</v>
      </c>
    </row>
    <row r="966" spans="1:10" ht="15.75" x14ac:dyDescent="0.25">
      <c r="A966" s="13">
        <v>70706</v>
      </c>
      <c r="B966" s="10">
        <f>74.1154 * CHOOSE(CONTROL!$C$15, $E$9, 100%, $G$9) + CHOOSE(CONTROL!$C$38, 0.0256, 0)</f>
        <v>74.140999999999991</v>
      </c>
      <c r="C966" s="10">
        <f>68.3769 * CHOOSE(CONTROL!$C$15, $E$9, 100%, $G$9) + CHOOSE(CONTROL!$C$38, 0.0347, 0)</f>
        <v>68.411600000000007</v>
      </c>
      <c r="D966" s="10">
        <f>68.3691 * CHOOSE(CONTROL!$C$15, $E$9, 100%, $G$9) + CHOOSE(CONTROL!$C$38, 0.0347, 0)</f>
        <v>68.403800000000004</v>
      </c>
      <c r="E966" s="28">
        <f>73.9592 * CHOOSE(CONTROL!$C$15, $E$9, 100%, $G$9) + CHOOSE(CONTROL!$C$38, 0.0347, 0)</f>
        <v>73.993899999999996</v>
      </c>
      <c r="F966" s="27">
        <f>73.9592 * CHOOSE(CONTROL!$C$15, $E$9, 100%, $G$9) + CHOOSE(CONTROL!$C$38, 0.0256, 0)</f>
        <v>73.984799999999993</v>
      </c>
      <c r="G966" s="10">
        <f>68.3753 * CHOOSE(CONTROL!$C$15, $E$9, 100%, $G$9) + CHOOSE(CONTROL!$C$38, 0.0347, 0)</f>
        <v>68.41</v>
      </c>
      <c r="H966" s="10">
        <f>68.3753 * CHOOSE(CONTROL!$C$15, $E$9, 100%, $G$9) + CHOOSE(CONTROL!$C$38, 0.0347, 0)</f>
        <v>68.41</v>
      </c>
      <c r="I966" s="10">
        <f>68.3769 * CHOOSE(CONTROL!$C$15, $E$9, 100%, $G$9) + CHOOSE(CONTROL!$C$38, 0.0347, 0)</f>
        <v>68.411600000000007</v>
      </c>
      <c r="J966" s="26">
        <f>512.4979</f>
        <v>512.49789999999996</v>
      </c>
    </row>
    <row r="967" spans="1:10" ht="15.75" x14ac:dyDescent="0.25">
      <c r="A967" s="13">
        <v>70737</v>
      </c>
      <c r="B967" s="10">
        <f>74.2173 * CHOOSE(CONTROL!$C$15, $E$9, 100%, $G$9) + CHOOSE(CONTROL!$C$38, 0.0256, 0)</f>
        <v>74.242899999999992</v>
      </c>
      <c r="C967" s="10">
        <f>68.4788 * CHOOSE(CONTROL!$C$15, $E$9, 100%, $G$9) + CHOOSE(CONTROL!$C$38, 0.0347, 0)</f>
        <v>68.513500000000008</v>
      </c>
      <c r="D967" s="10">
        <f>68.471 * CHOOSE(CONTROL!$C$15, $E$9, 100%, $G$9) + CHOOSE(CONTROL!$C$38, 0.0347, 0)</f>
        <v>68.505700000000004</v>
      </c>
      <c r="E967" s="28">
        <f>74.0611 * CHOOSE(CONTROL!$C$15, $E$9, 100%, $G$9) + CHOOSE(CONTROL!$C$38, 0.0347, 0)</f>
        <v>74.095799999999997</v>
      </c>
      <c r="F967" s="27">
        <f>74.0611 * CHOOSE(CONTROL!$C$15, $E$9, 100%, $G$9) + CHOOSE(CONTROL!$C$38, 0.0256, 0)</f>
        <v>74.086699999999993</v>
      </c>
      <c r="G967" s="10">
        <f>68.4772 * CHOOSE(CONTROL!$C$15, $E$9, 100%, $G$9) + CHOOSE(CONTROL!$C$38, 0.0347, 0)</f>
        <v>68.511899999999997</v>
      </c>
      <c r="H967" s="10">
        <f>68.4772 * CHOOSE(CONTROL!$C$15, $E$9, 100%, $G$9) + CHOOSE(CONTROL!$C$38, 0.0347, 0)</f>
        <v>68.511899999999997</v>
      </c>
      <c r="I967" s="10">
        <f>68.4788 * CHOOSE(CONTROL!$C$15, $E$9, 100%, $G$9) + CHOOSE(CONTROL!$C$38, 0.0347, 0)</f>
        <v>68.513500000000008</v>
      </c>
      <c r="J967" s="26">
        <f>500.5671</f>
        <v>500.56709999999998</v>
      </c>
    </row>
    <row r="968" spans="1:10" ht="15.75" x14ac:dyDescent="0.25">
      <c r="A968" s="13">
        <v>70767</v>
      </c>
      <c r="B968" s="10">
        <f>74.4941 * CHOOSE(CONTROL!$C$15, $E$9, 100%, $G$9) + CHOOSE(CONTROL!$C$38, 0.0256, 0)</f>
        <v>74.5197</v>
      </c>
      <c r="C968" s="10">
        <f>68.7556 * CHOOSE(CONTROL!$C$15, $E$9, 100%, $G$9) + CHOOSE(CONTROL!$C$38, 0.0347, 0)</f>
        <v>68.790300000000002</v>
      </c>
      <c r="D968" s="10">
        <f>68.7478 * CHOOSE(CONTROL!$C$15, $E$9, 100%, $G$9) + CHOOSE(CONTROL!$C$38, 0.0347, 0)</f>
        <v>68.782499999999999</v>
      </c>
      <c r="E968" s="28">
        <f>74.3379 * CHOOSE(CONTROL!$C$15, $E$9, 100%, $G$9) + CHOOSE(CONTROL!$C$38, 0.0347, 0)</f>
        <v>74.372600000000006</v>
      </c>
      <c r="F968" s="27">
        <f>74.3379 * CHOOSE(CONTROL!$C$15, $E$9, 100%, $G$9) + CHOOSE(CONTROL!$C$38, 0.0256, 0)</f>
        <v>74.363500000000002</v>
      </c>
      <c r="G968" s="10">
        <f>68.754 * CHOOSE(CONTROL!$C$15, $E$9, 100%, $G$9) + CHOOSE(CONTROL!$C$38, 0.0347, 0)</f>
        <v>68.788700000000006</v>
      </c>
      <c r="H968" s="10">
        <f>68.754 * CHOOSE(CONTROL!$C$15, $E$9, 100%, $G$9) + CHOOSE(CONTROL!$C$38, 0.0347, 0)</f>
        <v>68.788700000000006</v>
      </c>
      <c r="I968" s="10">
        <f>68.7556 * CHOOSE(CONTROL!$C$15, $E$9, 100%, $G$9) + CHOOSE(CONTROL!$C$38, 0.0347, 0)</f>
        <v>68.790300000000002</v>
      </c>
      <c r="J968" s="26">
        <f>483.9291</f>
        <v>483.92910000000001</v>
      </c>
    </row>
    <row r="969" spans="1:10" ht="15.75" x14ac:dyDescent="0.25">
      <c r="A969" s="13">
        <v>70798</v>
      </c>
      <c r="B969" s="10">
        <f>74.726 * CHOOSE(CONTROL!$C$15, $E$9, 100%, $G$9) + CHOOSE(CONTROL!$C$38, 0.0256, 0)</f>
        <v>74.751599999999996</v>
      </c>
      <c r="C969" s="10">
        <f>68.9874 * CHOOSE(CONTROL!$C$15, $E$9, 100%, $G$9) + CHOOSE(CONTROL!$C$38, 0.0347, 0)</f>
        <v>69.022099999999995</v>
      </c>
      <c r="D969" s="10">
        <f>68.9796 * CHOOSE(CONTROL!$C$15, $E$9, 100%, $G$9) + CHOOSE(CONTROL!$C$38, 0.0347, 0)</f>
        <v>69.014300000000006</v>
      </c>
      <c r="E969" s="28">
        <f>74.5697 * CHOOSE(CONTROL!$C$15, $E$9, 100%, $G$9) + CHOOSE(CONTROL!$C$38, 0.0347, 0)</f>
        <v>74.604399999999998</v>
      </c>
      <c r="F969" s="27">
        <f>74.5697 * CHOOSE(CONTROL!$C$15, $E$9, 100%, $G$9) + CHOOSE(CONTROL!$C$38, 0.0256, 0)</f>
        <v>74.595299999999995</v>
      </c>
      <c r="G969" s="10">
        <f>68.9858 * CHOOSE(CONTROL!$C$15, $E$9, 100%, $G$9) + CHOOSE(CONTROL!$C$38, 0.0347, 0)</f>
        <v>69.020499999999998</v>
      </c>
      <c r="H969" s="10">
        <f>68.9858 * CHOOSE(CONTROL!$C$15, $E$9, 100%, $G$9) + CHOOSE(CONTROL!$C$38, 0.0347, 0)</f>
        <v>69.020499999999998</v>
      </c>
      <c r="I969" s="10">
        <f>68.9874 * CHOOSE(CONTROL!$C$15, $E$9, 100%, $G$9) + CHOOSE(CONTROL!$C$38, 0.0347, 0)</f>
        <v>69.022099999999995</v>
      </c>
      <c r="J969" s="26">
        <f>467.1944</f>
        <v>467.19439999999997</v>
      </c>
    </row>
    <row r="970" spans="1:10" ht="15.75" x14ac:dyDescent="0.25">
      <c r="A970" s="13">
        <v>70828</v>
      </c>
      <c r="B970" s="10">
        <f>74.9194 * CHOOSE(CONTROL!$C$15, $E$9, 100%, $G$9) + CHOOSE(CONTROL!$C$38, 0.0256, 0)</f>
        <v>74.944999999999993</v>
      </c>
      <c r="C970" s="10">
        <f>69.1808 * CHOOSE(CONTROL!$C$15, $E$9, 100%, $G$9) + CHOOSE(CONTROL!$C$38, 0.0347, 0)</f>
        <v>69.215500000000006</v>
      </c>
      <c r="D970" s="10">
        <f>69.173 * CHOOSE(CONTROL!$C$15, $E$9, 100%, $G$9) + CHOOSE(CONTROL!$C$38, 0.0347, 0)</f>
        <v>69.207700000000003</v>
      </c>
      <c r="E970" s="28">
        <f>74.7631 * CHOOSE(CONTROL!$C$15, $E$9, 100%, $G$9) + CHOOSE(CONTROL!$C$38, 0.0347, 0)</f>
        <v>74.797799999999995</v>
      </c>
      <c r="F970" s="27">
        <f>74.7631 * CHOOSE(CONTROL!$C$15, $E$9, 100%, $G$9) + CHOOSE(CONTROL!$C$38, 0.0256, 0)</f>
        <v>74.788699999999992</v>
      </c>
      <c r="G970" s="10">
        <f>69.1793 * CHOOSE(CONTROL!$C$15, $E$9, 100%, $G$9) + CHOOSE(CONTROL!$C$38, 0.0347, 0)</f>
        <v>69.213999999999999</v>
      </c>
      <c r="H970" s="10">
        <f>69.1793 * CHOOSE(CONTROL!$C$15, $E$9, 100%, $G$9) + CHOOSE(CONTROL!$C$38, 0.0347, 0)</f>
        <v>69.213999999999999</v>
      </c>
      <c r="I970" s="10">
        <f>69.1808 * CHOOSE(CONTROL!$C$15, $E$9, 100%, $G$9) + CHOOSE(CONTROL!$C$38, 0.0347, 0)</f>
        <v>69.215500000000006</v>
      </c>
      <c r="J970" s="26">
        <f>463.8655</f>
        <v>463.8655</v>
      </c>
    </row>
    <row r="971" spans="1:10" ht="15.75" x14ac:dyDescent="0.25">
      <c r="A971" s="13">
        <v>70859</v>
      </c>
      <c r="B971" s="10">
        <f>75.5155 * CHOOSE(CONTROL!$C$15, $E$9, 100%, $G$9) + CHOOSE(CONTROL!$C$38, 0.0256, 0)</f>
        <v>75.5411</v>
      </c>
      <c r="C971" s="10">
        <f>69.7769 * CHOOSE(CONTROL!$C$15, $E$9, 100%, $G$9) + CHOOSE(CONTROL!$C$38, 0.0347, 0)</f>
        <v>69.811599999999999</v>
      </c>
      <c r="D971" s="10">
        <f>69.7691 * CHOOSE(CONTROL!$C$15, $E$9, 100%, $G$9) + CHOOSE(CONTROL!$C$38, 0.0347, 0)</f>
        <v>69.803799999999995</v>
      </c>
      <c r="E971" s="28">
        <f>75.3592 * CHOOSE(CONTROL!$C$15, $E$9, 100%, $G$9) + CHOOSE(CONTROL!$C$38, 0.0347, 0)</f>
        <v>75.393900000000002</v>
      </c>
      <c r="F971" s="27">
        <f>75.3592 * CHOOSE(CONTROL!$C$15, $E$9, 100%, $G$9) + CHOOSE(CONTROL!$C$38, 0.0256, 0)</f>
        <v>75.384799999999998</v>
      </c>
      <c r="G971" s="10">
        <f>69.7753 * CHOOSE(CONTROL!$C$15, $E$9, 100%, $G$9) + CHOOSE(CONTROL!$C$38, 0.0347, 0)</f>
        <v>69.81</v>
      </c>
      <c r="H971" s="10">
        <f>69.7753 * CHOOSE(CONTROL!$C$15, $E$9, 100%, $G$9) + CHOOSE(CONTROL!$C$38, 0.0347, 0)</f>
        <v>69.81</v>
      </c>
      <c r="I971" s="10">
        <f>69.7769 * CHOOSE(CONTROL!$C$15, $E$9, 100%, $G$9) + CHOOSE(CONTROL!$C$38, 0.0347, 0)</f>
        <v>69.811599999999999</v>
      </c>
      <c r="J971" s="26">
        <f>450.1002</f>
        <v>450.10019999999997</v>
      </c>
    </row>
    <row r="972" spans="1:10" ht="15.75" x14ac:dyDescent="0.25">
      <c r="A972" s="13">
        <v>70890</v>
      </c>
      <c r="B972" s="10">
        <f>77.2996 * CHOOSE(CONTROL!$C$15, $E$9, 100%, $G$9) + CHOOSE(CONTROL!$C$38, 0.0256, 0)</f>
        <v>77.325199999999995</v>
      </c>
      <c r="C972" s="10">
        <f>71.4625 * CHOOSE(CONTROL!$C$15, $E$9, 100%, $G$9) + CHOOSE(CONTROL!$C$38, 0.0347, 0)</f>
        <v>71.497200000000007</v>
      </c>
      <c r="D972" s="10">
        <f>71.4546 * CHOOSE(CONTROL!$C$15, $E$9, 100%, $G$9) + CHOOSE(CONTROL!$C$38, 0.0347, 0)</f>
        <v>71.4893</v>
      </c>
      <c r="E972" s="28">
        <f>77.1434 * CHOOSE(CONTROL!$C$15, $E$9, 100%, $G$9) + CHOOSE(CONTROL!$C$38, 0.0347, 0)</f>
        <v>77.178100000000001</v>
      </c>
      <c r="F972" s="27">
        <f>77.1434 * CHOOSE(CONTROL!$C$15, $E$9, 100%, $G$9) + CHOOSE(CONTROL!$C$38, 0.0256, 0)</f>
        <v>77.168999999999997</v>
      </c>
      <c r="G972" s="10">
        <f>71.4609 * CHOOSE(CONTROL!$C$15, $E$9, 100%, $G$9) + CHOOSE(CONTROL!$C$38, 0.0347, 0)</f>
        <v>71.495599999999996</v>
      </c>
      <c r="H972" s="10">
        <f>71.4609 * CHOOSE(CONTROL!$C$15, $E$9, 100%, $G$9) + CHOOSE(CONTROL!$C$38, 0.0347, 0)</f>
        <v>71.495599999999996</v>
      </c>
      <c r="I972" s="10">
        <f>71.4625 * CHOOSE(CONTROL!$C$15, $E$9, 100%, $G$9) + CHOOSE(CONTROL!$C$38, 0.0347, 0)</f>
        <v>71.497200000000007</v>
      </c>
      <c r="J972" s="26">
        <f>447.0853</f>
        <v>447.08530000000002</v>
      </c>
    </row>
    <row r="973" spans="1:10" ht="15.75" x14ac:dyDescent="0.25">
      <c r="A973" s="13">
        <v>70918</v>
      </c>
      <c r="B973" s="10">
        <f>77.5204 * CHOOSE(CONTROL!$C$15, $E$9, 100%, $G$9) + CHOOSE(CONTROL!$C$38, 0.0256, 0)</f>
        <v>77.545999999999992</v>
      </c>
      <c r="C973" s="10">
        <f>71.6832 * CHOOSE(CONTROL!$C$15, $E$9, 100%, $G$9) + CHOOSE(CONTROL!$C$38, 0.0347, 0)</f>
        <v>71.7179</v>
      </c>
      <c r="D973" s="10">
        <f>71.6754 * CHOOSE(CONTROL!$C$15, $E$9, 100%, $G$9) + CHOOSE(CONTROL!$C$38, 0.0347, 0)</f>
        <v>71.710099999999997</v>
      </c>
      <c r="E973" s="28">
        <f>77.3642 * CHOOSE(CONTROL!$C$15, $E$9, 100%, $G$9) + CHOOSE(CONTROL!$C$38, 0.0347, 0)</f>
        <v>77.398899999999998</v>
      </c>
      <c r="F973" s="27">
        <f>77.3642 * CHOOSE(CONTROL!$C$15, $E$9, 100%, $G$9) + CHOOSE(CONTROL!$C$38, 0.0256, 0)</f>
        <v>77.389799999999994</v>
      </c>
      <c r="G973" s="10">
        <f>71.6817 * CHOOSE(CONTROL!$C$15, $E$9, 100%, $G$9) + CHOOSE(CONTROL!$C$38, 0.0347, 0)</f>
        <v>71.716400000000007</v>
      </c>
      <c r="H973" s="10">
        <f>71.6817 * CHOOSE(CONTROL!$C$15, $E$9, 100%, $G$9) + CHOOSE(CONTROL!$C$38, 0.0347, 0)</f>
        <v>71.716400000000007</v>
      </c>
      <c r="I973" s="10">
        <f>71.6832 * CHOOSE(CONTROL!$C$15, $E$9, 100%, $G$9) + CHOOSE(CONTROL!$C$38, 0.0347, 0)</f>
        <v>71.7179</v>
      </c>
      <c r="J973" s="26">
        <f>445.8425</f>
        <v>445.84249999999997</v>
      </c>
    </row>
    <row r="974" spans="1:10" ht="15.75" x14ac:dyDescent="0.25">
      <c r="A974" s="13">
        <v>70949</v>
      </c>
      <c r="B974" s="10">
        <f>77.0094 * CHOOSE(CONTROL!$C$15, $E$9, 100%, $G$9) + CHOOSE(CONTROL!$C$38, 0.0256, 0)</f>
        <v>77.034999999999997</v>
      </c>
      <c r="C974" s="10">
        <f>71.1722 * CHOOSE(CONTROL!$C$15, $E$9, 100%, $G$9) + CHOOSE(CONTROL!$C$38, 0.0347, 0)</f>
        <v>71.206900000000005</v>
      </c>
      <c r="D974" s="10">
        <f>71.1644 * CHOOSE(CONTROL!$C$15, $E$9, 100%, $G$9) + CHOOSE(CONTROL!$C$38, 0.0347, 0)</f>
        <v>71.199100000000001</v>
      </c>
      <c r="E974" s="28">
        <f>76.8531 * CHOOSE(CONTROL!$C$15, $E$9, 100%, $G$9) + CHOOSE(CONTROL!$C$38, 0.0347, 0)</f>
        <v>76.887799999999999</v>
      </c>
      <c r="F974" s="27">
        <f>76.8531 * CHOOSE(CONTROL!$C$15, $E$9, 100%, $G$9) + CHOOSE(CONTROL!$C$38, 0.0256, 0)</f>
        <v>76.878699999999995</v>
      </c>
      <c r="G974" s="10">
        <f>71.1706 * CHOOSE(CONTROL!$C$15, $E$9, 100%, $G$9) + CHOOSE(CONTROL!$C$38, 0.0347, 0)</f>
        <v>71.205299999999994</v>
      </c>
      <c r="H974" s="10">
        <f>71.1706 * CHOOSE(CONTROL!$C$15, $E$9, 100%, $G$9) + CHOOSE(CONTROL!$C$38, 0.0347, 0)</f>
        <v>71.205299999999994</v>
      </c>
      <c r="I974" s="10">
        <f>71.1722 * CHOOSE(CONTROL!$C$15, $E$9, 100%, $G$9) + CHOOSE(CONTROL!$C$38, 0.0347, 0)</f>
        <v>71.206900000000005</v>
      </c>
      <c r="J974" s="26">
        <f>469.341</f>
        <v>469.34100000000001</v>
      </c>
    </row>
    <row r="975" spans="1:10" ht="15.75" x14ac:dyDescent="0.25">
      <c r="A975" s="13">
        <v>70979</v>
      </c>
      <c r="B975" s="10">
        <f>76.5142 * CHOOSE(CONTROL!$C$15, $E$9, 100%, $G$9) + CHOOSE(CONTROL!$C$38, 0.0256, 0)</f>
        <v>76.5398</v>
      </c>
      <c r="C975" s="10">
        <f>70.677 * CHOOSE(CONTROL!$C$15, $E$9, 100%, $G$9) + CHOOSE(CONTROL!$C$38, 0.0347, 0)</f>
        <v>70.711700000000008</v>
      </c>
      <c r="D975" s="10">
        <f>70.6692 * CHOOSE(CONTROL!$C$15, $E$9, 100%, $G$9) + CHOOSE(CONTROL!$C$38, 0.0347, 0)</f>
        <v>70.703900000000004</v>
      </c>
      <c r="E975" s="28">
        <f>76.3579 * CHOOSE(CONTROL!$C$15, $E$9, 100%, $G$9) + CHOOSE(CONTROL!$C$38, 0.0347, 0)</f>
        <v>76.392600000000002</v>
      </c>
      <c r="F975" s="27">
        <f>76.3579 * CHOOSE(CONTROL!$C$15, $E$9, 100%, $G$9) + CHOOSE(CONTROL!$C$38, 0.0256, 0)</f>
        <v>76.383499999999998</v>
      </c>
      <c r="G975" s="10">
        <f>70.6754 * CHOOSE(CONTROL!$C$15, $E$9, 100%, $G$9) + CHOOSE(CONTROL!$C$38, 0.0347, 0)</f>
        <v>70.710099999999997</v>
      </c>
      <c r="H975" s="10">
        <f>70.6754 * CHOOSE(CONTROL!$C$15, $E$9, 100%, $G$9) + CHOOSE(CONTROL!$C$38, 0.0347, 0)</f>
        <v>70.710099999999997</v>
      </c>
      <c r="I975" s="10">
        <f>70.677 * CHOOSE(CONTROL!$C$15, $E$9, 100%, $G$9) + CHOOSE(CONTROL!$C$38, 0.0347, 0)</f>
        <v>70.711700000000008</v>
      </c>
      <c r="J975" s="26">
        <f>499.8129</f>
        <v>499.81290000000001</v>
      </c>
    </row>
    <row r="976" spans="1:10" ht="15.75" x14ac:dyDescent="0.25">
      <c r="A976" s="13">
        <v>71010</v>
      </c>
      <c r="B976" s="10">
        <f>75.9981 * CHOOSE(CONTROL!$C$15, $E$9, 100%, $G$9) + CHOOSE(CONTROL!$C$38, 0.0256, 0)</f>
        <v>76.023699999999991</v>
      </c>
      <c r="C976" s="10">
        <f>70.1609 * CHOOSE(CONTROL!$C$15, $E$9, 100%, $G$9) + CHOOSE(CONTROL!$C$38, 0.0347, 0)</f>
        <v>70.195599999999999</v>
      </c>
      <c r="D976" s="10">
        <f>70.1531 * CHOOSE(CONTROL!$C$15, $E$9, 100%, $G$9) + CHOOSE(CONTROL!$C$38, 0.0347, 0)</f>
        <v>70.187799999999996</v>
      </c>
      <c r="E976" s="28">
        <f>75.8418 * CHOOSE(CONTROL!$C$15, $E$9, 100%, $G$9) + CHOOSE(CONTROL!$C$38, 0.0347, 0)</f>
        <v>75.876500000000007</v>
      </c>
      <c r="F976" s="27">
        <f>75.8418 * CHOOSE(CONTROL!$C$15, $E$9, 100%, $G$9) + CHOOSE(CONTROL!$C$38, 0.0256, 0)</f>
        <v>75.867400000000004</v>
      </c>
      <c r="G976" s="10">
        <f>70.1593 * CHOOSE(CONTROL!$C$15, $E$9, 100%, $G$9) + CHOOSE(CONTROL!$C$38, 0.0347, 0)</f>
        <v>70.194000000000003</v>
      </c>
      <c r="H976" s="10">
        <f>70.1593 * CHOOSE(CONTROL!$C$15, $E$9, 100%, $G$9) + CHOOSE(CONTROL!$C$38, 0.0347, 0)</f>
        <v>70.194000000000003</v>
      </c>
      <c r="I976" s="10">
        <f>70.1609 * CHOOSE(CONTROL!$C$15, $E$9, 100%, $G$9) + CHOOSE(CONTROL!$C$38, 0.0347, 0)</f>
        <v>70.195599999999999</v>
      </c>
      <c r="J976" s="26">
        <f>516.5856</f>
        <v>516.5856</v>
      </c>
    </row>
    <row r="977" spans="1:10" ht="15.75" x14ac:dyDescent="0.25">
      <c r="A977" s="13">
        <v>71040</v>
      </c>
      <c r="B977" s="10">
        <f>75.6363 * CHOOSE(CONTROL!$C$15, $E$9, 100%, $G$9) + CHOOSE(CONTROL!$C$38, 0.0256, 0)</f>
        <v>75.661900000000003</v>
      </c>
      <c r="C977" s="10">
        <f>69.7991 * CHOOSE(CONTROL!$C$15, $E$9, 100%, $G$9) + CHOOSE(CONTROL!$C$38, 0.0347, 0)</f>
        <v>69.833799999999997</v>
      </c>
      <c r="D977" s="10">
        <f>69.7913 * CHOOSE(CONTROL!$C$15, $E$9, 100%, $G$9) + CHOOSE(CONTROL!$C$38, 0.0347, 0)</f>
        <v>69.826000000000008</v>
      </c>
      <c r="E977" s="28">
        <f>75.48 * CHOOSE(CONTROL!$C$15, $E$9, 100%, $G$9) + CHOOSE(CONTROL!$C$38, 0.0347, 0)</f>
        <v>75.514700000000005</v>
      </c>
      <c r="F977" s="27">
        <f>75.48 * CHOOSE(CONTROL!$C$15, $E$9, 100%, $G$9) + CHOOSE(CONTROL!$C$38, 0.0256, 0)</f>
        <v>75.505600000000001</v>
      </c>
      <c r="G977" s="10">
        <f>69.7975 * CHOOSE(CONTROL!$C$15, $E$9, 100%, $G$9) + CHOOSE(CONTROL!$C$38, 0.0347, 0)</f>
        <v>69.8322</v>
      </c>
      <c r="H977" s="10">
        <f>69.7975 * CHOOSE(CONTROL!$C$15, $E$9, 100%, $G$9) + CHOOSE(CONTROL!$C$38, 0.0347, 0)</f>
        <v>69.8322</v>
      </c>
      <c r="I977" s="10">
        <f>69.7991 * CHOOSE(CONTROL!$C$15, $E$9, 100%, $G$9) + CHOOSE(CONTROL!$C$38, 0.0347, 0)</f>
        <v>69.833799999999997</v>
      </c>
      <c r="J977" s="26">
        <f>524.0291</f>
        <v>524.02909999999997</v>
      </c>
    </row>
    <row r="978" spans="1:10" ht="15.75" x14ac:dyDescent="0.25">
      <c r="A978" s="13">
        <v>71071</v>
      </c>
      <c r="B978" s="10">
        <f>75.4298 * CHOOSE(CONTROL!$C$15, $E$9, 100%, $G$9) + CHOOSE(CONTROL!$C$38, 0.0256, 0)</f>
        <v>75.455399999999997</v>
      </c>
      <c r="C978" s="10">
        <f>69.5926 * CHOOSE(CONTROL!$C$15, $E$9, 100%, $G$9) + CHOOSE(CONTROL!$C$38, 0.0347, 0)</f>
        <v>69.627300000000005</v>
      </c>
      <c r="D978" s="10">
        <f>69.5848 * CHOOSE(CONTROL!$C$15, $E$9, 100%, $G$9) + CHOOSE(CONTROL!$C$38, 0.0347, 0)</f>
        <v>69.619500000000002</v>
      </c>
      <c r="E978" s="28">
        <f>75.2735 * CHOOSE(CONTROL!$C$15, $E$9, 100%, $G$9) + CHOOSE(CONTROL!$C$38, 0.0347, 0)</f>
        <v>75.308199999999999</v>
      </c>
      <c r="F978" s="27">
        <f>75.2735 * CHOOSE(CONTROL!$C$15, $E$9, 100%, $G$9) + CHOOSE(CONTROL!$C$38, 0.0256, 0)</f>
        <v>75.299099999999996</v>
      </c>
      <c r="G978" s="10">
        <f>69.591 * CHOOSE(CONTROL!$C$15, $E$9, 100%, $G$9) + CHOOSE(CONTROL!$C$38, 0.0347, 0)</f>
        <v>69.625699999999995</v>
      </c>
      <c r="H978" s="10">
        <f>69.591 * CHOOSE(CONTROL!$C$15, $E$9, 100%, $G$9) + CHOOSE(CONTROL!$C$38, 0.0347, 0)</f>
        <v>69.625699999999995</v>
      </c>
      <c r="I978" s="10">
        <f>69.5926 * CHOOSE(CONTROL!$C$15, $E$9, 100%, $G$9) + CHOOSE(CONTROL!$C$38, 0.0347, 0)</f>
        <v>69.627300000000005</v>
      </c>
      <c r="J978" s="26">
        <f>521.5784</f>
        <v>521.57839999999999</v>
      </c>
    </row>
    <row r="979" spans="1:10" ht="15.75" x14ac:dyDescent="0.25">
      <c r="A979" s="13">
        <v>71102</v>
      </c>
      <c r="B979" s="10">
        <f>75.5317 * CHOOSE(CONTROL!$C$15, $E$9, 100%, $G$9) + CHOOSE(CONTROL!$C$38, 0.0256, 0)</f>
        <v>75.557299999999998</v>
      </c>
      <c r="C979" s="10">
        <f>69.6945 * CHOOSE(CONTROL!$C$15, $E$9, 100%, $G$9) + CHOOSE(CONTROL!$C$38, 0.0347, 0)</f>
        <v>69.729200000000006</v>
      </c>
      <c r="D979" s="10">
        <f>69.6867 * CHOOSE(CONTROL!$C$15, $E$9, 100%, $G$9) + CHOOSE(CONTROL!$C$38, 0.0347, 0)</f>
        <v>69.721400000000003</v>
      </c>
      <c r="E979" s="28">
        <f>75.3754 * CHOOSE(CONTROL!$C$15, $E$9, 100%, $G$9) + CHOOSE(CONTROL!$C$38, 0.0347, 0)</f>
        <v>75.4101</v>
      </c>
      <c r="F979" s="27">
        <f>75.3754 * CHOOSE(CONTROL!$C$15, $E$9, 100%, $G$9) + CHOOSE(CONTROL!$C$38, 0.0256, 0)</f>
        <v>75.400999999999996</v>
      </c>
      <c r="G979" s="10">
        <f>69.6929 * CHOOSE(CONTROL!$C$15, $E$9, 100%, $G$9) + CHOOSE(CONTROL!$C$38, 0.0347, 0)</f>
        <v>69.727599999999995</v>
      </c>
      <c r="H979" s="10">
        <f>69.6929 * CHOOSE(CONTROL!$C$15, $E$9, 100%, $G$9) + CHOOSE(CONTROL!$C$38, 0.0347, 0)</f>
        <v>69.727599999999995</v>
      </c>
      <c r="I979" s="10">
        <f>69.6945 * CHOOSE(CONTROL!$C$15, $E$9, 100%, $G$9) + CHOOSE(CONTROL!$C$38, 0.0347, 0)</f>
        <v>69.729200000000006</v>
      </c>
      <c r="J979" s="26">
        <f>509.4362</f>
        <v>509.43619999999999</v>
      </c>
    </row>
    <row r="980" spans="1:10" ht="15.75" x14ac:dyDescent="0.25">
      <c r="A980" s="13">
        <v>71132</v>
      </c>
      <c r="B980" s="10">
        <f>75.8085 * CHOOSE(CONTROL!$C$15, $E$9, 100%, $G$9) + CHOOSE(CONTROL!$C$38, 0.0256, 0)</f>
        <v>75.834099999999992</v>
      </c>
      <c r="C980" s="10">
        <f>69.9713 * CHOOSE(CONTROL!$C$15, $E$9, 100%, $G$9) + CHOOSE(CONTROL!$C$38, 0.0347, 0)</f>
        <v>70.006</v>
      </c>
      <c r="D980" s="10">
        <f>69.9635 * CHOOSE(CONTROL!$C$15, $E$9, 100%, $G$9) + CHOOSE(CONTROL!$C$38, 0.0347, 0)</f>
        <v>69.998199999999997</v>
      </c>
      <c r="E980" s="28">
        <f>75.6522 * CHOOSE(CONTROL!$C$15, $E$9, 100%, $G$9) + CHOOSE(CONTROL!$C$38, 0.0347, 0)</f>
        <v>75.686899999999994</v>
      </c>
      <c r="F980" s="27">
        <f>75.6522 * CHOOSE(CONTROL!$C$15, $E$9, 100%, $G$9) + CHOOSE(CONTROL!$C$38, 0.0256, 0)</f>
        <v>75.677799999999991</v>
      </c>
      <c r="G980" s="10">
        <f>69.9697 * CHOOSE(CONTROL!$C$15, $E$9, 100%, $G$9) + CHOOSE(CONTROL!$C$38, 0.0347, 0)</f>
        <v>70.004400000000004</v>
      </c>
      <c r="H980" s="10">
        <f>69.9697 * CHOOSE(CONTROL!$C$15, $E$9, 100%, $G$9) + CHOOSE(CONTROL!$C$38, 0.0347, 0)</f>
        <v>70.004400000000004</v>
      </c>
      <c r="I980" s="10">
        <f>69.9713 * CHOOSE(CONTROL!$C$15, $E$9, 100%, $G$9) + CHOOSE(CONTROL!$C$38, 0.0347, 0)</f>
        <v>70.006</v>
      </c>
      <c r="J980" s="26">
        <f>492.5034</f>
        <v>492.5034</v>
      </c>
    </row>
    <row r="981" spans="1:10" ht="15.75" x14ac:dyDescent="0.25">
      <c r="A981" s="13">
        <v>71163</v>
      </c>
      <c r="B981" s="10">
        <f>76.0403 * CHOOSE(CONTROL!$C$15, $E$9, 100%, $G$9) + CHOOSE(CONTROL!$C$38, 0.0256, 0)</f>
        <v>76.065899999999999</v>
      </c>
      <c r="C981" s="10">
        <f>70.2031 * CHOOSE(CONTROL!$C$15, $E$9, 100%, $G$9) + CHOOSE(CONTROL!$C$38, 0.0347, 0)</f>
        <v>70.237800000000007</v>
      </c>
      <c r="D981" s="10">
        <f>70.1953 * CHOOSE(CONTROL!$C$15, $E$9, 100%, $G$9) + CHOOSE(CONTROL!$C$38, 0.0347, 0)</f>
        <v>70.23</v>
      </c>
      <c r="E981" s="28">
        <f>75.884 * CHOOSE(CONTROL!$C$15, $E$9, 100%, $G$9) + CHOOSE(CONTROL!$C$38, 0.0347, 0)</f>
        <v>75.918700000000001</v>
      </c>
      <c r="F981" s="27">
        <f>75.884 * CHOOSE(CONTROL!$C$15, $E$9, 100%, $G$9) + CHOOSE(CONTROL!$C$38, 0.0256, 0)</f>
        <v>75.909599999999998</v>
      </c>
      <c r="G981" s="10">
        <f>70.2015 * CHOOSE(CONTROL!$C$15, $E$9, 100%, $G$9) + CHOOSE(CONTROL!$C$38, 0.0347, 0)</f>
        <v>70.236199999999997</v>
      </c>
      <c r="H981" s="10">
        <f>70.2015 * CHOOSE(CONTROL!$C$15, $E$9, 100%, $G$9) + CHOOSE(CONTROL!$C$38, 0.0347, 0)</f>
        <v>70.236199999999997</v>
      </c>
      <c r="I981" s="10">
        <f>70.2031 * CHOOSE(CONTROL!$C$15, $E$9, 100%, $G$9) + CHOOSE(CONTROL!$C$38, 0.0347, 0)</f>
        <v>70.237800000000007</v>
      </c>
      <c r="J981" s="26">
        <f>475.4722</f>
        <v>475.47219999999999</v>
      </c>
    </row>
    <row r="982" spans="1:10" ht="15.75" x14ac:dyDescent="0.25">
      <c r="A982" s="13">
        <v>71193</v>
      </c>
      <c r="B982" s="10">
        <f>76.2337 * CHOOSE(CONTROL!$C$15, $E$9, 100%, $G$9) + CHOOSE(CONTROL!$C$38, 0.0256, 0)</f>
        <v>76.259299999999996</v>
      </c>
      <c r="C982" s="10">
        <f>70.3965 * CHOOSE(CONTROL!$C$15, $E$9, 100%, $G$9) + CHOOSE(CONTROL!$C$38, 0.0347, 0)</f>
        <v>70.431200000000004</v>
      </c>
      <c r="D982" s="10">
        <f>70.3887 * CHOOSE(CONTROL!$C$15, $E$9, 100%, $G$9) + CHOOSE(CONTROL!$C$38, 0.0347, 0)</f>
        <v>70.423400000000001</v>
      </c>
      <c r="E982" s="28">
        <f>76.0775 * CHOOSE(CONTROL!$C$15, $E$9, 100%, $G$9) + CHOOSE(CONTROL!$C$38, 0.0347, 0)</f>
        <v>76.112200000000001</v>
      </c>
      <c r="F982" s="27">
        <f>76.0775 * CHOOSE(CONTROL!$C$15, $E$9, 100%, $G$9) + CHOOSE(CONTROL!$C$38, 0.0256, 0)</f>
        <v>76.103099999999998</v>
      </c>
      <c r="G982" s="10">
        <f>70.395 * CHOOSE(CONTROL!$C$15, $E$9, 100%, $G$9) + CHOOSE(CONTROL!$C$38, 0.0347, 0)</f>
        <v>70.429699999999997</v>
      </c>
      <c r="H982" s="10">
        <f>70.395 * CHOOSE(CONTROL!$C$15, $E$9, 100%, $G$9) + CHOOSE(CONTROL!$C$38, 0.0347, 0)</f>
        <v>70.429699999999997</v>
      </c>
      <c r="I982" s="10">
        <f>70.3965 * CHOOSE(CONTROL!$C$15, $E$9, 100%, $G$9) + CHOOSE(CONTROL!$C$38, 0.0347, 0)</f>
        <v>70.431200000000004</v>
      </c>
      <c r="J982" s="26">
        <f>472.0843</f>
        <v>472.08429999999998</v>
      </c>
    </row>
    <row r="983" spans="1:10" ht="15.75" x14ac:dyDescent="0.25">
      <c r="A983" s="13">
        <v>71224</v>
      </c>
      <c r="B983" s="10">
        <f>76.8298 * CHOOSE(CONTROL!$C$15, $E$9, 100%, $G$9) + CHOOSE(CONTROL!$C$38, 0.0256, 0)</f>
        <v>76.855400000000003</v>
      </c>
      <c r="C983" s="10">
        <f>70.9926 * CHOOSE(CONTROL!$C$15, $E$9, 100%, $G$9) + CHOOSE(CONTROL!$C$38, 0.0347, 0)</f>
        <v>71.027299999999997</v>
      </c>
      <c r="D983" s="10">
        <f>70.9848 * CHOOSE(CONTROL!$C$15, $E$9, 100%, $G$9) + CHOOSE(CONTROL!$C$38, 0.0347, 0)</f>
        <v>71.019500000000008</v>
      </c>
      <c r="E983" s="28">
        <f>76.6736 * CHOOSE(CONTROL!$C$15, $E$9, 100%, $G$9) + CHOOSE(CONTROL!$C$38, 0.0347, 0)</f>
        <v>76.708299999999994</v>
      </c>
      <c r="F983" s="27">
        <f>76.6736 * CHOOSE(CONTROL!$C$15, $E$9, 100%, $G$9) + CHOOSE(CONTROL!$C$38, 0.0256, 0)</f>
        <v>76.69919999999999</v>
      </c>
      <c r="G983" s="10">
        <f>70.9911 * CHOOSE(CONTROL!$C$15, $E$9, 100%, $G$9) + CHOOSE(CONTROL!$C$38, 0.0347, 0)</f>
        <v>71.025800000000004</v>
      </c>
      <c r="H983" s="10">
        <f>70.9911 * CHOOSE(CONTROL!$C$15, $E$9, 100%, $G$9) + CHOOSE(CONTROL!$C$38, 0.0347, 0)</f>
        <v>71.025800000000004</v>
      </c>
      <c r="I983" s="10">
        <f>70.9926 * CHOOSE(CONTROL!$C$15, $E$9, 100%, $G$9) + CHOOSE(CONTROL!$C$38, 0.0347, 0)</f>
        <v>71.027299999999997</v>
      </c>
      <c r="J983" s="26">
        <f>458.0752</f>
        <v>458.0752</v>
      </c>
    </row>
    <row r="984" spans="1:10" ht="15.75" x14ac:dyDescent="0.25">
      <c r="A984" s="13">
        <v>71255</v>
      </c>
      <c r="B984" s="10">
        <f>78.6372 * CHOOSE(CONTROL!$C$15, $E$9, 100%, $G$9) + CHOOSE(CONTROL!$C$38, 0.0256, 0)</f>
        <v>78.662800000000004</v>
      </c>
      <c r="C984" s="10">
        <f>72.6996 * CHOOSE(CONTROL!$C$15, $E$9, 100%, $G$9) + CHOOSE(CONTROL!$C$38, 0.0347, 0)</f>
        <v>72.734300000000005</v>
      </c>
      <c r="D984" s="10">
        <f>72.6918 * CHOOSE(CONTROL!$C$15, $E$9, 100%, $G$9) + CHOOSE(CONTROL!$C$38, 0.0347, 0)</f>
        <v>72.726500000000001</v>
      </c>
      <c r="E984" s="28">
        <f>78.481 * CHOOSE(CONTROL!$C$15, $E$9, 100%, $G$9) + CHOOSE(CONTROL!$C$38, 0.0347, 0)</f>
        <v>78.515699999999995</v>
      </c>
      <c r="F984" s="27">
        <f>78.481 * CHOOSE(CONTROL!$C$15, $E$9, 100%, $G$9) + CHOOSE(CONTROL!$C$38, 0.0256, 0)</f>
        <v>78.506599999999992</v>
      </c>
      <c r="G984" s="10">
        <f>72.6981 * CHOOSE(CONTROL!$C$15, $E$9, 100%, $G$9) + CHOOSE(CONTROL!$C$38, 0.0347, 0)</f>
        <v>72.732799999999997</v>
      </c>
      <c r="H984" s="10">
        <f>72.6981 * CHOOSE(CONTROL!$C$15, $E$9, 100%, $G$9) + CHOOSE(CONTROL!$C$38, 0.0347, 0)</f>
        <v>72.732799999999997</v>
      </c>
      <c r="I984" s="10">
        <f>72.6996 * CHOOSE(CONTROL!$C$15, $E$9, 100%, $G$9) + CHOOSE(CONTROL!$C$38, 0.0347, 0)</f>
        <v>72.734300000000005</v>
      </c>
      <c r="J984" s="26">
        <f>455.0068</f>
        <v>455.0068</v>
      </c>
    </row>
    <row r="985" spans="1:10" ht="15.75" x14ac:dyDescent="0.25">
      <c r="A985" s="13">
        <v>71283</v>
      </c>
      <c r="B985" s="10">
        <f>78.858 * CHOOSE(CONTROL!$C$15, $E$9, 100%, $G$9) + CHOOSE(CONTROL!$C$38, 0.0256, 0)</f>
        <v>78.883600000000001</v>
      </c>
      <c r="C985" s="10">
        <f>72.9204 * CHOOSE(CONTROL!$C$15, $E$9, 100%, $G$9) + CHOOSE(CONTROL!$C$38, 0.0347, 0)</f>
        <v>72.955100000000002</v>
      </c>
      <c r="D985" s="10">
        <f>72.9126 * CHOOSE(CONTROL!$C$15, $E$9, 100%, $G$9) + CHOOSE(CONTROL!$C$38, 0.0347, 0)</f>
        <v>72.947299999999998</v>
      </c>
      <c r="E985" s="28">
        <f>78.7017 * CHOOSE(CONTROL!$C$15, $E$9, 100%, $G$9) + CHOOSE(CONTROL!$C$38, 0.0347, 0)</f>
        <v>78.736400000000003</v>
      </c>
      <c r="F985" s="27">
        <f>78.7017 * CHOOSE(CONTROL!$C$15, $E$9, 100%, $G$9) + CHOOSE(CONTROL!$C$38, 0.0256, 0)</f>
        <v>78.7273</v>
      </c>
      <c r="G985" s="10">
        <f>72.9188 * CHOOSE(CONTROL!$C$15, $E$9, 100%, $G$9) + CHOOSE(CONTROL!$C$38, 0.0347, 0)</f>
        <v>72.953500000000005</v>
      </c>
      <c r="H985" s="10">
        <f>72.9188 * CHOOSE(CONTROL!$C$15, $E$9, 100%, $G$9) + CHOOSE(CONTROL!$C$38, 0.0347, 0)</f>
        <v>72.953500000000005</v>
      </c>
      <c r="I985" s="10">
        <f>72.9204 * CHOOSE(CONTROL!$C$15, $E$9, 100%, $G$9) + CHOOSE(CONTROL!$C$38, 0.0347, 0)</f>
        <v>72.955100000000002</v>
      </c>
      <c r="J985" s="26">
        <f>453.742</f>
        <v>453.74200000000002</v>
      </c>
    </row>
    <row r="986" spans="1:10" ht="15.75" x14ac:dyDescent="0.25">
      <c r="A986" s="13">
        <v>71314</v>
      </c>
      <c r="B986" s="10">
        <f>78.3469 * CHOOSE(CONTROL!$C$15, $E$9, 100%, $G$9) + CHOOSE(CONTROL!$C$38, 0.0256, 0)</f>
        <v>78.372500000000002</v>
      </c>
      <c r="C986" s="10">
        <f>72.4094 * CHOOSE(CONTROL!$C$15, $E$9, 100%, $G$9) + CHOOSE(CONTROL!$C$38, 0.0347, 0)</f>
        <v>72.444100000000006</v>
      </c>
      <c r="D986" s="10">
        <f>72.4016 * CHOOSE(CONTROL!$C$15, $E$9, 100%, $G$9) + CHOOSE(CONTROL!$C$38, 0.0347, 0)</f>
        <v>72.436300000000003</v>
      </c>
      <c r="E986" s="28">
        <f>78.1907 * CHOOSE(CONTROL!$C$15, $E$9, 100%, $G$9) + CHOOSE(CONTROL!$C$38, 0.0347, 0)</f>
        <v>78.225400000000008</v>
      </c>
      <c r="F986" s="27">
        <f>78.1907 * CHOOSE(CONTROL!$C$15, $E$9, 100%, $G$9) + CHOOSE(CONTROL!$C$38, 0.0256, 0)</f>
        <v>78.216300000000004</v>
      </c>
      <c r="G986" s="10">
        <f>72.4078 * CHOOSE(CONTROL!$C$15, $E$9, 100%, $G$9) + CHOOSE(CONTROL!$C$38, 0.0347, 0)</f>
        <v>72.442499999999995</v>
      </c>
      <c r="H986" s="10">
        <f>72.4078 * CHOOSE(CONTROL!$C$15, $E$9, 100%, $G$9) + CHOOSE(CONTROL!$C$38, 0.0347, 0)</f>
        <v>72.442499999999995</v>
      </c>
      <c r="I986" s="10">
        <f>72.4094 * CHOOSE(CONTROL!$C$15, $E$9, 100%, $G$9) + CHOOSE(CONTROL!$C$38, 0.0347, 0)</f>
        <v>72.444100000000006</v>
      </c>
      <c r="J986" s="26">
        <f>477.6568</f>
        <v>477.65679999999998</v>
      </c>
    </row>
    <row r="987" spans="1:10" ht="15.75" x14ac:dyDescent="0.25">
      <c r="A987" s="13">
        <v>71344</v>
      </c>
      <c r="B987" s="10">
        <f>77.8518 * CHOOSE(CONTROL!$C$15, $E$9, 100%, $G$9) + CHOOSE(CONTROL!$C$38, 0.0256, 0)</f>
        <v>77.877399999999994</v>
      </c>
      <c r="C987" s="10">
        <f>71.9142 * CHOOSE(CONTROL!$C$15, $E$9, 100%, $G$9) + CHOOSE(CONTROL!$C$38, 0.0347, 0)</f>
        <v>71.948899999999995</v>
      </c>
      <c r="D987" s="10">
        <f>71.9064 * CHOOSE(CONTROL!$C$15, $E$9, 100%, $G$9) + CHOOSE(CONTROL!$C$38, 0.0347, 0)</f>
        <v>71.941100000000006</v>
      </c>
      <c r="E987" s="28">
        <f>77.6955 * CHOOSE(CONTROL!$C$15, $E$9, 100%, $G$9) + CHOOSE(CONTROL!$C$38, 0.0347, 0)</f>
        <v>77.730199999999996</v>
      </c>
      <c r="F987" s="27">
        <f>77.6955 * CHOOSE(CONTROL!$C$15, $E$9, 100%, $G$9) + CHOOSE(CONTROL!$C$38, 0.0256, 0)</f>
        <v>77.721099999999993</v>
      </c>
      <c r="G987" s="10">
        <f>71.9126 * CHOOSE(CONTROL!$C$15, $E$9, 100%, $G$9) + CHOOSE(CONTROL!$C$38, 0.0347, 0)</f>
        <v>71.947299999999998</v>
      </c>
      <c r="H987" s="10">
        <f>71.9126 * CHOOSE(CONTROL!$C$15, $E$9, 100%, $G$9) + CHOOSE(CONTROL!$C$38, 0.0347, 0)</f>
        <v>71.947299999999998</v>
      </c>
      <c r="I987" s="10">
        <f>71.9142 * CHOOSE(CONTROL!$C$15, $E$9, 100%, $G$9) + CHOOSE(CONTROL!$C$38, 0.0347, 0)</f>
        <v>71.948899999999995</v>
      </c>
      <c r="J987" s="26">
        <f>508.6687</f>
        <v>508.6687</v>
      </c>
    </row>
    <row r="988" spans="1:10" ht="15.75" x14ac:dyDescent="0.25">
      <c r="A988" s="13">
        <v>71375</v>
      </c>
      <c r="B988" s="10">
        <f>77.3356 * CHOOSE(CONTROL!$C$15, $E$9, 100%, $G$9) + CHOOSE(CONTROL!$C$38, 0.0256, 0)</f>
        <v>77.361199999999997</v>
      </c>
      <c r="C988" s="10">
        <f>71.3981 * CHOOSE(CONTROL!$C$15, $E$9, 100%, $G$9) + CHOOSE(CONTROL!$C$38, 0.0347, 0)</f>
        <v>71.4328</v>
      </c>
      <c r="D988" s="10">
        <f>71.3903 * CHOOSE(CONTROL!$C$15, $E$9, 100%, $G$9) + CHOOSE(CONTROL!$C$38, 0.0347, 0)</f>
        <v>71.424999999999997</v>
      </c>
      <c r="E988" s="28">
        <f>77.1794 * CHOOSE(CONTROL!$C$15, $E$9, 100%, $G$9) + CHOOSE(CONTROL!$C$38, 0.0347, 0)</f>
        <v>77.214100000000002</v>
      </c>
      <c r="F988" s="27">
        <f>77.1794 * CHOOSE(CONTROL!$C$15, $E$9, 100%, $G$9) + CHOOSE(CONTROL!$C$38, 0.0256, 0)</f>
        <v>77.204999999999998</v>
      </c>
      <c r="G988" s="10">
        <f>71.3965 * CHOOSE(CONTROL!$C$15, $E$9, 100%, $G$9) + CHOOSE(CONTROL!$C$38, 0.0347, 0)</f>
        <v>71.431200000000004</v>
      </c>
      <c r="H988" s="10">
        <f>71.3965 * CHOOSE(CONTROL!$C$15, $E$9, 100%, $G$9) + CHOOSE(CONTROL!$C$38, 0.0347, 0)</f>
        <v>71.431200000000004</v>
      </c>
      <c r="I988" s="10">
        <f>71.3981 * CHOOSE(CONTROL!$C$15, $E$9, 100%, $G$9) + CHOOSE(CONTROL!$C$38, 0.0347, 0)</f>
        <v>71.4328</v>
      </c>
      <c r="J988" s="26">
        <f>525.7386</f>
        <v>525.73860000000002</v>
      </c>
    </row>
    <row r="989" spans="1:10" ht="15.75" x14ac:dyDescent="0.25">
      <c r="A989" s="13">
        <v>71405</v>
      </c>
      <c r="B989" s="10">
        <f>76.9738 * CHOOSE(CONTROL!$C$15, $E$9, 100%, $G$9) + CHOOSE(CONTROL!$C$38, 0.0256, 0)</f>
        <v>76.999399999999994</v>
      </c>
      <c r="C989" s="10">
        <f>71.0362 * CHOOSE(CONTROL!$C$15, $E$9, 100%, $G$9) + CHOOSE(CONTROL!$C$38, 0.0347, 0)</f>
        <v>71.070899999999995</v>
      </c>
      <c r="D989" s="10">
        <f>71.0284 * CHOOSE(CONTROL!$C$15, $E$9, 100%, $G$9) + CHOOSE(CONTROL!$C$38, 0.0347, 0)</f>
        <v>71.063100000000006</v>
      </c>
      <c r="E989" s="28">
        <f>76.8176 * CHOOSE(CONTROL!$C$15, $E$9, 100%, $G$9) + CHOOSE(CONTROL!$C$38, 0.0347, 0)</f>
        <v>76.8523</v>
      </c>
      <c r="F989" s="27">
        <f>76.8176 * CHOOSE(CONTROL!$C$15, $E$9, 100%, $G$9) + CHOOSE(CONTROL!$C$38, 0.0256, 0)</f>
        <v>76.843199999999996</v>
      </c>
      <c r="G989" s="10">
        <f>71.0347 * CHOOSE(CONTROL!$C$15, $E$9, 100%, $G$9) + CHOOSE(CONTROL!$C$38, 0.0347, 0)</f>
        <v>71.069400000000002</v>
      </c>
      <c r="H989" s="10">
        <f>71.0347 * CHOOSE(CONTROL!$C$15, $E$9, 100%, $G$9) + CHOOSE(CONTROL!$C$38, 0.0347, 0)</f>
        <v>71.069400000000002</v>
      </c>
      <c r="I989" s="10">
        <f>71.0362 * CHOOSE(CONTROL!$C$15, $E$9, 100%, $G$9) + CHOOSE(CONTROL!$C$38, 0.0347, 0)</f>
        <v>71.070899999999995</v>
      </c>
      <c r="J989" s="26">
        <f>533.3139</f>
        <v>533.31389999999999</v>
      </c>
    </row>
    <row r="990" spans="1:10" ht="15.75" x14ac:dyDescent="0.25">
      <c r="A990" s="13">
        <v>71436</v>
      </c>
      <c r="B990" s="10">
        <f>76.7673 * CHOOSE(CONTROL!$C$15, $E$9, 100%, $G$9) + CHOOSE(CONTROL!$C$38, 0.0256, 0)</f>
        <v>76.792900000000003</v>
      </c>
      <c r="C990" s="10">
        <f>70.8298 * CHOOSE(CONTROL!$C$15, $E$9, 100%, $G$9) + CHOOSE(CONTROL!$C$38, 0.0347, 0)</f>
        <v>70.864500000000007</v>
      </c>
      <c r="D990" s="10">
        <f>70.8219 * CHOOSE(CONTROL!$C$15, $E$9, 100%, $G$9) + CHOOSE(CONTROL!$C$38, 0.0347, 0)</f>
        <v>70.8566</v>
      </c>
      <c r="E990" s="28">
        <f>76.6111 * CHOOSE(CONTROL!$C$15, $E$9, 100%, $G$9) + CHOOSE(CONTROL!$C$38, 0.0347, 0)</f>
        <v>76.645799999999994</v>
      </c>
      <c r="F990" s="27">
        <f>76.6111 * CHOOSE(CONTROL!$C$15, $E$9, 100%, $G$9) + CHOOSE(CONTROL!$C$38, 0.0256, 0)</f>
        <v>76.63669999999999</v>
      </c>
      <c r="G990" s="10">
        <f>70.8282 * CHOOSE(CONTROL!$C$15, $E$9, 100%, $G$9) + CHOOSE(CONTROL!$C$38, 0.0347, 0)</f>
        <v>70.862899999999996</v>
      </c>
      <c r="H990" s="10">
        <f>70.8282 * CHOOSE(CONTROL!$C$15, $E$9, 100%, $G$9) + CHOOSE(CONTROL!$C$38, 0.0347, 0)</f>
        <v>70.862899999999996</v>
      </c>
      <c r="I990" s="10">
        <f>70.8298 * CHOOSE(CONTROL!$C$15, $E$9, 100%, $G$9) + CHOOSE(CONTROL!$C$38, 0.0347, 0)</f>
        <v>70.864500000000007</v>
      </c>
      <c r="J990" s="26">
        <f>530.8197</f>
        <v>530.81970000000001</v>
      </c>
    </row>
    <row r="991" spans="1:10" ht="15.75" x14ac:dyDescent="0.25">
      <c r="A991" s="13">
        <v>71467</v>
      </c>
      <c r="B991" s="10">
        <f>76.8692 * CHOOSE(CONTROL!$C$15, $E$9, 100%, $G$9) + CHOOSE(CONTROL!$C$38, 0.0256, 0)</f>
        <v>76.894800000000004</v>
      </c>
      <c r="C991" s="10">
        <f>70.9317 * CHOOSE(CONTROL!$C$15, $E$9, 100%, $G$9) + CHOOSE(CONTROL!$C$38, 0.0347, 0)</f>
        <v>70.966400000000007</v>
      </c>
      <c r="D991" s="10">
        <f>70.9239 * CHOOSE(CONTROL!$C$15, $E$9, 100%, $G$9) + CHOOSE(CONTROL!$C$38, 0.0347, 0)</f>
        <v>70.958600000000004</v>
      </c>
      <c r="E991" s="28">
        <f>76.713 * CHOOSE(CONTROL!$C$15, $E$9, 100%, $G$9) + CHOOSE(CONTROL!$C$38, 0.0347, 0)</f>
        <v>76.747699999999995</v>
      </c>
      <c r="F991" s="27">
        <f>76.713 * CHOOSE(CONTROL!$C$15, $E$9, 100%, $G$9) + CHOOSE(CONTROL!$C$38, 0.0256, 0)</f>
        <v>76.738599999999991</v>
      </c>
      <c r="G991" s="10">
        <f>70.9301 * CHOOSE(CONTROL!$C$15, $E$9, 100%, $G$9) + CHOOSE(CONTROL!$C$38, 0.0347, 0)</f>
        <v>70.964799999999997</v>
      </c>
      <c r="H991" s="10">
        <f>70.9301 * CHOOSE(CONTROL!$C$15, $E$9, 100%, $G$9) + CHOOSE(CONTROL!$C$38, 0.0347, 0)</f>
        <v>70.964799999999997</v>
      </c>
      <c r="I991" s="10">
        <f>70.9317 * CHOOSE(CONTROL!$C$15, $E$9, 100%, $G$9) + CHOOSE(CONTROL!$C$38, 0.0347, 0)</f>
        <v>70.966400000000007</v>
      </c>
      <c r="J991" s="26">
        <f>518.4625</f>
        <v>518.46249999999998</v>
      </c>
    </row>
    <row r="992" spans="1:10" ht="15.75" x14ac:dyDescent="0.25">
      <c r="A992" s="13">
        <v>71497</v>
      </c>
      <c r="B992" s="10">
        <f>77.146 * CHOOSE(CONTROL!$C$15, $E$9, 100%, $G$9) + CHOOSE(CONTROL!$C$38, 0.0256, 0)</f>
        <v>77.171599999999998</v>
      </c>
      <c r="C992" s="10">
        <f>71.2085 * CHOOSE(CONTROL!$C$15, $E$9, 100%, $G$9) + CHOOSE(CONTROL!$C$38, 0.0347, 0)</f>
        <v>71.243200000000002</v>
      </c>
      <c r="D992" s="10">
        <f>71.2007 * CHOOSE(CONTROL!$C$15, $E$9, 100%, $G$9) + CHOOSE(CONTROL!$C$38, 0.0347, 0)</f>
        <v>71.235399999999998</v>
      </c>
      <c r="E992" s="28">
        <f>76.9898 * CHOOSE(CONTROL!$C$15, $E$9, 100%, $G$9) + CHOOSE(CONTROL!$C$38, 0.0347, 0)</f>
        <v>77.024500000000003</v>
      </c>
      <c r="F992" s="27">
        <f>76.9898 * CHOOSE(CONTROL!$C$15, $E$9, 100%, $G$9) + CHOOSE(CONTROL!$C$38, 0.0256, 0)</f>
        <v>77.0154</v>
      </c>
      <c r="G992" s="10">
        <f>71.2069 * CHOOSE(CONTROL!$C$15, $E$9, 100%, $G$9) + CHOOSE(CONTROL!$C$38, 0.0347, 0)</f>
        <v>71.241600000000005</v>
      </c>
      <c r="H992" s="10">
        <f>71.2069 * CHOOSE(CONTROL!$C$15, $E$9, 100%, $G$9) + CHOOSE(CONTROL!$C$38, 0.0347, 0)</f>
        <v>71.241600000000005</v>
      </c>
      <c r="I992" s="10">
        <f>71.2085 * CHOOSE(CONTROL!$C$15, $E$9, 100%, $G$9) + CHOOSE(CONTROL!$C$38, 0.0347, 0)</f>
        <v>71.243200000000002</v>
      </c>
      <c r="J992" s="26">
        <f>501.2297</f>
        <v>501.22969999999998</v>
      </c>
    </row>
    <row r="993" spans="1:10" ht="15.75" x14ac:dyDescent="0.25">
      <c r="A993" s="13">
        <v>71528</v>
      </c>
      <c r="B993" s="10">
        <f>77.3778 * CHOOSE(CONTROL!$C$15, $E$9, 100%, $G$9) + CHOOSE(CONTROL!$C$38, 0.0256, 0)</f>
        <v>77.403399999999991</v>
      </c>
      <c r="C993" s="10">
        <f>71.4403 * CHOOSE(CONTROL!$C$15, $E$9, 100%, $G$9) + CHOOSE(CONTROL!$C$38, 0.0347, 0)</f>
        <v>71.474999999999994</v>
      </c>
      <c r="D993" s="10">
        <f>71.4325 * CHOOSE(CONTROL!$C$15, $E$9, 100%, $G$9) + CHOOSE(CONTROL!$C$38, 0.0347, 0)</f>
        <v>71.467200000000005</v>
      </c>
      <c r="E993" s="28">
        <f>77.2216 * CHOOSE(CONTROL!$C$15, $E$9, 100%, $G$9) + CHOOSE(CONTROL!$C$38, 0.0347, 0)</f>
        <v>77.256299999999996</v>
      </c>
      <c r="F993" s="27">
        <f>77.2216 * CHOOSE(CONTROL!$C$15, $E$9, 100%, $G$9) + CHOOSE(CONTROL!$C$38, 0.0256, 0)</f>
        <v>77.247199999999992</v>
      </c>
      <c r="G993" s="10">
        <f>71.4387 * CHOOSE(CONTROL!$C$15, $E$9, 100%, $G$9) + CHOOSE(CONTROL!$C$38, 0.0347, 0)</f>
        <v>71.473399999999998</v>
      </c>
      <c r="H993" s="10">
        <f>71.4387 * CHOOSE(CONTROL!$C$15, $E$9, 100%, $G$9) + CHOOSE(CONTROL!$C$38, 0.0347, 0)</f>
        <v>71.473399999999998</v>
      </c>
      <c r="I993" s="10">
        <f>71.4403 * CHOOSE(CONTROL!$C$15, $E$9, 100%, $G$9) + CHOOSE(CONTROL!$C$38, 0.0347, 0)</f>
        <v>71.474999999999994</v>
      </c>
      <c r="J993" s="26">
        <f>483.8966</f>
        <v>483.89659999999998</v>
      </c>
    </row>
    <row r="994" spans="1:10" ht="15.75" x14ac:dyDescent="0.25">
      <c r="A994" s="13">
        <v>71558</v>
      </c>
      <c r="B994" s="10">
        <f>77.5713 * CHOOSE(CONTROL!$C$15, $E$9, 100%, $G$9) + CHOOSE(CONTROL!$C$38, 0.0256, 0)</f>
        <v>77.596899999999991</v>
      </c>
      <c r="C994" s="10">
        <f>71.6337 * CHOOSE(CONTROL!$C$15, $E$9, 100%, $G$9) + CHOOSE(CONTROL!$C$38, 0.0347, 0)</f>
        <v>71.668400000000005</v>
      </c>
      <c r="D994" s="10">
        <f>71.6259 * CHOOSE(CONTROL!$C$15, $E$9, 100%, $G$9) + CHOOSE(CONTROL!$C$38, 0.0347, 0)</f>
        <v>71.660600000000002</v>
      </c>
      <c r="E994" s="28">
        <f>77.415 * CHOOSE(CONTROL!$C$15, $E$9, 100%, $G$9) + CHOOSE(CONTROL!$C$38, 0.0347, 0)</f>
        <v>77.449700000000007</v>
      </c>
      <c r="F994" s="27">
        <f>77.415 * CHOOSE(CONTROL!$C$15, $E$9, 100%, $G$9) + CHOOSE(CONTROL!$C$38, 0.0256, 0)</f>
        <v>77.440600000000003</v>
      </c>
      <c r="G994" s="10">
        <f>71.6322 * CHOOSE(CONTROL!$C$15, $E$9, 100%, $G$9) + CHOOSE(CONTROL!$C$38, 0.0347, 0)</f>
        <v>71.666899999999998</v>
      </c>
      <c r="H994" s="10">
        <f>71.6322 * CHOOSE(CONTROL!$C$15, $E$9, 100%, $G$9) + CHOOSE(CONTROL!$C$38, 0.0347, 0)</f>
        <v>71.666899999999998</v>
      </c>
      <c r="I994" s="10">
        <f>71.6337 * CHOOSE(CONTROL!$C$15, $E$9, 100%, $G$9) + CHOOSE(CONTROL!$C$38, 0.0347, 0)</f>
        <v>71.668400000000005</v>
      </c>
      <c r="J994" s="26">
        <f>480.4488</f>
        <v>480.44880000000001</v>
      </c>
    </row>
    <row r="995" spans="1:10" ht="15.75" x14ac:dyDescent="0.25">
      <c r="A995" s="13">
        <v>71589</v>
      </c>
      <c r="B995" s="10">
        <f>78.1674 * CHOOSE(CONTROL!$C$15, $E$9, 100%, $G$9) + CHOOSE(CONTROL!$C$38, 0.0256, 0)</f>
        <v>78.192999999999998</v>
      </c>
      <c r="C995" s="10">
        <f>72.2298 * CHOOSE(CONTROL!$C$15, $E$9, 100%, $G$9) + CHOOSE(CONTROL!$C$38, 0.0347, 0)</f>
        <v>72.264499999999998</v>
      </c>
      <c r="D995" s="10">
        <f>72.222 * CHOOSE(CONTROL!$C$15, $E$9, 100%, $G$9) + CHOOSE(CONTROL!$C$38, 0.0347, 0)</f>
        <v>72.256699999999995</v>
      </c>
      <c r="E995" s="28">
        <f>78.0111 * CHOOSE(CONTROL!$C$15, $E$9, 100%, $G$9) + CHOOSE(CONTROL!$C$38, 0.0347, 0)</f>
        <v>78.0458</v>
      </c>
      <c r="F995" s="27">
        <f>78.0111 * CHOOSE(CONTROL!$C$15, $E$9, 100%, $G$9) + CHOOSE(CONTROL!$C$38, 0.0256, 0)</f>
        <v>78.036699999999996</v>
      </c>
      <c r="G995" s="10">
        <f>72.2282 * CHOOSE(CONTROL!$C$15, $E$9, 100%, $G$9) + CHOOSE(CONTROL!$C$38, 0.0347, 0)</f>
        <v>72.262900000000002</v>
      </c>
      <c r="H995" s="10">
        <f>72.2282 * CHOOSE(CONTROL!$C$15, $E$9, 100%, $G$9) + CHOOSE(CONTROL!$C$38, 0.0347, 0)</f>
        <v>72.262900000000002</v>
      </c>
      <c r="I995" s="10">
        <f>72.2298 * CHOOSE(CONTROL!$C$15, $E$9, 100%, $G$9) + CHOOSE(CONTROL!$C$38, 0.0347, 0)</f>
        <v>72.264499999999998</v>
      </c>
      <c r="J995" s="26">
        <f>466.1914</f>
        <v>466.19139999999999</v>
      </c>
    </row>
    <row r="996" spans="1:10" ht="15.75" x14ac:dyDescent="0.25">
      <c r="A996" s="13">
        <v>71620</v>
      </c>
      <c r="B996" s="10">
        <f>79.9984 * CHOOSE(CONTROL!$C$15, $E$9, 100%, $G$9) + CHOOSE(CONTROL!$C$38, 0.0256, 0)</f>
        <v>80.024000000000001</v>
      </c>
      <c r="C996" s="10">
        <f>73.9587 * CHOOSE(CONTROL!$C$15, $E$9, 100%, $G$9) + CHOOSE(CONTROL!$C$38, 0.0347, 0)</f>
        <v>73.993399999999994</v>
      </c>
      <c r="D996" s="10">
        <f>73.9509 * CHOOSE(CONTROL!$C$15, $E$9, 100%, $G$9) + CHOOSE(CONTROL!$C$38, 0.0347, 0)</f>
        <v>73.985600000000005</v>
      </c>
      <c r="E996" s="28">
        <f>79.8421 * CHOOSE(CONTROL!$C$15, $E$9, 100%, $G$9) + CHOOSE(CONTROL!$C$38, 0.0347, 0)</f>
        <v>79.876800000000003</v>
      </c>
      <c r="F996" s="27">
        <f>79.8421 * CHOOSE(CONTROL!$C$15, $E$9, 100%, $G$9) + CHOOSE(CONTROL!$C$38, 0.0256, 0)</f>
        <v>79.867699999999999</v>
      </c>
      <c r="G996" s="10">
        <f>73.9571 * CHOOSE(CONTROL!$C$15, $E$9, 100%, $G$9) + CHOOSE(CONTROL!$C$38, 0.0347, 0)</f>
        <v>73.991799999999998</v>
      </c>
      <c r="H996" s="10">
        <f>73.9571 * CHOOSE(CONTROL!$C$15, $E$9, 100%, $G$9) + CHOOSE(CONTROL!$C$38, 0.0347, 0)</f>
        <v>73.991799999999998</v>
      </c>
      <c r="I996" s="10">
        <f>73.9587 * CHOOSE(CONTROL!$C$15, $E$9, 100%, $G$9) + CHOOSE(CONTROL!$C$38, 0.0347, 0)</f>
        <v>73.993399999999994</v>
      </c>
      <c r="J996" s="26">
        <f>463.0686</f>
        <v>463.0686</v>
      </c>
    </row>
    <row r="997" spans="1:10" ht="15.75" x14ac:dyDescent="0.25">
      <c r="A997" s="13">
        <v>71649</v>
      </c>
      <c r="B997" s="10">
        <f>80.2192 * CHOOSE(CONTROL!$C$15, $E$9, 100%, $G$9) + CHOOSE(CONTROL!$C$38, 0.0256, 0)</f>
        <v>80.244799999999998</v>
      </c>
      <c r="C997" s="10">
        <f>74.1794 * CHOOSE(CONTROL!$C$15, $E$9, 100%, $G$9) + CHOOSE(CONTROL!$C$38, 0.0347, 0)</f>
        <v>74.214100000000002</v>
      </c>
      <c r="D997" s="10">
        <f>74.1716 * CHOOSE(CONTROL!$C$15, $E$9, 100%, $G$9) + CHOOSE(CONTROL!$C$38, 0.0347, 0)</f>
        <v>74.206299999999999</v>
      </c>
      <c r="E997" s="28">
        <f>80.0629 * CHOOSE(CONTROL!$C$15, $E$9, 100%, $G$9) + CHOOSE(CONTROL!$C$38, 0.0347, 0)</f>
        <v>80.0976</v>
      </c>
      <c r="F997" s="27">
        <f>80.0629 * CHOOSE(CONTROL!$C$15, $E$9, 100%, $G$9) + CHOOSE(CONTROL!$C$38, 0.0256, 0)</f>
        <v>80.088499999999996</v>
      </c>
      <c r="G997" s="10">
        <f>74.1779 * CHOOSE(CONTROL!$C$15, $E$9, 100%, $G$9) + CHOOSE(CONTROL!$C$38, 0.0347, 0)</f>
        <v>74.212599999999995</v>
      </c>
      <c r="H997" s="10">
        <f>74.1779 * CHOOSE(CONTROL!$C$15, $E$9, 100%, $G$9) + CHOOSE(CONTROL!$C$38, 0.0347, 0)</f>
        <v>74.212599999999995</v>
      </c>
      <c r="I997" s="10">
        <f>74.1794 * CHOOSE(CONTROL!$C$15, $E$9, 100%, $G$9) + CHOOSE(CONTROL!$C$38, 0.0347, 0)</f>
        <v>74.214100000000002</v>
      </c>
      <c r="J997" s="26">
        <f>461.7815</f>
        <v>461.78149999999999</v>
      </c>
    </row>
    <row r="998" spans="1:10" ht="15.75" x14ac:dyDescent="0.25">
      <c r="A998" s="13">
        <v>71680</v>
      </c>
      <c r="B998" s="10">
        <f>79.7081 * CHOOSE(CONTROL!$C$15, $E$9, 100%, $G$9) + CHOOSE(CONTROL!$C$38, 0.0256, 0)</f>
        <v>79.733699999999999</v>
      </c>
      <c r="C998" s="10">
        <f>73.6684 * CHOOSE(CONTROL!$C$15, $E$9, 100%, $G$9) + CHOOSE(CONTROL!$C$38, 0.0347, 0)</f>
        <v>73.703100000000006</v>
      </c>
      <c r="D998" s="10">
        <f>73.6606 * CHOOSE(CONTROL!$C$15, $E$9, 100%, $G$9) + CHOOSE(CONTROL!$C$38, 0.0347, 0)</f>
        <v>73.695300000000003</v>
      </c>
      <c r="E998" s="28">
        <f>79.5519 * CHOOSE(CONTROL!$C$15, $E$9, 100%, $G$9) + CHOOSE(CONTROL!$C$38, 0.0347, 0)</f>
        <v>79.586600000000004</v>
      </c>
      <c r="F998" s="27">
        <f>79.5519 * CHOOSE(CONTROL!$C$15, $E$9, 100%, $G$9) + CHOOSE(CONTROL!$C$38, 0.0256, 0)</f>
        <v>79.577500000000001</v>
      </c>
      <c r="G998" s="10">
        <f>73.6669 * CHOOSE(CONTROL!$C$15, $E$9, 100%, $G$9) + CHOOSE(CONTROL!$C$38, 0.0347, 0)</f>
        <v>73.701599999999999</v>
      </c>
      <c r="H998" s="10">
        <f>73.6669 * CHOOSE(CONTROL!$C$15, $E$9, 100%, $G$9) + CHOOSE(CONTROL!$C$38, 0.0347, 0)</f>
        <v>73.701599999999999</v>
      </c>
      <c r="I998" s="10">
        <f>73.6684 * CHOOSE(CONTROL!$C$15, $E$9, 100%, $G$9) + CHOOSE(CONTROL!$C$38, 0.0347, 0)</f>
        <v>73.703100000000006</v>
      </c>
      <c r="J998" s="26">
        <f>486.12</f>
        <v>486.12</v>
      </c>
    </row>
    <row r="999" spans="1:10" ht="15.75" x14ac:dyDescent="0.25">
      <c r="A999" s="13">
        <v>71710</v>
      </c>
      <c r="B999" s="10">
        <f>79.2129 * CHOOSE(CONTROL!$C$15, $E$9, 100%, $G$9) + CHOOSE(CONTROL!$C$38, 0.0256, 0)</f>
        <v>79.238500000000002</v>
      </c>
      <c r="C999" s="10">
        <f>73.1732 * CHOOSE(CONTROL!$C$15, $E$9, 100%, $G$9) + CHOOSE(CONTROL!$C$38, 0.0347, 0)</f>
        <v>73.207899999999995</v>
      </c>
      <c r="D999" s="10">
        <f>73.1654 * CHOOSE(CONTROL!$C$15, $E$9, 100%, $G$9) + CHOOSE(CONTROL!$C$38, 0.0347, 0)</f>
        <v>73.200100000000006</v>
      </c>
      <c r="E999" s="28">
        <f>79.0567 * CHOOSE(CONTROL!$C$15, $E$9, 100%, $G$9) + CHOOSE(CONTROL!$C$38, 0.0347, 0)</f>
        <v>79.091400000000007</v>
      </c>
      <c r="F999" s="27">
        <f>79.0567 * CHOOSE(CONTROL!$C$15, $E$9, 100%, $G$9) + CHOOSE(CONTROL!$C$38, 0.0256, 0)</f>
        <v>79.082300000000004</v>
      </c>
      <c r="G999" s="10">
        <f>73.1717 * CHOOSE(CONTROL!$C$15, $E$9, 100%, $G$9) + CHOOSE(CONTROL!$C$38, 0.0347, 0)</f>
        <v>73.206400000000002</v>
      </c>
      <c r="H999" s="10">
        <f>73.1717 * CHOOSE(CONTROL!$C$15, $E$9, 100%, $G$9) + CHOOSE(CONTROL!$C$38, 0.0347, 0)</f>
        <v>73.206400000000002</v>
      </c>
      <c r="I999" s="10">
        <f>73.1732 * CHOOSE(CONTROL!$C$15, $E$9, 100%, $G$9) + CHOOSE(CONTROL!$C$38, 0.0347, 0)</f>
        <v>73.207899999999995</v>
      </c>
      <c r="J999" s="26">
        <f>517.6813</f>
        <v>517.68129999999996</v>
      </c>
    </row>
    <row r="1000" spans="1:10" ht="15.75" x14ac:dyDescent="0.25">
      <c r="A1000" s="13">
        <v>71741</v>
      </c>
      <c r="B1000" s="10">
        <f>78.6968 * CHOOSE(CONTROL!$C$15, $E$9, 100%, $G$9) + CHOOSE(CONTROL!$C$38, 0.0256, 0)</f>
        <v>78.722399999999993</v>
      </c>
      <c r="C1000" s="10">
        <f>72.6571 * CHOOSE(CONTROL!$C$15, $E$9, 100%, $G$9) + CHOOSE(CONTROL!$C$38, 0.0347, 0)</f>
        <v>72.691800000000001</v>
      </c>
      <c r="D1000" s="10">
        <f>72.6493 * CHOOSE(CONTROL!$C$15, $E$9, 100%, $G$9) + CHOOSE(CONTROL!$C$38, 0.0347, 0)</f>
        <v>72.683999999999997</v>
      </c>
      <c r="E1000" s="28">
        <f>78.5406 * CHOOSE(CONTROL!$C$15, $E$9, 100%, $G$9) + CHOOSE(CONTROL!$C$38, 0.0347, 0)</f>
        <v>78.575299999999999</v>
      </c>
      <c r="F1000" s="27">
        <f>78.5406 * CHOOSE(CONTROL!$C$15, $E$9, 100%, $G$9) + CHOOSE(CONTROL!$C$38, 0.0256, 0)</f>
        <v>78.566199999999995</v>
      </c>
      <c r="G1000" s="10">
        <f>72.6556 * CHOOSE(CONTROL!$C$15, $E$9, 100%, $G$9) + CHOOSE(CONTROL!$C$38, 0.0347, 0)</f>
        <v>72.690300000000008</v>
      </c>
      <c r="H1000" s="10">
        <f>72.6556 * CHOOSE(CONTROL!$C$15, $E$9, 100%, $G$9) + CHOOSE(CONTROL!$C$38, 0.0347, 0)</f>
        <v>72.690300000000008</v>
      </c>
      <c r="I1000" s="10">
        <f>72.6571 * CHOOSE(CONTROL!$C$15, $E$9, 100%, $G$9) + CHOOSE(CONTROL!$C$38, 0.0347, 0)</f>
        <v>72.691800000000001</v>
      </c>
      <c r="J1000" s="26">
        <f>535.0537</f>
        <v>535.05370000000005</v>
      </c>
    </row>
    <row r="1001" spans="1:10" ht="15.75" x14ac:dyDescent="0.25">
      <c r="A1001" s="13">
        <v>71771</v>
      </c>
      <c r="B1001" s="10">
        <f>78.335 * CHOOSE(CONTROL!$C$15, $E$9, 100%, $G$9) + CHOOSE(CONTROL!$C$38, 0.0256, 0)</f>
        <v>78.360599999999991</v>
      </c>
      <c r="C1001" s="10">
        <f>72.2953 * CHOOSE(CONTROL!$C$15, $E$9, 100%, $G$9) + CHOOSE(CONTROL!$C$38, 0.0347, 0)</f>
        <v>72.33</v>
      </c>
      <c r="D1001" s="10">
        <f>72.2875 * CHOOSE(CONTROL!$C$15, $E$9, 100%, $G$9) + CHOOSE(CONTROL!$C$38, 0.0347, 0)</f>
        <v>72.322199999999995</v>
      </c>
      <c r="E1001" s="28">
        <f>78.1787 * CHOOSE(CONTROL!$C$15, $E$9, 100%, $G$9) + CHOOSE(CONTROL!$C$38, 0.0347, 0)</f>
        <v>78.213400000000007</v>
      </c>
      <c r="F1001" s="27">
        <f>78.1787 * CHOOSE(CONTROL!$C$15, $E$9, 100%, $G$9) + CHOOSE(CONTROL!$C$38, 0.0256, 0)</f>
        <v>78.204300000000003</v>
      </c>
      <c r="G1001" s="10">
        <f>72.2937 * CHOOSE(CONTROL!$C$15, $E$9, 100%, $G$9) + CHOOSE(CONTROL!$C$38, 0.0347, 0)</f>
        <v>72.328400000000002</v>
      </c>
      <c r="H1001" s="10">
        <f>72.2937 * CHOOSE(CONTROL!$C$15, $E$9, 100%, $G$9) + CHOOSE(CONTROL!$C$38, 0.0347, 0)</f>
        <v>72.328400000000002</v>
      </c>
      <c r="I1001" s="10">
        <f>72.2953 * CHOOSE(CONTROL!$C$15, $E$9, 100%, $G$9) + CHOOSE(CONTROL!$C$38, 0.0347, 0)</f>
        <v>72.33</v>
      </c>
      <c r="J1001" s="26">
        <f>542.7632</f>
        <v>542.76319999999998</v>
      </c>
    </row>
    <row r="1002" spans="1:10" ht="15.75" x14ac:dyDescent="0.25">
      <c r="A1002" s="13">
        <v>71802</v>
      </c>
      <c r="B1002" s="10">
        <f>78.1285 * CHOOSE(CONTROL!$C$15, $E$9, 100%, $G$9) + CHOOSE(CONTROL!$C$38, 0.0256, 0)</f>
        <v>78.1541</v>
      </c>
      <c r="C1002" s="10">
        <f>72.0888 * CHOOSE(CONTROL!$C$15, $E$9, 100%, $G$9) + CHOOSE(CONTROL!$C$38, 0.0347, 0)</f>
        <v>72.123500000000007</v>
      </c>
      <c r="D1002" s="10">
        <f>72.081 * CHOOSE(CONTROL!$C$15, $E$9, 100%, $G$9) + CHOOSE(CONTROL!$C$38, 0.0347, 0)</f>
        <v>72.115700000000004</v>
      </c>
      <c r="E1002" s="28">
        <f>77.9723 * CHOOSE(CONTROL!$C$15, $E$9, 100%, $G$9) + CHOOSE(CONTROL!$C$38, 0.0347, 0)</f>
        <v>78.007000000000005</v>
      </c>
      <c r="F1002" s="27">
        <f>77.9723 * CHOOSE(CONTROL!$C$15, $E$9, 100%, $G$9) + CHOOSE(CONTROL!$C$38, 0.0256, 0)</f>
        <v>77.997900000000001</v>
      </c>
      <c r="G1002" s="10">
        <f>72.0872 * CHOOSE(CONTROL!$C$15, $E$9, 100%, $G$9) + CHOOSE(CONTROL!$C$38, 0.0347, 0)</f>
        <v>72.121899999999997</v>
      </c>
      <c r="H1002" s="10">
        <f>72.0872 * CHOOSE(CONTROL!$C$15, $E$9, 100%, $G$9) + CHOOSE(CONTROL!$C$38, 0.0347, 0)</f>
        <v>72.121899999999997</v>
      </c>
      <c r="I1002" s="10">
        <f>72.0888 * CHOOSE(CONTROL!$C$15, $E$9, 100%, $G$9) + CHOOSE(CONTROL!$C$38, 0.0347, 0)</f>
        <v>72.123500000000007</v>
      </c>
      <c r="J1002" s="26">
        <f>540.2249</f>
        <v>540.22490000000005</v>
      </c>
    </row>
    <row r="1003" spans="1:10" ht="15.75" x14ac:dyDescent="0.25">
      <c r="A1003" s="13">
        <v>71833</v>
      </c>
      <c r="B1003" s="10">
        <f>78.2304 * CHOOSE(CONTROL!$C$15, $E$9, 100%, $G$9) + CHOOSE(CONTROL!$C$38, 0.0256, 0)</f>
        <v>78.256</v>
      </c>
      <c r="C1003" s="10">
        <f>72.1907 * CHOOSE(CONTROL!$C$15, $E$9, 100%, $G$9) + CHOOSE(CONTROL!$C$38, 0.0347, 0)</f>
        <v>72.225400000000008</v>
      </c>
      <c r="D1003" s="10">
        <f>72.1829 * CHOOSE(CONTROL!$C$15, $E$9, 100%, $G$9) + CHOOSE(CONTROL!$C$38, 0.0347, 0)</f>
        <v>72.217600000000004</v>
      </c>
      <c r="E1003" s="28">
        <f>78.0742 * CHOOSE(CONTROL!$C$15, $E$9, 100%, $G$9) + CHOOSE(CONTROL!$C$38, 0.0347, 0)</f>
        <v>78.108900000000006</v>
      </c>
      <c r="F1003" s="27">
        <f>78.0742 * CHOOSE(CONTROL!$C$15, $E$9, 100%, $G$9) + CHOOSE(CONTROL!$C$38, 0.0256, 0)</f>
        <v>78.099800000000002</v>
      </c>
      <c r="G1003" s="10">
        <f>72.1891 * CHOOSE(CONTROL!$C$15, $E$9, 100%, $G$9) + CHOOSE(CONTROL!$C$38, 0.0347, 0)</f>
        <v>72.223799999999997</v>
      </c>
      <c r="H1003" s="10">
        <f>72.1891 * CHOOSE(CONTROL!$C$15, $E$9, 100%, $G$9) + CHOOSE(CONTROL!$C$38, 0.0347, 0)</f>
        <v>72.223799999999997</v>
      </c>
      <c r="I1003" s="10">
        <f>72.1907 * CHOOSE(CONTROL!$C$15, $E$9, 100%, $G$9) + CHOOSE(CONTROL!$C$38, 0.0347, 0)</f>
        <v>72.225400000000008</v>
      </c>
      <c r="J1003" s="26">
        <f>527.6487</f>
        <v>527.64869999999996</v>
      </c>
    </row>
    <row r="1004" spans="1:10" ht="15.75" x14ac:dyDescent="0.25">
      <c r="A1004" s="13">
        <v>71863</v>
      </c>
      <c r="B1004" s="10">
        <f>78.5072 * CHOOSE(CONTROL!$C$15, $E$9, 100%, $G$9) + CHOOSE(CONTROL!$C$38, 0.0256, 0)</f>
        <v>78.532799999999995</v>
      </c>
      <c r="C1004" s="10">
        <f>72.4675 * CHOOSE(CONTROL!$C$15, $E$9, 100%, $G$9) + CHOOSE(CONTROL!$C$38, 0.0347, 0)</f>
        <v>72.502200000000002</v>
      </c>
      <c r="D1004" s="10">
        <f>72.4597 * CHOOSE(CONTROL!$C$15, $E$9, 100%, $G$9) + CHOOSE(CONTROL!$C$38, 0.0347, 0)</f>
        <v>72.494399999999999</v>
      </c>
      <c r="E1004" s="28">
        <f>78.351 * CHOOSE(CONTROL!$C$15, $E$9, 100%, $G$9) + CHOOSE(CONTROL!$C$38, 0.0347, 0)</f>
        <v>78.3857</v>
      </c>
      <c r="F1004" s="27">
        <f>78.351 * CHOOSE(CONTROL!$C$15, $E$9, 100%, $G$9) + CHOOSE(CONTROL!$C$38, 0.0256, 0)</f>
        <v>78.376599999999996</v>
      </c>
      <c r="G1004" s="10">
        <f>72.4659 * CHOOSE(CONTROL!$C$15, $E$9, 100%, $G$9) + CHOOSE(CONTROL!$C$38, 0.0347, 0)</f>
        <v>72.500600000000006</v>
      </c>
      <c r="H1004" s="10">
        <f>72.4659 * CHOOSE(CONTROL!$C$15, $E$9, 100%, $G$9) + CHOOSE(CONTROL!$C$38, 0.0347, 0)</f>
        <v>72.500600000000006</v>
      </c>
      <c r="I1004" s="10">
        <f>72.4675 * CHOOSE(CONTROL!$C$15, $E$9, 100%, $G$9) + CHOOSE(CONTROL!$C$38, 0.0347, 0)</f>
        <v>72.502200000000002</v>
      </c>
      <c r="J1004" s="26">
        <f>510.1105</f>
        <v>510.1105</v>
      </c>
    </row>
    <row r="1005" spans="1:10" ht="15.75" x14ac:dyDescent="0.25">
      <c r="A1005" s="13">
        <v>71894</v>
      </c>
      <c r="B1005" s="10">
        <f>78.739 * CHOOSE(CONTROL!$C$15, $E$9, 100%, $G$9) + CHOOSE(CONTROL!$C$38, 0.0256, 0)</f>
        <v>78.764600000000002</v>
      </c>
      <c r="C1005" s="10">
        <f>72.6993 * CHOOSE(CONTROL!$C$15, $E$9, 100%, $G$9) + CHOOSE(CONTROL!$C$38, 0.0347, 0)</f>
        <v>72.733999999999995</v>
      </c>
      <c r="D1005" s="10">
        <f>72.6915 * CHOOSE(CONTROL!$C$15, $E$9, 100%, $G$9) + CHOOSE(CONTROL!$C$38, 0.0347, 0)</f>
        <v>72.726200000000006</v>
      </c>
      <c r="E1005" s="28">
        <f>78.5828 * CHOOSE(CONTROL!$C$15, $E$9, 100%, $G$9) + CHOOSE(CONTROL!$C$38, 0.0347, 0)</f>
        <v>78.617500000000007</v>
      </c>
      <c r="F1005" s="27">
        <f>78.5828 * CHOOSE(CONTROL!$C$15, $E$9, 100%, $G$9) + CHOOSE(CONTROL!$C$38, 0.0256, 0)</f>
        <v>78.608400000000003</v>
      </c>
      <c r="G1005" s="10">
        <f>72.6978 * CHOOSE(CONTROL!$C$15, $E$9, 100%, $G$9) + CHOOSE(CONTROL!$C$38, 0.0347, 0)</f>
        <v>72.732500000000002</v>
      </c>
      <c r="H1005" s="10">
        <f>72.6978 * CHOOSE(CONTROL!$C$15, $E$9, 100%, $G$9) + CHOOSE(CONTROL!$C$38, 0.0347, 0)</f>
        <v>72.732500000000002</v>
      </c>
      <c r="I1005" s="10">
        <f>72.6993 * CHOOSE(CONTROL!$C$15, $E$9, 100%, $G$9) + CHOOSE(CONTROL!$C$38, 0.0347, 0)</f>
        <v>72.733999999999995</v>
      </c>
      <c r="J1005" s="26">
        <f>492.4704</f>
        <v>492.47039999999998</v>
      </c>
    </row>
    <row r="1006" spans="1:10" ht="15.75" x14ac:dyDescent="0.25">
      <c r="A1006" s="13">
        <v>71924</v>
      </c>
      <c r="B1006" s="10">
        <f>78.9325 * CHOOSE(CONTROL!$C$15, $E$9, 100%, $G$9) + CHOOSE(CONTROL!$C$38, 0.0256, 0)</f>
        <v>78.958100000000002</v>
      </c>
      <c r="C1006" s="10">
        <f>72.8928 * CHOOSE(CONTROL!$C$15, $E$9, 100%, $G$9) + CHOOSE(CONTROL!$C$38, 0.0347, 0)</f>
        <v>72.927499999999995</v>
      </c>
      <c r="D1006" s="10">
        <f>72.885 * CHOOSE(CONTROL!$C$15, $E$9, 100%, $G$9) + CHOOSE(CONTROL!$C$38, 0.0347, 0)</f>
        <v>72.919700000000006</v>
      </c>
      <c r="E1006" s="28">
        <f>78.7762 * CHOOSE(CONTROL!$C$15, $E$9, 100%, $G$9) + CHOOSE(CONTROL!$C$38, 0.0347, 0)</f>
        <v>78.810900000000004</v>
      </c>
      <c r="F1006" s="27">
        <f>78.7762 * CHOOSE(CONTROL!$C$15, $E$9, 100%, $G$9) + CHOOSE(CONTROL!$C$38, 0.0256, 0)</f>
        <v>78.8018</v>
      </c>
      <c r="G1006" s="10">
        <f>72.8912 * CHOOSE(CONTROL!$C$15, $E$9, 100%, $G$9) + CHOOSE(CONTROL!$C$38, 0.0347, 0)</f>
        <v>72.925899999999999</v>
      </c>
      <c r="H1006" s="10">
        <f>72.8912 * CHOOSE(CONTROL!$C$15, $E$9, 100%, $G$9) + CHOOSE(CONTROL!$C$38, 0.0347, 0)</f>
        <v>72.925899999999999</v>
      </c>
      <c r="I1006" s="10">
        <f>72.8928 * CHOOSE(CONTROL!$C$15, $E$9, 100%, $G$9) + CHOOSE(CONTROL!$C$38, 0.0347, 0)</f>
        <v>72.927499999999995</v>
      </c>
      <c r="J1006" s="26">
        <f>488.9614</f>
        <v>488.96140000000003</v>
      </c>
    </row>
    <row r="1007" spans="1:10" ht="15.75" x14ac:dyDescent="0.25">
      <c r="A1007" s="13">
        <v>71955</v>
      </c>
      <c r="B1007" s="10">
        <f>79.5285 * CHOOSE(CONTROL!$C$15, $E$9, 100%, $G$9) + CHOOSE(CONTROL!$C$38, 0.0256, 0)</f>
        <v>79.554099999999991</v>
      </c>
      <c r="C1007" s="10">
        <f>73.4888 * CHOOSE(CONTROL!$C$15, $E$9, 100%, $G$9) + CHOOSE(CONTROL!$C$38, 0.0347, 0)</f>
        <v>73.523499999999999</v>
      </c>
      <c r="D1007" s="10">
        <f>73.481 * CHOOSE(CONTROL!$C$15, $E$9, 100%, $G$9) + CHOOSE(CONTROL!$C$38, 0.0347, 0)</f>
        <v>73.515699999999995</v>
      </c>
      <c r="E1007" s="28">
        <f>79.3723 * CHOOSE(CONTROL!$C$15, $E$9, 100%, $G$9) + CHOOSE(CONTROL!$C$38, 0.0347, 0)</f>
        <v>79.406999999999996</v>
      </c>
      <c r="F1007" s="27">
        <f>79.3723 * CHOOSE(CONTROL!$C$15, $E$9, 100%, $G$9) + CHOOSE(CONTROL!$C$38, 0.0256, 0)</f>
        <v>79.397899999999993</v>
      </c>
      <c r="G1007" s="10">
        <f>73.4873 * CHOOSE(CONTROL!$C$15, $E$9, 100%, $G$9) + CHOOSE(CONTROL!$C$38, 0.0347, 0)</f>
        <v>73.522000000000006</v>
      </c>
      <c r="H1007" s="10">
        <f>73.4873 * CHOOSE(CONTROL!$C$15, $E$9, 100%, $G$9) + CHOOSE(CONTROL!$C$38, 0.0347, 0)</f>
        <v>73.522000000000006</v>
      </c>
      <c r="I1007" s="10">
        <f>73.4888 * CHOOSE(CONTROL!$C$15, $E$9, 100%, $G$9) + CHOOSE(CONTROL!$C$38, 0.0347, 0)</f>
        <v>73.523499999999999</v>
      </c>
      <c r="J1007" s="26">
        <f>474.4514</f>
        <v>474.45139999999998</v>
      </c>
    </row>
    <row r="1008" spans="1:10" ht="15.75" x14ac:dyDescent="0.25">
      <c r="A1008" s="13">
        <v>71986</v>
      </c>
      <c r="B1008" s="10">
        <f>81.3836 * CHOOSE(CONTROL!$C$15, $E$9, 100%, $G$9) + CHOOSE(CONTROL!$C$38, 0.0256, 0)</f>
        <v>81.409199999999998</v>
      </c>
      <c r="C1008" s="10">
        <f>75.24 * CHOOSE(CONTROL!$C$15, $E$9, 100%, $G$9) + CHOOSE(CONTROL!$C$38, 0.0347, 0)</f>
        <v>75.274699999999996</v>
      </c>
      <c r="D1008" s="10">
        <f>75.2322 * CHOOSE(CONTROL!$C$15, $E$9, 100%, $G$9) + CHOOSE(CONTROL!$C$38, 0.0347, 0)</f>
        <v>75.266900000000007</v>
      </c>
      <c r="E1008" s="28">
        <f>81.2274 * CHOOSE(CONTROL!$C$15, $E$9, 100%, $G$9) + CHOOSE(CONTROL!$C$38, 0.0347, 0)</f>
        <v>81.262100000000004</v>
      </c>
      <c r="F1008" s="27">
        <f>81.2274 * CHOOSE(CONTROL!$C$15, $E$9, 100%, $G$9) + CHOOSE(CONTROL!$C$38, 0.0256, 0)</f>
        <v>81.253</v>
      </c>
      <c r="G1008" s="10">
        <f>75.2384 * CHOOSE(CONTROL!$C$15, $E$9, 100%, $G$9) + CHOOSE(CONTROL!$C$38, 0.0347, 0)</f>
        <v>75.273099999999999</v>
      </c>
      <c r="H1008" s="10">
        <f>75.2384 * CHOOSE(CONTROL!$C$15, $E$9, 100%, $G$9) + CHOOSE(CONTROL!$C$38, 0.0347, 0)</f>
        <v>75.273099999999999</v>
      </c>
      <c r="I1008" s="10">
        <f>75.24 * CHOOSE(CONTROL!$C$15, $E$9, 100%, $G$9) + CHOOSE(CONTROL!$C$38, 0.0347, 0)</f>
        <v>75.274699999999996</v>
      </c>
      <c r="J1008" s="26">
        <f>471.2733</f>
        <v>471.27330000000001</v>
      </c>
    </row>
    <row r="1009" spans="1:10" ht="15.75" x14ac:dyDescent="0.25">
      <c r="A1009" s="13">
        <v>72014</v>
      </c>
      <c r="B1009" s="10">
        <f>81.6044 * CHOOSE(CONTROL!$C$15, $E$9, 100%, $G$9) + CHOOSE(CONTROL!$C$38, 0.0256, 0)</f>
        <v>81.63</v>
      </c>
      <c r="C1009" s="10">
        <f>75.4607 * CHOOSE(CONTROL!$C$15, $E$9, 100%, $G$9) + CHOOSE(CONTROL!$C$38, 0.0347, 0)</f>
        <v>75.495400000000004</v>
      </c>
      <c r="D1009" s="10">
        <f>75.4529 * CHOOSE(CONTROL!$C$15, $E$9, 100%, $G$9) + CHOOSE(CONTROL!$C$38, 0.0347, 0)</f>
        <v>75.4876</v>
      </c>
      <c r="E1009" s="28">
        <f>81.4481 * CHOOSE(CONTROL!$C$15, $E$9, 100%, $G$9) + CHOOSE(CONTROL!$C$38, 0.0347, 0)</f>
        <v>81.482799999999997</v>
      </c>
      <c r="F1009" s="27">
        <f>81.4481 * CHOOSE(CONTROL!$C$15, $E$9, 100%, $G$9) + CHOOSE(CONTROL!$C$38, 0.0256, 0)</f>
        <v>81.473699999999994</v>
      </c>
      <c r="G1009" s="10">
        <f>75.4592 * CHOOSE(CONTROL!$C$15, $E$9, 100%, $G$9) + CHOOSE(CONTROL!$C$38, 0.0347, 0)</f>
        <v>75.493899999999996</v>
      </c>
      <c r="H1009" s="10">
        <f>75.4592 * CHOOSE(CONTROL!$C$15, $E$9, 100%, $G$9) + CHOOSE(CONTROL!$C$38, 0.0347, 0)</f>
        <v>75.493899999999996</v>
      </c>
      <c r="I1009" s="10">
        <f>75.4607 * CHOOSE(CONTROL!$C$15, $E$9, 100%, $G$9) + CHOOSE(CONTROL!$C$38, 0.0347, 0)</f>
        <v>75.495400000000004</v>
      </c>
      <c r="J1009" s="26">
        <f>469.9634</f>
        <v>469.96339999999998</v>
      </c>
    </row>
    <row r="1010" spans="1:10" ht="15.75" x14ac:dyDescent="0.25">
      <c r="A1010" s="13">
        <v>72045</v>
      </c>
      <c r="B1010" s="10">
        <f>81.0934 * CHOOSE(CONTROL!$C$15, $E$9, 100%, $G$9) + CHOOSE(CONTROL!$C$38, 0.0256, 0)</f>
        <v>81.119</v>
      </c>
      <c r="C1010" s="10">
        <f>74.9497 * CHOOSE(CONTROL!$C$15, $E$9, 100%, $G$9) + CHOOSE(CONTROL!$C$38, 0.0347, 0)</f>
        <v>74.984400000000008</v>
      </c>
      <c r="D1010" s="10">
        <f>74.9419 * CHOOSE(CONTROL!$C$15, $E$9, 100%, $G$9) + CHOOSE(CONTROL!$C$38, 0.0347, 0)</f>
        <v>74.976600000000005</v>
      </c>
      <c r="E1010" s="28">
        <f>80.9371 * CHOOSE(CONTROL!$C$15, $E$9, 100%, $G$9) + CHOOSE(CONTROL!$C$38, 0.0347, 0)</f>
        <v>80.971800000000002</v>
      </c>
      <c r="F1010" s="27">
        <f>80.9371 * CHOOSE(CONTROL!$C$15, $E$9, 100%, $G$9) + CHOOSE(CONTROL!$C$38, 0.0256, 0)</f>
        <v>80.962699999999998</v>
      </c>
      <c r="G1010" s="10">
        <f>74.9481 * CHOOSE(CONTROL!$C$15, $E$9, 100%, $G$9) + CHOOSE(CONTROL!$C$38, 0.0347, 0)</f>
        <v>74.982799999999997</v>
      </c>
      <c r="H1010" s="10">
        <f>74.9481 * CHOOSE(CONTROL!$C$15, $E$9, 100%, $G$9) + CHOOSE(CONTROL!$C$38, 0.0347, 0)</f>
        <v>74.982799999999997</v>
      </c>
      <c r="I1010" s="10">
        <f>74.9497 * CHOOSE(CONTROL!$C$15, $E$9, 100%, $G$9) + CHOOSE(CONTROL!$C$38, 0.0347, 0)</f>
        <v>74.984400000000008</v>
      </c>
      <c r="J1010" s="26">
        <f>494.7331</f>
        <v>494.73309999999998</v>
      </c>
    </row>
    <row r="1011" spans="1:10" ht="15.75" x14ac:dyDescent="0.25">
      <c r="A1011" s="13">
        <v>72075</v>
      </c>
      <c r="B1011" s="10">
        <f>80.5982 * CHOOSE(CONTROL!$C$15, $E$9, 100%, $G$9) + CHOOSE(CONTROL!$C$38, 0.0256, 0)</f>
        <v>80.623800000000003</v>
      </c>
      <c r="C1011" s="10">
        <f>74.4545 * CHOOSE(CONTROL!$C$15, $E$9, 100%, $G$9) + CHOOSE(CONTROL!$C$38, 0.0347, 0)</f>
        <v>74.489199999999997</v>
      </c>
      <c r="D1011" s="10">
        <f>74.4467 * CHOOSE(CONTROL!$C$15, $E$9, 100%, $G$9) + CHOOSE(CONTROL!$C$38, 0.0347, 0)</f>
        <v>74.481400000000008</v>
      </c>
      <c r="E1011" s="28">
        <f>80.4419 * CHOOSE(CONTROL!$C$15, $E$9, 100%, $G$9) + CHOOSE(CONTROL!$C$38, 0.0347, 0)</f>
        <v>80.476600000000005</v>
      </c>
      <c r="F1011" s="27">
        <f>80.4419 * CHOOSE(CONTROL!$C$15, $E$9, 100%, $G$9) + CHOOSE(CONTROL!$C$38, 0.0256, 0)</f>
        <v>80.467500000000001</v>
      </c>
      <c r="G1011" s="10">
        <f>74.453 * CHOOSE(CONTROL!$C$15, $E$9, 100%, $G$9) + CHOOSE(CONTROL!$C$38, 0.0347, 0)</f>
        <v>74.487700000000004</v>
      </c>
      <c r="H1011" s="10">
        <f>74.453 * CHOOSE(CONTROL!$C$15, $E$9, 100%, $G$9) + CHOOSE(CONTROL!$C$38, 0.0347, 0)</f>
        <v>74.487700000000004</v>
      </c>
      <c r="I1011" s="10">
        <f>74.4545 * CHOOSE(CONTROL!$C$15, $E$9, 100%, $G$9) + CHOOSE(CONTROL!$C$38, 0.0347, 0)</f>
        <v>74.489199999999997</v>
      </c>
      <c r="J1011" s="26">
        <f>526.8536</f>
        <v>526.85360000000003</v>
      </c>
    </row>
    <row r="1012" spans="1:10" ht="15.75" x14ac:dyDescent="0.25">
      <c r="A1012" s="13">
        <v>72106</v>
      </c>
      <c r="B1012" s="10">
        <f>80.0821 * CHOOSE(CONTROL!$C$15, $E$9, 100%, $G$9) + CHOOSE(CONTROL!$C$38, 0.0256, 0)</f>
        <v>80.107699999999994</v>
      </c>
      <c r="C1012" s="10">
        <f>73.9384 * CHOOSE(CONTROL!$C$15, $E$9, 100%, $G$9) + CHOOSE(CONTROL!$C$38, 0.0347, 0)</f>
        <v>73.973100000000002</v>
      </c>
      <c r="D1012" s="10">
        <f>73.9306 * CHOOSE(CONTROL!$C$15, $E$9, 100%, $G$9) + CHOOSE(CONTROL!$C$38, 0.0347, 0)</f>
        <v>73.965299999999999</v>
      </c>
      <c r="E1012" s="28">
        <f>79.9258 * CHOOSE(CONTROL!$C$15, $E$9, 100%, $G$9) + CHOOSE(CONTROL!$C$38, 0.0347, 0)</f>
        <v>79.960499999999996</v>
      </c>
      <c r="F1012" s="27">
        <f>79.9258 * CHOOSE(CONTROL!$C$15, $E$9, 100%, $G$9) + CHOOSE(CONTROL!$C$38, 0.0256, 0)</f>
        <v>79.951399999999992</v>
      </c>
      <c r="G1012" s="10">
        <f>73.9368 * CHOOSE(CONTROL!$C$15, $E$9, 100%, $G$9) + CHOOSE(CONTROL!$C$38, 0.0347, 0)</f>
        <v>73.971500000000006</v>
      </c>
      <c r="H1012" s="10">
        <f>73.9368 * CHOOSE(CONTROL!$C$15, $E$9, 100%, $G$9) + CHOOSE(CONTROL!$C$38, 0.0347, 0)</f>
        <v>73.971500000000006</v>
      </c>
      <c r="I1012" s="10">
        <f>73.9384 * CHOOSE(CONTROL!$C$15, $E$9, 100%, $G$9) + CHOOSE(CONTROL!$C$38, 0.0347, 0)</f>
        <v>73.973100000000002</v>
      </c>
      <c r="J1012" s="26">
        <f>544.5338</f>
        <v>544.53380000000004</v>
      </c>
    </row>
    <row r="1013" spans="1:10" ht="15.75" x14ac:dyDescent="0.25">
      <c r="A1013" s="13">
        <v>72136</v>
      </c>
      <c r="B1013" s="10">
        <f>79.7202 * CHOOSE(CONTROL!$C$15, $E$9, 100%, $G$9) + CHOOSE(CONTROL!$C$38, 0.0256, 0)</f>
        <v>79.745800000000003</v>
      </c>
      <c r="C1013" s="10">
        <f>73.5766 * CHOOSE(CONTROL!$C$15, $E$9, 100%, $G$9) + CHOOSE(CONTROL!$C$38, 0.0347, 0)</f>
        <v>73.6113</v>
      </c>
      <c r="D1013" s="10">
        <f>73.5688 * CHOOSE(CONTROL!$C$15, $E$9, 100%, $G$9) + CHOOSE(CONTROL!$C$38, 0.0347, 0)</f>
        <v>73.603499999999997</v>
      </c>
      <c r="E1013" s="28">
        <f>79.564 * CHOOSE(CONTROL!$C$15, $E$9, 100%, $G$9) + CHOOSE(CONTROL!$C$38, 0.0347, 0)</f>
        <v>79.598699999999994</v>
      </c>
      <c r="F1013" s="27">
        <f>79.564 * CHOOSE(CONTROL!$C$15, $E$9, 100%, $G$9) + CHOOSE(CONTROL!$C$38, 0.0256, 0)</f>
        <v>79.58959999999999</v>
      </c>
      <c r="G1013" s="10">
        <f>73.575 * CHOOSE(CONTROL!$C$15, $E$9, 100%, $G$9) + CHOOSE(CONTROL!$C$38, 0.0347, 0)</f>
        <v>73.609700000000004</v>
      </c>
      <c r="H1013" s="10">
        <f>73.575 * CHOOSE(CONTROL!$C$15, $E$9, 100%, $G$9) + CHOOSE(CONTROL!$C$38, 0.0347, 0)</f>
        <v>73.609700000000004</v>
      </c>
      <c r="I1013" s="10">
        <f>73.5766 * CHOOSE(CONTROL!$C$15, $E$9, 100%, $G$9) + CHOOSE(CONTROL!$C$38, 0.0347, 0)</f>
        <v>73.6113</v>
      </c>
      <c r="J1013" s="26">
        <f>552.3799</f>
        <v>552.37990000000002</v>
      </c>
    </row>
    <row r="1014" spans="1:10" ht="15.75" x14ac:dyDescent="0.25">
      <c r="A1014" s="13">
        <v>72167</v>
      </c>
      <c r="B1014" s="10">
        <f>79.5137 * CHOOSE(CONTROL!$C$15, $E$9, 100%, $G$9) + CHOOSE(CONTROL!$C$38, 0.0256, 0)</f>
        <v>79.539299999999997</v>
      </c>
      <c r="C1014" s="10">
        <f>73.3701 * CHOOSE(CONTROL!$C$15, $E$9, 100%, $G$9) + CHOOSE(CONTROL!$C$38, 0.0347, 0)</f>
        <v>73.404799999999994</v>
      </c>
      <c r="D1014" s="10">
        <f>73.3623 * CHOOSE(CONTROL!$C$15, $E$9, 100%, $G$9) + CHOOSE(CONTROL!$C$38, 0.0347, 0)</f>
        <v>73.397000000000006</v>
      </c>
      <c r="E1014" s="28">
        <f>79.3575 * CHOOSE(CONTROL!$C$15, $E$9, 100%, $G$9) + CHOOSE(CONTROL!$C$38, 0.0347, 0)</f>
        <v>79.392200000000003</v>
      </c>
      <c r="F1014" s="27">
        <f>79.3575 * CHOOSE(CONTROL!$C$15, $E$9, 100%, $G$9) + CHOOSE(CONTROL!$C$38, 0.0256, 0)</f>
        <v>79.383099999999999</v>
      </c>
      <c r="G1014" s="10">
        <f>73.3685 * CHOOSE(CONTROL!$C$15, $E$9, 100%, $G$9) + CHOOSE(CONTROL!$C$38, 0.0347, 0)</f>
        <v>73.403199999999998</v>
      </c>
      <c r="H1014" s="10">
        <f>73.3685 * CHOOSE(CONTROL!$C$15, $E$9, 100%, $G$9) + CHOOSE(CONTROL!$C$38, 0.0347, 0)</f>
        <v>73.403199999999998</v>
      </c>
      <c r="I1014" s="10">
        <f>73.3701 * CHOOSE(CONTROL!$C$15, $E$9, 100%, $G$9) + CHOOSE(CONTROL!$C$38, 0.0347, 0)</f>
        <v>73.404799999999994</v>
      </c>
      <c r="J1014" s="26">
        <f>549.7966</f>
        <v>549.79660000000001</v>
      </c>
    </row>
    <row r="1015" spans="1:10" ht="15.75" x14ac:dyDescent="0.25">
      <c r="A1015" s="13">
        <v>72198</v>
      </c>
      <c r="B1015" s="10">
        <f>79.6157 * CHOOSE(CONTROL!$C$15, $E$9, 100%, $G$9) + CHOOSE(CONTROL!$C$38, 0.0256, 0)</f>
        <v>79.641300000000001</v>
      </c>
      <c r="C1015" s="10">
        <f>73.472 * CHOOSE(CONTROL!$C$15, $E$9, 100%, $G$9) + CHOOSE(CONTROL!$C$38, 0.0347, 0)</f>
        <v>73.506699999999995</v>
      </c>
      <c r="D1015" s="10">
        <f>73.4642 * CHOOSE(CONTROL!$C$15, $E$9, 100%, $G$9) + CHOOSE(CONTROL!$C$38, 0.0347, 0)</f>
        <v>73.498900000000006</v>
      </c>
      <c r="E1015" s="28">
        <f>79.4594 * CHOOSE(CONTROL!$C$15, $E$9, 100%, $G$9) + CHOOSE(CONTROL!$C$38, 0.0347, 0)</f>
        <v>79.494100000000003</v>
      </c>
      <c r="F1015" s="27">
        <f>79.4594 * CHOOSE(CONTROL!$C$15, $E$9, 100%, $G$9) + CHOOSE(CONTROL!$C$38, 0.0256, 0)</f>
        <v>79.484999999999999</v>
      </c>
      <c r="G1015" s="10">
        <f>73.4704 * CHOOSE(CONTROL!$C$15, $E$9, 100%, $G$9) + CHOOSE(CONTROL!$C$38, 0.0347, 0)</f>
        <v>73.505099999999999</v>
      </c>
      <c r="H1015" s="10">
        <f>73.4704 * CHOOSE(CONTROL!$C$15, $E$9, 100%, $G$9) + CHOOSE(CONTROL!$C$38, 0.0347, 0)</f>
        <v>73.505099999999999</v>
      </c>
      <c r="I1015" s="10">
        <f>73.472 * CHOOSE(CONTROL!$C$15, $E$9, 100%, $G$9) + CHOOSE(CONTROL!$C$38, 0.0347, 0)</f>
        <v>73.506699999999995</v>
      </c>
      <c r="J1015" s="26">
        <f>536.9976</f>
        <v>536.99760000000003</v>
      </c>
    </row>
    <row r="1016" spans="1:10" ht="15.75" x14ac:dyDescent="0.25">
      <c r="A1016" s="13">
        <v>72228</v>
      </c>
      <c r="B1016" s="10">
        <f>79.8925 * CHOOSE(CONTROL!$C$15, $E$9, 100%, $G$9) + CHOOSE(CONTROL!$C$38, 0.0256, 0)</f>
        <v>79.918099999999995</v>
      </c>
      <c r="C1016" s="10">
        <f>73.7488 * CHOOSE(CONTROL!$C$15, $E$9, 100%, $G$9) + CHOOSE(CONTROL!$C$38, 0.0347, 0)</f>
        <v>73.783500000000004</v>
      </c>
      <c r="D1016" s="10">
        <f>73.741 * CHOOSE(CONTROL!$C$15, $E$9, 100%, $G$9) + CHOOSE(CONTROL!$C$38, 0.0347, 0)</f>
        <v>73.775700000000001</v>
      </c>
      <c r="E1016" s="28">
        <f>79.7362 * CHOOSE(CONTROL!$C$15, $E$9, 100%, $G$9) + CHOOSE(CONTROL!$C$38, 0.0347, 0)</f>
        <v>79.770899999999997</v>
      </c>
      <c r="F1016" s="27">
        <f>79.7362 * CHOOSE(CONTROL!$C$15, $E$9, 100%, $G$9) + CHOOSE(CONTROL!$C$38, 0.0256, 0)</f>
        <v>79.761799999999994</v>
      </c>
      <c r="G1016" s="10">
        <f>73.7472 * CHOOSE(CONTROL!$C$15, $E$9, 100%, $G$9) + CHOOSE(CONTROL!$C$38, 0.0347, 0)</f>
        <v>73.781900000000007</v>
      </c>
      <c r="H1016" s="10">
        <f>73.7472 * CHOOSE(CONTROL!$C$15, $E$9, 100%, $G$9) + CHOOSE(CONTROL!$C$38, 0.0347, 0)</f>
        <v>73.781900000000007</v>
      </c>
      <c r="I1016" s="10">
        <f>73.7488 * CHOOSE(CONTROL!$C$15, $E$9, 100%, $G$9) + CHOOSE(CONTROL!$C$38, 0.0347, 0)</f>
        <v>73.783500000000004</v>
      </c>
      <c r="J1016" s="26">
        <f>519.1487</f>
        <v>519.14869999999996</v>
      </c>
    </row>
    <row r="1017" spans="1:10" ht="15.75" x14ac:dyDescent="0.25">
      <c r="A1017" s="13">
        <v>72259</v>
      </c>
      <c r="B1017" s="10">
        <f>80.1243 * CHOOSE(CONTROL!$C$15, $E$9, 100%, $G$9) + CHOOSE(CONTROL!$C$38, 0.0256, 0)</f>
        <v>80.149900000000002</v>
      </c>
      <c r="C1017" s="10">
        <f>73.9806 * CHOOSE(CONTROL!$C$15, $E$9, 100%, $G$9) + CHOOSE(CONTROL!$C$38, 0.0347, 0)</f>
        <v>74.015299999999996</v>
      </c>
      <c r="D1017" s="10">
        <f>73.9728 * CHOOSE(CONTROL!$C$15, $E$9, 100%, $G$9) + CHOOSE(CONTROL!$C$38, 0.0347, 0)</f>
        <v>74.007500000000007</v>
      </c>
      <c r="E1017" s="28">
        <f>79.968 * CHOOSE(CONTROL!$C$15, $E$9, 100%, $G$9) + CHOOSE(CONTROL!$C$38, 0.0347, 0)</f>
        <v>80.002700000000004</v>
      </c>
      <c r="F1017" s="27">
        <f>79.968 * CHOOSE(CONTROL!$C$15, $E$9, 100%, $G$9) + CHOOSE(CONTROL!$C$38, 0.0256, 0)</f>
        <v>79.993600000000001</v>
      </c>
      <c r="G1017" s="10">
        <f>73.9791 * CHOOSE(CONTROL!$C$15, $E$9, 100%, $G$9) + CHOOSE(CONTROL!$C$38, 0.0347, 0)</f>
        <v>74.013800000000003</v>
      </c>
      <c r="H1017" s="10">
        <f>73.9791 * CHOOSE(CONTROL!$C$15, $E$9, 100%, $G$9) + CHOOSE(CONTROL!$C$38, 0.0347, 0)</f>
        <v>74.013800000000003</v>
      </c>
      <c r="I1017" s="10">
        <f>73.9806 * CHOOSE(CONTROL!$C$15, $E$9, 100%, $G$9) + CHOOSE(CONTROL!$C$38, 0.0347, 0)</f>
        <v>74.015299999999996</v>
      </c>
      <c r="J1017" s="26">
        <f>501.196</f>
        <v>501.19600000000003</v>
      </c>
    </row>
    <row r="1018" spans="1:10" ht="15.75" x14ac:dyDescent="0.25">
      <c r="A1018" s="13">
        <v>72289</v>
      </c>
      <c r="B1018" s="10">
        <f>80.3177 * CHOOSE(CONTROL!$C$15, $E$9, 100%, $G$9) + CHOOSE(CONTROL!$C$38, 0.0256, 0)</f>
        <v>80.343299999999999</v>
      </c>
      <c r="C1018" s="10">
        <f>74.1741 * CHOOSE(CONTROL!$C$15, $E$9, 100%, $G$9) + CHOOSE(CONTROL!$C$38, 0.0347, 0)</f>
        <v>74.208799999999997</v>
      </c>
      <c r="D1018" s="10">
        <f>74.1662 * CHOOSE(CONTROL!$C$15, $E$9, 100%, $G$9) + CHOOSE(CONTROL!$C$38, 0.0347, 0)</f>
        <v>74.200900000000004</v>
      </c>
      <c r="E1018" s="28">
        <f>80.1615 * CHOOSE(CONTROL!$C$15, $E$9, 100%, $G$9) + CHOOSE(CONTROL!$C$38, 0.0347, 0)</f>
        <v>80.196200000000005</v>
      </c>
      <c r="F1018" s="27">
        <f>80.1615 * CHOOSE(CONTROL!$C$15, $E$9, 100%, $G$9) + CHOOSE(CONTROL!$C$38, 0.0256, 0)</f>
        <v>80.187100000000001</v>
      </c>
      <c r="G1018" s="10">
        <f>74.1725 * CHOOSE(CONTROL!$C$15, $E$9, 100%, $G$9) + CHOOSE(CONTROL!$C$38, 0.0347, 0)</f>
        <v>74.2072</v>
      </c>
      <c r="H1018" s="10">
        <f>74.1725 * CHOOSE(CONTROL!$C$15, $E$9, 100%, $G$9) + CHOOSE(CONTROL!$C$38, 0.0347, 0)</f>
        <v>74.2072</v>
      </c>
      <c r="I1018" s="10">
        <f>74.1741 * CHOOSE(CONTROL!$C$15, $E$9, 100%, $G$9) + CHOOSE(CONTROL!$C$38, 0.0347, 0)</f>
        <v>74.208799999999997</v>
      </c>
      <c r="J1018" s="26">
        <f>497.6249</f>
        <v>497.62490000000003</v>
      </c>
    </row>
    <row r="1019" spans="1:10" ht="15.75" x14ac:dyDescent="0.25">
      <c r="A1019" s="13">
        <v>72320</v>
      </c>
      <c r="B1019" s="10">
        <f>80.9138 * CHOOSE(CONTROL!$C$15, $E$9, 100%, $G$9) + CHOOSE(CONTROL!$C$38, 0.0256, 0)</f>
        <v>80.939399999999992</v>
      </c>
      <c r="C1019" s="10">
        <f>74.7701 * CHOOSE(CONTROL!$C$15, $E$9, 100%, $G$9) + CHOOSE(CONTROL!$C$38, 0.0347, 0)</f>
        <v>74.8048</v>
      </c>
      <c r="D1019" s="10">
        <f>74.7623 * CHOOSE(CONTROL!$C$15, $E$9, 100%, $G$9) + CHOOSE(CONTROL!$C$38, 0.0347, 0)</f>
        <v>74.796999999999997</v>
      </c>
      <c r="E1019" s="28">
        <f>80.7575 * CHOOSE(CONTROL!$C$15, $E$9, 100%, $G$9) + CHOOSE(CONTROL!$C$38, 0.0347, 0)</f>
        <v>80.792199999999994</v>
      </c>
      <c r="F1019" s="27">
        <f>80.7575 * CHOOSE(CONTROL!$C$15, $E$9, 100%, $G$9) + CHOOSE(CONTROL!$C$38, 0.0256, 0)</f>
        <v>80.78309999999999</v>
      </c>
      <c r="G1019" s="10">
        <f>74.7686 * CHOOSE(CONTROL!$C$15, $E$9, 100%, $G$9) + CHOOSE(CONTROL!$C$38, 0.0347, 0)</f>
        <v>74.803300000000007</v>
      </c>
      <c r="H1019" s="10">
        <f>74.7686 * CHOOSE(CONTROL!$C$15, $E$9, 100%, $G$9) + CHOOSE(CONTROL!$C$38, 0.0347, 0)</f>
        <v>74.803300000000007</v>
      </c>
      <c r="I1019" s="10">
        <f>74.7701 * CHOOSE(CONTROL!$C$15, $E$9, 100%, $G$9) + CHOOSE(CONTROL!$C$38, 0.0347, 0)</f>
        <v>74.8048</v>
      </c>
      <c r="J1019" s="26">
        <f>482.8578</f>
        <v>482.8578</v>
      </c>
    </row>
    <row r="1020" spans="1:10" ht="15.75" x14ac:dyDescent="0.25">
      <c r="A1020" s="13">
        <v>72351</v>
      </c>
      <c r="B1020" s="10">
        <f>82.7933 * CHOOSE(CONTROL!$C$15, $E$9, 100%, $G$9) + CHOOSE(CONTROL!$C$38, 0.0256, 0)</f>
        <v>82.818899999999999</v>
      </c>
      <c r="C1020" s="10">
        <f>76.5439 * CHOOSE(CONTROL!$C$15, $E$9, 100%, $G$9) + CHOOSE(CONTROL!$C$38, 0.0347, 0)</f>
        <v>76.578599999999994</v>
      </c>
      <c r="D1020" s="10">
        <f>76.5361 * CHOOSE(CONTROL!$C$15, $E$9, 100%, $G$9) + CHOOSE(CONTROL!$C$38, 0.0347, 0)</f>
        <v>76.570800000000006</v>
      </c>
      <c r="E1020" s="28">
        <f>82.6371 * CHOOSE(CONTROL!$C$15, $E$9, 100%, $G$9) + CHOOSE(CONTROL!$C$38, 0.0347, 0)</f>
        <v>82.671800000000005</v>
      </c>
      <c r="F1020" s="27">
        <f>82.6371 * CHOOSE(CONTROL!$C$15, $E$9, 100%, $G$9) + CHOOSE(CONTROL!$C$38, 0.0256, 0)</f>
        <v>82.662700000000001</v>
      </c>
      <c r="G1020" s="10">
        <f>76.5423 * CHOOSE(CONTROL!$C$15, $E$9, 100%, $G$9) + CHOOSE(CONTROL!$C$38, 0.0347, 0)</f>
        <v>76.576999999999998</v>
      </c>
      <c r="H1020" s="10">
        <f>76.5423 * CHOOSE(CONTROL!$C$15, $E$9, 100%, $G$9) + CHOOSE(CONTROL!$C$38, 0.0347, 0)</f>
        <v>76.576999999999998</v>
      </c>
      <c r="I1020" s="10">
        <f>76.5439 * CHOOSE(CONTROL!$C$15, $E$9, 100%, $G$9) + CHOOSE(CONTROL!$C$38, 0.0347, 0)</f>
        <v>76.578599999999994</v>
      </c>
      <c r="J1020" s="26">
        <f>479.6234</f>
        <v>479.6234</v>
      </c>
    </row>
    <row r="1021" spans="1:10" ht="15.75" x14ac:dyDescent="0.25">
      <c r="A1021" s="13">
        <v>72379</v>
      </c>
      <c r="B1021" s="10">
        <f>83.0141 * CHOOSE(CONTROL!$C$15, $E$9, 100%, $G$9) + CHOOSE(CONTROL!$C$38, 0.0256, 0)</f>
        <v>83.039699999999996</v>
      </c>
      <c r="C1021" s="10">
        <f>76.7647 * CHOOSE(CONTROL!$C$15, $E$9, 100%, $G$9) + CHOOSE(CONTROL!$C$38, 0.0347, 0)</f>
        <v>76.799400000000006</v>
      </c>
      <c r="D1021" s="10">
        <f>76.7568 * CHOOSE(CONTROL!$C$15, $E$9, 100%, $G$9) + CHOOSE(CONTROL!$C$38, 0.0347, 0)</f>
        <v>76.791499999999999</v>
      </c>
      <c r="E1021" s="28">
        <f>82.8579 * CHOOSE(CONTROL!$C$15, $E$9, 100%, $G$9) + CHOOSE(CONTROL!$C$38, 0.0347, 0)</f>
        <v>82.892600000000002</v>
      </c>
      <c r="F1021" s="27">
        <f>82.8579 * CHOOSE(CONTROL!$C$15, $E$9, 100%, $G$9) + CHOOSE(CONTROL!$C$38, 0.0256, 0)</f>
        <v>82.883499999999998</v>
      </c>
      <c r="G1021" s="10">
        <f>76.7631 * CHOOSE(CONTROL!$C$15, $E$9, 100%, $G$9) + CHOOSE(CONTROL!$C$38, 0.0347, 0)</f>
        <v>76.797799999999995</v>
      </c>
      <c r="H1021" s="10">
        <f>76.7631 * CHOOSE(CONTROL!$C$15, $E$9, 100%, $G$9) + CHOOSE(CONTROL!$C$38, 0.0347, 0)</f>
        <v>76.797799999999995</v>
      </c>
      <c r="I1021" s="10">
        <f>76.7647 * CHOOSE(CONTROL!$C$15, $E$9, 100%, $G$9) + CHOOSE(CONTROL!$C$38, 0.0347, 0)</f>
        <v>76.799400000000006</v>
      </c>
      <c r="J1021" s="26">
        <f>478.2902</f>
        <v>478.29020000000003</v>
      </c>
    </row>
    <row r="1022" spans="1:10" ht="15.75" x14ac:dyDescent="0.25">
      <c r="A1022" s="13">
        <v>72410</v>
      </c>
      <c r="B1022" s="10">
        <f>82.5031 * CHOOSE(CONTROL!$C$15, $E$9, 100%, $G$9) + CHOOSE(CONTROL!$C$38, 0.0256, 0)</f>
        <v>82.528700000000001</v>
      </c>
      <c r="C1022" s="10">
        <f>76.2536 * CHOOSE(CONTROL!$C$15, $E$9, 100%, $G$9) + CHOOSE(CONTROL!$C$38, 0.0347, 0)</f>
        <v>76.288300000000007</v>
      </c>
      <c r="D1022" s="10">
        <f>76.2458 * CHOOSE(CONTROL!$C$15, $E$9, 100%, $G$9) + CHOOSE(CONTROL!$C$38, 0.0347, 0)</f>
        <v>76.280500000000004</v>
      </c>
      <c r="E1022" s="28">
        <f>82.3468 * CHOOSE(CONTROL!$C$15, $E$9, 100%, $G$9) + CHOOSE(CONTROL!$C$38, 0.0347, 0)</f>
        <v>82.381500000000003</v>
      </c>
      <c r="F1022" s="27">
        <f>82.3468 * CHOOSE(CONTROL!$C$15, $E$9, 100%, $G$9) + CHOOSE(CONTROL!$C$38, 0.0256, 0)</f>
        <v>82.372399999999999</v>
      </c>
      <c r="G1022" s="10">
        <f>76.2521 * CHOOSE(CONTROL!$C$15, $E$9, 100%, $G$9) + CHOOSE(CONTROL!$C$38, 0.0347, 0)</f>
        <v>76.286799999999999</v>
      </c>
      <c r="H1022" s="10">
        <f>76.2521 * CHOOSE(CONTROL!$C$15, $E$9, 100%, $G$9) + CHOOSE(CONTROL!$C$38, 0.0347, 0)</f>
        <v>76.286799999999999</v>
      </c>
      <c r="I1022" s="10">
        <f>76.2536 * CHOOSE(CONTROL!$C$15, $E$9, 100%, $G$9) + CHOOSE(CONTROL!$C$38, 0.0347, 0)</f>
        <v>76.288300000000007</v>
      </c>
      <c r="J1022" s="26">
        <f>503.4989</f>
        <v>503.49889999999999</v>
      </c>
    </row>
    <row r="1023" spans="1:10" ht="15.75" x14ac:dyDescent="0.25">
      <c r="A1023" s="13">
        <v>72440</v>
      </c>
      <c r="B1023" s="10">
        <f>82.0079 * CHOOSE(CONTROL!$C$15, $E$9, 100%, $G$9) + CHOOSE(CONTROL!$C$38, 0.0256, 0)</f>
        <v>82.033500000000004</v>
      </c>
      <c r="C1023" s="10">
        <f>75.7585 * CHOOSE(CONTROL!$C$15, $E$9, 100%, $G$9) + CHOOSE(CONTROL!$C$38, 0.0347, 0)</f>
        <v>75.793199999999999</v>
      </c>
      <c r="D1023" s="10">
        <f>75.7506 * CHOOSE(CONTROL!$C$15, $E$9, 100%, $G$9) + CHOOSE(CONTROL!$C$38, 0.0347, 0)</f>
        <v>75.785300000000007</v>
      </c>
      <c r="E1023" s="28">
        <f>81.8516 * CHOOSE(CONTROL!$C$15, $E$9, 100%, $G$9) + CHOOSE(CONTROL!$C$38, 0.0347, 0)</f>
        <v>81.886300000000006</v>
      </c>
      <c r="F1023" s="27">
        <f>81.8516 * CHOOSE(CONTROL!$C$15, $E$9, 100%, $G$9) + CHOOSE(CONTROL!$C$38, 0.0256, 0)</f>
        <v>81.877200000000002</v>
      </c>
      <c r="G1023" s="10">
        <f>75.7569 * CHOOSE(CONTROL!$C$15, $E$9, 100%, $G$9) + CHOOSE(CONTROL!$C$38, 0.0347, 0)</f>
        <v>75.791600000000003</v>
      </c>
      <c r="H1023" s="10">
        <f>75.7569 * CHOOSE(CONTROL!$C$15, $E$9, 100%, $G$9) + CHOOSE(CONTROL!$C$38, 0.0347, 0)</f>
        <v>75.791600000000003</v>
      </c>
      <c r="I1023" s="10">
        <f>75.7585 * CHOOSE(CONTROL!$C$15, $E$9, 100%, $G$9) + CHOOSE(CONTROL!$C$38, 0.0347, 0)</f>
        <v>75.793199999999999</v>
      </c>
      <c r="J1023" s="26">
        <f>536.1885</f>
        <v>536.18849999999998</v>
      </c>
    </row>
    <row r="1024" spans="1:10" ht="15.75" x14ac:dyDescent="0.25">
      <c r="A1024" s="13">
        <v>72471</v>
      </c>
      <c r="B1024" s="10">
        <f>81.4918 * CHOOSE(CONTROL!$C$15, $E$9, 100%, $G$9) + CHOOSE(CONTROL!$C$38, 0.0256, 0)</f>
        <v>81.517399999999995</v>
      </c>
      <c r="C1024" s="10">
        <f>75.2423 * CHOOSE(CONTROL!$C$15, $E$9, 100%, $G$9) + CHOOSE(CONTROL!$C$38, 0.0347, 0)</f>
        <v>75.277000000000001</v>
      </c>
      <c r="D1024" s="10">
        <f>75.2345 * CHOOSE(CONTROL!$C$15, $E$9, 100%, $G$9) + CHOOSE(CONTROL!$C$38, 0.0347, 0)</f>
        <v>75.269199999999998</v>
      </c>
      <c r="E1024" s="28">
        <f>81.3355 * CHOOSE(CONTROL!$C$15, $E$9, 100%, $G$9) + CHOOSE(CONTROL!$C$38, 0.0347, 0)</f>
        <v>81.370199999999997</v>
      </c>
      <c r="F1024" s="27">
        <f>81.3355 * CHOOSE(CONTROL!$C$15, $E$9, 100%, $G$9) + CHOOSE(CONTROL!$C$38, 0.0256, 0)</f>
        <v>81.361099999999993</v>
      </c>
      <c r="G1024" s="10">
        <f>75.2408 * CHOOSE(CONTROL!$C$15, $E$9, 100%, $G$9) + CHOOSE(CONTROL!$C$38, 0.0347, 0)</f>
        <v>75.275499999999994</v>
      </c>
      <c r="H1024" s="10">
        <f>75.2408 * CHOOSE(CONTROL!$C$15, $E$9, 100%, $G$9) + CHOOSE(CONTROL!$C$38, 0.0347, 0)</f>
        <v>75.275499999999994</v>
      </c>
      <c r="I1024" s="10">
        <f>75.2423 * CHOOSE(CONTROL!$C$15, $E$9, 100%, $G$9) + CHOOSE(CONTROL!$C$38, 0.0347, 0)</f>
        <v>75.277000000000001</v>
      </c>
      <c r="J1024" s="26">
        <f>554.1819</f>
        <v>554.18190000000004</v>
      </c>
    </row>
    <row r="1025" spans="1:10" ht="15.75" x14ac:dyDescent="0.25">
      <c r="A1025" s="13">
        <v>72501</v>
      </c>
      <c r="B1025" s="10">
        <f>81.1299 * CHOOSE(CONTROL!$C$15, $E$9, 100%, $G$9) + CHOOSE(CONTROL!$C$38, 0.0256, 0)</f>
        <v>81.155500000000004</v>
      </c>
      <c r="C1025" s="10">
        <f>74.8805 * CHOOSE(CONTROL!$C$15, $E$9, 100%, $G$9) + CHOOSE(CONTROL!$C$38, 0.0347, 0)</f>
        <v>74.915199999999999</v>
      </c>
      <c r="D1025" s="10">
        <f>74.8727 * CHOOSE(CONTROL!$C$15, $E$9, 100%, $G$9) + CHOOSE(CONTROL!$C$38, 0.0347, 0)</f>
        <v>74.907399999999996</v>
      </c>
      <c r="E1025" s="28">
        <f>80.9737 * CHOOSE(CONTROL!$C$15, $E$9, 100%, $G$9) + CHOOSE(CONTROL!$C$38, 0.0347, 0)</f>
        <v>81.008399999999995</v>
      </c>
      <c r="F1025" s="27">
        <f>80.9737 * CHOOSE(CONTROL!$C$15, $E$9, 100%, $G$9) + CHOOSE(CONTROL!$C$38, 0.0256, 0)</f>
        <v>80.999299999999991</v>
      </c>
      <c r="G1025" s="10">
        <f>74.8789 * CHOOSE(CONTROL!$C$15, $E$9, 100%, $G$9) + CHOOSE(CONTROL!$C$38, 0.0347, 0)</f>
        <v>74.913600000000002</v>
      </c>
      <c r="H1025" s="10">
        <f>74.8789 * CHOOSE(CONTROL!$C$15, $E$9, 100%, $G$9) + CHOOSE(CONTROL!$C$38, 0.0347, 0)</f>
        <v>74.913600000000002</v>
      </c>
      <c r="I1025" s="10">
        <f>74.8805 * CHOOSE(CONTROL!$C$15, $E$9, 100%, $G$9) + CHOOSE(CONTROL!$C$38, 0.0347, 0)</f>
        <v>74.915199999999999</v>
      </c>
      <c r="J1025" s="26">
        <f>562.1671</f>
        <v>562.1671</v>
      </c>
    </row>
    <row r="1026" spans="1:10" ht="15.75" x14ac:dyDescent="0.25">
      <c r="A1026" s="13">
        <v>72532</v>
      </c>
      <c r="B1026" s="10">
        <f>80.9235 * CHOOSE(CONTROL!$C$15, $E$9, 100%, $G$9) + CHOOSE(CONTROL!$C$38, 0.0256, 0)</f>
        <v>80.949100000000001</v>
      </c>
      <c r="C1026" s="10">
        <f>74.674 * CHOOSE(CONTROL!$C$15, $E$9, 100%, $G$9) + CHOOSE(CONTROL!$C$38, 0.0347, 0)</f>
        <v>74.708700000000007</v>
      </c>
      <c r="D1026" s="10">
        <f>74.6662 * CHOOSE(CONTROL!$C$15, $E$9, 100%, $G$9) + CHOOSE(CONTROL!$C$38, 0.0347, 0)</f>
        <v>74.700900000000004</v>
      </c>
      <c r="E1026" s="28">
        <f>80.7672 * CHOOSE(CONTROL!$C$15, $E$9, 100%, $G$9) + CHOOSE(CONTROL!$C$38, 0.0347, 0)</f>
        <v>80.801900000000003</v>
      </c>
      <c r="F1026" s="27">
        <f>80.7672 * CHOOSE(CONTROL!$C$15, $E$9, 100%, $G$9) + CHOOSE(CONTROL!$C$38, 0.0256, 0)</f>
        <v>80.7928</v>
      </c>
      <c r="G1026" s="10">
        <f>74.6725 * CHOOSE(CONTROL!$C$15, $E$9, 100%, $G$9) + CHOOSE(CONTROL!$C$38, 0.0347, 0)</f>
        <v>74.7072</v>
      </c>
      <c r="H1026" s="10">
        <f>74.6725 * CHOOSE(CONTROL!$C$15, $E$9, 100%, $G$9) + CHOOSE(CONTROL!$C$38, 0.0347, 0)</f>
        <v>74.7072</v>
      </c>
      <c r="I1026" s="10">
        <f>74.674 * CHOOSE(CONTROL!$C$15, $E$9, 100%, $G$9) + CHOOSE(CONTROL!$C$38, 0.0347, 0)</f>
        <v>74.708700000000007</v>
      </c>
      <c r="J1026" s="26">
        <f>559.538</f>
        <v>559.53800000000001</v>
      </c>
    </row>
    <row r="1027" spans="1:10" ht="15.75" x14ac:dyDescent="0.25">
      <c r="A1027" s="13">
        <v>72563</v>
      </c>
      <c r="B1027" s="10">
        <f>81.0254 * CHOOSE(CONTROL!$C$15, $E$9, 100%, $G$9) + CHOOSE(CONTROL!$C$38, 0.0256, 0)</f>
        <v>81.051000000000002</v>
      </c>
      <c r="C1027" s="10">
        <f>74.7759 * CHOOSE(CONTROL!$C$15, $E$9, 100%, $G$9) + CHOOSE(CONTROL!$C$38, 0.0347, 0)</f>
        <v>74.810599999999994</v>
      </c>
      <c r="D1027" s="10">
        <f>74.7681 * CHOOSE(CONTROL!$C$15, $E$9, 100%, $G$9) + CHOOSE(CONTROL!$C$38, 0.0347, 0)</f>
        <v>74.802800000000005</v>
      </c>
      <c r="E1027" s="28">
        <f>80.8691 * CHOOSE(CONTROL!$C$15, $E$9, 100%, $G$9) + CHOOSE(CONTROL!$C$38, 0.0347, 0)</f>
        <v>80.903800000000004</v>
      </c>
      <c r="F1027" s="27">
        <f>80.8691 * CHOOSE(CONTROL!$C$15, $E$9, 100%, $G$9) + CHOOSE(CONTROL!$C$38, 0.0256, 0)</f>
        <v>80.8947</v>
      </c>
      <c r="G1027" s="10">
        <f>74.7744 * CHOOSE(CONTROL!$C$15, $E$9, 100%, $G$9) + CHOOSE(CONTROL!$C$38, 0.0347, 0)</f>
        <v>74.809100000000001</v>
      </c>
      <c r="H1027" s="10">
        <f>74.7744 * CHOOSE(CONTROL!$C$15, $E$9, 100%, $G$9) + CHOOSE(CONTROL!$C$38, 0.0347, 0)</f>
        <v>74.809100000000001</v>
      </c>
      <c r="I1027" s="10">
        <f>74.7759 * CHOOSE(CONTROL!$C$15, $E$9, 100%, $G$9) + CHOOSE(CONTROL!$C$38, 0.0347, 0)</f>
        <v>74.810599999999994</v>
      </c>
      <c r="J1027" s="26">
        <f>546.5122</f>
        <v>546.51220000000001</v>
      </c>
    </row>
    <row r="1028" spans="1:10" ht="15.75" x14ac:dyDescent="0.25">
      <c r="A1028" s="13">
        <v>72593</v>
      </c>
      <c r="B1028" s="10">
        <f>81.3022 * CHOOSE(CONTROL!$C$15, $E$9, 100%, $G$9) + CHOOSE(CONTROL!$C$38, 0.0256, 0)</f>
        <v>81.327799999999996</v>
      </c>
      <c r="C1028" s="10">
        <f>75.0527 * CHOOSE(CONTROL!$C$15, $E$9, 100%, $G$9) + CHOOSE(CONTROL!$C$38, 0.0347, 0)</f>
        <v>75.087400000000002</v>
      </c>
      <c r="D1028" s="10">
        <f>75.0449 * CHOOSE(CONTROL!$C$15, $E$9, 100%, $G$9) + CHOOSE(CONTROL!$C$38, 0.0347, 0)</f>
        <v>75.079599999999999</v>
      </c>
      <c r="E1028" s="28">
        <f>81.1459 * CHOOSE(CONTROL!$C$15, $E$9, 100%, $G$9) + CHOOSE(CONTROL!$C$38, 0.0347, 0)</f>
        <v>81.180599999999998</v>
      </c>
      <c r="F1028" s="27">
        <f>81.1459 * CHOOSE(CONTROL!$C$15, $E$9, 100%, $G$9) + CHOOSE(CONTROL!$C$38, 0.0256, 0)</f>
        <v>81.171499999999995</v>
      </c>
      <c r="G1028" s="10">
        <f>75.0512 * CHOOSE(CONTROL!$C$15, $E$9, 100%, $G$9) + CHOOSE(CONTROL!$C$38, 0.0347, 0)</f>
        <v>75.085899999999995</v>
      </c>
      <c r="H1028" s="10">
        <f>75.0512 * CHOOSE(CONTROL!$C$15, $E$9, 100%, $G$9) + CHOOSE(CONTROL!$C$38, 0.0347, 0)</f>
        <v>75.085899999999995</v>
      </c>
      <c r="I1028" s="10">
        <f>75.0527 * CHOOSE(CONTROL!$C$15, $E$9, 100%, $G$9) + CHOOSE(CONTROL!$C$38, 0.0347, 0)</f>
        <v>75.087400000000002</v>
      </c>
      <c r="J1028" s="26">
        <f>528.3471</f>
        <v>528.34709999999995</v>
      </c>
    </row>
    <row r="1029" spans="1:10" ht="15.75" x14ac:dyDescent="0.25">
      <c r="A1029" s="13">
        <v>72624</v>
      </c>
      <c r="B1029" s="10">
        <f>81.534 * CHOOSE(CONTROL!$C$15, $E$9, 100%, $G$9) + CHOOSE(CONTROL!$C$38, 0.0256, 0)</f>
        <v>81.559600000000003</v>
      </c>
      <c r="C1029" s="10">
        <f>75.2845 * CHOOSE(CONTROL!$C$15, $E$9, 100%, $G$9) + CHOOSE(CONTROL!$C$38, 0.0347, 0)</f>
        <v>75.319199999999995</v>
      </c>
      <c r="D1029" s="10">
        <f>75.2767 * CHOOSE(CONTROL!$C$15, $E$9, 100%, $G$9) + CHOOSE(CONTROL!$C$38, 0.0347, 0)</f>
        <v>75.311400000000006</v>
      </c>
      <c r="E1029" s="28">
        <f>81.3777 * CHOOSE(CONTROL!$C$15, $E$9, 100%, $G$9) + CHOOSE(CONTROL!$C$38, 0.0347, 0)</f>
        <v>81.412400000000005</v>
      </c>
      <c r="F1029" s="27">
        <f>81.3777 * CHOOSE(CONTROL!$C$15, $E$9, 100%, $G$9) + CHOOSE(CONTROL!$C$38, 0.0256, 0)</f>
        <v>81.403300000000002</v>
      </c>
      <c r="G1029" s="10">
        <f>75.283 * CHOOSE(CONTROL!$C$15, $E$9, 100%, $G$9) + CHOOSE(CONTROL!$C$38, 0.0347, 0)</f>
        <v>75.317700000000002</v>
      </c>
      <c r="H1029" s="10">
        <f>75.283 * CHOOSE(CONTROL!$C$15, $E$9, 100%, $G$9) + CHOOSE(CONTROL!$C$38, 0.0347, 0)</f>
        <v>75.317700000000002</v>
      </c>
      <c r="I1029" s="10">
        <f>75.2845 * CHOOSE(CONTROL!$C$15, $E$9, 100%, $G$9) + CHOOSE(CONTROL!$C$38, 0.0347, 0)</f>
        <v>75.319199999999995</v>
      </c>
      <c r="J1029" s="26">
        <f>510.0763</f>
        <v>510.0763</v>
      </c>
    </row>
    <row r="1030" spans="1:10" ht="15.75" x14ac:dyDescent="0.25">
      <c r="A1030" s="13">
        <v>72654</v>
      </c>
      <c r="B1030" s="10">
        <f>81.7274 * CHOOSE(CONTROL!$C$15, $E$9, 100%, $G$9) + CHOOSE(CONTROL!$C$38, 0.0256, 0)</f>
        <v>81.753</v>
      </c>
      <c r="C1030" s="10">
        <f>75.478 * CHOOSE(CONTROL!$C$15, $E$9, 100%, $G$9) + CHOOSE(CONTROL!$C$38, 0.0347, 0)</f>
        <v>75.512699999999995</v>
      </c>
      <c r="D1030" s="10">
        <f>75.4702 * CHOOSE(CONTROL!$C$15, $E$9, 100%, $G$9) + CHOOSE(CONTROL!$C$38, 0.0347, 0)</f>
        <v>75.504900000000006</v>
      </c>
      <c r="E1030" s="28">
        <f>81.5712 * CHOOSE(CONTROL!$C$15, $E$9, 100%, $G$9) + CHOOSE(CONTROL!$C$38, 0.0347, 0)</f>
        <v>81.605900000000005</v>
      </c>
      <c r="F1030" s="27">
        <f>81.5712 * CHOOSE(CONTROL!$C$15, $E$9, 100%, $G$9) + CHOOSE(CONTROL!$C$38, 0.0256, 0)</f>
        <v>81.596800000000002</v>
      </c>
      <c r="G1030" s="10">
        <f>75.4764 * CHOOSE(CONTROL!$C$15, $E$9, 100%, $G$9) + CHOOSE(CONTROL!$C$38, 0.0347, 0)</f>
        <v>75.511099999999999</v>
      </c>
      <c r="H1030" s="10">
        <f>75.4764 * CHOOSE(CONTROL!$C$15, $E$9, 100%, $G$9) + CHOOSE(CONTROL!$C$38, 0.0347, 0)</f>
        <v>75.511099999999999</v>
      </c>
      <c r="I1030" s="10">
        <f>75.478 * CHOOSE(CONTROL!$C$15, $E$9, 100%, $G$9) + CHOOSE(CONTROL!$C$38, 0.0347, 0)</f>
        <v>75.512699999999995</v>
      </c>
      <c r="J1030" s="26">
        <f>506.4418</f>
        <v>506.4418</v>
      </c>
    </row>
    <row r="1031" spans="1:10" ht="15.75" x14ac:dyDescent="0.25">
      <c r="A1031" s="13">
        <v>72685</v>
      </c>
      <c r="B1031" s="10">
        <f>82.3235 * CHOOSE(CONTROL!$C$15, $E$9, 100%, $G$9) + CHOOSE(CONTROL!$C$38, 0.0256, 0)</f>
        <v>82.349099999999993</v>
      </c>
      <c r="C1031" s="10">
        <f>76.0741 * CHOOSE(CONTROL!$C$15, $E$9, 100%, $G$9) + CHOOSE(CONTROL!$C$38, 0.0347, 0)</f>
        <v>76.108800000000002</v>
      </c>
      <c r="D1031" s="10">
        <f>76.0662 * CHOOSE(CONTROL!$C$15, $E$9, 100%, $G$9) + CHOOSE(CONTROL!$C$38, 0.0347, 0)</f>
        <v>76.100899999999996</v>
      </c>
      <c r="E1031" s="28">
        <f>82.1672 * CHOOSE(CONTROL!$C$15, $E$9, 100%, $G$9) + CHOOSE(CONTROL!$C$38, 0.0347, 0)</f>
        <v>82.201899999999995</v>
      </c>
      <c r="F1031" s="27">
        <f>82.1672 * CHOOSE(CONTROL!$C$15, $E$9, 100%, $G$9) + CHOOSE(CONTROL!$C$38, 0.0256, 0)</f>
        <v>82.192799999999991</v>
      </c>
      <c r="G1031" s="10">
        <f>76.0725 * CHOOSE(CONTROL!$C$15, $E$9, 100%, $G$9) + CHOOSE(CONTROL!$C$38, 0.0347, 0)</f>
        <v>76.107200000000006</v>
      </c>
      <c r="H1031" s="10">
        <f>76.0725 * CHOOSE(CONTROL!$C$15, $E$9, 100%, $G$9) + CHOOSE(CONTROL!$C$38, 0.0347, 0)</f>
        <v>76.107200000000006</v>
      </c>
      <c r="I1031" s="10">
        <f>76.0741 * CHOOSE(CONTROL!$C$15, $E$9, 100%, $G$9) + CHOOSE(CONTROL!$C$38, 0.0347, 0)</f>
        <v>76.108800000000002</v>
      </c>
      <c r="J1031" s="26">
        <f>491.4131</f>
        <v>491.41309999999999</v>
      </c>
    </row>
    <row r="1032" spans="1:10" ht="15.75" x14ac:dyDescent="0.25">
      <c r="A1032" s="13">
        <v>72716</v>
      </c>
      <c r="B1032" s="10">
        <f>84.228 * CHOOSE(CONTROL!$C$15, $E$9, 100%, $G$9) + CHOOSE(CONTROL!$C$38, 0.0256, 0)</f>
        <v>84.253599999999992</v>
      </c>
      <c r="C1032" s="10">
        <f>77.8709 * CHOOSE(CONTROL!$C$15, $E$9, 100%, $G$9) + CHOOSE(CONTROL!$C$38, 0.0347, 0)</f>
        <v>77.905600000000007</v>
      </c>
      <c r="D1032" s="10">
        <f>77.8631 * CHOOSE(CONTROL!$C$15, $E$9, 100%, $G$9) + CHOOSE(CONTROL!$C$38, 0.0347, 0)</f>
        <v>77.897800000000004</v>
      </c>
      <c r="E1032" s="28">
        <f>84.0717 * CHOOSE(CONTROL!$C$15, $E$9, 100%, $G$9) + CHOOSE(CONTROL!$C$38, 0.0347, 0)</f>
        <v>84.106400000000008</v>
      </c>
      <c r="F1032" s="27">
        <f>84.0717 * CHOOSE(CONTROL!$C$15, $E$9, 100%, $G$9) + CHOOSE(CONTROL!$C$38, 0.0256, 0)</f>
        <v>84.097300000000004</v>
      </c>
      <c r="G1032" s="10">
        <f>77.8693 * CHOOSE(CONTROL!$C$15, $E$9, 100%, $G$9) + CHOOSE(CONTROL!$C$38, 0.0347, 0)</f>
        <v>77.903999999999996</v>
      </c>
      <c r="H1032" s="10">
        <f>77.8693 * CHOOSE(CONTROL!$C$15, $E$9, 100%, $G$9) + CHOOSE(CONTROL!$C$38, 0.0347, 0)</f>
        <v>77.903999999999996</v>
      </c>
      <c r="I1032" s="10">
        <f>77.8709 * CHOOSE(CONTROL!$C$15, $E$9, 100%, $G$9) + CHOOSE(CONTROL!$C$38, 0.0347, 0)</f>
        <v>77.905600000000007</v>
      </c>
      <c r="J1032" s="26">
        <f>488.1214</f>
        <v>488.12139999999999</v>
      </c>
    </row>
    <row r="1033" spans="1:10" ht="15.75" x14ac:dyDescent="0.25">
      <c r="A1033" s="13">
        <v>72744</v>
      </c>
      <c r="B1033" s="10">
        <f>84.4487 * CHOOSE(CONTROL!$C$15, $E$9, 100%, $G$9) + CHOOSE(CONTROL!$C$38, 0.0256, 0)</f>
        <v>84.474299999999999</v>
      </c>
      <c r="C1033" s="10">
        <f>78.0916 * CHOOSE(CONTROL!$C$15, $E$9, 100%, $G$9) + CHOOSE(CONTROL!$C$38, 0.0347, 0)</f>
        <v>78.126300000000001</v>
      </c>
      <c r="D1033" s="10">
        <f>78.0838 * CHOOSE(CONTROL!$C$15, $E$9, 100%, $G$9) + CHOOSE(CONTROL!$C$38, 0.0347, 0)</f>
        <v>78.118499999999997</v>
      </c>
      <c r="E1033" s="28">
        <f>84.2925 * CHOOSE(CONTROL!$C$15, $E$9, 100%, $G$9) + CHOOSE(CONTROL!$C$38, 0.0347, 0)</f>
        <v>84.327200000000005</v>
      </c>
      <c r="F1033" s="27">
        <f>84.2925 * CHOOSE(CONTROL!$C$15, $E$9, 100%, $G$9) + CHOOSE(CONTROL!$C$38, 0.0256, 0)</f>
        <v>84.318100000000001</v>
      </c>
      <c r="G1033" s="10">
        <f>78.0901 * CHOOSE(CONTROL!$C$15, $E$9, 100%, $G$9) + CHOOSE(CONTROL!$C$38, 0.0347, 0)</f>
        <v>78.124800000000008</v>
      </c>
      <c r="H1033" s="10">
        <f>78.0901 * CHOOSE(CONTROL!$C$15, $E$9, 100%, $G$9) + CHOOSE(CONTROL!$C$38, 0.0347, 0)</f>
        <v>78.124800000000008</v>
      </c>
      <c r="I1033" s="10">
        <f>78.0916 * CHOOSE(CONTROL!$C$15, $E$9, 100%, $G$9) + CHOOSE(CONTROL!$C$38, 0.0347, 0)</f>
        <v>78.126300000000001</v>
      </c>
      <c r="J1033" s="26">
        <f>486.7646</f>
        <v>486.76459999999997</v>
      </c>
    </row>
    <row r="1034" spans="1:10" ht="15.75" x14ac:dyDescent="0.25">
      <c r="A1034" s="13">
        <v>72775</v>
      </c>
      <c r="B1034" s="10">
        <f>83.9377 * CHOOSE(CONTROL!$C$15, $E$9, 100%, $G$9) + CHOOSE(CONTROL!$C$38, 0.0256, 0)</f>
        <v>83.963300000000004</v>
      </c>
      <c r="C1034" s="10">
        <f>77.5806 * CHOOSE(CONTROL!$C$15, $E$9, 100%, $G$9) + CHOOSE(CONTROL!$C$38, 0.0347, 0)</f>
        <v>77.615300000000005</v>
      </c>
      <c r="D1034" s="10">
        <f>77.5728 * CHOOSE(CONTROL!$C$15, $E$9, 100%, $G$9) + CHOOSE(CONTROL!$C$38, 0.0347, 0)</f>
        <v>77.607500000000002</v>
      </c>
      <c r="E1034" s="28">
        <f>83.7814 * CHOOSE(CONTROL!$C$15, $E$9, 100%, $G$9) + CHOOSE(CONTROL!$C$38, 0.0347, 0)</f>
        <v>83.816100000000006</v>
      </c>
      <c r="F1034" s="27">
        <f>83.7814 * CHOOSE(CONTROL!$C$15, $E$9, 100%, $G$9) + CHOOSE(CONTROL!$C$38, 0.0256, 0)</f>
        <v>83.807000000000002</v>
      </c>
      <c r="G1034" s="10">
        <f>77.579 * CHOOSE(CONTROL!$C$15, $E$9, 100%, $G$9) + CHOOSE(CONTROL!$C$38, 0.0347, 0)</f>
        <v>77.613699999999994</v>
      </c>
      <c r="H1034" s="10">
        <f>77.579 * CHOOSE(CONTROL!$C$15, $E$9, 100%, $G$9) + CHOOSE(CONTROL!$C$38, 0.0347, 0)</f>
        <v>77.613699999999994</v>
      </c>
      <c r="I1034" s="10">
        <f>77.5806 * CHOOSE(CONTROL!$C$15, $E$9, 100%, $G$9) + CHOOSE(CONTROL!$C$38, 0.0347, 0)</f>
        <v>77.615300000000005</v>
      </c>
      <c r="J1034" s="26">
        <f>512.4199</f>
        <v>512.41989999999998</v>
      </c>
    </row>
    <row r="1035" spans="1:10" ht="15.75" x14ac:dyDescent="0.25">
      <c r="A1035" s="13">
        <v>72805</v>
      </c>
      <c r="B1035" s="10">
        <f>83.4425 * CHOOSE(CONTROL!$C$15, $E$9, 100%, $G$9) + CHOOSE(CONTROL!$C$38, 0.0256, 0)</f>
        <v>83.468099999999993</v>
      </c>
      <c r="C1035" s="10">
        <f>77.0854 * CHOOSE(CONTROL!$C$15, $E$9, 100%, $G$9) + CHOOSE(CONTROL!$C$38, 0.0347, 0)</f>
        <v>77.120100000000008</v>
      </c>
      <c r="D1035" s="10">
        <f>77.0776 * CHOOSE(CONTROL!$C$15, $E$9, 100%, $G$9) + CHOOSE(CONTROL!$C$38, 0.0347, 0)</f>
        <v>77.112300000000005</v>
      </c>
      <c r="E1035" s="28">
        <f>83.2863 * CHOOSE(CONTROL!$C$15, $E$9, 100%, $G$9) + CHOOSE(CONTROL!$C$38, 0.0347, 0)</f>
        <v>83.320999999999998</v>
      </c>
      <c r="F1035" s="27">
        <f>83.2863 * CHOOSE(CONTROL!$C$15, $E$9, 100%, $G$9) + CHOOSE(CONTROL!$C$38, 0.0256, 0)</f>
        <v>83.311899999999994</v>
      </c>
      <c r="G1035" s="10">
        <f>77.0839 * CHOOSE(CONTROL!$C$15, $E$9, 100%, $G$9) + CHOOSE(CONTROL!$C$38, 0.0347, 0)</f>
        <v>77.118600000000001</v>
      </c>
      <c r="H1035" s="10">
        <f>77.0839 * CHOOSE(CONTROL!$C$15, $E$9, 100%, $G$9) + CHOOSE(CONTROL!$C$38, 0.0347, 0)</f>
        <v>77.118600000000001</v>
      </c>
      <c r="I1035" s="10">
        <f>77.0854 * CHOOSE(CONTROL!$C$15, $E$9, 100%, $G$9) + CHOOSE(CONTROL!$C$38, 0.0347, 0)</f>
        <v>77.120100000000008</v>
      </c>
      <c r="J1035" s="26">
        <f>545.6887</f>
        <v>545.68870000000004</v>
      </c>
    </row>
    <row r="1036" spans="1:10" ht="15.75" x14ac:dyDescent="0.25">
      <c r="A1036" s="13">
        <v>72836</v>
      </c>
      <c r="B1036" s="10">
        <f>82.9264 * CHOOSE(CONTROL!$C$15, $E$9, 100%, $G$9) + CHOOSE(CONTROL!$C$38, 0.0256, 0)</f>
        <v>82.951999999999998</v>
      </c>
      <c r="C1036" s="10">
        <f>76.5693 * CHOOSE(CONTROL!$C$15, $E$9, 100%, $G$9) + CHOOSE(CONTROL!$C$38, 0.0347, 0)</f>
        <v>76.603999999999999</v>
      </c>
      <c r="D1036" s="10">
        <f>76.5615 * CHOOSE(CONTROL!$C$15, $E$9, 100%, $G$9) + CHOOSE(CONTROL!$C$38, 0.0347, 0)</f>
        <v>76.596199999999996</v>
      </c>
      <c r="E1036" s="28">
        <f>82.7702 * CHOOSE(CONTROL!$C$15, $E$9, 100%, $G$9) + CHOOSE(CONTROL!$C$38, 0.0347, 0)</f>
        <v>82.804900000000004</v>
      </c>
      <c r="F1036" s="27">
        <f>82.7702 * CHOOSE(CONTROL!$C$15, $E$9, 100%, $G$9) + CHOOSE(CONTROL!$C$38, 0.0256, 0)</f>
        <v>82.7958</v>
      </c>
      <c r="G1036" s="10">
        <f>76.5677 * CHOOSE(CONTROL!$C$15, $E$9, 100%, $G$9) + CHOOSE(CONTROL!$C$38, 0.0347, 0)</f>
        <v>76.602400000000003</v>
      </c>
      <c r="H1036" s="10">
        <f>76.5677 * CHOOSE(CONTROL!$C$15, $E$9, 100%, $G$9) + CHOOSE(CONTROL!$C$38, 0.0347, 0)</f>
        <v>76.602400000000003</v>
      </c>
      <c r="I1036" s="10">
        <f>76.5693 * CHOOSE(CONTROL!$C$15, $E$9, 100%, $G$9) + CHOOSE(CONTROL!$C$38, 0.0347, 0)</f>
        <v>76.603999999999999</v>
      </c>
      <c r="J1036" s="26">
        <f>564.001</f>
        <v>564.00099999999998</v>
      </c>
    </row>
    <row r="1037" spans="1:10" ht="15.75" x14ac:dyDescent="0.25">
      <c r="A1037" s="13">
        <v>72866</v>
      </c>
      <c r="B1037" s="10">
        <f>82.5646 * CHOOSE(CONTROL!$C$15, $E$9, 100%, $G$9) + CHOOSE(CONTROL!$C$38, 0.0256, 0)</f>
        <v>82.590199999999996</v>
      </c>
      <c r="C1037" s="10">
        <f>76.2075 * CHOOSE(CONTROL!$C$15, $E$9, 100%, $G$9) + CHOOSE(CONTROL!$C$38, 0.0347, 0)</f>
        <v>76.242199999999997</v>
      </c>
      <c r="D1037" s="10">
        <f>76.1997 * CHOOSE(CONTROL!$C$15, $E$9, 100%, $G$9) + CHOOSE(CONTROL!$C$38, 0.0347, 0)</f>
        <v>76.234400000000008</v>
      </c>
      <c r="E1037" s="28">
        <f>82.4083 * CHOOSE(CONTROL!$C$15, $E$9, 100%, $G$9) + CHOOSE(CONTROL!$C$38, 0.0347, 0)</f>
        <v>82.442999999999998</v>
      </c>
      <c r="F1037" s="27">
        <f>82.4083 * CHOOSE(CONTROL!$C$15, $E$9, 100%, $G$9) + CHOOSE(CONTROL!$C$38, 0.0256, 0)</f>
        <v>82.433899999999994</v>
      </c>
      <c r="G1037" s="10">
        <f>76.2059 * CHOOSE(CONTROL!$C$15, $E$9, 100%, $G$9) + CHOOSE(CONTROL!$C$38, 0.0347, 0)</f>
        <v>76.240600000000001</v>
      </c>
      <c r="H1037" s="10">
        <f>76.2059 * CHOOSE(CONTROL!$C$15, $E$9, 100%, $G$9) + CHOOSE(CONTROL!$C$38, 0.0347, 0)</f>
        <v>76.240600000000001</v>
      </c>
      <c r="I1037" s="10">
        <f>76.2075 * CHOOSE(CONTROL!$C$15, $E$9, 100%, $G$9) + CHOOSE(CONTROL!$C$38, 0.0347, 0)</f>
        <v>76.242199999999997</v>
      </c>
      <c r="J1037" s="26">
        <f>572.1276</f>
        <v>572.12760000000003</v>
      </c>
    </row>
    <row r="1038" spans="1:10" ht="15.75" x14ac:dyDescent="0.25">
      <c r="A1038" s="13">
        <v>72897</v>
      </c>
      <c r="B1038" s="10">
        <f>82.3581 * CHOOSE(CONTROL!$C$15, $E$9, 100%, $G$9) + CHOOSE(CONTROL!$C$38, 0.0256, 0)</f>
        <v>82.38369999999999</v>
      </c>
      <c r="C1038" s="10">
        <f>76.001 * CHOOSE(CONTROL!$C$15, $E$9, 100%, $G$9) + CHOOSE(CONTROL!$C$38, 0.0347, 0)</f>
        <v>76.035700000000006</v>
      </c>
      <c r="D1038" s="10">
        <f>75.9932 * CHOOSE(CONTROL!$C$15, $E$9, 100%, $G$9) + CHOOSE(CONTROL!$C$38, 0.0347, 0)</f>
        <v>76.027900000000002</v>
      </c>
      <c r="E1038" s="28">
        <f>82.2018 * CHOOSE(CONTROL!$C$15, $E$9, 100%, $G$9) + CHOOSE(CONTROL!$C$38, 0.0347, 0)</f>
        <v>82.236500000000007</v>
      </c>
      <c r="F1038" s="27">
        <f>82.2018 * CHOOSE(CONTROL!$C$15, $E$9, 100%, $G$9) + CHOOSE(CONTROL!$C$38, 0.0256, 0)</f>
        <v>82.227400000000003</v>
      </c>
      <c r="G1038" s="10">
        <f>75.9994 * CHOOSE(CONTROL!$C$15, $E$9, 100%, $G$9) + CHOOSE(CONTROL!$C$38, 0.0347, 0)</f>
        <v>76.034099999999995</v>
      </c>
      <c r="H1038" s="10">
        <f>75.9994 * CHOOSE(CONTROL!$C$15, $E$9, 100%, $G$9) + CHOOSE(CONTROL!$C$38, 0.0347, 0)</f>
        <v>76.034099999999995</v>
      </c>
      <c r="I1038" s="10">
        <f>76.001 * CHOOSE(CONTROL!$C$15, $E$9, 100%, $G$9) + CHOOSE(CONTROL!$C$38, 0.0347, 0)</f>
        <v>76.035700000000006</v>
      </c>
      <c r="J1038" s="26">
        <f>569.4519</f>
        <v>569.45190000000002</v>
      </c>
    </row>
    <row r="1039" spans="1:10" ht="15.75" x14ac:dyDescent="0.25">
      <c r="A1039" s="13">
        <v>72928</v>
      </c>
      <c r="B1039" s="10">
        <f>82.46 * CHOOSE(CONTROL!$C$15, $E$9, 100%, $G$9) + CHOOSE(CONTROL!$C$38, 0.0256, 0)</f>
        <v>82.485599999999991</v>
      </c>
      <c r="C1039" s="10">
        <f>76.1029 * CHOOSE(CONTROL!$C$15, $E$9, 100%, $G$9) + CHOOSE(CONTROL!$C$38, 0.0347, 0)</f>
        <v>76.137600000000006</v>
      </c>
      <c r="D1039" s="10">
        <f>76.0951 * CHOOSE(CONTROL!$C$15, $E$9, 100%, $G$9) + CHOOSE(CONTROL!$C$38, 0.0347, 0)</f>
        <v>76.129800000000003</v>
      </c>
      <c r="E1039" s="28">
        <f>82.3037 * CHOOSE(CONTROL!$C$15, $E$9, 100%, $G$9) + CHOOSE(CONTROL!$C$38, 0.0347, 0)</f>
        <v>82.338400000000007</v>
      </c>
      <c r="F1039" s="27">
        <f>82.3037 * CHOOSE(CONTROL!$C$15, $E$9, 100%, $G$9) + CHOOSE(CONTROL!$C$38, 0.0256, 0)</f>
        <v>82.329300000000003</v>
      </c>
      <c r="G1039" s="10">
        <f>76.1013 * CHOOSE(CONTROL!$C$15, $E$9, 100%, $G$9) + CHOOSE(CONTROL!$C$38, 0.0347, 0)</f>
        <v>76.135999999999996</v>
      </c>
      <c r="H1039" s="10">
        <f>76.1013 * CHOOSE(CONTROL!$C$15, $E$9, 100%, $G$9) + CHOOSE(CONTROL!$C$38, 0.0347, 0)</f>
        <v>76.135999999999996</v>
      </c>
      <c r="I1039" s="10">
        <f>76.1029 * CHOOSE(CONTROL!$C$15, $E$9, 100%, $G$9) + CHOOSE(CONTROL!$C$38, 0.0347, 0)</f>
        <v>76.137600000000006</v>
      </c>
      <c r="J1039" s="26">
        <f>556.1953</f>
        <v>556.19529999999997</v>
      </c>
    </row>
    <row r="1040" spans="1:10" ht="15.75" x14ac:dyDescent="0.25">
      <c r="A1040" s="13">
        <v>72958</v>
      </c>
      <c r="B1040" s="10">
        <f>82.7368 * CHOOSE(CONTROL!$C$15, $E$9, 100%, $G$9) + CHOOSE(CONTROL!$C$38, 0.0256, 0)</f>
        <v>82.7624</v>
      </c>
      <c r="C1040" s="10">
        <f>76.3797 * CHOOSE(CONTROL!$C$15, $E$9, 100%, $G$9) + CHOOSE(CONTROL!$C$38, 0.0347, 0)</f>
        <v>76.414400000000001</v>
      </c>
      <c r="D1040" s="10">
        <f>76.3719 * CHOOSE(CONTROL!$C$15, $E$9, 100%, $G$9) + CHOOSE(CONTROL!$C$38, 0.0347, 0)</f>
        <v>76.406599999999997</v>
      </c>
      <c r="E1040" s="28">
        <f>82.5805 * CHOOSE(CONTROL!$C$15, $E$9, 100%, $G$9) + CHOOSE(CONTROL!$C$38, 0.0347, 0)</f>
        <v>82.615200000000002</v>
      </c>
      <c r="F1040" s="27">
        <f>82.5805 * CHOOSE(CONTROL!$C$15, $E$9, 100%, $G$9) + CHOOSE(CONTROL!$C$38, 0.0256, 0)</f>
        <v>82.606099999999998</v>
      </c>
      <c r="G1040" s="10">
        <f>76.3781 * CHOOSE(CONTROL!$C$15, $E$9, 100%, $G$9) + CHOOSE(CONTROL!$C$38, 0.0347, 0)</f>
        <v>76.412800000000004</v>
      </c>
      <c r="H1040" s="10">
        <f>76.3781 * CHOOSE(CONTROL!$C$15, $E$9, 100%, $G$9) + CHOOSE(CONTROL!$C$38, 0.0347, 0)</f>
        <v>76.412800000000004</v>
      </c>
      <c r="I1040" s="10">
        <f>76.3797 * CHOOSE(CONTROL!$C$15, $E$9, 100%, $G$9) + CHOOSE(CONTROL!$C$38, 0.0347, 0)</f>
        <v>76.414400000000001</v>
      </c>
      <c r="J1040" s="26">
        <f>537.7084</f>
        <v>537.70839999999998</v>
      </c>
    </row>
    <row r="1041" spans="1:10" ht="15.75" x14ac:dyDescent="0.25">
      <c r="A1041" s="13">
        <v>72989</v>
      </c>
      <c r="B1041" s="10">
        <f>82.9686 * CHOOSE(CONTROL!$C$15, $E$9, 100%, $G$9) + CHOOSE(CONTROL!$C$38, 0.0256, 0)</f>
        <v>82.994199999999992</v>
      </c>
      <c r="C1041" s="10">
        <f>76.6115 * CHOOSE(CONTROL!$C$15, $E$9, 100%, $G$9) + CHOOSE(CONTROL!$C$38, 0.0347, 0)</f>
        <v>76.646200000000007</v>
      </c>
      <c r="D1041" s="10">
        <f>76.6037 * CHOOSE(CONTROL!$C$15, $E$9, 100%, $G$9) + CHOOSE(CONTROL!$C$38, 0.0347, 0)</f>
        <v>76.638400000000004</v>
      </c>
      <c r="E1041" s="28">
        <f>82.8124 * CHOOSE(CONTROL!$C$15, $E$9, 100%, $G$9) + CHOOSE(CONTROL!$C$38, 0.0347, 0)</f>
        <v>82.847099999999998</v>
      </c>
      <c r="F1041" s="27">
        <f>82.8124 * CHOOSE(CONTROL!$C$15, $E$9, 100%, $G$9) + CHOOSE(CONTROL!$C$38, 0.0256, 0)</f>
        <v>82.837999999999994</v>
      </c>
      <c r="G1041" s="10">
        <f>76.6099 * CHOOSE(CONTROL!$C$15, $E$9, 100%, $G$9) + CHOOSE(CONTROL!$C$38, 0.0347, 0)</f>
        <v>76.644599999999997</v>
      </c>
      <c r="H1041" s="10">
        <f>76.6099 * CHOOSE(CONTROL!$C$15, $E$9, 100%, $G$9) + CHOOSE(CONTROL!$C$38, 0.0347, 0)</f>
        <v>76.644599999999997</v>
      </c>
      <c r="I1041" s="10">
        <f>76.6115 * CHOOSE(CONTROL!$C$15, $E$9, 100%, $G$9) + CHOOSE(CONTROL!$C$38, 0.0347, 0)</f>
        <v>76.646200000000007</v>
      </c>
      <c r="J1041" s="26">
        <f>519.1139</f>
        <v>519.11389999999994</v>
      </c>
    </row>
    <row r="1042" spans="1:10" ht="15.75" x14ac:dyDescent="0.25">
      <c r="A1042" s="13">
        <v>73019</v>
      </c>
      <c r="B1042" s="10">
        <f>83.162 * CHOOSE(CONTROL!$C$15, $E$9, 100%, $G$9) + CHOOSE(CONTROL!$C$38, 0.0256, 0)</f>
        <v>83.187600000000003</v>
      </c>
      <c r="C1042" s="10">
        <f>76.8049 * CHOOSE(CONTROL!$C$15, $E$9, 100%, $G$9) + CHOOSE(CONTROL!$C$38, 0.0347, 0)</f>
        <v>76.839600000000004</v>
      </c>
      <c r="D1042" s="10">
        <f>76.7971 * CHOOSE(CONTROL!$C$15, $E$9, 100%, $G$9) + CHOOSE(CONTROL!$C$38, 0.0347, 0)</f>
        <v>76.831800000000001</v>
      </c>
      <c r="E1042" s="28">
        <f>83.0058 * CHOOSE(CONTROL!$C$15, $E$9, 100%, $G$9) + CHOOSE(CONTROL!$C$38, 0.0347, 0)</f>
        <v>83.040499999999994</v>
      </c>
      <c r="F1042" s="27">
        <f>83.0058 * CHOOSE(CONTROL!$C$15, $E$9, 100%, $G$9) + CHOOSE(CONTROL!$C$38, 0.0256, 0)</f>
        <v>83.031399999999991</v>
      </c>
      <c r="G1042" s="10">
        <f>76.8034 * CHOOSE(CONTROL!$C$15, $E$9, 100%, $G$9) + CHOOSE(CONTROL!$C$38, 0.0347, 0)</f>
        <v>76.838099999999997</v>
      </c>
      <c r="H1042" s="10">
        <f>76.8034 * CHOOSE(CONTROL!$C$15, $E$9, 100%, $G$9) + CHOOSE(CONTROL!$C$38, 0.0347, 0)</f>
        <v>76.838099999999997</v>
      </c>
      <c r="I1042" s="10">
        <f>76.8049 * CHOOSE(CONTROL!$C$15, $E$9, 100%, $G$9) + CHOOSE(CONTROL!$C$38, 0.0347, 0)</f>
        <v>76.839600000000004</v>
      </c>
      <c r="J1042" s="26">
        <f>515.415</f>
        <v>515.41499999999996</v>
      </c>
    </row>
    <row r="1043" spans="1:10" ht="15.75" x14ac:dyDescent="0.25">
      <c r="A1043" s="13">
        <v>73050</v>
      </c>
      <c r="B1043" s="10">
        <f>83.7581 * CHOOSE(CONTROL!$C$15, $E$9, 100%, $G$9) + CHOOSE(CONTROL!$C$38, 0.0256, 0)</f>
        <v>83.783699999999996</v>
      </c>
      <c r="C1043" s="10">
        <f>77.401 * CHOOSE(CONTROL!$C$15, $E$9, 100%, $G$9) + CHOOSE(CONTROL!$C$38, 0.0347, 0)</f>
        <v>77.435699999999997</v>
      </c>
      <c r="D1043" s="10">
        <f>77.3932 * CHOOSE(CONTROL!$C$15, $E$9, 100%, $G$9) + CHOOSE(CONTROL!$C$38, 0.0347, 0)</f>
        <v>77.427899999999994</v>
      </c>
      <c r="E1043" s="28">
        <f>83.6019 * CHOOSE(CONTROL!$C$15, $E$9, 100%, $G$9) + CHOOSE(CONTROL!$C$38, 0.0347, 0)</f>
        <v>83.636600000000001</v>
      </c>
      <c r="F1043" s="27">
        <f>83.6019 * CHOOSE(CONTROL!$C$15, $E$9, 100%, $G$9) + CHOOSE(CONTROL!$C$38, 0.0256, 0)</f>
        <v>83.627499999999998</v>
      </c>
      <c r="G1043" s="10">
        <f>77.3995 * CHOOSE(CONTROL!$C$15, $E$9, 100%, $G$9) + CHOOSE(CONTROL!$C$38, 0.0347, 0)</f>
        <v>77.434200000000004</v>
      </c>
      <c r="H1043" s="10">
        <f>77.3995 * CHOOSE(CONTROL!$C$15, $E$9, 100%, $G$9) + CHOOSE(CONTROL!$C$38, 0.0347, 0)</f>
        <v>77.434200000000004</v>
      </c>
      <c r="I1043" s="10">
        <f>77.401 * CHOOSE(CONTROL!$C$15, $E$9, 100%, $G$9) + CHOOSE(CONTROL!$C$38, 0.0347, 0)</f>
        <v>77.435699999999997</v>
      </c>
      <c r="J1043" s="26">
        <f>500.1201</f>
        <v>500.12009999999998</v>
      </c>
    </row>
    <row r="1044" spans="1:10" ht="15.75" x14ac:dyDescent="0.25">
      <c r="A1044" s="13">
        <v>73081</v>
      </c>
      <c r="B1044" s="10">
        <f>85.6879 * CHOOSE(CONTROL!$C$15, $E$9, 100%, $G$9) + CHOOSE(CONTROL!$C$38, 0.0256, 0)</f>
        <v>85.713499999999996</v>
      </c>
      <c r="C1044" s="10">
        <f>79.2213 * CHOOSE(CONTROL!$C$15, $E$9, 100%, $G$9) + CHOOSE(CONTROL!$C$38, 0.0347, 0)</f>
        <v>79.256</v>
      </c>
      <c r="D1044" s="10">
        <f>79.2135 * CHOOSE(CONTROL!$C$15, $E$9, 100%, $G$9) + CHOOSE(CONTROL!$C$38, 0.0347, 0)</f>
        <v>79.248199999999997</v>
      </c>
      <c r="E1044" s="28">
        <f>85.5317 * CHOOSE(CONTROL!$C$15, $E$9, 100%, $G$9) + CHOOSE(CONTROL!$C$38, 0.0347, 0)</f>
        <v>85.566400000000002</v>
      </c>
      <c r="F1044" s="27">
        <f>85.5317 * CHOOSE(CONTROL!$C$15, $E$9, 100%, $G$9) + CHOOSE(CONTROL!$C$38, 0.0256, 0)</f>
        <v>85.557299999999998</v>
      </c>
      <c r="G1044" s="10">
        <f>79.2197 * CHOOSE(CONTROL!$C$15, $E$9, 100%, $G$9) + CHOOSE(CONTROL!$C$38, 0.0347, 0)</f>
        <v>79.254400000000004</v>
      </c>
      <c r="H1044" s="10">
        <f>79.2197 * CHOOSE(CONTROL!$C$15, $E$9, 100%, $G$9) + CHOOSE(CONTROL!$C$38, 0.0347, 0)</f>
        <v>79.254400000000004</v>
      </c>
      <c r="I1044" s="10">
        <f>79.2213 * CHOOSE(CONTROL!$C$15, $E$9, 100%, $G$9) + CHOOSE(CONTROL!$C$38, 0.0347, 0)</f>
        <v>79.256</v>
      </c>
      <c r="J1044" s="26">
        <f>496.77</f>
        <v>496.77</v>
      </c>
    </row>
    <row r="1045" spans="1:10" ht="15.75" x14ac:dyDescent="0.25">
      <c r="A1045" s="13">
        <v>73109</v>
      </c>
      <c r="B1045" s="10">
        <f>85.9087 * CHOOSE(CONTROL!$C$15, $E$9, 100%, $G$9) + CHOOSE(CONTROL!$C$38, 0.0256, 0)</f>
        <v>85.934299999999993</v>
      </c>
      <c r="C1045" s="10">
        <f>79.442 * CHOOSE(CONTROL!$C$15, $E$9, 100%, $G$9) + CHOOSE(CONTROL!$C$38, 0.0347, 0)</f>
        <v>79.476699999999994</v>
      </c>
      <c r="D1045" s="10">
        <f>79.4342 * CHOOSE(CONTROL!$C$15, $E$9, 100%, $G$9) + CHOOSE(CONTROL!$C$38, 0.0347, 0)</f>
        <v>79.468900000000005</v>
      </c>
      <c r="E1045" s="28">
        <f>85.7524 * CHOOSE(CONTROL!$C$15, $E$9, 100%, $G$9) + CHOOSE(CONTROL!$C$38, 0.0347, 0)</f>
        <v>85.787099999999995</v>
      </c>
      <c r="F1045" s="27">
        <f>85.7524 * CHOOSE(CONTROL!$C$15, $E$9, 100%, $G$9) + CHOOSE(CONTROL!$C$38, 0.0256, 0)</f>
        <v>85.777999999999992</v>
      </c>
      <c r="G1045" s="10">
        <f>79.4405 * CHOOSE(CONTROL!$C$15, $E$9, 100%, $G$9) + CHOOSE(CONTROL!$C$38, 0.0347, 0)</f>
        <v>79.475200000000001</v>
      </c>
      <c r="H1045" s="10">
        <f>79.4405 * CHOOSE(CONTROL!$C$15, $E$9, 100%, $G$9) + CHOOSE(CONTROL!$C$38, 0.0347, 0)</f>
        <v>79.475200000000001</v>
      </c>
      <c r="I1045" s="10">
        <f>79.442 * CHOOSE(CONTROL!$C$15, $E$9, 100%, $G$9) + CHOOSE(CONTROL!$C$38, 0.0347, 0)</f>
        <v>79.476699999999994</v>
      </c>
      <c r="J1045" s="26">
        <f>495.3892</f>
        <v>495.38920000000002</v>
      </c>
    </row>
    <row r="1046" spans="1:10" ht="15.75" x14ac:dyDescent="0.25">
      <c r="A1046" s="13">
        <v>73140</v>
      </c>
      <c r="B1046" s="10">
        <f>85.3977 * CHOOSE(CONTROL!$C$15, $E$9, 100%, $G$9) + CHOOSE(CONTROL!$C$38, 0.0256, 0)</f>
        <v>85.423299999999998</v>
      </c>
      <c r="C1046" s="10">
        <f>78.931 * CHOOSE(CONTROL!$C$15, $E$9, 100%, $G$9) + CHOOSE(CONTROL!$C$38, 0.0347, 0)</f>
        <v>78.965699999999998</v>
      </c>
      <c r="D1046" s="10">
        <f>78.9232 * CHOOSE(CONTROL!$C$15, $E$9, 100%, $G$9) + CHOOSE(CONTROL!$C$38, 0.0347, 0)</f>
        <v>78.957899999999995</v>
      </c>
      <c r="E1046" s="28">
        <f>85.2414 * CHOOSE(CONTROL!$C$15, $E$9, 100%, $G$9) + CHOOSE(CONTROL!$C$38, 0.0347, 0)</f>
        <v>85.2761</v>
      </c>
      <c r="F1046" s="27">
        <f>85.2414 * CHOOSE(CONTROL!$C$15, $E$9, 100%, $G$9) + CHOOSE(CONTROL!$C$38, 0.0256, 0)</f>
        <v>85.266999999999996</v>
      </c>
      <c r="G1046" s="10">
        <f>78.9294 * CHOOSE(CONTROL!$C$15, $E$9, 100%, $G$9) + CHOOSE(CONTROL!$C$38, 0.0347, 0)</f>
        <v>78.964100000000002</v>
      </c>
      <c r="H1046" s="10">
        <f>78.9294 * CHOOSE(CONTROL!$C$15, $E$9, 100%, $G$9) + CHOOSE(CONTROL!$C$38, 0.0347, 0)</f>
        <v>78.964100000000002</v>
      </c>
      <c r="I1046" s="10">
        <f>78.931 * CHOOSE(CONTROL!$C$15, $E$9, 100%, $G$9) + CHOOSE(CONTROL!$C$38, 0.0347, 0)</f>
        <v>78.965699999999998</v>
      </c>
      <c r="J1046" s="26">
        <f>521.499</f>
        <v>521.49900000000002</v>
      </c>
    </row>
    <row r="1047" spans="1:10" ht="15.75" x14ac:dyDescent="0.25">
      <c r="A1047" s="13">
        <v>73170</v>
      </c>
      <c r="B1047" s="10">
        <f>84.9025 * CHOOSE(CONTROL!$C$15, $E$9, 100%, $G$9) + CHOOSE(CONTROL!$C$38, 0.0256, 0)</f>
        <v>84.928100000000001</v>
      </c>
      <c r="C1047" s="10">
        <f>78.4358 * CHOOSE(CONTROL!$C$15, $E$9, 100%, $G$9) + CHOOSE(CONTROL!$C$38, 0.0347, 0)</f>
        <v>78.470500000000001</v>
      </c>
      <c r="D1047" s="10">
        <f>78.428 * CHOOSE(CONTROL!$C$15, $E$9, 100%, $G$9) + CHOOSE(CONTROL!$C$38, 0.0347, 0)</f>
        <v>78.462699999999998</v>
      </c>
      <c r="E1047" s="28">
        <f>84.7462 * CHOOSE(CONTROL!$C$15, $E$9, 100%, $G$9) + CHOOSE(CONTROL!$C$38, 0.0347, 0)</f>
        <v>84.780900000000003</v>
      </c>
      <c r="F1047" s="27">
        <f>84.7462 * CHOOSE(CONTROL!$C$15, $E$9, 100%, $G$9) + CHOOSE(CONTROL!$C$38, 0.0256, 0)</f>
        <v>84.771799999999999</v>
      </c>
      <c r="G1047" s="10">
        <f>78.4343 * CHOOSE(CONTROL!$C$15, $E$9, 100%, $G$9) + CHOOSE(CONTROL!$C$38, 0.0347, 0)</f>
        <v>78.468999999999994</v>
      </c>
      <c r="H1047" s="10">
        <f>78.4343 * CHOOSE(CONTROL!$C$15, $E$9, 100%, $G$9) + CHOOSE(CONTROL!$C$38, 0.0347, 0)</f>
        <v>78.468999999999994</v>
      </c>
      <c r="I1047" s="10">
        <f>78.4358 * CHOOSE(CONTROL!$C$15, $E$9, 100%, $G$9) + CHOOSE(CONTROL!$C$38, 0.0347, 0)</f>
        <v>78.470500000000001</v>
      </c>
      <c r="J1047" s="26">
        <f>555.3573</f>
        <v>555.35730000000001</v>
      </c>
    </row>
    <row r="1048" spans="1:10" ht="15.75" x14ac:dyDescent="0.25">
      <c r="A1048" s="13">
        <v>73201</v>
      </c>
      <c r="B1048" s="10">
        <f>84.3864 * CHOOSE(CONTROL!$C$15, $E$9, 100%, $G$9) + CHOOSE(CONTROL!$C$38, 0.0256, 0)</f>
        <v>84.411999999999992</v>
      </c>
      <c r="C1048" s="10">
        <f>77.9197 * CHOOSE(CONTROL!$C$15, $E$9, 100%, $G$9) + CHOOSE(CONTROL!$C$38, 0.0347, 0)</f>
        <v>77.954400000000007</v>
      </c>
      <c r="D1048" s="10">
        <f>77.9119 * CHOOSE(CONTROL!$C$15, $E$9, 100%, $G$9) + CHOOSE(CONTROL!$C$38, 0.0347, 0)</f>
        <v>77.946600000000004</v>
      </c>
      <c r="E1048" s="28">
        <f>84.2301 * CHOOSE(CONTROL!$C$15, $E$9, 100%, $G$9) + CHOOSE(CONTROL!$C$38, 0.0347, 0)</f>
        <v>84.264799999999994</v>
      </c>
      <c r="F1048" s="27">
        <f>84.2301 * CHOOSE(CONTROL!$C$15, $E$9, 100%, $G$9) + CHOOSE(CONTROL!$C$38, 0.0256, 0)</f>
        <v>84.25569999999999</v>
      </c>
      <c r="G1048" s="10">
        <f>77.9181 * CHOOSE(CONTROL!$C$15, $E$9, 100%, $G$9) + CHOOSE(CONTROL!$C$38, 0.0347, 0)</f>
        <v>77.952799999999996</v>
      </c>
      <c r="H1048" s="10">
        <f>77.9181 * CHOOSE(CONTROL!$C$15, $E$9, 100%, $G$9) + CHOOSE(CONTROL!$C$38, 0.0347, 0)</f>
        <v>77.952799999999996</v>
      </c>
      <c r="I1048" s="10">
        <f>77.9197 * CHOOSE(CONTROL!$C$15, $E$9, 100%, $G$9) + CHOOSE(CONTROL!$C$38, 0.0347, 0)</f>
        <v>77.954400000000007</v>
      </c>
      <c r="J1048" s="26">
        <f>573.994</f>
        <v>573.99400000000003</v>
      </c>
    </row>
    <row r="1049" spans="1:10" ht="15.75" x14ac:dyDescent="0.25">
      <c r="A1049" s="13">
        <v>73231</v>
      </c>
      <c r="B1049" s="10">
        <f>84.0245 * CHOOSE(CONTROL!$C$15, $E$9, 100%, $G$9) + CHOOSE(CONTROL!$C$38, 0.0256, 0)</f>
        <v>84.0501</v>
      </c>
      <c r="C1049" s="10">
        <f>77.5579 * CHOOSE(CONTROL!$C$15, $E$9, 100%, $G$9) + CHOOSE(CONTROL!$C$38, 0.0347, 0)</f>
        <v>77.592600000000004</v>
      </c>
      <c r="D1049" s="10">
        <f>77.5501 * CHOOSE(CONTROL!$C$15, $E$9, 100%, $G$9) + CHOOSE(CONTROL!$C$38, 0.0347, 0)</f>
        <v>77.584800000000001</v>
      </c>
      <c r="E1049" s="28">
        <f>83.8683 * CHOOSE(CONTROL!$C$15, $E$9, 100%, $G$9) + CHOOSE(CONTROL!$C$38, 0.0347, 0)</f>
        <v>83.903000000000006</v>
      </c>
      <c r="F1049" s="27">
        <f>83.8683 * CHOOSE(CONTROL!$C$15, $E$9, 100%, $G$9) + CHOOSE(CONTROL!$C$38, 0.0256, 0)</f>
        <v>83.893900000000002</v>
      </c>
      <c r="G1049" s="10">
        <f>77.5563 * CHOOSE(CONTROL!$C$15, $E$9, 100%, $G$9) + CHOOSE(CONTROL!$C$38, 0.0347, 0)</f>
        <v>77.590999999999994</v>
      </c>
      <c r="H1049" s="10">
        <f>77.5563 * CHOOSE(CONTROL!$C$15, $E$9, 100%, $G$9) + CHOOSE(CONTROL!$C$38, 0.0347, 0)</f>
        <v>77.590999999999994</v>
      </c>
      <c r="I1049" s="10">
        <f>77.5579 * CHOOSE(CONTROL!$C$15, $E$9, 100%, $G$9) + CHOOSE(CONTROL!$C$38, 0.0347, 0)</f>
        <v>77.592600000000004</v>
      </c>
      <c r="J1049" s="26">
        <f>582.2646</f>
        <v>582.26459999999997</v>
      </c>
    </row>
    <row r="1050" spans="1:10" ht="15.75" x14ac:dyDescent="0.25">
      <c r="A1050" s="13">
        <v>73262</v>
      </c>
      <c r="B1050" s="10">
        <f>83.818 * CHOOSE(CONTROL!$C$15, $E$9, 100%, $G$9) + CHOOSE(CONTROL!$C$38, 0.0256, 0)</f>
        <v>83.843599999999995</v>
      </c>
      <c r="C1050" s="10">
        <f>77.3514 * CHOOSE(CONTROL!$C$15, $E$9, 100%, $G$9) + CHOOSE(CONTROL!$C$38, 0.0347, 0)</f>
        <v>77.386099999999999</v>
      </c>
      <c r="D1050" s="10">
        <f>77.3436 * CHOOSE(CONTROL!$C$15, $E$9, 100%, $G$9) + CHOOSE(CONTROL!$C$38, 0.0347, 0)</f>
        <v>77.378299999999996</v>
      </c>
      <c r="E1050" s="28">
        <f>83.6618 * CHOOSE(CONTROL!$C$15, $E$9, 100%, $G$9) + CHOOSE(CONTROL!$C$38, 0.0347, 0)</f>
        <v>83.6965</v>
      </c>
      <c r="F1050" s="27">
        <f>83.6618 * CHOOSE(CONTROL!$C$15, $E$9, 100%, $G$9) + CHOOSE(CONTROL!$C$38, 0.0256, 0)</f>
        <v>83.687399999999997</v>
      </c>
      <c r="G1050" s="10">
        <f>77.3498 * CHOOSE(CONTROL!$C$15, $E$9, 100%, $G$9) + CHOOSE(CONTROL!$C$38, 0.0347, 0)</f>
        <v>77.384500000000003</v>
      </c>
      <c r="H1050" s="10">
        <f>77.3498 * CHOOSE(CONTROL!$C$15, $E$9, 100%, $G$9) + CHOOSE(CONTROL!$C$38, 0.0347, 0)</f>
        <v>77.384500000000003</v>
      </c>
      <c r="I1050" s="10">
        <f>77.3514 * CHOOSE(CONTROL!$C$15, $E$9, 100%, $G$9) + CHOOSE(CONTROL!$C$38, 0.0347, 0)</f>
        <v>77.386099999999999</v>
      </c>
      <c r="J1050" s="26">
        <f>579.5416</f>
        <v>579.54160000000002</v>
      </c>
    </row>
    <row r="1051" spans="1:10" ht="15.75" x14ac:dyDescent="0.25">
      <c r="A1051" s="13">
        <v>73293</v>
      </c>
      <c r="B1051" s="10">
        <f>83.92 * CHOOSE(CONTROL!$C$15, $E$9, 100%, $G$9) + CHOOSE(CONTROL!$C$38, 0.0256, 0)</f>
        <v>83.945599999999999</v>
      </c>
      <c r="C1051" s="10">
        <f>77.4533 * CHOOSE(CONTROL!$C$15, $E$9, 100%, $G$9) + CHOOSE(CONTROL!$C$38, 0.0347, 0)</f>
        <v>77.488</v>
      </c>
      <c r="D1051" s="10">
        <f>77.4455 * CHOOSE(CONTROL!$C$15, $E$9, 100%, $G$9) + CHOOSE(CONTROL!$C$38, 0.0347, 0)</f>
        <v>77.480199999999996</v>
      </c>
      <c r="E1051" s="28">
        <f>83.7637 * CHOOSE(CONTROL!$C$15, $E$9, 100%, $G$9) + CHOOSE(CONTROL!$C$38, 0.0347, 0)</f>
        <v>83.798400000000001</v>
      </c>
      <c r="F1051" s="27">
        <f>83.7637 * CHOOSE(CONTROL!$C$15, $E$9, 100%, $G$9) + CHOOSE(CONTROL!$C$38, 0.0256, 0)</f>
        <v>83.789299999999997</v>
      </c>
      <c r="G1051" s="10">
        <f>77.4517 * CHOOSE(CONTROL!$C$15, $E$9, 100%, $G$9) + CHOOSE(CONTROL!$C$38, 0.0347, 0)</f>
        <v>77.486400000000003</v>
      </c>
      <c r="H1051" s="10">
        <f>77.4517 * CHOOSE(CONTROL!$C$15, $E$9, 100%, $G$9) + CHOOSE(CONTROL!$C$38, 0.0347, 0)</f>
        <v>77.486400000000003</v>
      </c>
      <c r="I1051" s="10">
        <f>77.4533 * CHOOSE(CONTROL!$C$15, $E$9, 100%, $G$9) + CHOOSE(CONTROL!$C$38, 0.0347, 0)</f>
        <v>77.488</v>
      </c>
      <c r="J1051" s="26">
        <f>566.0501</f>
        <v>566.05010000000004</v>
      </c>
    </row>
    <row r="1052" spans="1:10" ht="15.75" x14ac:dyDescent="0.25">
      <c r="A1052" s="13">
        <v>73323</v>
      </c>
      <c r="B1052" s="10">
        <f>84.1968 * CHOOSE(CONTROL!$C$15, $E$9, 100%, $G$9) + CHOOSE(CONTROL!$C$38, 0.0256, 0)</f>
        <v>84.222399999999993</v>
      </c>
      <c r="C1052" s="10">
        <f>77.7301 * CHOOSE(CONTROL!$C$15, $E$9, 100%, $G$9) + CHOOSE(CONTROL!$C$38, 0.0347, 0)</f>
        <v>77.764799999999994</v>
      </c>
      <c r="D1052" s="10">
        <f>77.7223 * CHOOSE(CONTROL!$C$15, $E$9, 100%, $G$9) + CHOOSE(CONTROL!$C$38, 0.0347, 0)</f>
        <v>77.757000000000005</v>
      </c>
      <c r="E1052" s="28">
        <f>84.0405 * CHOOSE(CONTROL!$C$15, $E$9, 100%, $G$9) + CHOOSE(CONTROL!$C$38, 0.0347, 0)</f>
        <v>84.075199999999995</v>
      </c>
      <c r="F1052" s="27">
        <f>84.0405 * CHOOSE(CONTROL!$C$15, $E$9, 100%, $G$9) + CHOOSE(CONTROL!$C$38, 0.0256, 0)</f>
        <v>84.066099999999992</v>
      </c>
      <c r="G1052" s="10">
        <f>77.7285 * CHOOSE(CONTROL!$C$15, $E$9, 100%, $G$9) + CHOOSE(CONTROL!$C$38, 0.0347, 0)</f>
        <v>77.763199999999998</v>
      </c>
      <c r="H1052" s="10">
        <f>77.7285 * CHOOSE(CONTROL!$C$15, $E$9, 100%, $G$9) + CHOOSE(CONTROL!$C$38, 0.0347, 0)</f>
        <v>77.763199999999998</v>
      </c>
      <c r="I1052" s="10">
        <f>77.7301 * CHOOSE(CONTROL!$C$15, $E$9, 100%, $G$9) + CHOOSE(CONTROL!$C$38, 0.0347, 0)</f>
        <v>77.764799999999994</v>
      </c>
      <c r="J1052" s="26">
        <f>547.2355</f>
        <v>547.2355</v>
      </c>
    </row>
    <row r="1053" spans="1:10" ht="15.75" x14ac:dyDescent="0.25">
      <c r="A1053" s="13">
        <v>73354</v>
      </c>
      <c r="B1053" s="10">
        <f>84.4286 * CHOOSE(CONTROL!$C$15, $E$9, 100%, $G$9) + CHOOSE(CONTROL!$C$38, 0.0256, 0)</f>
        <v>84.4542</v>
      </c>
      <c r="C1053" s="10">
        <f>77.9619 * CHOOSE(CONTROL!$C$15, $E$9, 100%, $G$9) + CHOOSE(CONTROL!$C$38, 0.0347, 0)</f>
        <v>77.996600000000001</v>
      </c>
      <c r="D1053" s="10">
        <f>77.9541 * CHOOSE(CONTROL!$C$15, $E$9, 100%, $G$9) + CHOOSE(CONTROL!$C$38, 0.0347, 0)</f>
        <v>77.988799999999998</v>
      </c>
      <c r="E1053" s="28">
        <f>84.2723 * CHOOSE(CONTROL!$C$15, $E$9, 100%, $G$9) + CHOOSE(CONTROL!$C$38, 0.0347, 0)</f>
        <v>84.307000000000002</v>
      </c>
      <c r="F1053" s="27">
        <f>84.2723 * CHOOSE(CONTROL!$C$15, $E$9, 100%, $G$9) + CHOOSE(CONTROL!$C$38, 0.0256, 0)</f>
        <v>84.297899999999998</v>
      </c>
      <c r="G1053" s="10">
        <f>77.9604 * CHOOSE(CONTROL!$C$15, $E$9, 100%, $G$9) + CHOOSE(CONTROL!$C$38, 0.0347, 0)</f>
        <v>77.995100000000008</v>
      </c>
      <c r="H1053" s="10">
        <f>77.9604 * CHOOSE(CONTROL!$C$15, $E$9, 100%, $G$9) + CHOOSE(CONTROL!$C$38, 0.0347, 0)</f>
        <v>77.995100000000008</v>
      </c>
      <c r="I1053" s="10">
        <f>77.9619 * CHOOSE(CONTROL!$C$15, $E$9, 100%, $G$9) + CHOOSE(CONTROL!$C$38, 0.0347, 0)</f>
        <v>77.996600000000001</v>
      </c>
      <c r="J1053" s="26">
        <f>528.3116</f>
        <v>528.3116</v>
      </c>
    </row>
    <row r="1054" spans="1:10" ht="15.75" x14ac:dyDescent="0.25">
      <c r="A1054" s="13">
        <v>73384</v>
      </c>
      <c r="B1054" s="10">
        <f>84.622 * CHOOSE(CONTROL!$C$15, $E$9, 100%, $G$9) + CHOOSE(CONTROL!$C$38, 0.0256, 0)</f>
        <v>84.647599999999997</v>
      </c>
      <c r="C1054" s="10">
        <f>78.1554 * CHOOSE(CONTROL!$C$15, $E$9, 100%, $G$9) + CHOOSE(CONTROL!$C$38, 0.0347, 0)</f>
        <v>78.190100000000001</v>
      </c>
      <c r="D1054" s="10">
        <f>78.1475 * CHOOSE(CONTROL!$C$15, $E$9, 100%, $G$9) + CHOOSE(CONTROL!$C$38, 0.0347, 0)</f>
        <v>78.182199999999995</v>
      </c>
      <c r="E1054" s="28">
        <f>84.4658 * CHOOSE(CONTROL!$C$15, $E$9, 100%, $G$9) + CHOOSE(CONTROL!$C$38, 0.0347, 0)</f>
        <v>84.500500000000002</v>
      </c>
      <c r="F1054" s="27">
        <f>84.4658 * CHOOSE(CONTROL!$C$15, $E$9, 100%, $G$9) + CHOOSE(CONTROL!$C$38, 0.0256, 0)</f>
        <v>84.491399999999999</v>
      </c>
      <c r="G1054" s="10">
        <f>78.1538 * CHOOSE(CONTROL!$C$15, $E$9, 100%, $G$9) + CHOOSE(CONTROL!$C$38, 0.0347, 0)</f>
        <v>78.188500000000005</v>
      </c>
      <c r="H1054" s="10">
        <f>78.1538 * CHOOSE(CONTROL!$C$15, $E$9, 100%, $G$9) + CHOOSE(CONTROL!$C$38, 0.0347, 0)</f>
        <v>78.188500000000005</v>
      </c>
      <c r="I1054" s="10">
        <f>78.1554 * CHOOSE(CONTROL!$C$15, $E$9, 100%, $G$9) + CHOOSE(CONTROL!$C$38, 0.0347, 0)</f>
        <v>78.190100000000001</v>
      </c>
      <c r="J1054" s="26">
        <f>524.5472</f>
        <v>524.54719999999998</v>
      </c>
    </row>
    <row r="1055" spans="1:10" ht="15.75" x14ac:dyDescent="0.25">
      <c r="A1055" s="13">
        <v>73415</v>
      </c>
      <c r="B1055" s="10">
        <f>85.2181 * CHOOSE(CONTROL!$C$15, $E$9, 100%, $G$9) + CHOOSE(CONTROL!$C$38, 0.0256, 0)</f>
        <v>85.243700000000004</v>
      </c>
      <c r="C1055" s="10">
        <f>78.7514 * CHOOSE(CONTROL!$C$15, $E$9, 100%, $G$9) + CHOOSE(CONTROL!$C$38, 0.0347, 0)</f>
        <v>78.786100000000005</v>
      </c>
      <c r="D1055" s="10">
        <f>78.7436 * CHOOSE(CONTROL!$C$15, $E$9, 100%, $G$9) + CHOOSE(CONTROL!$C$38, 0.0347, 0)</f>
        <v>78.778300000000002</v>
      </c>
      <c r="E1055" s="28">
        <f>85.0618 * CHOOSE(CONTROL!$C$15, $E$9, 100%, $G$9) + CHOOSE(CONTROL!$C$38, 0.0347, 0)</f>
        <v>85.096500000000006</v>
      </c>
      <c r="F1055" s="27">
        <f>85.0618 * CHOOSE(CONTROL!$C$15, $E$9, 100%, $G$9) + CHOOSE(CONTROL!$C$38, 0.0256, 0)</f>
        <v>85.087400000000002</v>
      </c>
      <c r="G1055" s="10">
        <f>78.7499 * CHOOSE(CONTROL!$C$15, $E$9, 100%, $G$9) + CHOOSE(CONTROL!$C$38, 0.0347, 0)</f>
        <v>78.784599999999998</v>
      </c>
      <c r="H1055" s="10">
        <f>78.7499 * CHOOSE(CONTROL!$C$15, $E$9, 100%, $G$9) + CHOOSE(CONTROL!$C$38, 0.0347, 0)</f>
        <v>78.784599999999998</v>
      </c>
      <c r="I1055" s="10">
        <f>78.7514 * CHOOSE(CONTROL!$C$15, $E$9, 100%, $G$9) + CHOOSE(CONTROL!$C$38, 0.0347, 0)</f>
        <v>78.786100000000005</v>
      </c>
      <c r="J1055" s="26">
        <f>508.9812</f>
        <v>508.9812</v>
      </c>
    </row>
    <row r="1056" spans="1:10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</row>
    <row r="1057" spans="1:11" ht="15" x14ac:dyDescent="0.2">
      <c r="A1057" s="11">
        <v>2014</v>
      </c>
      <c r="B1057" s="10">
        <f t="shared" ref="B1057:J1057" si="0">AVERAGE(B12:B23)</f>
        <v>16.72229158410126</v>
      </c>
      <c r="C1057" s="10">
        <f t="shared" si="0"/>
        <v>15.906292939895536</v>
      </c>
      <c r="D1057" s="10">
        <f t="shared" si="0"/>
        <v>15.898481481562214</v>
      </c>
      <c r="E1057" s="10">
        <f t="shared" si="0"/>
        <v>16.575092939895541</v>
      </c>
      <c r="F1057" s="10">
        <f t="shared" si="0"/>
        <v>16.566012417434589</v>
      </c>
      <c r="G1057" s="10">
        <f t="shared" si="0"/>
        <v>15.904727314895538</v>
      </c>
      <c r="H1057" s="10">
        <f t="shared" si="0"/>
        <v>15.904727314895538</v>
      </c>
      <c r="I1057" s="10">
        <f t="shared" si="0"/>
        <v>15.906292939895536</v>
      </c>
      <c r="J1057" s="10">
        <f t="shared" si="0"/>
        <v>100.35166666666665</v>
      </c>
      <c r="K1057" s="10"/>
    </row>
    <row r="1058" spans="1:11" ht="15" x14ac:dyDescent="0.2">
      <c r="A1058" s="11">
        <v>2015</v>
      </c>
      <c r="B1058" s="10">
        <f t="shared" ref="B1058:J1058" si="1">AVERAGE(B24:B35)</f>
        <v>15.9709</v>
      </c>
      <c r="C1058" s="10">
        <f t="shared" si="1"/>
        <v>15.062825000000004</v>
      </c>
      <c r="D1058" s="10">
        <f t="shared" si="1"/>
        <v>15.055000000000001</v>
      </c>
      <c r="E1058" s="10">
        <f t="shared" si="1"/>
        <v>15.823800000000004</v>
      </c>
      <c r="F1058" s="10">
        <f t="shared" si="1"/>
        <v>15.814699999999997</v>
      </c>
      <c r="G1058" s="10">
        <f t="shared" si="1"/>
        <v>15.061224999999999</v>
      </c>
      <c r="H1058" s="10">
        <f t="shared" si="1"/>
        <v>15.061224999999999</v>
      </c>
      <c r="I1058" s="10">
        <f t="shared" si="1"/>
        <v>15.062825000000004</v>
      </c>
      <c r="J1058" s="10">
        <f t="shared" si="1"/>
        <v>91.034166666666678</v>
      </c>
      <c r="K1058" s="10"/>
    </row>
    <row r="1059" spans="1:11" ht="15" x14ac:dyDescent="0.2">
      <c r="A1059" s="11">
        <v>2016</v>
      </c>
      <c r="B1059" s="10">
        <f t="shared" ref="B1059:J1059" si="2">AVERAGE(B36:B47)</f>
        <v>15.018558333333331</v>
      </c>
      <c r="C1059" s="10">
        <f t="shared" si="2"/>
        <v>14.678433333333333</v>
      </c>
      <c r="D1059" s="10">
        <f t="shared" si="2"/>
        <v>14.670633333333333</v>
      </c>
      <c r="E1059" s="10">
        <f t="shared" si="2"/>
        <v>14.871416666666667</v>
      </c>
      <c r="F1059" s="10">
        <f t="shared" si="2"/>
        <v>14.862316666666667</v>
      </c>
      <c r="G1059" s="10">
        <f t="shared" si="2"/>
        <v>14.676891666666668</v>
      </c>
      <c r="H1059" s="10">
        <f t="shared" si="2"/>
        <v>14.676891666666668</v>
      </c>
      <c r="I1059" s="10">
        <f t="shared" si="2"/>
        <v>14.678433333333333</v>
      </c>
      <c r="J1059" s="10">
        <f t="shared" si="2"/>
        <v>84.939166666666665</v>
      </c>
      <c r="K1059" s="10"/>
    </row>
    <row r="1060" spans="1:11" ht="15" x14ac:dyDescent="0.2">
      <c r="A1060" s="11">
        <v>2017</v>
      </c>
      <c r="B1060" s="10">
        <f t="shared" ref="B1060:J1060" si="3">AVERAGE(B48:B59)</f>
        <v>14.595950000000004</v>
      </c>
      <c r="C1060" s="10">
        <f t="shared" si="3"/>
        <v>14.049733333333336</v>
      </c>
      <c r="D1060" s="10">
        <f t="shared" si="3"/>
        <v>14.041925000000001</v>
      </c>
      <c r="E1060" s="10">
        <f t="shared" si="3"/>
        <v>14.448800000000004</v>
      </c>
      <c r="F1060" s="10">
        <f t="shared" si="3"/>
        <v>14.4397</v>
      </c>
      <c r="G1060" s="10">
        <f t="shared" si="3"/>
        <v>14.048191666666668</v>
      </c>
      <c r="H1060" s="10">
        <f t="shared" si="3"/>
        <v>14.048191666666668</v>
      </c>
      <c r="I1060" s="10">
        <f t="shared" si="3"/>
        <v>14.049733333333336</v>
      </c>
      <c r="J1060" s="10">
        <f t="shared" si="3"/>
        <v>86.115841666666668</v>
      </c>
      <c r="K1060" s="10"/>
    </row>
    <row r="1061" spans="1:11" ht="15" x14ac:dyDescent="0.2">
      <c r="A1061" s="11">
        <v>2018</v>
      </c>
      <c r="B1061" s="10">
        <f t="shared" ref="B1061:J1061" si="4">AVERAGE(B60:B71)</f>
        <v>14.801575</v>
      </c>
      <c r="C1061" s="10">
        <f t="shared" si="4"/>
        <v>14.259091666666668</v>
      </c>
      <c r="D1061" s="10">
        <f t="shared" si="4"/>
        <v>14.251275</v>
      </c>
      <c r="E1061" s="10">
        <f t="shared" si="4"/>
        <v>14.654408333333336</v>
      </c>
      <c r="F1061" s="10">
        <f t="shared" si="4"/>
        <v>14.645308333333332</v>
      </c>
      <c r="G1061" s="10">
        <f t="shared" si="4"/>
        <v>14.257508333333332</v>
      </c>
      <c r="H1061" s="10">
        <f t="shared" si="4"/>
        <v>14.257508333333332</v>
      </c>
      <c r="I1061" s="10">
        <f t="shared" si="4"/>
        <v>14.259091666666668</v>
      </c>
      <c r="J1061" s="10">
        <f t="shared" si="4"/>
        <v>88.111658333333324</v>
      </c>
      <c r="K1061" s="10"/>
    </row>
    <row r="1062" spans="1:11" ht="15" x14ac:dyDescent="0.2">
      <c r="A1062" s="11">
        <v>2019</v>
      </c>
      <c r="B1062" s="10">
        <f t="shared" ref="B1062:J1062" si="5">AVERAGE(B72:B83)</f>
        <v>16.07063333333333</v>
      </c>
      <c r="C1062" s="10">
        <f t="shared" si="5"/>
        <v>15.203450000000002</v>
      </c>
      <c r="D1062" s="10">
        <f t="shared" si="5"/>
        <v>15.195633333333333</v>
      </c>
      <c r="E1062" s="10">
        <f t="shared" si="5"/>
        <v>15.923491666666669</v>
      </c>
      <c r="F1062" s="10">
        <f t="shared" si="5"/>
        <v>15.914391666666669</v>
      </c>
      <c r="G1062" s="10">
        <f t="shared" si="5"/>
        <v>15.201891666666667</v>
      </c>
      <c r="H1062" s="10">
        <f t="shared" si="5"/>
        <v>15.201891666666667</v>
      </c>
      <c r="I1062" s="10">
        <f t="shared" si="5"/>
        <v>15.203450000000002</v>
      </c>
      <c r="J1062" s="10">
        <f t="shared" si="5"/>
        <v>101.32</v>
      </c>
      <c r="K1062" s="10"/>
    </row>
    <row r="1063" spans="1:11" ht="15" x14ac:dyDescent="0.2">
      <c r="A1063" s="11">
        <v>2020</v>
      </c>
      <c r="B1063" s="10">
        <f t="shared" ref="B1063:J1063" si="6">AVERAGE(B84:B95)</f>
        <v>16.983525</v>
      </c>
      <c r="C1063" s="10">
        <f t="shared" si="6"/>
        <v>15.945633333333332</v>
      </c>
      <c r="D1063" s="10">
        <f t="shared" si="6"/>
        <v>15.937816666666665</v>
      </c>
      <c r="E1063" s="10">
        <f t="shared" si="6"/>
        <v>16.836391666666668</v>
      </c>
      <c r="F1063" s="10">
        <f t="shared" si="6"/>
        <v>16.827291666666667</v>
      </c>
      <c r="G1063" s="10">
        <f t="shared" si="6"/>
        <v>15.944083333333332</v>
      </c>
      <c r="H1063" s="10">
        <f t="shared" si="6"/>
        <v>15.944083333333332</v>
      </c>
      <c r="I1063" s="10">
        <f t="shared" si="6"/>
        <v>15.945633333333332</v>
      </c>
      <c r="J1063" s="10">
        <f t="shared" si="6"/>
        <v>105.48999166666665</v>
      </c>
      <c r="K1063" s="10"/>
    </row>
    <row r="1064" spans="1:11" ht="15" x14ac:dyDescent="0.2">
      <c r="A1064" s="11">
        <v>2021</v>
      </c>
      <c r="B1064" s="10">
        <f t="shared" ref="B1064:J1064" si="7">AVERAGE(B96:B107)</f>
        <v>17.763491666666667</v>
      </c>
      <c r="C1064" s="10">
        <f t="shared" si="7"/>
        <v>16.495633333333334</v>
      </c>
      <c r="D1064" s="10">
        <f t="shared" si="7"/>
        <v>16.487816666666667</v>
      </c>
      <c r="E1064" s="10">
        <f t="shared" si="7"/>
        <v>17.616341666666667</v>
      </c>
      <c r="F1064" s="10">
        <f t="shared" si="7"/>
        <v>17.607241666666667</v>
      </c>
      <c r="G1064" s="10">
        <f t="shared" si="7"/>
        <v>16.494083333333336</v>
      </c>
      <c r="H1064" s="10">
        <f t="shared" si="7"/>
        <v>16.494083333333336</v>
      </c>
      <c r="I1064" s="10">
        <f t="shared" si="7"/>
        <v>16.495633333333334</v>
      </c>
      <c r="J1064" s="10">
        <f t="shared" si="7"/>
        <v>109.84999166666665</v>
      </c>
      <c r="K1064" s="10"/>
    </row>
    <row r="1065" spans="1:11" ht="15" x14ac:dyDescent="0.2">
      <c r="A1065" s="11">
        <v>2022</v>
      </c>
      <c r="B1065" s="10">
        <f t="shared" ref="B1065:J1065" si="8">AVERAGE(B108:B119)</f>
        <v>18.402500000000003</v>
      </c>
      <c r="C1065" s="10">
        <f t="shared" si="8"/>
        <v>17.040949999999999</v>
      </c>
      <c r="D1065" s="10">
        <f t="shared" si="8"/>
        <v>17.033133333333332</v>
      </c>
      <c r="E1065" s="10">
        <f t="shared" si="8"/>
        <v>18.255375000000001</v>
      </c>
      <c r="F1065" s="10">
        <f t="shared" si="8"/>
        <v>18.246275000000001</v>
      </c>
      <c r="G1065" s="10">
        <f t="shared" si="8"/>
        <v>17.03939166666667</v>
      </c>
      <c r="H1065" s="10">
        <f t="shared" si="8"/>
        <v>17.03939166666667</v>
      </c>
      <c r="I1065" s="10">
        <f t="shared" si="8"/>
        <v>17.040949999999999</v>
      </c>
      <c r="J1065" s="10">
        <f t="shared" si="8"/>
        <v>114.37999166666667</v>
      </c>
      <c r="K1065" s="10"/>
    </row>
    <row r="1066" spans="1:11" ht="15" x14ac:dyDescent="0.2">
      <c r="A1066" s="11">
        <v>2023</v>
      </c>
      <c r="B1066" s="10">
        <f t="shared" ref="B1066:J1066" si="9">AVERAGE(B120:B131)</f>
        <v>19.201699999999999</v>
      </c>
      <c r="C1066" s="10">
        <f t="shared" si="9"/>
        <v>17.66439166666667</v>
      </c>
      <c r="D1066" s="10">
        <f t="shared" si="9"/>
        <v>17.656583333333334</v>
      </c>
      <c r="E1066" s="10">
        <f t="shared" si="9"/>
        <v>19.054541666666665</v>
      </c>
      <c r="F1066" s="10">
        <f t="shared" si="9"/>
        <v>19.045441666666672</v>
      </c>
      <c r="G1066" s="10">
        <f t="shared" si="9"/>
        <v>17.662816666666671</v>
      </c>
      <c r="H1066" s="10">
        <f t="shared" si="9"/>
        <v>17.662816666666671</v>
      </c>
      <c r="I1066" s="10">
        <f t="shared" si="9"/>
        <v>17.66439166666667</v>
      </c>
      <c r="J1066" s="10">
        <f t="shared" si="9"/>
        <v>119.10000000000001</v>
      </c>
      <c r="K1066" s="10"/>
    </row>
    <row r="1067" spans="1:11" ht="15" x14ac:dyDescent="0.2">
      <c r="A1067" s="11">
        <v>2024</v>
      </c>
      <c r="B1067" s="10">
        <f t="shared" ref="B1067:J1067" si="10">AVERAGE(B132:B143)</f>
        <v>20.029699999999998</v>
      </c>
      <c r="C1067" s="10">
        <f t="shared" si="10"/>
        <v>18.315950000000004</v>
      </c>
      <c r="D1067" s="10">
        <f t="shared" si="10"/>
        <v>18.308133333333334</v>
      </c>
      <c r="E1067" s="10">
        <f t="shared" si="10"/>
        <v>19.882549999999998</v>
      </c>
      <c r="F1067" s="10">
        <f t="shared" si="10"/>
        <v>19.873450000000002</v>
      </c>
      <c r="G1067" s="10">
        <f t="shared" si="10"/>
        <v>18.314391666666669</v>
      </c>
      <c r="H1067" s="10">
        <f t="shared" si="10"/>
        <v>18.314391666666669</v>
      </c>
      <c r="I1067" s="10">
        <f t="shared" si="10"/>
        <v>18.315950000000004</v>
      </c>
      <c r="J1067" s="10">
        <f t="shared" si="10"/>
        <v>124.01000833333332</v>
      </c>
      <c r="K1067" s="10"/>
    </row>
    <row r="1068" spans="1:11" ht="15" x14ac:dyDescent="0.2">
      <c r="A1068" s="11">
        <v>2025</v>
      </c>
      <c r="B1068" s="10">
        <f t="shared" ref="B1068:J1068" si="11">AVERAGE(B144:B155)</f>
        <v>20.916975000000004</v>
      </c>
      <c r="C1068" s="10">
        <f t="shared" si="11"/>
        <v>19.025316666666665</v>
      </c>
      <c r="D1068" s="10">
        <f t="shared" si="11"/>
        <v>19.017499999999998</v>
      </c>
      <c r="E1068" s="10">
        <f t="shared" si="11"/>
        <v>20.769808333333334</v>
      </c>
      <c r="F1068" s="10">
        <f t="shared" si="11"/>
        <v>20.76070833333333</v>
      </c>
      <c r="G1068" s="10">
        <f t="shared" si="11"/>
        <v>19.023766666666667</v>
      </c>
      <c r="H1068" s="10">
        <f t="shared" si="11"/>
        <v>19.023766666666667</v>
      </c>
      <c r="I1068" s="10">
        <f t="shared" si="11"/>
        <v>19.025316666666665</v>
      </c>
      <c r="J1068" s="10">
        <f t="shared" si="11"/>
        <v>129.10999166666667</v>
      </c>
      <c r="K1068" s="10"/>
    </row>
    <row r="1069" spans="1:11" ht="15" x14ac:dyDescent="0.2">
      <c r="A1069" s="11">
        <v>2026</v>
      </c>
      <c r="B1069" s="10">
        <f t="shared" ref="B1069:J1069" si="12">AVERAGE(B156:B167)</f>
        <v>21.674499999999998</v>
      </c>
      <c r="C1069" s="10">
        <f t="shared" si="12"/>
        <v>19.764391666666668</v>
      </c>
      <c r="D1069" s="10">
        <f t="shared" si="12"/>
        <v>19.756583333333332</v>
      </c>
      <c r="E1069" s="10">
        <f t="shared" si="12"/>
        <v>21.527366666666666</v>
      </c>
      <c r="F1069" s="10">
        <f t="shared" si="12"/>
        <v>21.518266666666666</v>
      </c>
      <c r="G1069" s="10">
        <f t="shared" si="12"/>
        <v>19.762816666666669</v>
      </c>
      <c r="H1069" s="10">
        <f t="shared" si="12"/>
        <v>19.762816666666669</v>
      </c>
      <c r="I1069" s="10">
        <f t="shared" si="12"/>
        <v>19.764391666666668</v>
      </c>
      <c r="J1069" s="10">
        <f t="shared" si="12"/>
        <v>134.42999166666669</v>
      </c>
      <c r="K1069" s="10"/>
    </row>
    <row r="1070" spans="1:11" ht="15" x14ac:dyDescent="0.2">
      <c r="A1070" s="11">
        <v>2027</v>
      </c>
      <c r="B1070" s="10">
        <f t="shared" ref="B1070:J1070" si="13">AVERAGE(B168:B179)</f>
        <v>22.483525</v>
      </c>
      <c r="C1070" s="10">
        <f t="shared" si="13"/>
        <v>20.553691666666666</v>
      </c>
      <c r="D1070" s="10">
        <f t="shared" si="13"/>
        <v>20.545874999999999</v>
      </c>
      <c r="E1070" s="10">
        <f t="shared" si="13"/>
        <v>22.336391666666668</v>
      </c>
      <c r="F1070" s="10">
        <f t="shared" si="13"/>
        <v>22.327291666666667</v>
      </c>
      <c r="G1070" s="10">
        <f t="shared" si="13"/>
        <v>20.552108333333333</v>
      </c>
      <c r="H1070" s="10">
        <f t="shared" si="13"/>
        <v>20.552108333333333</v>
      </c>
      <c r="I1070" s="10">
        <f t="shared" si="13"/>
        <v>20.553691666666666</v>
      </c>
      <c r="J1070" s="10">
        <f t="shared" si="13"/>
        <v>139.96000833333335</v>
      </c>
      <c r="K1070" s="10"/>
    </row>
    <row r="1071" spans="1:11" ht="15" x14ac:dyDescent="0.2">
      <c r="A1071" s="11">
        <v>2028</v>
      </c>
      <c r="B1071" s="10">
        <f t="shared" ref="B1071:J1071" si="14">AVERAGE(B180:B191)</f>
        <v>23.402591666666666</v>
      </c>
      <c r="C1071" s="10">
        <f t="shared" si="14"/>
        <v>21.450316666666669</v>
      </c>
      <c r="D1071" s="10">
        <f t="shared" si="14"/>
        <v>21.442499999999999</v>
      </c>
      <c r="E1071" s="10">
        <f t="shared" si="14"/>
        <v>23.25544166666667</v>
      </c>
      <c r="F1071" s="10">
        <f t="shared" si="14"/>
        <v>23.246341666666666</v>
      </c>
      <c r="G1071" s="10">
        <f t="shared" si="14"/>
        <v>21.448766666666668</v>
      </c>
      <c r="H1071" s="10">
        <f t="shared" si="14"/>
        <v>21.448766666666668</v>
      </c>
      <c r="I1071" s="10">
        <f t="shared" si="14"/>
        <v>21.450316666666669</v>
      </c>
      <c r="J1071" s="10">
        <f t="shared" si="14"/>
        <v>145.71000833333335</v>
      </c>
      <c r="K1071" s="10"/>
    </row>
    <row r="1072" spans="1:11" ht="15" x14ac:dyDescent="0.2">
      <c r="A1072" s="11">
        <v>2029</v>
      </c>
      <c r="B1072" s="10">
        <f t="shared" ref="B1072:J1072" si="15">AVERAGE(B192:B203)</f>
        <v>24.342699999999997</v>
      </c>
      <c r="C1072" s="10">
        <f t="shared" si="15"/>
        <v>22.367500000000003</v>
      </c>
      <c r="D1072" s="10">
        <f t="shared" si="15"/>
        <v>22.359700000000004</v>
      </c>
      <c r="E1072" s="10">
        <f t="shared" si="15"/>
        <v>24.195566666666668</v>
      </c>
      <c r="F1072" s="10">
        <f t="shared" si="15"/>
        <v>24.186466666666664</v>
      </c>
      <c r="G1072" s="10">
        <f t="shared" si="15"/>
        <v>22.365949999999998</v>
      </c>
      <c r="H1072" s="10">
        <f t="shared" si="15"/>
        <v>22.365949999999998</v>
      </c>
      <c r="I1072" s="10">
        <f t="shared" si="15"/>
        <v>22.367500000000003</v>
      </c>
      <c r="J1072" s="10">
        <f t="shared" si="15"/>
        <v>151.69999166666668</v>
      </c>
      <c r="K1072" s="10"/>
    </row>
    <row r="1073" spans="1:11" ht="15" x14ac:dyDescent="0.2">
      <c r="A1073" s="11">
        <v>2030</v>
      </c>
      <c r="B1073" s="10">
        <f t="shared" ref="B1073:J1073" si="16">AVERAGE(B204:B215)</f>
        <v>25.321275000000004</v>
      </c>
      <c r="C1073" s="10">
        <f t="shared" si="16"/>
        <v>23.322200000000006</v>
      </c>
      <c r="D1073" s="10">
        <f t="shared" si="16"/>
        <v>23.314391666666666</v>
      </c>
      <c r="E1073" s="10">
        <f t="shared" si="16"/>
        <v>25.174100000000006</v>
      </c>
      <c r="F1073" s="10">
        <f t="shared" si="16"/>
        <v>25.165000000000003</v>
      </c>
      <c r="G1073" s="10">
        <f t="shared" si="16"/>
        <v>23.320633333333333</v>
      </c>
      <c r="H1073" s="10">
        <f t="shared" si="16"/>
        <v>23.320633333333333</v>
      </c>
      <c r="I1073" s="10">
        <f t="shared" si="16"/>
        <v>23.322200000000006</v>
      </c>
      <c r="J1073" s="10">
        <f t="shared" si="16"/>
        <v>157.93</v>
      </c>
      <c r="K1073" s="10"/>
    </row>
    <row r="1074" spans="1:11" ht="15" x14ac:dyDescent="0.2">
      <c r="A1074" s="11">
        <v>2031</v>
      </c>
      <c r="B1074" s="10">
        <f t="shared" ref="B1074:J1074" si="17">AVERAGE(B216:B227)</f>
        <v>25.757291666666664</v>
      </c>
      <c r="C1074" s="10">
        <f t="shared" si="17"/>
        <v>23.725500000000007</v>
      </c>
      <c r="D1074" s="10">
        <f t="shared" si="17"/>
        <v>23.717699999999997</v>
      </c>
      <c r="E1074" s="10">
        <f t="shared" si="17"/>
        <v>25.610141666666664</v>
      </c>
      <c r="F1074" s="10">
        <f t="shared" si="17"/>
        <v>25.601041666666664</v>
      </c>
      <c r="G1074" s="10">
        <f t="shared" si="17"/>
        <v>23.723941666666665</v>
      </c>
      <c r="H1074" s="10">
        <f t="shared" si="17"/>
        <v>23.723941666666665</v>
      </c>
      <c r="I1074" s="10">
        <f t="shared" si="17"/>
        <v>23.725500000000007</v>
      </c>
      <c r="J1074" s="10">
        <f t="shared" si="17"/>
        <v>160.72820833333336</v>
      </c>
      <c r="K1074" s="10"/>
    </row>
    <row r="1075" spans="1:11" ht="15" x14ac:dyDescent="0.2">
      <c r="A1075" s="11">
        <v>2032</v>
      </c>
      <c r="B1075" s="10">
        <f t="shared" ref="B1075:J1075" si="18">AVERAGE(B228:B239)</f>
        <v>26.201008333333334</v>
      </c>
      <c r="C1075" s="10">
        <f t="shared" si="18"/>
        <v>24.13593333333333</v>
      </c>
      <c r="D1075" s="10">
        <f t="shared" si="18"/>
        <v>24.128116666666667</v>
      </c>
      <c r="E1075" s="10">
        <f t="shared" si="18"/>
        <v>26.053875000000001</v>
      </c>
      <c r="F1075" s="10">
        <f t="shared" si="18"/>
        <v>26.044775000000001</v>
      </c>
      <c r="G1075" s="10">
        <f t="shared" si="18"/>
        <v>24.134383333333336</v>
      </c>
      <c r="H1075" s="10">
        <f t="shared" si="18"/>
        <v>24.134383333333336</v>
      </c>
      <c r="I1075" s="10">
        <f t="shared" si="18"/>
        <v>24.13593333333333</v>
      </c>
      <c r="J1075" s="10">
        <f t="shared" si="18"/>
        <v>163.57601666666667</v>
      </c>
      <c r="K1075" s="10"/>
    </row>
    <row r="1076" spans="1:11" ht="15" x14ac:dyDescent="0.2">
      <c r="A1076" s="11">
        <v>2033</v>
      </c>
      <c r="B1076" s="10">
        <f t="shared" ref="B1076:J1076" si="19">AVERAGE(B240:B251)</f>
        <v>26.652591666666666</v>
      </c>
      <c r="C1076" s="10">
        <f t="shared" si="19"/>
        <v>24.553608333333333</v>
      </c>
      <c r="D1076" s="10">
        <f t="shared" si="19"/>
        <v>24.5458</v>
      </c>
      <c r="E1076" s="10">
        <f t="shared" si="19"/>
        <v>26.50544166666667</v>
      </c>
      <c r="F1076" s="10">
        <f t="shared" si="19"/>
        <v>26.49634166666667</v>
      </c>
      <c r="G1076" s="10">
        <f t="shared" si="19"/>
        <v>24.552066666666672</v>
      </c>
      <c r="H1076" s="10">
        <f t="shared" si="19"/>
        <v>24.552066666666672</v>
      </c>
      <c r="I1076" s="10">
        <f t="shared" si="19"/>
        <v>24.553608333333333</v>
      </c>
      <c r="J1076" s="10">
        <f t="shared" si="19"/>
        <v>166.47428333333332</v>
      </c>
      <c r="K1076" s="10"/>
    </row>
    <row r="1077" spans="1:11" ht="15" x14ac:dyDescent="0.2">
      <c r="A1077" s="11">
        <v>2034</v>
      </c>
      <c r="B1077" s="10">
        <f t="shared" ref="B1077:J1077" si="20">AVERAGE(B252:B263)</f>
        <v>27.112133333333333</v>
      </c>
      <c r="C1077" s="10">
        <f t="shared" si="20"/>
        <v>24.978691666666673</v>
      </c>
      <c r="D1077" s="10">
        <f t="shared" si="20"/>
        <v>24.970874999999996</v>
      </c>
      <c r="E1077" s="10">
        <f t="shared" si="20"/>
        <v>26.964991666666666</v>
      </c>
      <c r="F1077" s="10">
        <f t="shared" si="20"/>
        <v>26.955891666666663</v>
      </c>
      <c r="G1077" s="10">
        <f t="shared" si="20"/>
        <v>24.977108333333337</v>
      </c>
      <c r="H1077" s="10">
        <f t="shared" si="20"/>
        <v>24.977108333333337</v>
      </c>
      <c r="I1077" s="10">
        <f t="shared" si="20"/>
        <v>24.978691666666673</v>
      </c>
      <c r="J1077" s="10">
        <f t="shared" si="20"/>
        <v>169.42389166666666</v>
      </c>
      <c r="K1077" s="10"/>
    </row>
    <row r="1078" spans="1:11" ht="15" x14ac:dyDescent="0.2">
      <c r="A1078" s="11">
        <v>2035</v>
      </c>
      <c r="B1078" s="10">
        <f t="shared" ref="B1078:J1078" si="21">AVERAGE(B264:B275)</f>
        <v>27.579799999999995</v>
      </c>
      <c r="C1078" s="10">
        <f t="shared" si="21"/>
        <v>25.411266666666666</v>
      </c>
      <c r="D1078" s="10">
        <f t="shared" si="21"/>
        <v>25.403441666666669</v>
      </c>
      <c r="E1078" s="10">
        <f t="shared" si="21"/>
        <v>27.432658333333332</v>
      </c>
      <c r="F1078" s="10">
        <f t="shared" si="21"/>
        <v>27.423558333333336</v>
      </c>
      <c r="G1078" s="10">
        <f t="shared" si="21"/>
        <v>25.409699999999997</v>
      </c>
      <c r="H1078" s="10">
        <f t="shared" si="21"/>
        <v>25.409699999999997</v>
      </c>
      <c r="I1078" s="10">
        <f t="shared" si="21"/>
        <v>25.411266666666666</v>
      </c>
      <c r="J1078" s="10">
        <f t="shared" si="21"/>
        <v>172.42575833333331</v>
      </c>
      <c r="K1078" s="10"/>
    </row>
    <row r="1079" spans="1:11" ht="15" x14ac:dyDescent="0.2">
      <c r="A1079" s="11">
        <v>2036</v>
      </c>
      <c r="B1079" s="10">
        <f t="shared" ref="B1079:J1079" si="22">AVERAGE(B276:B287)</f>
        <v>28.055733333333336</v>
      </c>
      <c r="C1079" s="10">
        <f t="shared" si="22"/>
        <v>25.851483333333334</v>
      </c>
      <c r="D1079" s="10">
        <f t="shared" si="22"/>
        <v>25.843666666666667</v>
      </c>
      <c r="E1079" s="10">
        <f t="shared" si="22"/>
        <v>27.908591666666666</v>
      </c>
      <c r="F1079" s="10">
        <f t="shared" si="22"/>
        <v>27.899491666666666</v>
      </c>
      <c r="G1079" s="10">
        <f t="shared" si="22"/>
        <v>25.849900000000002</v>
      </c>
      <c r="H1079" s="10">
        <f t="shared" si="22"/>
        <v>25.849900000000002</v>
      </c>
      <c r="I1079" s="10">
        <f t="shared" si="22"/>
        <v>25.851483333333334</v>
      </c>
      <c r="J1079" s="10">
        <f t="shared" si="22"/>
        <v>175.48079166666665</v>
      </c>
      <c r="K1079" s="10"/>
    </row>
    <row r="1080" spans="1:11" ht="15" x14ac:dyDescent="0.2">
      <c r="A1080" s="11">
        <v>2037</v>
      </c>
      <c r="B1080" s="10">
        <f t="shared" ref="B1080:J1080" si="23">AVERAGE(B288:B299)</f>
        <v>28.540091666666665</v>
      </c>
      <c r="C1080" s="10">
        <f t="shared" si="23"/>
        <v>26.299474999999997</v>
      </c>
      <c r="D1080" s="10">
        <f t="shared" si="23"/>
        <v>26.291658333333334</v>
      </c>
      <c r="E1080" s="10">
        <f t="shared" si="23"/>
        <v>28.392925000000002</v>
      </c>
      <c r="F1080" s="10">
        <f t="shared" si="23"/>
        <v>28.383825000000002</v>
      </c>
      <c r="G1080" s="10">
        <f t="shared" si="23"/>
        <v>26.297899999999998</v>
      </c>
      <c r="H1080" s="10">
        <f t="shared" si="23"/>
        <v>26.297899999999998</v>
      </c>
      <c r="I1080" s="10">
        <f t="shared" si="23"/>
        <v>26.299474999999997</v>
      </c>
      <c r="J1080" s="10">
        <f t="shared" si="23"/>
        <v>178.59000833333334</v>
      </c>
      <c r="K1080" s="10"/>
    </row>
    <row r="1081" spans="1:11" ht="15" x14ac:dyDescent="0.2">
      <c r="A1081" s="11">
        <f t="shared" ref="A1081:A1112" si="24">A1080+1</f>
        <v>2038</v>
      </c>
      <c r="B1081" s="10">
        <f t="shared" ref="B1081:J1081" si="25">AVERAGE(B300:B311)</f>
        <v>29.032983333333334</v>
      </c>
      <c r="C1081" s="10">
        <f t="shared" si="25"/>
        <v>26.755391666666668</v>
      </c>
      <c r="D1081" s="10">
        <f t="shared" si="25"/>
        <v>26.747574999999998</v>
      </c>
      <c r="E1081" s="10">
        <f t="shared" si="25"/>
        <v>28.88581666666667</v>
      </c>
      <c r="F1081" s="10">
        <f t="shared" si="25"/>
        <v>28.876716666666667</v>
      </c>
      <c r="G1081" s="10">
        <f t="shared" si="25"/>
        <v>26.753808333333335</v>
      </c>
      <c r="H1081" s="10">
        <f t="shared" si="25"/>
        <v>26.753808333333335</v>
      </c>
      <c r="I1081" s="10">
        <f t="shared" si="25"/>
        <v>26.755391666666668</v>
      </c>
      <c r="J1081" s="10">
        <f t="shared" si="25"/>
        <v>181.75429166666666</v>
      </c>
    </row>
    <row r="1082" spans="1:11" ht="15" x14ac:dyDescent="0.2">
      <c r="A1082" s="11">
        <f t="shared" si="24"/>
        <v>2039</v>
      </c>
      <c r="B1082" s="10">
        <f t="shared" ref="B1082:J1082" si="26">AVERAGE(B312:B323)</f>
        <v>29.534591666666667</v>
      </c>
      <c r="C1082" s="10">
        <f t="shared" si="26"/>
        <v>27.219341666666665</v>
      </c>
      <c r="D1082" s="10">
        <f t="shared" si="26"/>
        <v>27.211524999999998</v>
      </c>
      <c r="E1082" s="10">
        <f t="shared" si="26"/>
        <v>29.387425000000004</v>
      </c>
      <c r="F1082" s="10">
        <f t="shared" si="26"/>
        <v>29.378325</v>
      </c>
      <c r="G1082" s="10">
        <f t="shared" si="26"/>
        <v>27.217791666666667</v>
      </c>
      <c r="H1082" s="10">
        <f t="shared" si="26"/>
        <v>27.217791666666667</v>
      </c>
      <c r="I1082" s="10">
        <f t="shared" si="26"/>
        <v>27.219341666666665</v>
      </c>
      <c r="J1082" s="10">
        <f t="shared" si="26"/>
        <v>184.97461666666663</v>
      </c>
    </row>
    <row r="1083" spans="1:11" ht="15" x14ac:dyDescent="0.2">
      <c r="A1083" s="11">
        <f t="shared" si="24"/>
        <v>2040</v>
      </c>
      <c r="B1083" s="10">
        <f t="shared" ref="B1083:J1083" si="27">AVERAGE(B324:B335)</f>
        <v>30.045050000000003</v>
      </c>
      <c r="C1083" s="10">
        <f t="shared" si="27"/>
        <v>27.691500000000005</v>
      </c>
      <c r="D1083" s="10">
        <f t="shared" si="27"/>
        <v>27.683691666666665</v>
      </c>
      <c r="E1083" s="10">
        <f t="shared" si="27"/>
        <v>29.897900000000003</v>
      </c>
      <c r="F1083" s="10">
        <f t="shared" si="27"/>
        <v>29.888800000000003</v>
      </c>
      <c r="G1083" s="10">
        <f t="shared" si="27"/>
        <v>27.68994166666667</v>
      </c>
      <c r="H1083" s="10">
        <f t="shared" si="27"/>
        <v>27.68994166666667</v>
      </c>
      <c r="I1083" s="10">
        <f t="shared" si="27"/>
        <v>27.691500000000005</v>
      </c>
      <c r="J1083" s="10">
        <f t="shared" si="27"/>
        <v>188.25201666666666</v>
      </c>
    </row>
    <row r="1084" spans="1:11" ht="15" x14ac:dyDescent="0.2">
      <c r="A1084" s="11">
        <f t="shared" si="24"/>
        <v>2041</v>
      </c>
      <c r="B1084" s="10">
        <f t="shared" ref="B1084:J1084" si="28">AVERAGE(B336:B347)</f>
        <v>30.56453333333334</v>
      </c>
      <c r="C1084" s="10">
        <f t="shared" si="28"/>
        <v>28.171999999999997</v>
      </c>
      <c r="D1084" s="10">
        <f t="shared" si="28"/>
        <v>28.164200000000005</v>
      </c>
      <c r="E1084" s="10">
        <f t="shared" si="28"/>
        <v>30.417391666666671</v>
      </c>
      <c r="F1084" s="10">
        <f t="shared" si="28"/>
        <v>30.408291666666667</v>
      </c>
      <c r="G1084" s="10">
        <f t="shared" si="28"/>
        <v>28.170441666666665</v>
      </c>
      <c r="H1084" s="10">
        <f t="shared" si="28"/>
        <v>28.170441666666665</v>
      </c>
      <c r="I1084" s="10">
        <f t="shared" si="28"/>
        <v>28.171999999999997</v>
      </c>
      <c r="J1084" s="10">
        <f t="shared" si="28"/>
        <v>191.58749166666666</v>
      </c>
    </row>
    <row r="1085" spans="1:11" ht="15" x14ac:dyDescent="0.2">
      <c r="A1085" s="11">
        <f t="shared" si="24"/>
        <v>2042</v>
      </c>
      <c r="B1085" s="10">
        <f t="shared" ref="B1085:J1085" si="29">AVERAGE(B348:B359)</f>
        <v>31.093199999999996</v>
      </c>
      <c r="C1085" s="10">
        <f t="shared" si="29"/>
        <v>28.661000000000001</v>
      </c>
      <c r="D1085" s="10">
        <f t="shared" si="29"/>
        <v>28.653191666666668</v>
      </c>
      <c r="E1085" s="10">
        <f t="shared" si="29"/>
        <v>30.94605</v>
      </c>
      <c r="F1085" s="10">
        <f t="shared" si="29"/>
        <v>30.93695</v>
      </c>
      <c r="G1085" s="10">
        <f t="shared" si="29"/>
        <v>28.659433333333336</v>
      </c>
      <c r="H1085" s="10">
        <f t="shared" si="29"/>
        <v>28.659433333333336</v>
      </c>
      <c r="I1085" s="10">
        <f t="shared" si="29"/>
        <v>28.661000000000001</v>
      </c>
      <c r="J1085" s="10">
        <f t="shared" si="29"/>
        <v>194.9820583333333</v>
      </c>
    </row>
    <row r="1086" spans="1:11" ht="15" x14ac:dyDescent="0.2">
      <c r="A1086" s="11">
        <f t="shared" si="24"/>
        <v>2043</v>
      </c>
      <c r="B1086" s="10">
        <f t="shared" ref="B1086:J1086" si="30">AVERAGE(B360:B371)</f>
        <v>31.631199999999996</v>
      </c>
      <c r="C1086" s="10">
        <f t="shared" si="30"/>
        <v>29.158633333333331</v>
      </c>
      <c r="D1086" s="10">
        <f t="shared" si="30"/>
        <v>29.150808333333334</v>
      </c>
      <c r="E1086" s="10">
        <f t="shared" si="30"/>
        <v>31.484066666666667</v>
      </c>
      <c r="F1086" s="10">
        <f t="shared" si="30"/>
        <v>31.47496666666666</v>
      </c>
      <c r="G1086" s="10">
        <f t="shared" si="30"/>
        <v>29.157075000000003</v>
      </c>
      <c r="H1086" s="10">
        <f t="shared" si="30"/>
        <v>29.157075000000003</v>
      </c>
      <c r="I1086" s="10">
        <f t="shared" si="30"/>
        <v>29.158633333333331</v>
      </c>
      <c r="J1086" s="10">
        <f t="shared" si="30"/>
        <v>198.43677500000001</v>
      </c>
    </row>
    <row r="1087" spans="1:11" ht="15" x14ac:dyDescent="0.2">
      <c r="A1087" s="11">
        <f t="shared" si="24"/>
        <v>2044</v>
      </c>
      <c r="B1087" s="10">
        <f t="shared" ref="B1087:J1087" si="31">AVERAGE(B372:B383)</f>
        <v>32.178708333333333</v>
      </c>
      <c r="C1087" s="10">
        <f t="shared" si="31"/>
        <v>29.665066666666672</v>
      </c>
      <c r="D1087" s="10">
        <f t="shared" si="31"/>
        <v>29.657249999999994</v>
      </c>
      <c r="E1087" s="10">
        <f t="shared" si="31"/>
        <v>32.031574999999997</v>
      </c>
      <c r="F1087" s="10">
        <f t="shared" si="31"/>
        <v>32.022475</v>
      </c>
      <c r="G1087" s="10">
        <f t="shared" si="31"/>
        <v>29.663499999999999</v>
      </c>
      <c r="H1087" s="10">
        <f t="shared" si="31"/>
        <v>29.663499999999999</v>
      </c>
      <c r="I1087" s="10">
        <f t="shared" si="31"/>
        <v>29.665066666666672</v>
      </c>
      <c r="J1087" s="10">
        <f t="shared" si="31"/>
        <v>201.95269999999996</v>
      </c>
    </row>
    <row r="1088" spans="1:11" ht="15" x14ac:dyDescent="0.2">
      <c r="A1088" s="11">
        <f t="shared" si="24"/>
        <v>2045</v>
      </c>
      <c r="B1088" s="10">
        <f t="shared" ref="B1088:J1088" si="32">AVERAGE(B384:B395)</f>
        <v>32.735899999999994</v>
      </c>
      <c r="C1088" s="10">
        <f t="shared" si="32"/>
        <v>30.180433333333337</v>
      </c>
      <c r="D1088" s="10">
        <f t="shared" si="32"/>
        <v>30.172608333333333</v>
      </c>
      <c r="E1088" s="10">
        <f t="shared" si="32"/>
        <v>32.588758333333338</v>
      </c>
      <c r="F1088" s="10">
        <f t="shared" si="32"/>
        <v>32.579658333333327</v>
      </c>
      <c r="G1088" s="10">
        <f t="shared" si="32"/>
        <v>30.178875000000001</v>
      </c>
      <c r="H1088" s="10">
        <f t="shared" si="32"/>
        <v>30.178875000000001</v>
      </c>
      <c r="I1088" s="10">
        <f t="shared" si="32"/>
        <v>30.180433333333337</v>
      </c>
      <c r="J1088" s="10">
        <f t="shared" si="32"/>
        <v>205.53090833333331</v>
      </c>
    </row>
    <row r="1089" spans="1:10" ht="15" x14ac:dyDescent="0.2">
      <c r="A1089" s="11">
        <f t="shared" si="24"/>
        <v>2046</v>
      </c>
      <c r="B1089" s="10">
        <f t="shared" ref="B1089:J1089" si="33">AVERAGE(B396:B407)</f>
        <v>33.302933333333321</v>
      </c>
      <c r="C1089" s="10">
        <f t="shared" si="33"/>
        <v>30.704900000000006</v>
      </c>
      <c r="D1089" s="10">
        <f t="shared" si="33"/>
        <v>30.697099999999995</v>
      </c>
      <c r="E1089" s="10">
        <f t="shared" si="33"/>
        <v>33.155791666666673</v>
      </c>
      <c r="F1089" s="10">
        <f t="shared" si="33"/>
        <v>33.146691666666662</v>
      </c>
      <c r="G1089" s="10">
        <f t="shared" si="33"/>
        <v>30.703350000000004</v>
      </c>
      <c r="H1089" s="10">
        <f t="shared" si="33"/>
        <v>30.703350000000004</v>
      </c>
      <c r="I1089" s="10">
        <f t="shared" si="33"/>
        <v>30.704900000000006</v>
      </c>
      <c r="J1089" s="10">
        <f t="shared" si="33"/>
        <v>209.17253333333335</v>
      </c>
    </row>
    <row r="1090" spans="1:10" ht="15" x14ac:dyDescent="0.2">
      <c r="A1090" s="11">
        <f t="shared" si="24"/>
        <v>2047</v>
      </c>
      <c r="B1090" s="10">
        <f t="shared" ref="B1090:J1090" si="34">AVERAGE(B408:B419)</f>
        <v>33.879991666666669</v>
      </c>
      <c r="C1090" s="10">
        <f t="shared" si="34"/>
        <v>31.238666666666671</v>
      </c>
      <c r="D1090" s="10">
        <f t="shared" si="34"/>
        <v>31.230849999999993</v>
      </c>
      <c r="E1090" s="10">
        <f t="shared" si="34"/>
        <v>33.732833333333332</v>
      </c>
      <c r="F1090" s="10">
        <f t="shared" si="34"/>
        <v>33.723733333333335</v>
      </c>
      <c r="G1090" s="10">
        <f t="shared" si="34"/>
        <v>31.237099999999998</v>
      </c>
      <c r="H1090" s="10">
        <f t="shared" si="34"/>
        <v>31.237099999999998</v>
      </c>
      <c r="I1090" s="10">
        <f t="shared" si="34"/>
        <v>31.238666666666671</v>
      </c>
      <c r="J1090" s="10">
        <f t="shared" si="34"/>
        <v>212.87868333333333</v>
      </c>
    </row>
    <row r="1091" spans="1:10" ht="15" x14ac:dyDescent="0.2">
      <c r="A1091" s="11">
        <f t="shared" si="24"/>
        <v>2048</v>
      </c>
      <c r="B1091" s="10">
        <f t="shared" ref="B1091:J1091" si="35">AVERAGE(B420:B431)</f>
        <v>34.467224999999992</v>
      </c>
      <c r="C1091" s="10">
        <f t="shared" si="35"/>
        <v>31.781833333333335</v>
      </c>
      <c r="D1091" s="10">
        <f t="shared" si="35"/>
        <v>31.774016666666665</v>
      </c>
      <c r="E1091" s="10">
        <f t="shared" si="35"/>
        <v>34.320091666666663</v>
      </c>
      <c r="F1091" s="10">
        <f t="shared" si="35"/>
        <v>34.310991666666666</v>
      </c>
      <c r="G1091" s="10">
        <f t="shared" si="35"/>
        <v>31.780283333333333</v>
      </c>
      <c r="H1091" s="10">
        <f t="shared" si="35"/>
        <v>31.780283333333333</v>
      </c>
      <c r="I1091" s="10">
        <f t="shared" si="35"/>
        <v>31.781833333333335</v>
      </c>
      <c r="J1091" s="10">
        <f t="shared" si="35"/>
        <v>216.65049166666665</v>
      </c>
    </row>
    <row r="1092" spans="1:10" ht="15" x14ac:dyDescent="0.2">
      <c r="A1092" s="11">
        <f t="shared" si="24"/>
        <v>2049</v>
      </c>
      <c r="B1092" s="10">
        <f t="shared" ref="B1092:J1092" si="36">AVERAGE(B432:B443)</f>
        <v>35.064849999999993</v>
      </c>
      <c r="C1092" s="10">
        <f t="shared" si="36"/>
        <v>32.334599999999995</v>
      </c>
      <c r="D1092" s="10">
        <f t="shared" si="36"/>
        <v>32.326800000000006</v>
      </c>
      <c r="E1092" s="10">
        <f t="shared" si="36"/>
        <v>34.917700000000004</v>
      </c>
      <c r="F1092" s="10">
        <f t="shared" si="36"/>
        <v>34.9086</v>
      </c>
      <c r="G1092" s="10">
        <f t="shared" si="36"/>
        <v>32.333049999999993</v>
      </c>
      <c r="H1092" s="10">
        <f t="shared" si="36"/>
        <v>32.333049999999993</v>
      </c>
      <c r="I1092" s="10">
        <f t="shared" si="36"/>
        <v>32.334599999999995</v>
      </c>
      <c r="J1092" s="10">
        <f t="shared" si="36"/>
        <v>220.48912500000003</v>
      </c>
    </row>
    <row r="1093" spans="1:10" ht="15" x14ac:dyDescent="0.2">
      <c r="A1093" s="11">
        <f t="shared" si="24"/>
        <v>2050</v>
      </c>
      <c r="B1093" s="10">
        <f t="shared" ref="B1093:J1093" si="37">AVERAGE(B444:B455)</f>
        <v>35.673024999999996</v>
      </c>
      <c r="C1093" s="10">
        <f t="shared" si="37"/>
        <v>32.897149999999996</v>
      </c>
      <c r="D1093" s="10">
        <f t="shared" si="37"/>
        <v>32.889333333333333</v>
      </c>
      <c r="E1093" s="10">
        <f t="shared" si="37"/>
        <v>35.525891666666674</v>
      </c>
      <c r="F1093" s="10">
        <f t="shared" si="37"/>
        <v>35.51679166666667</v>
      </c>
      <c r="G1093" s="10">
        <f t="shared" si="37"/>
        <v>32.895591666666668</v>
      </c>
      <c r="H1093" s="10">
        <f t="shared" si="37"/>
        <v>32.895591666666668</v>
      </c>
      <c r="I1093" s="10">
        <f t="shared" si="37"/>
        <v>32.897149999999996</v>
      </c>
      <c r="J1093" s="10">
        <f t="shared" si="37"/>
        <v>224.39578333333336</v>
      </c>
    </row>
    <row r="1094" spans="1:10" ht="15" x14ac:dyDescent="0.2">
      <c r="A1094" s="11">
        <f t="shared" si="24"/>
        <v>2051</v>
      </c>
      <c r="B1094" s="10">
        <f t="shared" ref="B1094:J1094" si="38">AVERAGE(B456:B467)</f>
        <v>36.29195</v>
      </c>
      <c r="C1094" s="10">
        <f t="shared" si="38"/>
        <v>33.469625000000001</v>
      </c>
      <c r="D1094" s="10">
        <f t="shared" si="38"/>
        <v>33.46180833333333</v>
      </c>
      <c r="E1094" s="10">
        <f t="shared" si="38"/>
        <v>36.144799999999996</v>
      </c>
      <c r="F1094" s="10">
        <f t="shared" si="38"/>
        <v>36.1357</v>
      </c>
      <c r="G1094" s="10">
        <f t="shared" si="38"/>
        <v>33.468075000000006</v>
      </c>
      <c r="H1094" s="10">
        <f t="shared" si="38"/>
        <v>33.468075000000006</v>
      </c>
      <c r="I1094" s="10">
        <f t="shared" si="38"/>
        <v>33.469625000000001</v>
      </c>
      <c r="J1094" s="10">
        <f t="shared" si="38"/>
        <v>228.37164166666662</v>
      </c>
    </row>
    <row r="1095" spans="1:10" ht="15" x14ac:dyDescent="0.2">
      <c r="A1095" s="11">
        <f t="shared" si="24"/>
        <v>2052</v>
      </c>
      <c r="B1095" s="10">
        <f t="shared" ref="B1095:J1095" si="39">AVERAGE(B468:B479)</f>
        <v>36.921799999999998</v>
      </c>
      <c r="C1095" s="10">
        <f t="shared" si="39"/>
        <v>34.052208333333333</v>
      </c>
      <c r="D1095" s="10">
        <f t="shared" si="39"/>
        <v>34.044400000000003</v>
      </c>
      <c r="E1095" s="10">
        <f t="shared" si="39"/>
        <v>36.774666666666668</v>
      </c>
      <c r="F1095" s="10">
        <f t="shared" si="39"/>
        <v>36.765566666666665</v>
      </c>
      <c r="G1095" s="10">
        <f t="shared" si="39"/>
        <v>34.050666666666665</v>
      </c>
      <c r="H1095" s="10">
        <f t="shared" si="39"/>
        <v>34.050666666666665</v>
      </c>
      <c r="I1095" s="10">
        <f t="shared" si="39"/>
        <v>34.052208333333333</v>
      </c>
      <c r="J1095" s="10">
        <f t="shared" si="39"/>
        <v>232.41796666666664</v>
      </c>
    </row>
    <row r="1096" spans="1:10" ht="15" x14ac:dyDescent="0.2">
      <c r="A1096" s="11">
        <f t="shared" si="24"/>
        <v>2053</v>
      </c>
      <c r="B1096" s="10">
        <f t="shared" ref="B1096:J1096" si="40">AVERAGE(B480:B491)</f>
        <v>37.562800000000003</v>
      </c>
      <c r="C1096" s="10">
        <f t="shared" si="40"/>
        <v>34.645100000000006</v>
      </c>
      <c r="D1096" s="10">
        <f t="shared" si="40"/>
        <v>34.637300000000003</v>
      </c>
      <c r="E1096" s="10">
        <f t="shared" si="40"/>
        <v>37.415649999999999</v>
      </c>
      <c r="F1096" s="10">
        <f t="shared" si="40"/>
        <v>37.406550000000003</v>
      </c>
      <c r="G1096" s="10">
        <f t="shared" si="40"/>
        <v>34.643549999999998</v>
      </c>
      <c r="H1096" s="10">
        <f t="shared" si="40"/>
        <v>34.643549999999998</v>
      </c>
      <c r="I1096" s="10">
        <f t="shared" si="40"/>
        <v>34.645100000000006</v>
      </c>
      <c r="J1096" s="10">
        <f t="shared" si="40"/>
        <v>236.53595833333335</v>
      </c>
    </row>
    <row r="1097" spans="1:10" ht="15" x14ac:dyDescent="0.2">
      <c r="A1097" s="11">
        <f t="shared" si="24"/>
        <v>2054</v>
      </c>
      <c r="B1097" s="10">
        <f t="shared" ref="B1097:J1097" si="41">AVERAGE(B492:B503)</f>
        <v>38.2151</v>
      </c>
      <c r="C1097" s="10">
        <f t="shared" si="41"/>
        <v>35.248475000000006</v>
      </c>
      <c r="D1097" s="10">
        <f t="shared" si="41"/>
        <v>35.240666666666662</v>
      </c>
      <c r="E1097" s="10">
        <f t="shared" si="41"/>
        <v>38.067966666666671</v>
      </c>
      <c r="F1097" s="10">
        <f t="shared" si="41"/>
        <v>38.058866666666667</v>
      </c>
      <c r="G1097" s="10">
        <f t="shared" si="41"/>
        <v>35.246900000000004</v>
      </c>
      <c r="H1097" s="10">
        <f t="shared" si="41"/>
        <v>35.246900000000004</v>
      </c>
      <c r="I1097" s="10">
        <f t="shared" si="41"/>
        <v>35.248475000000006</v>
      </c>
      <c r="J1097" s="10">
        <f t="shared" si="41"/>
        <v>240.72693333333333</v>
      </c>
    </row>
    <row r="1098" spans="1:10" ht="15" x14ac:dyDescent="0.2">
      <c r="A1098" s="11">
        <f t="shared" si="24"/>
        <v>2055</v>
      </c>
      <c r="B1098" s="10">
        <f t="shared" ref="B1098:J1098" si="42">AVERAGE(B504:B515)</f>
        <v>38.878950000000003</v>
      </c>
      <c r="C1098" s="10">
        <f t="shared" si="42"/>
        <v>35.862500000000004</v>
      </c>
      <c r="D1098" s="10">
        <f t="shared" si="42"/>
        <v>35.854691666666668</v>
      </c>
      <c r="E1098" s="10">
        <f t="shared" si="42"/>
        <v>38.7318</v>
      </c>
      <c r="F1098" s="10">
        <f t="shared" si="42"/>
        <v>38.722699999999996</v>
      </c>
      <c r="G1098" s="10">
        <f t="shared" si="42"/>
        <v>35.860925000000002</v>
      </c>
      <c r="H1098" s="10">
        <f t="shared" si="42"/>
        <v>35.860925000000002</v>
      </c>
      <c r="I1098" s="10">
        <f t="shared" si="42"/>
        <v>35.862500000000004</v>
      </c>
      <c r="J1098" s="10">
        <f t="shared" si="42"/>
        <v>244.99215833333335</v>
      </c>
    </row>
    <row r="1099" spans="1:10" ht="15" x14ac:dyDescent="0.2">
      <c r="A1099" s="11">
        <f t="shared" si="24"/>
        <v>2056</v>
      </c>
      <c r="B1099" s="10">
        <f t="shared" ref="B1099:J1099" si="43">AVERAGE(B516:B527)</f>
        <v>39.554508333333331</v>
      </c>
      <c r="C1099" s="10">
        <f t="shared" si="43"/>
        <v>36.487375</v>
      </c>
      <c r="D1099" s="10">
        <f t="shared" si="43"/>
        <v>36.47955833333333</v>
      </c>
      <c r="E1099" s="10">
        <f t="shared" si="43"/>
        <v>39.407375000000009</v>
      </c>
      <c r="F1099" s="10">
        <f t="shared" si="43"/>
        <v>39.398274999999991</v>
      </c>
      <c r="G1099" s="10">
        <f t="shared" si="43"/>
        <v>36.485800000000005</v>
      </c>
      <c r="H1099" s="10">
        <f t="shared" si="43"/>
        <v>36.485800000000005</v>
      </c>
      <c r="I1099" s="10">
        <f t="shared" si="43"/>
        <v>36.487375</v>
      </c>
      <c r="J1099" s="10">
        <f t="shared" si="43"/>
        <v>249.33296666666664</v>
      </c>
    </row>
    <row r="1100" spans="1:10" ht="15" x14ac:dyDescent="0.2">
      <c r="A1100" s="11">
        <f t="shared" si="24"/>
        <v>2057</v>
      </c>
      <c r="B1100" s="10">
        <f t="shared" ref="B1100:J1100" si="44">AVERAGE(B528:B539)</f>
        <v>40.242008333333331</v>
      </c>
      <c r="C1100" s="10">
        <f t="shared" si="44"/>
        <v>37.123291666666667</v>
      </c>
      <c r="D1100" s="10">
        <f t="shared" si="44"/>
        <v>37.115474999999996</v>
      </c>
      <c r="E1100" s="10">
        <f t="shared" si="44"/>
        <v>40.094875000000009</v>
      </c>
      <c r="F1100" s="10">
        <f t="shared" si="44"/>
        <v>40.085774999999991</v>
      </c>
      <c r="G1100" s="10">
        <f t="shared" si="44"/>
        <v>37.121708333333331</v>
      </c>
      <c r="H1100" s="10">
        <f t="shared" si="44"/>
        <v>37.121708333333331</v>
      </c>
      <c r="I1100" s="10">
        <f t="shared" si="44"/>
        <v>37.123291666666667</v>
      </c>
      <c r="J1100" s="10">
        <f t="shared" si="44"/>
        <v>253.75066666666672</v>
      </c>
    </row>
    <row r="1101" spans="1:10" ht="15" x14ac:dyDescent="0.2">
      <c r="A1101" s="11">
        <f t="shared" si="24"/>
        <v>2058</v>
      </c>
      <c r="B1101" s="10">
        <f t="shared" ref="B1101:J1101" si="45">AVERAGE(B540:B551)</f>
        <v>40.941674999999996</v>
      </c>
      <c r="C1101" s="10">
        <f t="shared" si="45"/>
        <v>37.770416666666669</v>
      </c>
      <c r="D1101" s="10">
        <f t="shared" si="45"/>
        <v>37.762599999999999</v>
      </c>
      <c r="E1101" s="10">
        <f t="shared" si="45"/>
        <v>40.794508333333326</v>
      </c>
      <c r="F1101" s="10">
        <f t="shared" si="45"/>
        <v>40.785408333333329</v>
      </c>
      <c r="G1101" s="10">
        <f t="shared" si="45"/>
        <v>37.768875000000001</v>
      </c>
      <c r="H1101" s="10">
        <f t="shared" si="45"/>
        <v>37.768875000000001</v>
      </c>
      <c r="I1101" s="10">
        <f t="shared" si="45"/>
        <v>37.770416666666669</v>
      </c>
      <c r="J1101" s="10">
        <f t="shared" si="45"/>
        <v>258.24664999999999</v>
      </c>
    </row>
    <row r="1102" spans="1:10" ht="15" x14ac:dyDescent="0.2">
      <c r="A1102" s="11">
        <f t="shared" si="24"/>
        <v>2059</v>
      </c>
      <c r="B1102" s="10">
        <f t="shared" ref="B1102:J1102" si="46">AVERAGE(B552:B563)</f>
        <v>41.653691666666667</v>
      </c>
      <c r="C1102" s="10">
        <f t="shared" si="46"/>
        <v>38.428999999999995</v>
      </c>
      <c r="D1102" s="10">
        <f t="shared" si="46"/>
        <v>38.421200000000006</v>
      </c>
      <c r="E1102" s="10">
        <f t="shared" si="46"/>
        <v>41.506524999999996</v>
      </c>
      <c r="F1102" s="10">
        <f t="shared" si="46"/>
        <v>41.497425</v>
      </c>
      <c r="G1102" s="10">
        <f t="shared" si="46"/>
        <v>38.427441666666667</v>
      </c>
      <c r="H1102" s="10">
        <f t="shared" si="46"/>
        <v>38.427441666666667</v>
      </c>
      <c r="I1102" s="10">
        <f t="shared" si="46"/>
        <v>38.428999999999995</v>
      </c>
      <c r="J1102" s="10">
        <f t="shared" si="46"/>
        <v>262.82230000000004</v>
      </c>
    </row>
    <row r="1103" spans="1:10" ht="15" x14ac:dyDescent="0.2">
      <c r="A1103" s="11">
        <f t="shared" si="24"/>
        <v>2060</v>
      </c>
      <c r="B1103" s="10">
        <f t="shared" ref="B1103:J1103" si="47">AVERAGE(B564:B575)</f>
        <v>42.378283333333322</v>
      </c>
      <c r="C1103" s="10">
        <f t="shared" si="47"/>
        <v>39.099216666666671</v>
      </c>
      <c r="D1103" s="10">
        <f t="shared" si="47"/>
        <v>39.091399999999993</v>
      </c>
      <c r="E1103" s="10">
        <f t="shared" si="47"/>
        <v>42.231116666666658</v>
      </c>
      <c r="F1103" s="10">
        <f t="shared" si="47"/>
        <v>42.222016666666669</v>
      </c>
      <c r="G1103" s="10">
        <f t="shared" si="47"/>
        <v>39.097666666666669</v>
      </c>
      <c r="H1103" s="10">
        <f t="shared" si="47"/>
        <v>39.097666666666669</v>
      </c>
      <c r="I1103" s="10">
        <f t="shared" si="47"/>
        <v>39.099216666666671</v>
      </c>
      <c r="J1103" s="10">
        <f t="shared" si="47"/>
        <v>267.47901666666667</v>
      </c>
    </row>
    <row r="1104" spans="1:10" ht="15" x14ac:dyDescent="0.2">
      <c r="A1104" s="11">
        <f t="shared" si="24"/>
        <v>2061</v>
      </c>
      <c r="B1104" s="10">
        <f t="shared" ref="B1104:J1104" si="48">AVERAGE(B576:B587)</f>
        <v>43.115674999999989</v>
      </c>
      <c r="C1104" s="10">
        <f t="shared" si="48"/>
        <v>39.781291666666668</v>
      </c>
      <c r="D1104" s="10">
        <f t="shared" si="48"/>
        <v>39.773474999999998</v>
      </c>
      <c r="E1104" s="10">
        <f t="shared" si="48"/>
        <v>42.968508333333325</v>
      </c>
      <c r="F1104" s="10">
        <f t="shared" si="48"/>
        <v>42.959408333333329</v>
      </c>
      <c r="G1104" s="10">
        <f t="shared" si="48"/>
        <v>39.779708333333339</v>
      </c>
      <c r="H1104" s="10">
        <f t="shared" si="48"/>
        <v>39.779708333333339</v>
      </c>
      <c r="I1104" s="10">
        <f t="shared" si="48"/>
        <v>39.781291666666668</v>
      </c>
      <c r="J1104" s="10">
        <f t="shared" si="48"/>
        <v>272.21823333333333</v>
      </c>
    </row>
    <row r="1105" spans="1:10" ht="15" x14ac:dyDescent="0.2">
      <c r="A1105" s="11">
        <f t="shared" si="24"/>
        <v>2062</v>
      </c>
      <c r="B1105" s="10">
        <f t="shared" ref="B1105:J1114" ca="1" si="49">AVERAGE(OFFSET(B$588,($A1105-$A$1105)*12,0,12,1))</f>
        <v>43.866099999999996</v>
      </c>
      <c r="C1105" s="10">
        <f t="shared" ca="1" si="49"/>
        <v>40.4754</v>
      </c>
      <c r="D1105" s="10">
        <f t="shared" ca="1" si="49"/>
        <v>40.467591666666664</v>
      </c>
      <c r="E1105" s="10">
        <f t="shared" ca="1" si="49"/>
        <v>43.718941666666666</v>
      </c>
      <c r="F1105" s="10">
        <f t="shared" ca="1" si="49"/>
        <v>43.709841666666655</v>
      </c>
      <c r="G1105" s="10">
        <f t="shared" ca="1" si="49"/>
        <v>40.473824999999998</v>
      </c>
      <c r="H1105" s="10">
        <f t="shared" ca="1" si="49"/>
        <v>40.473824999999998</v>
      </c>
      <c r="I1105" s="10">
        <f t="shared" ca="1" si="49"/>
        <v>40.4754</v>
      </c>
      <c r="J1105" s="10">
        <f t="shared" ca="1" si="49"/>
        <v>277.04143333333337</v>
      </c>
    </row>
    <row r="1106" spans="1:10" ht="15" x14ac:dyDescent="0.2">
      <c r="A1106" s="11">
        <f t="shared" si="24"/>
        <v>2063</v>
      </c>
      <c r="B1106" s="10">
        <f t="shared" ca="1" si="49"/>
        <v>44.629783333333336</v>
      </c>
      <c r="C1106" s="10">
        <f t="shared" ca="1" si="49"/>
        <v>41.181774999999995</v>
      </c>
      <c r="D1106" s="10">
        <f t="shared" ca="1" si="49"/>
        <v>41.173958333333339</v>
      </c>
      <c r="E1106" s="10">
        <f t="shared" ca="1" si="49"/>
        <v>44.482616666666672</v>
      </c>
      <c r="F1106" s="10">
        <f t="shared" ca="1" si="49"/>
        <v>44.473516666666661</v>
      </c>
      <c r="G1106" s="10">
        <f t="shared" ca="1" si="49"/>
        <v>41.180200000000006</v>
      </c>
      <c r="H1106" s="10">
        <f t="shared" ca="1" si="49"/>
        <v>41.180200000000006</v>
      </c>
      <c r="I1106" s="10">
        <f t="shared" ca="1" si="49"/>
        <v>41.181774999999995</v>
      </c>
      <c r="J1106" s="10">
        <f t="shared" ca="1" si="49"/>
        <v>281.95009166666665</v>
      </c>
    </row>
    <row r="1107" spans="1:10" ht="15" x14ac:dyDescent="0.2">
      <c r="A1107" s="11">
        <f t="shared" si="24"/>
        <v>2064</v>
      </c>
      <c r="B1107" s="10">
        <f t="shared" ca="1" si="49"/>
        <v>45.406950000000002</v>
      </c>
      <c r="C1107" s="10">
        <f t="shared" ca="1" si="49"/>
        <v>41.900608333333338</v>
      </c>
      <c r="D1107" s="10">
        <f t="shared" ca="1" si="49"/>
        <v>41.892800000000001</v>
      </c>
      <c r="E1107" s="10">
        <f t="shared" ca="1" si="49"/>
        <v>45.259800000000006</v>
      </c>
      <c r="F1107" s="10">
        <f t="shared" ca="1" si="49"/>
        <v>45.250700000000002</v>
      </c>
      <c r="G1107" s="10">
        <f t="shared" ca="1" si="49"/>
        <v>41.899066666666663</v>
      </c>
      <c r="H1107" s="10">
        <f t="shared" ca="1" si="49"/>
        <v>41.899066666666663</v>
      </c>
      <c r="I1107" s="10">
        <f t="shared" ca="1" si="49"/>
        <v>41.900608333333338</v>
      </c>
      <c r="J1107" s="10">
        <f t="shared" ca="1" si="49"/>
        <v>286.94569166666668</v>
      </c>
    </row>
    <row r="1108" spans="1:10" ht="15" x14ac:dyDescent="0.2">
      <c r="A1108" s="11">
        <f t="shared" si="24"/>
        <v>2065</v>
      </c>
      <c r="B1108" s="10">
        <f t="shared" ca="1" si="49"/>
        <v>46.197858333333322</v>
      </c>
      <c r="C1108" s="10">
        <f t="shared" ca="1" si="49"/>
        <v>42.63218333333333</v>
      </c>
      <c r="D1108" s="10">
        <f t="shared" ca="1" si="49"/>
        <v>42.624375000000001</v>
      </c>
      <c r="E1108" s="10">
        <f t="shared" ca="1" si="49"/>
        <v>46.050699999999999</v>
      </c>
      <c r="F1108" s="10">
        <f t="shared" ca="1" si="49"/>
        <v>46.041599999999995</v>
      </c>
      <c r="G1108" s="10">
        <f t="shared" ca="1" si="49"/>
        <v>42.630600000000001</v>
      </c>
      <c r="H1108" s="10">
        <f t="shared" ca="1" si="49"/>
        <v>42.630600000000001</v>
      </c>
      <c r="I1108" s="10">
        <f t="shared" ca="1" si="49"/>
        <v>42.63218333333333</v>
      </c>
      <c r="J1108" s="10">
        <f t="shared" ca="1" si="49"/>
        <v>292.0298416666667</v>
      </c>
    </row>
    <row r="1109" spans="1:10" ht="15" x14ac:dyDescent="0.2">
      <c r="A1109" s="11">
        <f t="shared" si="24"/>
        <v>2066</v>
      </c>
      <c r="B1109" s="10">
        <f t="shared" ca="1" si="49"/>
        <v>47.002733333333332</v>
      </c>
      <c r="C1109" s="10">
        <f t="shared" ca="1" si="49"/>
        <v>43.376658333333332</v>
      </c>
      <c r="D1109" s="10">
        <f t="shared" ca="1" si="49"/>
        <v>43.368841666666668</v>
      </c>
      <c r="E1109" s="10">
        <f t="shared" ca="1" si="49"/>
        <v>46.855591666666669</v>
      </c>
      <c r="F1109" s="10">
        <f t="shared" ca="1" si="49"/>
        <v>46.846491666666658</v>
      </c>
      <c r="G1109" s="10">
        <f t="shared" ca="1" si="49"/>
        <v>43.375100000000003</v>
      </c>
      <c r="H1109" s="10">
        <f t="shared" ca="1" si="49"/>
        <v>43.375100000000003</v>
      </c>
      <c r="I1109" s="10">
        <f t="shared" ca="1" si="49"/>
        <v>43.376658333333332</v>
      </c>
      <c r="J1109" s="10">
        <f t="shared" ca="1" si="49"/>
        <v>297.20405</v>
      </c>
    </row>
    <row r="1110" spans="1:10" ht="15" x14ac:dyDescent="0.2">
      <c r="A1110" s="11">
        <f t="shared" si="24"/>
        <v>2067</v>
      </c>
      <c r="B1110" s="10">
        <f t="shared" ca="1" si="49"/>
        <v>47.821833333333331</v>
      </c>
      <c r="C1110" s="10">
        <f t="shared" ca="1" si="49"/>
        <v>44.134291666666677</v>
      </c>
      <c r="D1110" s="10">
        <f t="shared" ca="1" si="49"/>
        <v>44.126491666666674</v>
      </c>
      <c r="E1110" s="10">
        <f t="shared" ca="1" si="49"/>
        <v>47.674691666666668</v>
      </c>
      <c r="F1110" s="10">
        <f t="shared" ca="1" si="49"/>
        <v>47.665591666666671</v>
      </c>
      <c r="G1110" s="10">
        <f t="shared" ca="1" si="49"/>
        <v>44.132725000000001</v>
      </c>
      <c r="H1110" s="10">
        <f t="shared" ca="1" si="49"/>
        <v>44.132725000000001</v>
      </c>
      <c r="I1110" s="10">
        <f t="shared" ca="1" si="49"/>
        <v>44.134291666666677</v>
      </c>
      <c r="J1110" s="10">
        <f t="shared" ca="1" si="49"/>
        <v>302.46994999999998</v>
      </c>
    </row>
    <row r="1111" spans="1:10" ht="15" x14ac:dyDescent="0.2">
      <c r="A1111" s="11">
        <f t="shared" si="24"/>
        <v>2068</v>
      </c>
      <c r="B1111" s="10">
        <f t="shared" ca="1" si="49"/>
        <v>48.655400000000007</v>
      </c>
      <c r="C1111" s="10">
        <f t="shared" ca="1" si="49"/>
        <v>44.905300000000004</v>
      </c>
      <c r="D1111" s="10">
        <f t="shared" ca="1" si="49"/>
        <v>44.897500000000001</v>
      </c>
      <c r="E1111" s="10">
        <f t="shared" ca="1" si="49"/>
        <v>48.508266666666678</v>
      </c>
      <c r="F1111" s="10">
        <f t="shared" ca="1" si="49"/>
        <v>48.499166666666667</v>
      </c>
      <c r="G1111" s="10">
        <f t="shared" ca="1" si="49"/>
        <v>44.903750000000002</v>
      </c>
      <c r="H1111" s="10">
        <f t="shared" ca="1" si="49"/>
        <v>44.903750000000002</v>
      </c>
      <c r="I1111" s="10">
        <f t="shared" ca="1" si="49"/>
        <v>44.905300000000004</v>
      </c>
      <c r="J1111" s="10">
        <f t="shared" ca="1" si="49"/>
        <v>307.82914166666666</v>
      </c>
    </row>
    <row r="1112" spans="1:10" ht="15" x14ac:dyDescent="0.2">
      <c r="A1112" s="11">
        <f t="shared" si="24"/>
        <v>2069</v>
      </c>
      <c r="B1112" s="10">
        <f t="shared" ca="1" si="49"/>
        <v>49.503700000000009</v>
      </c>
      <c r="C1112" s="10">
        <f t="shared" ca="1" si="49"/>
        <v>45.689950000000003</v>
      </c>
      <c r="D1112" s="10">
        <f t="shared" ca="1" si="49"/>
        <v>45.682141666666666</v>
      </c>
      <c r="E1112" s="10">
        <f t="shared" ca="1" si="49"/>
        <v>49.356566666666673</v>
      </c>
      <c r="F1112" s="10">
        <f t="shared" ca="1" si="49"/>
        <v>49.347466666666662</v>
      </c>
      <c r="G1112" s="10">
        <f t="shared" ca="1" si="49"/>
        <v>45.688391666666661</v>
      </c>
      <c r="H1112" s="10">
        <f t="shared" ca="1" si="49"/>
        <v>45.688391666666661</v>
      </c>
      <c r="I1112" s="10">
        <f t="shared" ca="1" si="49"/>
        <v>45.689950000000003</v>
      </c>
      <c r="J1112" s="10">
        <f t="shared" ca="1" si="49"/>
        <v>313.28329166666668</v>
      </c>
    </row>
    <row r="1113" spans="1:10" ht="15" x14ac:dyDescent="0.2">
      <c r="A1113" s="11">
        <f t="shared" ref="A1113:A1143" si="50">A1112+1</f>
        <v>2070</v>
      </c>
      <c r="B1113" s="10">
        <f t="shared" ca="1" si="49"/>
        <v>50.366999999999997</v>
      </c>
      <c r="C1113" s="10">
        <f t="shared" ca="1" si="49"/>
        <v>46.488466666666675</v>
      </c>
      <c r="D1113" s="10">
        <f t="shared" ca="1" si="49"/>
        <v>46.480649999999997</v>
      </c>
      <c r="E1113" s="10">
        <f t="shared" ca="1" si="49"/>
        <v>50.219850000000008</v>
      </c>
      <c r="F1113" s="10">
        <f t="shared" ca="1" si="49"/>
        <v>50.210749999999997</v>
      </c>
      <c r="G1113" s="10">
        <f t="shared" ca="1" si="49"/>
        <v>46.486900000000013</v>
      </c>
      <c r="H1113" s="10">
        <f t="shared" ca="1" si="49"/>
        <v>46.486900000000013</v>
      </c>
      <c r="I1113" s="10">
        <f t="shared" ca="1" si="49"/>
        <v>46.488466666666675</v>
      </c>
      <c r="J1113" s="10">
        <f t="shared" ca="1" si="49"/>
        <v>318.83406666666673</v>
      </c>
    </row>
    <row r="1114" spans="1:10" ht="15" x14ac:dyDescent="0.2">
      <c r="A1114" s="11">
        <f t="shared" si="50"/>
        <v>2071</v>
      </c>
      <c r="B1114" s="10">
        <f t="shared" ca="1" si="49"/>
        <v>51.245533333333334</v>
      </c>
      <c r="C1114" s="10">
        <f t="shared" ca="1" si="49"/>
        <v>47.301074999999997</v>
      </c>
      <c r="D1114" s="10">
        <f t="shared" ca="1" si="49"/>
        <v>47.293266666666675</v>
      </c>
      <c r="E1114" s="10">
        <f t="shared" ca="1" si="49"/>
        <v>51.098391666666664</v>
      </c>
      <c r="F1114" s="10">
        <f t="shared" ca="1" si="49"/>
        <v>51.089291666666668</v>
      </c>
      <c r="G1114" s="10">
        <f t="shared" ca="1" si="49"/>
        <v>47.299500000000002</v>
      </c>
      <c r="H1114" s="10">
        <f t="shared" ca="1" si="49"/>
        <v>47.299500000000002</v>
      </c>
      <c r="I1114" s="10">
        <f t="shared" ca="1" si="49"/>
        <v>47.301074999999997</v>
      </c>
      <c r="J1114" s="10">
        <f t="shared" ca="1" si="49"/>
        <v>324.483225</v>
      </c>
    </row>
    <row r="1115" spans="1:10" ht="15" x14ac:dyDescent="0.2">
      <c r="A1115" s="11">
        <f t="shared" si="50"/>
        <v>2072</v>
      </c>
      <c r="B1115" s="10">
        <f t="shared" ref="B1115:J1124" ca="1" si="51">AVERAGE(OFFSET(B$588,($A1115-$A$1105)*12,0,12,1))</f>
        <v>52.139600000000002</v>
      </c>
      <c r="C1115" s="10">
        <f t="shared" ca="1" si="51"/>
        <v>48.128041666666668</v>
      </c>
      <c r="D1115" s="10">
        <f t="shared" ca="1" si="51"/>
        <v>48.120224999999998</v>
      </c>
      <c r="E1115" s="10">
        <f t="shared" ca="1" si="51"/>
        <v>51.992450000000012</v>
      </c>
      <c r="F1115" s="10">
        <f t="shared" ca="1" si="51"/>
        <v>51.983350000000009</v>
      </c>
      <c r="G1115" s="10">
        <f t="shared" ca="1" si="51"/>
        <v>48.126491666666674</v>
      </c>
      <c r="H1115" s="10">
        <f t="shared" ca="1" si="51"/>
        <v>48.126491666666674</v>
      </c>
      <c r="I1115" s="10">
        <f t="shared" ca="1" si="51"/>
        <v>48.128041666666668</v>
      </c>
      <c r="J1115" s="10">
        <f t="shared" ca="1" si="51"/>
        <v>330.23245833333334</v>
      </c>
    </row>
    <row r="1116" spans="1:10" ht="15" x14ac:dyDescent="0.2">
      <c r="A1116" s="11">
        <f t="shared" si="50"/>
        <v>2073</v>
      </c>
      <c r="B1116" s="10">
        <f t="shared" ca="1" si="51"/>
        <v>53.049466666666653</v>
      </c>
      <c r="C1116" s="10">
        <f t="shared" ca="1" si="51"/>
        <v>48.969625000000008</v>
      </c>
      <c r="D1116" s="10">
        <f t="shared" ca="1" si="51"/>
        <v>48.961808333333344</v>
      </c>
      <c r="E1116" s="10">
        <f t="shared" ca="1" si="51"/>
        <v>52.902300000000004</v>
      </c>
      <c r="F1116" s="10">
        <f t="shared" ca="1" si="51"/>
        <v>52.893200000000007</v>
      </c>
      <c r="G1116" s="10">
        <f t="shared" ca="1" si="51"/>
        <v>48.968075000000006</v>
      </c>
      <c r="H1116" s="10">
        <f t="shared" ca="1" si="51"/>
        <v>48.968075000000006</v>
      </c>
      <c r="I1116" s="10">
        <f t="shared" ca="1" si="51"/>
        <v>48.969625000000008</v>
      </c>
      <c r="J1116" s="10">
        <f t="shared" ca="1" si="51"/>
        <v>336.08355</v>
      </c>
    </row>
    <row r="1117" spans="1:10" ht="15" x14ac:dyDescent="0.2">
      <c r="A1117" s="11">
        <f t="shared" si="50"/>
        <v>2074</v>
      </c>
      <c r="B1117" s="10">
        <f t="shared" ca="1" si="51"/>
        <v>53.9754</v>
      </c>
      <c r="C1117" s="10">
        <f t="shared" ca="1" si="51"/>
        <v>49.826091666666656</v>
      </c>
      <c r="D1117" s="10">
        <f t="shared" ca="1" si="51"/>
        <v>49.818275</v>
      </c>
      <c r="E1117" s="10">
        <f t="shared" ca="1" si="51"/>
        <v>53.828249999999997</v>
      </c>
      <c r="F1117" s="10">
        <f t="shared" ca="1" si="51"/>
        <v>53.81915</v>
      </c>
      <c r="G1117" s="10">
        <f t="shared" ca="1" si="51"/>
        <v>49.824508333333334</v>
      </c>
      <c r="H1117" s="10">
        <f t="shared" ca="1" si="51"/>
        <v>49.824508333333334</v>
      </c>
      <c r="I1117" s="10">
        <f t="shared" ca="1" si="51"/>
        <v>49.826091666666656</v>
      </c>
      <c r="J1117" s="10">
        <f t="shared" ca="1" si="51"/>
        <v>342.0383083333333</v>
      </c>
    </row>
    <row r="1118" spans="1:10" ht="15" x14ac:dyDescent="0.2">
      <c r="A1118" s="11">
        <f t="shared" si="50"/>
        <v>2075</v>
      </c>
      <c r="B1118" s="10">
        <f t="shared" ca="1" si="51"/>
        <v>54.917700000000004</v>
      </c>
      <c r="C1118" s="10">
        <f t="shared" ca="1" si="51"/>
        <v>50.697675000000004</v>
      </c>
      <c r="D1118" s="10">
        <f t="shared" ca="1" si="51"/>
        <v>50.689850000000014</v>
      </c>
      <c r="E1118" s="10">
        <f t="shared" ca="1" si="51"/>
        <v>54.770541666666674</v>
      </c>
      <c r="F1118" s="10">
        <f t="shared" ca="1" si="51"/>
        <v>54.761441666666677</v>
      </c>
      <c r="G1118" s="10">
        <f t="shared" ca="1" si="51"/>
        <v>50.696099999999994</v>
      </c>
      <c r="H1118" s="10">
        <f t="shared" ca="1" si="51"/>
        <v>50.696099999999994</v>
      </c>
      <c r="I1118" s="10">
        <f t="shared" ca="1" si="51"/>
        <v>50.697675000000004</v>
      </c>
      <c r="J1118" s="10">
        <f t="shared" ca="1" si="51"/>
        <v>348.09859166666666</v>
      </c>
    </row>
    <row r="1119" spans="1:10" ht="15" x14ac:dyDescent="0.2">
      <c r="A1119" s="11">
        <f t="shared" si="50"/>
        <v>2076</v>
      </c>
      <c r="B1119" s="10">
        <f t="shared" ca="1" si="51"/>
        <v>55.876633333333331</v>
      </c>
      <c r="C1119" s="10">
        <f t="shared" ca="1" si="51"/>
        <v>51.584649999999989</v>
      </c>
      <c r="D1119" s="10">
        <f t="shared" ca="1" si="51"/>
        <v>51.576833333333333</v>
      </c>
      <c r="E1119" s="10">
        <f t="shared" ca="1" si="51"/>
        <v>55.729491666666661</v>
      </c>
      <c r="F1119" s="10">
        <f t="shared" ca="1" si="51"/>
        <v>55.720391666666671</v>
      </c>
      <c r="G1119" s="10">
        <f t="shared" ca="1" si="51"/>
        <v>51.583091666666661</v>
      </c>
      <c r="H1119" s="10">
        <f t="shared" ca="1" si="51"/>
        <v>51.583091666666661</v>
      </c>
      <c r="I1119" s="10">
        <f t="shared" ca="1" si="51"/>
        <v>51.584649999999989</v>
      </c>
      <c r="J1119" s="10">
        <f t="shared" ca="1" si="51"/>
        <v>354.26623333333333</v>
      </c>
    </row>
    <row r="1120" spans="1:10" ht="15" x14ac:dyDescent="0.2">
      <c r="A1120" s="11">
        <f t="shared" si="50"/>
        <v>2077</v>
      </c>
      <c r="B1120" s="10">
        <f t="shared" ca="1" si="51"/>
        <v>56.852516666666666</v>
      </c>
      <c r="C1120" s="10">
        <f t="shared" ca="1" si="51"/>
        <v>52.487299999999998</v>
      </c>
      <c r="D1120" s="10">
        <f t="shared" ca="1" si="51"/>
        <v>52.479491666666661</v>
      </c>
      <c r="E1120" s="10">
        <f t="shared" ca="1" si="51"/>
        <v>56.705383333333337</v>
      </c>
      <c r="F1120" s="10">
        <f t="shared" ca="1" si="51"/>
        <v>56.696283333333334</v>
      </c>
      <c r="G1120" s="10">
        <f t="shared" ca="1" si="51"/>
        <v>52.485741666666662</v>
      </c>
      <c r="H1120" s="10">
        <f t="shared" ca="1" si="51"/>
        <v>52.485741666666662</v>
      </c>
      <c r="I1120" s="10">
        <f t="shared" ca="1" si="51"/>
        <v>52.487299999999998</v>
      </c>
      <c r="J1120" s="10">
        <f t="shared" ca="1" si="51"/>
        <v>360.54315833333334</v>
      </c>
    </row>
    <row r="1121" spans="1:10" ht="15" x14ac:dyDescent="0.2">
      <c r="A1121" s="11">
        <f t="shared" si="50"/>
        <v>2078</v>
      </c>
      <c r="B1121" s="10">
        <f t="shared" ca="1" si="51"/>
        <v>57.845658333333319</v>
      </c>
      <c r="C1121" s="10">
        <f t="shared" ca="1" si="51"/>
        <v>53.405900000000003</v>
      </c>
      <c r="D1121" s="10">
        <f t="shared" ca="1" si="51"/>
        <v>53.398099999999999</v>
      </c>
      <c r="E1121" s="10">
        <f t="shared" ca="1" si="51"/>
        <v>57.698500000000003</v>
      </c>
      <c r="F1121" s="10">
        <f t="shared" ca="1" si="51"/>
        <v>57.689400000000006</v>
      </c>
      <c r="G1121" s="10">
        <f t="shared" ca="1" si="51"/>
        <v>53.40434166666666</v>
      </c>
      <c r="H1121" s="10">
        <f t="shared" ca="1" si="51"/>
        <v>53.40434166666666</v>
      </c>
      <c r="I1121" s="10">
        <f t="shared" ca="1" si="51"/>
        <v>53.405900000000003</v>
      </c>
      <c r="J1121" s="10">
        <f t="shared" ca="1" si="51"/>
        <v>366.9312916666666</v>
      </c>
    </row>
    <row r="1122" spans="1:10" ht="15" x14ac:dyDescent="0.2">
      <c r="A1122" s="11">
        <f t="shared" si="50"/>
        <v>2079</v>
      </c>
      <c r="B1122" s="10">
        <f t="shared" ca="1" si="51"/>
        <v>58.856324999999998</v>
      </c>
      <c r="C1122" s="10">
        <f t="shared" ca="1" si="51"/>
        <v>54.340733333333333</v>
      </c>
      <c r="D1122" s="10">
        <f t="shared" ca="1" si="51"/>
        <v>54.332924999999996</v>
      </c>
      <c r="E1122" s="10">
        <f t="shared" ca="1" si="51"/>
        <v>58.709191666666662</v>
      </c>
      <c r="F1122" s="10">
        <f t="shared" ca="1" si="51"/>
        <v>58.700091666666658</v>
      </c>
      <c r="G1122" s="10">
        <f t="shared" ca="1" si="51"/>
        <v>54.339191666666665</v>
      </c>
      <c r="H1122" s="10">
        <f t="shared" ca="1" si="51"/>
        <v>54.339191666666665</v>
      </c>
      <c r="I1122" s="10">
        <f t="shared" ca="1" si="51"/>
        <v>54.340733333333333</v>
      </c>
      <c r="J1122" s="10">
        <f t="shared" ca="1" si="51"/>
        <v>373.43262499999997</v>
      </c>
    </row>
    <row r="1123" spans="1:10" ht="15" x14ac:dyDescent="0.2">
      <c r="A1123" s="11">
        <f t="shared" si="50"/>
        <v>2080</v>
      </c>
      <c r="B1123" s="10">
        <f t="shared" ca="1" si="51"/>
        <v>59.884874999999994</v>
      </c>
      <c r="C1123" s="10">
        <f t="shared" ca="1" si="51"/>
        <v>55.292091666666664</v>
      </c>
      <c r="D1123" s="10">
        <f t="shared" ca="1" si="51"/>
        <v>55.284291666666661</v>
      </c>
      <c r="E1123" s="10">
        <f t="shared" ca="1" si="51"/>
        <v>59.73769999999999</v>
      </c>
      <c r="F1123" s="10">
        <f t="shared" ca="1" si="51"/>
        <v>59.7286</v>
      </c>
      <c r="G1123" s="10">
        <f t="shared" ca="1" si="51"/>
        <v>55.290525000000002</v>
      </c>
      <c r="H1123" s="10">
        <f t="shared" ca="1" si="51"/>
        <v>55.290525000000002</v>
      </c>
      <c r="I1123" s="10">
        <f t="shared" ca="1" si="51"/>
        <v>55.292091666666664</v>
      </c>
      <c r="J1123" s="10">
        <f t="shared" ca="1" si="51"/>
        <v>380.04916666666668</v>
      </c>
    </row>
    <row r="1124" spans="1:10" ht="15" x14ac:dyDescent="0.2">
      <c r="A1124" s="11">
        <f t="shared" si="50"/>
        <v>2081</v>
      </c>
      <c r="B1124" s="10">
        <f t="shared" ca="1" si="51"/>
        <v>60.931574999999988</v>
      </c>
      <c r="C1124" s="10">
        <f t="shared" ca="1" si="51"/>
        <v>56.260250000000006</v>
      </c>
      <c r="D1124" s="10">
        <f t="shared" ca="1" si="51"/>
        <v>56.252433333333336</v>
      </c>
      <c r="E1124" s="10">
        <f t="shared" ca="1" si="51"/>
        <v>60.784408333333317</v>
      </c>
      <c r="F1124" s="10">
        <f t="shared" ca="1" si="51"/>
        <v>60.775308333333328</v>
      </c>
      <c r="G1124" s="10">
        <f t="shared" ca="1" si="51"/>
        <v>56.258691666666664</v>
      </c>
      <c r="H1124" s="10">
        <f t="shared" ca="1" si="51"/>
        <v>56.258691666666664</v>
      </c>
      <c r="I1124" s="10">
        <f t="shared" ca="1" si="51"/>
        <v>56.260250000000006</v>
      </c>
      <c r="J1124" s="10">
        <f t="shared" ca="1" si="51"/>
        <v>386.78289999999993</v>
      </c>
    </row>
    <row r="1125" spans="1:10" ht="15" x14ac:dyDescent="0.2">
      <c r="A1125" s="11">
        <f t="shared" si="50"/>
        <v>2082</v>
      </c>
      <c r="B1125" s="10">
        <f t="shared" ref="B1125:J1134" ca="1" si="52">AVERAGE(OFFSET(B$588,($A1125-$A$1105)*12,0,12,1))</f>
        <v>61.996774999999985</v>
      </c>
      <c r="C1125" s="10">
        <f t="shared" ca="1" si="52"/>
        <v>57.245500000000014</v>
      </c>
      <c r="D1125" s="10">
        <f t="shared" ca="1" si="52"/>
        <v>57.23769999999999</v>
      </c>
      <c r="E1125" s="10">
        <f t="shared" ca="1" si="52"/>
        <v>61.849608333333322</v>
      </c>
      <c r="F1125" s="10">
        <f t="shared" ca="1" si="52"/>
        <v>61.840508333333325</v>
      </c>
      <c r="G1125" s="10">
        <f t="shared" ca="1" si="52"/>
        <v>57.243950000000005</v>
      </c>
      <c r="H1125" s="10">
        <f t="shared" ca="1" si="52"/>
        <v>57.243950000000005</v>
      </c>
      <c r="I1125" s="10">
        <f t="shared" ca="1" si="52"/>
        <v>57.245500000000014</v>
      </c>
      <c r="J1125" s="10">
        <f t="shared" ca="1" si="52"/>
        <v>393.63595000000004</v>
      </c>
    </row>
    <row r="1126" spans="1:10" ht="15" x14ac:dyDescent="0.2">
      <c r="A1126" s="11">
        <f t="shared" si="50"/>
        <v>2083</v>
      </c>
      <c r="B1126" s="10">
        <f t="shared" ca="1" si="52"/>
        <v>63.08079166666667</v>
      </c>
      <c r="C1126" s="10">
        <f t="shared" ca="1" si="52"/>
        <v>58.248191666666649</v>
      </c>
      <c r="D1126" s="10">
        <f t="shared" ca="1" si="52"/>
        <v>58.240383333333334</v>
      </c>
      <c r="E1126" s="10">
        <f t="shared" ca="1" si="52"/>
        <v>62.933633333333326</v>
      </c>
      <c r="F1126" s="10">
        <f t="shared" ca="1" si="52"/>
        <v>62.924533333333336</v>
      </c>
      <c r="G1126" s="10">
        <f t="shared" ca="1" si="52"/>
        <v>58.246616666666675</v>
      </c>
      <c r="H1126" s="10">
        <f t="shared" ca="1" si="52"/>
        <v>58.246616666666675</v>
      </c>
      <c r="I1126" s="10">
        <f t="shared" ca="1" si="52"/>
        <v>58.248191666666649</v>
      </c>
      <c r="J1126" s="10">
        <f t="shared" ca="1" si="52"/>
        <v>400.61045833333327</v>
      </c>
    </row>
    <row r="1127" spans="1:10" ht="15" x14ac:dyDescent="0.2">
      <c r="A1127" s="11">
        <f t="shared" si="50"/>
        <v>2084</v>
      </c>
      <c r="B1127" s="10">
        <f t="shared" ca="1" si="52"/>
        <v>64.183966666666663</v>
      </c>
      <c r="C1127" s="10">
        <f t="shared" ca="1" si="52"/>
        <v>59.268583333333332</v>
      </c>
      <c r="D1127" s="10">
        <f t="shared" ca="1" si="52"/>
        <v>59.260766666666662</v>
      </c>
      <c r="E1127" s="10">
        <f t="shared" ca="1" si="52"/>
        <v>64.036800000000014</v>
      </c>
      <c r="F1127" s="10">
        <f t="shared" ca="1" si="52"/>
        <v>64.027699999999996</v>
      </c>
      <c r="G1127" s="10">
        <f t="shared" ca="1" si="52"/>
        <v>59.267000000000003</v>
      </c>
      <c r="H1127" s="10">
        <f t="shared" ca="1" si="52"/>
        <v>59.267000000000003</v>
      </c>
      <c r="I1127" s="10">
        <f t="shared" ca="1" si="52"/>
        <v>59.268583333333332</v>
      </c>
      <c r="J1127" s="10">
        <f t="shared" ca="1" si="52"/>
        <v>407.70851666666664</v>
      </c>
    </row>
    <row r="1128" spans="1:10" ht="15" x14ac:dyDescent="0.2">
      <c r="A1128" s="11">
        <f t="shared" si="50"/>
        <v>2085</v>
      </c>
      <c r="B1128" s="10">
        <f t="shared" ca="1" si="52"/>
        <v>65.306616666666656</v>
      </c>
      <c r="C1128" s="10">
        <f t="shared" ca="1" si="52"/>
        <v>60.306991666666669</v>
      </c>
      <c r="D1128" s="10">
        <f t="shared" ca="1" si="52"/>
        <v>60.299191666666673</v>
      </c>
      <c r="E1128" s="10">
        <f t="shared" ca="1" si="52"/>
        <v>65.159483333333327</v>
      </c>
      <c r="F1128" s="10">
        <f t="shared" ca="1" si="52"/>
        <v>65.150383333333309</v>
      </c>
      <c r="G1128" s="10">
        <f t="shared" ca="1" si="52"/>
        <v>60.305425000000007</v>
      </c>
      <c r="H1128" s="10">
        <f t="shared" ca="1" si="52"/>
        <v>60.305425000000007</v>
      </c>
      <c r="I1128" s="10">
        <f t="shared" ca="1" si="52"/>
        <v>60.306991666666669</v>
      </c>
      <c r="J1128" s="10">
        <f t="shared" ca="1" si="52"/>
        <v>414.93235000000004</v>
      </c>
    </row>
    <row r="1129" spans="1:10" ht="15" x14ac:dyDescent="0.2">
      <c r="A1129" s="11">
        <f t="shared" si="50"/>
        <v>2086</v>
      </c>
      <c r="B1129" s="10">
        <f t="shared" ca="1" si="52"/>
        <v>66.449108333333328</v>
      </c>
      <c r="C1129" s="10">
        <f t="shared" ca="1" si="52"/>
        <v>61.363758333333323</v>
      </c>
      <c r="D1129" s="10">
        <f t="shared" ca="1" si="52"/>
        <v>61.355941666666659</v>
      </c>
      <c r="E1129" s="10">
        <f t="shared" ca="1" si="52"/>
        <v>66.301974999999999</v>
      </c>
      <c r="F1129" s="10">
        <f t="shared" ca="1" si="52"/>
        <v>66.292874999999995</v>
      </c>
      <c r="G1129" s="10">
        <f t="shared" ca="1" si="52"/>
        <v>61.362200000000001</v>
      </c>
      <c r="H1129" s="10">
        <f t="shared" ca="1" si="52"/>
        <v>61.362200000000001</v>
      </c>
      <c r="I1129" s="10">
        <f t="shared" ca="1" si="52"/>
        <v>61.363758333333323</v>
      </c>
      <c r="J1129" s="10">
        <f t="shared" ca="1" si="52"/>
        <v>422.28415833333321</v>
      </c>
    </row>
    <row r="1130" spans="1:10" ht="15" x14ac:dyDescent="0.2">
      <c r="A1130" s="11">
        <f t="shared" si="50"/>
        <v>2087</v>
      </c>
      <c r="B1130" s="10">
        <f t="shared" ca="1" si="52"/>
        <v>67.611800000000002</v>
      </c>
      <c r="C1130" s="10">
        <f t="shared" ca="1" si="52"/>
        <v>62.439191666666666</v>
      </c>
      <c r="D1130" s="10">
        <f t="shared" ca="1" si="52"/>
        <v>62.431391666666677</v>
      </c>
      <c r="E1130" s="10">
        <f t="shared" ca="1" si="52"/>
        <v>67.464666666666645</v>
      </c>
      <c r="F1130" s="10">
        <f t="shared" ca="1" si="52"/>
        <v>67.455566666666655</v>
      </c>
      <c r="G1130" s="10">
        <f t="shared" ca="1" si="52"/>
        <v>62.437625000000004</v>
      </c>
      <c r="H1130" s="10">
        <f t="shared" ca="1" si="52"/>
        <v>62.437625000000004</v>
      </c>
      <c r="I1130" s="10">
        <f t="shared" ca="1" si="52"/>
        <v>62.439191666666666</v>
      </c>
      <c r="J1130" s="10">
        <f t="shared" ca="1" si="52"/>
        <v>429.76624166666664</v>
      </c>
    </row>
    <row r="1131" spans="1:10" ht="15" x14ac:dyDescent="0.2">
      <c r="A1131" s="11">
        <f t="shared" si="50"/>
        <v>2088</v>
      </c>
      <c r="B1131" s="10">
        <f t="shared" ca="1" si="52"/>
        <v>68.795033333333336</v>
      </c>
      <c r="C1131" s="10">
        <f t="shared" ca="1" si="52"/>
        <v>63.533625000000001</v>
      </c>
      <c r="D1131" s="10">
        <f t="shared" ca="1" si="52"/>
        <v>63.525799999999983</v>
      </c>
      <c r="E1131" s="10">
        <f t="shared" ca="1" si="52"/>
        <v>68.647891666666666</v>
      </c>
      <c r="F1131" s="10">
        <f t="shared" ca="1" si="52"/>
        <v>68.638791666666677</v>
      </c>
      <c r="G1131" s="10">
        <f t="shared" ca="1" si="52"/>
        <v>63.532074999999992</v>
      </c>
      <c r="H1131" s="10">
        <f t="shared" ca="1" si="52"/>
        <v>63.532074999999992</v>
      </c>
      <c r="I1131" s="10">
        <f t="shared" ca="1" si="52"/>
        <v>63.533625000000001</v>
      </c>
      <c r="J1131" s="10">
        <f t="shared" ca="1" si="52"/>
        <v>437.38087500000006</v>
      </c>
    </row>
    <row r="1132" spans="1:10" ht="15" x14ac:dyDescent="0.2">
      <c r="A1132" s="11">
        <f t="shared" si="50"/>
        <v>2089</v>
      </c>
      <c r="B1132" s="10">
        <f t="shared" ca="1" si="52"/>
        <v>69.999174999999994</v>
      </c>
      <c r="C1132" s="10">
        <f t="shared" ca="1" si="52"/>
        <v>64.647400000000005</v>
      </c>
      <c r="D1132" s="10">
        <f t="shared" ca="1" si="52"/>
        <v>64.639591666666675</v>
      </c>
      <c r="E1132" s="10">
        <f t="shared" ca="1" si="52"/>
        <v>69.852008333333345</v>
      </c>
      <c r="F1132" s="10">
        <f t="shared" ca="1" si="52"/>
        <v>69.842908333333341</v>
      </c>
      <c r="G1132" s="10">
        <f t="shared" ca="1" si="52"/>
        <v>64.645833333333329</v>
      </c>
      <c r="H1132" s="10">
        <f t="shared" ca="1" si="52"/>
        <v>64.645833333333329</v>
      </c>
      <c r="I1132" s="10">
        <f t="shared" ca="1" si="52"/>
        <v>64.647400000000005</v>
      </c>
      <c r="J1132" s="10">
        <f t="shared" ca="1" si="52"/>
        <v>445.13044166666663</v>
      </c>
    </row>
    <row r="1133" spans="1:10" ht="15" x14ac:dyDescent="0.2">
      <c r="A1133" s="11">
        <f t="shared" si="50"/>
        <v>2090</v>
      </c>
      <c r="B1133" s="10">
        <f t="shared" ca="1" si="52"/>
        <v>71.224583333333314</v>
      </c>
      <c r="C1133" s="10">
        <f t="shared" ca="1" si="52"/>
        <v>65.780850000000001</v>
      </c>
      <c r="D1133" s="10">
        <f t="shared" ca="1" si="52"/>
        <v>65.773033333333331</v>
      </c>
      <c r="E1133" s="10">
        <f t="shared" ca="1" si="52"/>
        <v>71.07741666666665</v>
      </c>
      <c r="F1133" s="10">
        <f t="shared" ca="1" si="52"/>
        <v>71.068316666666661</v>
      </c>
      <c r="G1133" s="10">
        <f t="shared" ca="1" si="52"/>
        <v>65.779291666666666</v>
      </c>
      <c r="H1133" s="10">
        <f t="shared" ca="1" si="52"/>
        <v>65.779291666666666</v>
      </c>
      <c r="I1133" s="10">
        <f t="shared" ca="1" si="52"/>
        <v>65.780850000000001</v>
      </c>
      <c r="J1133" s="10">
        <f t="shared" ca="1" si="52"/>
        <v>453.01729999999998</v>
      </c>
    </row>
    <row r="1134" spans="1:10" ht="15" x14ac:dyDescent="0.2">
      <c r="A1134" s="11">
        <f t="shared" si="50"/>
        <v>2091</v>
      </c>
      <c r="B1134" s="10">
        <f t="shared" ca="1" si="52"/>
        <v>72.471633333333344</v>
      </c>
      <c r="C1134" s="10">
        <f t="shared" ca="1" si="52"/>
        <v>66.934324999999987</v>
      </c>
      <c r="D1134" s="10">
        <f t="shared" ca="1" si="52"/>
        <v>66.926508333333331</v>
      </c>
      <c r="E1134" s="10">
        <f t="shared" ca="1" si="52"/>
        <v>72.324491666666674</v>
      </c>
      <c r="F1134" s="10">
        <f t="shared" ca="1" si="52"/>
        <v>72.315391666666685</v>
      </c>
      <c r="G1134" s="10">
        <f t="shared" ca="1" si="52"/>
        <v>66.932775000000007</v>
      </c>
      <c r="H1134" s="10">
        <f t="shared" ca="1" si="52"/>
        <v>66.932775000000007</v>
      </c>
      <c r="I1134" s="10">
        <f t="shared" ca="1" si="52"/>
        <v>66.934324999999987</v>
      </c>
      <c r="J1134" s="10">
        <f t="shared" ca="1" si="52"/>
        <v>461.04392499999994</v>
      </c>
    </row>
    <row r="1135" spans="1:10" ht="15" x14ac:dyDescent="0.2">
      <c r="A1135" s="11">
        <f t="shared" si="50"/>
        <v>2092</v>
      </c>
      <c r="B1135" s="10">
        <f t="shared" ref="B1135:J1143" ca="1" si="53">AVERAGE(OFFSET(B$588,($A1135-$A$1105)*12,0,12,1))</f>
        <v>73.740725000000012</v>
      </c>
      <c r="C1135" s="10">
        <f t="shared" ca="1" si="53"/>
        <v>68.108191666666656</v>
      </c>
      <c r="D1135" s="10">
        <f t="shared" ca="1" si="53"/>
        <v>68.100375</v>
      </c>
      <c r="E1135" s="10">
        <f t="shared" ca="1" si="53"/>
        <v>73.593591666666669</v>
      </c>
      <c r="F1135" s="10">
        <f t="shared" ca="1" si="53"/>
        <v>73.584491666666665</v>
      </c>
      <c r="G1135" s="10">
        <f t="shared" ca="1" si="53"/>
        <v>68.106608333333341</v>
      </c>
      <c r="H1135" s="10">
        <f t="shared" ca="1" si="53"/>
        <v>68.106608333333341</v>
      </c>
      <c r="I1135" s="10">
        <f t="shared" ca="1" si="53"/>
        <v>68.108191666666656</v>
      </c>
      <c r="J1135" s="10">
        <f t="shared" ca="1" si="53"/>
        <v>469.21275833333328</v>
      </c>
    </row>
    <row r="1136" spans="1:10" ht="15" x14ac:dyDescent="0.2">
      <c r="A1136" s="11">
        <f t="shared" si="50"/>
        <v>2093</v>
      </c>
      <c r="B1136" s="10">
        <f t="shared" ca="1" si="53"/>
        <v>75.03224166666665</v>
      </c>
      <c r="C1136" s="10">
        <f t="shared" ca="1" si="53"/>
        <v>69.302791666666664</v>
      </c>
      <c r="D1136" s="10">
        <f t="shared" ca="1" si="53"/>
        <v>69.294975000000008</v>
      </c>
      <c r="E1136" s="10">
        <f t="shared" ca="1" si="53"/>
        <v>74.885091666666696</v>
      </c>
      <c r="F1136" s="10">
        <f t="shared" ca="1" si="53"/>
        <v>74.87599166666665</v>
      </c>
      <c r="G1136" s="10">
        <f t="shared" ca="1" si="53"/>
        <v>69.301208333333321</v>
      </c>
      <c r="H1136" s="10">
        <f t="shared" ca="1" si="53"/>
        <v>69.301208333333321</v>
      </c>
      <c r="I1136" s="10">
        <f t="shared" ca="1" si="53"/>
        <v>69.302791666666664</v>
      </c>
      <c r="J1136" s="10">
        <f t="shared" ca="1" si="53"/>
        <v>477.52630833333336</v>
      </c>
    </row>
    <row r="1137" spans="1:10" ht="15" x14ac:dyDescent="0.2">
      <c r="A1137" s="11">
        <f t="shared" si="50"/>
        <v>2094</v>
      </c>
      <c r="B1137" s="10">
        <f t="shared" ca="1" si="53"/>
        <v>76.346583333333328</v>
      </c>
      <c r="C1137" s="10">
        <f t="shared" ca="1" si="53"/>
        <v>70.518491666666662</v>
      </c>
      <c r="D1137" s="10">
        <f t="shared" ca="1" si="53"/>
        <v>70.510683333333333</v>
      </c>
      <c r="E1137" s="10">
        <f t="shared" ca="1" si="53"/>
        <v>76.199416666666693</v>
      </c>
      <c r="F1137" s="10">
        <f t="shared" ca="1" si="53"/>
        <v>76.190316666666661</v>
      </c>
      <c r="G1137" s="10">
        <f t="shared" ca="1" si="53"/>
        <v>70.51691666666666</v>
      </c>
      <c r="H1137" s="10">
        <f t="shared" ca="1" si="53"/>
        <v>70.51691666666666</v>
      </c>
      <c r="I1137" s="10">
        <f t="shared" ca="1" si="53"/>
        <v>70.518491666666662</v>
      </c>
      <c r="J1137" s="10">
        <f t="shared" ca="1" si="53"/>
        <v>485.98717499999998</v>
      </c>
    </row>
    <row r="1138" spans="1:10" ht="15" x14ac:dyDescent="0.2">
      <c r="A1138" s="11">
        <f t="shared" si="50"/>
        <v>2095</v>
      </c>
      <c r="B1138" s="10">
        <f t="shared" ca="1" si="53"/>
        <v>77.684125000000009</v>
      </c>
      <c r="C1138" s="10">
        <f t="shared" ca="1" si="53"/>
        <v>71.755675000000011</v>
      </c>
      <c r="D1138" s="10">
        <f t="shared" ca="1" si="53"/>
        <v>71.747866666666681</v>
      </c>
      <c r="E1138" s="10">
        <f t="shared" ca="1" si="53"/>
        <v>77.536991666666665</v>
      </c>
      <c r="F1138" s="10">
        <f t="shared" ca="1" si="53"/>
        <v>77.527891666666662</v>
      </c>
      <c r="G1138" s="10">
        <f t="shared" ca="1" si="53"/>
        <v>71.754099999999994</v>
      </c>
      <c r="H1138" s="10">
        <f t="shared" ca="1" si="53"/>
        <v>71.754099999999994</v>
      </c>
      <c r="I1138" s="10">
        <f t="shared" ca="1" si="53"/>
        <v>71.755675000000011</v>
      </c>
      <c r="J1138" s="10">
        <f t="shared" ca="1" si="53"/>
        <v>494.59795833333334</v>
      </c>
    </row>
    <row r="1139" spans="1:10" ht="15" x14ac:dyDescent="0.2">
      <c r="A1139" s="11">
        <f t="shared" si="50"/>
        <v>2096</v>
      </c>
      <c r="B1139" s="10">
        <f t="shared" ca="1" si="53"/>
        <v>79.045308333333324</v>
      </c>
      <c r="C1139" s="10">
        <f t="shared" ca="1" si="53"/>
        <v>73.014700000000005</v>
      </c>
      <c r="D1139" s="10">
        <f t="shared" ca="1" si="53"/>
        <v>73.006900000000016</v>
      </c>
      <c r="E1139" s="10">
        <f t="shared" ca="1" si="53"/>
        <v>78.898175000000009</v>
      </c>
      <c r="F1139" s="10">
        <f t="shared" ca="1" si="53"/>
        <v>78.889074999999991</v>
      </c>
      <c r="G1139" s="10">
        <f t="shared" ca="1" si="53"/>
        <v>73.013149999999982</v>
      </c>
      <c r="H1139" s="10">
        <f t="shared" ca="1" si="53"/>
        <v>73.013149999999982</v>
      </c>
      <c r="I1139" s="10">
        <f t="shared" ca="1" si="53"/>
        <v>73.014700000000005</v>
      </c>
      <c r="J1139" s="10">
        <f t="shared" ca="1" si="53"/>
        <v>503.36130000000003</v>
      </c>
    </row>
    <row r="1140" spans="1:10" ht="15" x14ac:dyDescent="0.2">
      <c r="A1140" s="11">
        <f t="shared" si="50"/>
        <v>2097</v>
      </c>
      <c r="B1140" s="10">
        <f t="shared" ca="1" si="53"/>
        <v>80.430566666666664</v>
      </c>
      <c r="C1140" s="10">
        <f t="shared" ca="1" si="53"/>
        <v>74.296000000000006</v>
      </c>
      <c r="D1140" s="10">
        <f t="shared" ca="1" si="53"/>
        <v>74.288191666666691</v>
      </c>
      <c r="E1140" s="10">
        <f t="shared" ca="1" si="53"/>
        <v>80.2834</v>
      </c>
      <c r="F1140" s="10">
        <f t="shared" ca="1" si="53"/>
        <v>80.274299999999997</v>
      </c>
      <c r="G1140" s="10">
        <f t="shared" ca="1" si="53"/>
        <v>74.294433333333345</v>
      </c>
      <c r="H1140" s="10">
        <f t="shared" ca="1" si="53"/>
        <v>74.294433333333345</v>
      </c>
      <c r="I1140" s="10">
        <f t="shared" ca="1" si="53"/>
        <v>74.296000000000006</v>
      </c>
      <c r="J1140" s="10">
        <f t="shared" ca="1" si="53"/>
        <v>512.27989166666657</v>
      </c>
    </row>
    <row r="1141" spans="1:10" ht="15" x14ac:dyDescent="0.2">
      <c r="A1141" s="11">
        <f t="shared" si="50"/>
        <v>2098</v>
      </c>
      <c r="B1141" s="10">
        <f t="shared" ca="1" si="53"/>
        <v>81.84027500000002</v>
      </c>
      <c r="C1141" s="10">
        <f t="shared" ca="1" si="53"/>
        <v>75.599924999999999</v>
      </c>
      <c r="D1141" s="10">
        <f t="shared" ca="1" si="53"/>
        <v>75.592100000000016</v>
      </c>
      <c r="E1141" s="10">
        <f t="shared" ca="1" si="53"/>
        <v>81.693108333333342</v>
      </c>
      <c r="F1141" s="10">
        <f t="shared" ca="1" si="53"/>
        <v>81.684008333333338</v>
      </c>
      <c r="G1141" s="10">
        <f t="shared" ca="1" si="53"/>
        <v>75.598375000000004</v>
      </c>
      <c r="H1141" s="10">
        <f t="shared" ca="1" si="53"/>
        <v>75.598375000000004</v>
      </c>
      <c r="I1141" s="10">
        <f t="shared" ca="1" si="53"/>
        <v>75.599924999999999</v>
      </c>
      <c r="J1141" s="10">
        <f t="shared" ca="1" si="53"/>
        <v>521.35654166666666</v>
      </c>
    </row>
    <row r="1142" spans="1:10" ht="15" x14ac:dyDescent="0.2">
      <c r="A1142" s="11">
        <f t="shared" si="50"/>
        <v>2099</v>
      </c>
      <c r="B1142" s="10">
        <f t="shared" ca="1" si="53"/>
        <v>83.274891666666647</v>
      </c>
      <c r="C1142" s="10">
        <f t="shared" ca="1" si="53"/>
        <v>76.926891666666663</v>
      </c>
      <c r="D1142" s="10">
        <f t="shared" ca="1" si="53"/>
        <v>76.919091666666688</v>
      </c>
      <c r="E1142" s="10">
        <f t="shared" ca="1" si="53"/>
        <v>83.127741666666651</v>
      </c>
      <c r="F1142" s="10">
        <f t="shared" ca="1" si="53"/>
        <v>83.118641666666647</v>
      </c>
      <c r="G1142" s="10">
        <f t="shared" ca="1" si="53"/>
        <v>76.925325000000001</v>
      </c>
      <c r="H1142" s="10">
        <f t="shared" ca="1" si="53"/>
        <v>76.925325000000001</v>
      </c>
      <c r="I1142" s="10">
        <f t="shared" ca="1" si="53"/>
        <v>76.926891666666663</v>
      </c>
      <c r="J1142" s="10">
        <f t="shared" ca="1" si="53"/>
        <v>530.59398333333343</v>
      </c>
    </row>
    <row r="1143" spans="1:10" ht="15" x14ac:dyDescent="0.2">
      <c r="A1143" s="11">
        <f t="shared" si="50"/>
        <v>2100</v>
      </c>
      <c r="B1143" s="10">
        <f t="shared" ca="1" si="53"/>
        <v>84.734866666666662</v>
      </c>
      <c r="C1143" s="10">
        <f t="shared" ca="1" si="53"/>
        <v>78.277300000000025</v>
      </c>
      <c r="D1143" s="10">
        <f t="shared" ca="1" si="53"/>
        <v>78.269491666666667</v>
      </c>
      <c r="E1143" s="10">
        <f t="shared" ca="1" si="53"/>
        <v>84.587699999999998</v>
      </c>
      <c r="F1143" s="10">
        <f t="shared" ca="1" si="53"/>
        <v>84.578600000000009</v>
      </c>
      <c r="G1143" s="10">
        <f t="shared" ca="1" si="53"/>
        <v>78.275733333333321</v>
      </c>
      <c r="H1143" s="10">
        <f t="shared" ca="1" si="53"/>
        <v>78.275733333333321</v>
      </c>
      <c r="I1143" s="10">
        <f t="shared" ca="1" si="53"/>
        <v>78.277300000000025</v>
      </c>
      <c r="J1143" s="10">
        <f t="shared" ca="1" si="53"/>
        <v>539.99510833333341</v>
      </c>
    </row>
    <row r="1144" spans="1:10" x14ac:dyDescent="0.2">
      <c r="A1144" s="8"/>
    </row>
    <row r="1145" spans="1:10" x14ac:dyDescent="0.2">
      <c r="A1145" s="8"/>
    </row>
    <row r="1146" spans="1:10" x14ac:dyDescent="0.2">
      <c r="A1146" s="8"/>
    </row>
    <row r="1147" spans="1:10" x14ac:dyDescent="0.2">
      <c r="A1147" s="8"/>
    </row>
    <row r="1148" spans="1:10" x14ac:dyDescent="0.2">
      <c r="A1148" s="8"/>
    </row>
    <row r="1149" spans="1:10" x14ac:dyDescent="0.2">
      <c r="A1149" s="8"/>
    </row>
    <row r="1150" spans="1:10" x14ac:dyDescent="0.2">
      <c r="A1150" s="8"/>
    </row>
    <row r="1151" spans="1:10" x14ac:dyDescent="0.2">
      <c r="A1151" s="8"/>
    </row>
    <row r="1152" spans="1:10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D1159"/>
  <sheetViews>
    <sheetView zoomScale="70" zoomScaleNormal="70" workbookViewId="0">
      <pane xSplit="1" ySplit="12" topLeftCell="B13" activePane="bottomRight" state="frozen"/>
      <selection activeCell="H10" sqref="H10"/>
      <selection pane="topRight" activeCell="H10" sqref="H10"/>
      <selection pane="bottomLeft" activeCell="H10" sqref="H10"/>
      <selection pane="bottomRight" activeCell="H10" sqref="H10"/>
    </sheetView>
  </sheetViews>
  <sheetFormatPr defaultColWidth="7.109375" defaultRowHeight="12.75" x14ac:dyDescent="0.2"/>
  <cols>
    <col min="1" max="1" width="18.21875" style="9" customWidth="1"/>
    <col min="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6" width="19.77734375" style="8" customWidth="1"/>
    <col min="27" max="27" width="15.5546875" style="8" customWidth="1"/>
    <col min="28" max="28" width="16.88671875" style="8" customWidth="1"/>
    <col min="29" max="30" width="14.77734375" style="8" customWidth="1"/>
    <col min="31" max="31" width="14" style="8" customWidth="1"/>
    <col min="32" max="32" width="10.21875" style="8" customWidth="1"/>
    <col min="33" max="33" width="11.77734375" style="8" customWidth="1"/>
    <col min="34" max="34" width="7.109375" style="8" customWidth="1"/>
    <col min="35" max="35" width="8.77734375" style="8" customWidth="1"/>
    <col min="36" max="36" width="9.21875" style="8" customWidth="1"/>
    <col min="37" max="37" width="11.77734375" style="8" customWidth="1"/>
    <col min="38" max="38" width="7.109375" style="8" customWidth="1"/>
    <col min="39" max="39" width="9.21875" style="8" customWidth="1"/>
    <col min="40" max="40" width="9.33203125" style="8" customWidth="1"/>
    <col min="41" max="41" width="8.21875" style="8" customWidth="1"/>
    <col min="42" max="42" width="9" style="8" customWidth="1"/>
    <col min="43" max="16384" width="7.109375" style="8"/>
  </cols>
  <sheetData>
    <row r="1" spans="1:30" ht="15.75" x14ac:dyDescent="0.25">
      <c r="A1" s="98" t="s">
        <v>93</v>
      </c>
    </row>
    <row r="2" spans="1:30" ht="15.75" x14ac:dyDescent="0.25">
      <c r="A2" s="98" t="s">
        <v>94</v>
      </c>
    </row>
    <row r="3" spans="1:30" ht="15.75" x14ac:dyDescent="0.25">
      <c r="A3" s="98" t="s">
        <v>95</v>
      </c>
    </row>
    <row r="4" spans="1:30" ht="15.75" x14ac:dyDescent="0.25">
      <c r="A4" s="98" t="s">
        <v>96</v>
      </c>
    </row>
    <row r="5" spans="1:30" ht="15.75" x14ac:dyDescent="0.25">
      <c r="A5" s="98" t="s">
        <v>103</v>
      </c>
    </row>
    <row r="6" spans="1:30" ht="15.75" x14ac:dyDescent="0.25">
      <c r="A6" s="98" t="s">
        <v>100</v>
      </c>
    </row>
    <row r="8" spans="1:30" ht="15.75" x14ac:dyDescent="0.25">
      <c r="A8" s="25" t="s">
        <v>28</v>
      </c>
      <c r="M8" s="55"/>
      <c r="N8" s="55"/>
      <c r="O8" s="51"/>
      <c r="P8" s="51"/>
      <c r="T8" s="103" t="s">
        <v>71</v>
      </c>
      <c r="U8" s="103"/>
      <c r="V8" s="103"/>
      <c r="W8" s="103"/>
      <c r="X8" s="103"/>
      <c r="Y8" s="103"/>
      <c r="Z8" s="103"/>
    </row>
    <row r="9" spans="1:30" ht="16.5" thickBot="1" x14ac:dyDescent="0.3">
      <c r="A9" s="25"/>
      <c r="B9" s="23" t="s">
        <v>27</v>
      </c>
      <c r="C9" s="54">
        <f>1-0.209</f>
        <v>0.79100000000000004</v>
      </c>
      <c r="D9" s="23"/>
      <c r="E9" s="54">
        <f>1+0.209</f>
        <v>1.2090000000000001</v>
      </c>
      <c r="F9" s="54"/>
      <c r="G9" s="54"/>
      <c r="H9" s="1"/>
      <c r="I9" s="1"/>
      <c r="J9" s="1"/>
      <c r="K9" s="1"/>
      <c r="L9" s="1"/>
      <c r="M9" s="1"/>
      <c r="N9" s="1"/>
      <c r="O9" s="1"/>
      <c r="P9" s="1"/>
      <c r="T9" s="103" t="s">
        <v>70</v>
      </c>
      <c r="U9" s="103"/>
      <c r="V9" s="103"/>
      <c r="W9" s="103"/>
      <c r="X9" s="103"/>
      <c r="Y9" s="103"/>
      <c r="Z9" s="103"/>
      <c r="AA9" s="102"/>
      <c r="AB9" s="102"/>
      <c r="AC9" s="1"/>
    </row>
    <row r="10" spans="1:30" ht="21.75" thickTop="1" thickBot="1" x14ac:dyDescent="0.35">
      <c r="B10" s="53"/>
      <c r="C10" s="52"/>
      <c r="D10" s="53"/>
      <c r="E10" s="52"/>
      <c r="F10" s="52"/>
      <c r="G10" s="52"/>
      <c r="H10" s="1"/>
      <c r="I10" s="1"/>
      <c r="J10" s="1"/>
      <c r="K10" s="1"/>
      <c r="L10" s="1"/>
      <c r="M10" s="1"/>
      <c r="N10" s="1"/>
      <c r="O10" s="1"/>
      <c r="P10" s="1"/>
      <c r="T10" s="104" t="s">
        <v>69</v>
      </c>
      <c r="U10" s="105"/>
      <c r="V10" s="105"/>
      <c r="W10" s="105"/>
      <c r="X10" s="105"/>
      <c r="Y10" s="105"/>
      <c r="Z10" s="106"/>
      <c r="AA10" s="51"/>
      <c r="AB10" s="51"/>
      <c r="AC10" s="1"/>
    </row>
    <row r="11" spans="1:30" s="18" customFormat="1" ht="112.5" customHeight="1" thickTop="1" x14ac:dyDescent="0.25">
      <c r="B11" s="47" t="s">
        <v>68</v>
      </c>
      <c r="C11" s="50" t="s">
        <v>67</v>
      </c>
      <c r="D11" s="47" t="s">
        <v>66</v>
      </c>
      <c r="E11" s="47" t="s">
        <v>65</v>
      </c>
      <c r="F11" s="50" t="s">
        <v>64</v>
      </c>
      <c r="G11" s="50" t="s">
        <v>63</v>
      </c>
      <c r="H11" s="50" t="s">
        <v>62</v>
      </c>
      <c r="I11" s="50" t="s">
        <v>61</v>
      </c>
      <c r="J11" s="50" t="s">
        <v>60</v>
      </c>
      <c r="K11" s="50" t="s">
        <v>59</v>
      </c>
      <c r="L11" s="19" t="s">
        <v>58</v>
      </c>
      <c r="M11" s="49" t="s">
        <v>57</v>
      </c>
      <c r="N11" s="49" t="s">
        <v>56</v>
      </c>
      <c r="O11" s="49" t="s">
        <v>55</v>
      </c>
      <c r="P11" s="49" t="s">
        <v>54</v>
      </c>
      <c r="Q11" s="19" t="s">
        <v>53</v>
      </c>
      <c r="R11" s="21" t="s">
        <v>52</v>
      </c>
      <c r="S11" s="19" t="s">
        <v>51</v>
      </c>
      <c r="T11" s="46" t="s">
        <v>50</v>
      </c>
      <c r="U11" s="46" t="s">
        <v>49</v>
      </c>
      <c r="V11" s="46" t="s">
        <v>48</v>
      </c>
      <c r="W11" s="46" t="s">
        <v>47</v>
      </c>
      <c r="X11" s="46" t="s">
        <v>46</v>
      </c>
      <c r="Y11" s="46" t="s">
        <v>45</v>
      </c>
      <c r="Z11" s="46" t="s">
        <v>44</v>
      </c>
      <c r="AA11" s="21" t="s">
        <v>43</v>
      </c>
      <c r="AB11" s="21" t="s">
        <v>42</v>
      </c>
      <c r="AC11" s="47" t="s">
        <v>41</v>
      </c>
      <c r="AD11" s="48" t="s">
        <v>40</v>
      </c>
    </row>
    <row r="12" spans="1:30" s="18" customFormat="1" ht="15.75" x14ac:dyDescent="0.2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19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46" t="s">
        <v>39</v>
      </c>
      <c r="U12" s="46" t="s">
        <v>39</v>
      </c>
      <c r="V12" s="46" t="s">
        <v>39</v>
      </c>
      <c r="W12" s="46" t="s">
        <v>39</v>
      </c>
      <c r="X12" s="46" t="s">
        <v>39</v>
      </c>
      <c r="Y12" s="46" t="s">
        <v>39</v>
      </c>
      <c r="Z12" s="46" t="s">
        <v>39</v>
      </c>
      <c r="AA12" s="19" t="s">
        <v>14</v>
      </c>
      <c r="AB12" s="19" t="s">
        <v>39</v>
      </c>
      <c r="AC12" s="47" t="s">
        <v>14</v>
      </c>
      <c r="AD12" s="46" t="s">
        <v>14</v>
      </c>
    </row>
    <row r="13" spans="1:30" ht="15" x14ac:dyDescent="0.2">
      <c r="A13" s="16">
        <v>41640</v>
      </c>
      <c r="B13" s="10">
        <v>4.5403508981821297</v>
      </c>
      <c r="C13" s="10">
        <v>4.5453053729014501</v>
      </c>
      <c r="D13" s="10">
        <v>4.5955088080806696</v>
      </c>
      <c r="E13" s="10">
        <v>4.6292860121002901</v>
      </c>
      <c r="F13" s="10">
        <v>4.5057134542830504</v>
      </c>
      <c r="G13" s="10">
        <v>4.5232699624600601</v>
      </c>
      <c r="H13" s="10">
        <v>4.6184822160436596</v>
      </c>
      <c r="I13" s="10">
        <v>4.5142474091236702</v>
      </c>
      <c r="J13" s="10">
        <v>4.4987134542830498</v>
      </c>
      <c r="K13" s="10">
        <f>CHOOSE(CONTROL!$C$42, 4.533, 4.533) * CHOOSE(CONTROL!$C$21, $C$9, 100%, $E$9)</f>
        <v>4.5330000000000004</v>
      </c>
      <c r="L13" s="10">
        <v>5.2054822160436602</v>
      </c>
      <c r="M13" s="10">
        <v>4.4671409331847798</v>
      </c>
      <c r="N13" s="10">
        <v>4.4845202655912004</v>
      </c>
      <c r="O13" s="10">
        <v>4.5857010193679901</v>
      </c>
      <c r="P13" s="10">
        <v>4.48255738022426</v>
      </c>
      <c r="Q13" s="10">
        <v>5.1810010193679901</v>
      </c>
      <c r="R13" s="10">
        <v>5.7809535219164099</v>
      </c>
      <c r="S13" s="10">
        <v>4.407</v>
      </c>
      <c r="T13" s="38">
        <v>29.253942540000001</v>
      </c>
      <c r="U13" s="38">
        <v>12.063650000000001</v>
      </c>
      <c r="V13" s="38">
        <v>4.9444999999999997</v>
      </c>
      <c r="W13" s="38">
        <v>0.71033400000000002</v>
      </c>
      <c r="X13" s="38">
        <v>0</v>
      </c>
      <c r="Y13" s="38"/>
      <c r="Z13" s="38">
        <v>0.4</v>
      </c>
      <c r="AA13" s="10">
        <v>4.4959996929375601</v>
      </c>
      <c r="AB13" s="45">
        <v>1.0435350000000001</v>
      </c>
      <c r="AC13" s="33">
        <v>4.5470654716081098</v>
      </c>
      <c r="AD13" s="27">
        <v>4.5299185954854799</v>
      </c>
    </row>
    <row r="14" spans="1:30" ht="15" x14ac:dyDescent="0.2">
      <c r="A14" s="16">
        <v>41671</v>
      </c>
      <c r="B14" s="10">
        <v>5.7253939823975104</v>
      </c>
      <c r="C14" s="10">
        <v>5.7303484571168299</v>
      </c>
      <c r="D14" s="10">
        <v>5.7908494929551004</v>
      </c>
      <c r="E14" s="10">
        <v>5.8246266969747102</v>
      </c>
      <c r="F14" s="10">
        <v>5.7186228492538103</v>
      </c>
      <c r="G14" s="10">
        <v>5.7359240116945696</v>
      </c>
      <c r="H14" s="10">
        <v>5.8138229009180904</v>
      </c>
      <c r="I14" s="10">
        <v>5.7121624941628601</v>
      </c>
      <c r="J14" s="10">
        <v>5.7116228492538204</v>
      </c>
      <c r="K14" s="10">
        <f>CHOOSE(CONTROL!$C$42, 5.7785, 5.7785) * CHOOSE(CONTROL!$C$21, $C$9, 100%, $E$9)</f>
        <v>5.7785000000000002</v>
      </c>
      <c r="L14" s="10">
        <v>6.4008229009180804</v>
      </c>
      <c r="M14" s="10">
        <v>5.6678099581145602</v>
      </c>
      <c r="N14" s="10">
        <v>5.6849365216683001</v>
      </c>
      <c r="O14" s="10">
        <v>5.7689786331106596</v>
      </c>
      <c r="P14" s="10">
        <v>5.6683834139465397</v>
      </c>
      <c r="Q14" s="10">
        <v>6.3642786331106604</v>
      </c>
      <c r="R14" s="10">
        <v>6.9671893296934302</v>
      </c>
      <c r="S14" s="10">
        <v>5.55779533908155</v>
      </c>
      <c r="T14" s="38">
        <v>26.512149040000001</v>
      </c>
      <c r="U14" s="38">
        <v>10.8962</v>
      </c>
      <c r="V14" s="38">
        <v>4.4660000000000002</v>
      </c>
      <c r="W14" s="38">
        <v>0.64159200000000005</v>
      </c>
      <c r="X14" s="38">
        <v>0</v>
      </c>
      <c r="Y14" s="38"/>
      <c r="Z14" s="38">
        <v>0.4</v>
      </c>
      <c r="AA14" s="10">
        <v>5.6800276756208303</v>
      </c>
      <c r="AB14" s="45">
        <v>1.0435350000000001</v>
      </c>
      <c r="AC14" s="33">
        <v>5.7440587165890404</v>
      </c>
      <c r="AD14" s="27">
        <v>5.7195685555344298</v>
      </c>
    </row>
    <row r="15" spans="1:30" ht="15" x14ac:dyDescent="0.2">
      <c r="A15" s="16">
        <v>41699</v>
      </c>
      <c r="B15" s="10">
        <v>5.0025024161324501</v>
      </c>
      <c r="C15" s="10">
        <v>5.0074568908517696</v>
      </c>
      <c r="D15" s="10">
        <v>5.0988507286671796</v>
      </c>
      <c r="E15" s="10">
        <v>5.1326279326867903</v>
      </c>
      <c r="F15" s="10">
        <v>5.0323589513456204</v>
      </c>
      <c r="G15" s="10">
        <v>5.0518543218713896</v>
      </c>
      <c r="H15" s="10">
        <v>5.1218241366301598</v>
      </c>
      <c r="I15" s="10">
        <v>5.0253125302044603</v>
      </c>
      <c r="J15" s="10">
        <v>5.0253589513456198</v>
      </c>
      <c r="K15" s="10">
        <v>5.0444680614808997</v>
      </c>
      <c r="L15" s="10">
        <v>5.7088241366301604</v>
      </c>
      <c r="M15" s="10">
        <v>4.9884716591760796</v>
      </c>
      <c r="N15" s="10">
        <v>5.0077702874304899</v>
      </c>
      <c r="O15" s="10">
        <v>5.0839633425907804</v>
      </c>
      <c r="P15" s="10">
        <v>4.98846496338588</v>
      </c>
      <c r="Q15" s="10">
        <v>5.6792633425907804</v>
      </c>
      <c r="R15" s="10">
        <v>6.2804615009472498</v>
      </c>
      <c r="S15" s="10">
        <v>4.85579533908155</v>
      </c>
      <c r="T15" s="38">
        <v>29.394616540000001</v>
      </c>
      <c r="U15" s="38">
        <v>12.063650000000001</v>
      </c>
      <c r="V15" s="38">
        <v>4.9444999999999997</v>
      </c>
      <c r="W15" s="38">
        <v>0.71033400000000002</v>
      </c>
      <c r="X15" s="38">
        <v>0</v>
      </c>
      <c r="Y15" s="38"/>
      <c r="Z15" s="38">
        <v>0.4</v>
      </c>
      <c r="AA15" s="10">
        <v>4.9655957411274896</v>
      </c>
      <c r="AB15" s="45">
        <v>1.0435350000000001</v>
      </c>
      <c r="AC15" s="33">
        <v>5.0429066154505398</v>
      </c>
      <c r="AD15" s="27">
        <v>5.0372470232526201</v>
      </c>
    </row>
    <row r="16" spans="1:30" ht="15" x14ac:dyDescent="0.2">
      <c r="A16" s="16">
        <v>41730</v>
      </c>
      <c r="B16" s="10">
        <f>CHOOSE(CONTROL!$C$42, 4.6295, 4.6295) * CHOOSE(CONTROL!$C$21, $C$9, 100%, $E$9)</f>
        <v>4.6295000000000002</v>
      </c>
      <c r="C16" s="10">
        <f>CHOOSE(CONTROL!$C$42, 4.6339, 4.6339) * CHOOSE(CONTROL!$C$21, $C$9, 100%, $E$9)</f>
        <v>4.6338999999999997</v>
      </c>
      <c r="D16" s="10">
        <f>CHOOSE(CONTROL!$C$42, 4.7831, 4.7831) * CHOOSE(CONTROL!$C$21, $C$9, 100%, $E$9)</f>
        <v>4.7831000000000001</v>
      </c>
      <c r="E16" s="10">
        <f>CHOOSE(CONTROL!$C$42, 4.8149, 4.8149) * CHOOSE(CONTROL!$C$21, $C$9, 100%, $E$9)</f>
        <v>4.8148999999999997</v>
      </c>
      <c r="F16" s="10">
        <f>CHOOSE(CONTROL!$C$42, 4.6479, 4.6479)*CHOOSE(CONTROL!$C$21, $C$9, 100%, $E$9)</f>
        <v>4.6478999999999999</v>
      </c>
      <c r="G16" s="10">
        <f>CHOOSE(CONTROL!$C$42, 4.6659, 4.6659)*CHOOSE(CONTROL!$C$21, $C$9, 100%, $E$9)</f>
        <v>4.6658999999999997</v>
      </c>
      <c r="H16" s="10">
        <f>CHOOSE(CONTROL!$C$42, 4.8047, 4.8047) * CHOOSE(CONTROL!$C$21, $C$9, 100%, $E$9)</f>
        <v>4.8047000000000004</v>
      </c>
      <c r="I16" s="10">
        <f>CHOOSE(CONTROL!$C$42, 4.6464, 4.6464)* CHOOSE(CONTROL!$C$21, $C$9, 100%, $E$9)</f>
        <v>4.6463999999999999</v>
      </c>
      <c r="J16" s="10">
        <f>CHOOSE(CONTROL!$C$42, 4.6409, 4.6409)* CHOOSE(CONTROL!$C$21, $C$9, 100%, $E$9)</f>
        <v>4.6409000000000002</v>
      </c>
      <c r="K16" s="10">
        <f>CHOOSE(CONTROL!$C$42, 4.6642, 4.6642) * CHOOSE(CONTROL!$C$21, $C$9, 100%, $E$9)</f>
        <v>4.6642000000000001</v>
      </c>
      <c r="L16" s="10">
        <f>CHOOSE(CONTROL!$C$42, 5.3917, 5.3917) * CHOOSE(CONTROL!$C$21, $C$9, 100%, $E$9)</f>
        <v>5.3917000000000002</v>
      </c>
      <c r="M16" s="10">
        <f>CHOOSE(CONTROL!$C$42, 4.6079, 4.6079) * CHOOSE(CONTROL!$C$21, $C$9, 100%, $E$9)</f>
        <v>4.6078999999999999</v>
      </c>
      <c r="N16" s="10">
        <f>CHOOSE(CONTROL!$C$42, 4.6257, 4.6257) * CHOOSE(CONTROL!$C$21, $C$9, 100%, $E$9)</f>
        <v>4.6257000000000001</v>
      </c>
      <c r="O16" s="10">
        <f>CHOOSE(CONTROL!$C$42, 4.77, 4.77) * CHOOSE(CONTROL!$C$21, $C$9, 100%, $E$9)</f>
        <v>4.7699999999999996</v>
      </c>
      <c r="P16" s="10">
        <f>CHOOSE(CONTROL!$C$42, 4.6133, 4.6133) * CHOOSE(CONTROL!$C$21, $C$9, 100%, $E$9)</f>
        <v>4.6132999999999997</v>
      </c>
      <c r="Q16" s="10">
        <f>CHOOSE(CONTROL!$C$42, 5.3653, 5.3653) * CHOOSE(CONTROL!$C$21, $C$9, 100%, $E$9)</f>
        <v>5.3653000000000004</v>
      </c>
      <c r="R16" s="10">
        <f>CHOOSE(CONTROL!$C$42, 5.9657, 5.9657) * CHOOSE(CONTROL!$C$21, $C$9, 100%, $E$9)</f>
        <v>5.9657</v>
      </c>
      <c r="S16" s="10">
        <f>CHOOSE(CONTROL!$C$42, 4.4928, 4.4928) * CHOOSE(CONTROL!$C$21, $C$9, 100%, $E$9)</f>
        <v>4.4927999999999999</v>
      </c>
      <c r="T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" s="38">
        <f>(1000*CHOOSE(CONTROL!$C$42, 695, 695)*CHOOSE(CONTROL!$C$42, 0.5599, 0.5599)*CHOOSE(CONTROL!$C$42, 30, 30))/1000000</f>
        <v>11.673914999999997</v>
      </c>
      <c r="V16" s="38">
        <f>(1000*CHOOSE(CONTROL!$C$42, 580, 580)*CHOOSE(CONTROL!$C$42, 0.275, 0.275)*CHOOSE(CONTROL!$C$42, 30, 30))/1000000</f>
        <v>4.7850000000000001</v>
      </c>
      <c r="W16" s="38">
        <f>(1000*CHOOSE(CONTROL!$C$42, 0.1146, 0.1146)*CHOOSE(CONTROL!$C$42, 200, 200)*CHOOSE(CONTROL!$C$42, 30, 30))/1000000</f>
        <v>0.68759999999999999</v>
      </c>
      <c r="X16" s="38">
        <f>30*0.1790888*145000/1000000</f>
        <v>0.77903627999999991</v>
      </c>
      <c r="Y16" s="38"/>
      <c r="Z16" s="38">
        <f t="shared" ref="Z16:Z52" si="0">(0.12*2500000)/1000000</f>
        <v>0.3</v>
      </c>
      <c r="AA16" s="10">
        <f>CHOOSE(CONTROL!$C$42, 4.5951, 4.5951) * CHOOSE(CONTROL!$C$21, $C$9, 100%, $E$9)</f>
        <v>4.5951000000000004</v>
      </c>
      <c r="AB16" s="45">
        <f>(30*((7.89*31500+7.95*100000)/30))/1000000</f>
        <v>1.0435350000000001</v>
      </c>
      <c r="AC16" s="33">
        <f>(B16*141.293+C16*267.993+D16*115.016+E16*249.698+F16*40+G16*25+H16*0+I16*100+J16*300)/(141.293+267.993+115.016+249.698+0+40+25+100+300)</f>
        <v>4.6875271476997575</v>
      </c>
      <c r="AD16" s="27">
        <f t="shared" ref="AD16:AD22" si="1">(M16*240+N16*120+O16*235+P16*100)/(240+120+235+100)</f>
        <v>4.6665611510791365</v>
      </c>
    </row>
    <row r="17" spans="1:30" ht="15" x14ac:dyDescent="0.2">
      <c r="A17" s="16">
        <v>41760</v>
      </c>
      <c r="B17" s="10">
        <f>CHOOSE(CONTROL!$C$42, 4.5932, 4.5932) * CHOOSE(CONTROL!$C$21, $C$9, 100%, $E$9)</f>
        <v>4.5932000000000004</v>
      </c>
      <c r="C17" s="10">
        <f>CHOOSE(CONTROL!$C$42, 4.6011, 4.6011) * CHOOSE(CONTROL!$C$21, $C$9, 100%, $E$9)</f>
        <v>4.6010999999999997</v>
      </c>
      <c r="D17" s="10">
        <f>CHOOSE(CONTROL!$C$42, 4.7729, 4.7729) * CHOOSE(CONTROL!$C$21, $C$9, 100%, $E$9)</f>
        <v>4.7728999999999999</v>
      </c>
      <c r="E17" s="10">
        <f>CHOOSE(CONTROL!$C$42, 4.8041, 4.8041) * CHOOSE(CONTROL!$C$21, $C$9, 100%, $E$9)</f>
        <v>4.8041</v>
      </c>
      <c r="F17" s="10">
        <f>CHOOSE(CONTROL!$C$42, 4.5884, 4.5884)*CHOOSE(CONTROL!$C$21, $C$9, 100%, $E$9)</f>
        <v>4.5884</v>
      </c>
      <c r="G17" s="10">
        <f>CHOOSE(CONTROL!$C$42, 4.6066, 4.6066)*CHOOSE(CONTROL!$C$21, $C$9, 100%, $E$9)</f>
        <v>4.6066000000000003</v>
      </c>
      <c r="H17" s="10">
        <f>CHOOSE(CONTROL!$C$42, 4.7927, 4.7927) * CHOOSE(CONTROL!$C$21, $C$9, 100%, $E$9)</f>
        <v>4.7927</v>
      </c>
      <c r="I17" s="10">
        <f>CHOOSE(CONTROL!$C$42, 4.6009, 4.6009)* CHOOSE(CONTROL!$C$21, $C$9, 100%, $E$9)</f>
        <v>4.6009000000000002</v>
      </c>
      <c r="J17" s="10">
        <f>CHOOSE(CONTROL!$C$42, 4.5814, 4.5814)* CHOOSE(CONTROL!$C$21, $C$9, 100%, $E$9)</f>
        <v>4.5814000000000004</v>
      </c>
      <c r="K17" s="10">
        <f>CHOOSE(CONTROL!$C$42, 4.6188, 4.6188) * CHOOSE(CONTROL!$C$21, $C$9, 100%, $E$9)</f>
        <v>4.6188000000000002</v>
      </c>
      <c r="L17" s="10">
        <f>CHOOSE(CONTROL!$C$42, 5.3797, 5.3797) * CHOOSE(CONTROL!$C$21, $C$9, 100%, $E$9)</f>
        <v>5.3796999999999997</v>
      </c>
      <c r="M17" s="10">
        <f>CHOOSE(CONTROL!$C$42, 4.549, 4.549) * CHOOSE(CONTROL!$C$21, $C$9, 100%, $E$9)</f>
        <v>4.5490000000000004</v>
      </c>
      <c r="N17" s="10">
        <f>CHOOSE(CONTROL!$C$42, 4.567, 4.567) * CHOOSE(CONTROL!$C$21, $C$9, 100%, $E$9)</f>
        <v>4.5670000000000002</v>
      </c>
      <c r="O17" s="10">
        <f>CHOOSE(CONTROL!$C$42, 4.7582, 4.7582) * CHOOSE(CONTROL!$C$21, $C$9, 100%, $E$9)</f>
        <v>4.7582000000000004</v>
      </c>
      <c r="P17" s="10">
        <f>CHOOSE(CONTROL!$C$42, 4.5684, 4.5684) * CHOOSE(CONTROL!$C$21, $C$9, 100%, $E$9)</f>
        <v>4.5683999999999996</v>
      </c>
      <c r="Q17" s="10">
        <f>CHOOSE(CONTROL!$C$42, 5.3535, 5.3535) * CHOOSE(CONTROL!$C$21, $C$9, 100%, $E$9)</f>
        <v>5.3535000000000004</v>
      </c>
      <c r="R17" s="10">
        <f>CHOOSE(CONTROL!$C$42, 5.9538, 5.9538) * CHOOSE(CONTROL!$C$21, $C$9, 100%, $E$9)</f>
        <v>5.9538000000000002</v>
      </c>
      <c r="S17" s="10">
        <f>CHOOSE(CONTROL!$C$42, 4.4562, 4.4562) * CHOOSE(CONTROL!$C$21, $C$9, 100%, $E$9)</f>
        <v>4.4561999999999999</v>
      </c>
      <c r="T17" s="41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17" s="38">
        <f>(1000*CHOOSE(CONTROL!$C$42, 695, 695)*CHOOSE(CONTROL!$C$42, 0.5599, 0.5599)*CHOOSE(CONTROL!$C$42, 31, 31))/1000000</f>
        <v>12.063045499999998</v>
      </c>
      <c r="V17" s="38">
        <f>(1000*CHOOSE(CONTROL!$C$42, 580, 580)*CHOOSE(CONTROL!$C$42, 0.275, 0.275)*CHOOSE(CONTROL!$C$42, 31, 31))/1000000</f>
        <v>4.9444999999999997</v>
      </c>
      <c r="W17" s="38">
        <f>(1000*CHOOSE(CONTROL!$C$42, 0.1146, 0.1146)*CHOOSE(CONTROL!$C$42, 200, 200)*CHOOSE(CONTROL!$C$42, 31, 31))/1000000</f>
        <v>0.71052000000000004</v>
      </c>
      <c r="X17" s="38">
        <f>31*0.1790888*145000/1000000</f>
        <v>0.80500415599999997</v>
      </c>
      <c r="Y17" s="38"/>
      <c r="Z17" s="38">
        <f t="shared" si="0"/>
        <v>0.3</v>
      </c>
      <c r="AA17" s="10">
        <f>CHOOSE(CONTROL!$C$42, 4.5534, 4.5534) * CHOOSE(CONTROL!$C$21, $C$9, 100%, $E$9)</f>
        <v>4.5533999999999999</v>
      </c>
      <c r="AB17" s="45">
        <f>(31*((7.89*31500+7.95*100000)/31))/1000000</f>
        <v>1.0435350000000001</v>
      </c>
      <c r="AC17" s="33">
        <f>(B17*194.205+C17*267.466+D17*133.845+E17*213.484+F17*40+G17*25+H17*50+I17*100+J17*300)/(194.205+267.466+133.845+213.484+50+40+25+100+300)</f>
        <v>4.6525177518882179</v>
      </c>
      <c r="AD17" s="27">
        <f t="shared" si="1"/>
        <v>4.6256359712230219</v>
      </c>
    </row>
    <row r="18" spans="1:30" ht="15" x14ac:dyDescent="0.2">
      <c r="A18" s="16">
        <v>41791</v>
      </c>
      <c r="B18" s="10">
        <f>CHOOSE(CONTROL!$C$42, 4.6169, 4.6169) * CHOOSE(CONTROL!$C$21, $C$9, 100%, $E$9)</f>
        <v>4.6169000000000002</v>
      </c>
      <c r="C18" s="10">
        <f>CHOOSE(CONTROL!$C$42, 4.6248, 4.6248) * CHOOSE(CONTROL!$C$21, $C$9, 100%, $E$9)</f>
        <v>4.6247999999999996</v>
      </c>
      <c r="D18" s="10">
        <f>CHOOSE(CONTROL!$C$42, 4.8234, 4.8234) * CHOOSE(CONTROL!$C$21, $C$9, 100%, $E$9)</f>
        <v>4.8234000000000004</v>
      </c>
      <c r="E18" s="10">
        <f>CHOOSE(CONTROL!$C$42, 4.8545, 4.8545) * CHOOSE(CONTROL!$C$21, $C$9, 100%, $E$9)</f>
        <v>4.8544999999999998</v>
      </c>
      <c r="F18" s="10">
        <f>CHOOSE(CONTROL!$C$42, 4.6124, 4.6124)*CHOOSE(CONTROL!$C$21, $C$9, 100%, $E$9)</f>
        <v>4.6124000000000001</v>
      </c>
      <c r="G18" s="10">
        <f>CHOOSE(CONTROL!$C$42, 4.6307, 4.6307)*CHOOSE(CONTROL!$C$21, $C$9, 100%, $E$9)</f>
        <v>4.6307</v>
      </c>
      <c r="H18" s="10">
        <f>CHOOSE(CONTROL!$C$42, 4.8432, 4.8432) * CHOOSE(CONTROL!$C$21, $C$9, 100%, $E$9)</f>
        <v>4.8432000000000004</v>
      </c>
      <c r="I18" s="10">
        <f>CHOOSE(CONTROL!$C$42, 4.6087, 4.6087)* CHOOSE(CONTROL!$C$21, $C$9, 100%, $E$9)</f>
        <v>4.6086999999999998</v>
      </c>
      <c r="J18" s="10">
        <f>CHOOSE(CONTROL!$C$42, 4.6054, 4.6054)* CHOOSE(CONTROL!$C$21, $C$9, 100%, $E$9)</f>
        <v>4.6054000000000004</v>
      </c>
      <c r="K18" s="10">
        <f>CHOOSE(CONTROL!$C$42, 4.6265, 4.6265) * CHOOSE(CONTROL!$C$21, $C$9, 100%, $E$9)</f>
        <v>4.6265000000000001</v>
      </c>
      <c r="L18" s="10">
        <f>CHOOSE(CONTROL!$C$42, 5.4302, 5.4302) * CHOOSE(CONTROL!$C$21, $C$9, 100%, $E$9)</f>
        <v>5.4302000000000001</v>
      </c>
      <c r="M18" s="10">
        <f>CHOOSE(CONTROL!$C$42, 4.5727, 4.5727) * CHOOSE(CONTROL!$C$21, $C$9, 100%, $E$9)</f>
        <v>4.5727000000000002</v>
      </c>
      <c r="N18" s="10">
        <f>CHOOSE(CONTROL!$C$42, 4.5908, 4.5908) * CHOOSE(CONTROL!$C$21, $C$9, 100%, $E$9)</f>
        <v>4.5907999999999998</v>
      </c>
      <c r="O18" s="10">
        <f>CHOOSE(CONTROL!$C$42, 4.8081, 4.8081) * CHOOSE(CONTROL!$C$21, $C$9, 100%, $E$9)</f>
        <v>4.8080999999999996</v>
      </c>
      <c r="P18" s="10">
        <f>CHOOSE(CONTROL!$C$42, 4.576, 4.576) * CHOOSE(CONTROL!$C$21, $C$9, 100%, $E$9)</f>
        <v>4.5759999999999996</v>
      </c>
      <c r="Q18" s="10">
        <f>CHOOSE(CONTROL!$C$42, 5.4034, 5.4034) * CHOOSE(CONTROL!$C$21, $C$9, 100%, $E$9)</f>
        <v>5.4034000000000004</v>
      </c>
      <c r="R18" s="10">
        <f>CHOOSE(CONTROL!$C$42, 6.0039, 6.0039) * CHOOSE(CONTROL!$C$21, $C$9, 100%, $E$9)</f>
        <v>6.0038999999999998</v>
      </c>
      <c r="S18" s="10">
        <f>CHOOSE(CONTROL!$C$42, 4.4792, 4.4792) * CHOOSE(CONTROL!$C$21, $C$9, 100%, $E$9)</f>
        <v>4.4791999999999996</v>
      </c>
      <c r="T18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18" s="38">
        <f>(1000*CHOOSE(CONTROL!$C$42, 695, 695)*CHOOSE(CONTROL!$C$42, 0.5599, 0.5599)*CHOOSE(CONTROL!$C$42, 30, 30))/1000000</f>
        <v>11.673914999999997</v>
      </c>
      <c r="V18" s="38">
        <f>(1000*CHOOSE(CONTROL!$C$42, 580, 580)*CHOOSE(CONTROL!$C$42, 0.275, 0.275)*CHOOSE(CONTROL!$C$42, 30, 30))/1000000</f>
        <v>4.7850000000000001</v>
      </c>
      <c r="W18" s="38">
        <f>(1000*CHOOSE(CONTROL!$C$42, 0.1146, 0.1146)*CHOOSE(CONTROL!$C$42, 200, 200)*CHOOSE(CONTROL!$C$42, 30, 30))/1000000</f>
        <v>0.68759999999999999</v>
      </c>
      <c r="X18" s="38">
        <f>30*0.1790888*145000/1000000</f>
        <v>0.77903627999999991</v>
      </c>
      <c r="Y18" s="38"/>
      <c r="Z18" s="38">
        <f t="shared" si="0"/>
        <v>0.3</v>
      </c>
      <c r="AA18" s="10">
        <f>CHOOSE(CONTROL!$C$42, 4.577, 4.577) * CHOOSE(CONTROL!$C$21, $C$9, 100%, $E$9)</f>
        <v>4.577</v>
      </c>
      <c r="AB18" s="44">
        <f>(30*((7.95*31500+8.07*100000)/30))/1000000</f>
        <v>1.0574250000000001</v>
      </c>
      <c r="AC18" s="33">
        <f>(B18*194.205+C18*267.466+D18*133.845+E18*213.484+F18*40+G18*25+H18*50+I18*100+J18*300)/(194.205+267.466+133.845+213.484+50+40+25+100+300)</f>
        <v>4.6831279246978852</v>
      </c>
      <c r="AD18" s="27">
        <f t="shared" si="1"/>
        <v>4.6558956834532372</v>
      </c>
    </row>
    <row r="19" spans="1:30" ht="15" x14ac:dyDescent="0.2">
      <c r="A19" s="16">
        <v>41821</v>
      </c>
      <c r="B19" s="10">
        <f>CHOOSE(CONTROL!$C$42, 4.6529, 4.6529) * CHOOSE(CONTROL!$C$21, $C$9, 100%, $E$9)</f>
        <v>4.6528999999999998</v>
      </c>
      <c r="C19" s="10">
        <f>CHOOSE(CONTROL!$C$42, 4.6608, 4.6608) * CHOOSE(CONTROL!$C$21, $C$9, 100%, $E$9)</f>
        <v>4.6608000000000001</v>
      </c>
      <c r="D19" s="10">
        <f>CHOOSE(CONTROL!$C$42, 4.8594, 4.8594) * CHOOSE(CONTROL!$C$21, $C$9, 100%, $E$9)</f>
        <v>4.8593999999999999</v>
      </c>
      <c r="E19" s="10">
        <f>CHOOSE(CONTROL!$C$42, 4.8906, 4.8906) * CHOOSE(CONTROL!$C$21, $C$9, 100%, $E$9)</f>
        <v>4.8906000000000001</v>
      </c>
      <c r="F19" s="10">
        <f>CHOOSE(CONTROL!$C$42, 4.6489, 4.6489)*CHOOSE(CONTROL!$C$21, $C$9, 100%, $E$9)</f>
        <v>4.6489000000000003</v>
      </c>
      <c r="G19" s="10">
        <f>CHOOSE(CONTROL!$C$42, 4.6673, 4.6673)*CHOOSE(CONTROL!$C$21, $C$9, 100%, $E$9)</f>
        <v>4.6673</v>
      </c>
      <c r="H19" s="10">
        <f>CHOOSE(CONTROL!$C$42, 4.8792, 4.8792) * CHOOSE(CONTROL!$C$21, $C$9, 100%, $E$9)</f>
        <v>4.8792</v>
      </c>
      <c r="I19" s="10">
        <f>CHOOSE(CONTROL!$C$42, 4.6447, 4.6447)* CHOOSE(CONTROL!$C$21, $C$9, 100%, $E$9)</f>
        <v>4.6447000000000003</v>
      </c>
      <c r="J19" s="10">
        <f>CHOOSE(CONTROL!$C$42, 4.6419, 4.6419)* CHOOSE(CONTROL!$C$21, $C$9, 100%, $E$9)</f>
        <v>4.6418999999999997</v>
      </c>
      <c r="K19" s="10">
        <f>CHOOSE(CONTROL!$C$42, 4.6625, 4.6625) * CHOOSE(CONTROL!$C$21, $C$9, 100%, $E$9)</f>
        <v>4.6624999999999996</v>
      </c>
      <c r="L19" s="10">
        <f>CHOOSE(CONTROL!$C$42, 5.4662, 5.4662) * CHOOSE(CONTROL!$C$21, $C$9, 100%, $E$9)</f>
        <v>5.4661999999999997</v>
      </c>
      <c r="M19" s="10">
        <f>CHOOSE(CONTROL!$C$42, 4.6088, 4.6088) * CHOOSE(CONTROL!$C$21, $C$9, 100%, $E$9)</f>
        <v>4.6087999999999996</v>
      </c>
      <c r="N19" s="10">
        <f>CHOOSE(CONTROL!$C$42, 4.6271, 4.6271) * CHOOSE(CONTROL!$C$21, $C$9, 100%, $E$9)</f>
        <v>4.6271000000000004</v>
      </c>
      <c r="O19" s="10">
        <f>CHOOSE(CONTROL!$C$42, 4.8438, 4.8438) * CHOOSE(CONTROL!$C$21, $C$9, 100%, $E$9)</f>
        <v>4.8437999999999999</v>
      </c>
      <c r="P19" s="10">
        <f>CHOOSE(CONTROL!$C$42, 4.6117, 4.6117) * CHOOSE(CONTROL!$C$21, $C$9, 100%, $E$9)</f>
        <v>4.6116999999999999</v>
      </c>
      <c r="Q19" s="10">
        <f>CHOOSE(CONTROL!$C$42, 5.4391, 5.4391) * CHOOSE(CONTROL!$C$21, $C$9, 100%, $E$9)</f>
        <v>5.4390999999999998</v>
      </c>
      <c r="R19" s="10">
        <f>CHOOSE(CONTROL!$C$42, 6.0397, 6.0397) * CHOOSE(CONTROL!$C$21, $C$9, 100%, $E$9)</f>
        <v>6.0396999999999998</v>
      </c>
      <c r="S19" s="10">
        <f>CHOOSE(CONTROL!$C$42, 4.5142, 4.5142) * CHOOSE(CONTROL!$C$21, $C$9, 100%, $E$9)</f>
        <v>4.5141999999999998</v>
      </c>
      <c r="T19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19" s="38">
        <f>(1000*CHOOSE(CONTROL!$C$42, 695, 695)*CHOOSE(CONTROL!$C$42, 0.5599, 0.5599)*CHOOSE(CONTROL!$C$42, 31, 31))/1000000</f>
        <v>12.063045499999998</v>
      </c>
      <c r="V19" s="38">
        <f>(1000*CHOOSE(CONTROL!$C$42, 580, 580)*CHOOSE(CONTROL!$C$42, 0.275, 0.275)*CHOOSE(CONTROL!$C$42, 31, 31))/1000000</f>
        <v>4.9444999999999997</v>
      </c>
      <c r="W19" s="38">
        <f>(1000*CHOOSE(CONTROL!$C$42, 0.1146, 0.1146)*CHOOSE(CONTROL!$C$42, 200, 200)*CHOOSE(CONTROL!$C$42, 31, 31))/1000000</f>
        <v>0.71052000000000004</v>
      </c>
      <c r="X19" s="38">
        <f>31*0.1790888*145000/1000000</f>
        <v>0.80500415599999997</v>
      </c>
      <c r="Y19" s="38"/>
      <c r="Z19" s="38">
        <f t="shared" si="0"/>
        <v>0.3</v>
      </c>
      <c r="AA19" s="10">
        <f>CHOOSE(CONTROL!$C$42, 4.6128, 4.6128) * CHOOSE(CONTROL!$C$21, $C$9, 100%, $E$9)</f>
        <v>4.6128</v>
      </c>
      <c r="AB19" s="43">
        <f>(31*((8.01*31500+8.07*100000)/31))/1000000</f>
        <v>1.059315</v>
      </c>
      <c r="AC19" s="33">
        <f>(B19*194.205+C19*267.466+D19*133.845+E19*213.484+F19*40+G19*25+H19*50+I19*100+J19*300)/(194.205+267.466+133.845+213.484+50+40+25+100+300)</f>
        <v>4.7192837769637466</v>
      </c>
      <c r="AD19" s="27">
        <f t="shared" si="1"/>
        <v>4.6918374100719431</v>
      </c>
    </row>
    <row r="20" spans="1:30" ht="15" x14ac:dyDescent="0.2">
      <c r="A20" s="16">
        <v>41852</v>
      </c>
      <c r="B20" s="10">
        <f>CHOOSE(CONTROL!$C$42, 4.6405, 4.6405) * CHOOSE(CONTROL!$C$21, $C$9, 100%, $E$9)</f>
        <v>4.6405000000000003</v>
      </c>
      <c r="C20" s="10">
        <f>CHOOSE(CONTROL!$C$42, 4.6485, 4.6485) * CHOOSE(CONTROL!$C$21, $C$9, 100%, $E$9)</f>
        <v>4.6485000000000003</v>
      </c>
      <c r="D20" s="10">
        <f>CHOOSE(CONTROL!$C$42, 4.8471, 4.8471) * CHOOSE(CONTROL!$C$21, $C$9, 100%, $E$9)</f>
        <v>4.8471000000000002</v>
      </c>
      <c r="E20" s="10">
        <f>CHOOSE(CONTROL!$C$42, 4.8782, 4.8782) * CHOOSE(CONTROL!$C$21, $C$9, 100%, $E$9)</f>
        <v>4.8781999999999996</v>
      </c>
      <c r="F20" s="10">
        <f>CHOOSE(CONTROL!$C$42, 4.6363, 4.6363)*CHOOSE(CONTROL!$C$21, $C$9, 100%, $E$9)</f>
        <v>4.6363000000000003</v>
      </c>
      <c r="G20" s="10">
        <f>CHOOSE(CONTROL!$C$42, 4.6547, 4.6547)*CHOOSE(CONTROL!$C$21, $C$9, 100%, $E$9)</f>
        <v>4.6547000000000001</v>
      </c>
      <c r="H20" s="10">
        <f>CHOOSE(CONTROL!$C$42, 4.8668, 4.8668) * CHOOSE(CONTROL!$C$21, $C$9, 100%, $E$9)</f>
        <v>4.8667999999999996</v>
      </c>
      <c r="I20" s="10">
        <f>CHOOSE(CONTROL!$C$42, 4.6323, 4.6323)* CHOOSE(CONTROL!$C$21, $C$9, 100%, $E$9)</f>
        <v>4.6322999999999999</v>
      </c>
      <c r="J20" s="10">
        <f>CHOOSE(CONTROL!$C$42, 4.6293, 4.6293)* CHOOSE(CONTROL!$C$21, $C$9, 100%, $E$9)</f>
        <v>4.6292999999999997</v>
      </c>
      <c r="K20" s="10">
        <f>CHOOSE(CONTROL!$C$42, 4.6502, 4.6502) * CHOOSE(CONTROL!$C$21, $C$9, 100%, $E$9)</f>
        <v>4.6501999999999999</v>
      </c>
      <c r="L20" s="10">
        <f>CHOOSE(CONTROL!$C$42, 5.4538, 5.4538) * CHOOSE(CONTROL!$C$21, $C$9, 100%, $E$9)</f>
        <v>5.4538000000000002</v>
      </c>
      <c r="M20" s="10">
        <f>CHOOSE(CONTROL!$C$42, 4.5965, 4.5965) * CHOOSE(CONTROL!$C$21, $C$9, 100%, $E$9)</f>
        <v>4.5964999999999998</v>
      </c>
      <c r="N20" s="10">
        <f>CHOOSE(CONTROL!$C$42, 4.6146, 4.6146) * CHOOSE(CONTROL!$C$21, $C$9, 100%, $E$9)</f>
        <v>4.6146000000000003</v>
      </c>
      <c r="O20" s="10">
        <f>CHOOSE(CONTROL!$C$42, 4.8315, 4.8315) * CHOOSE(CONTROL!$C$21, $C$9, 100%, $E$9)</f>
        <v>4.8315000000000001</v>
      </c>
      <c r="P20" s="10">
        <f>CHOOSE(CONTROL!$C$42, 4.5995, 4.5995) * CHOOSE(CONTROL!$C$21, $C$9, 100%, $E$9)</f>
        <v>4.5994999999999999</v>
      </c>
      <c r="Q20" s="10">
        <f>CHOOSE(CONTROL!$C$42, 5.4268, 5.4268) * CHOOSE(CONTROL!$C$21, $C$9, 100%, $E$9)</f>
        <v>5.4268000000000001</v>
      </c>
      <c r="R20" s="10">
        <f>CHOOSE(CONTROL!$C$42, 6.0274, 6.0274) * CHOOSE(CONTROL!$C$21, $C$9, 100%, $E$9)</f>
        <v>6.0274000000000001</v>
      </c>
      <c r="S20" s="10">
        <f>CHOOSE(CONTROL!$C$42, 4.5022, 4.5022) * CHOOSE(CONTROL!$C$21, $C$9, 100%, $E$9)</f>
        <v>4.5022000000000002</v>
      </c>
      <c r="T20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20" s="38">
        <f>(1000*CHOOSE(CONTROL!$C$42, 695, 695)*CHOOSE(CONTROL!$C$42, 0.5599, 0.5599)*CHOOSE(CONTROL!$C$42, 31, 31))/1000000</f>
        <v>12.063045499999998</v>
      </c>
      <c r="V20" s="38">
        <f>(1000*CHOOSE(CONTROL!$C$42, 580, 580)*CHOOSE(CONTROL!$C$42, 0.275, 0.275)*CHOOSE(CONTROL!$C$42, 31, 31))/1000000</f>
        <v>4.9444999999999997</v>
      </c>
      <c r="W20" s="38">
        <f>(1000*CHOOSE(CONTROL!$C$42, 0.1146, 0.1146)*CHOOSE(CONTROL!$C$42, 200, 200)*CHOOSE(CONTROL!$C$42, 31, 31))/1000000</f>
        <v>0.71052000000000004</v>
      </c>
      <c r="X20" s="38">
        <f>31*0.1790888*145000/1000000</f>
        <v>0.80500415599999997</v>
      </c>
      <c r="Y20" s="38"/>
      <c r="Z20" s="38">
        <f t="shared" si="0"/>
        <v>0.3</v>
      </c>
      <c r="AA20" s="10">
        <f>CHOOSE(CONTROL!$C$42, 4.6005, 4.6005) * CHOOSE(CONTROL!$C$21, $C$9, 100%, $E$9)</f>
        <v>4.6005000000000003</v>
      </c>
      <c r="AB20" s="43">
        <f>(31*((8.01*31500+8.07*100000)/31))/1000000</f>
        <v>1.059315</v>
      </c>
      <c r="AC20" s="33">
        <f>(B20*194.205+C20*267.466+D20*133.845+E20*213.484+F20*40+G20*25+H20*50+I20*100+J20*300)/(194.205+267.466+133.845+213.484+50+40+25+100+300)</f>
        <v>4.7068589515105748</v>
      </c>
      <c r="AD20" s="27">
        <f t="shared" si="1"/>
        <v>4.679517266187049</v>
      </c>
    </row>
    <row r="21" spans="1:30" ht="15" x14ac:dyDescent="0.2">
      <c r="A21" s="16">
        <v>41883</v>
      </c>
      <c r="B21" s="10">
        <f>CHOOSE(CONTROL!$C$42, 4.6055, 4.6055) * CHOOSE(CONTROL!$C$21, $C$9, 100%, $E$9)</f>
        <v>4.6055000000000001</v>
      </c>
      <c r="C21" s="10">
        <f>CHOOSE(CONTROL!$C$42, 4.6134, 4.6134) * CHOOSE(CONTROL!$C$21, $C$9, 100%, $E$9)</f>
        <v>4.6134000000000004</v>
      </c>
      <c r="D21" s="10">
        <f>CHOOSE(CONTROL!$C$42, 4.8121, 4.8121) * CHOOSE(CONTROL!$C$21, $C$9, 100%, $E$9)</f>
        <v>4.8121</v>
      </c>
      <c r="E21" s="10">
        <f>CHOOSE(CONTROL!$C$42, 4.8432, 4.8432) * CHOOSE(CONTROL!$C$21, $C$9, 100%, $E$9)</f>
        <v>4.8432000000000004</v>
      </c>
      <c r="F21" s="10">
        <f>CHOOSE(CONTROL!$C$42, 4.6009, 4.6009)*CHOOSE(CONTROL!$C$21, $C$9, 100%, $E$9)</f>
        <v>4.6009000000000002</v>
      </c>
      <c r="G21" s="10">
        <f>CHOOSE(CONTROL!$C$42, 4.6191, 4.6191)*CHOOSE(CONTROL!$C$21, $C$9, 100%, $E$9)</f>
        <v>4.6191000000000004</v>
      </c>
      <c r="H21" s="10">
        <f>CHOOSE(CONTROL!$C$42, 4.8318, 4.8318) * CHOOSE(CONTROL!$C$21, $C$9, 100%, $E$9)</f>
        <v>4.8318000000000003</v>
      </c>
      <c r="I21" s="10">
        <f>CHOOSE(CONTROL!$C$42, 4.5973, 4.5973)* CHOOSE(CONTROL!$C$21, $C$9, 100%, $E$9)</f>
        <v>4.5972999999999997</v>
      </c>
      <c r="J21" s="10">
        <f>CHOOSE(CONTROL!$C$42, 4.5939, 4.5939)* CHOOSE(CONTROL!$C$21, $C$9, 100%, $E$9)</f>
        <v>4.5938999999999997</v>
      </c>
      <c r="K21" s="10">
        <f>CHOOSE(CONTROL!$C$42, 4.6152, 4.6152) * CHOOSE(CONTROL!$C$21, $C$9, 100%, $E$9)</f>
        <v>4.6151999999999997</v>
      </c>
      <c r="L21" s="10">
        <f>CHOOSE(CONTROL!$C$42, 5.4188, 5.4188) * CHOOSE(CONTROL!$C$21, $C$9, 100%, $E$9)</f>
        <v>5.4188000000000001</v>
      </c>
      <c r="M21" s="10">
        <f>CHOOSE(CONTROL!$C$42, 4.5613, 4.5613) * CHOOSE(CONTROL!$C$21, $C$9, 100%, $E$9)</f>
        <v>4.5613000000000001</v>
      </c>
      <c r="N21" s="10">
        <f>CHOOSE(CONTROL!$C$42, 4.5794, 4.5794) * CHOOSE(CONTROL!$C$21, $C$9, 100%, $E$9)</f>
        <v>4.5793999999999997</v>
      </c>
      <c r="O21" s="10">
        <f>CHOOSE(CONTROL!$C$42, 4.7969, 4.7969) * CHOOSE(CONTROL!$C$21, $C$9, 100%, $E$9)</f>
        <v>4.7968999999999999</v>
      </c>
      <c r="P21" s="10">
        <f>CHOOSE(CONTROL!$C$42, 4.5648, 4.5648) * CHOOSE(CONTROL!$C$21, $C$9, 100%, $E$9)</f>
        <v>4.5648</v>
      </c>
      <c r="Q21" s="10">
        <f>CHOOSE(CONTROL!$C$42, 5.3922, 5.3922) * CHOOSE(CONTROL!$C$21, $C$9, 100%, $E$9)</f>
        <v>5.3921999999999999</v>
      </c>
      <c r="R21" s="10">
        <f>CHOOSE(CONTROL!$C$42, 5.9927, 5.9927) * CHOOSE(CONTROL!$C$21, $C$9, 100%, $E$9)</f>
        <v>5.9927000000000001</v>
      </c>
      <c r="S21" s="10">
        <f>CHOOSE(CONTROL!$C$42, 4.4682, 4.4682) * CHOOSE(CONTROL!$C$21, $C$9, 100%, $E$9)</f>
        <v>4.4682000000000004</v>
      </c>
      <c r="T21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21" s="38">
        <f>(1000*CHOOSE(CONTROL!$C$42, 695, 695)*CHOOSE(CONTROL!$C$42, 0.5599, 0.5599)*CHOOSE(CONTROL!$C$42, 30, 30))/1000000</f>
        <v>11.673914999999997</v>
      </c>
      <c r="V21" s="38">
        <f>(1000*CHOOSE(CONTROL!$C$42, 580, 580)*CHOOSE(CONTROL!$C$42, 0.275, 0.275)*CHOOSE(CONTROL!$C$42, 30, 30))/1000000</f>
        <v>4.7850000000000001</v>
      </c>
      <c r="W21" s="38">
        <f>(1000*CHOOSE(CONTROL!$C$42, 0.1146, 0.1146)*CHOOSE(CONTROL!$C$42, 200, 200)*CHOOSE(CONTROL!$C$42, 30, 30))/1000000</f>
        <v>0.68759999999999999</v>
      </c>
      <c r="X21" s="38">
        <f>30*0.1790888*145000/1000000</f>
        <v>0.77903627999999991</v>
      </c>
      <c r="Y21" s="38"/>
      <c r="Z21" s="38">
        <f t="shared" si="0"/>
        <v>0.3</v>
      </c>
      <c r="AA21" s="10">
        <f>CHOOSE(CONTROL!$C$42, 4.5657, 4.5657) * CHOOSE(CONTROL!$C$21, $C$9, 100%, $E$9)</f>
        <v>4.5656999999999996</v>
      </c>
      <c r="AB21" s="43">
        <f>(30*((8.01*31500+8.07*100000)/30))/1000000</f>
        <v>1.059315</v>
      </c>
      <c r="AC21" s="33">
        <f>(B21*194.205+C21*267.466+D21*133.845+E21*213.484+F21*40+G21*25+H21*50+I21*100+J21*300)/(194.205+267.466+133.845+213.484+50+40+25+100+300)</f>
        <v>4.6717247018126891</v>
      </c>
      <c r="AD21" s="27">
        <f t="shared" si="1"/>
        <v>4.6445920863309356</v>
      </c>
    </row>
    <row r="22" spans="1:30" ht="15" x14ac:dyDescent="0.2">
      <c r="A22" s="16">
        <v>41913</v>
      </c>
      <c r="B22" s="10">
        <f>CHOOSE(CONTROL!$C$42, 4.6126, 4.6126) * CHOOSE(CONTROL!$C$21, $C$9, 100%, $E$9)</f>
        <v>4.6125999999999996</v>
      </c>
      <c r="C22" s="10">
        <f>CHOOSE(CONTROL!$C$42, 4.6179, 4.6179) * CHOOSE(CONTROL!$C$21, $C$9, 100%, $E$9)</f>
        <v>4.6178999999999997</v>
      </c>
      <c r="D22" s="10">
        <f>CHOOSE(CONTROL!$C$42, 4.8214, 4.8214) * CHOOSE(CONTROL!$C$21, $C$9, 100%, $E$9)</f>
        <v>4.8213999999999997</v>
      </c>
      <c r="E22" s="10">
        <f>CHOOSE(CONTROL!$C$42, 4.8502, 4.8502) * CHOOSE(CONTROL!$C$21, $C$9, 100%, $E$9)</f>
        <v>4.8502000000000001</v>
      </c>
      <c r="F22" s="10">
        <f>CHOOSE(CONTROL!$C$42, 4.6099, 4.6099)*CHOOSE(CONTROL!$C$21, $C$9, 100%, $E$9)</f>
        <v>4.6098999999999997</v>
      </c>
      <c r="G22" s="10">
        <f>CHOOSE(CONTROL!$C$42, 4.6278, 4.6278)*CHOOSE(CONTROL!$C$21, $C$9, 100%, $E$9)</f>
        <v>4.6277999999999997</v>
      </c>
      <c r="H22" s="10">
        <f>CHOOSE(CONTROL!$C$42, 4.8407, 4.8407) * CHOOSE(CONTROL!$C$21, $C$9, 100%, $E$9)</f>
        <v>4.8407</v>
      </c>
      <c r="I22" s="10">
        <f>CHOOSE(CONTROL!$C$42, 4.6062, 4.6062)* CHOOSE(CONTROL!$C$21, $C$9, 100%, $E$9)</f>
        <v>4.6062000000000003</v>
      </c>
      <c r="J22" s="10">
        <f>CHOOSE(CONTROL!$C$42, 4.6029, 4.6029)* CHOOSE(CONTROL!$C$21, $C$9, 100%, $E$9)</f>
        <v>4.6029</v>
      </c>
      <c r="K22" s="10">
        <f>CHOOSE(CONTROL!$C$42, 4.6241, 4.6241) * CHOOSE(CONTROL!$C$21, $C$9, 100%, $E$9)</f>
        <v>4.6241000000000003</v>
      </c>
      <c r="L22" s="10">
        <f>CHOOSE(CONTROL!$C$42, 5.4277, 5.4277) * CHOOSE(CONTROL!$C$21, $C$9, 100%, $E$9)</f>
        <v>5.4276999999999997</v>
      </c>
      <c r="M22" s="10">
        <f>CHOOSE(CONTROL!$C$42, 4.5703, 4.5703) * CHOOSE(CONTROL!$C$21, $C$9, 100%, $E$9)</f>
        <v>4.5702999999999996</v>
      </c>
      <c r="N22" s="10">
        <f>CHOOSE(CONTROL!$C$42, 4.588, 4.588) * CHOOSE(CONTROL!$C$21, $C$9, 100%, $E$9)</f>
        <v>4.5880000000000001</v>
      </c>
      <c r="O22" s="10">
        <f>CHOOSE(CONTROL!$C$42, 4.8057, 4.8057) * CHOOSE(CONTROL!$C$21, $C$9, 100%, $E$9)</f>
        <v>4.8056999999999999</v>
      </c>
      <c r="P22" s="10">
        <f>CHOOSE(CONTROL!$C$42, 4.5736, 4.5736) * CHOOSE(CONTROL!$C$21, $C$9, 100%, $E$9)</f>
        <v>4.5735999999999999</v>
      </c>
      <c r="Q22" s="10">
        <f>CHOOSE(CONTROL!$C$42, 5.401, 5.401) * CHOOSE(CONTROL!$C$21, $C$9, 100%, $E$9)</f>
        <v>5.4009999999999998</v>
      </c>
      <c r="R22" s="10">
        <f>CHOOSE(CONTROL!$C$42, 6.0015, 6.0015) * CHOOSE(CONTROL!$C$21, $C$9, 100%, $E$9)</f>
        <v>6.0015000000000001</v>
      </c>
      <c r="S22" s="10">
        <f>CHOOSE(CONTROL!$C$42, 4.4768, 4.4768) * CHOOSE(CONTROL!$C$21, $C$9, 100%, $E$9)</f>
        <v>4.4767999999999999</v>
      </c>
      <c r="T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" s="38">
        <f>(1000*CHOOSE(CONTROL!$C$42, 695, 695)*CHOOSE(CONTROL!$C$42, 0.5599, 0.5599)*CHOOSE(CONTROL!$C$42, 31, 31))/1000000</f>
        <v>12.063045499999998</v>
      </c>
      <c r="V22" s="38">
        <f>(1000*CHOOSE(CONTROL!$C$42, 580, 580)*CHOOSE(CONTROL!$C$42, 0.275, 0.275)*CHOOSE(CONTROL!$C$42, 31, 31))/1000000</f>
        <v>4.9444999999999997</v>
      </c>
      <c r="W22" s="38">
        <f>(1000*CHOOSE(CONTROL!$C$42, 0.1146, 0.1146)*CHOOSE(CONTROL!$C$42, 200, 200)*CHOOSE(CONTROL!$C$42, 31, 31))/1000000</f>
        <v>0.71052000000000004</v>
      </c>
      <c r="X22" s="38">
        <f>31*0.1790888*145000/1000000</f>
        <v>0.80500415599999997</v>
      </c>
      <c r="Y22" s="38"/>
      <c r="Z22" s="38">
        <f t="shared" si="0"/>
        <v>0.3</v>
      </c>
      <c r="AA22" s="10">
        <f>CHOOSE(CONTROL!$C$42, 4.5745, 4.5745) * CHOOSE(CONTROL!$C$21, $C$9, 100%, $E$9)</f>
        <v>4.5744999999999996</v>
      </c>
      <c r="AB22" s="43">
        <f>(31*((8.01*31500+8.07*100000)/31))/1000000</f>
        <v>1.059315</v>
      </c>
      <c r="AC22" s="33">
        <f>(B22*131.881+C22*277.167+D22*79.08+E22*285.872+F22*40+G22*25+H22*0+I22*100+J22*300)/(131.881+277.167+79.08+285.872+0+40+25+100+300)</f>
        <v>4.6792877129136405</v>
      </c>
      <c r="AD22" s="27">
        <f t="shared" si="1"/>
        <v>4.6534266187050362</v>
      </c>
    </row>
    <row r="23" spans="1:30" ht="15" x14ac:dyDescent="0.2">
      <c r="A23" s="16">
        <v>41944</v>
      </c>
      <c r="B23" s="10">
        <f>CHOOSE(CONTROL!$C$42, 4.6544, 4.6544) * CHOOSE(CONTROL!$C$21, $C$9, 100%, $E$9)</f>
        <v>4.6543999999999999</v>
      </c>
      <c r="C23" s="10">
        <f>CHOOSE(CONTROL!$C$42, 4.6594, 4.6594) * CHOOSE(CONTROL!$C$21, $C$9, 100%, $E$9)</f>
        <v>4.6593999999999998</v>
      </c>
      <c r="D23" s="10">
        <f>CHOOSE(CONTROL!$C$42, 4.6839, 4.6839) * CHOOSE(CONTROL!$C$21, $C$9, 100%, $E$9)</f>
        <v>4.6839000000000004</v>
      </c>
      <c r="E23" s="10">
        <f>CHOOSE(CONTROL!$C$42, 4.7176, 4.7176) * CHOOSE(CONTROL!$C$21, $C$9, 100%, $E$9)</f>
        <v>4.7176</v>
      </c>
      <c r="F23" s="10">
        <f>CHOOSE(CONTROL!$C$42, 4.6348, 4.6348)*CHOOSE(CONTROL!$C$21, $C$9, 100%, $E$9)</f>
        <v>4.6348000000000003</v>
      </c>
      <c r="G23" s="10">
        <f>CHOOSE(CONTROL!$C$42, 4.6528, 4.6528)*CHOOSE(CONTROL!$C$21, $C$9, 100%, $E$9)</f>
        <v>4.6528</v>
      </c>
      <c r="H23" s="10">
        <f>CHOOSE(CONTROL!$C$42, 4.7068, 4.7068) * CHOOSE(CONTROL!$C$21, $C$9, 100%, $E$9)</f>
        <v>4.7068000000000003</v>
      </c>
      <c r="I23" s="10">
        <f>CHOOSE(CONTROL!$C$42, 4.6489, 4.6489)* CHOOSE(CONTROL!$C$21, $C$9, 100%, $E$9)</f>
        <v>4.6489000000000003</v>
      </c>
      <c r="J23" s="10">
        <f>CHOOSE(CONTROL!$C$42, 4.6278, 4.6278)* CHOOSE(CONTROL!$C$21, $C$9, 100%, $E$9)</f>
        <v>4.6277999999999997</v>
      </c>
      <c r="K23" s="10">
        <f>CHOOSE(CONTROL!$C$42, 4.6668, 4.6668) * CHOOSE(CONTROL!$C$21, $C$9, 100%, $E$9)</f>
        <v>4.6668000000000003</v>
      </c>
      <c r="L23" s="10">
        <f>CHOOSE(CONTROL!$C$42, 5.2938, 5.2938) * CHOOSE(CONTROL!$C$21, $C$9, 100%, $E$9)</f>
        <v>5.2938000000000001</v>
      </c>
      <c r="M23" s="10">
        <f>CHOOSE(CONTROL!$C$42, 4.5949, 4.5949) * CHOOSE(CONTROL!$C$21, $C$9, 100%, $E$9)</f>
        <v>4.5949</v>
      </c>
      <c r="N23" s="10">
        <f>CHOOSE(CONTROL!$C$42, 4.6128, 4.6128) * CHOOSE(CONTROL!$C$21, $C$9, 100%, $E$9)</f>
        <v>4.6128</v>
      </c>
      <c r="O23" s="10">
        <f>CHOOSE(CONTROL!$C$42, 4.6732, 4.6732) * CHOOSE(CONTROL!$C$21, $C$9, 100%, $E$9)</f>
        <v>4.6731999999999996</v>
      </c>
      <c r="P23" s="10">
        <f>CHOOSE(CONTROL!$C$42, 4.6159, 4.6159) * CHOOSE(CONTROL!$C$21, $C$9, 100%, $E$9)</f>
        <v>4.6158999999999999</v>
      </c>
      <c r="Q23" s="10">
        <f>CHOOSE(CONTROL!$C$42, 5.2685, 5.2685) * CHOOSE(CONTROL!$C$21, $C$9, 100%, $E$9)</f>
        <v>5.2685000000000004</v>
      </c>
      <c r="R23" s="10">
        <f>CHOOSE(CONTROL!$C$42, 5.8686, 5.8686) * CHOOSE(CONTROL!$C$21, $C$9, 100%, $E$9)</f>
        <v>5.8685999999999998</v>
      </c>
      <c r="S23" s="10">
        <f>CHOOSE(CONTROL!$C$42, 4.5178, 4.5178) * CHOOSE(CONTROL!$C$21, $C$9, 100%, $E$9)</f>
        <v>4.5178000000000003</v>
      </c>
      <c r="T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" s="38">
        <f>(1000*CHOOSE(CONTROL!$C$42, 695, 695)*CHOOSE(CONTROL!$C$42, 0.5599, 0.5599)*CHOOSE(CONTROL!$C$42, 30, 30))/1000000</f>
        <v>11.673914999999997</v>
      </c>
      <c r="V23" s="38">
        <f>(1000*CHOOSE(CONTROL!$C$42, 580, 580)*CHOOSE(CONTROL!$C$42, 0.275, 0.275)*CHOOSE(CONTROL!$C$42, 30, 30))/1000000</f>
        <v>4.7850000000000001</v>
      </c>
      <c r="W23" s="38">
        <f>(1000*CHOOSE(CONTROL!$C$42, 0.1146, 0.1146)*CHOOSE(CONTROL!$C$42, 200, 200)*CHOOSE(CONTROL!$C$42, 30, 30))/1000000</f>
        <v>0.68759999999999999</v>
      </c>
      <c r="X23" s="38">
        <v>0</v>
      </c>
      <c r="Y23" s="38"/>
      <c r="Z23" s="38">
        <f t="shared" si="0"/>
        <v>0.3</v>
      </c>
      <c r="AA23" s="10">
        <f>CHOOSE(CONTROL!$C$42, 4.6068, 4.6068) * CHOOSE(CONTROL!$C$21, $C$9, 100%, $E$9)</f>
        <v>4.6067999999999998</v>
      </c>
      <c r="AB23" s="43">
        <f>(30*((8.01*31500+8.07*100000)/30))/1000000</f>
        <v>1.059315</v>
      </c>
      <c r="AC23" s="33">
        <f>(B23*122.58+C23*297.941+D23*89.177+E23*200.302+F23*40+G23*0+H23*0+I23*100+J23*300)/(122.58+297.941+89.177+200.302+0+40+0+100+300)</f>
        <v>4.660891750347826</v>
      </c>
      <c r="AD23" s="27">
        <f>(M23*240+N23*0+O23*355+P23*100)/(240+0+355+100)</f>
        <v>4.6379165467625896</v>
      </c>
    </row>
    <row r="24" spans="1:30" ht="15" x14ac:dyDescent="0.2">
      <c r="A24" s="16">
        <v>41974</v>
      </c>
      <c r="B24" s="10">
        <f>CHOOSE(CONTROL!$C$42, 4.7646, 4.7646) * CHOOSE(CONTROL!$C$21, $C$9, 100%, $E$9)</f>
        <v>4.7645999999999997</v>
      </c>
      <c r="C24" s="10">
        <f>CHOOSE(CONTROL!$C$42, 4.7696, 4.7696) * CHOOSE(CONTROL!$C$21, $C$9, 100%, $E$9)</f>
        <v>4.7695999999999996</v>
      </c>
      <c r="D24" s="10">
        <f>CHOOSE(CONTROL!$C$42, 4.794, 4.794) * CHOOSE(CONTROL!$C$21, $C$9, 100%, $E$9)</f>
        <v>4.7939999999999996</v>
      </c>
      <c r="E24" s="10">
        <f>CHOOSE(CONTROL!$C$42, 4.8278, 4.8278) * CHOOSE(CONTROL!$C$21, $C$9, 100%, $E$9)</f>
        <v>4.8277999999999999</v>
      </c>
      <c r="F24" s="10">
        <f>CHOOSE(CONTROL!$C$42, 4.7464, 4.7464)*CHOOSE(CONTROL!$C$21, $C$9, 100%, $E$9)</f>
        <v>4.7464000000000004</v>
      </c>
      <c r="G24" s="10">
        <f>CHOOSE(CONTROL!$C$42, 4.7648, 4.7648)*CHOOSE(CONTROL!$C$21, $C$9, 100%, $E$9)</f>
        <v>4.7648000000000001</v>
      </c>
      <c r="H24" s="10">
        <f>CHOOSE(CONTROL!$C$42, 4.817, 4.817) * CHOOSE(CONTROL!$C$21, $C$9, 100%, $E$9)</f>
        <v>4.8170000000000002</v>
      </c>
      <c r="I24" s="10">
        <f>CHOOSE(CONTROL!$C$42, 4.7591, 4.7591)* CHOOSE(CONTROL!$C$21, $C$9, 100%, $E$9)</f>
        <v>4.7591000000000001</v>
      </c>
      <c r="J24" s="10">
        <f>CHOOSE(CONTROL!$C$42, 4.7394, 4.7394)* CHOOSE(CONTROL!$C$21, $C$9, 100%, $E$9)</f>
        <v>4.7393999999999998</v>
      </c>
      <c r="K24" s="10">
        <f>CHOOSE(CONTROL!$C$42, 4.7769, 4.7769) * CHOOSE(CONTROL!$C$21, $C$9, 100%, $E$9)</f>
        <v>4.7769000000000004</v>
      </c>
      <c r="L24" s="10">
        <f>CHOOSE(CONTROL!$C$42, 5.404, 5.404) * CHOOSE(CONTROL!$C$21, $C$9, 100%, $E$9)</f>
        <v>5.4039999999999999</v>
      </c>
      <c r="M24" s="10">
        <f>CHOOSE(CONTROL!$C$42, 4.7054, 4.7054) * CHOOSE(CONTROL!$C$21, $C$9, 100%, $E$9)</f>
        <v>4.7054</v>
      </c>
      <c r="N24" s="10">
        <f>CHOOSE(CONTROL!$C$42, 4.7236, 4.7236) * CHOOSE(CONTROL!$C$21, $C$9, 100%, $E$9)</f>
        <v>4.7236000000000002</v>
      </c>
      <c r="O24" s="10">
        <f>CHOOSE(CONTROL!$C$42, 4.7822, 4.7822) * CHOOSE(CONTROL!$C$21, $C$9, 100%, $E$9)</f>
        <v>4.7821999999999996</v>
      </c>
      <c r="P24" s="10">
        <f>CHOOSE(CONTROL!$C$42, 4.725, 4.725) * CHOOSE(CONTROL!$C$21, $C$9, 100%, $E$9)</f>
        <v>4.7249999999999996</v>
      </c>
      <c r="Q24" s="10">
        <f>CHOOSE(CONTROL!$C$42, 5.3775, 5.3775) * CHOOSE(CONTROL!$C$21, $C$9, 100%, $E$9)</f>
        <v>5.3775000000000004</v>
      </c>
      <c r="R24" s="10">
        <f>CHOOSE(CONTROL!$C$42, 5.978, 5.978) * CHOOSE(CONTROL!$C$21, $C$9, 100%, $E$9)</f>
        <v>5.9779999999999998</v>
      </c>
      <c r="S24" s="10">
        <f>CHOOSE(CONTROL!$C$42, 4.6248, 4.6248) * CHOOSE(CONTROL!$C$21, $C$9, 100%, $E$9)</f>
        <v>4.6247999999999996</v>
      </c>
      <c r="T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" s="38">
        <f>(1000*CHOOSE(CONTROL!$C$42, 695, 695)*CHOOSE(CONTROL!$C$42, 0.5599, 0.5599)*CHOOSE(CONTROL!$C$42, 31, 31))/1000000</f>
        <v>12.063045499999998</v>
      </c>
      <c r="V24" s="38">
        <f>(1000*CHOOSE(CONTROL!$C$42, 580, 580)*CHOOSE(CONTROL!$C$42, 0.275, 0.275)*CHOOSE(CONTROL!$C$42, 31, 31))/1000000</f>
        <v>4.9444999999999997</v>
      </c>
      <c r="W24" s="38">
        <f>(1000*CHOOSE(CONTROL!$C$42, 0.1146, 0.1146)*CHOOSE(CONTROL!$C$42, 200, 200)*CHOOSE(CONTROL!$C$42, 31, 31))/1000000</f>
        <v>0.71052000000000004</v>
      </c>
      <c r="X24" s="38">
        <v>0</v>
      </c>
      <c r="Y24" s="38"/>
      <c r="Z24" s="38">
        <f t="shared" si="0"/>
        <v>0.3</v>
      </c>
      <c r="AA24" s="10">
        <f>CHOOSE(CONTROL!$C$42, 4.7164, 4.7164) * CHOOSE(CONTROL!$C$21, $C$9, 100%, $E$9)</f>
        <v>4.7164000000000001</v>
      </c>
      <c r="AB24" s="43">
        <f>(31*((8.01*31500+8.07*100000)/31))/1000000</f>
        <v>1.059315</v>
      </c>
      <c r="AC24" s="33">
        <f>(B24*122.58+C24*297.941+D24*89.177+E24*200.302+F24*40+G24*0+H24*0+I24*100+J24*300)/(122.58+297.941+89.177+200.302+0+40+0+100+300)</f>
        <v>4.7714979088695655</v>
      </c>
      <c r="AD24" s="27">
        <f>(M24*240+N24*0+O24*355+P24*100)/(240+0+355+100)</f>
        <v>4.7474489208633095</v>
      </c>
    </row>
    <row r="25" spans="1:30" ht="15" x14ac:dyDescent="0.2">
      <c r="A25" s="16">
        <v>42005</v>
      </c>
      <c r="B25" s="10">
        <f>CHOOSE(CONTROL!$C$42, 4.8532, 4.8532) * CHOOSE(CONTROL!$C$21, $C$9, 100%, $E$9)</f>
        <v>4.8532000000000002</v>
      </c>
      <c r="C25" s="10">
        <f>CHOOSE(CONTROL!$C$42, 4.8581, 4.8581) * CHOOSE(CONTROL!$C$21, $C$9, 100%, $E$9)</f>
        <v>4.8581000000000003</v>
      </c>
      <c r="D25" s="10">
        <f>CHOOSE(CONTROL!$C$42, 4.8826, 4.8826) * CHOOSE(CONTROL!$C$21, $C$9, 100%, $E$9)</f>
        <v>4.8826000000000001</v>
      </c>
      <c r="E25" s="10">
        <f>CHOOSE(CONTROL!$C$42, 4.9164, 4.9164) * CHOOSE(CONTROL!$C$21, $C$9, 100%, $E$9)</f>
        <v>4.9164000000000003</v>
      </c>
      <c r="F25" s="10">
        <f>CHOOSE(CONTROL!$C$42, 4.8361, 4.8361)*CHOOSE(CONTROL!$C$21, $C$9, 100%, $E$9)</f>
        <v>4.8361000000000001</v>
      </c>
      <c r="G25" s="10">
        <f>CHOOSE(CONTROL!$C$42, 4.8548, 4.8548)*CHOOSE(CONTROL!$C$21, $C$9, 100%, $E$9)</f>
        <v>4.8548</v>
      </c>
      <c r="H25" s="10">
        <f>CHOOSE(CONTROL!$C$42, 4.9056, 4.9056) * CHOOSE(CONTROL!$C$21, $C$9, 100%, $E$9)</f>
        <v>4.9055999999999997</v>
      </c>
      <c r="I25" s="10">
        <f>CHOOSE(CONTROL!$C$42, 4.8477, 4.8477)* CHOOSE(CONTROL!$C$21, $C$9, 100%, $E$9)</f>
        <v>4.8476999999999997</v>
      </c>
      <c r="J25" s="10">
        <f>CHOOSE(CONTROL!$C$42, 4.8291, 4.8291)* CHOOSE(CONTROL!$C$21, $C$9, 100%, $E$9)</f>
        <v>4.8291000000000004</v>
      </c>
      <c r="K25" s="10">
        <f>CHOOSE(CONTROL!$C$42, 4.8654, 4.8654) * CHOOSE(CONTROL!$C$21, $C$9, 100%, $E$9)</f>
        <v>4.8654000000000002</v>
      </c>
      <c r="L25" s="10">
        <f>CHOOSE(CONTROL!$C$42, 5.4926, 5.4926) * CHOOSE(CONTROL!$C$21, $C$9, 100%, $E$9)</f>
        <v>5.4926000000000004</v>
      </c>
      <c r="M25" s="10">
        <f>CHOOSE(CONTROL!$C$42, 4.7942, 4.7942) * CHOOSE(CONTROL!$C$21, $C$9, 100%, $E$9)</f>
        <v>4.7942</v>
      </c>
      <c r="N25" s="10">
        <f>CHOOSE(CONTROL!$C$42, 4.8127, 4.8127) * CHOOSE(CONTROL!$C$21, $C$9, 100%, $E$9)</f>
        <v>4.8127000000000004</v>
      </c>
      <c r="O25" s="10">
        <f>CHOOSE(CONTROL!$C$42, 4.8699, 4.8699) * CHOOSE(CONTROL!$C$21, $C$9, 100%, $E$9)</f>
        <v>4.8699000000000003</v>
      </c>
      <c r="P25" s="10">
        <f>CHOOSE(CONTROL!$C$42, 4.8126, 4.8126) * CHOOSE(CONTROL!$C$21, $C$9, 100%, $E$9)</f>
        <v>4.8125999999999998</v>
      </c>
      <c r="Q25" s="10">
        <f>CHOOSE(CONTROL!$C$42, 5.4652, 5.4652) * CHOOSE(CONTROL!$C$21, $C$9, 100%, $E$9)</f>
        <v>5.4652000000000003</v>
      </c>
      <c r="R25" s="10">
        <f>CHOOSE(CONTROL!$C$42, 6.0659, 6.0659) * CHOOSE(CONTROL!$C$21, $C$9, 100%, $E$9)</f>
        <v>6.0659000000000001</v>
      </c>
      <c r="S25" s="10">
        <f>CHOOSE(CONTROL!$C$42, 4.7108, 4.7108) * CHOOSE(CONTROL!$C$21, $C$9, 100%, $E$9)</f>
        <v>4.7107999999999999</v>
      </c>
      <c r="T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38">
        <f>(1000*CHOOSE(CONTROL!$C$42, 695, 695)*CHOOSE(CONTROL!$C$42, 0.5599, 0.5599)*CHOOSE(CONTROL!$C$42, 31, 31))/1000000</f>
        <v>12.063045499999998</v>
      </c>
      <c r="V25" s="38">
        <f>(1000*CHOOSE(CONTROL!$C$42, 580, 580)*CHOOSE(CONTROL!$C$42, 0.275, 0.275)*CHOOSE(CONTROL!$C$42, 31, 31))/1000000</f>
        <v>4.9444999999999997</v>
      </c>
      <c r="W25" s="38">
        <f>(1000*CHOOSE(CONTROL!$C$42, 0.1146, 0.1146)*CHOOSE(CONTROL!$C$42, 200, 200)*CHOOSE(CONTROL!$C$42, 31, 31))/1000000</f>
        <v>0.71052000000000004</v>
      </c>
      <c r="X25" s="38">
        <v>0</v>
      </c>
      <c r="Y25" s="38"/>
      <c r="Z25" s="38">
        <f t="shared" si="0"/>
        <v>0.3</v>
      </c>
      <c r="AA25" s="10">
        <f>CHOOSE(CONTROL!$C$42, 4.8044, 4.8044) * CHOOSE(CONTROL!$C$21, $C$9, 100%, $E$9)</f>
        <v>4.8044000000000002</v>
      </c>
      <c r="AB25" s="43">
        <f>(31*((8.01*31500+8.07*100000)/31))/1000000</f>
        <v>1.059315</v>
      </c>
      <c r="AC25" s="33">
        <f>(B25*122.58+C25*297.941+D25*89.177+E25*200.302+F25*40+G25*0+H25*0+I25*100+J25*300)/(122.58+297.941+89.177+200.302+0+40+0+100+300)</f>
        <v>4.860397218347825</v>
      </c>
      <c r="AD25" s="27">
        <f>(M25*240+N25*0+O25*355+P25*100)/(240+0+355+100)</f>
        <v>4.8355143884892087</v>
      </c>
    </row>
    <row r="26" spans="1:30" ht="15" x14ac:dyDescent="0.2">
      <c r="A26" s="16">
        <v>42036</v>
      </c>
      <c r="B26" s="10">
        <f>CHOOSE(CONTROL!$C$42, 4.8007, 4.8007) * CHOOSE(CONTROL!$C$21, $C$9, 100%, $E$9)</f>
        <v>4.8007</v>
      </c>
      <c r="C26" s="10">
        <f>CHOOSE(CONTROL!$C$42, 4.8056, 4.8056) * CHOOSE(CONTROL!$C$21, $C$9, 100%, $E$9)</f>
        <v>4.8056000000000001</v>
      </c>
      <c r="D26" s="10">
        <f>CHOOSE(CONTROL!$C$42, 4.8301, 4.8301) * CHOOSE(CONTROL!$C$21, $C$9, 100%, $E$9)</f>
        <v>4.8300999999999998</v>
      </c>
      <c r="E26" s="10">
        <f>CHOOSE(CONTROL!$C$42, 4.8639, 4.8639) * CHOOSE(CONTROL!$C$21, $C$9, 100%, $E$9)</f>
        <v>4.8639000000000001</v>
      </c>
      <c r="F26" s="10">
        <f>CHOOSE(CONTROL!$C$42, 4.7829, 4.7829)*CHOOSE(CONTROL!$C$21, $C$9, 100%, $E$9)</f>
        <v>4.7828999999999997</v>
      </c>
      <c r="G26" s="10">
        <f>CHOOSE(CONTROL!$C$42, 4.8014, 4.8014)*CHOOSE(CONTROL!$C$21, $C$9, 100%, $E$9)</f>
        <v>4.8014000000000001</v>
      </c>
      <c r="H26" s="10">
        <f>CHOOSE(CONTROL!$C$42, 4.8531, 4.8531) * CHOOSE(CONTROL!$C$21, $C$9, 100%, $E$9)</f>
        <v>4.8531000000000004</v>
      </c>
      <c r="I26" s="10">
        <f>CHOOSE(CONTROL!$C$42, 4.7952, 4.7952)* CHOOSE(CONTROL!$C$21, $C$9, 100%, $E$9)</f>
        <v>4.7952000000000004</v>
      </c>
      <c r="J26" s="10">
        <f>CHOOSE(CONTROL!$C$42, 4.7759, 4.7759)* CHOOSE(CONTROL!$C$21, $C$9, 100%, $E$9)</f>
        <v>4.7759</v>
      </c>
      <c r="K26" s="10">
        <f>CHOOSE(CONTROL!$C$42, 4.813, 4.813) * CHOOSE(CONTROL!$C$21, $C$9, 100%, $E$9)</f>
        <v>4.8129999999999997</v>
      </c>
      <c r="L26" s="10">
        <f>CHOOSE(CONTROL!$C$42, 5.4401, 5.4401) * CHOOSE(CONTROL!$C$21, $C$9, 100%, $E$9)</f>
        <v>5.4401000000000002</v>
      </c>
      <c r="M26" s="10">
        <f>CHOOSE(CONTROL!$C$42, 4.7416, 4.7416) * CHOOSE(CONTROL!$C$21, $C$9, 100%, $E$9)</f>
        <v>4.7416</v>
      </c>
      <c r="N26" s="10">
        <f>CHOOSE(CONTROL!$C$42, 4.7599, 4.7599) * CHOOSE(CONTROL!$C$21, $C$9, 100%, $E$9)</f>
        <v>4.7599</v>
      </c>
      <c r="O26" s="10">
        <f>CHOOSE(CONTROL!$C$42, 4.8179, 4.8179) * CHOOSE(CONTROL!$C$21, $C$9, 100%, $E$9)</f>
        <v>4.8178999999999998</v>
      </c>
      <c r="P26" s="10">
        <f>CHOOSE(CONTROL!$C$42, 4.7606, 4.7606) * CHOOSE(CONTROL!$C$21, $C$9, 100%, $E$9)</f>
        <v>4.7606000000000002</v>
      </c>
      <c r="Q26" s="10">
        <f>CHOOSE(CONTROL!$C$42, 5.4132, 5.4132) * CHOOSE(CONTROL!$C$21, $C$9, 100%, $E$9)</f>
        <v>5.4131999999999998</v>
      </c>
      <c r="R26" s="10">
        <f>CHOOSE(CONTROL!$C$42, 6.0137, 6.0137) * CHOOSE(CONTROL!$C$21, $C$9, 100%, $E$9)</f>
        <v>6.0137</v>
      </c>
      <c r="S26" s="10">
        <f>CHOOSE(CONTROL!$C$42, 4.6598, 4.6598) * CHOOSE(CONTROL!$C$21, $C$9, 100%, $E$9)</f>
        <v>4.6597999999999997</v>
      </c>
      <c r="T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38">
        <f>(1000*CHOOSE(CONTROL!$C$42, 695, 695)*CHOOSE(CONTROL!$C$42, 0.5599, 0.5599)*CHOOSE(CONTROL!$C$42, 28, 28))/1000000</f>
        <v>10.895653999999999</v>
      </c>
      <c r="V26" s="38">
        <f>(1000*CHOOSE(CONTROL!$C$42, 580, 580)*CHOOSE(CONTROL!$C$42, 0.275, 0.275)*CHOOSE(CONTROL!$C$42, 28, 28))/1000000</f>
        <v>4.4660000000000002</v>
      </c>
      <c r="W26" s="38">
        <f>(1000*CHOOSE(CONTROL!$C$42, 0.1146, 0.1146)*CHOOSE(CONTROL!$C$42, 200, 200)*CHOOSE(CONTROL!$C$42, 28, 28))/1000000</f>
        <v>0.64176</v>
      </c>
      <c r="X26" s="38">
        <v>0</v>
      </c>
      <c r="Y26" s="38"/>
      <c r="Z26" s="38">
        <f t="shared" si="0"/>
        <v>0.3</v>
      </c>
      <c r="AA26" s="10">
        <f>CHOOSE(CONTROL!$C$42, 4.7522, 4.7522) * CHOOSE(CONTROL!$C$21, $C$9, 100%, $E$9)</f>
        <v>4.7522000000000002</v>
      </c>
      <c r="AB26" s="43">
        <f>(28*((8.01*31500+8.07*100000)/28))/1000000</f>
        <v>1.059315</v>
      </c>
      <c r="AC26" s="33">
        <f>(B26*122.58+C26*297.941+D26*89.177+E26*200.302+F26*40+G26*0+H26*0+I26*100+J26*300)/(122.58+297.941+89.177+200.302+0+40+0+100+300)</f>
        <v>4.8076902618260871</v>
      </c>
      <c r="AD26" s="27">
        <f>(M26*240+N26*0+O26*355+P26*100)/(240+0+355+100)</f>
        <v>4.7833071942446042</v>
      </c>
    </row>
    <row r="27" spans="1:30" ht="15" x14ac:dyDescent="0.2">
      <c r="A27" s="16">
        <v>42064</v>
      </c>
      <c r="B27" s="10">
        <f>CHOOSE(CONTROL!$C$42, 4.6812, 4.6812) * CHOOSE(CONTROL!$C$21, $C$9, 100%, $E$9)</f>
        <v>4.6811999999999996</v>
      </c>
      <c r="C27" s="10">
        <f>CHOOSE(CONTROL!$C$42, 4.6862, 4.6862) * CHOOSE(CONTROL!$C$21, $C$9, 100%, $E$9)</f>
        <v>4.6862000000000004</v>
      </c>
      <c r="D27" s="10">
        <f>CHOOSE(CONTROL!$C$42, 4.7106, 4.7106) * CHOOSE(CONTROL!$C$21, $C$9, 100%, $E$9)</f>
        <v>4.7106000000000003</v>
      </c>
      <c r="E27" s="10">
        <f>CHOOSE(CONTROL!$C$42, 4.7444, 4.7444) * CHOOSE(CONTROL!$C$21, $C$9, 100%, $E$9)</f>
        <v>4.7443999999999997</v>
      </c>
      <c r="F27" s="10">
        <f>CHOOSE(CONTROL!$C$42, 4.6619, 4.6619)*CHOOSE(CONTROL!$C$21, $C$9, 100%, $E$9)</f>
        <v>4.6619000000000002</v>
      </c>
      <c r="G27" s="10">
        <f>CHOOSE(CONTROL!$C$42, 4.68, 4.68)*CHOOSE(CONTROL!$C$21, $C$9, 100%, $E$9)</f>
        <v>4.68</v>
      </c>
      <c r="H27" s="10">
        <f>CHOOSE(CONTROL!$C$42, 4.7336, 4.7336) * CHOOSE(CONTROL!$C$21, $C$9, 100%, $E$9)</f>
        <v>4.7336</v>
      </c>
      <c r="I27" s="10">
        <f>CHOOSE(CONTROL!$C$42, 4.6757, 4.6757)* CHOOSE(CONTROL!$C$21, $C$9, 100%, $E$9)</f>
        <v>4.6757</v>
      </c>
      <c r="J27" s="10">
        <f>CHOOSE(CONTROL!$C$42, 4.6549, 4.6549)* CHOOSE(CONTROL!$C$21, $C$9, 100%, $E$9)</f>
        <v>4.6548999999999996</v>
      </c>
      <c r="K27" s="10">
        <f>CHOOSE(CONTROL!$C$42, 4.6935, 4.6935) * CHOOSE(CONTROL!$C$21, $C$9, 100%, $E$9)</f>
        <v>4.6935000000000002</v>
      </c>
      <c r="L27" s="10">
        <f>CHOOSE(CONTROL!$C$42, 5.3206, 5.3206) * CHOOSE(CONTROL!$C$21, $C$9, 100%, $E$9)</f>
        <v>5.3205999999999998</v>
      </c>
      <c r="M27" s="10">
        <f>CHOOSE(CONTROL!$C$42, 4.6218, 4.6218) * CHOOSE(CONTROL!$C$21, $C$9, 100%, $E$9)</f>
        <v>4.6218000000000004</v>
      </c>
      <c r="N27" s="10">
        <f>CHOOSE(CONTROL!$C$42, 4.6397, 4.6397) * CHOOSE(CONTROL!$C$21, $C$9, 100%, $E$9)</f>
        <v>4.6397000000000004</v>
      </c>
      <c r="O27" s="10">
        <f>CHOOSE(CONTROL!$C$42, 4.6997, 4.6997) * CHOOSE(CONTROL!$C$21, $C$9, 100%, $E$9)</f>
        <v>4.6997</v>
      </c>
      <c r="P27" s="10">
        <f>CHOOSE(CONTROL!$C$42, 4.6424, 4.6424) * CHOOSE(CONTROL!$C$21, $C$9, 100%, $E$9)</f>
        <v>4.6424000000000003</v>
      </c>
      <c r="Q27" s="10">
        <f>CHOOSE(CONTROL!$C$42, 5.295, 5.295) * CHOOSE(CONTROL!$C$21, $C$9, 100%, $E$9)</f>
        <v>5.2949999999999999</v>
      </c>
      <c r="R27" s="10">
        <f>CHOOSE(CONTROL!$C$42, 5.8952, 5.8952) * CHOOSE(CONTROL!$C$21, $C$9, 100%, $E$9)</f>
        <v>5.8952</v>
      </c>
      <c r="S27" s="10">
        <f>CHOOSE(CONTROL!$C$42, 4.5438, 4.5438) * CHOOSE(CONTROL!$C$21, $C$9, 100%, $E$9)</f>
        <v>4.5438000000000001</v>
      </c>
      <c r="T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38">
        <f>(1000*CHOOSE(CONTROL!$C$42, 695, 695)*CHOOSE(CONTROL!$C$42, 0.5599, 0.5599)*CHOOSE(CONTROL!$C$42, 31, 31))/1000000</f>
        <v>12.063045499999998</v>
      </c>
      <c r="V27" s="38">
        <f>(1000*CHOOSE(CONTROL!$C$42, 580, 580)*CHOOSE(CONTROL!$C$42, 0.275, 0.275)*CHOOSE(CONTROL!$C$42, 31, 31))/1000000</f>
        <v>4.9444999999999997</v>
      </c>
      <c r="W27" s="38">
        <f>(1000*CHOOSE(CONTROL!$C$42, 0.1146, 0.1146)*CHOOSE(CONTROL!$C$42, 200, 200)*CHOOSE(CONTROL!$C$42, 31, 31))/1000000</f>
        <v>0.71052000000000004</v>
      </c>
      <c r="X27" s="38">
        <v>0</v>
      </c>
      <c r="Y27" s="38"/>
      <c r="Z27" s="38">
        <f t="shared" si="0"/>
        <v>0.3</v>
      </c>
      <c r="AA27" s="10">
        <f>CHOOSE(CONTROL!$C$42, 4.6335, 4.6335) * CHOOSE(CONTROL!$C$21, $C$9, 100%, $E$9)</f>
        <v>4.6334999999999997</v>
      </c>
      <c r="AB27" s="43">
        <f>(31*((8.01*31500+8.07*100000)/31))/1000000</f>
        <v>1.059315</v>
      </c>
      <c r="AC27" s="33">
        <f>(B27*122.58+C27*297.941+D27*89.177+E27*200.302+F27*40+G27*0+H27*0+I27*100+J27*300)/(122.58+297.941+89.177+200.302+0+40+0+100+300)</f>
        <v>4.6877726914782603</v>
      </c>
      <c r="AD27" s="27">
        <f>(M27*240+N27*0+O27*355+P27*100)/(240+0+355+100)</f>
        <v>4.6645546762589927</v>
      </c>
    </row>
    <row r="28" spans="1:30" ht="15" x14ac:dyDescent="0.2">
      <c r="A28" s="16">
        <v>42095</v>
      </c>
      <c r="B28" s="10">
        <f>CHOOSE(CONTROL!$C$42, 4.1537, 4.1537) * CHOOSE(CONTROL!$C$21, $C$9, 100%, $E$9)</f>
        <v>4.1536999999999997</v>
      </c>
      <c r="C28" s="10">
        <f>CHOOSE(CONTROL!$C$42, 4.1581, 4.1581) * CHOOSE(CONTROL!$C$21, $C$9, 100%, $E$9)</f>
        <v>4.1581000000000001</v>
      </c>
      <c r="D28" s="10">
        <f>CHOOSE(CONTROL!$C$42, 4.3382, 4.3382) * CHOOSE(CONTROL!$C$21, $C$9, 100%, $E$9)</f>
        <v>4.3381999999999996</v>
      </c>
      <c r="E28" s="10">
        <f>CHOOSE(CONTROL!$C$42, 4.37, 4.37) * CHOOSE(CONTROL!$C$21, $C$9, 100%, $E$9)</f>
        <v>4.37</v>
      </c>
      <c r="F28" s="10">
        <f>CHOOSE(CONTROL!$C$42, 4.1191, 4.1191)*CHOOSE(CONTROL!$C$21, $C$9, 100%, $E$9)</f>
        <v>4.1191000000000004</v>
      </c>
      <c r="G28" s="10">
        <f>CHOOSE(CONTROL!$C$42, 4.1353, 4.1353)*CHOOSE(CONTROL!$C$21, $C$9, 100%, $E$9)</f>
        <v>4.1353</v>
      </c>
      <c r="H28" s="10">
        <f>CHOOSE(CONTROL!$C$42, 4.3598, 4.3598) * CHOOSE(CONTROL!$C$21, $C$9, 100%, $E$9)</f>
        <v>4.3597999999999999</v>
      </c>
      <c r="I28" s="10">
        <f>CHOOSE(CONTROL!$C$42, 4.1397, 4.1397)* CHOOSE(CONTROL!$C$21, $C$9, 100%, $E$9)</f>
        <v>4.1397000000000004</v>
      </c>
      <c r="J28" s="10">
        <f>CHOOSE(CONTROL!$C$42, 4.1121, 4.1121)* CHOOSE(CONTROL!$C$21, $C$9, 100%, $E$9)</f>
        <v>4.1120999999999999</v>
      </c>
      <c r="K28" s="10">
        <f>CHOOSE(CONTROL!$C$42, 4.1578, 4.1578) * CHOOSE(CONTROL!$C$21, $C$9, 100%, $E$9)</f>
        <v>4.1577999999999999</v>
      </c>
      <c r="L28" s="10">
        <f>CHOOSE(CONTROL!$C$42, 4.9468, 4.9468) * CHOOSE(CONTROL!$C$21, $C$9, 100%, $E$9)</f>
        <v>4.9467999999999996</v>
      </c>
      <c r="M28" s="10">
        <f>CHOOSE(CONTROL!$C$42, 4.0844, 4.0844) * CHOOSE(CONTROL!$C$21, $C$9, 100%, $E$9)</f>
        <v>4.0843999999999996</v>
      </c>
      <c r="N28" s="10">
        <f>CHOOSE(CONTROL!$C$42, 4.1005, 4.1005) * CHOOSE(CONTROL!$C$21, $C$9, 100%, $E$9)</f>
        <v>4.1005000000000003</v>
      </c>
      <c r="O28" s="10">
        <f>CHOOSE(CONTROL!$C$42, 4.3296, 4.3296) * CHOOSE(CONTROL!$C$21, $C$9, 100%, $E$9)</f>
        <v>4.3296000000000001</v>
      </c>
      <c r="P28" s="10">
        <f>CHOOSE(CONTROL!$C$42, 4.1118, 4.1118) * CHOOSE(CONTROL!$C$21, $C$9, 100%, $E$9)</f>
        <v>4.1117999999999997</v>
      </c>
      <c r="Q28" s="10">
        <f>CHOOSE(CONTROL!$C$42, 4.9249, 4.9249) * CHOOSE(CONTROL!$C$21, $C$9, 100%, $E$9)</f>
        <v>4.9249000000000001</v>
      </c>
      <c r="R28" s="10">
        <f>CHOOSE(CONTROL!$C$42, 5.5242, 5.5242) * CHOOSE(CONTROL!$C$21, $C$9, 100%, $E$9)</f>
        <v>5.5242000000000004</v>
      </c>
      <c r="S28" s="10">
        <f>CHOOSE(CONTROL!$C$42, 4.0308, 4.0308) * CHOOSE(CONTROL!$C$21, $C$9, 100%, $E$9)</f>
        <v>4.0308000000000002</v>
      </c>
      <c r="T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38">
        <f>(1000*CHOOSE(CONTROL!$C$42, 695, 695)*CHOOSE(CONTROL!$C$42, 0.5599, 0.5599)*CHOOSE(CONTROL!$C$42, 30, 30))/1000000</f>
        <v>11.673914999999997</v>
      </c>
      <c r="V28" s="38">
        <f>(1000*CHOOSE(CONTROL!$C$42, 580, 580)*CHOOSE(CONTROL!$C$42, 0.275, 0.275)*CHOOSE(CONTROL!$C$42, 30, 30))/1000000</f>
        <v>4.7850000000000001</v>
      </c>
      <c r="W28" s="38">
        <f>(1000*CHOOSE(CONTROL!$C$42, 0.1146, 0.1146)*CHOOSE(CONTROL!$C$42, 200, 200)*CHOOSE(CONTROL!$C$42, 30, 30))/1000000</f>
        <v>0.68759999999999999</v>
      </c>
      <c r="X28" s="38">
        <f>(30*0.1790888*245000/1000000)+(30*0.2374*100000/1000000)</f>
        <v>2.0285026799999999</v>
      </c>
      <c r="Y28" s="38"/>
      <c r="Z28" s="38">
        <f t="shared" si="0"/>
        <v>0.3</v>
      </c>
      <c r="AA28" s="10">
        <f>CHOOSE(CONTROL!$C$42, 4.1084, 4.1084) * CHOOSE(CONTROL!$C$21, $C$9, 100%, $E$9)</f>
        <v>4.1083999999999996</v>
      </c>
      <c r="AB28" s="43">
        <f>(30*((8.01*31500+8.07*100000)/30))/1000000</f>
        <v>1.059315</v>
      </c>
      <c r="AC28" s="33">
        <f>(B28*141.293+C28*267.993+D28*115.016+E28*89.698+F28*40+G28*185+H28*0+I28*100+J28*300)/(141.293+267.993+115.016+89.698+0+40+185+100+300)</f>
        <v>4.1723709431799838</v>
      </c>
      <c r="AD28" s="27">
        <f t="shared" ref="AD28:AD34" si="2">(M28*240+N28*160+O28*195+P28*100)/(240+160+195+100)</f>
        <v>4.160846043165467</v>
      </c>
    </row>
    <row r="29" spans="1:30" ht="15" x14ac:dyDescent="0.2">
      <c r="A29" s="16">
        <v>42125</v>
      </c>
      <c r="B29" s="10">
        <f>CHOOSE(CONTROL!$C$42, 4.1112, 4.1112) * CHOOSE(CONTROL!$C$21, $C$9, 100%, $E$9)</f>
        <v>4.1112000000000002</v>
      </c>
      <c r="C29" s="10">
        <f>CHOOSE(CONTROL!$C$42, 4.1192, 4.1192) * CHOOSE(CONTROL!$C$21, $C$9, 100%, $E$9)</f>
        <v>4.1192000000000002</v>
      </c>
      <c r="D29" s="10">
        <f>CHOOSE(CONTROL!$C$42, 4.2961, 4.2961) * CHOOSE(CONTROL!$C$21, $C$9, 100%, $E$9)</f>
        <v>4.2961</v>
      </c>
      <c r="E29" s="10">
        <f>CHOOSE(CONTROL!$C$42, 4.3273, 4.3273) * CHOOSE(CONTROL!$C$21, $C$9, 100%, $E$9)</f>
        <v>4.3273000000000001</v>
      </c>
      <c r="F29" s="10">
        <f>CHOOSE(CONTROL!$C$42, 4.0746, 4.0746)*CHOOSE(CONTROL!$C$21, $C$9, 100%, $E$9)</f>
        <v>4.0746000000000002</v>
      </c>
      <c r="G29" s="10">
        <f>CHOOSE(CONTROL!$C$42, 4.0911, 4.0911)*CHOOSE(CONTROL!$C$21, $C$9, 100%, $E$9)</f>
        <v>4.0911</v>
      </c>
      <c r="H29" s="10">
        <f>CHOOSE(CONTROL!$C$42, 4.3159, 4.3159) * CHOOSE(CONTROL!$C$21, $C$9, 100%, $E$9)</f>
        <v>4.3159000000000001</v>
      </c>
      <c r="I29" s="10">
        <f>CHOOSE(CONTROL!$C$42, 4.0958, 4.0958)* CHOOSE(CONTROL!$C$21, $C$9, 100%, $E$9)</f>
        <v>4.0957999999999997</v>
      </c>
      <c r="J29" s="10">
        <f>CHOOSE(CONTROL!$C$42, 4.0676, 4.0676)* CHOOSE(CONTROL!$C$21, $C$9, 100%, $E$9)</f>
        <v>4.0675999999999997</v>
      </c>
      <c r="K29" s="10">
        <f>CHOOSE(CONTROL!$C$42, 4.1139, 4.1139) * CHOOSE(CONTROL!$C$21, $C$9, 100%, $E$9)</f>
        <v>4.1139000000000001</v>
      </c>
      <c r="L29" s="10">
        <f>CHOOSE(CONTROL!$C$42, 4.9029, 4.9029) * CHOOSE(CONTROL!$C$21, $C$9, 100%, $E$9)</f>
        <v>4.9028999999999998</v>
      </c>
      <c r="M29" s="10">
        <f>CHOOSE(CONTROL!$C$42, 4.0404, 4.0404) * CHOOSE(CONTROL!$C$21, $C$9, 100%, $E$9)</f>
        <v>4.0404</v>
      </c>
      <c r="N29" s="10">
        <f>CHOOSE(CONTROL!$C$42, 4.0567, 4.0567) * CHOOSE(CONTROL!$C$21, $C$9, 100%, $E$9)</f>
        <v>4.0567000000000002</v>
      </c>
      <c r="O29" s="10">
        <f>CHOOSE(CONTROL!$C$42, 4.2862, 4.2862) * CHOOSE(CONTROL!$C$21, $C$9, 100%, $E$9)</f>
        <v>4.2862</v>
      </c>
      <c r="P29" s="10">
        <f>CHOOSE(CONTROL!$C$42, 4.0684, 4.0684) * CHOOSE(CONTROL!$C$21, $C$9, 100%, $E$9)</f>
        <v>4.0683999999999996</v>
      </c>
      <c r="Q29" s="10">
        <f>CHOOSE(CONTROL!$C$42, 4.8815, 4.8815) * CHOOSE(CONTROL!$C$21, $C$9, 100%, $E$9)</f>
        <v>4.8815</v>
      </c>
      <c r="R29" s="10">
        <f>CHOOSE(CONTROL!$C$42, 5.4807, 5.4807) * CHOOSE(CONTROL!$C$21, $C$9, 100%, $E$9)</f>
        <v>5.4806999999999997</v>
      </c>
      <c r="S29" s="10">
        <f>CHOOSE(CONTROL!$C$42, 3.9882, 3.9882) * CHOOSE(CONTROL!$C$21, $C$9, 100%, $E$9)</f>
        <v>3.9882</v>
      </c>
      <c r="T29" s="41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38">
        <f>(1000*CHOOSE(CONTROL!$C$42, 695, 695)*CHOOSE(CONTROL!$C$42, 0.5599, 0.5599)*CHOOSE(CONTROL!$C$42, 31, 31))/1000000</f>
        <v>12.063045499999998</v>
      </c>
      <c r="V29" s="38">
        <f>(1000*CHOOSE(CONTROL!$C$42, 580, 580)*CHOOSE(CONTROL!$C$42, 0.275, 0.275)*CHOOSE(CONTROL!$C$42, 31, 31))/1000000</f>
        <v>4.9444999999999997</v>
      </c>
      <c r="W29" s="38">
        <f>(1000*CHOOSE(CONTROL!$C$42, 0.1146, 0.1146)*CHOOSE(CONTROL!$C$42, 200, 200)*CHOOSE(CONTROL!$C$42, 31, 31))/1000000</f>
        <v>0.71052000000000004</v>
      </c>
      <c r="X29" s="38">
        <f>(31*0.1790888*245000/1000000)+(31*0.2374*100000/1000000)</f>
        <v>2.0961194359999999</v>
      </c>
      <c r="Y29" s="38"/>
      <c r="Z29" s="38">
        <f t="shared" si="0"/>
        <v>0.3</v>
      </c>
      <c r="AA29" s="10">
        <f>CHOOSE(CONTROL!$C$42, 4.0648, 4.0648) * CHOOSE(CONTROL!$C$21, $C$9, 100%, $E$9)</f>
        <v>4.0648</v>
      </c>
      <c r="AB29" s="43">
        <f>(31*((8.01*31500+8.07*100000)/31))/1000000</f>
        <v>1.059315</v>
      </c>
      <c r="AC29" s="33">
        <f>(B29*194.205+C29*267.466+D29*133.845+E29*53.484+F29*40+G29*185+H29*50+I29*100+J29*300)/(194.205+267.466+133.845+53.484+50+40+185+100+300)</f>
        <v>4.1330112242447123</v>
      </c>
      <c r="AD29" s="27">
        <f t="shared" si="2"/>
        <v>4.117146762589929</v>
      </c>
    </row>
    <row r="30" spans="1:30" ht="15" x14ac:dyDescent="0.2">
      <c r="A30" s="16">
        <v>42156</v>
      </c>
      <c r="B30" s="10">
        <f>CHOOSE(CONTROL!$C$42, 4.1246, 4.1246) * CHOOSE(CONTROL!$C$21, $C$9, 100%, $E$9)</f>
        <v>4.1246</v>
      </c>
      <c r="C30" s="10">
        <f>CHOOSE(CONTROL!$C$42, 4.1325, 4.1325) * CHOOSE(CONTROL!$C$21, $C$9, 100%, $E$9)</f>
        <v>4.1325000000000003</v>
      </c>
      <c r="D30" s="10">
        <f>CHOOSE(CONTROL!$C$42, 4.3095, 4.3095) * CHOOSE(CONTROL!$C$21, $C$9, 100%, $E$9)</f>
        <v>4.3094999999999999</v>
      </c>
      <c r="E30" s="10">
        <f>CHOOSE(CONTROL!$C$42, 4.3407, 4.3407) * CHOOSE(CONTROL!$C$21, $C$9, 100%, $E$9)</f>
        <v>4.3407</v>
      </c>
      <c r="F30" s="10">
        <f>CHOOSE(CONTROL!$C$42, 4.0882, 4.0882)*CHOOSE(CONTROL!$C$21, $C$9, 100%, $E$9)</f>
        <v>4.0881999999999996</v>
      </c>
      <c r="G30" s="10">
        <f>CHOOSE(CONTROL!$C$42, 4.1047, 4.1047)*CHOOSE(CONTROL!$C$21, $C$9, 100%, $E$9)</f>
        <v>4.1047000000000002</v>
      </c>
      <c r="H30" s="10">
        <f>CHOOSE(CONTROL!$C$42, 4.3293, 4.3293) * CHOOSE(CONTROL!$C$21, $C$9, 100%, $E$9)</f>
        <v>4.3292999999999999</v>
      </c>
      <c r="I30" s="10">
        <f>CHOOSE(CONTROL!$C$42, 4.1092, 4.1092)* CHOOSE(CONTROL!$C$21, $C$9, 100%, $E$9)</f>
        <v>4.1092000000000004</v>
      </c>
      <c r="J30" s="10">
        <f>CHOOSE(CONTROL!$C$42, 4.0812, 4.0812)* CHOOSE(CONTROL!$C$21, $C$9, 100%, $E$9)</f>
        <v>4.0811999999999999</v>
      </c>
      <c r="K30" s="10">
        <f>CHOOSE(CONTROL!$C$42, 4.1273, 4.1273) * CHOOSE(CONTROL!$C$21, $C$9, 100%, $E$9)</f>
        <v>4.1273</v>
      </c>
      <c r="L30" s="10">
        <f>CHOOSE(CONTROL!$C$42, 4.9163, 4.9163) * CHOOSE(CONTROL!$C$21, $C$9, 100%, $E$9)</f>
        <v>4.9162999999999997</v>
      </c>
      <c r="M30" s="10">
        <f>CHOOSE(CONTROL!$C$42, 4.0538, 4.0538) * CHOOSE(CONTROL!$C$21, $C$9, 100%, $E$9)</f>
        <v>4.0537999999999998</v>
      </c>
      <c r="N30" s="10">
        <f>CHOOSE(CONTROL!$C$42, 4.0702, 4.0702) * CHOOSE(CONTROL!$C$21, $C$9, 100%, $E$9)</f>
        <v>4.0701999999999998</v>
      </c>
      <c r="O30" s="10">
        <f>CHOOSE(CONTROL!$C$42, 4.2994, 4.2994) * CHOOSE(CONTROL!$C$21, $C$9, 100%, $E$9)</f>
        <v>4.2994000000000003</v>
      </c>
      <c r="P30" s="10">
        <f>CHOOSE(CONTROL!$C$42, 4.0816, 4.0816) * CHOOSE(CONTROL!$C$21, $C$9, 100%, $E$9)</f>
        <v>4.0815999999999999</v>
      </c>
      <c r="Q30" s="10">
        <f>CHOOSE(CONTROL!$C$42, 4.8947, 4.8947) * CHOOSE(CONTROL!$C$21, $C$9, 100%, $E$9)</f>
        <v>4.8947000000000003</v>
      </c>
      <c r="R30" s="10">
        <f>CHOOSE(CONTROL!$C$42, 5.494, 5.494) * CHOOSE(CONTROL!$C$21, $C$9, 100%, $E$9)</f>
        <v>5.4939999999999998</v>
      </c>
      <c r="S30" s="10">
        <f>CHOOSE(CONTROL!$C$42, 4.0012, 4.0012) * CHOOSE(CONTROL!$C$21, $C$9, 100%, $E$9)</f>
        <v>4.0011999999999999</v>
      </c>
      <c r="T30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38">
        <f>(1000*CHOOSE(CONTROL!$C$42, 695, 695)*CHOOSE(CONTROL!$C$42, 0.5599, 0.5599)*CHOOSE(CONTROL!$C$42, 30, 30))/1000000</f>
        <v>11.673914999999997</v>
      </c>
      <c r="V30" s="38">
        <f>(1000*CHOOSE(CONTROL!$C$42, 580, 580)*CHOOSE(CONTROL!$C$42, 0.275, 0.275)*CHOOSE(CONTROL!$C$42, 30, 30))/1000000</f>
        <v>4.7850000000000001</v>
      </c>
      <c r="W30" s="38">
        <f>(1000*CHOOSE(CONTROL!$C$42, 0.1146, 0.1146)*CHOOSE(CONTROL!$C$42, 200, 200)*CHOOSE(CONTROL!$C$42, 30, 30))/1000000</f>
        <v>0.68759999999999999</v>
      </c>
      <c r="X30" s="38">
        <f>(30*0.1790888*245000/1000000)+(30*0.2374*100000/1000000)</f>
        <v>2.0285026799999999</v>
      </c>
      <c r="Y30" s="38"/>
      <c r="Z30" s="38">
        <f t="shared" si="0"/>
        <v>0.3</v>
      </c>
      <c r="AA30" s="10">
        <f>CHOOSE(CONTROL!$C$42, 4.0781, 4.0781) * CHOOSE(CONTROL!$C$21, $C$9, 100%, $E$9)</f>
        <v>4.0781000000000001</v>
      </c>
      <c r="AB30" s="42">
        <f>(30*((8.07*31500+8.18*100000)/30))/1000000</f>
        <v>1.0722050000000001</v>
      </c>
      <c r="AC30" s="33">
        <f>(B30*194.205+C30*267.466+D30*133.845+E30*53.484+F30*40+G30*185+H30*50+I30*100+J30*300)/(194.205+267.466+133.845+53.484+50+40+185+100+300)</f>
        <v>4.1464703280211479</v>
      </c>
      <c r="AD30" s="27">
        <f t="shared" si="2"/>
        <v>4.1304848920863311</v>
      </c>
    </row>
    <row r="31" spans="1:30" ht="15" x14ac:dyDescent="0.2">
      <c r="A31" s="16">
        <v>42186</v>
      </c>
      <c r="B31" s="10">
        <f>CHOOSE(CONTROL!$C$42, 4.1442, 4.1442) * CHOOSE(CONTROL!$C$21, $C$9, 100%, $E$9)</f>
        <v>4.1441999999999997</v>
      </c>
      <c r="C31" s="10">
        <f>CHOOSE(CONTROL!$C$42, 4.1521, 4.1521) * CHOOSE(CONTROL!$C$21, $C$9, 100%, $E$9)</f>
        <v>4.1520999999999999</v>
      </c>
      <c r="D31" s="10">
        <f>CHOOSE(CONTROL!$C$42, 4.3291, 4.3291) * CHOOSE(CONTROL!$C$21, $C$9, 100%, $E$9)</f>
        <v>4.3291000000000004</v>
      </c>
      <c r="E31" s="10">
        <f>CHOOSE(CONTROL!$C$42, 4.3602, 4.3602) * CHOOSE(CONTROL!$C$21, $C$9, 100%, $E$9)</f>
        <v>4.3601999999999999</v>
      </c>
      <c r="F31" s="10">
        <f>CHOOSE(CONTROL!$C$42, 4.108, 4.108)*CHOOSE(CONTROL!$C$21, $C$9, 100%, $E$9)</f>
        <v>4.1079999999999997</v>
      </c>
      <c r="G31" s="10">
        <f>CHOOSE(CONTROL!$C$42, 4.1246, 4.1246)*CHOOSE(CONTROL!$C$21, $C$9, 100%, $E$9)</f>
        <v>4.1246</v>
      </c>
      <c r="H31" s="10">
        <f>CHOOSE(CONTROL!$C$42, 4.3489, 4.3489) * CHOOSE(CONTROL!$C$21, $C$9, 100%, $E$9)</f>
        <v>4.3489000000000004</v>
      </c>
      <c r="I31" s="10">
        <f>CHOOSE(CONTROL!$C$42, 4.1288, 4.1288)* CHOOSE(CONTROL!$C$21, $C$9, 100%, $E$9)</f>
        <v>4.1288</v>
      </c>
      <c r="J31" s="10">
        <f>CHOOSE(CONTROL!$C$42, 4.101, 4.101)* CHOOSE(CONTROL!$C$21, $C$9, 100%, $E$9)</f>
        <v>4.101</v>
      </c>
      <c r="K31" s="10">
        <f>CHOOSE(CONTROL!$C$42, 4.1468, 4.1468) * CHOOSE(CONTROL!$C$21, $C$9, 100%, $E$9)</f>
        <v>4.1467999999999998</v>
      </c>
      <c r="L31" s="10">
        <f>CHOOSE(CONTROL!$C$42, 4.9359, 4.9359) * CHOOSE(CONTROL!$C$21, $C$9, 100%, $E$9)</f>
        <v>4.9359000000000002</v>
      </c>
      <c r="M31" s="10">
        <f>CHOOSE(CONTROL!$C$42, 4.0734, 4.0734) * CHOOSE(CONTROL!$C$21, $C$9, 100%, $E$9)</f>
        <v>4.0734000000000004</v>
      </c>
      <c r="N31" s="10">
        <f>CHOOSE(CONTROL!$C$42, 4.0899, 4.0899) * CHOOSE(CONTROL!$C$21, $C$9, 100%, $E$9)</f>
        <v>4.0899000000000001</v>
      </c>
      <c r="O31" s="10">
        <f>CHOOSE(CONTROL!$C$42, 4.3188, 4.3188) * CHOOSE(CONTROL!$C$21, $C$9, 100%, $E$9)</f>
        <v>4.3188000000000004</v>
      </c>
      <c r="P31" s="10">
        <f>CHOOSE(CONTROL!$C$42, 4.101, 4.101) * CHOOSE(CONTROL!$C$21, $C$9, 100%, $E$9)</f>
        <v>4.101</v>
      </c>
      <c r="Q31" s="10">
        <f>CHOOSE(CONTROL!$C$42, 4.9141, 4.9141) * CHOOSE(CONTROL!$C$21, $C$9, 100%, $E$9)</f>
        <v>4.9141000000000004</v>
      </c>
      <c r="R31" s="10">
        <f>CHOOSE(CONTROL!$C$42, 5.5134, 5.5134) * CHOOSE(CONTROL!$C$21, $C$9, 100%, $E$9)</f>
        <v>5.5133999999999999</v>
      </c>
      <c r="S31" s="10">
        <f>CHOOSE(CONTROL!$C$42, 4.0202, 4.0202) * CHOOSE(CONTROL!$C$21, $C$9, 100%, $E$9)</f>
        <v>4.0202</v>
      </c>
      <c r="T31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38">
        <f>(1000*CHOOSE(CONTROL!$C$42, 695, 695)*CHOOSE(CONTROL!$C$42, 0.5599, 0.5599)*CHOOSE(CONTROL!$C$42, 31, 31))/1000000</f>
        <v>12.063045499999998</v>
      </c>
      <c r="V31" s="38">
        <f>(1000*CHOOSE(CONTROL!$C$42, 580, 580)*CHOOSE(CONTROL!$C$42, 0.275, 0.275)*CHOOSE(CONTROL!$C$42, 31, 31))/1000000</f>
        <v>4.9444999999999997</v>
      </c>
      <c r="W31" s="38">
        <f>(1000*CHOOSE(CONTROL!$C$42, 0.1146, 0.1146)*CHOOSE(CONTROL!$C$42, 200, 200)*CHOOSE(CONTROL!$C$42, 31, 31))/1000000</f>
        <v>0.71052000000000004</v>
      </c>
      <c r="X31" s="38">
        <f>(31*0.1790888*245000/1000000)+(31*0.2374*100000/1000000)</f>
        <v>2.0961194359999999</v>
      </c>
      <c r="Y31" s="38"/>
      <c r="Z31" s="38">
        <f t="shared" si="0"/>
        <v>0.3</v>
      </c>
      <c r="AA31" s="10">
        <f>CHOOSE(CONTROL!$C$42, 4.0975, 4.0975) * CHOOSE(CONTROL!$C$21, $C$9, 100%, $E$9)</f>
        <v>4.0975000000000001</v>
      </c>
      <c r="AB31" s="40">
        <f>(31*((8.12*31500+8.18*100000)/31))/1000000</f>
        <v>1.07378</v>
      </c>
      <c r="AC31" s="33">
        <f>(B31*194.205+C31*267.466+D31*133.845+E31*53.484+F31*40+G31*185+H31*50+I31*100+J31*300)/(194.205+267.466+133.845+53.484+50+40+185+100+300)</f>
        <v>4.1661595663897284</v>
      </c>
      <c r="AD31" s="27">
        <f t="shared" si="2"/>
        <v>4.1500230215827338</v>
      </c>
    </row>
    <row r="32" spans="1:30" ht="15" x14ac:dyDescent="0.2">
      <c r="A32" s="16">
        <v>42217</v>
      </c>
      <c r="B32" s="10">
        <f>CHOOSE(CONTROL!$C$42, 4.1483, 4.1483) * CHOOSE(CONTROL!$C$21, $C$9, 100%, $E$9)</f>
        <v>4.1482999999999999</v>
      </c>
      <c r="C32" s="10">
        <f>CHOOSE(CONTROL!$C$42, 4.1562, 4.1562) * CHOOSE(CONTROL!$C$21, $C$9, 100%, $E$9)</f>
        <v>4.1562000000000001</v>
      </c>
      <c r="D32" s="10">
        <f>CHOOSE(CONTROL!$C$42, 4.3332, 4.3332) * CHOOSE(CONTROL!$C$21, $C$9, 100%, $E$9)</f>
        <v>4.3331999999999997</v>
      </c>
      <c r="E32" s="10">
        <f>CHOOSE(CONTROL!$C$42, 4.3644, 4.3644) * CHOOSE(CONTROL!$C$21, $C$9, 100%, $E$9)</f>
        <v>4.3643999999999998</v>
      </c>
      <c r="F32" s="10">
        <f>CHOOSE(CONTROL!$C$42, 4.1121, 4.1121)*CHOOSE(CONTROL!$C$21, $C$9, 100%, $E$9)</f>
        <v>4.1120999999999999</v>
      </c>
      <c r="G32" s="10">
        <f>CHOOSE(CONTROL!$C$42, 4.1288, 4.1288)*CHOOSE(CONTROL!$C$21, $C$9, 100%, $E$9)</f>
        <v>4.1288</v>
      </c>
      <c r="H32" s="10">
        <f>CHOOSE(CONTROL!$C$42, 4.353, 4.353) * CHOOSE(CONTROL!$C$21, $C$9, 100%, $E$9)</f>
        <v>4.3529999999999998</v>
      </c>
      <c r="I32" s="10">
        <f>CHOOSE(CONTROL!$C$42, 4.1329, 4.1329)* CHOOSE(CONTROL!$C$21, $C$9, 100%, $E$9)</f>
        <v>4.1329000000000002</v>
      </c>
      <c r="J32" s="10">
        <f>CHOOSE(CONTROL!$C$42, 4.1051, 4.1051)* CHOOSE(CONTROL!$C$21, $C$9, 100%, $E$9)</f>
        <v>4.1051000000000002</v>
      </c>
      <c r="K32" s="10">
        <f>CHOOSE(CONTROL!$C$42, 4.151, 4.151) * CHOOSE(CONTROL!$C$21, $C$9, 100%, $E$9)</f>
        <v>4.1509999999999998</v>
      </c>
      <c r="L32" s="10">
        <f>CHOOSE(CONTROL!$C$42, 4.94, 4.94) * CHOOSE(CONTROL!$C$21, $C$9, 100%, $E$9)</f>
        <v>4.9400000000000004</v>
      </c>
      <c r="M32" s="10">
        <f>CHOOSE(CONTROL!$C$42, 4.0775, 4.0775) * CHOOSE(CONTROL!$C$21, $C$9, 100%, $E$9)</f>
        <v>4.0774999999999997</v>
      </c>
      <c r="N32" s="10">
        <f>CHOOSE(CONTROL!$C$42, 4.094, 4.094) * CHOOSE(CONTROL!$C$21, $C$9, 100%, $E$9)</f>
        <v>4.0940000000000003</v>
      </c>
      <c r="O32" s="10">
        <f>CHOOSE(CONTROL!$C$42, 4.3229, 4.3229) * CHOOSE(CONTROL!$C$21, $C$9, 100%, $E$9)</f>
        <v>4.3228999999999997</v>
      </c>
      <c r="P32" s="10">
        <f>CHOOSE(CONTROL!$C$42, 4.1051, 4.1051) * CHOOSE(CONTROL!$C$21, $C$9, 100%, $E$9)</f>
        <v>4.1051000000000002</v>
      </c>
      <c r="Q32" s="10">
        <f>CHOOSE(CONTROL!$C$42, 4.9182, 4.9182) * CHOOSE(CONTROL!$C$21, $C$9, 100%, $E$9)</f>
        <v>4.9181999999999997</v>
      </c>
      <c r="R32" s="10">
        <f>CHOOSE(CONTROL!$C$42, 5.5175, 5.5175) * CHOOSE(CONTROL!$C$21, $C$9, 100%, $E$9)</f>
        <v>5.5175000000000001</v>
      </c>
      <c r="S32" s="10">
        <f>CHOOSE(CONTROL!$C$42, 4.0242, 4.0242) * CHOOSE(CONTROL!$C$21, $C$9, 100%, $E$9)</f>
        <v>4.0242000000000004</v>
      </c>
      <c r="T32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38">
        <f>(1000*CHOOSE(CONTROL!$C$42, 695, 695)*CHOOSE(CONTROL!$C$42, 0.5599, 0.5599)*CHOOSE(CONTROL!$C$42, 31, 31))/1000000</f>
        <v>12.063045499999998</v>
      </c>
      <c r="V32" s="38">
        <f>(1000*CHOOSE(CONTROL!$C$42, 580, 580)*CHOOSE(CONTROL!$C$42, 0.275, 0.275)*CHOOSE(CONTROL!$C$42, 31, 31))/1000000</f>
        <v>4.9444999999999997</v>
      </c>
      <c r="W32" s="38">
        <f>(1000*CHOOSE(CONTROL!$C$42, 0.1146, 0.1146)*CHOOSE(CONTROL!$C$42, 200, 200)*CHOOSE(CONTROL!$C$42, 31, 31))/1000000</f>
        <v>0.71052000000000004</v>
      </c>
      <c r="X32" s="38">
        <f>(31*0.1790888*245000/1000000)+(31*0.2374*100000/1000000)</f>
        <v>2.0961194359999999</v>
      </c>
      <c r="Y32" s="38"/>
      <c r="Z32" s="38">
        <f t="shared" si="0"/>
        <v>0.3</v>
      </c>
      <c r="AA32" s="10">
        <f>CHOOSE(CONTROL!$C$42, 4.1016, 4.1016) * CHOOSE(CONTROL!$C$21, $C$9, 100%, $E$9)</f>
        <v>4.1016000000000004</v>
      </c>
      <c r="AB32" s="40">
        <f>(31*((8.12*31500+8.18*100000)/31))/1000000</f>
        <v>1.07378</v>
      </c>
      <c r="AC32" s="33">
        <f>(B32*194.205+C32*267.466+D32*133.845+E32*53.484+F32*40+G32*185+H32*50+I32*100+J32*300)/(194.205+267.466+133.845+53.484+50+40+185+100+300)</f>
        <v>4.1702775787764352</v>
      </c>
      <c r="AD32" s="27">
        <f t="shared" si="2"/>
        <v>4.1541230215827341</v>
      </c>
    </row>
    <row r="33" spans="1:30" ht="15" x14ac:dyDescent="0.2">
      <c r="A33" s="16">
        <v>42248</v>
      </c>
      <c r="B33" s="10">
        <f>CHOOSE(CONTROL!$C$42, 4.1287, 4.1287) * CHOOSE(CONTROL!$C$21, $C$9, 100%, $E$9)</f>
        <v>4.1287000000000003</v>
      </c>
      <c r="C33" s="10">
        <f>CHOOSE(CONTROL!$C$42, 4.1367, 4.1367) * CHOOSE(CONTROL!$C$21, $C$9, 100%, $E$9)</f>
        <v>4.1367000000000003</v>
      </c>
      <c r="D33" s="10">
        <f>CHOOSE(CONTROL!$C$42, 4.3137, 4.3137) * CHOOSE(CONTROL!$C$21, $C$9, 100%, $E$9)</f>
        <v>4.3136999999999999</v>
      </c>
      <c r="E33" s="10">
        <f>CHOOSE(CONTROL!$C$42, 4.3448, 4.3448) * CHOOSE(CONTROL!$C$21, $C$9, 100%, $E$9)</f>
        <v>4.3448000000000002</v>
      </c>
      <c r="F33" s="10">
        <f>CHOOSE(CONTROL!$C$42, 4.0923, 4.0923)*CHOOSE(CONTROL!$C$21, $C$9, 100%, $E$9)</f>
        <v>4.0922999999999998</v>
      </c>
      <c r="G33" s="10">
        <f>CHOOSE(CONTROL!$C$42, 4.1089, 4.1089)*CHOOSE(CONTROL!$C$21, $C$9, 100%, $E$9)</f>
        <v>4.1089000000000002</v>
      </c>
      <c r="H33" s="10">
        <f>CHOOSE(CONTROL!$C$42, 4.3334, 4.3334) * CHOOSE(CONTROL!$C$21, $C$9, 100%, $E$9)</f>
        <v>4.3334000000000001</v>
      </c>
      <c r="I33" s="10">
        <f>CHOOSE(CONTROL!$C$42, 4.1133, 4.1133)* CHOOSE(CONTROL!$C$21, $C$9, 100%, $E$9)</f>
        <v>4.1132999999999997</v>
      </c>
      <c r="J33" s="10">
        <f>CHOOSE(CONTROL!$C$42, 4.0853, 4.0853)* CHOOSE(CONTROL!$C$21, $C$9, 100%, $E$9)</f>
        <v>4.0853000000000002</v>
      </c>
      <c r="K33" s="10">
        <f>CHOOSE(CONTROL!$C$42, 4.1314, 4.1314) * CHOOSE(CONTROL!$C$21, $C$9, 100%, $E$9)</f>
        <v>4.1314000000000002</v>
      </c>
      <c r="L33" s="10">
        <f>CHOOSE(CONTROL!$C$42, 4.9204, 4.9204) * CHOOSE(CONTROL!$C$21, $C$9, 100%, $E$9)</f>
        <v>4.9203999999999999</v>
      </c>
      <c r="M33" s="10">
        <f>CHOOSE(CONTROL!$C$42, 4.0579, 4.0579) * CHOOSE(CONTROL!$C$21, $C$9, 100%, $E$9)</f>
        <v>4.0579000000000001</v>
      </c>
      <c r="N33" s="10">
        <f>CHOOSE(CONTROL!$C$42, 4.0743, 4.0743) * CHOOSE(CONTROL!$C$21, $C$9, 100%, $E$9)</f>
        <v>4.0743</v>
      </c>
      <c r="O33" s="10">
        <f>CHOOSE(CONTROL!$C$42, 4.3035, 4.3035) * CHOOSE(CONTROL!$C$21, $C$9, 100%, $E$9)</f>
        <v>4.3034999999999997</v>
      </c>
      <c r="P33" s="10">
        <f>CHOOSE(CONTROL!$C$42, 4.0857, 4.0857) * CHOOSE(CONTROL!$C$21, $C$9, 100%, $E$9)</f>
        <v>4.0857000000000001</v>
      </c>
      <c r="Q33" s="10">
        <f>CHOOSE(CONTROL!$C$42, 4.8988, 4.8988) * CHOOSE(CONTROL!$C$21, $C$9, 100%, $E$9)</f>
        <v>4.8987999999999996</v>
      </c>
      <c r="R33" s="10">
        <f>CHOOSE(CONTROL!$C$42, 5.4981, 5.4981) * CHOOSE(CONTROL!$C$21, $C$9, 100%, $E$9)</f>
        <v>5.4981</v>
      </c>
      <c r="S33" s="10">
        <f>CHOOSE(CONTROL!$C$42, 4.0052, 4.0052) * CHOOSE(CONTROL!$C$21, $C$9, 100%, $E$9)</f>
        <v>4.0052000000000003</v>
      </c>
      <c r="T33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38">
        <f>(1000*CHOOSE(CONTROL!$C$42, 695, 695)*CHOOSE(CONTROL!$C$42, 0.5599, 0.5599)*CHOOSE(CONTROL!$C$42, 30, 30))/1000000</f>
        <v>11.673914999999997</v>
      </c>
      <c r="V33" s="38">
        <f>(1000*CHOOSE(CONTROL!$C$42, 580, 580)*CHOOSE(CONTROL!$C$42, 0.275, 0.275)*CHOOSE(CONTROL!$C$42, 30, 30))/1000000</f>
        <v>4.7850000000000001</v>
      </c>
      <c r="W33" s="38">
        <f>(1000*CHOOSE(CONTROL!$C$42, 0.1146, 0.1146)*CHOOSE(CONTROL!$C$42, 200, 200)*CHOOSE(CONTROL!$C$42, 30, 30))/1000000</f>
        <v>0.68759999999999999</v>
      </c>
      <c r="X33" s="38">
        <f>(30*0.1790888*245000/1000000)+(30*0.2374*100000/1000000)</f>
        <v>2.0285026799999999</v>
      </c>
      <c r="Y33" s="38"/>
      <c r="Z33" s="38">
        <f t="shared" si="0"/>
        <v>0.3</v>
      </c>
      <c r="AA33" s="10">
        <f>CHOOSE(CONTROL!$C$42, 4.0822, 4.0822) * CHOOSE(CONTROL!$C$21, $C$9, 100%, $E$9)</f>
        <v>4.0822000000000003</v>
      </c>
      <c r="AB33" s="40">
        <f>(30*((8.12*31500+8.18*100000)/30))/1000000</f>
        <v>1.07378</v>
      </c>
      <c r="AC33" s="33">
        <f>(B33*194.205+C33*267.466+D33*133.845+E33*53.484+F33*40+G33*185+H33*50+I33*100+J33*300)/(194.205+267.466+133.845+53.484+50+40+185+100+300)</f>
        <v>4.1506146113293054</v>
      </c>
      <c r="AD33" s="27">
        <f t="shared" si="2"/>
        <v>4.1345848920863313</v>
      </c>
    </row>
    <row r="34" spans="1:30" ht="15" x14ac:dyDescent="0.2">
      <c r="A34" s="16">
        <v>42278</v>
      </c>
      <c r="B34" s="10">
        <f>CHOOSE(CONTROL!$C$42, 4.1472, 4.1472) * CHOOSE(CONTROL!$C$21, $C$9, 100%, $E$9)</f>
        <v>4.1471999999999998</v>
      </c>
      <c r="C34" s="10">
        <f>CHOOSE(CONTROL!$C$42, 4.1524, 4.1524) * CHOOSE(CONTROL!$C$21, $C$9, 100%, $E$9)</f>
        <v>4.1524000000000001</v>
      </c>
      <c r="D34" s="10">
        <f>CHOOSE(CONTROL!$C$42, 4.3344, 4.3344) * CHOOSE(CONTROL!$C$21, $C$9, 100%, $E$9)</f>
        <v>4.3343999999999996</v>
      </c>
      <c r="E34" s="10">
        <f>CHOOSE(CONTROL!$C$42, 4.3632, 4.3632) * CHOOSE(CONTROL!$C$21, $C$9, 100%, $E$9)</f>
        <v>4.3632</v>
      </c>
      <c r="F34" s="10">
        <f>CHOOSE(CONTROL!$C$42, 4.1128, 4.1128)*CHOOSE(CONTROL!$C$21, $C$9, 100%, $E$9)</f>
        <v>4.1128</v>
      </c>
      <c r="G34" s="10">
        <f>CHOOSE(CONTROL!$C$42, 4.129, 4.129)*CHOOSE(CONTROL!$C$21, $C$9, 100%, $E$9)</f>
        <v>4.1289999999999996</v>
      </c>
      <c r="H34" s="10">
        <f>CHOOSE(CONTROL!$C$42, 4.3536, 4.3536) * CHOOSE(CONTROL!$C$21, $C$9, 100%, $E$9)</f>
        <v>4.3536000000000001</v>
      </c>
      <c r="I34" s="10">
        <f>CHOOSE(CONTROL!$C$42, 4.1335, 4.1335)* CHOOSE(CONTROL!$C$21, $C$9, 100%, $E$9)</f>
        <v>4.1334999999999997</v>
      </c>
      <c r="J34" s="10">
        <f>CHOOSE(CONTROL!$C$42, 4.1058, 4.1058)* CHOOSE(CONTROL!$C$21, $C$9, 100%, $E$9)</f>
        <v>4.1058000000000003</v>
      </c>
      <c r="K34" s="10">
        <f>CHOOSE(CONTROL!$C$42, 4.1516, 4.1516) * CHOOSE(CONTROL!$C$21, $C$9, 100%, $E$9)</f>
        <v>4.1516000000000002</v>
      </c>
      <c r="L34" s="10">
        <f>CHOOSE(CONTROL!$C$42, 4.9406, 4.9406) * CHOOSE(CONTROL!$C$21, $C$9, 100%, $E$9)</f>
        <v>4.9405999999999999</v>
      </c>
      <c r="M34" s="10">
        <f>CHOOSE(CONTROL!$C$42, 4.0782, 4.0782) * CHOOSE(CONTROL!$C$21, $C$9, 100%, $E$9)</f>
        <v>4.0781999999999998</v>
      </c>
      <c r="N34" s="10">
        <f>CHOOSE(CONTROL!$C$42, 4.0943, 4.0943) * CHOOSE(CONTROL!$C$21, $C$9, 100%, $E$9)</f>
        <v>4.0942999999999996</v>
      </c>
      <c r="O34" s="10">
        <f>CHOOSE(CONTROL!$C$42, 4.3235, 4.3235) * CHOOSE(CONTROL!$C$21, $C$9, 100%, $E$9)</f>
        <v>4.3235000000000001</v>
      </c>
      <c r="P34" s="10">
        <f>CHOOSE(CONTROL!$C$42, 4.1057, 4.1057) * CHOOSE(CONTROL!$C$21, $C$9, 100%, $E$9)</f>
        <v>4.1056999999999997</v>
      </c>
      <c r="Q34" s="10">
        <f>CHOOSE(CONTROL!$C$42, 4.9188, 4.9188) * CHOOSE(CONTROL!$C$21, $C$9, 100%, $E$9)</f>
        <v>4.9188000000000001</v>
      </c>
      <c r="R34" s="10">
        <f>CHOOSE(CONTROL!$C$42, 5.5181, 5.5181) * CHOOSE(CONTROL!$C$21, $C$9, 100%, $E$9)</f>
        <v>5.5180999999999996</v>
      </c>
      <c r="S34" s="10">
        <f>CHOOSE(CONTROL!$C$42, 4.0248, 4.0248) * CHOOSE(CONTROL!$C$21, $C$9, 100%, $E$9)</f>
        <v>4.0247999999999999</v>
      </c>
      <c r="T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38">
        <f>(1000*CHOOSE(CONTROL!$C$42, 695, 695)*CHOOSE(CONTROL!$C$42, 0.5599, 0.5599)*CHOOSE(CONTROL!$C$42, 31, 31))/1000000</f>
        <v>12.063045499999998</v>
      </c>
      <c r="V34" s="38">
        <f>(1000*CHOOSE(CONTROL!$C$42, 580, 580)*CHOOSE(CONTROL!$C$42, 0.275, 0.275)*CHOOSE(CONTROL!$C$42, 31, 31))/1000000</f>
        <v>4.9444999999999997</v>
      </c>
      <c r="W34" s="38">
        <f>(1000*CHOOSE(CONTROL!$C$42, 0.1146, 0.1146)*CHOOSE(CONTROL!$C$42, 200, 200)*CHOOSE(CONTROL!$C$42, 31, 31))/1000000</f>
        <v>0.71052000000000004</v>
      </c>
      <c r="X34" s="38">
        <f>(31*0.1790888*245000/1000000)+(31*0.2374*100000/1000000)</f>
        <v>2.0961194359999999</v>
      </c>
      <c r="Y34" s="38"/>
      <c r="Z34" s="38">
        <f t="shared" si="0"/>
        <v>0.3</v>
      </c>
      <c r="AA34" s="10">
        <f>CHOOSE(CONTROL!$C$42, 4.1022, 4.1022) * CHOOSE(CONTROL!$C$21, $C$9, 100%, $E$9)</f>
        <v>4.1021999999999998</v>
      </c>
      <c r="AB34" s="40">
        <f>(31*((8.12*31500+8.18*100000)/31))/1000000</f>
        <v>1.07378</v>
      </c>
      <c r="AC34" s="33">
        <f>(B34*131.881+C34*277.167+D34*79.08+E34*125.872+F34*40+G34*185+H34*0+I34*100+J34*300)/(131.881+277.167+79.08+125.872+0+40+185+100+300)</f>
        <v>4.1672971722356733</v>
      </c>
      <c r="AD34" s="27">
        <f t="shared" si="2"/>
        <v>4.1546884892086329</v>
      </c>
    </row>
    <row r="35" spans="1:30" ht="15" x14ac:dyDescent="0.2">
      <c r="A35" s="16">
        <v>42309</v>
      </c>
      <c r="B35" s="10">
        <f>CHOOSE(CONTROL!$C$42, 4.2003, 4.2003) * CHOOSE(CONTROL!$C$21, $C$9, 100%, $E$9)</f>
        <v>4.2003000000000004</v>
      </c>
      <c r="C35" s="10">
        <f>CHOOSE(CONTROL!$C$42, 4.2053, 4.2053) * CHOOSE(CONTROL!$C$21, $C$9, 100%, $E$9)</f>
        <v>4.2053000000000003</v>
      </c>
      <c r="D35" s="10">
        <f>CHOOSE(CONTROL!$C$42, 4.2297, 4.2297) * CHOOSE(CONTROL!$C$21, $C$9, 100%, $E$9)</f>
        <v>4.2297000000000002</v>
      </c>
      <c r="E35" s="10">
        <f>CHOOSE(CONTROL!$C$42, 4.2635, 4.2635) * CHOOSE(CONTROL!$C$21, $C$9, 100%, $E$9)</f>
        <v>4.2634999999999996</v>
      </c>
      <c r="F35" s="10">
        <f>CHOOSE(CONTROL!$C$42, 4.1696, 4.1696)*CHOOSE(CONTROL!$C$21, $C$9, 100%, $E$9)</f>
        <v>4.1696</v>
      </c>
      <c r="G35" s="10">
        <f>CHOOSE(CONTROL!$C$42, 4.1861, 4.1861)*CHOOSE(CONTROL!$C$21, $C$9, 100%, $E$9)</f>
        <v>4.1860999999999997</v>
      </c>
      <c r="H35" s="10">
        <f>CHOOSE(CONTROL!$C$42, 4.2527, 4.2527) * CHOOSE(CONTROL!$C$21, $C$9, 100%, $E$9)</f>
        <v>4.2526999999999999</v>
      </c>
      <c r="I35" s="10">
        <f>CHOOSE(CONTROL!$C$42, 4.1871, 4.1871)* CHOOSE(CONTROL!$C$21, $C$9, 100%, $E$9)</f>
        <v>4.1871</v>
      </c>
      <c r="J35" s="10">
        <f>CHOOSE(CONTROL!$C$42, 4.1626, 4.1626)* CHOOSE(CONTROL!$C$21, $C$9, 100%, $E$9)</f>
        <v>4.1626000000000003</v>
      </c>
      <c r="K35" s="10">
        <f>CHOOSE(CONTROL!$C$42, 4.2051, 4.2051) * CHOOSE(CONTROL!$C$21, $C$9, 100%, $E$9)</f>
        <v>4.2050999999999998</v>
      </c>
      <c r="L35" s="10">
        <f>CHOOSE(CONTROL!$C$42, 4.8397, 4.8397) * CHOOSE(CONTROL!$C$21, $C$9, 100%, $E$9)</f>
        <v>4.8396999999999997</v>
      </c>
      <c r="M35" s="10">
        <f>CHOOSE(CONTROL!$C$42, 4.1345, 4.1345) * CHOOSE(CONTROL!$C$21, $C$9, 100%, $E$9)</f>
        <v>4.1345000000000001</v>
      </c>
      <c r="N35" s="10">
        <f>CHOOSE(CONTROL!$C$42, 4.1507, 4.1507) * CHOOSE(CONTROL!$C$21, $C$9, 100%, $E$9)</f>
        <v>4.1506999999999996</v>
      </c>
      <c r="O35" s="10">
        <f>CHOOSE(CONTROL!$C$42, 4.2236, 4.2236) * CHOOSE(CONTROL!$C$21, $C$9, 100%, $E$9)</f>
        <v>4.2236000000000002</v>
      </c>
      <c r="P35" s="10">
        <f>CHOOSE(CONTROL!$C$42, 4.1587, 4.1587) * CHOOSE(CONTROL!$C$21, $C$9, 100%, $E$9)</f>
        <v>4.1586999999999996</v>
      </c>
      <c r="Q35" s="10">
        <f>CHOOSE(CONTROL!$C$42, 4.8189, 4.8189) * CHOOSE(CONTROL!$C$21, $C$9, 100%, $E$9)</f>
        <v>4.8189000000000002</v>
      </c>
      <c r="R35" s="10">
        <f>CHOOSE(CONTROL!$C$42, 5.418, 5.418) * CHOOSE(CONTROL!$C$21, $C$9, 100%, $E$9)</f>
        <v>5.4180000000000001</v>
      </c>
      <c r="S35" s="10">
        <f>CHOOSE(CONTROL!$C$42, 4.0768, 4.0768) * CHOOSE(CONTROL!$C$21, $C$9, 100%, $E$9)</f>
        <v>4.0768000000000004</v>
      </c>
      <c r="T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38">
        <f>(1000*CHOOSE(CONTROL!$C$42, 695, 695)*CHOOSE(CONTROL!$C$42, 0.5599, 0.5599)*CHOOSE(CONTROL!$C$42, 30, 30))/1000000</f>
        <v>11.673914999999997</v>
      </c>
      <c r="V35" s="38">
        <f>(1000*CHOOSE(CONTROL!$C$42, 580, 580)*CHOOSE(CONTROL!$C$42, 0.275, 0.275)*CHOOSE(CONTROL!$C$42, 30, 30))/1000000</f>
        <v>4.7850000000000001</v>
      </c>
      <c r="W35" s="38">
        <f>(1000*CHOOSE(CONTROL!$C$42, 0.1146, 0.1146)*CHOOSE(CONTROL!$C$42, 200, 200)*CHOOSE(CONTROL!$C$42, 30, 30))/1000000</f>
        <v>0.68759999999999999</v>
      </c>
      <c r="X35" s="38">
        <f>(30*0.1790888*100000/1000000)+(30*0.2374*100000/1000000)</f>
        <v>1.2494664</v>
      </c>
      <c r="Y35" s="38"/>
      <c r="Z35" s="38">
        <f t="shared" si="0"/>
        <v>0.3</v>
      </c>
      <c r="AA35" s="10">
        <f>CHOOSE(CONTROL!$C$42, 4.1539, 4.1539) * CHOOSE(CONTROL!$C$21, $C$9, 100%, $E$9)</f>
        <v>4.1539000000000001</v>
      </c>
      <c r="AB35" s="40">
        <f>(30*((8.12*31500+8.18*100000)/30))/1000000</f>
        <v>1.07378</v>
      </c>
      <c r="AC35" s="33">
        <f>(B35*122.58+C35*297.941+D35*89.177+E35*40.302+F35*40+G35*160+H35*0+I35*100+J35*300)/(122.58+297.941+89.177+40.302+0+40+160+100+300)</f>
        <v>4.1920639958260875</v>
      </c>
      <c r="AD35" s="27">
        <f>(M35*240+N35*40+O35*315+P35*100)/(240+40+315+100)</f>
        <v>4.1792978417266191</v>
      </c>
    </row>
    <row r="36" spans="1:30" ht="15" x14ac:dyDescent="0.2">
      <c r="A36" s="16">
        <v>42339</v>
      </c>
      <c r="B36" s="10">
        <f>CHOOSE(CONTROL!$C$42, 4.3795, 4.3795) * CHOOSE(CONTROL!$C$21, $C$9, 100%, $E$9)</f>
        <v>4.3795000000000002</v>
      </c>
      <c r="C36" s="10">
        <f>CHOOSE(CONTROL!$C$42, 4.3845, 4.3845) * CHOOSE(CONTROL!$C$21, $C$9, 100%, $E$9)</f>
        <v>4.3845000000000001</v>
      </c>
      <c r="D36" s="10">
        <f>CHOOSE(CONTROL!$C$42, 4.4089, 4.4089) * CHOOSE(CONTROL!$C$21, $C$9, 100%, $E$9)</f>
        <v>4.4089</v>
      </c>
      <c r="E36" s="10">
        <f>CHOOSE(CONTROL!$C$42, 4.4427, 4.4427) * CHOOSE(CONTROL!$C$21, $C$9, 100%, $E$9)</f>
        <v>4.4427000000000003</v>
      </c>
      <c r="F36" s="10">
        <f>CHOOSE(CONTROL!$C$42, 4.3511, 4.3511)*CHOOSE(CONTROL!$C$21, $C$9, 100%, $E$9)</f>
        <v>4.3510999999999997</v>
      </c>
      <c r="G36" s="10">
        <f>CHOOSE(CONTROL!$C$42, 4.3682, 4.3682)*CHOOSE(CONTROL!$C$21, $C$9, 100%, $E$9)</f>
        <v>4.3681999999999999</v>
      </c>
      <c r="H36" s="10">
        <f>CHOOSE(CONTROL!$C$42, 4.4319, 4.4319) * CHOOSE(CONTROL!$C$21, $C$9, 100%, $E$9)</f>
        <v>4.4318999999999997</v>
      </c>
      <c r="I36" s="10">
        <f>CHOOSE(CONTROL!$C$42, 4.3663, 4.3663)* CHOOSE(CONTROL!$C$21, $C$9, 100%, $E$9)</f>
        <v>4.3662999999999998</v>
      </c>
      <c r="J36" s="10">
        <f>CHOOSE(CONTROL!$C$42, 4.3441, 4.3441)* CHOOSE(CONTROL!$C$21, $C$9, 100%, $E$9)</f>
        <v>4.3441000000000001</v>
      </c>
      <c r="K36" s="10">
        <f>CHOOSE(CONTROL!$C$42, 4.3842, 4.3842) * CHOOSE(CONTROL!$C$21, $C$9, 100%, $E$9)</f>
        <v>4.3841999999999999</v>
      </c>
      <c r="L36" s="10">
        <f>CHOOSE(CONTROL!$C$42, 5.0189, 5.0189) * CHOOSE(CONTROL!$C$21, $C$9, 100%, $E$9)</f>
        <v>5.0189000000000004</v>
      </c>
      <c r="M36" s="10">
        <f>CHOOSE(CONTROL!$C$42, 4.3141, 4.3141) * CHOOSE(CONTROL!$C$21, $C$9, 100%, $E$9)</f>
        <v>4.3140999999999998</v>
      </c>
      <c r="N36" s="10">
        <f>CHOOSE(CONTROL!$C$42, 4.331, 4.331) * CHOOSE(CONTROL!$C$21, $C$9, 100%, $E$9)</f>
        <v>4.3310000000000004</v>
      </c>
      <c r="O36" s="10">
        <f>CHOOSE(CONTROL!$C$42, 4.401, 4.401) * CHOOSE(CONTROL!$C$21, $C$9, 100%, $E$9)</f>
        <v>4.4009999999999998</v>
      </c>
      <c r="P36" s="10">
        <f>CHOOSE(CONTROL!$C$42, 4.3361, 4.3361) * CHOOSE(CONTROL!$C$21, $C$9, 100%, $E$9)</f>
        <v>4.3361000000000001</v>
      </c>
      <c r="Q36" s="10">
        <f>CHOOSE(CONTROL!$C$42, 4.9963, 4.9963) * CHOOSE(CONTROL!$C$21, $C$9, 100%, $E$9)</f>
        <v>4.9962999999999997</v>
      </c>
      <c r="R36" s="10">
        <f>CHOOSE(CONTROL!$C$42, 5.5958, 5.5958) * CHOOSE(CONTROL!$C$21, $C$9, 100%, $E$9)</f>
        <v>5.5957999999999997</v>
      </c>
      <c r="S36" s="10">
        <f>CHOOSE(CONTROL!$C$42, 4.2508, 4.2508) * CHOOSE(CONTROL!$C$21, $C$9, 100%, $E$9)</f>
        <v>4.2507999999999999</v>
      </c>
      <c r="T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38">
        <f>(1000*CHOOSE(CONTROL!$C$42, 695, 695)*CHOOSE(CONTROL!$C$42, 0.5599, 0.5599)*CHOOSE(CONTROL!$C$42, 31, 31))/1000000</f>
        <v>12.063045499999998</v>
      </c>
      <c r="V36" s="38">
        <f>(1000*CHOOSE(CONTROL!$C$42, 580, 580)*CHOOSE(CONTROL!$C$42, 0.275, 0.275)*CHOOSE(CONTROL!$C$42, 31, 31))/1000000</f>
        <v>4.9444999999999997</v>
      </c>
      <c r="W36" s="38">
        <f>(1000*CHOOSE(CONTROL!$C$42, 0.1146, 0.1146)*CHOOSE(CONTROL!$C$42, 200, 200)*CHOOSE(CONTROL!$C$42, 31, 31))/1000000</f>
        <v>0.71052000000000004</v>
      </c>
      <c r="X36" s="38">
        <f>(31*0.1790888*100000/1000000)+(31*0.2374*100000/1000000)</f>
        <v>1.2911152800000001</v>
      </c>
      <c r="Y36" s="38"/>
      <c r="Z36" s="38">
        <f t="shared" si="0"/>
        <v>0.3</v>
      </c>
      <c r="AA36" s="10">
        <f>CHOOSE(CONTROL!$C$42, 4.332, 4.332) * CHOOSE(CONTROL!$C$21, $C$9, 100%, $E$9)</f>
        <v>4.3319999999999999</v>
      </c>
      <c r="AB36" s="40">
        <f>(31*((8.12*31500+8.18*100000)/31))/1000000</f>
        <v>1.07378</v>
      </c>
      <c r="AC36" s="33">
        <f>(B36*122.58+C36*297.941+D36*89.177+E36*40.302+F36*40+G36*160+H36*0+I36*100+J36*300)/(122.58+297.941+89.177+40.302+0+40+160+100+300)</f>
        <v>4.3723474740869559</v>
      </c>
      <c r="AD36" s="27">
        <f>(M36*240+N36*40+O36*315+P36*100)/(240+40+315+100)</f>
        <v>4.357624460431655</v>
      </c>
    </row>
    <row r="37" spans="1:30" ht="15" x14ac:dyDescent="0.2">
      <c r="A37" s="16">
        <v>42370</v>
      </c>
      <c r="B37" s="10">
        <f>CHOOSE(CONTROL!$C$42, 4.5237, 4.5237) * CHOOSE(CONTROL!$C$21, $C$9, 100%, $E$9)</f>
        <v>4.5236999999999998</v>
      </c>
      <c r="C37" s="10">
        <f>CHOOSE(CONTROL!$C$42, 4.5286, 4.5286) * CHOOSE(CONTROL!$C$21, $C$9, 100%, $E$9)</f>
        <v>4.5286</v>
      </c>
      <c r="D37" s="10">
        <f>CHOOSE(CONTROL!$C$42, 4.5531, 4.5531) * CHOOSE(CONTROL!$C$21, $C$9, 100%, $E$9)</f>
        <v>4.5530999999999997</v>
      </c>
      <c r="E37" s="10">
        <f>CHOOSE(CONTROL!$C$42, 4.5869, 4.5869) * CHOOSE(CONTROL!$C$21, $C$9, 100%, $E$9)</f>
        <v>4.5869</v>
      </c>
      <c r="F37" s="10">
        <f>CHOOSE(CONTROL!$C$42, 4.5066, 4.5066)*CHOOSE(CONTROL!$C$21, $C$9, 100%, $E$9)</f>
        <v>4.5065999999999997</v>
      </c>
      <c r="G37" s="10">
        <f>CHOOSE(CONTROL!$C$42, 4.5253, 4.5253)*CHOOSE(CONTROL!$C$21, $C$9, 100%, $E$9)</f>
        <v>4.5252999999999997</v>
      </c>
      <c r="H37" s="10">
        <f>CHOOSE(CONTROL!$C$42, 4.5761, 4.5761) * CHOOSE(CONTROL!$C$21, $C$9, 100%, $E$9)</f>
        <v>4.5761000000000003</v>
      </c>
      <c r="I37" s="10">
        <f>CHOOSE(CONTROL!$C$42, 4.5182, 4.5182)* CHOOSE(CONTROL!$C$21, $C$9, 100%, $E$9)</f>
        <v>4.5182000000000002</v>
      </c>
      <c r="J37" s="10">
        <f>CHOOSE(CONTROL!$C$42, 4.4996, 4.4996)* CHOOSE(CONTROL!$C$21, $C$9, 100%, $E$9)</f>
        <v>4.4996</v>
      </c>
      <c r="K37" s="10">
        <f>CHOOSE(CONTROL!$C$42, 4.5453, 4.5453) * CHOOSE(CONTROL!$C$21, $C$9, 100%, $E$9)</f>
        <v>4.5453000000000001</v>
      </c>
      <c r="L37" s="10">
        <f>CHOOSE(CONTROL!$C$42, 5.1631, 5.1631) * CHOOSE(CONTROL!$C$21, $C$9, 100%, $E$9)</f>
        <v>5.1631</v>
      </c>
      <c r="M37" s="10">
        <f>CHOOSE(CONTROL!$C$42, 4.468, 4.468) * CHOOSE(CONTROL!$C$21, $C$9, 100%, $E$9)</f>
        <v>4.468</v>
      </c>
      <c r="N37" s="10">
        <f>CHOOSE(CONTROL!$C$42, 4.4865, 4.4865) * CHOOSE(CONTROL!$C$21, $C$9, 100%, $E$9)</f>
        <v>4.4865000000000004</v>
      </c>
      <c r="O37" s="10">
        <f>CHOOSE(CONTROL!$C$42, 4.5437, 4.5437) * CHOOSE(CONTROL!$C$21, $C$9, 100%, $E$9)</f>
        <v>4.5437000000000003</v>
      </c>
      <c r="P37" s="10">
        <f>CHOOSE(CONTROL!$C$42, 4.4864, 4.4864) * CHOOSE(CONTROL!$C$21, $C$9, 100%, $E$9)</f>
        <v>4.4863999999999997</v>
      </c>
      <c r="Q37" s="10">
        <f>CHOOSE(CONTROL!$C$42, 5.139, 5.139) * CHOOSE(CONTROL!$C$21, $C$9, 100%, $E$9)</f>
        <v>5.1390000000000002</v>
      </c>
      <c r="R37" s="10">
        <f>CHOOSE(CONTROL!$C$42, 5.7388, 5.7388) * CHOOSE(CONTROL!$C$21, $C$9, 100%, $E$9)</f>
        <v>5.7388000000000003</v>
      </c>
      <c r="S37" s="10">
        <f>CHOOSE(CONTROL!$C$42, 4.3908, 4.3908) * CHOOSE(CONTROL!$C$21, $C$9, 100%, $E$9)</f>
        <v>4.3907999999999996</v>
      </c>
      <c r="T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38">
        <f>(1000*CHOOSE(CONTROL!$C$42, 695, 695)*CHOOSE(CONTROL!$C$42, 0.5599, 0.5599)*CHOOSE(CONTROL!$C$42, 31, 31))/1000000</f>
        <v>12.063045499999998</v>
      </c>
      <c r="V37" s="38">
        <f>(1000*CHOOSE(CONTROL!$C$42, 580, 580)*CHOOSE(CONTROL!$C$42, 0.275, 0.275)*CHOOSE(CONTROL!$C$42, 31, 31))/1000000</f>
        <v>4.9444999999999997</v>
      </c>
      <c r="W37" s="38">
        <f>(1000*CHOOSE(CONTROL!$C$42, 0.1146, 0.1146)*CHOOSE(CONTROL!$C$42, 200, 200)*CHOOSE(CONTROL!$C$42, 31, 31))/1000000</f>
        <v>0.71052000000000004</v>
      </c>
      <c r="X37" s="38">
        <f>(31*0.1790888*100000/1000000)+(31*0.2374*100000/1000000)</f>
        <v>1.2911152800000001</v>
      </c>
      <c r="Y37" s="38"/>
      <c r="Z37" s="38">
        <f t="shared" si="0"/>
        <v>0.3</v>
      </c>
      <c r="AA37" s="10"/>
      <c r="AB37" s="39"/>
      <c r="AC37" s="33">
        <f>(B37*122.58+C37*297.941+D37*89.177+E37*40.302+F37*40+G37*160+H37*0+I37*100+J37*300)/(122.58+297.941+89.177+40.302+0+40+160+100+300)</f>
        <v>4.5223267835652177</v>
      </c>
      <c r="AD37" s="27">
        <f>(M37*'RAP TEMPLATE-GAS AVAILABILITY'!O36+N37*'RAP TEMPLATE-GAS AVAILABILITY'!P36+O37*'RAP TEMPLATE-GAS AVAILABILITY'!Q36+P37*'RAP TEMPLATE-GAS AVAILABILITY'!R36)/('RAP TEMPLATE-GAS AVAILABILITY'!O36+'RAP TEMPLATE-GAS AVAILABILITY'!P36+'RAP TEMPLATE-GAS AVAILABILITY'!Q36+'RAP TEMPLATE-GAS AVAILABILITY'!R36)</f>
        <v>4.5060223021582733</v>
      </c>
    </row>
    <row r="38" spans="1:30" ht="15" x14ac:dyDescent="0.2">
      <c r="A38" s="16">
        <v>42401</v>
      </c>
      <c r="B38" s="10">
        <f>CHOOSE(CONTROL!$C$42, 4.4979, 4.4979) * CHOOSE(CONTROL!$C$21, $C$9, 100%, $E$9)</f>
        <v>4.4978999999999996</v>
      </c>
      <c r="C38" s="10">
        <f>CHOOSE(CONTROL!$C$42, 4.5029, 4.5029) * CHOOSE(CONTROL!$C$21, $C$9, 100%, $E$9)</f>
        <v>4.5029000000000003</v>
      </c>
      <c r="D38" s="10">
        <f>CHOOSE(CONTROL!$C$42, 4.5273, 4.5273) * CHOOSE(CONTROL!$C$21, $C$9, 100%, $E$9)</f>
        <v>4.5273000000000003</v>
      </c>
      <c r="E38" s="10">
        <f>CHOOSE(CONTROL!$C$42, 4.5611, 4.5611) * CHOOSE(CONTROL!$C$21, $C$9, 100%, $E$9)</f>
        <v>4.5610999999999997</v>
      </c>
      <c r="F38" s="10">
        <f>CHOOSE(CONTROL!$C$42, 4.4802, 4.4802)*CHOOSE(CONTROL!$C$21, $C$9, 100%, $E$9)</f>
        <v>4.4802</v>
      </c>
      <c r="G38" s="10">
        <f>CHOOSE(CONTROL!$C$42, 4.4987, 4.4987)*CHOOSE(CONTROL!$C$21, $C$9, 100%, $E$9)</f>
        <v>4.4987000000000004</v>
      </c>
      <c r="H38" s="10">
        <f>CHOOSE(CONTROL!$C$42, 4.5503, 4.5503) * CHOOSE(CONTROL!$C$21, $C$9, 100%, $E$9)</f>
        <v>4.5503</v>
      </c>
      <c r="I38" s="10">
        <f>CHOOSE(CONTROL!$C$42, 4.4924, 4.4924)* CHOOSE(CONTROL!$C$21, $C$9, 100%, $E$9)</f>
        <v>4.4923999999999999</v>
      </c>
      <c r="J38" s="10">
        <f>CHOOSE(CONTROL!$C$42, 4.4732, 4.4732)* CHOOSE(CONTROL!$C$21, $C$9, 100%, $E$9)</f>
        <v>4.4732000000000003</v>
      </c>
      <c r="K38" s="10">
        <f>CHOOSE(CONTROL!$C$42, 4.5188, 4.5188) * CHOOSE(CONTROL!$C$21, $C$9, 100%, $E$9)</f>
        <v>4.5187999999999997</v>
      </c>
      <c r="L38" s="10">
        <f>CHOOSE(CONTROL!$C$42, 5.1373, 5.1373) * CHOOSE(CONTROL!$C$21, $C$9, 100%, $E$9)</f>
        <v>5.1372999999999998</v>
      </c>
      <c r="M38" s="10">
        <f>CHOOSE(CONTROL!$C$42, 4.4419, 4.4419) * CHOOSE(CONTROL!$C$21, $C$9, 100%, $E$9)</f>
        <v>4.4419000000000004</v>
      </c>
      <c r="N38" s="10">
        <f>CHOOSE(CONTROL!$C$42, 4.4602, 4.4602) * CHOOSE(CONTROL!$C$21, $C$9, 100%, $E$9)</f>
        <v>4.4602000000000004</v>
      </c>
      <c r="O38" s="10">
        <f>CHOOSE(CONTROL!$C$42, 4.5182, 4.5182) * CHOOSE(CONTROL!$C$21, $C$9, 100%, $E$9)</f>
        <v>4.5182000000000002</v>
      </c>
      <c r="P38" s="10">
        <f>CHOOSE(CONTROL!$C$42, 4.4609, 4.4609) * CHOOSE(CONTROL!$C$21, $C$9, 100%, $E$9)</f>
        <v>4.4608999999999996</v>
      </c>
      <c r="Q38" s="10">
        <f>CHOOSE(CONTROL!$C$42, 5.1135, 5.1135) * CHOOSE(CONTROL!$C$21, $C$9, 100%, $E$9)</f>
        <v>5.1135000000000002</v>
      </c>
      <c r="R38" s="10">
        <f>CHOOSE(CONTROL!$C$42, 5.7133, 5.7133) * CHOOSE(CONTROL!$C$21, $C$9, 100%, $E$9)</f>
        <v>5.7133000000000003</v>
      </c>
      <c r="S38" s="10">
        <f>CHOOSE(CONTROL!$C$42, 4.3658, 4.3658) * CHOOSE(CONTROL!$C$21, $C$9, 100%, $E$9)</f>
        <v>4.3658000000000001</v>
      </c>
      <c r="T3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" s="38">
        <f>(1000*CHOOSE(CONTROL!$C$42, 695, 695)*CHOOSE(CONTROL!$C$42, 0.5599, 0.5599)*CHOOSE(CONTROL!$C$42, 29, 29))/1000000</f>
        <v>11.284784499999999</v>
      </c>
      <c r="V38" s="38">
        <f>(1000*CHOOSE(CONTROL!$C$42, 580, 580)*CHOOSE(CONTROL!$C$42, 0.275, 0.275)*CHOOSE(CONTROL!$C$42, 29, 29))/1000000</f>
        <v>4.6254999999999997</v>
      </c>
      <c r="W38" s="38">
        <f>(1000*CHOOSE(CONTROL!$C$42, 0.1146, 0.1146)*CHOOSE(CONTROL!$C$42, 200, 200)*CHOOSE(CONTROL!$C$42, 29, 29))/1000000</f>
        <v>0.66468000000000005</v>
      </c>
      <c r="X38" s="38">
        <f>(29*0.1790888*100000/1000000)+(29*0.2374*100000/1000000)</f>
        <v>1.2078175199999999</v>
      </c>
      <c r="Y38" s="38"/>
      <c r="Z38" s="38">
        <f t="shared" si="0"/>
        <v>0.3</v>
      </c>
      <c r="AA38" s="10"/>
      <c r="AB38" s="39"/>
      <c r="AC38" s="33">
        <f>(B38*122.58+C38*297.941+D38*89.177+E38*40.302+F38*40+G38*160+H38*0+I38*100+J38*300)/(122.58+297.941+89.177+40.302+0+40+160+100+300)</f>
        <v>4.4962639958260864</v>
      </c>
      <c r="AD38" s="27">
        <f>(M38*'RAP TEMPLATE-GAS AVAILABILITY'!O37+N38*'RAP TEMPLATE-GAS AVAILABILITY'!P37+O38*'RAP TEMPLATE-GAS AVAILABILITY'!Q37+P38*'RAP TEMPLATE-GAS AVAILABILITY'!R37)/('RAP TEMPLATE-GAS AVAILABILITY'!O37+'RAP TEMPLATE-GAS AVAILABILITY'!P37+'RAP TEMPLATE-GAS AVAILABILITY'!Q37+'RAP TEMPLATE-GAS AVAILABILITY'!R37)</f>
        <v>4.4802690647482022</v>
      </c>
    </row>
    <row r="39" spans="1:30" ht="15" x14ac:dyDescent="0.2">
      <c r="A39" s="16">
        <v>42430</v>
      </c>
      <c r="B39" s="10">
        <f>CHOOSE(CONTROL!$C$42, 4.4361, 4.4361) * CHOOSE(CONTROL!$C$21, $C$9, 100%, $E$9)</f>
        <v>4.4360999999999997</v>
      </c>
      <c r="C39" s="10">
        <f>CHOOSE(CONTROL!$C$42, 4.4411, 4.4411) * CHOOSE(CONTROL!$C$21, $C$9, 100%, $E$9)</f>
        <v>4.4410999999999996</v>
      </c>
      <c r="D39" s="10">
        <f>CHOOSE(CONTROL!$C$42, 4.4655, 4.4655) * CHOOSE(CONTROL!$C$21, $C$9, 100%, $E$9)</f>
        <v>4.4654999999999996</v>
      </c>
      <c r="E39" s="10">
        <f>CHOOSE(CONTROL!$C$42, 4.4993, 4.4993) * CHOOSE(CONTROL!$C$21, $C$9, 100%, $E$9)</f>
        <v>4.4992999999999999</v>
      </c>
      <c r="F39" s="10">
        <f>CHOOSE(CONTROL!$C$42, 4.4169, 4.4169)*CHOOSE(CONTROL!$C$21, $C$9, 100%, $E$9)</f>
        <v>4.4169</v>
      </c>
      <c r="G39" s="10">
        <f>CHOOSE(CONTROL!$C$42, 4.4349, 4.4349)*CHOOSE(CONTROL!$C$21, $C$9, 100%, $E$9)</f>
        <v>4.4348999999999998</v>
      </c>
      <c r="H39" s="10">
        <f>CHOOSE(CONTROL!$C$42, 4.4885, 4.4885) * CHOOSE(CONTROL!$C$21, $C$9, 100%, $E$9)</f>
        <v>4.4885000000000002</v>
      </c>
      <c r="I39" s="10">
        <f>CHOOSE(CONTROL!$C$42, 4.4306, 4.4306)* CHOOSE(CONTROL!$C$21, $C$9, 100%, $E$9)</f>
        <v>4.4306000000000001</v>
      </c>
      <c r="J39" s="10">
        <f>CHOOSE(CONTROL!$C$42, 4.4099, 4.4099)* CHOOSE(CONTROL!$C$21, $C$9, 100%, $E$9)</f>
        <v>4.4099000000000004</v>
      </c>
      <c r="K39" s="10">
        <f>CHOOSE(CONTROL!$C$42, 4.4554, 4.4554) * CHOOSE(CONTROL!$C$21, $C$9, 100%, $E$9)</f>
        <v>4.4554</v>
      </c>
      <c r="L39" s="10">
        <f>CHOOSE(CONTROL!$C$42, 5.0755, 5.0755) * CHOOSE(CONTROL!$C$21, $C$9, 100%, $E$9)</f>
        <v>5.0754999999999999</v>
      </c>
      <c r="M39" s="10">
        <f>CHOOSE(CONTROL!$C$42, 4.3792, 4.3792) * CHOOSE(CONTROL!$C$21, $C$9, 100%, $E$9)</f>
        <v>4.3792</v>
      </c>
      <c r="N39" s="10">
        <f>CHOOSE(CONTROL!$C$42, 4.3971, 4.3971) * CHOOSE(CONTROL!$C$21, $C$9, 100%, $E$9)</f>
        <v>4.3971</v>
      </c>
      <c r="O39" s="10">
        <f>CHOOSE(CONTROL!$C$42, 4.4571, 4.4571) * CHOOSE(CONTROL!$C$21, $C$9, 100%, $E$9)</f>
        <v>4.4570999999999996</v>
      </c>
      <c r="P39" s="10">
        <f>CHOOSE(CONTROL!$C$42, 4.3998, 4.3998) * CHOOSE(CONTROL!$C$21, $C$9, 100%, $E$9)</f>
        <v>4.3997999999999999</v>
      </c>
      <c r="Q39" s="10">
        <f>CHOOSE(CONTROL!$C$42, 5.0524, 5.0524) * CHOOSE(CONTROL!$C$21, $C$9, 100%, $E$9)</f>
        <v>5.0523999999999996</v>
      </c>
      <c r="R39" s="10">
        <f>CHOOSE(CONTROL!$C$42, 5.652, 5.652) * CHOOSE(CONTROL!$C$21, $C$9, 100%, $E$9)</f>
        <v>5.6520000000000001</v>
      </c>
      <c r="S39" s="10">
        <f>CHOOSE(CONTROL!$C$42, 4.3058, 4.3058) * CHOOSE(CONTROL!$C$21, $C$9, 100%, $E$9)</f>
        <v>4.3057999999999996</v>
      </c>
      <c r="T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38">
        <f>(1000*CHOOSE(CONTROL!$C$42, 695, 695)*CHOOSE(CONTROL!$C$42, 0.5599, 0.5599)*CHOOSE(CONTROL!$C$42, 31, 31))/1000000</f>
        <v>12.063045499999998</v>
      </c>
      <c r="V39" s="38">
        <f>(1000*CHOOSE(CONTROL!$C$42, 580, 580)*CHOOSE(CONTROL!$C$42, 0.275, 0.275)*CHOOSE(CONTROL!$C$42, 31, 31))/1000000</f>
        <v>4.9444999999999997</v>
      </c>
      <c r="W39" s="38">
        <f>(1000*CHOOSE(CONTROL!$C$42, 0.1146, 0.1146)*CHOOSE(CONTROL!$C$42, 200, 200)*CHOOSE(CONTROL!$C$42, 31, 31))/1000000</f>
        <v>0.71052000000000004</v>
      </c>
      <c r="X39" s="38">
        <f>(31*0.1790888*100000/1000000)+(31*0.2374*100000/1000000)</f>
        <v>1.2911152800000001</v>
      </c>
      <c r="Y39" s="38"/>
      <c r="Z39" s="38">
        <f t="shared" si="0"/>
        <v>0.3</v>
      </c>
      <c r="AA39" s="10"/>
      <c r="AB39" s="39"/>
      <c r="AC39" s="33">
        <f>(B39*122.58+C39*297.941+D39*89.177+E39*40.302+F39*40+G39*160+H39*0+I39*100+J39*300)/(122.58+297.941+89.177+40.302+0+40+160+100+300)</f>
        <v>4.4337422566956519</v>
      </c>
      <c r="AD39" s="27">
        <f>(M39*'RAP TEMPLATE-GAS AVAILABILITY'!O38+N39*'RAP TEMPLATE-GAS AVAILABILITY'!P38+O39*'RAP TEMPLATE-GAS AVAILABILITY'!Q38+P39*'RAP TEMPLATE-GAS AVAILABILITY'!R38)/('RAP TEMPLATE-GAS AVAILABILITY'!O38+'RAP TEMPLATE-GAS AVAILABILITY'!P38+'RAP TEMPLATE-GAS AVAILABILITY'!Q38+'RAP TEMPLATE-GAS AVAILABILITY'!R38)</f>
        <v>4.4185014388489208</v>
      </c>
    </row>
    <row r="40" spans="1:30" ht="15" x14ac:dyDescent="0.2">
      <c r="A40" s="16">
        <v>42461</v>
      </c>
      <c r="B40" s="10">
        <f>CHOOSE(CONTROL!$C$42, 4.0714, 4.0714) * CHOOSE(CONTROL!$C$21, $C$9, 100%, $E$9)</f>
        <v>4.0713999999999997</v>
      </c>
      <c r="C40" s="10">
        <f>CHOOSE(CONTROL!$C$42, 4.0757, 4.0757) * CHOOSE(CONTROL!$C$21, $C$9, 100%, $E$9)</f>
        <v>4.0757000000000003</v>
      </c>
      <c r="D40" s="10">
        <f>CHOOSE(CONTROL!$C$42, 4.2559, 4.2559) * CHOOSE(CONTROL!$C$21, $C$9, 100%, $E$9)</f>
        <v>4.2558999999999996</v>
      </c>
      <c r="E40" s="10">
        <f>CHOOSE(CONTROL!$C$42, 4.2876, 4.2876) * CHOOSE(CONTROL!$C$21, $C$9, 100%, $E$9)</f>
        <v>4.2876000000000003</v>
      </c>
      <c r="F40" s="10">
        <f>CHOOSE(CONTROL!$C$42, 4.0367, 4.0367)*CHOOSE(CONTROL!$C$21, $C$9, 100%, $E$9)</f>
        <v>4.0366999999999997</v>
      </c>
      <c r="G40" s="10">
        <f>CHOOSE(CONTROL!$C$42, 4.0529, 4.0529)*CHOOSE(CONTROL!$C$21, $C$9, 100%, $E$9)</f>
        <v>4.0529000000000002</v>
      </c>
      <c r="H40" s="10">
        <f>CHOOSE(CONTROL!$C$42, 4.2774, 4.2774) * CHOOSE(CONTROL!$C$21, $C$9, 100%, $E$9)</f>
        <v>4.2774000000000001</v>
      </c>
      <c r="I40" s="10">
        <f>CHOOSE(CONTROL!$C$42, 4.0573, 4.0573)* CHOOSE(CONTROL!$C$21, $C$9, 100%, $E$9)</f>
        <v>4.0572999999999997</v>
      </c>
      <c r="J40" s="10">
        <f>CHOOSE(CONTROL!$C$42, 4.0297, 4.0297)* CHOOSE(CONTROL!$C$21, $C$9, 100%, $E$9)</f>
        <v>4.0297000000000001</v>
      </c>
      <c r="K40" s="10">
        <f>CHOOSE(CONTROL!$C$42, 4.0777, 4.0777) * CHOOSE(CONTROL!$C$21, $C$9, 100%, $E$9)</f>
        <v>4.0777000000000001</v>
      </c>
      <c r="L40" s="10">
        <f>CHOOSE(CONTROL!$C$42, 4.8644, 4.8644) * CHOOSE(CONTROL!$C$21, $C$9, 100%, $E$9)</f>
        <v>4.8643999999999998</v>
      </c>
      <c r="M40" s="10">
        <f>CHOOSE(CONTROL!$C$42, 4.0028, 4.0028) * CHOOSE(CONTROL!$C$21, $C$9, 100%, $E$9)</f>
        <v>4.0027999999999997</v>
      </c>
      <c r="N40" s="10">
        <f>CHOOSE(CONTROL!$C$42, 4.0189, 4.0189) * CHOOSE(CONTROL!$C$21, $C$9, 100%, $E$9)</f>
        <v>4.0189000000000004</v>
      </c>
      <c r="O40" s="10">
        <f>CHOOSE(CONTROL!$C$42, 4.2481, 4.2481) * CHOOSE(CONTROL!$C$21, $C$9, 100%, $E$9)</f>
        <v>4.2481</v>
      </c>
      <c r="P40" s="10">
        <f>CHOOSE(CONTROL!$C$42, 4.0303, 4.0303) * CHOOSE(CONTROL!$C$21, $C$9, 100%, $E$9)</f>
        <v>4.0303000000000004</v>
      </c>
      <c r="Q40" s="10">
        <f>CHOOSE(CONTROL!$C$42, 4.8434, 4.8434) * CHOOSE(CONTROL!$C$21, $C$9, 100%, $E$9)</f>
        <v>4.8433999999999999</v>
      </c>
      <c r="R40" s="10">
        <f>CHOOSE(CONTROL!$C$42, 5.4425, 5.4425) * CHOOSE(CONTROL!$C$21, $C$9, 100%, $E$9)</f>
        <v>5.4424999999999999</v>
      </c>
      <c r="S40" s="10">
        <f>CHOOSE(CONTROL!$C$42, 3.9508, 3.9508) * CHOOSE(CONTROL!$C$21, $C$9, 100%, $E$9)</f>
        <v>3.9508000000000001</v>
      </c>
      <c r="T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38">
        <f>(1000*CHOOSE(CONTROL!$C$42, 695, 695)*CHOOSE(CONTROL!$C$42, 0.5599, 0.5599)*CHOOSE(CONTROL!$C$42, 30, 30))/1000000</f>
        <v>11.673914999999997</v>
      </c>
      <c r="V40" s="38">
        <f>(1000*CHOOSE(CONTROL!$C$42, 580, 580)*CHOOSE(CONTROL!$C$42, 0.275, 0.275)*CHOOSE(CONTROL!$C$42, 30, 30))/1000000</f>
        <v>4.7850000000000001</v>
      </c>
      <c r="W40" s="38">
        <f>(1000*CHOOSE(CONTROL!$C$42, 0.1146, 0.1146)*CHOOSE(CONTROL!$C$42, 200, 200)*CHOOSE(CONTROL!$C$42, 30, 30))/1000000</f>
        <v>0.68759999999999999</v>
      </c>
      <c r="X40" s="38">
        <f>(30*0.1790888*245000/1000000)+(30*0.2374*100000/1000000)</f>
        <v>2.0285026799999999</v>
      </c>
      <c r="Y40" s="38"/>
      <c r="Z40" s="38">
        <f t="shared" si="0"/>
        <v>0.3</v>
      </c>
      <c r="AA40" s="10"/>
      <c r="AB40" s="39"/>
      <c r="AC40" s="33">
        <f>(B40*141.293+C40*267.993+D40*115.016+E40*89.698+F40*40+G40*185+H40*0+I40*100+J40*300)/(141.293+267.993+115.016+89.698+0+40+185+100+300)</f>
        <v>4.0899916299435031</v>
      </c>
      <c r="AD40" s="27">
        <f>(M40*'RAP TEMPLATE-GAS AVAILABILITY'!O39+N40*'RAP TEMPLATE-GAS AVAILABILITY'!P39+O40*'RAP TEMPLATE-GAS AVAILABILITY'!Q39+P40*'RAP TEMPLATE-GAS AVAILABILITY'!R39)/('RAP TEMPLATE-GAS AVAILABILITY'!O39+'RAP TEMPLATE-GAS AVAILABILITY'!P39+'RAP TEMPLATE-GAS AVAILABILITY'!Q39+'RAP TEMPLATE-GAS AVAILABILITY'!R39)</f>
        <v>4.0792884892086336</v>
      </c>
    </row>
    <row r="41" spans="1:30" ht="15" x14ac:dyDescent="0.2">
      <c r="A41" s="16">
        <v>42491</v>
      </c>
      <c r="B41" s="10">
        <f>CHOOSE(CONTROL!$C$42, 4.0824, 4.0824) * CHOOSE(CONTROL!$C$21, $C$9, 100%, $E$9)</f>
        <v>4.0823999999999998</v>
      </c>
      <c r="C41" s="10">
        <f>CHOOSE(CONTROL!$C$42, 4.0903, 4.0903) * CHOOSE(CONTROL!$C$21, $C$9, 100%, $E$9)</f>
        <v>4.0903</v>
      </c>
      <c r="D41" s="10">
        <f>CHOOSE(CONTROL!$C$42, 4.2673, 4.2673) * CHOOSE(CONTROL!$C$21, $C$9, 100%, $E$9)</f>
        <v>4.2672999999999996</v>
      </c>
      <c r="E41" s="10">
        <f>CHOOSE(CONTROL!$C$42, 4.2984, 4.2984) * CHOOSE(CONTROL!$C$21, $C$9, 100%, $E$9)</f>
        <v>4.2984</v>
      </c>
      <c r="F41" s="10">
        <f>CHOOSE(CONTROL!$C$42, 4.0458, 4.0458)*CHOOSE(CONTROL!$C$21, $C$9, 100%, $E$9)</f>
        <v>4.0457999999999998</v>
      </c>
      <c r="G41" s="10">
        <f>CHOOSE(CONTROL!$C$42, 4.0623, 4.0623)*CHOOSE(CONTROL!$C$21, $C$9, 100%, $E$9)</f>
        <v>4.0622999999999996</v>
      </c>
      <c r="H41" s="10">
        <f>CHOOSE(CONTROL!$C$42, 4.2871, 4.2871) * CHOOSE(CONTROL!$C$21, $C$9, 100%, $E$9)</f>
        <v>4.2870999999999997</v>
      </c>
      <c r="I41" s="10">
        <f>CHOOSE(CONTROL!$C$42, 4.067, 4.067)* CHOOSE(CONTROL!$C$21, $C$9, 100%, $E$9)</f>
        <v>4.0670000000000002</v>
      </c>
      <c r="J41" s="10">
        <f>CHOOSE(CONTROL!$C$42, 4.0388, 4.0388)* CHOOSE(CONTROL!$C$21, $C$9, 100%, $E$9)</f>
        <v>4.0388000000000002</v>
      </c>
      <c r="K41" s="10">
        <f>CHOOSE(CONTROL!$C$42, 4.0859, 4.0859) * CHOOSE(CONTROL!$C$21, $C$9, 100%, $E$9)</f>
        <v>4.0858999999999996</v>
      </c>
      <c r="L41" s="10">
        <f>CHOOSE(CONTROL!$C$42, 4.8741, 4.8741) * CHOOSE(CONTROL!$C$21, $C$9, 100%, $E$9)</f>
        <v>4.8741000000000003</v>
      </c>
      <c r="M41" s="10">
        <f>CHOOSE(CONTROL!$C$42, 4.0118, 4.0118) * CHOOSE(CONTROL!$C$21, $C$9, 100%, $E$9)</f>
        <v>4.0118</v>
      </c>
      <c r="N41" s="10">
        <f>CHOOSE(CONTROL!$C$42, 4.0282, 4.0282) * CHOOSE(CONTROL!$C$21, $C$9, 100%, $E$9)</f>
        <v>4.0282</v>
      </c>
      <c r="O41" s="10">
        <f>CHOOSE(CONTROL!$C$42, 4.2576, 4.2576) * CHOOSE(CONTROL!$C$21, $C$9, 100%, $E$9)</f>
        <v>4.2576000000000001</v>
      </c>
      <c r="P41" s="10">
        <f>CHOOSE(CONTROL!$C$42, 4.0398, 4.0398) * CHOOSE(CONTROL!$C$21, $C$9, 100%, $E$9)</f>
        <v>4.0397999999999996</v>
      </c>
      <c r="Q41" s="10">
        <f>CHOOSE(CONTROL!$C$42, 4.8529, 4.8529) * CHOOSE(CONTROL!$C$21, $C$9, 100%, $E$9)</f>
        <v>4.8529</v>
      </c>
      <c r="R41" s="10">
        <f>CHOOSE(CONTROL!$C$42, 5.4521, 5.4521) * CHOOSE(CONTROL!$C$21, $C$9, 100%, $E$9)</f>
        <v>5.4520999999999997</v>
      </c>
      <c r="S41" s="10">
        <f>CHOOSE(CONTROL!$C$42, 3.9602, 3.9602) * CHOOSE(CONTROL!$C$21, $C$9, 100%, $E$9)</f>
        <v>3.9601999999999999</v>
      </c>
      <c r="T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" s="38">
        <f>(1000*CHOOSE(CONTROL!$C$42, 695, 695)*CHOOSE(CONTROL!$C$42, 0.5599, 0.5599)*CHOOSE(CONTROL!$C$42, 31, 31))/1000000</f>
        <v>12.063045499999998</v>
      </c>
      <c r="V41" s="38">
        <f>(1000*CHOOSE(CONTROL!$C$42, 580, 580)*CHOOSE(CONTROL!$C$42, 0.275, 0.275)*CHOOSE(CONTROL!$C$42, 31, 31))/1000000</f>
        <v>4.9444999999999997</v>
      </c>
      <c r="W41" s="38">
        <f>(1000*CHOOSE(CONTROL!$C$42, 0.1146, 0.1146)*CHOOSE(CONTROL!$C$42, 121.5, 121.5)*CHOOSE(CONTROL!$C$42, 31, 31))/1000000</f>
        <v>0.43164089999999994</v>
      </c>
      <c r="X41" s="38">
        <f>(31*0.1790888*245000/1000000)+(31*0.2374*100000/1000000)</f>
        <v>2.0961194359999999</v>
      </c>
      <c r="Y41" s="38"/>
      <c r="Z41" s="38">
        <f t="shared" si="0"/>
        <v>0.3</v>
      </c>
      <c r="AA41" s="10"/>
      <c r="AB41" s="39"/>
      <c r="AC41" s="33">
        <f>(B41*194.205+C41*267.466+D41*133.845+E41*53.484+F41*40+G41*185+H41*0+I41*100+J41*300)/(194.205+267.466+133.845+53.484+0+40+185+100+300)</f>
        <v>4.0970082934850867</v>
      </c>
      <c r="AD41" s="27">
        <f>(M41*'RAP TEMPLATE-GAS AVAILABILITY'!O40+N41*'RAP TEMPLATE-GAS AVAILABILITY'!P40+O41*'RAP TEMPLATE-GAS AVAILABILITY'!Q40+P41*'RAP TEMPLATE-GAS AVAILABILITY'!R40)/('RAP TEMPLATE-GAS AVAILABILITY'!O40+'RAP TEMPLATE-GAS AVAILABILITY'!P40+'RAP TEMPLATE-GAS AVAILABILITY'!Q40+'RAP TEMPLATE-GAS AVAILABILITY'!R40)</f>
        <v>4.0885697841726616</v>
      </c>
    </row>
    <row r="42" spans="1:30" ht="15" x14ac:dyDescent="0.2">
      <c r="A42" s="16">
        <v>42522</v>
      </c>
      <c r="B42" s="10">
        <f>CHOOSE(CONTROL!$C$42, 4.1061, 4.1061) * CHOOSE(CONTROL!$C$21, $C$9, 100%, $E$9)</f>
        <v>4.1060999999999996</v>
      </c>
      <c r="C42" s="10">
        <f>CHOOSE(CONTROL!$C$42, 4.114, 4.114) * CHOOSE(CONTROL!$C$21, $C$9, 100%, $E$9)</f>
        <v>4.1139999999999999</v>
      </c>
      <c r="D42" s="10">
        <f>CHOOSE(CONTROL!$C$42, 4.291, 4.291) * CHOOSE(CONTROL!$C$21, $C$9, 100%, $E$9)</f>
        <v>4.2910000000000004</v>
      </c>
      <c r="E42" s="10">
        <f>CHOOSE(CONTROL!$C$42, 4.3221, 4.3221) * CHOOSE(CONTROL!$C$21, $C$9, 100%, $E$9)</f>
        <v>4.3220999999999998</v>
      </c>
      <c r="F42" s="10">
        <f>CHOOSE(CONTROL!$C$42, 4.0696, 4.0696)*CHOOSE(CONTROL!$C$21, $C$9, 100%, $E$9)</f>
        <v>4.0696000000000003</v>
      </c>
      <c r="G42" s="10">
        <f>CHOOSE(CONTROL!$C$42, 4.0862, 4.0862)*CHOOSE(CONTROL!$C$21, $C$9, 100%, $E$9)</f>
        <v>4.0861999999999998</v>
      </c>
      <c r="H42" s="10">
        <f>CHOOSE(CONTROL!$C$42, 4.3108, 4.3108) * CHOOSE(CONTROL!$C$21, $C$9, 100%, $E$9)</f>
        <v>4.3108000000000004</v>
      </c>
      <c r="I42" s="10">
        <f>CHOOSE(CONTROL!$C$42, 4.0907, 4.0907)* CHOOSE(CONTROL!$C$21, $C$9, 100%, $E$9)</f>
        <v>4.0907</v>
      </c>
      <c r="J42" s="10">
        <f>CHOOSE(CONTROL!$C$42, 4.0626, 4.0626)* CHOOSE(CONTROL!$C$21, $C$9, 100%, $E$9)</f>
        <v>4.0625999999999998</v>
      </c>
      <c r="K42" s="10">
        <f>CHOOSE(CONTROL!$C$42, 4.1093, 4.1093) * CHOOSE(CONTROL!$C$21, $C$9, 100%, $E$9)</f>
        <v>4.1093000000000002</v>
      </c>
      <c r="L42" s="10">
        <f>CHOOSE(CONTROL!$C$42, 4.8978, 4.8978) * CHOOSE(CONTROL!$C$21, $C$9, 100%, $E$9)</f>
        <v>4.8978000000000002</v>
      </c>
      <c r="M42" s="10">
        <f>CHOOSE(CONTROL!$C$42, 4.0354, 4.0354) * CHOOSE(CONTROL!$C$21, $C$9, 100%, $E$9)</f>
        <v>4.0354000000000001</v>
      </c>
      <c r="N42" s="10">
        <f>CHOOSE(CONTROL!$C$42, 4.0518, 4.0518) * CHOOSE(CONTROL!$C$21, $C$9, 100%, $E$9)</f>
        <v>4.0518000000000001</v>
      </c>
      <c r="O42" s="10">
        <f>CHOOSE(CONTROL!$C$42, 4.2811, 4.2811) * CHOOSE(CONTROL!$C$21, $C$9, 100%, $E$9)</f>
        <v>4.2811000000000003</v>
      </c>
      <c r="P42" s="10">
        <f>CHOOSE(CONTROL!$C$42, 4.0633, 4.0633) * CHOOSE(CONTROL!$C$21, $C$9, 100%, $E$9)</f>
        <v>4.0632999999999999</v>
      </c>
      <c r="Q42" s="10">
        <f>CHOOSE(CONTROL!$C$42, 4.8764, 4.8764) * CHOOSE(CONTROL!$C$21, $C$9, 100%, $E$9)</f>
        <v>4.8764000000000003</v>
      </c>
      <c r="R42" s="10">
        <f>CHOOSE(CONTROL!$C$42, 5.4756, 5.4756) * CHOOSE(CONTROL!$C$21, $C$9, 100%, $E$9)</f>
        <v>5.4756</v>
      </c>
      <c r="S42" s="10">
        <f>CHOOSE(CONTROL!$C$42, 3.9832, 3.9832) * CHOOSE(CONTROL!$C$21, $C$9, 100%, $E$9)</f>
        <v>3.9832000000000001</v>
      </c>
      <c r="T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" s="38">
        <f>(1000*CHOOSE(CONTROL!$C$42, 695, 695)*CHOOSE(CONTROL!$C$42, 0.5599, 0.5599)*CHOOSE(CONTROL!$C$42, 30, 30))/1000000</f>
        <v>11.673914999999997</v>
      </c>
      <c r="V42" s="38">
        <f>(1000*CHOOSE(CONTROL!$C$42, 580, 580)*CHOOSE(CONTROL!$C$42, 0.275, 0.275)*CHOOSE(CONTROL!$C$42, 30, 30))/1000000</f>
        <v>4.7850000000000001</v>
      </c>
      <c r="W42" s="38">
        <f>(1000*CHOOSE(CONTROL!$C$42, 0.1146, 0.1146)*CHOOSE(CONTROL!$C$42, 121.5, 121.5)*CHOOSE(CONTROL!$C$42, 30, 30))/1000000</f>
        <v>0.417717</v>
      </c>
      <c r="X42" s="38">
        <f>(30*0.1790888*245000/1000000)+(30*0.2374*100000/1000000)</f>
        <v>2.0285026799999999</v>
      </c>
      <c r="Y42" s="38"/>
      <c r="Z42" s="38">
        <f t="shared" si="0"/>
        <v>0.3</v>
      </c>
      <c r="AA42" s="10"/>
      <c r="AB42" s="39"/>
      <c r="AC42" s="33">
        <f>(B42*194.205+C42*267.466+D42*133.845+E42*53.484+F42*40+G42*185+H42*0+I42*100+J42*300)/(194.205+267.466+133.845+53.484+0+40+185+100+300)</f>
        <v>4.1207640234693885</v>
      </c>
      <c r="AD42" s="27">
        <f>(M42*'RAP TEMPLATE-GAS AVAILABILITY'!O41+N42*'RAP TEMPLATE-GAS AVAILABILITY'!P41+O42*'RAP TEMPLATE-GAS AVAILABILITY'!Q41+P42*'RAP TEMPLATE-GAS AVAILABILITY'!R41)/('RAP TEMPLATE-GAS AVAILABILITY'!O41+'RAP TEMPLATE-GAS AVAILABILITY'!P41+'RAP TEMPLATE-GAS AVAILABILITY'!Q41+'RAP TEMPLATE-GAS AVAILABILITY'!R41)</f>
        <v>4.112127338129496</v>
      </c>
    </row>
    <row r="43" spans="1:30" ht="15" x14ac:dyDescent="0.2">
      <c r="A43" s="16">
        <v>42552</v>
      </c>
      <c r="B43" s="10">
        <f>CHOOSE(CONTROL!$C$42, 4.1318, 4.1318) * CHOOSE(CONTROL!$C$21, $C$9, 100%, $E$9)</f>
        <v>4.1318000000000001</v>
      </c>
      <c r="C43" s="10">
        <f>CHOOSE(CONTROL!$C$42, 4.1398, 4.1398) * CHOOSE(CONTROL!$C$21, $C$9, 100%, $E$9)</f>
        <v>4.1398000000000001</v>
      </c>
      <c r="D43" s="10">
        <f>CHOOSE(CONTROL!$C$42, 4.3167, 4.3167) * CHOOSE(CONTROL!$C$21, $C$9, 100%, $E$9)</f>
        <v>4.3167</v>
      </c>
      <c r="E43" s="10">
        <f>CHOOSE(CONTROL!$C$42, 4.3479, 4.3479) * CHOOSE(CONTROL!$C$21, $C$9, 100%, $E$9)</f>
        <v>4.3479000000000001</v>
      </c>
      <c r="F43" s="10">
        <f>CHOOSE(CONTROL!$C$42, 4.0956, 4.0956)*CHOOSE(CONTROL!$C$21, $C$9, 100%, $E$9)</f>
        <v>4.0956000000000001</v>
      </c>
      <c r="G43" s="10">
        <f>CHOOSE(CONTROL!$C$42, 4.1122, 4.1122)*CHOOSE(CONTROL!$C$21, $C$9, 100%, $E$9)</f>
        <v>4.1121999999999996</v>
      </c>
      <c r="H43" s="10">
        <f>CHOOSE(CONTROL!$C$42, 4.3365, 4.3365) * CHOOSE(CONTROL!$C$21, $C$9, 100%, $E$9)</f>
        <v>4.3365</v>
      </c>
      <c r="I43" s="10">
        <f>CHOOSE(CONTROL!$C$42, 4.1164, 4.1164)* CHOOSE(CONTROL!$C$21, $C$9, 100%, $E$9)</f>
        <v>4.1163999999999996</v>
      </c>
      <c r="J43" s="10">
        <f>CHOOSE(CONTROL!$C$42, 4.0886, 4.0886)* CHOOSE(CONTROL!$C$21, $C$9, 100%, $E$9)</f>
        <v>4.0885999999999996</v>
      </c>
      <c r="K43" s="10">
        <f>CHOOSE(CONTROL!$C$42, 4.1348, 4.1348) * CHOOSE(CONTROL!$C$21, $C$9, 100%, $E$9)</f>
        <v>4.1348000000000003</v>
      </c>
      <c r="L43" s="10">
        <f>CHOOSE(CONTROL!$C$42, 4.9235, 4.9235) * CHOOSE(CONTROL!$C$21, $C$9, 100%, $E$9)</f>
        <v>4.9234999999999998</v>
      </c>
      <c r="M43" s="10">
        <f>CHOOSE(CONTROL!$C$42, 4.0612, 4.0612) * CHOOSE(CONTROL!$C$21, $C$9, 100%, $E$9)</f>
        <v>4.0612000000000004</v>
      </c>
      <c r="N43" s="10">
        <f>CHOOSE(CONTROL!$C$42, 4.0776, 4.0776) * CHOOSE(CONTROL!$C$21, $C$9, 100%, $E$9)</f>
        <v>4.0776000000000003</v>
      </c>
      <c r="O43" s="10">
        <f>CHOOSE(CONTROL!$C$42, 4.3066, 4.3066) * CHOOSE(CONTROL!$C$21, $C$9, 100%, $E$9)</f>
        <v>4.3066000000000004</v>
      </c>
      <c r="P43" s="10">
        <f>CHOOSE(CONTROL!$C$42, 4.0888, 4.0888) * CHOOSE(CONTROL!$C$21, $C$9, 100%, $E$9)</f>
        <v>4.0888</v>
      </c>
      <c r="Q43" s="10">
        <f>CHOOSE(CONTROL!$C$42, 4.9019, 4.9019) * CHOOSE(CONTROL!$C$21, $C$9, 100%, $E$9)</f>
        <v>4.9019000000000004</v>
      </c>
      <c r="R43" s="10">
        <f>CHOOSE(CONTROL!$C$42, 5.5011, 5.5011) * CHOOSE(CONTROL!$C$21, $C$9, 100%, $E$9)</f>
        <v>5.5011000000000001</v>
      </c>
      <c r="S43" s="10">
        <f>CHOOSE(CONTROL!$C$42, 4.0082, 4.0082) * CHOOSE(CONTROL!$C$21, $C$9, 100%, $E$9)</f>
        <v>4.0082000000000004</v>
      </c>
      <c r="T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" s="38">
        <f>(1000*CHOOSE(CONTROL!$C$42, 695, 695)*CHOOSE(CONTROL!$C$42, 0.5599, 0.5599)*CHOOSE(CONTROL!$C$42, 31, 31))/1000000</f>
        <v>12.063045499999998</v>
      </c>
      <c r="V43" s="38">
        <f>(1000*CHOOSE(CONTROL!$C$42, 580, 580)*CHOOSE(CONTROL!$C$42, 0.275, 0.275)*CHOOSE(CONTROL!$C$42, 31, 31))/1000000</f>
        <v>4.9444999999999997</v>
      </c>
      <c r="W43" s="38">
        <f>(1000*CHOOSE(CONTROL!$C$42, 0.1146, 0.1146)*CHOOSE(CONTROL!$C$42, 121.5, 121.5)*CHOOSE(CONTROL!$C$42, 31, 31))/1000000</f>
        <v>0.43164089999999994</v>
      </c>
      <c r="X43" s="38">
        <f>(31*0.1790888*245000/1000000)+(31*0.2374*100000/1000000)</f>
        <v>2.0961194359999999</v>
      </c>
      <c r="Y43" s="38"/>
      <c r="Z43" s="38">
        <f t="shared" si="0"/>
        <v>0.3</v>
      </c>
      <c r="AA43" s="10"/>
      <c r="AB43" s="39"/>
      <c r="AC43" s="33">
        <f>(B43*194.205+C43*267.466+D43*133.845+E43*53.484+F43*40+G43*185+H43*0+I43*100+J43*300)/(194.205+267.466+133.845+53.484+0+40+185+100+300)</f>
        <v>4.1466128421507067</v>
      </c>
      <c r="AD43" s="27">
        <f>(M43*'RAP TEMPLATE-GAS AVAILABILITY'!O42+N43*'RAP TEMPLATE-GAS AVAILABILITY'!P42+O43*'RAP TEMPLATE-GAS AVAILABILITY'!Q42+P43*'RAP TEMPLATE-GAS AVAILABILITY'!R42)/('RAP TEMPLATE-GAS AVAILABILITY'!O42+'RAP TEMPLATE-GAS AVAILABILITY'!P42+'RAP TEMPLATE-GAS AVAILABILITY'!Q42+'RAP TEMPLATE-GAS AVAILABILITY'!R42)</f>
        <v>4.1378000000000013</v>
      </c>
    </row>
    <row r="44" spans="1:30" ht="15" x14ac:dyDescent="0.2">
      <c r="A44" s="16">
        <v>42583</v>
      </c>
      <c r="B44" s="10">
        <f>CHOOSE(CONTROL!$C$42, 4.1463, 4.1463) * CHOOSE(CONTROL!$C$21, $C$9, 100%, $E$9)</f>
        <v>4.1463000000000001</v>
      </c>
      <c r="C44" s="10">
        <f>CHOOSE(CONTROL!$C$42, 4.1542, 4.1542) * CHOOSE(CONTROL!$C$21, $C$9, 100%, $E$9)</f>
        <v>4.1542000000000003</v>
      </c>
      <c r="D44" s="10">
        <f>CHOOSE(CONTROL!$C$42, 4.3312, 4.3312) * CHOOSE(CONTROL!$C$21, $C$9, 100%, $E$9)</f>
        <v>4.3311999999999999</v>
      </c>
      <c r="E44" s="10">
        <f>CHOOSE(CONTROL!$C$42, 4.3623, 4.3623) * CHOOSE(CONTROL!$C$21, $C$9, 100%, $E$9)</f>
        <v>4.3623000000000003</v>
      </c>
      <c r="F44" s="10">
        <f>CHOOSE(CONTROL!$C$42, 4.1101, 4.1101)*CHOOSE(CONTROL!$C$21, $C$9, 100%, $E$9)</f>
        <v>4.1101000000000001</v>
      </c>
      <c r="G44" s="10">
        <f>CHOOSE(CONTROL!$C$42, 4.1267, 4.1267)*CHOOSE(CONTROL!$C$21, $C$9, 100%, $E$9)</f>
        <v>4.1266999999999996</v>
      </c>
      <c r="H44" s="10">
        <f>CHOOSE(CONTROL!$C$42, 4.3509, 4.3509) * CHOOSE(CONTROL!$C$21, $C$9, 100%, $E$9)</f>
        <v>4.3509000000000002</v>
      </c>
      <c r="I44" s="10">
        <f>CHOOSE(CONTROL!$C$42, 4.1308, 4.1308)* CHOOSE(CONTROL!$C$21, $C$9, 100%, $E$9)</f>
        <v>4.1307999999999998</v>
      </c>
      <c r="J44" s="10">
        <f>CHOOSE(CONTROL!$C$42, 4.1031, 4.1031)* CHOOSE(CONTROL!$C$21, $C$9, 100%, $E$9)</f>
        <v>4.1031000000000004</v>
      </c>
      <c r="K44" s="10">
        <f>CHOOSE(CONTROL!$C$42, 4.149, 4.149) * CHOOSE(CONTROL!$C$21, $C$9, 100%, $E$9)</f>
        <v>4.149</v>
      </c>
      <c r="L44" s="10">
        <f>CHOOSE(CONTROL!$C$42, 4.9379, 4.9379) * CHOOSE(CONTROL!$C$21, $C$9, 100%, $E$9)</f>
        <v>4.9379</v>
      </c>
      <c r="M44" s="10">
        <f>CHOOSE(CONTROL!$C$42, 4.0755, 4.0755) * CHOOSE(CONTROL!$C$21, $C$9, 100%, $E$9)</f>
        <v>4.0754999999999999</v>
      </c>
      <c r="N44" s="10">
        <f>CHOOSE(CONTROL!$C$42, 4.092, 4.092) * CHOOSE(CONTROL!$C$21, $C$9, 100%, $E$9)</f>
        <v>4.0919999999999996</v>
      </c>
      <c r="O44" s="10">
        <f>CHOOSE(CONTROL!$C$42, 4.3208, 4.3208) * CHOOSE(CONTROL!$C$21, $C$9, 100%, $E$9)</f>
        <v>4.3208000000000002</v>
      </c>
      <c r="P44" s="10">
        <f>CHOOSE(CONTROL!$C$42, 4.103, 4.103) * CHOOSE(CONTROL!$C$21, $C$9, 100%, $E$9)</f>
        <v>4.1029999999999998</v>
      </c>
      <c r="Q44" s="10">
        <f>CHOOSE(CONTROL!$C$42, 4.9161, 4.9161) * CHOOSE(CONTROL!$C$21, $C$9, 100%, $E$9)</f>
        <v>4.9161000000000001</v>
      </c>
      <c r="R44" s="10">
        <f>CHOOSE(CONTROL!$C$42, 5.5154, 5.5154) * CHOOSE(CONTROL!$C$21, $C$9, 100%, $E$9)</f>
        <v>5.5153999999999996</v>
      </c>
      <c r="S44" s="10">
        <f>CHOOSE(CONTROL!$C$42, 4.0222, 4.0222) * CHOOSE(CONTROL!$C$21, $C$9, 100%, $E$9)</f>
        <v>4.0221999999999998</v>
      </c>
      <c r="T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" s="38">
        <f>(1000*CHOOSE(CONTROL!$C$42, 695, 695)*CHOOSE(CONTROL!$C$42, 0.5599, 0.5599)*CHOOSE(CONTROL!$C$42, 31, 31))/1000000</f>
        <v>12.063045499999998</v>
      </c>
      <c r="V44" s="38">
        <f>(1000*CHOOSE(CONTROL!$C$42, 580, 580)*CHOOSE(CONTROL!$C$42, 0.275, 0.275)*CHOOSE(CONTROL!$C$42, 31, 31))/1000000</f>
        <v>4.9444999999999997</v>
      </c>
      <c r="W44" s="38">
        <f>(1000*CHOOSE(CONTROL!$C$42, 0.1146, 0.1146)*CHOOSE(CONTROL!$C$42, 121.5, 121.5)*CHOOSE(CONTROL!$C$42, 31, 31))/1000000</f>
        <v>0.43164089999999994</v>
      </c>
      <c r="X44" s="38">
        <f>(31*0.1790888*245000/1000000)+(31*0.2374*100000/1000000)</f>
        <v>2.0961194359999999</v>
      </c>
      <c r="Y44" s="38"/>
      <c r="Z44" s="38">
        <f t="shared" si="0"/>
        <v>0.3</v>
      </c>
      <c r="AA44" s="10"/>
      <c r="AB44" s="39"/>
      <c r="AC44" s="33">
        <f>(B44*194.205+C44*267.466+D44*133.845+E44*53.484+F44*40+G44*185+H44*0+I44*100+J44*300)/(194.205+267.466+133.845+53.484+0+40+185+100+300)</f>
        <v>4.1610798005494507</v>
      </c>
      <c r="AD44" s="27">
        <f>(M44*'RAP TEMPLATE-GAS AVAILABILITY'!O43+N44*'RAP TEMPLATE-GAS AVAILABILITY'!P43+O44*'RAP TEMPLATE-GAS AVAILABILITY'!Q43+P44*'RAP TEMPLATE-GAS AVAILABILITY'!R43)/('RAP TEMPLATE-GAS AVAILABILITY'!O43+'RAP TEMPLATE-GAS AVAILABILITY'!P43+'RAP TEMPLATE-GAS AVAILABILITY'!Q43+'RAP TEMPLATE-GAS AVAILABILITY'!R43)</f>
        <v>4.1520805755395687</v>
      </c>
    </row>
    <row r="45" spans="1:30" ht="15" x14ac:dyDescent="0.2">
      <c r="A45" s="16">
        <v>42614</v>
      </c>
      <c r="B45" s="10">
        <f>CHOOSE(CONTROL!$C$42, 4.1432, 4.1432) * CHOOSE(CONTROL!$C$21, $C$9, 100%, $E$9)</f>
        <v>4.1432000000000002</v>
      </c>
      <c r="C45" s="10">
        <f>CHOOSE(CONTROL!$C$42, 4.1511, 4.1511) * CHOOSE(CONTROL!$C$21, $C$9, 100%, $E$9)</f>
        <v>4.1510999999999996</v>
      </c>
      <c r="D45" s="10">
        <f>CHOOSE(CONTROL!$C$42, 4.3281, 4.3281) * CHOOSE(CONTROL!$C$21, $C$9, 100%, $E$9)</f>
        <v>4.3281000000000001</v>
      </c>
      <c r="E45" s="10">
        <f>CHOOSE(CONTROL!$C$42, 4.3592, 4.3592) * CHOOSE(CONTROL!$C$21, $C$9, 100%, $E$9)</f>
        <v>4.3592000000000004</v>
      </c>
      <c r="F45" s="10">
        <f>CHOOSE(CONTROL!$C$42, 4.1067, 4.1067)*CHOOSE(CONTROL!$C$21, $C$9, 100%, $E$9)</f>
        <v>4.1067</v>
      </c>
      <c r="G45" s="10">
        <f>CHOOSE(CONTROL!$C$42, 4.1233, 4.1233)*CHOOSE(CONTROL!$C$21, $C$9, 100%, $E$9)</f>
        <v>4.1233000000000004</v>
      </c>
      <c r="H45" s="10">
        <f>CHOOSE(CONTROL!$C$42, 4.3478, 4.3478) * CHOOSE(CONTROL!$C$21, $C$9, 100%, $E$9)</f>
        <v>4.3478000000000003</v>
      </c>
      <c r="I45" s="10">
        <f>CHOOSE(CONTROL!$C$42, 4.1278, 4.1278)* CHOOSE(CONTROL!$C$21, $C$9, 100%, $E$9)</f>
        <v>4.1277999999999997</v>
      </c>
      <c r="J45" s="10">
        <f>CHOOSE(CONTROL!$C$42, 4.0997, 4.0997)* CHOOSE(CONTROL!$C$21, $C$9, 100%, $E$9)</f>
        <v>4.0997000000000003</v>
      </c>
      <c r="K45" s="10">
        <f>CHOOSE(CONTROL!$C$42, 4.1454, 4.1454) * CHOOSE(CONTROL!$C$21, $C$9, 100%, $E$9)</f>
        <v>4.1454000000000004</v>
      </c>
      <c r="L45" s="10">
        <f>CHOOSE(CONTROL!$C$42, 4.9348, 4.9348) * CHOOSE(CONTROL!$C$21, $C$9, 100%, $E$9)</f>
        <v>4.9348000000000001</v>
      </c>
      <c r="M45" s="10">
        <f>CHOOSE(CONTROL!$C$42, 4.0722, 4.0722) * CHOOSE(CONTROL!$C$21, $C$9, 100%, $E$9)</f>
        <v>4.0721999999999996</v>
      </c>
      <c r="N45" s="10">
        <f>CHOOSE(CONTROL!$C$42, 4.0886, 4.0886) * CHOOSE(CONTROL!$C$21, $C$9, 100%, $E$9)</f>
        <v>4.0885999999999996</v>
      </c>
      <c r="O45" s="10">
        <f>CHOOSE(CONTROL!$C$42, 4.3178, 4.3178) * CHOOSE(CONTROL!$C$21, $C$9, 100%, $E$9)</f>
        <v>4.3178000000000001</v>
      </c>
      <c r="P45" s="10">
        <f>CHOOSE(CONTROL!$C$42, 4.1, 4.1) * CHOOSE(CONTROL!$C$21, $C$9, 100%, $E$9)</f>
        <v>4.0999999999999996</v>
      </c>
      <c r="Q45" s="10">
        <f>CHOOSE(CONTROL!$C$42, 4.9131, 4.9131) * CHOOSE(CONTROL!$C$21, $C$9, 100%, $E$9)</f>
        <v>4.9131</v>
      </c>
      <c r="R45" s="10">
        <f>CHOOSE(CONTROL!$C$42, 5.5124, 5.5124) * CHOOSE(CONTROL!$C$21, $C$9, 100%, $E$9)</f>
        <v>5.5124000000000004</v>
      </c>
      <c r="S45" s="10">
        <f>CHOOSE(CONTROL!$C$42, 4.0192, 4.0192) * CHOOSE(CONTROL!$C$21, $C$9, 100%, $E$9)</f>
        <v>4.0191999999999997</v>
      </c>
      <c r="T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" s="38">
        <f>(1000*CHOOSE(CONTROL!$C$42, 695, 695)*CHOOSE(CONTROL!$C$42, 0.5599, 0.5599)*CHOOSE(CONTROL!$C$42, 30, 30))/1000000</f>
        <v>11.673914999999997</v>
      </c>
      <c r="V45" s="38">
        <f>(1000*CHOOSE(CONTROL!$C$42, 580, 580)*CHOOSE(CONTROL!$C$42, 0.275, 0.275)*CHOOSE(CONTROL!$C$42, 30, 30))/1000000</f>
        <v>4.7850000000000001</v>
      </c>
      <c r="W45" s="38">
        <f>(1000*CHOOSE(CONTROL!$C$42, 0.1146, 0.1146)*CHOOSE(CONTROL!$C$42, 121.5, 121.5)*CHOOSE(CONTROL!$C$42, 30, 30))/1000000</f>
        <v>0.417717</v>
      </c>
      <c r="X45" s="38">
        <f>(30*0.1790888*245000/1000000)+(30*0.2374*100000/1000000)</f>
        <v>2.0285026799999999</v>
      </c>
      <c r="Y45" s="38"/>
      <c r="Z45" s="38">
        <f t="shared" si="0"/>
        <v>0.3</v>
      </c>
      <c r="AA45" s="10"/>
      <c r="AB45" s="39"/>
      <c r="AC45" s="33">
        <f>(B45*194.205+C45*267.466+D45*133.845+E45*53.484+F45*40+G45*185+H45*0+I45*100+J45*300)/(194.205+267.466+133.845+53.484+0+40+185+100+300)</f>
        <v>4.1578640234693873</v>
      </c>
      <c r="AD45" s="27">
        <f>(M45*'RAP TEMPLATE-GAS AVAILABILITY'!O44+N45*'RAP TEMPLATE-GAS AVAILABILITY'!P44+O45*'RAP TEMPLATE-GAS AVAILABILITY'!Q44+P45*'RAP TEMPLATE-GAS AVAILABILITY'!R44)/('RAP TEMPLATE-GAS AVAILABILITY'!O44+'RAP TEMPLATE-GAS AVAILABILITY'!P44+'RAP TEMPLATE-GAS AVAILABILITY'!Q44+'RAP TEMPLATE-GAS AVAILABILITY'!R44)</f>
        <v>4.1488848920863308</v>
      </c>
    </row>
    <row r="46" spans="1:30" ht="15" x14ac:dyDescent="0.2">
      <c r="A46" s="16">
        <v>42644</v>
      </c>
      <c r="B46" s="10">
        <f>CHOOSE(CONTROL!$C$42, 4.1688, 4.1688) * CHOOSE(CONTROL!$C$21, $C$9, 100%, $E$9)</f>
        <v>4.1688000000000001</v>
      </c>
      <c r="C46" s="10">
        <f>CHOOSE(CONTROL!$C$42, 4.174, 4.174) * CHOOSE(CONTROL!$C$21, $C$9, 100%, $E$9)</f>
        <v>4.1740000000000004</v>
      </c>
      <c r="D46" s="10">
        <f>CHOOSE(CONTROL!$C$42, 4.356, 4.356) * CHOOSE(CONTROL!$C$21, $C$9, 100%, $E$9)</f>
        <v>4.3559999999999999</v>
      </c>
      <c r="E46" s="10">
        <f>CHOOSE(CONTROL!$C$42, 4.3848, 4.3848) * CHOOSE(CONTROL!$C$21, $C$9, 100%, $E$9)</f>
        <v>4.3848000000000003</v>
      </c>
      <c r="F46" s="10">
        <f>CHOOSE(CONTROL!$C$42, 4.1344, 4.1344)*CHOOSE(CONTROL!$C$21, $C$9, 100%, $E$9)</f>
        <v>4.1344000000000003</v>
      </c>
      <c r="G46" s="10">
        <f>CHOOSE(CONTROL!$C$42, 4.1507, 4.1507)*CHOOSE(CONTROL!$C$21, $C$9, 100%, $E$9)</f>
        <v>4.1506999999999996</v>
      </c>
      <c r="H46" s="10">
        <f>CHOOSE(CONTROL!$C$42, 4.3752, 4.3752) * CHOOSE(CONTROL!$C$21, $C$9, 100%, $E$9)</f>
        <v>4.3752000000000004</v>
      </c>
      <c r="I46" s="10">
        <f>CHOOSE(CONTROL!$C$42, 4.1552, 4.1552)* CHOOSE(CONTROL!$C$21, $C$9, 100%, $E$9)</f>
        <v>4.1551999999999998</v>
      </c>
      <c r="J46" s="10">
        <f>CHOOSE(CONTROL!$C$42, 4.1274, 4.1274)* CHOOSE(CONTROL!$C$21, $C$9, 100%, $E$9)</f>
        <v>4.1273999999999997</v>
      </c>
      <c r="K46" s="10">
        <f>CHOOSE(CONTROL!$C$42, 4.1726, 4.1726) * CHOOSE(CONTROL!$C$21, $C$9, 100%, $E$9)</f>
        <v>4.1726000000000001</v>
      </c>
      <c r="L46" s="10">
        <f>CHOOSE(CONTROL!$C$42, 4.9622, 4.9622) * CHOOSE(CONTROL!$C$21, $C$9, 100%, $E$9)</f>
        <v>4.9622000000000002</v>
      </c>
      <c r="M46" s="10">
        <f>CHOOSE(CONTROL!$C$42, 4.0996, 4.0996) * CHOOSE(CONTROL!$C$21, $C$9, 100%, $E$9)</f>
        <v>4.0995999999999997</v>
      </c>
      <c r="N46" s="10">
        <f>CHOOSE(CONTROL!$C$42, 4.1157, 4.1157) * CHOOSE(CONTROL!$C$21, $C$9, 100%, $E$9)</f>
        <v>4.1157000000000004</v>
      </c>
      <c r="O46" s="10">
        <f>CHOOSE(CONTROL!$C$42, 4.3449, 4.3449) * CHOOSE(CONTROL!$C$21, $C$9, 100%, $E$9)</f>
        <v>4.3449</v>
      </c>
      <c r="P46" s="10">
        <f>CHOOSE(CONTROL!$C$42, 4.1271, 4.1271) * CHOOSE(CONTROL!$C$21, $C$9, 100%, $E$9)</f>
        <v>4.1271000000000004</v>
      </c>
      <c r="Q46" s="10">
        <f>CHOOSE(CONTROL!$C$42, 4.9402, 4.9402) * CHOOSE(CONTROL!$C$21, $C$9, 100%, $E$9)</f>
        <v>4.9401999999999999</v>
      </c>
      <c r="R46" s="10">
        <f>CHOOSE(CONTROL!$C$42, 5.5396, 5.5396) * CHOOSE(CONTROL!$C$21, $C$9, 100%, $E$9)</f>
        <v>5.5396000000000001</v>
      </c>
      <c r="S46" s="10">
        <f>CHOOSE(CONTROL!$C$42, 4.0458, 4.0458) * CHOOSE(CONTROL!$C$21, $C$9, 100%, $E$9)</f>
        <v>4.0457999999999998</v>
      </c>
      <c r="T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38">
        <f>(1000*CHOOSE(CONTROL!$C$42, 695, 695)*CHOOSE(CONTROL!$C$42, 0.5599, 0.5599)*CHOOSE(CONTROL!$C$42, 31, 31))/1000000</f>
        <v>12.063045499999998</v>
      </c>
      <c r="V46" s="38">
        <f>(1000*CHOOSE(CONTROL!$C$42, 580, 580)*CHOOSE(CONTROL!$C$42, 0.275, 0.275)*CHOOSE(CONTROL!$C$42, 31, 31))/1000000</f>
        <v>4.9444999999999997</v>
      </c>
      <c r="W46" s="38">
        <f>(1000*CHOOSE(CONTROL!$C$42, 0.1146, 0.1146)*CHOOSE(CONTROL!$C$42, 121.5, 121.5)*CHOOSE(CONTROL!$C$42, 31, 31))/1000000</f>
        <v>0.43164089999999994</v>
      </c>
      <c r="X46" s="38">
        <f>(31*0.1790888*245000/1000000)+(31*0.2374*100000/1000000)</f>
        <v>2.0961194359999999</v>
      </c>
      <c r="Y46" s="38"/>
      <c r="Z46" s="38">
        <f t="shared" si="0"/>
        <v>0.3</v>
      </c>
      <c r="AA46" s="10"/>
      <c r="AB46" s="39"/>
      <c r="AC46" s="33">
        <f>(B46*131.881+C46*277.167+D46*79.08+E46*125.872+F46*40+G46*185+H46*0+I46*100+J46*300)/(131.881+277.167+79.08+125.872+0+40+185+100+300)</f>
        <v>4.1889201746569817</v>
      </c>
      <c r="AD46" s="27">
        <f>(M46*'RAP TEMPLATE-GAS AVAILABILITY'!O45+N46*'RAP TEMPLATE-GAS AVAILABILITY'!P45+O46*'RAP TEMPLATE-GAS AVAILABILITY'!Q45+P46*'RAP TEMPLATE-GAS AVAILABILITY'!R45)/('RAP TEMPLATE-GAS AVAILABILITY'!O45+'RAP TEMPLATE-GAS AVAILABILITY'!P45+'RAP TEMPLATE-GAS AVAILABILITY'!Q45+'RAP TEMPLATE-GAS AVAILABILITY'!R45)</f>
        <v>4.1760884892086327</v>
      </c>
    </row>
    <row r="47" spans="1:30" ht="15" x14ac:dyDescent="0.2">
      <c r="A47" s="16">
        <v>42675</v>
      </c>
      <c r="B47" s="10">
        <f>CHOOSE(CONTROL!$C$42, 4.2395, 4.2395) * CHOOSE(CONTROL!$C$21, $C$9, 100%, $E$9)</f>
        <v>4.2394999999999996</v>
      </c>
      <c r="C47" s="10">
        <f>CHOOSE(CONTROL!$C$42, 4.2444, 4.2444) * CHOOSE(CONTROL!$C$21, $C$9, 100%, $E$9)</f>
        <v>4.2443999999999997</v>
      </c>
      <c r="D47" s="10">
        <f>CHOOSE(CONTROL!$C$42, 4.2689, 4.2689) * CHOOSE(CONTROL!$C$21, $C$9, 100%, $E$9)</f>
        <v>4.2689000000000004</v>
      </c>
      <c r="E47" s="10">
        <f>CHOOSE(CONTROL!$C$42, 4.3026, 4.3026) * CHOOSE(CONTROL!$C$21, $C$9, 100%, $E$9)</f>
        <v>4.3026</v>
      </c>
      <c r="F47" s="10">
        <f>CHOOSE(CONTROL!$C$42, 4.2088, 4.2088)*CHOOSE(CONTROL!$C$21, $C$9, 100%, $E$9)</f>
        <v>4.2088000000000001</v>
      </c>
      <c r="G47" s="10">
        <f>CHOOSE(CONTROL!$C$42, 4.2252, 4.2252)*CHOOSE(CONTROL!$C$21, $C$9, 100%, $E$9)</f>
        <v>4.2252000000000001</v>
      </c>
      <c r="H47" s="10">
        <f>CHOOSE(CONTROL!$C$42, 4.2918, 4.2918) * CHOOSE(CONTROL!$C$21, $C$9, 100%, $E$9)</f>
        <v>4.2918000000000003</v>
      </c>
      <c r="I47" s="10">
        <f>CHOOSE(CONTROL!$C$42, 4.2262, 4.2262)* CHOOSE(CONTROL!$C$21, $C$9, 100%, $E$9)</f>
        <v>4.2262000000000004</v>
      </c>
      <c r="J47" s="10">
        <f>CHOOSE(CONTROL!$C$42, 4.2018, 4.2018)* CHOOSE(CONTROL!$C$21, $C$9, 100%, $E$9)</f>
        <v>4.2018000000000004</v>
      </c>
      <c r="K47" s="10">
        <f>CHOOSE(CONTROL!$C$42, 4.2432, 4.2432) * CHOOSE(CONTROL!$C$21, $C$9, 100%, $E$9)</f>
        <v>4.2431999999999999</v>
      </c>
      <c r="L47" s="10">
        <f>CHOOSE(CONTROL!$C$42, 4.8788, 4.8788) * CHOOSE(CONTROL!$C$21, $C$9, 100%, $E$9)</f>
        <v>4.8788</v>
      </c>
      <c r="M47" s="10">
        <f>CHOOSE(CONTROL!$C$42, 4.1732, 4.1732) * CHOOSE(CONTROL!$C$21, $C$9, 100%, $E$9)</f>
        <v>4.1731999999999996</v>
      </c>
      <c r="N47" s="10">
        <f>CHOOSE(CONTROL!$C$42, 4.1895, 4.1895) * CHOOSE(CONTROL!$C$21, $C$9, 100%, $E$9)</f>
        <v>4.1894999999999998</v>
      </c>
      <c r="O47" s="10">
        <f>CHOOSE(CONTROL!$C$42, 4.2624, 4.2624) * CHOOSE(CONTROL!$C$21, $C$9, 100%, $E$9)</f>
        <v>4.2624000000000004</v>
      </c>
      <c r="P47" s="10">
        <f>CHOOSE(CONTROL!$C$42, 4.1974, 4.1974) * CHOOSE(CONTROL!$C$21, $C$9, 100%, $E$9)</f>
        <v>4.1974</v>
      </c>
      <c r="Q47" s="10">
        <f>CHOOSE(CONTROL!$C$42, 4.8577, 4.8577) * CHOOSE(CONTROL!$C$21, $C$9, 100%, $E$9)</f>
        <v>4.8577000000000004</v>
      </c>
      <c r="R47" s="10">
        <f>CHOOSE(CONTROL!$C$42, 5.4568, 5.4568) * CHOOSE(CONTROL!$C$21, $C$9, 100%, $E$9)</f>
        <v>5.4568000000000003</v>
      </c>
      <c r="S47" s="10">
        <f>CHOOSE(CONTROL!$C$42, 4.1148, 4.1148) * CHOOSE(CONTROL!$C$21, $C$9, 100%, $E$9)</f>
        <v>4.1147999999999998</v>
      </c>
      <c r="T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38">
        <f>(1000*CHOOSE(CONTROL!$C$42, 695, 695)*CHOOSE(CONTROL!$C$42, 0.5599, 0.5599)*CHOOSE(CONTROL!$C$42, 30, 30))/1000000</f>
        <v>11.673914999999997</v>
      </c>
      <c r="V47" s="38">
        <f>(1000*CHOOSE(CONTROL!$C$42, 580, 580)*CHOOSE(CONTROL!$C$42, 0.275, 0.275)*CHOOSE(CONTROL!$C$42, 30, 30))/1000000</f>
        <v>4.7850000000000001</v>
      </c>
      <c r="W47" s="38">
        <f>(1000*CHOOSE(CONTROL!$C$42, 0.1146, 0.1146)*CHOOSE(CONTROL!$C$42, 121.5, 121.5)*CHOOSE(CONTROL!$C$42, 30, 30))/1000000</f>
        <v>0.417717</v>
      </c>
      <c r="X47" s="38">
        <f>(30*0.1790888*100000/1000000)+(30*0.2374*100000/1000000)</f>
        <v>1.2494664</v>
      </c>
      <c r="Y47" s="38"/>
      <c r="Z47" s="38">
        <f t="shared" si="0"/>
        <v>0.3</v>
      </c>
      <c r="AA47" s="10"/>
      <c r="AB47" s="39"/>
      <c r="AC47" s="33">
        <f>(B47*122.58+C47*297.941+D47*89.177+E47*40.302+F47*40+G47*160+H47*0+I47*100+J47*300)/(122.58+297.941+89.177+40.302+0+40+160+100+300)</f>
        <v>4.2312119746956522</v>
      </c>
      <c r="AD47" s="27">
        <f>(M47*'RAP TEMPLATE-GAS AVAILABILITY'!O46+N47*'RAP TEMPLATE-GAS AVAILABILITY'!P46+O47*'RAP TEMPLATE-GAS AVAILABILITY'!Q46+P47*'RAP TEMPLATE-GAS AVAILABILITY'!R46)/('RAP TEMPLATE-GAS AVAILABILITY'!O46+'RAP TEMPLATE-GAS AVAILABILITY'!P46+'RAP TEMPLATE-GAS AVAILABILITY'!Q46+'RAP TEMPLATE-GAS AVAILABILITY'!R46)</f>
        <v>4.2180489208633087</v>
      </c>
    </row>
    <row r="48" spans="1:30" ht="15" x14ac:dyDescent="0.2">
      <c r="A48" s="16">
        <v>42705</v>
      </c>
      <c r="B48" s="10">
        <f>CHOOSE(CONTROL!$C$42, 4.4042, 4.4042) * CHOOSE(CONTROL!$C$21, $C$9, 100%, $E$9)</f>
        <v>4.4042000000000003</v>
      </c>
      <c r="C48" s="10">
        <f>CHOOSE(CONTROL!$C$42, 4.4092, 4.4092) * CHOOSE(CONTROL!$C$21, $C$9, 100%, $E$9)</f>
        <v>4.4092000000000002</v>
      </c>
      <c r="D48" s="10">
        <f>CHOOSE(CONTROL!$C$42, 4.4336, 4.4336) * CHOOSE(CONTROL!$C$21, $C$9, 100%, $E$9)</f>
        <v>4.4336000000000002</v>
      </c>
      <c r="E48" s="10">
        <f>CHOOSE(CONTROL!$C$42, 4.4674, 4.4674) * CHOOSE(CONTROL!$C$21, $C$9, 100%, $E$9)</f>
        <v>4.4673999999999996</v>
      </c>
      <c r="F48" s="10">
        <f>CHOOSE(CONTROL!$C$42, 4.3758, 4.3758)*CHOOSE(CONTROL!$C$21, $C$9, 100%, $E$9)</f>
        <v>4.3757999999999999</v>
      </c>
      <c r="G48" s="10">
        <f>CHOOSE(CONTROL!$C$42, 4.3929, 4.3929)*CHOOSE(CONTROL!$C$21, $C$9, 100%, $E$9)</f>
        <v>4.3929</v>
      </c>
      <c r="H48" s="10">
        <f>CHOOSE(CONTROL!$C$42, 4.4566, 4.4566) * CHOOSE(CONTROL!$C$21, $C$9, 100%, $E$9)</f>
        <v>4.4565999999999999</v>
      </c>
      <c r="I48" s="10">
        <f>CHOOSE(CONTROL!$C$42, 4.391, 4.391)* CHOOSE(CONTROL!$C$21, $C$9, 100%, $E$9)</f>
        <v>4.391</v>
      </c>
      <c r="J48" s="10">
        <f>CHOOSE(CONTROL!$C$42, 4.3688, 4.3688)* CHOOSE(CONTROL!$C$21, $C$9, 100%, $E$9)</f>
        <v>4.3688000000000002</v>
      </c>
      <c r="K48" s="10">
        <f>CHOOSE(CONTROL!$C$42, 4.4083, 4.4083) * CHOOSE(CONTROL!$C$21, $C$9, 100%, $E$9)</f>
        <v>4.4082999999999997</v>
      </c>
      <c r="L48" s="10">
        <f>CHOOSE(CONTROL!$C$42, 5.0436, 5.0436) * CHOOSE(CONTROL!$C$21, $C$9, 100%, $E$9)</f>
        <v>5.0435999999999996</v>
      </c>
      <c r="M48" s="10">
        <f>CHOOSE(CONTROL!$C$42, 4.3386, 4.3386) * CHOOSE(CONTROL!$C$21, $C$9, 100%, $E$9)</f>
        <v>4.3385999999999996</v>
      </c>
      <c r="N48" s="10">
        <f>CHOOSE(CONTROL!$C$42, 4.3554, 4.3554) * CHOOSE(CONTROL!$C$21, $C$9, 100%, $E$9)</f>
        <v>4.3554000000000004</v>
      </c>
      <c r="O48" s="10">
        <f>CHOOSE(CONTROL!$C$42, 4.4255, 4.4255) * CHOOSE(CONTROL!$C$21, $C$9, 100%, $E$9)</f>
        <v>4.4255000000000004</v>
      </c>
      <c r="P48" s="10">
        <f>CHOOSE(CONTROL!$C$42, 4.3605, 4.3605) * CHOOSE(CONTROL!$C$21, $C$9, 100%, $E$9)</f>
        <v>4.3605</v>
      </c>
      <c r="Q48" s="10">
        <f>CHOOSE(CONTROL!$C$42, 5.0208, 5.0208) * CHOOSE(CONTROL!$C$21, $C$9, 100%, $E$9)</f>
        <v>5.0208000000000004</v>
      </c>
      <c r="R48" s="10">
        <f>CHOOSE(CONTROL!$C$42, 5.6203, 5.6203) * CHOOSE(CONTROL!$C$21, $C$9, 100%, $E$9)</f>
        <v>5.6203000000000003</v>
      </c>
      <c r="S48" s="10">
        <f>CHOOSE(CONTROL!$C$42, 4.2748, 4.2748) * CHOOSE(CONTROL!$C$21, $C$9, 100%, $E$9)</f>
        <v>4.2747999999999999</v>
      </c>
      <c r="T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38">
        <f>(1000*CHOOSE(CONTROL!$C$42, 695, 695)*CHOOSE(CONTROL!$C$42, 0.5599, 0.5599)*CHOOSE(CONTROL!$C$42, 31, 31))/1000000</f>
        <v>12.063045499999998</v>
      </c>
      <c r="V48" s="38">
        <f>(1000*CHOOSE(CONTROL!$C$42, 580, 580)*CHOOSE(CONTROL!$C$42, 0.275, 0.275)*CHOOSE(CONTROL!$C$42, 31, 31))/1000000</f>
        <v>4.9444999999999997</v>
      </c>
      <c r="W48" s="38">
        <f>(1000*CHOOSE(CONTROL!$C$42, 0.1146, 0.1146)*CHOOSE(CONTROL!$C$42, 121.5, 121.5)*CHOOSE(CONTROL!$C$42, 31, 31))/1000000</f>
        <v>0.43164089999999994</v>
      </c>
      <c r="X48" s="38">
        <f>(31*0.1790888*100000/1000000)+(31*0.2374*100000/1000000)</f>
        <v>1.2911152800000001</v>
      </c>
      <c r="Y48" s="38"/>
      <c r="Z48" s="38">
        <f t="shared" si="0"/>
        <v>0.3</v>
      </c>
      <c r="AA48" s="10"/>
      <c r="AB48" s="39"/>
      <c r="AC48" s="33">
        <f>(B48*122.58+C48*297.941+D48*89.177+E48*40.302+F48*40+G48*160+H48*0+I48*100+J48*300)/(122.58+297.941+89.177+40.302+0+40+160+100+300)</f>
        <v>4.397047474086957</v>
      </c>
      <c r="AD48" s="27">
        <f>(M48*'RAP TEMPLATE-GAS AVAILABILITY'!O47+N48*'RAP TEMPLATE-GAS AVAILABILITY'!P47+O48*'RAP TEMPLATE-GAS AVAILABILITY'!Q47+P48*'RAP TEMPLATE-GAS AVAILABILITY'!R47)/('RAP TEMPLATE-GAS AVAILABILITY'!O47+'RAP TEMPLATE-GAS AVAILABILITY'!P47+'RAP TEMPLATE-GAS AVAILABILITY'!Q47+'RAP TEMPLATE-GAS AVAILABILITY'!R47)</f>
        <v>4.382104316546763</v>
      </c>
    </row>
    <row r="49" spans="1:30" ht="15" x14ac:dyDescent="0.2">
      <c r="A49" s="16">
        <v>42736</v>
      </c>
      <c r="B49" s="10">
        <f>CHOOSE(CONTROL!$C$42, 4.7733, 4.7733) * CHOOSE(CONTROL!$C$21, $C$9, 100%, $E$9)</f>
        <v>4.7732999999999999</v>
      </c>
      <c r="C49" s="10">
        <f>CHOOSE(CONTROL!$C$42, 4.7782, 4.7782) * CHOOSE(CONTROL!$C$21, $C$9, 100%, $E$9)</f>
        <v>4.7782</v>
      </c>
      <c r="D49" s="10">
        <f>CHOOSE(CONTROL!$C$42, 4.8027, 4.8027) * CHOOSE(CONTROL!$C$21, $C$9, 100%, $E$9)</f>
        <v>4.8026999999999997</v>
      </c>
      <c r="E49" s="10">
        <f>CHOOSE(CONTROL!$C$42, 4.8365, 4.8365) * CHOOSE(CONTROL!$C$21, $C$9, 100%, $E$9)</f>
        <v>4.8365</v>
      </c>
      <c r="F49" s="10">
        <f>CHOOSE(CONTROL!$C$42, 4.7562, 4.7562)*CHOOSE(CONTROL!$C$21, $C$9, 100%, $E$9)</f>
        <v>4.7561999999999998</v>
      </c>
      <c r="G49" s="10">
        <f>CHOOSE(CONTROL!$C$42, 4.7749, 4.7749)*CHOOSE(CONTROL!$C$21, $C$9, 100%, $E$9)</f>
        <v>4.7748999999999997</v>
      </c>
      <c r="H49" s="10">
        <f>CHOOSE(CONTROL!$C$42, 4.8257, 4.8257) * CHOOSE(CONTROL!$C$21, $C$9, 100%, $E$9)</f>
        <v>4.8257000000000003</v>
      </c>
      <c r="I49" s="10">
        <f>CHOOSE(CONTROL!$C$42, 4.7678, 4.7678)* CHOOSE(CONTROL!$C$21, $C$9, 100%, $E$9)</f>
        <v>4.7678000000000003</v>
      </c>
      <c r="J49" s="10">
        <f>CHOOSE(CONTROL!$C$42, 4.7492, 4.7492)* CHOOSE(CONTROL!$C$21, $C$9, 100%, $E$9)</f>
        <v>4.7492000000000001</v>
      </c>
      <c r="K49" s="10">
        <f>CHOOSE(CONTROL!$C$42, 4.7878, 4.7878) * CHOOSE(CONTROL!$C$21, $C$9, 100%, $E$9)</f>
        <v>4.7877999999999998</v>
      </c>
      <c r="L49" s="10">
        <f>CHOOSE(CONTROL!$C$42, 5.4127, 5.4127) * CHOOSE(CONTROL!$C$21, $C$9, 100%, $E$9)</f>
        <v>5.4127000000000001</v>
      </c>
      <c r="M49" s="10">
        <f>CHOOSE(CONTROL!$C$42, 4.7151, 4.7151) * CHOOSE(CONTROL!$C$21, $C$9, 100%, $E$9)</f>
        <v>4.7150999999999996</v>
      </c>
      <c r="N49" s="10">
        <f>CHOOSE(CONTROL!$C$42, 4.7336, 4.7336) * CHOOSE(CONTROL!$C$21, $C$9, 100%, $E$9)</f>
        <v>4.7336</v>
      </c>
      <c r="O49" s="10">
        <f>CHOOSE(CONTROL!$C$42, 4.7908, 4.7908) * CHOOSE(CONTROL!$C$21, $C$9, 100%, $E$9)</f>
        <v>4.7907999999999999</v>
      </c>
      <c r="P49" s="10">
        <f>CHOOSE(CONTROL!$C$42, 4.7335, 4.7335) * CHOOSE(CONTROL!$C$21, $C$9, 100%, $E$9)</f>
        <v>4.7335000000000003</v>
      </c>
      <c r="Q49" s="10">
        <f>CHOOSE(CONTROL!$C$42, 5.3861, 5.3861) * CHOOSE(CONTROL!$C$21, $C$9, 100%, $E$9)</f>
        <v>5.3860999999999999</v>
      </c>
      <c r="R49" s="10">
        <f>CHOOSE(CONTROL!$C$42, 5.9865, 5.9865) * CHOOSE(CONTROL!$C$21, $C$9, 100%, $E$9)</f>
        <v>5.9865000000000004</v>
      </c>
      <c r="S49" s="10">
        <f>CHOOSE(CONTROL!$C$42, 4.6332, 4.6332) * CHOOSE(CONTROL!$C$21, $C$9, 100%, $E$9)</f>
        <v>4.6332000000000004</v>
      </c>
      <c r="T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38">
        <f>(1000*CHOOSE(CONTROL!$C$42, 695, 695)*CHOOSE(CONTROL!$C$42, 0.5599, 0.5599)*CHOOSE(CONTROL!$C$42, 31, 31))/1000000</f>
        <v>12.063045499999998</v>
      </c>
      <c r="V49" s="38">
        <f>(1000*CHOOSE(CONTROL!$C$42, 580, 580)*CHOOSE(CONTROL!$C$42, 0.275, 0.275)*CHOOSE(CONTROL!$C$42, 31, 31))/1000000</f>
        <v>4.9444999999999997</v>
      </c>
      <c r="W49" s="38">
        <f>(1000*CHOOSE(CONTROL!$C$42, 0.1146, 0.1146)*CHOOSE(CONTROL!$C$42, 121.5, 121.5)*CHOOSE(CONTROL!$C$42, 31, 31))/1000000</f>
        <v>0.43164089999999994</v>
      </c>
      <c r="X49" s="38">
        <f>(31*0.1790888*100000/1000000)+(31*0.2374*100000/1000000)</f>
        <v>1.2911152800000001</v>
      </c>
      <c r="Y49" s="38"/>
      <c r="Z49" s="38">
        <f t="shared" si="0"/>
        <v>0.3</v>
      </c>
      <c r="AA49" s="10"/>
      <c r="AB49" s="39"/>
      <c r="AC49" s="33">
        <f>(B49*122.58+C49*297.941+D49*89.177+E49*40.302+F49*40+G49*160+H49*0+I49*100+J49*300)/(122.58+297.941+89.177+40.302+0+40+160+100+300)</f>
        <v>4.7719267835652177</v>
      </c>
      <c r="AD49" s="27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4.7531223021582729</v>
      </c>
    </row>
    <row r="50" spans="1:30" ht="15" x14ac:dyDescent="0.2">
      <c r="A50" s="16">
        <v>42767</v>
      </c>
      <c r="B50" s="10">
        <f>CHOOSE(CONTROL!$C$42, 4.8582, 4.8582) * CHOOSE(CONTROL!$C$21, $C$9, 100%, $E$9)</f>
        <v>4.8582000000000001</v>
      </c>
      <c r="C50" s="10">
        <f>CHOOSE(CONTROL!$C$42, 4.8631, 4.8631) * CHOOSE(CONTROL!$C$21, $C$9, 100%, $E$9)</f>
        <v>4.8631000000000002</v>
      </c>
      <c r="D50" s="10">
        <f>CHOOSE(CONTROL!$C$42, 4.8876, 4.8876) * CHOOSE(CONTROL!$C$21, $C$9, 100%, $E$9)</f>
        <v>4.8875999999999999</v>
      </c>
      <c r="E50" s="10">
        <f>CHOOSE(CONTROL!$C$42, 4.9214, 4.9214) * CHOOSE(CONTROL!$C$21, $C$9, 100%, $E$9)</f>
        <v>4.9214000000000002</v>
      </c>
      <c r="F50" s="10">
        <f>CHOOSE(CONTROL!$C$42, 4.8404, 4.8404)*CHOOSE(CONTROL!$C$21, $C$9, 100%, $E$9)</f>
        <v>4.8403999999999998</v>
      </c>
      <c r="G50" s="10">
        <f>CHOOSE(CONTROL!$C$42, 4.8589, 4.8589)*CHOOSE(CONTROL!$C$21, $C$9, 100%, $E$9)</f>
        <v>4.8589000000000002</v>
      </c>
      <c r="H50" s="10">
        <f>CHOOSE(CONTROL!$C$42, 4.9106, 4.9106) * CHOOSE(CONTROL!$C$21, $C$9, 100%, $E$9)</f>
        <v>4.9105999999999996</v>
      </c>
      <c r="I50" s="10">
        <f>CHOOSE(CONTROL!$C$42, 4.8527, 4.8527)* CHOOSE(CONTROL!$C$21, $C$9, 100%, $E$9)</f>
        <v>4.8526999999999996</v>
      </c>
      <c r="J50" s="10">
        <f>CHOOSE(CONTROL!$C$42, 4.8334, 4.8334)* CHOOSE(CONTROL!$C$21, $C$9, 100%, $E$9)</f>
        <v>4.8334000000000001</v>
      </c>
      <c r="K50" s="10">
        <f>CHOOSE(CONTROL!$C$42, 4.8688, 4.8688) * CHOOSE(CONTROL!$C$21, $C$9, 100%, $E$9)</f>
        <v>4.8688000000000002</v>
      </c>
      <c r="L50" s="10">
        <f>CHOOSE(CONTROL!$C$42, 5.4976, 5.4976) * CHOOSE(CONTROL!$C$21, $C$9, 100%, $E$9)</f>
        <v>5.4976000000000003</v>
      </c>
      <c r="M50" s="10">
        <f>CHOOSE(CONTROL!$C$42, 4.7985, 4.7985) * CHOOSE(CONTROL!$C$21, $C$9, 100%, $E$9)</f>
        <v>4.7984999999999998</v>
      </c>
      <c r="N50" s="10">
        <f>CHOOSE(CONTROL!$C$42, 4.8168, 4.8168) * CHOOSE(CONTROL!$C$21, $C$9, 100%, $E$9)</f>
        <v>4.8167999999999997</v>
      </c>
      <c r="O50" s="10">
        <f>CHOOSE(CONTROL!$C$42, 4.8748, 4.8748) * CHOOSE(CONTROL!$C$21, $C$9, 100%, $E$9)</f>
        <v>4.8747999999999996</v>
      </c>
      <c r="P50" s="10">
        <f>CHOOSE(CONTROL!$C$42, 4.8176, 4.8176) * CHOOSE(CONTROL!$C$21, $C$9, 100%, $E$9)</f>
        <v>4.8175999999999997</v>
      </c>
      <c r="Q50" s="10">
        <f>CHOOSE(CONTROL!$C$42, 5.4701, 5.4701) * CHOOSE(CONTROL!$C$21, $C$9, 100%, $E$9)</f>
        <v>5.4701000000000004</v>
      </c>
      <c r="R50" s="10">
        <f>CHOOSE(CONTROL!$C$42, 6.0708, 6.0708) * CHOOSE(CONTROL!$C$21, $C$9, 100%, $E$9)</f>
        <v>6.0708000000000002</v>
      </c>
      <c r="S50" s="10">
        <f>CHOOSE(CONTROL!$C$42, 4.7156, 4.7156) * CHOOSE(CONTROL!$C$21, $C$9, 100%, $E$9)</f>
        <v>4.7156000000000002</v>
      </c>
      <c r="T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" s="38">
        <f>(1000*CHOOSE(CONTROL!$C$42, 695, 695)*CHOOSE(CONTROL!$C$42, 0.5599, 0.5599)*CHOOSE(CONTROL!$C$42, 28, 28))/1000000</f>
        <v>10.895653999999999</v>
      </c>
      <c r="V50" s="38">
        <f>(1000*CHOOSE(CONTROL!$C$42, 580, 580)*CHOOSE(CONTROL!$C$42, 0.275, 0.275)*CHOOSE(CONTROL!$C$42, 28, 28))/1000000</f>
        <v>4.4660000000000002</v>
      </c>
      <c r="W50" s="38">
        <f>(1000*CHOOSE(CONTROL!$C$42, 0.1146, 0.1146)*CHOOSE(CONTROL!$C$42, 121.5, 121.5)*CHOOSE(CONTROL!$C$42, 28, 28))/1000000</f>
        <v>0.38986920000000003</v>
      </c>
      <c r="X50" s="38">
        <f>(28*0.1790888*100000/1000000)+(28*0.2374*100000/1000000)</f>
        <v>1.16616864</v>
      </c>
      <c r="Y50" s="38"/>
      <c r="Z50" s="38">
        <f t="shared" si="0"/>
        <v>0.3</v>
      </c>
      <c r="AA50" s="10"/>
      <c r="AB50" s="39"/>
      <c r="AC50" s="33">
        <f>(B50*122.58+C50*297.941+D50*89.177+E50*40.302+F50*40+G50*160+H50*0+I50*100+J50*300)/(122.58+297.941+89.177+40.302+0+40+160+100+300)</f>
        <v>4.8564946096521737</v>
      </c>
      <c r="AD50" s="27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4.8368834532374105</v>
      </c>
    </row>
    <row r="51" spans="1:30" ht="15" x14ac:dyDescent="0.2">
      <c r="A51" s="16">
        <v>42795</v>
      </c>
      <c r="B51" s="10">
        <f>CHOOSE(CONTROL!$C$42, 4.7203, 4.7203) * CHOOSE(CONTROL!$C$21, $C$9, 100%, $E$9)</f>
        <v>4.7202999999999999</v>
      </c>
      <c r="C51" s="10">
        <f>CHOOSE(CONTROL!$C$42, 4.7253, 4.7253) * CHOOSE(CONTROL!$C$21, $C$9, 100%, $E$9)</f>
        <v>4.7252999999999998</v>
      </c>
      <c r="D51" s="10">
        <f>CHOOSE(CONTROL!$C$42, 4.7498, 4.7498) * CHOOSE(CONTROL!$C$21, $C$9, 100%, $E$9)</f>
        <v>4.7497999999999996</v>
      </c>
      <c r="E51" s="10">
        <f>CHOOSE(CONTROL!$C$42, 4.7835, 4.7835) * CHOOSE(CONTROL!$C$21, $C$9, 100%, $E$9)</f>
        <v>4.7835000000000001</v>
      </c>
      <c r="F51" s="10">
        <f>CHOOSE(CONTROL!$C$42, 4.7011, 4.7011)*CHOOSE(CONTROL!$C$21, $C$9, 100%, $E$9)</f>
        <v>4.7011000000000003</v>
      </c>
      <c r="G51" s="10">
        <f>CHOOSE(CONTROL!$C$42, 4.7191, 4.7191)*CHOOSE(CONTROL!$C$21, $C$9, 100%, $E$9)</f>
        <v>4.7191000000000001</v>
      </c>
      <c r="H51" s="10">
        <f>CHOOSE(CONTROL!$C$42, 4.7727, 4.7727) * CHOOSE(CONTROL!$C$21, $C$9, 100%, $E$9)</f>
        <v>4.7727000000000004</v>
      </c>
      <c r="I51" s="10">
        <f>CHOOSE(CONTROL!$C$42, 4.7148, 4.7148)* CHOOSE(CONTROL!$C$21, $C$9, 100%, $E$9)</f>
        <v>4.7148000000000003</v>
      </c>
      <c r="J51" s="10">
        <f>CHOOSE(CONTROL!$C$42, 4.6941, 4.6941)* CHOOSE(CONTROL!$C$21, $C$9, 100%, $E$9)</f>
        <v>4.6940999999999997</v>
      </c>
      <c r="K51" s="10">
        <f>CHOOSE(CONTROL!$C$42, 4.7316, 4.7316) * CHOOSE(CONTROL!$C$21, $C$9, 100%, $E$9)</f>
        <v>4.7316000000000003</v>
      </c>
      <c r="L51" s="10">
        <f>CHOOSE(CONTROL!$C$42, 5.3597, 5.3597) * CHOOSE(CONTROL!$C$21, $C$9, 100%, $E$9)</f>
        <v>5.3597000000000001</v>
      </c>
      <c r="M51" s="10">
        <f>CHOOSE(CONTROL!$C$42, 4.6605, 4.6605) * CHOOSE(CONTROL!$C$21, $C$9, 100%, $E$9)</f>
        <v>4.6604999999999999</v>
      </c>
      <c r="N51" s="10">
        <f>CHOOSE(CONTROL!$C$42, 4.6784, 4.6784) * CHOOSE(CONTROL!$C$21, $C$9, 100%, $E$9)</f>
        <v>4.6783999999999999</v>
      </c>
      <c r="O51" s="10">
        <f>CHOOSE(CONTROL!$C$42, 4.7384, 4.7384) * CHOOSE(CONTROL!$C$21, $C$9, 100%, $E$9)</f>
        <v>4.7384000000000004</v>
      </c>
      <c r="P51" s="10">
        <f>CHOOSE(CONTROL!$C$42, 4.6811, 4.6811) * CHOOSE(CONTROL!$C$21, $C$9, 100%, $E$9)</f>
        <v>4.6810999999999998</v>
      </c>
      <c r="Q51" s="10">
        <f>CHOOSE(CONTROL!$C$42, 5.3337, 5.3337) * CHOOSE(CONTROL!$C$21, $C$9, 100%, $E$9)</f>
        <v>5.3337000000000003</v>
      </c>
      <c r="R51" s="10">
        <f>CHOOSE(CONTROL!$C$42, 5.934, 5.934) * CHOOSE(CONTROL!$C$21, $C$9, 100%, $E$9)</f>
        <v>5.9340000000000002</v>
      </c>
      <c r="S51" s="10">
        <f>CHOOSE(CONTROL!$C$42, 4.5818, 4.5818) * CHOOSE(CONTROL!$C$21, $C$9, 100%, $E$9)</f>
        <v>4.5818000000000003</v>
      </c>
      <c r="T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38">
        <f>(1000*CHOOSE(CONTROL!$C$42, 695, 695)*CHOOSE(CONTROL!$C$42, 0.5599, 0.5599)*CHOOSE(CONTROL!$C$42, 31, 31))/1000000</f>
        <v>12.063045499999998</v>
      </c>
      <c r="V51" s="38">
        <f>(1000*CHOOSE(CONTROL!$C$42, 580, 580)*CHOOSE(CONTROL!$C$42, 0.275, 0.275)*CHOOSE(CONTROL!$C$42, 31, 31))/1000000</f>
        <v>4.9444999999999997</v>
      </c>
      <c r="W51" s="38">
        <f>(1000*CHOOSE(CONTROL!$C$42, 0.1146, 0.1146)*CHOOSE(CONTROL!$C$42, 121.5, 121.5)*CHOOSE(CONTROL!$C$42, 31, 31))/1000000</f>
        <v>0.43164089999999994</v>
      </c>
      <c r="X51" s="38">
        <f>(31*0.1790888*100000/1000000)+(31*0.2374*100000/1000000)</f>
        <v>1.2911152800000001</v>
      </c>
      <c r="Y51" s="38"/>
      <c r="Z51" s="38">
        <f t="shared" si="0"/>
        <v>0.3</v>
      </c>
      <c r="AA51" s="10"/>
      <c r="AB51" s="39"/>
      <c r="AC51" s="33">
        <f>(B51*122.58+C51*297.941+D51*89.177+E51*40.302+F51*40+G51*160+H51*0+I51*100+J51*300)/(122.58+297.941+89.177+40.302+0+40+160+100+300)</f>
        <v>4.7179500112173915</v>
      </c>
      <c r="AD51" s="27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4.6998014388489215</v>
      </c>
    </row>
    <row r="52" spans="1:30" ht="15" x14ac:dyDescent="0.2">
      <c r="A52" s="16">
        <v>42826</v>
      </c>
      <c r="B52" s="10">
        <f>CHOOSE(CONTROL!$C$42, 4.707, 4.707) * CHOOSE(CONTROL!$C$21, $C$9, 100%, $E$9)</f>
        <v>4.7069999999999999</v>
      </c>
      <c r="C52" s="10">
        <f>CHOOSE(CONTROL!$C$42, 4.7114, 4.7114) * CHOOSE(CONTROL!$C$21, $C$9, 100%, $E$9)</f>
        <v>4.7114000000000003</v>
      </c>
      <c r="D52" s="10">
        <f>CHOOSE(CONTROL!$C$42, 4.8915, 4.8915) * CHOOSE(CONTROL!$C$21, $C$9, 100%, $E$9)</f>
        <v>4.8914999999999997</v>
      </c>
      <c r="E52" s="10">
        <f>CHOOSE(CONTROL!$C$42, 4.9233, 4.9233) * CHOOSE(CONTROL!$C$21, $C$9, 100%, $E$9)</f>
        <v>4.9233000000000002</v>
      </c>
      <c r="F52" s="10">
        <f>CHOOSE(CONTROL!$C$42, 4.6723, 4.6723)*CHOOSE(CONTROL!$C$21, $C$9, 100%, $E$9)</f>
        <v>4.6722999999999999</v>
      </c>
      <c r="G52" s="10">
        <f>CHOOSE(CONTROL!$C$42, 4.6886, 4.6886)*CHOOSE(CONTROL!$C$21, $C$9, 100%, $E$9)</f>
        <v>4.6886000000000001</v>
      </c>
      <c r="H52" s="10">
        <f>CHOOSE(CONTROL!$C$42, 4.9131, 4.9131) * CHOOSE(CONTROL!$C$21, $C$9, 100%, $E$9)</f>
        <v>4.9131</v>
      </c>
      <c r="I52" s="10">
        <f>CHOOSE(CONTROL!$C$42, 4.693, 4.693)* CHOOSE(CONTROL!$C$21, $C$9, 100%, $E$9)</f>
        <v>4.6929999999999996</v>
      </c>
      <c r="J52" s="10">
        <f>CHOOSE(CONTROL!$C$42, 4.6653, 4.6653)* CHOOSE(CONTROL!$C$21, $C$9, 100%, $E$9)</f>
        <v>4.6653000000000002</v>
      </c>
      <c r="K52" s="10">
        <f>CHOOSE(CONTROL!$C$42, 4.6953, 4.6953) * CHOOSE(CONTROL!$C$21, $C$9, 100%, $E$9)</f>
        <v>4.6952999999999996</v>
      </c>
      <c r="L52" s="10">
        <f>CHOOSE(CONTROL!$C$42, 5.5001, 5.5001) * CHOOSE(CONTROL!$C$21, $C$9, 100%, $E$9)</f>
        <v>5.5000999999999998</v>
      </c>
      <c r="M52" s="10">
        <f>CHOOSE(CONTROL!$C$42, 4.6321, 4.6321) * CHOOSE(CONTROL!$C$21, $C$9, 100%, $E$9)</f>
        <v>4.6321000000000003</v>
      </c>
      <c r="N52" s="10">
        <f>CHOOSE(CONTROL!$C$42, 4.6482, 4.6482) * CHOOSE(CONTROL!$C$21, $C$9, 100%, $E$9)</f>
        <v>4.6482000000000001</v>
      </c>
      <c r="O52" s="10">
        <f>CHOOSE(CONTROL!$C$42, 4.8773, 4.8773) * CHOOSE(CONTROL!$C$21, $C$9, 100%, $E$9)</f>
        <v>4.8773</v>
      </c>
      <c r="P52" s="10">
        <f>CHOOSE(CONTROL!$C$42, 4.6595, 4.6595) * CHOOSE(CONTROL!$C$21, $C$9, 100%, $E$9)</f>
        <v>4.6595000000000004</v>
      </c>
      <c r="Q52" s="10">
        <f>CHOOSE(CONTROL!$C$42, 5.4726, 5.4726) * CHOOSE(CONTROL!$C$21, $C$9, 100%, $E$9)</f>
        <v>5.4725999999999999</v>
      </c>
      <c r="R52" s="10">
        <f>CHOOSE(CONTROL!$C$42, 6.0733, 6.0733) * CHOOSE(CONTROL!$C$21, $C$9, 100%, $E$9)</f>
        <v>6.0732999999999997</v>
      </c>
      <c r="S52" s="10">
        <f>CHOOSE(CONTROL!$C$42, 4.5681, 4.5681) * CHOOSE(CONTROL!$C$21, $C$9, 100%, $E$9)</f>
        <v>4.5681000000000003</v>
      </c>
      <c r="T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38">
        <f>(1000*CHOOSE(CONTROL!$C$42, 695, 695)*CHOOSE(CONTROL!$C$42, 0.5599, 0.5599)*CHOOSE(CONTROL!$C$42, 30, 30))/1000000</f>
        <v>11.673914999999997</v>
      </c>
      <c r="V52" s="38">
        <f>(1000*CHOOSE(CONTROL!$C$42, 580, 580)*CHOOSE(CONTROL!$C$42, 0.275, 0.275)*CHOOSE(CONTROL!$C$42, 30, 30))/1000000</f>
        <v>4.7850000000000001</v>
      </c>
      <c r="W52" s="38">
        <f>(1000*CHOOSE(CONTROL!$C$42, 0.1146, 0.1146)*CHOOSE(CONTROL!$C$42, 121.5, 121.5)*CHOOSE(CONTROL!$C$42, 30, 30))/1000000</f>
        <v>0.417717</v>
      </c>
      <c r="X52" s="38">
        <f>(30*0.1790888*245000/1000000)+(30*0.2374*100000/1000000)</f>
        <v>2.0285026799999999</v>
      </c>
      <c r="Y52" s="38"/>
      <c r="Z52" s="38">
        <f t="shared" si="0"/>
        <v>0.3</v>
      </c>
      <c r="AA52" s="10"/>
      <c r="AB52" s="39"/>
      <c r="AC52" s="33">
        <f>(B52*141.293+C52*267.993+D52*115.016+E52*89.698+F52*40+G52*185+H52*0+I52*100+J52*300)/(141.293+267.993+115.016+89.698+0+40+185+100+300)</f>
        <v>4.7256435016949156</v>
      </c>
      <c r="AD52" s="27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4.7085460431654687</v>
      </c>
    </row>
    <row r="53" spans="1:30" ht="15" x14ac:dyDescent="0.2">
      <c r="A53" s="16">
        <v>42856</v>
      </c>
      <c r="B53" s="10">
        <f>CHOOSE(CONTROL!$C$42, 4.7503, 4.7503) * CHOOSE(CONTROL!$C$21, $C$9, 100%, $E$9)</f>
        <v>4.7503000000000002</v>
      </c>
      <c r="C53" s="10">
        <f>CHOOSE(CONTROL!$C$42, 4.7582, 4.7582) * CHOOSE(CONTROL!$C$21, $C$9, 100%, $E$9)</f>
        <v>4.7582000000000004</v>
      </c>
      <c r="D53" s="10">
        <f>CHOOSE(CONTROL!$C$42, 4.9352, 4.9352) * CHOOSE(CONTROL!$C$21, $C$9, 100%, $E$9)</f>
        <v>4.9352</v>
      </c>
      <c r="E53" s="10">
        <f>CHOOSE(CONTROL!$C$42, 4.9663, 4.9663) * CHOOSE(CONTROL!$C$21, $C$9, 100%, $E$9)</f>
        <v>4.9663000000000004</v>
      </c>
      <c r="F53" s="10">
        <f>CHOOSE(CONTROL!$C$42, 4.7137, 4.7137)*CHOOSE(CONTROL!$C$21, $C$9, 100%, $E$9)</f>
        <v>4.7137000000000002</v>
      </c>
      <c r="G53" s="10">
        <f>CHOOSE(CONTROL!$C$42, 4.7302, 4.7302)*CHOOSE(CONTROL!$C$21, $C$9, 100%, $E$9)</f>
        <v>4.7302</v>
      </c>
      <c r="H53" s="10">
        <f>CHOOSE(CONTROL!$C$42, 4.955, 4.955) * CHOOSE(CONTROL!$C$21, $C$9, 100%, $E$9)</f>
        <v>4.9550000000000001</v>
      </c>
      <c r="I53" s="10">
        <f>CHOOSE(CONTROL!$C$42, 4.7349, 4.7349)* CHOOSE(CONTROL!$C$21, $C$9, 100%, $E$9)</f>
        <v>4.7348999999999997</v>
      </c>
      <c r="J53" s="10">
        <f>CHOOSE(CONTROL!$C$42, 4.7067, 4.7067)* CHOOSE(CONTROL!$C$21, $C$9, 100%, $E$9)</f>
        <v>4.7066999999999997</v>
      </c>
      <c r="K53" s="10">
        <f>CHOOSE(CONTROL!$C$42, 4.7348, 4.7348) * CHOOSE(CONTROL!$C$21, $C$9, 100%, $E$9)</f>
        <v>4.7347999999999999</v>
      </c>
      <c r="L53" s="10">
        <f>CHOOSE(CONTROL!$C$42, 5.542, 5.542) * CHOOSE(CONTROL!$C$21, $C$9, 100%, $E$9)</f>
        <v>5.5419999999999998</v>
      </c>
      <c r="M53" s="10">
        <f>CHOOSE(CONTROL!$C$42, 4.673, 4.673) * CHOOSE(CONTROL!$C$21, $C$9, 100%, $E$9)</f>
        <v>4.673</v>
      </c>
      <c r="N53" s="10">
        <f>CHOOSE(CONTROL!$C$42, 4.6893, 4.6893) * CHOOSE(CONTROL!$C$21, $C$9, 100%, $E$9)</f>
        <v>4.6893000000000002</v>
      </c>
      <c r="O53" s="10">
        <f>CHOOSE(CONTROL!$C$42, 4.9188, 4.9188) * CHOOSE(CONTROL!$C$21, $C$9, 100%, $E$9)</f>
        <v>4.9188000000000001</v>
      </c>
      <c r="P53" s="10">
        <f>CHOOSE(CONTROL!$C$42, 4.701, 4.701) * CHOOSE(CONTROL!$C$21, $C$9, 100%, $E$9)</f>
        <v>4.7009999999999996</v>
      </c>
      <c r="Q53" s="10">
        <f>CHOOSE(CONTROL!$C$42, 5.5141, 5.5141) * CHOOSE(CONTROL!$C$21, $C$9, 100%, $E$9)</f>
        <v>5.5141</v>
      </c>
      <c r="R53" s="10">
        <f>CHOOSE(CONTROL!$C$42, 6.1149, 6.1149) * CHOOSE(CONTROL!$C$21, $C$9, 100%, $E$9)</f>
        <v>6.1148999999999996</v>
      </c>
      <c r="S53" s="10">
        <f>CHOOSE(CONTROL!$C$42, 4.6088, 4.6088) * CHOOSE(CONTROL!$C$21, $C$9, 100%, $E$9)</f>
        <v>4.6087999999999996</v>
      </c>
      <c r="T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38">
        <f>(1000*CHOOSE(CONTROL!$C$42, 695, 695)*CHOOSE(CONTROL!$C$42, 0.5599, 0.5599)*CHOOSE(CONTROL!$C$42, 31, 31))/1000000</f>
        <v>12.063045499999998</v>
      </c>
      <c r="V53" s="38">
        <f>(1000*CHOOSE(CONTROL!$C$42, 580, 580)*CHOOSE(CONTROL!$C$42, 0.275, 0.275)*CHOOSE(CONTROL!$C$42, 31, 31))/1000000</f>
        <v>4.9444999999999997</v>
      </c>
      <c r="W53" s="38">
        <f>(1000*CHOOSE(CONTROL!$C$42, 0.1146, 0.1146)*CHOOSE(CONTROL!$C$42, 121.5, 121.5)*CHOOSE(CONTROL!$C$42, 31, 31))/1000000</f>
        <v>0.43164089999999994</v>
      </c>
      <c r="X53" s="38">
        <f>(31*0.1790888*245000/1000000)+(31*0.2374*100000/1000000)</f>
        <v>2.0961194359999999</v>
      </c>
      <c r="Y53" s="38">
        <f>(1000*400*CHOOSE(CONTROL!$C$42, 2.0223, 2.0223)*CHOOSE(CONTROL!$C$42, 31, 31))/1000000</f>
        <v>25.076519999999999</v>
      </c>
      <c r="Z53" s="38"/>
      <c r="AA53" s="10"/>
      <c r="AB53" s="39"/>
      <c r="AC53" s="33">
        <f>(B53*194.205+C53*267.466+D53*133.845+E53*53.484+F53*40+G53*185+H53*0+I53*100+J53*300)/(194.205+267.466+133.845+53.484+0+40+185+100+300)</f>
        <v>4.764908293485087</v>
      </c>
      <c r="AD53" s="27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4.7497467625899281</v>
      </c>
    </row>
    <row r="54" spans="1:30" ht="15" x14ac:dyDescent="0.2">
      <c r="A54" s="16">
        <v>42887</v>
      </c>
      <c r="B54" s="10">
        <f>CHOOSE(CONTROL!$C$42, 4.8849, 4.8849) * CHOOSE(CONTROL!$C$21, $C$9, 100%, $E$9)</f>
        <v>4.8849</v>
      </c>
      <c r="C54" s="10">
        <f>CHOOSE(CONTROL!$C$42, 4.8928, 4.8928) * CHOOSE(CONTROL!$C$21, $C$9, 100%, $E$9)</f>
        <v>4.8928000000000003</v>
      </c>
      <c r="D54" s="10">
        <f>CHOOSE(CONTROL!$C$42, 5.0698, 5.0698) * CHOOSE(CONTROL!$C$21, $C$9, 100%, $E$9)</f>
        <v>5.0697999999999999</v>
      </c>
      <c r="E54" s="10">
        <f>CHOOSE(CONTROL!$C$42, 5.1009, 5.1009) * CHOOSE(CONTROL!$C$21, $C$9, 100%, $E$9)</f>
        <v>5.1009000000000002</v>
      </c>
      <c r="F54" s="10">
        <f>CHOOSE(CONTROL!$C$42, 4.8484, 4.8484)*CHOOSE(CONTROL!$C$21, $C$9, 100%, $E$9)</f>
        <v>4.8483999999999998</v>
      </c>
      <c r="G54" s="10">
        <f>CHOOSE(CONTROL!$C$42, 4.865, 4.865)*CHOOSE(CONTROL!$C$21, $C$9, 100%, $E$9)</f>
        <v>4.8650000000000002</v>
      </c>
      <c r="H54" s="10">
        <f>CHOOSE(CONTROL!$C$42, 5.0896, 5.0896) * CHOOSE(CONTROL!$C$21, $C$9, 100%, $E$9)</f>
        <v>5.0895999999999999</v>
      </c>
      <c r="I54" s="10">
        <f>CHOOSE(CONTROL!$C$42, 4.8695, 4.8695)* CHOOSE(CONTROL!$C$21, $C$9, 100%, $E$9)</f>
        <v>4.8695000000000004</v>
      </c>
      <c r="J54" s="10">
        <f>CHOOSE(CONTROL!$C$42, 4.8414, 4.8414)* CHOOSE(CONTROL!$C$21, $C$9, 100%, $E$9)</f>
        <v>4.8414000000000001</v>
      </c>
      <c r="K54" s="10">
        <f>CHOOSE(CONTROL!$C$42, 4.8659, 4.8659) * CHOOSE(CONTROL!$C$21, $C$9, 100%, $E$9)</f>
        <v>4.8658999999999999</v>
      </c>
      <c r="L54" s="10">
        <f>CHOOSE(CONTROL!$C$42, 5.6766, 5.6766) * CHOOSE(CONTROL!$C$21, $C$9, 100%, $E$9)</f>
        <v>5.6765999999999996</v>
      </c>
      <c r="M54" s="10">
        <f>CHOOSE(CONTROL!$C$42, 4.8064, 4.8064) * CHOOSE(CONTROL!$C$21, $C$9, 100%, $E$9)</f>
        <v>4.8064</v>
      </c>
      <c r="N54" s="10">
        <f>CHOOSE(CONTROL!$C$42, 4.8228, 4.8228) * CHOOSE(CONTROL!$C$21, $C$9, 100%, $E$9)</f>
        <v>4.8228</v>
      </c>
      <c r="O54" s="10">
        <f>CHOOSE(CONTROL!$C$42, 5.052, 5.052) * CHOOSE(CONTROL!$C$21, $C$9, 100%, $E$9)</f>
        <v>5.0519999999999996</v>
      </c>
      <c r="P54" s="10">
        <f>CHOOSE(CONTROL!$C$42, 4.8342, 4.8342) * CHOOSE(CONTROL!$C$21, $C$9, 100%, $E$9)</f>
        <v>4.8342000000000001</v>
      </c>
      <c r="Q54" s="10">
        <f>CHOOSE(CONTROL!$C$42, 5.6473, 5.6473) * CHOOSE(CONTROL!$C$21, $C$9, 100%, $E$9)</f>
        <v>5.6473000000000004</v>
      </c>
      <c r="R54" s="10">
        <f>CHOOSE(CONTROL!$C$42, 6.2484, 6.2484) * CHOOSE(CONTROL!$C$21, $C$9, 100%, $E$9)</f>
        <v>6.2484000000000002</v>
      </c>
      <c r="S54" s="10">
        <f>CHOOSE(CONTROL!$C$42, 4.7395, 4.7395) * CHOOSE(CONTROL!$C$21, $C$9, 100%, $E$9)</f>
        <v>4.7394999999999996</v>
      </c>
      <c r="T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38">
        <f>(1000*CHOOSE(CONTROL!$C$42, 695, 695)*CHOOSE(CONTROL!$C$42, 0.5599, 0.5599)*CHOOSE(CONTROL!$C$42, 30, 30))/1000000</f>
        <v>11.673914999999997</v>
      </c>
      <c r="V54" s="38">
        <f>(1000*CHOOSE(CONTROL!$C$42, 580, 580)*CHOOSE(CONTROL!$C$42, 0.275, 0.275)*CHOOSE(CONTROL!$C$42, 30, 30))/1000000</f>
        <v>4.7850000000000001</v>
      </c>
      <c r="W54" s="38">
        <f>(1000*CHOOSE(CONTROL!$C$42, 0.1146, 0.1146)*CHOOSE(CONTROL!$C$42, 121.5, 121.5)*CHOOSE(CONTROL!$C$42, 30, 30))/1000000</f>
        <v>0.417717</v>
      </c>
      <c r="X54" s="38">
        <f>(30*0.1790888*245000/1000000)+(30*0.2374*100000/1000000)</f>
        <v>2.0285026799999999</v>
      </c>
      <c r="Y54" s="38">
        <f>(1000*400*CHOOSE(CONTROL!$C$42, 2.0223, 2.0223)*CHOOSE(CONTROL!$C$42, 30, 30))/1000000</f>
        <v>24.267600000000002</v>
      </c>
      <c r="Z54" s="38"/>
      <c r="AA54" s="10"/>
      <c r="AB54" s="39"/>
      <c r="AC54" s="33">
        <f>(B54*194.205+C54*267.466+D54*133.845+E54*53.484+F54*40+G54*185+H54*0+I54*100+J54*300)/(194.205+267.466+133.845+53.484+0+40+185+100+300)</f>
        <v>4.899564023469388</v>
      </c>
      <c r="AD54" s="27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4.8830848920863312</v>
      </c>
    </row>
    <row r="55" spans="1:30" ht="15" x14ac:dyDescent="0.2">
      <c r="A55" s="16">
        <v>42917</v>
      </c>
      <c r="B55" s="10">
        <f>CHOOSE(CONTROL!$C$42, 4.7913, 4.7913) * CHOOSE(CONTROL!$C$21, $C$9, 100%, $E$9)</f>
        <v>4.7912999999999997</v>
      </c>
      <c r="C55" s="10">
        <f>CHOOSE(CONTROL!$C$42, 4.7992, 4.7992) * CHOOSE(CONTROL!$C$21, $C$9, 100%, $E$9)</f>
        <v>4.7991999999999999</v>
      </c>
      <c r="D55" s="10">
        <f>CHOOSE(CONTROL!$C$42, 4.9762, 4.9762) * CHOOSE(CONTROL!$C$21, $C$9, 100%, $E$9)</f>
        <v>4.9762000000000004</v>
      </c>
      <c r="E55" s="10">
        <f>CHOOSE(CONTROL!$C$42, 5.0073, 5.0073) * CHOOSE(CONTROL!$C$21, $C$9, 100%, $E$9)</f>
        <v>5.0072999999999999</v>
      </c>
      <c r="F55" s="10">
        <f>CHOOSE(CONTROL!$C$42, 4.7551, 4.7551)*CHOOSE(CONTROL!$C$21, $C$9, 100%, $E$9)</f>
        <v>4.7550999999999997</v>
      </c>
      <c r="G55" s="10">
        <f>CHOOSE(CONTROL!$C$42, 4.7717, 4.7717)*CHOOSE(CONTROL!$C$21, $C$9, 100%, $E$9)</f>
        <v>4.7717000000000001</v>
      </c>
      <c r="H55" s="10">
        <f>CHOOSE(CONTROL!$C$42, 4.996, 4.996) * CHOOSE(CONTROL!$C$21, $C$9, 100%, $E$9)</f>
        <v>4.9960000000000004</v>
      </c>
      <c r="I55" s="10">
        <f>CHOOSE(CONTROL!$C$42, 4.7759, 4.7759)* CHOOSE(CONTROL!$C$21, $C$9, 100%, $E$9)</f>
        <v>4.7759</v>
      </c>
      <c r="J55" s="10">
        <f>CHOOSE(CONTROL!$C$42, 4.7481, 4.7481)* CHOOSE(CONTROL!$C$21, $C$9, 100%, $E$9)</f>
        <v>4.7481</v>
      </c>
      <c r="K55" s="10">
        <f>CHOOSE(CONTROL!$C$42, 4.7755, 4.7755) * CHOOSE(CONTROL!$C$21, $C$9, 100%, $E$9)</f>
        <v>4.7755000000000001</v>
      </c>
      <c r="L55" s="10">
        <f>CHOOSE(CONTROL!$C$42, 5.583, 5.583) * CHOOSE(CONTROL!$C$21, $C$9, 100%, $E$9)</f>
        <v>5.5830000000000002</v>
      </c>
      <c r="M55" s="10">
        <f>CHOOSE(CONTROL!$C$42, 4.714, 4.714) * CHOOSE(CONTROL!$C$21, $C$9, 100%, $E$9)</f>
        <v>4.7140000000000004</v>
      </c>
      <c r="N55" s="10">
        <f>CHOOSE(CONTROL!$C$42, 4.7304, 4.7304) * CHOOSE(CONTROL!$C$21, $C$9, 100%, $E$9)</f>
        <v>4.7304000000000004</v>
      </c>
      <c r="O55" s="10">
        <f>CHOOSE(CONTROL!$C$42, 4.9594, 4.9594) * CHOOSE(CONTROL!$C$21, $C$9, 100%, $E$9)</f>
        <v>4.9593999999999996</v>
      </c>
      <c r="P55" s="10">
        <f>CHOOSE(CONTROL!$C$42, 4.7415, 4.7415) * CHOOSE(CONTROL!$C$21, $C$9, 100%, $E$9)</f>
        <v>4.7415000000000003</v>
      </c>
      <c r="Q55" s="10">
        <f>CHOOSE(CONTROL!$C$42, 5.5547, 5.5547) * CHOOSE(CONTROL!$C$21, $C$9, 100%, $E$9)</f>
        <v>5.5547000000000004</v>
      </c>
      <c r="R55" s="10">
        <f>CHOOSE(CONTROL!$C$42, 6.1556, 6.1556) * CHOOSE(CONTROL!$C$21, $C$9, 100%, $E$9)</f>
        <v>6.1555999999999997</v>
      </c>
      <c r="S55" s="10">
        <f>CHOOSE(CONTROL!$C$42, 4.6486, 4.6486) * CHOOSE(CONTROL!$C$21, $C$9, 100%, $E$9)</f>
        <v>4.6486000000000001</v>
      </c>
      <c r="T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38">
        <f>(1000*CHOOSE(CONTROL!$C$42, 695, 695)*CHOOSE(CONTROL!$C$42, 0.5599, 0.5599)*CHOOSE(CONTROL!$C$42, 31, 31))/1000000</f>
        <v>12.063045499999998</v>
      </c>
      <c r="V55" s="38">
        <f>(1000*CHOOSE(CONTROL!$C$42, 580, 580)*CHOOSE(CONTROL!$C$42, 0.275, 0.275)*CHOOSE(CONTROL!$C$42, 31, 31))/1000000</f>
        <v>4.9444999999999997</v>
      </c>
      <c r="W55" s="38">
        <f>(1000*CHOOSE(CONTROL!$C$42, 0.1146, 0.1146)*CHOOSE(CONTROL!$C$42, 121.5, 121.5)*CHOOSE(CONTROL!$C$42, 31, 31))/1000000</f>
        <v>0.43164089999999994</v>
      </c>
      <c r="X55" s="38">
        <f>(31*0.1790888*245000/1000000)+(31*0.2374*100000/1000000)</f>
        <v>2.0961194359999999</v>
      </c>
      <c r="Y55" s="38">
        <f>(1000*400*CHOOSE(CONTROL!$C$42, 2.0223, 2.0223)*CHOOSE(CONTROL!$C$42, 31, 31))/1000000</f>
        <v>25.076519999999999</v>
      </c>
      <c r="Z55" s="38"/>
      <c r="AA55" s="10"/>
      <c r="AB55" s="39"/>
      <c r="AC55" s="33">
        <f>(B55*194.205+C55*267.466+D55*133.845+E55*53.484+F55*40+G55*185+H55*0+I55*100+J55*300)/(194.205+267.466+133.845+53.484+0+40+185+100+300)</f>
        <v>4.8060876498430147</v>
      </c>
      <c r="AD55" s="27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4.7905856115107914</v>
      </c>
    </row>
    <row r="56" spans="1:30" ht="15" x14ac:dyDescent="0.2">
      <c r="A56" s="16">
        <v>42948</v>
      </c>
      <c r="B56" s="10">
        <f>CHOOSE(CONTROL!$C$42, 4.5549, 4.5549) * CHOOSE(CONTROL!$C$21, $C$9, 100%, $E$9)</f>
        <v>4.5548999999999999</v>
      </c>
      <c r="C56" s="10">
        <f>CHOOSE(CONTROL!$C$42, 4.5628, 4.5628) * CHOOSE(CONTROL!$C$21, $C$9, 100%, $E$9)</f>
        <v>4.5628000000000002</v>
      </c>
      <c r="D56" s="10">
        <f>CHOOSE(CONTROL!$C$42, 4.7398, 4.7398) * CHOOSE(CONTROL!$C$21, $C$9, 100%, $E$9)</f>
        <v>4.7397999999999998</v>
      </c>
      <c r="E56" s="10">
        <f>CHOOSE(CONTROL!$C$42, 4.7709, 4.7709) * CHOOSE(CONTROL!$C$21, $C$9, 100%, $E$9)</f>
        <v>4.7709000000000001</v>
      </c>
      <c r="F56" s="10">
        <f>CHOOSE(CONTROL!$C$42, 4.5187, 4.5187)*CHOOSE(CONTROL!$C$21, $C$9, 100%, $E$9)</f>
        <v>4.5186999999999999</v>
      </c>
      <c r="G56" s="10">
        <f>CHOOSE(CONTROL!$C$42, 4.5353, 4.5353)*CHOOSE(CONTROL!$C$21, $C$9, 100%, $E$9)</f>
        <v>4.5353000000000003</v>
      </c>
      <c r="H56" s="10">
        <f>CHOOSE(CONTROL!$C$42, 4.7596, 4.7596) * CHOOSE(CONTROL!$C$21, $C$9, 100%, $E$9)</f>
        <v>4.7595999999999998</v>
      </c>
      <c r="I56" s="10">
        <f>CHOOSE(CONTROL!$C$42, 4.5395, 4.5395)* CHOOSE(CONTROL!$C$21, $C$9, 100%, $E$9)</f>
        <v>4.5395000000000003</v>
      </c>
      <c r="J56" s="10">
        <f>CHOOSE(CONTROL!$C$42, 4.5117, 4.5117)* CHOOSE(CONTROL!$C$21, $C$9, 100%, $E$9)</f>
        <v>4.5117000000000003</v>
      </c>
      <c r="K56" s="10">
        <f>CHOOSE(CONTROL!$C$42, 4.546, 4.546) * CHOOSE(CONTROL!$C$21, $C$9, 100%, $E$9)</f>
        <v>4.5460000000000003</v>
      </c>
      <c r="L56" s="10">
        <f>CHOOSE(CONTROL!$C$42, 5.3466, 5.3466) * CHOOSE(CONTROL!$C$21, $C$9, 100%, $E$9)</f>
        <v>5.3465999999999996</v>
      </c>
      <c r="M56" s="10">
        <f>CHOOSE(CONTROL!$C$42, 4.48, 4.48) * CHOOSE(CONTROL!$C$21, $C$9, 100%, $E$9)</f>
        <v>4.4800000000000004</v>
      </c>
      <c r="N56" s="10">
        <f>CHOOSE(CONTROL!$C$42, 4.4965, 4.4965) * CHOOSE(CONTROL!$C$21, $C$9, 100%, $E$9)</f>
        <v>4.4965000000000002</v>
      </c>
      <c r="O56" s="10">
        <f>CHOOSE(CONTROL!$C$42, 4.7254, 4.7254) * CHOOSE(CONTROL!$C$21, $C$9, 100%, $E$9)</f>
        <v>4.7253999999999996</v>
      </c>
      <c r="P56" s="10">
        <f>CHOOSE(CONTROL!$C$42, 4.5075, 4.5075) * CHOOSE(CONTROL!$C$21, $C$9, 100%, $E$9)</f>
        <v>4.5075000000000003</v>
      </c>
      <c r="Q56" s="10">
        <f>CHOOSE(CONTROL!$C$42, 5.3207, 5.3207) * CHOOSE(CONTROL!$C$21, $C$9, 100%, $E$9)</f>
        <v>5.3207000000000004</v>
      </c>
      <c r="R56" s="10">
        <f>CHOOSE(CONTROL!$C$42, 5.921, 5.921) * CHOOSE(CONTROL!$C$21, $C$9, 100%, $E$9)</f>
        <v>5.9210000000000003</v>
      </c>
      <c r="S56" s="10">
        <f>CHOOSE(CONTROL!$C$42, 4.419, 4.419) * CHOOSE(CONTROL!$C$21, $C$9, 100%, $E$9)</f>
        <v>4.4189999999999996</v>
      </c>
      <c r="T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38">
        <f>(1000*CHOOSE(CONTROL!$C$42, 695, 695)*CHOOSE(CONTROL!$C$42, 0.5599, 0.5599)*CHOOSE(CONTROL!$C$42, 31, 31))/1000000</f>
        <v>12.063045499999998</v>
      </c>
      <c r="V56" s="38">
        <f>(1000*CHOOSE(CONTROL!$C$42, 580, 580)*CHOOSE(CONTROL!$C$42, 0.275, 0.275)*CHOOSE(CONTROL!$C$42, 31, 31))/1000000</f>
        <v>4.9444999999999997</v>
      </c>
      <c r="W56" s="38">
        <f>(1000*CHOOSE(CONTROL!$C$42, 0.1146, 0.1146)*CHOOSE(CONTROL!$C$42, 121.5, 121.5)*CHOOSE(CONTROL!$C$42, 31, 31))/1000000</f>
        <v>0.43164089999999994</v>
      </c>
      <c r="X56" s="38">
        <f>(31*0.1790888*245000/1000000)+(31*0.2374*100000/1000000)</f>
        <v>2.0961194359999999</v>
      </c>
      <c r="Y56" s="38">
        <f>(1000*400*CHOOSE(CONTROL!$C$42, 2.0223, 2.0223)*CHOOSE(CONTROL!$C$42, 31, 31))/1000000</f>
        <v>25.076519999999999</v>
      </c>
      <c r="Z56" s="38"/>
      <c r="AA56" s="10"/>
      <c r="AB56" s="39"/>
      <c r="AC56" s="33">
        <f>(B56*194.205+C56*267.466+D56*133.845+E56*53.484+F56*40+G56*185+H56*0+I56*100+J56*300)/(194.205+267.466+133.845+53.484+0+40+185+100+300)</f>
        <v>4.5696876498430141</v>
      </c>
      <c r="AD56" s="27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4.5566086330935249</v>
      </c>
    </row>
    <row r="57" spans="1:30" ht="15" x14ac:dyDescent="0.2">
      <c r="A57" s="16">
        <v>42979</v>
      </c>
      <c r="B57" s="10">
        <f>CHOOSE(CONTROL!$C$42, 4.2661, 4.2661) * CHOOSE(CONTROL!$C$21, $C$9, 100%, $E$9)</f>
        <v>4.2660999999999998</v>
      </c>
      <c r="C57" s="10">
        <f>CHOOSE(CONTROL!$C$42, 4.274, 4.274) * CHOOSE(CONTROL!$C$21, $C$9, 100%, $E$9)</f>
        <v>4.274</v>
      </c>
      <c r="D57" s="10">
        <f>CHOOSE(CONTROL!$C$42, 4.451, 4.451) * CHOOSE(CONTROL!$C$21, $C$9, 100%, $E$9)</f>
        <v>4.4509999999999996</v>
      </c>
      <c r="E57" s="10">
        <f>CHOOSE(CONTROL!$C$42, 4.4821, 4.4821) * CHOOSE(CONTROL!$C$21, $C$9, 100%, $E$9)</f>
        <v>4.4821</v>
      </c>
      <c r="F57" s="10">
        <f>CHOOSE(CONTROL!$C$42, 4.2296, 4.2296)*CHOOSE(CONTROL!$C$21, $C$9, 100%, $E$9)</f>
        <v>4.2295999999999996</v>
      </c>
      <c r="G57" s="10">
        <f>CHOOSE(CONTROL!$C$42, 4.2462, 4.2462)*CHOOSE(CONTROL!$C$21, $C$9, 100%, $E$9)</f>
        <v>4.2462</v>
      </c>
      <c r="H57" s="10">
        <f>CHOOSE(CONTROL!$C$42, 4.4707, 4.4707) * CHOOSE(CONTROL!$C$21, $C$9, 100%, $E$9)</f>
        <v>4.4706999999999999</v>
      </c>
      <c r="I57" s="10">
        <f>CHOOSE(CONTROL!$C$42, 4.2507, 4.2507)* CHOOSE(CONTROL!$C$21, $C$9, 100%, $E$9)</f>
        <v>4.2507000000000001</v>
      </c>
      <c r="J57" s="10">
        <f>CHOOSE(CONTROL!$C$42, 4.2226, 4.2226)* CHOOSE(CONTROL!$C$21, $C$9, 100%, $E$9)</f>
        <v>4.2225999999999999</v>
      </c>
      <c r="K57" s="10">
        <f>CHOOSE(CONTROL!$C$42, 4.2648, 4.2648) * CHOOSE(CONTROL!$C$21, $C$9, 100%, $E$9)</f>
        <v>4.2648000000000001</v>
      </c>
      <c r="L57" s="10">
        <f>CHOOSE(CONTROL!$C$42, 5.0577, 5.0577) * CHOOSE(CONTROL!$C$21, $C$9, 100%, $E$9)</f>
        <v>5.0576999999999996</v>
      </c>
      <c r="M57" s="10">
        <f>CHOOSE(CONTROL!$C$42, 4.1939, 4.1939) * CHOOSE(CONTROL!$C$21, $C$9, 100%, $E$9)</f>
        <v>4.1939000000000002</v>
      </c>
      <c r="N57" s="10">
        <f>CHOOSE(CONTROL!$C$42, 4.2103, 4.2103) * CHOOSE(CONTROL!$C$21, $C$9, 100%, $E$9)</f>
        <v>4.2103000000000002</v>
      </c>
      <c r="O57" s="10">
        <f>CHOOSE(CONTROL!$C$42, 4.4394, 4.4394) * CHOOSE(CONTROL!$C$21, $C$9, 100%, $E$9)</f>
        <v>4.4394</v>
      </c>
      <c r="P57" s="10">
        <f>CHOOSE(CONTROL!$C$42, 4.2216, 4.2216) * CHOOSE(CONTROL!$C$21, $C$9, 100%, $E$9)</f>
        <v>4.2215999999999996</v>
      </c>
      <c r="Q57" s="10">
        <f>CHOOSE(CONTROL!$C$42, 5.0347, 5.0347) * CHOOSE(CONTROL!$C$21, $C$9, 100%, $E$9)</f>
        <v>5.0347</v>
      </c>
      <c r="R57" s="10">
        <f>CHOOSE(CONTROL!$C$42, 5.6343, 5.6343) * CHOOSE(CONTROL!$C$21, $C$9, 100%, $E$9)</f>
        <v>5.6342999999999996</v>
      </c>
      <c r="S57" s="10">
        <f>CHOOSE(CONTROL!$C$42, 4.1385, 4.1385) * CHOOSE(CONTROL!$C$21, $C$9, 100%, $E$9)</f>
        <v>4.1384999999999996</v>
      </c>
      <c r="T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38">
        <f>(1000*CHOOSE(CONTROL!$C$42, 695, 695)*CHOOSE(CONTROL!$C$42, 0.5599, 0.5599)*CHOOSE(CONTROL!$C$42, 30, 30))/1000000</f>
        <v>11.673914999999997</v>
      </c>
      <c r="V57" s="38">
        <f>(1000*CHOOSE(CONTROL!$C$42, 580, 580)*CHOOSE(CONTROL!$C$42, 0.275, 0.275)*CHOOSE(CONTROL!$C$42, 30, 30))/1000000</f>
        <v>4.7850000000000001</v>
      </c>
      <c r="W57" s="38">
        <f>(1000*CHOOSE(CONTROL!$C$42, 0.1146, 0.1146)*CHOOSE(CONTROL!$C$42, 121.5, 121.5)*CHOOSE(CONTROL!$C$42, 30, 30))/1000000</f>
        <v>0.417717</v>
      </c>
      <c r="X57" s="38">
        <f>(30*0.1790888*245000/1000000)+(30*0.2374*100000/1000000)</f>
        <v>2.0285026799999999</v>
      </c>
      <c r="Y57" s="38">
        <f>(1000*400*CHOOSE(CONTROL!$C$42, 2.0223, 2.0223)*CHOOSE(CONTROL!$C$42, 30, 30))/1000000</f>
        <v>24.267600000000002</v>
      </c>
      <c r="Z57" s="38"/>
      <c r="AA57" s="10"/>
      <c r="AB57" s="39"/>
      <c r="AC57" s="33">
        <f>(B57*194.205+C57*267.466+D57*133.845+E57*53.484+F57*40+G57*185+H57*0+I57*100+J57*300)/(194.205+267.466+133.845+53.484+0+40+185+100+300)</f>
        <v>4.2807640234693878</v>
      </c>
      <c r="AD57" s="27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4.2705424460431658</v>
      </c>
    </row>
    <row r="58" spans="1:30" ht="15" x14ac:dyDescent="0.2">
      <c r="A58" s="16">
        <v>43009</v>
      </c>
      <c r="B58" s="10">
        <f>CHOOSE(CONTROL!$C$42, 4.1774, 4.1774) * CHOOSE(CONTROL!$C$21, $C$9, 100%, $E$9)</f>
        <v>4.1773999999999996</v>
      </c>
      <c r="C58" s="10">
        <f>CHOOSE(CONTROL!$C$42, 4.1826, 4.1826) * CHOOSE(CONTROL!$C$21, $C$9, 100%, $E$9)</f>
        <v>4.1825999999999999</v>
      </c>
      <c r="D58" s="10">
        <f>CHOOSE(CONTROL!$C$42, 4.3646, 4.3646) * CHOOSE(CONTROL!$C$21, $C$9, 100%, $E$9)</f>
        <v>4.3646000000000003</v>
      </c>
      <c r="E58" s="10">
        <f>CHOOSE(CONTROL!$C$42, 4.3934, 4.3934) * CHOOSE(CONTROL!$C$21, $C$9, 100%, $E$9)</f>
        <v>4.3933999999999997</v>
      </c>
      <c r="F58" s="10">
        <f>CHOOSE(CONTROL!$C$42, 4.143, 4.143)*CHOOSE(CONTROL!$C$21, $C$9, 100%, $E$9)</f>
        <v>4.1429999999999998</v>
      </c>
      <c r="G58" s="10">
        <f>CHOOSE(CONTROL!$C$42, 4.1593, 4.1593)*CHOOSE(CONTROL!$C$21, $C$9, 100%, $E$9)</f>
        <v>4.1593</v>
      </c>
      <c r="H58" s="10">
        <f>CHOOSE(CONTROL!$C$42, 4.3838, 4.3838) * CHOOSE(CONTROL!$C$21, $C$9, 100%, $E$9)</f>
        <v>4.3837999999999999</v>
      </c>
      <c r="I58" s="10">
        <f>CHOOSE(CONTROL!$C$42, 4.1638, 4.1638)* CHOOSE(CONTROL!$C$21, $C$9, 100%, $E$9)</f>
        <v>4.1638000000000002</v>
      </c>
      <c r="J58" s="10">
        <f>CHOOSE(CONTROL!$C$42, 4.136, 4.136)* CHOOSE(CONTROL!$C$21, $C$9, 100%, $E$9)</f>
        <v>4.1360000000000001</v>
      </c>
      <c r="K58" s="10">
        <f>CHOOSE(CONTROL!$C$42, 4.181, 4.181) * CHOOSE(CONTROL!$C$21, $C$9, 100%, $E$9)</f>
        <v>4.181</v>
      </c>
      <c r="L58" s="10">
        <f>CHOOSE(CONTROL!$C$42, 4.9708, 4.9708) * CHOOSE(CONTROL!$C$21, $C$9, 100%, $E$9)</f>
        <v>4.9707999999999997</v>
      </c>
      <c r="M58" s="10">
        <f>CHOOSE(CONTROL!$C$42, 4.1081, 4.1081) * CHOOSE(CONTROL!$C$21, $C$9, 100%, $E$9)</f>
        <v>4.1081000000000003</v>
      </c>
      <c r="N58" s="10">
        <f>CHOOSE(CONTROL!$C$42, 4.1242, 4.1242) * CHOOSE(CONTROL!$C$21, $C$9, 100%, $E$9)</f>
        <v>4.1242000000000001</v>
      </c>
      <c r="O58" s="10">
        <f>CHOOSE(CONTROL!$C$42, 4.3534, 4.3534) * CHOOSE(CONTROL!$C$21, $C$9, 100%, $E$9)</f>
        <v>4.3533999999999997</v>
      </c>
      <c r="P58" s="10">
        <f>CHOOSE(CONTROL!$C$42, 4.1356, 4.1356) * CHOOSE(CONTROL!$C$21, $C$9, 100%, $E$9)</f>
        <v>4.1356000000000002</v>
      </c>
      <c r="Q58" s="10">
        <f>CHOOSE(CONTROL!$C$42, 4.9487, 4.9487) * CHOOSE(CONTROL!$C$21, $C$9, 100%, $E$9)</f>
        <v>4.9486999999999997</v>
      </c>
      <c r="R58" s="10">
        <f>CHOOSE(CONTROL!$C$42, 5.5481, 5.5481) * CHOOSE(CONTROL!$C$21, $C$9, 100%, $E$9)</f>
        <v>5.5480999999999998</v>
      </c>
      <c r="S58" s="10">
        <f>CHOOSE(CONTROL!$C$42, 4.0541, 4.0541) * CHOOSE(CONTROL!$C$21, $C$9, 100%, $E$9)</f>
        <v>4.0541</v>
      </c>
      <c r="T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38">
        <f>(1000*CHOOSE(CONTROL!$C$42, 695, 695)*CHOOSE(CONTROL!$C$42, 0.5599, 0.5599)*CHOOSE(CONTROL!$C$42, 31, 31))/1000000</f>
        <v>12.063045499999998</v>
      </c>
      <c r="V58" s="38">
        <f>(1000*CHOOSE(CONTROL!$C$42, 580, 580)*CHOOSE(CONTROL!$C$42, 0.275, 0.275)*CHOOSE(CONTROL!$C$42, 31, 31))/1000000</f>
        <v>4.9444999999999997</v>
      </c>
      <c r="W58" s="38">
        <f>(1000*CHOOSE(CONTROL!$C$42, 0.1146, 0.1146)*CHOOSE(CONTROL!$C$42, 121.5, 121.5)*CHOOSE(CONTROL!$C$42, 31, 31))/1000000</f>
        <v>0.43164089999999994</v>
      </c>
      <c r="X58" s="38">
        <f>(31*0.1790888*245000/1000000)+(31*0.2374*100000/1000000)</f>
        <v>2.0961194359999999</v>
      </c>
      <c r="Y58" s="38">
        <f>(1000*400*CHOOSE(CONTROL!$C$42, 2.0223, 2.0223)*CHOOSE(CONTROL!$C$42, 31, 31))/1000000</f>
        <v>25.076519999999999</v>
      </c>
      <c r="Z58" s="38"/>
      <c r="AA58" s="10"/>
      <c r="AB58" s="39"/>
      <c r="AC58" s="33">
        <f>(B58*131.881+C58*277.167+D58*79.08+E58*125.872+F58*40+G58*185+H58*0+I58*100+J58*300)/(131.881+277.167+79.08+125.872+0+40+185+100+300)</f>
        <v>4.1975201746569812</v>
      </c>
      <c r="AD58" s="27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4.1845884892086334</v>
      </c>
    </row>
    <row r="59" spans="1:30" ht="15" x14ac:dyDescent="0.2">
      <c r="A59" s="16">
        <v>43040</v>
      </c>
      <c r="B59" s="10">
        <f>CHOOSE(CONTROL!$C$42, 4.287, 4.287) * CHOOSE(CONTROL!$C$21, $C$9, 100%, $E$9)</f>
        <v>4.2869999999999999</v>
      </c>
      <c r="C59" s="10">
        <f>CHOOSE(CONTROL!$C$42, 4.2919, 4.2919) * CHOOSE(CONTROL!$C$21, $C$9, 100%, $E$9)</f>
        <v>4.2919</v>
      </c>
      <c r="D59" s="10">
        <f>CHOOSE(CONTROL!$C$42, 4.3164, 4.3164) * CHOOSE(CONTROL!$C$21, $C$9, 100%, $E$9)</f>
        <v>4.3163999999999998</v>
      </c>
      <c r="E59" s="10">
        <f>CHOOSE(CONTROL!$C$42, 4.3501, 4.3501) * CHOOSE(CONTROL!$C$21, $C$9, 100%, $E$9)</f>
        <v>4.3501000000000003</v>
      </c>
      <c r="F59" s="10">
        <f>CHOOSE(CONTROL!$C$42, 4.2563, 4.2563)*CHOOSE(CONTROL!$C$21, $C$9, 100%, $E$9)</f>
        <v>4.2563000000000004</v>
      </c>
      <c r="G59" s="10">
        <f>CHOOSE(CONTROL!$C$42, 4.2727, 4.2727)*CHOOSE(CONTROL!$C$21, $C$9, 100%, $E$9)</f>
        <v>4.2727000000000004</v>
      </c>
      <c r="H59" s="10">
        <f>CHOOSE(CONTROL!$C$42, 4.3393, 4.3393) * CHOOSE(CONTROL!$C$21, $C$9, 100%, $E$9)</f>
        <v>4.3392999999999997</v>
      </c>
      <c r="I59" s="10">
        <f>CHOOSE(CONTROL!$C$42, 4.2737, 4.2737)* CHOOSE(CONTROL!$C$21, $C$9, 100%, $E$9)</f>
        <v>4.2736999999999998</v>
      </c>
      <c r="J59" s="10">
        <f>CHOOSE(CONTROL!$C$42, 4.2493, 4.2493)* CHOOSE(CONTROL!$C$21, $C$9, 100%, $E$9)</f>
        <v>4.2492999999999999</v>
      </c>
      <c r="K59" s="10">
        <f>CHOOSE(CONTROL!$C$42, 4.2893, 4.2893) * CHOOSE(CONTROL!$C$21, $C$9, 100%, $E$9)</f>
        <v>4.2892999999999999</v>
      </c>
      <c r="L59" s="10">
        <f>CHOOSE(CONTROL!$C$42, 4.9263, 4.9263) * CHOOSE(CONTROL!$C$21, $C$9, 100%, $E$9)</f>
        <v>4.9263000000000003</v>
      </c>
      <c r="M59" s="10">
        <f>CHOOSE(CONTROL!$C$42, 4.2202, 4.2202) * CHOOSE(CONTROL!$C$21, $C$9, 100%, $E$9)</f>
        <v>4.2202000000000002</v>
      </c>
      <c r="N59" s="10">
        <f>CHOOSE(CONTROL!$C$42, 4.2365, 4.2365) * CHOOSE(CONTROL!$C$21, $C$9, 100%, $E$9)</f>
        <v>4.2365000000000004</v>
      </c>
      <c r="O59" s="10">
        <f>CHOOSE(CONTROL!$C$42, 4.3094, 4.3094) * CHOOSE(CONTROL!$C$21, $C$9, 100%, $E$9)</f>
        <v>4.3094000000000001</v>
      </c>
      <c r="P59" s="10">
        <f>CHOOSE(CONTROL!$C$42, 4.2445, 4.2445) * CHOOSE(CONTROL!$C$21, $C$9, 100%, $E$9)</f>
        <v>4.2445000000000004</v>
      </c>
      <c r="Q59" s="10">
        <f>CHOOSE(CONTROL!$C$42, 4.9047, 4.9047) * CHOOSE(CONTROL!$C$21, $C$9, 100%, $E$9)</f>
        <v>4.9047000000000001</v>
      </c>
      <c r="R59" s="10">
        <f>CHOOSE(CONTROL!$C$42, 5.5039, 5.5039) * CHOOSE(CONTROL!$C$21, $C$9, 100%, $E$9)</f>
        <v>5.5038999999999998</v>
      </c>
      <c r="S59" s="10">
        <f>CHOOSE(CONTROL!$C$42, 4.1609, 4.1609) * CHOOSE(CONTROL!$C$21, $C$9, 100%, $E$9)</f>
        <v>4.1608999999999998</v>
      </c>
      <c r="T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38">
        <f>(1000*CHOOSE(CONTROL!$C$42, 695, 695)*CHOOSE(CONTROL!$C$42, 0.5599, 0.5599)*CHOOSE(CONTROL!$C$42, 30, 30))/1000000</f>
        <v>11.673914999999997</v>
      </c>
      <c r="V59" s="38">
        <f>(1000*CHOOSE(CONTROL!$C$42, 580, 580)*CHOOSE(CONTROL!$C$42, 0.275, 0.275)*CHOOSE(CONTROL!$C$42, 30, 30))/1000000</f>
        <v>4.7850000000000001</v>
      </c>
      <c r="W59" s="38">
        <f>(1000*CHOOSE(CONTROL!$C$42, 0.1146, 0.1146)*CHOOSE(CONTROL!$C$42, 121.5, 121.5)*CHOOSE(CONTROL!$C$42, 30, 30))/1000000</f>
        <v>0.417717</v>
      </c>
      <c r="X59" s="38">
        <f>(30*0.1790888*100000/1000000)+(30*0.2374*100000/1000000)</f>
        <v>1.2494664</v>
      </c>
      <c r="Y59" s="38">
        <f>(1000*400*CHOOSE(CONTROL!$C$42, 2.0223, 2.0223)*CHOOSE(CONTROL!$C$42, 30, 30))/1000000</f>
        <v>24.267600000000002</v>
      </c>
      <c r="Z59" s="38"/>
      <c r="AA59" s="10"/>
      <c r="AB59" s="39"/>
      <c r="AC59" s="33">
        <f>(B59*122.58+C59*297.941+D59*89.177+E59*40.302+F59*40+G59*160+H59*0+I59*100+J59*300)/(122.58+297.941+89.177+40.302+0+40+160+100+300)</f>
        <v>4.2787119746956526</v>
      </c>
      <c r="AD59" s="27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4.2650633093525183</v>
      </c>
    </row>
    <row r="60" spans="1:30" ht="15" x14ac:dyDescent="0.2">
      <c r="A60" s="16">
        <v>43070</v>
      </c>
      <c r="B60" s="10">
        <f>CHOOSE(CONTROL!$C$42, 4.579, 4.579) * CHOOSE(CONTROL!$C$21, $C$9, 100%, $E$9)</f>
        <v>4.5789999999999997</v>
      </c>
      <c r="C60" s="10">
        <f>CHOOSE(CONTROL!$C$42, 4.584, 4.584) * CHOOSE(CONTROL!$C$21, $C$9, 100%, $E$9)</f>
        <v>4.5839999999999996</v>
      </c>
      <c r="D60" s="10">
        <f>CHOOSE(CONTROL!$C$42, 4.6084, 4.6084) * CHOOSE(CONTROL!$C$21, $C$9, 100%, $E$9)</f>
        <v>4.6083999999999996</v>
      </c>
      <c r="E60" s="10">
        <f>CHOOSE(CONTROL!$C$42, 4.6422, 4.6422) * CHOOSE(CONTROL!$C$21, $C$9, 100%, $E$9)</f>
        <v>4.6421999999999999</v>
      </c>
      <c r="F60" s="10">
        <f>CHOOSE(CONTROL!$C$42, 4.5507, 4.5507)*CHOOSE(CONTROL!$C$21, $C$9, 100%, $E$9)</f>
        <v>4.5507</v>
      </c>
      <c r="G60" s="10">
        <f>CHOOSE(CONTROL!$C$42, 4.5677, 4.5677)*CHOOSE(CONTROL!$C$21, $C$9, 100%, $E$9)</f>
        <v>4.5677000000000003</v>
      </c>
      <c r="H60" s="10">
        <f>CHOOSE(CONTROL!$C$42, 4.6314, 4.6314) * CHOOSE(CONTROL!$C$21, $C$9, 100%, $E$9)</f>
        <v>4.6314000000000002</v>
      </c>
      <c r="I60" s="10">
        <f>CHOOSE(CONTROL!$C$42, 4.5658, 4.5658)* CHOOSE(CONTROL!$C$21, $C$9, 100%, $E$9)</f>
        <v>4.5658000000000003</v>
      </c>
      <c r="J60" s="10">
        <f>CHOOSE(CONTROL!$C$42, 4.5437, 4.5437)* CHOOSE(CONTROL!$C$21, $C$9, 100%, $E$9)</f>
        <v>4.5437000000000003</v>
      </c>
      <c r="K60" s="10">
        <f>CHOOSE(CONTROL!$C$42, 4.5781, 4.5781) * CHOOSE(CONTROL!$C$21, $C$9, 100%, $E$9)</f>
        <v>4.5781000000000001</v>
      </c>
      <c r="L60" s="10">
        <f>CHOOSE(CONTROL!$C$42, 5.2184, 5.2184) * CHOOSE(CONTROL!$C$21, $C$9, 100%, $E$9)</f>
        <v>5.2183999999999999</v>
      </c>
      <c r="M60" s="10">
        <f>CHOOSE(CONTROL!$C$42, 4.5116, 4.5116) * CHOOSE(CONTROL!$C$21, $C$9, 100%, $E$9)</f>
        <v>4.5115999999999996</v>
      </c>
      <c r="N60" s="10">
        <f>CHOOSE(CONTROL!$C$42, 4.5285, 4.5285) * CHOOSE(CONTROL!$C$21, $C$9, 100%, $E$9)</f>
        <v>4.5285000000000002</v>
      </c>
      <c r="O60" s="10">
        <f>CHOOSE(CONTROL!$C$42, 4.5985, 4.5985) * CHOOSE(CONTROL!$C$21, $C$9, 100%, $E$9)</f>
        <v>4.5984999999999996</v>
      </c>
      <c r="P60" s="10">
        <f>CHOOSE(CONTROL!$C$42, 4.5336, 4.5336) * CHOOSE(CONTROL!$C$21, $C$9, 100%, $E$9)</f>
        <v>4.5335999999999999</v>
      </c>
      <c r="Q60" s="10">
        <f>CHOOSE(CONTROL!$C$42, 5.1938, 5.1938) * CHOOSE(CONTROL!$C$21, $C$9, 100%, $E$9)</f>
        <v>5.1938000000000004</v>
      </c>
      <c r="R60" s="10">
        <f>CHOOSE(CONTROL!$C$42, 5.7938, 5.7938) * CHOOSE(CONTROL!$C$21, $C$9, 100%, $E$9)</f>
        <v>5.7938000000000001</v>
      </c>
      <c r="S60" s="10">
        <f>CHOOSE(CONTROL!$C$42, 4.4446, 4.4446) * CHOOSE(CONTROL!$C$21, $C$9, 100%, $E$9)</f>
        <v>4.4446000000000003</v>
      </c>
      <c r="T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38">
        <f>(1000*CHOOSE(CONTROL!$C$42, 695, 695)*CHOOSE(CONTROL!$C$42, 0.5599, 0.5599)*CHOOSE(CONTROL!$C$42, 31, 31))/1000000</f>
        <v>12.063045499999998</v>
      </c>
      <c r="V60" s="38">
        <f>(1000*CHOOSE(CONTROL!$C$42, 580, 580)*CHOOSE(CONTROL!$C$42, 0.275, 0.275)*CHOOSE(CONTROL!$C$42, 31, 31))/1000000</f>
        <v>4.9444999999999997</v>
      </c>
      <c r="W60" s="38">
        <f>(1000*CHOOSE(CONTROL!$C$42, 0.1146, 0.1146)*CHOOSE(CONTROL!$C$42, 121.5, 121.5)*CHOOSE(CONTROL!$C$42, 31, 31))/1000000</f>
        <v>0.43164089999999994</v>
      </c>
      <c r="X60" s="38">
        <f>(31*0.1790888*100000/1000000)+(31*0.2374*100000/1000000)</f>
        <v>1.2911152800000001</v>
      </c>
      <c r="Y60" s="38">
        <f>(1000*400*CHOOSE(CONTROL!$C$42, 2.0223, 2.0223)*CHOOSE(CONTROL!$C$42, 31, 31))/1000000</f>
        <v>25.076519999999999</v>
      </c>
      <c r="Z60" s="38"/>
      <c r="AA60" s="10"/>
      <c r="AB60" s="39"/>
      <c r="AC60" s="33">
        <f>(B60*122.58+C60*297.941+D60*89.177+E60*40.302+F60*40+G60*160+H60*0+I60*100+J60*300)/(122.58+297.941+89.177+40.302+0+40+160+100+300)</f>
        <v>4.571877039304348</v>
      </c>
      <c r="AD60" s="27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4.5551244604316548</v>
      </c>
    </row>
    <row r="61" spans="1:30" ht="15" x14ac:dyDescent="0.2">
      <c r="A61" s="16">
        <v>43101</v>
      </c>
      <c r="B61" s="10">
        <f>CHOOSE(CONTROL!$C$42, 4.9483, 4.9483) * CHOOSE(CONTROL!$C$21, $C$9, 100%, $E$9)</f>
        <v>4.9482999999999997</v>
      </c>
      <c r="C61" s="10">
        <f>CHOOSE(CONTROL!$C$42, 4.9532, 4.9532) * CHOOSE(CONTROL!$C$21, $C$9, 100%, $E$9)</f>
        <v>4.9531999999999998</v>
      </c>
      <c r="D61" s="10">
        <f>CHOOSE(CONTROL!$C$42, 4.9777, 4.9777) * CHOOSE(CONTROL!$C$21, $C$9, 100%, $E$9)</f>
        <v>4.9776999999999996</v>
      </c>
      <c r="E61" s="10">
        <f>CHOOSE(CONTROL!$C$42, 5.0115, 5.0115) * CHOOSE(CONTROL!$C$21, $C$9, 100%, $E$9)</f>
        <v>5.0114999999999998</v>
      </c>
      <c r="F61" s="10">
        <f>CHOOSE(CONTROL!$C$42, 4.9312, 4.9312)*CHOOSE(CONTROL!$C$21, $C$9, 100%, $E$9)</f>
        <v>4.9311999999999996</v>
      </c>
      <c r="G61" s="10">
        <f>CHOOSE(CONTROL!$C$42, 4.9499, 4.9499)*CHOOSE(CONTROL!$C$21, $C$9, 100%, $E$9)</f>
        <v>4.9499000000000004</v>
      </c>
      <c r="H61" s="10">
        <f>CHOOSE(CONTROL!$C$42, 5.0006, 5.0006) * CHOOSE(CONTROL!$C$21, $C$9, 100%, $E$9)</f>
        <v>5.0006000000000004</v>
      </c>
      <c r="I61" s="10">
        <f>CHOOSE(CONTROL!$C$42, 4.9428, 4.9428)* CHOOSE(CONTROL!$C$21, $C$9, 100%, $E$9)</f>
        <v>4.9428000000000001</v>
      </c>
      <c r="J61" s="10">
        <f>CHOOSE(CONTROL!$C$42, 4.9242, 4.9242)* CHOOSE(CONTROL!$C$21, $C$9, 100%, $E$9)</f>
        <v>4.9241999999999999</v>
      </c>
      <c r="K61" s="10">
        <f>CHOOSE(CONTROL!$C$42, 4.9578, 4.9578) * CHOOSE(CONTROL!$C$21, $C$9, 100%, $E$9)</f>
        <v>4.9577999999999998</v>
      </c>
      <c r="L61" s="10">
        <f>CHOOSE(CONTROL!$C$42, 5.5876, 5.5876) * CHOOSE(CONTROL!$C$21, $C$9, 100%, $E$9)</f>
        <v>5.5876000000000001</v>
      </c>
      <c r="M61" s="10">
        <f>CHOOSE(CONTROL!$C$42, 4.8883, 4.8883) * CHOOSE(CONTROL!$C$21, $C$9, 100%, $E$9)</f>
        <v>4.8883000000000001</v>
      </c>
      <c r="N61" s="10">
        <f>CHOOSE(CONTROL!$C$42, 4.9068, 4.9068) * CHOOSE(CONTROL!$C$21, $C$9, 100%, $E$9)</f>
        <v>4.9067999999999996</v>
      </c>
      <c r="O61" s="10">
        <f>CHOOSE(CONTROL!$C$42, 4.964, 4.964) * CHOOSE(CONTROL!$C$21, $C$9, 100%, $E$9)</f>
        <v>4.9640000000000004</v>
      </c>
      <c r="P61" s="10">
        <f>CHOOSE(CONTROL!$C$42, 4.9067, 4.9067) * CHOOSE(CONTROL!$C$21, $C$9, 100%, $E$9)</f>
        <v>4.9066999999999998</v>
      </c>
      <c r="Q61" s="10">
        <f>CHOOSE(CONTROL!$C$42, 5.5593, 5.5593) * CHOOSE(CONTROL!$C$21, $C$9, 100%, $E$9)</f>
        <v>5.5593000000000004</v>
      </c>
      <c r="R61" s="10">
        <f>CHOOSE(CONTROL!$C$42, 6.1602, 6.1602) * CHOOSE(CONTROL!$C$21, $C$9, 100%, $E$9)</f>
        <v>6.1601999999999997</v>
      </c>
      <c r="S61" s="10">
        <f>CHOOSE(CONTROL!$C$42, 4.8031, 4.8031) * CHOOSE(CONTROL!$C$21, $C$9, 100%, $E$9)</f>
        <v>4.8030999999999997</v>
      </c>
      <c r="T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38">
        <f>(1000*CHOOSE(CONTROL!$C$42, 695, 695)*CHOOSE(CONTROL!$C$42, 0.5599, 0.5599)*CHOOSE(CONTROL!$C$42, 31, 31))/1000000</f>
        <v>12.063045499999998</v>
      </c>
      <c r="V61" s="38">
        <f>(1000*CHOOSE(CONTROL!$C$42, 500, 500)*CHOOSE(CONTROL!$C$42, 0.275, 0.275)*CHOOSE(CONTROL!$C$42, 31, 31))/1000000</f>
        <v>4.2625000000000002</v>
      </c>
      <c r="W61" s="38">
        <f>(1000*CHOOSE(CONTROL!$C$42, 0.1146, 0.1146)*CHOOSE(CONTROL!$C$42, 121.5, 121.5)*CHOOSE(CONTROL!$C$42, 31, 31))/1000000</f>
        <v>0.43164089999999994</v>
      </c>
      <c r="X61" s="38">
        <f>(31*0.1790888*100000/1000000)+(31*0.2374*100000/1000000)</f>
        <v>1.2911152800000001</v>
      </c>
      <c r="Y61" s="38">
        <f>(1000*400*CHOOSE(CONTROL!$C$42, 2.0082, 2.0082)*CHOOSE(CONTROL!$C$42, 31, 31))/1000000</f>
        <v>24.901679999999999</v>
      </c>
      <c r="Z61" s="38"/>
      <c r="AA61" s="10"/>
      <c r="AB61" s="39"/>
      <c r="AC61" s="33">
        <f>(B61*122.58+C61*297.941+D61*89.177+E61*40.302+F61*40+G61*160+H61*0+I61*100+J61*300)/(122.58+297.941+89.177+40.302+0+40+160+100+300)</f>
        <v>4.9469267835652175</v>
      </c>
      <c r="AD61" s="27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4.9263223021582734</v>
      </c>
    </row>
    <row r="62" spans="1:30" ht="15" x14ac:dyDescent="0.2">
      <c r="A62" s="16">
        <v>43132</v>
      </c>
      <c r="B62" s="10">
        <f>CHOOSE(CONTROL!$C$42, 5.0363, 5.0363) * CHOOSE(CONTROL!$C$21, $C$9, 100%, $E$9)</f>
        <v>5.0362999999999998</v>
      </c>
      <c r="C62" s="10">
        <f>CHOOSE(CONTROL!$C$42, 5.0412, 5.0412) * CHOOSE(CONTROL!$C$21, $C$9, 100%, $E$9)</f>
        <v>5.0411999999999999</v>
      </c>
      <c r="D62" s="10">
        <f>CHOOSE(CONTROL!$C$42, 5.0657, 5.0657) * CHOOSE(CONTROL!$C$21, $C$9, 100%, $E$9)</f>
        <v>5.0656999999999996</v>
      </c>
      <c r="E62" s="10">
        <f>CHOOSE(CONTROL!$C$42, 5.0995, 5.0995) * CHOOSE(CONTROL!$C$21, $C$9, 100%, $E$9)</f>
        <v>5.0994999999999999</v>
      </c>
      <c r="F62" s="10">
        <f>CHOOSE(CONTROL!$C$42, 5.0186, 5.0186)*CHOOSE(CONTROL!$C$21, $C$9, 100%, $E$9)</f>
        <v>5.0186000000000002</v>
      </c>
      <c r="G62" s="10">
        <f>CHOOSE(CONTROL!$C$42, 5.037, 5.037)*CHOOSE(CONTROL!$C$21, $C$9, 100%, $E$9)</f>
        <v>5.0369999999999999</v>
      </c>
      <c r="H62" s="10">
        <f>CHOOSE(CONTROL!$C$42, 5.0887, 5.0887) * CHOOSE(CONTROL!$C$21, $C$9, 100%, $E$9)</f>
        <v>5.0887000000000002</v>
      </c>
      <c r="I62" s="10">
        <f>CHOOSE(CONTROL!$C$42, 5.0308, 5.0308)* CHOOSE(CONTROL!$C$21, $C$9, 100%, $E$9)</f>
        <v>5.0308000000000002</v>
      </c>
      <c r="J62" s="10">
        <f>CHOOSE(CONTROL!$C$42, 5.0116, 5.0116)* CHOOSE(CONTROL!$C$21, $C$9, 100%, $E$9)</f>
        <v>5.0115999999999996</v>
      </c>
      <c r="K62" s="10">
        <f>CHOOSE(CONTROL!$C$42, 5.0419, 5.0419) * CHOOSE(CONTROL!$C$21, $C$9, 100%, $E$9)</f>
        <v>5.0419</v>
      </c>
      <c r="L62" s="10">
        <f>CHOOSE(CONTROL!$C$42, 5.6757, 5.6757) * CHOOSE(CONTROL!$C$21, $C$9, 100%, $E$9)</f>
        <v>5.6757</v>
      </c>
      <c r="M62" s="10">
        <f>CHOOSE(CONTROL!$C$42, 4.9748, 4.9748) * CHOOSE(CONTROL!$C$21, $C$9, 100%, $E$9)</f>
        <v>4.9748000000000001</v>
      </c>
      <c r="N62" s="10">
        <f>CHOOSE(CONTROL!$C$42, 4.9931, 4.9931) * CHOOSE(CONTROL!$C$21, $C$9, 100%, $E$9)</f>
        <v>4.9931000000000001</v>
      </c>
      <c r="O62" s="10">
        <f>CHOOSE(CONTROL!$C$42, 5.0512, 5.0512) * CHOOSE(CONTROL!$C$21, $C$9, 100%, $E$9)</f>
        <v>5.0511999999999997</v>
      </c>
      <c r="P62" s="10">
        <f>CHOOSE(CONTROL!$C$42, 4.9939, 4.9939) * CHOOSE(CONTROL!$C$21, $C$9, 100%, $E$9)</f>
        <v>4.9939</v>
      </c>
      <c r="Q62" s="10">
        <f>CHOOSE(CONTROL!$C$42, 5.6465, 5.6465) * CHOOSE(CONTROL!$C$21, $C$9, 100%, $E$9)</f>
        <v>5.6464999999999996</v>
      </c>
      <c r="R62" s="10">
        <f>CHOOSE(CONTROL!$C$42, 6.2476, 6.2476) * CHOOSE(CONTROL!$C$21, $C$9, 100%, $E$9)</f>
        <v>6.2476000000000003</v>
      </c>
      <c r="S62" s="10">
        <f>CHOOSE(CONTROL!$C$42, 4.8886, 4.8886) * CHOOSE(CONTROL!$C$21, $C$9, 100%, $E$9)</f>
        <v>4.8886000000000003</v>
      </c>
      <c r="T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38">
        <f>(1000*CHOOSE(CONTROL!$C$42, 695, 695)*CHOOSE(CONTROL!$C$42, 0.5599, 0.5599)*CHOOSE(CONTROL!$C$42, 28, 28))/1000000</f>
        <v>10.895653999999999</v>
      </c>
      <c r="V62" s="38">
        <f>(1000*CHOOSE(CONTROL!$C$42, 500, 500)*CHOOSE(CONTROL!$C$42, 0.275, 0.275)*CHOOSE(CONTROL!$C$42, 28, 28))/1000000</f>
        <v>3.85</v>
      </c>
      <c r="W62" s="38">
        <f>(1000*CHOOSE(CONTROL!$C$42, 0.1146, 0.1146)*CHOOSE(CONTROL!$C$42, 121.5, 121.5)*CHOOSE(CONTROL!$C$42, 28, 28))/1000000</f>
        <v>0.38986920000000003</v>
      </c>
      <c r="X62" s="38">
        <f>(28*0.1790888*100000/1000000)+(28*0.2374*100000/1000000)</f>
        <v>1.16616864</v>
      </c>
      <c r="Y62" s="38">
        <f>(1000*400*CHOOSE(CONTROL!$C$42, 2.0082, 2.0082)*CHOOSE(CONTROL!$C$42, 28, 28))/1000000</f>
        <v>22.49184</v>
      </c>
      <c r="Z62" s="38"/>
      <c r="AA62" s="10"/>
      <c r="AB62" s="39"/>
      <c r="AC62" s="33">
        <f>(B62*122.58+C62*297.941+D62*89.177+E62*40.302+F62*40+G62*160+H62*0+I62*100+J62*300)/(122.58+297.941+89.177+40.302+0+40+160+100+300)</f>
        <v>5.034624174869565</v>
      </c>
      <c r="AD62" s="27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5.0132287769784174</v>
      </c>
    </row>
    <row r="63" spans="1:30" ht="15" x14ac:dyDescent="0.2">
      <c r="A63" s="16">
        <v>43160</v>
      </c>
      <c r="B63" s="10">
        <f>CHOOSE(CONTROL!$C$42, 4.8934, 4.8934) * CHOOSE(CONTROL!$C$21, $C$9, 100%, $E$9)</f>
        <v>4.8933999999999997</v>
      </c>
      <c r="C63" s="10">
        <f>CHOOSE(CONTROL!$C$42, 4.8984, 4.8984) * CHOOSE(CONTROL!$C$21, $C$9, 100%, $E$9)</f>
        <v>4.8983999999999996</v>
      </c>
      <c r="D63" s="10">
        <f>CHOOSE(CONTROL!$C$42, 4.9228, 4.9228) * CHOOSE(CONTROL!$C$21, $C$9, 100%, $E$9)</f>
        <v>4.9227999999999996</v>
      </c>
      <c r="E63" s="10">
        <f>CHOOSE(CONTROL!$C$42, 4.9566, 4.9566) * CHOOSE(CONTROL!$C$21, $C$9, 100%, $E$9)</f>
        <v>4.9565999999999999</v>
      </c>
      <c r="F63" s="10">
        <f>CHOOSE(CONTROL!$C$42, 4.8741, 4.8741)*CHOOSE(CONTROL!$C$21, $C$9, 100%, $E$9)</f>
        <v>4.8741000000000003</v>
      </c>
      <c r="G63" s="10">
        <f>CHOOSE(CONTROL!$C$42, 4.8922, 4.8922)*CHOOSE(CONTROL!$C$21, $C$9, 100%, $E$9)</f>
        <v>4.8921999999999999</v>
      </c>
      <c r="H63" s="10">
        <f>CHOOSE(CONTROL!$C$42, 4.9458, 4.9458) * CHOOSE(CONTROL!$C$21, $C$9, 100%, $E$9)</f>
        <v>4.9458000000000002</v>
      </c>
      <c r="I63" s="10">
        <f>CHOOSE(CONTROL!$C$42, 4.8879, 4.8879)* CHOOSE(CONTROL!$C$21, $C$9, 100%, $E$9)</f>
        <v>4.8879000000000001</v>
      </c>
      <c r="J63" s="10">
        <f>CHOOSE(CONTROL!$C$42, 4.8671, 4.8671)* CHOOSE(CONTROL!$C$21, $C$9, 100%, $E$9)</f>
        <v>4.8670999999999998</v>
      </c>
      <c r="K63" s="10">
        <f>CHOOSE(CONTROL!$C$42, 4.8997, 4.8997) * CHOOSE(CONTROL!$C$21, $C$9, 100%, $E$9)</f>
        <v>4.8997000000000002</v>
      </c>
      <c r="L63" s="10">
        <f>CHOOSE(CONTROL!$C$42, 5.5328, 5.5328) * CHOOSE(CONTROL!$C$21, $C$9, 100%, $E$9)</f>
        <v>5.5327999999999999</v>
      </c>
      <c r="M63" s="10">
        <f>CHOOSE(CONTROL!$C$42, 4.8318, 4.8318) * CHOOSE(CONTROL!$C$21, $C$9, 100%, $E$9)</f>
        <v>4.8318000000000003</v>
      </c>
      <c r="N63" s="10">
        <f>CHOOSE(CONTROL!$C$42, 4.8497, 4.8497) * CHOOSE(CONTROL!$C$21, $C$9, 100%, $E$9)</f>
        <v>4.8497000000000003</v>
      </c>
      <c r="O63" s="10">
        <f>CHOOSE(CONTROL!$C$42, 4.9097, 4.9097) * CHOOSE(CONTROL!$C$21, $C$9, 100%, $E$9)</f>
        <v>4.9097</v>
      </c>
      <c r="P63" s="10">
        <f>CHOOSE(CONTROL!$C$42, 4.8524, 4.8524) * CHOOSE(CONTROL!$C$21, $C$9, 100%, $E$9)</f>
        <v>4.8524000000000003</v>
      </c>
      <c r="Q63" s="10">
        <f>CHOOSE(CONTROL!$C$42, 5.505, 5.505) * CHOOSE(CONTROL!$C$21, $C$9, 100%, $E$9)</f>
        <v>5.5049999999999999</v>
      </c>
      <c r="R63" s="10">
        <f>CHOOSE(CONTROL!$C$42, 6.1058, 6.1058) * CHOOSE(CONTROL!$C$21, $C$9, 100%, $E$9)</f>
        <v>6.1058000000000003</v>
      </c>
      <c r="S63" s="10">
        <f>CHOOSE(CONTROL!$C$42, 4.7498, 4.7498) * CHOOSE(CONTROL!$C$21, $C$9, 100%, $E$9)</f>
        <v>4.7497999999999996</v>
      </c>
      <c r="T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38">
        <f>(1000*CHOOSE(CONTROL!$C$42, 695, 695)*CHOOSE(CONTROL!$C$42, 0.5599, 0.5599)*CHOOSE(CONTROL!$C$42, 31, 31))/1000000</f>
        <v>12.063045499999998</v>
      </c>
      <c r="V63" s="38">
        <f>(1000*CHOOSE(CONTROL!$C$42, 500, 500)*CHOOSE(CONTROL!$C$42, 0.275, 0.275)*CHOOSE(CONTROL!$C$42, 31, 31))/1000000</f>
        <v>4.2625000000000002</v>
      </c>
      <c r="W63" s="38">
        <f>(1000*CHOOSE(CONTROL!$C$42, 0.1146, 0.1146)*CHOOSE(CONTROL!$C$42, 121.5, 121.5)*CHOOSE(CONTROL!$C$42, 31, 31))/1000000</f>
        <v>0.43164089999999994</v>
      </c>
      <c r="X63" s="38">
        <f>(31*0.1790888*100000/1000000)+(31*0.2374*100000/1000000)</f>
        <v>1.2911152800000001</v>
      </c>
      <c r="Y63" s="38">
        <f>(1000*400*CHOOSE(CONTROL!$C$42, 2.0082, 2.0082)*CHOOSE(CONTROL!$C$42, 31, 31))/1000000</f>
        <v>24.901679999999999</v>
      </c>
      <c r="Z63" s="38"/>
      <c r="AA63" s="10"/>
      <c r="AB63" s="39"/>
      <c r="AC63" s="33">
        <f>(B63*122.58+C63*297.941+D63*89.177+E63*40.302+F63*40+G63*160+H63*0+I63*100+J63*300)/(122.58+297.941+89.177+40.302+0+40+160+100+300)</f>
        <v>4.8910126914782603</v>
      </c>
      <c r="AD63" s="27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4.8711014388489211</v>
      </c>
    </row>
    <row r="64" spans="1:30" ht="15" x14ac:dyDescent="0.2">
      <c r="A64" s="16">
        <v>43191</v>
      </c>
      <c r="B64" s="10">
        <f>CHOOSE(CONTROL!$C$42, 4.8795, 4.8795) * CHOOSE(CONTROL!$C$21, $C$9, 100%, $E$9)</f>
        <v>4.8795000000000002</v>
      </c>
      <c r="C64" s="10">
        <f>CHOOSE(CONTROL!$C$42, 4.8839, 4.8839) * CHOOSE(CONTROL!$C$21, $C$9, 100%, $E$9)</f>
        <v>4.8838999999999997</v>
      </c>
      <c r="D64" s="10">
        <f>CHOOSE(CONTROL!$C$42, 5.064, 5.064) * CHOOSE(CONTROL!$C$21, $C$9, 100%, $E$9)</f>
        <v>5.0640000000000001</v>
      </c>
      <c r="E64" s="10">
        <f>CHOOSE(CONTROL!$C$42, 5.0958, 5.0958) * CHOOSE(CONTROL!$C$21, $C$9, 100%, $E$9)</f>
        <v>5.0957999999999997</v>
      </c>
      <c r="F64" s="10">
        <f>CHOOSE(CONTROL!$C$42, 4.8449, 4.8449)*CHOOSE(CONTROL!$C$21, $C$9, 100%, $E$9)</f>
        <v>4.8449</v>
      </c>
      <c r="G64" s="10">
        <f>CHOOSE(CONTROL!$C$42, 4.8611, 4.8611)*CHOOSE(CONTROL!$C$21, $C$9, 100%, $E$9)</f>
        <v>4.8611000000000004</v>
      </c>
      <c r="H64" s="10">
        <f>CHOOSE(CONTROL!$C$42, 5.0856, 5.0856) * CHOOSE(CONTROL!$C$21, $C$9, 100%, $E$9)</f>
        <v>5.0856000000000003</v>
      </c>
      <c r="I64" s="10">
        <f>CHOOSE(CONTROL!$C$42, 4.8655, 4.8655)* CHOOSE(CONTROL!$C$21, $C$9, 100%, $E$9)</f>
        <v>4.8654999999999999</v>
      </c>
      <c r="J64" s="10">
        <f>CHOOSE(CONTROL!$C$42, 4.8379, 4.8379)* CHOOSE(CONTROL!$C$21, $C$9, 100%, $E$9)</f>
        <v>4.8379000000000003</v>
      </c>
      <c r="K64" s="10">
        <f>CHOOSE(CONTROL!$C$42, 4.863, 4.863) * CHOOSE(CONTROL!$C$21, $C$9, 100%, $E$9)</f>
        <v>4.8630000000000004</v>
      </c>
      <c r="L64" s="10">
        <f>CHOOSE(CONTROL!$C$42, 5.6726, 5.6726) * CHOOSE(CONTROL!$C$21, $C$9, 100%, $E$9)</f>
        <v>5.6726000000000001</v>
      </c>
      <c r="M64" s="10">
        <f>CHOOSE(CONTROL!$C$42, 4.8029, 4.8029) * CHOOSE(CONTROL!$C$21, $C$9, 100%, $E$9)</f>
        <v>4.8029000000000002</v>
      </c>
      <c r="N64" s="10">
        <f>CHOOSE(CONTROL!$C$42, 4.819, 4.819) * CHOOSE(CONTROL!$C$21, $C$9, 100%, $E$9)</f>
        <v>4.819</v>
      </c>
      <c r="O64" s="10">
        <f>CHOOSE(CONTROL!$C$42, 5.0481, 5.0481) * CHOOSE(CONTROL!$C$21, $C$9, 100%, $E$9)</f>
        <v>5.0480999999999998</v>
      </c>
      <c r="P64" s="10">
        <f>CHOOSE(CONTROL!$C$42, 4.8303, 4.8303) * CHOOSE(CONTROL!$C$21, $C$9, 100%, $E$9)</f>
        <v>4.8303000000000003</v>
      </c>
      <c r="Q64" s="10">
        <f>CHOOSE(CONTROL!$C$42, 5.6434, 5.6434) * CHOOSE(CONTROL!$C$21, $C$9, 100%, $E$9)</f>
        <v>5.6433999999999997</v>
      </c>
      <c r="R64" s="10">
        <f>CHOOSE(CONTROL!$C$42, 6.2445, 6.2445) * CHOOSE(CONTROL!$C$21, $C$9, 100%, $E$9)</f>
        <v>6.2445000000000004</v>
      </c>
      <c r="S64" s="10">
        <f>CHOOSE(CONTROL!$C$42, 4.7356, 4.7356) * CHOOSE(CONTROL!$C$21, $C$9, 100%, $E$9)</f>
        <v>4.7355999999999998</v>
      </c>
      <c r="T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38">
        <f>(1000*CHOOSE(CONTROL!$C$42, 695, 695)*CHOOSE(CONTROL!$C$42, 0.5599, 0.5599)*CHOOSE(CONTROL!$C$42, 30, 30))/1000000</f>
        <v>11.673914999999997</v>
      </c>
      <c r="V64" s="38">
        <f>(1000*CHOOSE(CONTROL!$C$42, 500, 500)*CHOOSE(CONTROL!$C$42, 0.275, 0.275)*CHOOSE(CONTROL!$C$42, 30, 30))/1000000</f>
        <v>4.125</v>
      </c>
      <c r="W64" s="38">
        <f>(1000*CHOOSE(CONTROL!$C$42, 0.1146, 0.1146)*CHOOSE(CONTROL!$C$42, 121.5, 121.5)*CHOOSE(CONTROL!$C$42, 30, 30))/1000000</f>
        <v>0.417717</v>
      </c>
      <c r="X64" s="38">
        <f>(30*0.1790888*245000/1000000)+(30*0.2374*100000/1000000)</f>
        <v>2.0285026799999999</v>
      </c>
      <c r="Y64" s="38">
        <f>(1000*400*CHOOSE(CONTROL!$C$42, 2.0082, 2.0082)*CHOOSE(CONTROL!$C$42, 30, 30))/1000000</f>
        <v>24.098400000000002</v>
      </c>
      <c r="Z64" s="38"/>
      <c r="AA64" s="10"/>
      <c r="AB64" s="39"/>
      <c r="AC64" s="33">
        <f>(B64*141.293+C64*267.993+D64*115.016+E64*89.698+F64*40+G64*185+H64*0+I64*100+J64*300)/(141.293+267.993+115.016+89.698+0+40+185+100+300)</f>
        <v>4.8981709431799834</v>
      </c>
      <c r="AD64" s="27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4.8793460431654676</v>
      </c>
    </row>
    <row r="65" spans="1:30" ht="15" x14ac:dyDescent="0.2">
      <c r="A65" s="16">
        <v>43221</v>
      </c>
      <c r="B65" s="10">
        <f>CHOOSE(CONTROL!$C$42, 4.9244, 4.9244) * CHOOSE(CONTROL!$C$21, $C$9, 100%, $E$9)</f>
        <v>4.9244000000000003</v>
      </c>
      <c r="C65" s="10">
        <f>CHOOSE(CONTROL!$C$42, 4.9323, 4.9323) * CHOOSE(CONTROL!$C$21, $C$9, 100%, $E$9)</f>
        <v>4.9322999999999997</v>
      </c>
      <c r="D65" s="10">
        <f>CHOOSE(CONTROL!$C$42, 5.1093, 5.1093) * CHOOSE(CONTROL!$C$21, $C$9, 100%, $E$9)</f>
        <v>5.1093000000000002</v>
      </c>
      <c r="E65" s="10">
        <f>CHOOSE(CONTROL!$C$42, 5.1404, 5.1404) * CHOOSE(CONTROL!$C$21, $C$9, 100%, $E$9)</f>
        <v>5.1403999999999996</v>
      </c>
      <c r="F65" s="10">
        <f>CHOOSE(CONTROL!$C$42, 4.8877, 4.8877)*CHOOSE(CONTROL!$C$21, $C$9, 100%, $E$9)</f>
        <v>4.8876999999999997</v>
      </c>
      <c r="G65" s="10">
        <f>CHOOSE(CONTROL!$C$42, 4.9042, 4.9042)*CHOOSE(CONTROL!$C$21, $C$9, 100%, $E$9)</f>
        <v>4.9042000000000003</v>
      </c>
      <c r="H65" s="10">
        <f>CHOOSE(CONTROL!$C$42, 5.129, 5.129) * CHOOSE(CONTROL!$C$21, $C$9, 100%, $E$9)</f>
        <v>5.1289999999999996</v>
      </c>
      <c r="I65" s="10">
        <f>CHOOSE(CONTROL!$C$42, 4.9089, 4.9089)* CHOOSE(CONTROL!$C$21, $C$9, 100%, $E$9)</f>
        <v>4.9089</v>
      </c>
      <c r="J65" s="10">
        <f>CHOOSE(CONTROL!$C$42, 4.8807, 4.8807)* CHOOSE(CONTROL!$C$21, $C$9, 100%, $E$9)</f>
        <v>4.8807</v>
      </c>
      <c r="K65" s="10">
        <f>CHOOSE(CONTROL!$C$42, 4.9039, 4.9039) * CHOOSE(CONTROL!$C$21, $C$9, 100%, $E$9)</f>
        <v>4.9039000000000001</v>
      </c>
      <c r="L65" s="10">
        <f>CHOOSE(CONTROL!$C$42, 5.716, 5.716) * CHOOSE(CONTROL!$C$21, $C$9, 100%, $E$9)</f>
        <v>5.7160000000000002</v>
      </c>
      <c r="M65" s="10">
        <f>CHOOSE(CONTROL!$C$42, 4.8453, 4.8453) * CHOOSE(CONTROL!$C$21, $C$9, 100%, $E$9)</f>
        <v>4.8452999999999999</v>
      </c>
      <c r="N65" s="10">
        <f>CHOOSE(CONTROL!$C$42, 4.8616, 4.8616) * CHOOSE(CONTROL!$C$21, $C$9, 100%, $E$9)</f>
        <v>4.8616000000000001</v>
      </c>
      <c r="O65" s="10">
        <f>CHOOSE(CONTROL!$C$42, 5.0911, 5.0911) * CHOOSE(CONTROL!$C$21, $C$9, 100%, $E$9)</f>
        <v>5.0911</v>
      </c>
      <c r="P65" s="10">
        <f>CHOOSE(CONTROL!$C$42, 4.8733, 4.8733) * CHOOSE(CONTROL!$C$21, $C$9, 100%, $E$9)</f>
        <v>4.8733000000000004</v>
      </c>
      <c r="Q65" s="10">
        <f>CHOOSE(CONTROL!$C$42, 5.6864, 5.6864) * CHOOSE(CONTROL!$C$21, $C$9, 100%, $E$9)</f>
        <v>5.6863999999999999</v>
      </c>
      <c r="R65" s="10">
        <f>CHOOSE(CONTROL!$C$42, 6.2876, 6.2876) * CHOOSE(CONTROL!$C$21, $C$9, 100%, $E$9)</f>
        <v>6.2876000000000003</v>
      </c>
      <c r="S65" s="10">
        <f>CHOOSE(CONTROL!$C$42, 4.7778, 4.7778) * CHOOSE(CONTROL!$C$21, $C$9, 100%, $E$9)</f>
        <v>4.7778</v>
      </c>
      <c r="T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38">
        <f>(1000*CHOOSE(CONTROL!$C$42, 695, 695)*CHOOSE(CONTROL!$C$42, 0.5599, 0.5599)*CHOOSE(CONTROL!$C$42, 31, 31))/1000000</f>
        <v>12.063045499999998</v>
      </c>
      <c r="V65" s="38">
        <f>(1000*CHOOSE(CONTROL!$C$42, 500, 500)*CHOOSE(CONTROL!$C$42, 0.275, 0.275)*CHOOSE(CONTROL!$C$42, 31, 31))/1000000</f>
        <v>4.2625000000000002</v>
      </c>
      <c r="W65" s="38">
        <f>(1000*CHOOSE(CONTROL!$C$42, 0.1146, 0.1146)*CHOOSE(CONTROL!$C$42, 121.5, 121.5)*CHOOSE(CONTROL!$C$42, 31, 31))/1000000</f>
        <v>0.43164089999999994</v>
      </c>
      <c r="X65" s="38">
        <f>(31*0.1790888*245000/1000000)+(31*0.2374*100000/1000000)</f>
        <v>2.0961194359999999</v>
      </c>
      <c r="Y65" s="38">
        <f>(1000*400*CHOOSE(CONTROL!$C$42, 2.0082, 2.0082)*CHOOSE(CONTROL!$C$42, 31, 31))/1000000</f>
        <v>24.901679999999999</v>
      </c>
      <c r="Z65" s="38"/>
      <c r="AA65" s="10"/>
      <c r="AB65" s="39"/>
      <c r="AC65" s="33">
        <f>(B65*194.205+C65*267.466+D65*133.845+E65*53.484+F65*40+G65*185+H65*0+I65*100+J65*300)/(194.205+267.466+133.845+53.484+0+40+185+100+300)</f>
        <v>4.938959235400314</v>
      </c>
      <c r="AD65" s="27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4.922046762589928</v>
      </c>
    </row>
    <row r="66" spans="1:30" ht="15" x14ac:dyDescent="0.2">
      <c r="A66" s="16">
        <v>43252</v>
      </c>
      <c r="B66" s="10">
        <f>CHOOSE(CONTROL!$C$42, 5.0639, 5.0639) * CHOOSE(CONTROL!$C$21, $C$9, 100%, $E$9)</f>
        <v>5.0639000000000003</v>
      </c>
      <c r="C66" s="10">
        <f>CHOOSE(CONTROL!$C$42, 5.0718, 5.0718) * CHOOSE(CONTROL!$C$21, $C$9, 100%, $E$9)</f>
        <v>5.0717999999999996</v>
      </c>
      <c r="D66" s="10">
        <f>CHOOSE(CONTROL!$C$42, 5.2488, 5.2488) * CHOOSE(CONTROL!$C$21, $C$9, 100%, $E$9)</f>
        <v>5.2488000000000001</v>
      </c>
      <c r="E66" s="10">
        <f>CHOOSE(CONTROL!$C$42, 5.2799, 5.2799) * CHOOSE(CONTROL!$C$21, $C$9, 100%, $E$9)</f>
        <v>5.2798999999999996</v>
      </c>
      <c r="F66" s="10">
        <f>CHOOSE(CONTROL!$C$42, 5.0274, 5.0274)*CHOOSE(CONTROL!$C$21, $C$9, 100%, $E$9)</f>
        <v>5.0274000000000001</v>
      </c>
      <c r="G66" s="10">
        <f>CHOOSE(CONTROL!$C$42, 5.044, 5.044)*CHOOSE(CONTROL!$C$21, $C$9, 100%, $E$9)</f>
        <v>5.0439999999999996</v>
      </c>
      <c r="H66" s="10">
        <f>CHOOSE(CONTROL!$C$42, 5.2686, 5.2686) * CHOOSE(CONTROL!$C$21, $C$9, 100%, $E$9)</f>
        <v>5.2686000000000002</v>
      </c>
      <c r="I66" s="10">
        <f>CHOOSE(CONTROL!$C$42, 5.0485, 5.0485)* CHOOSE(CONTROL!$C$21, $C$9, 100%, $E$9)</f>
        <v>5.0484999999999998</v>
      </c>
      <c r="J66" s="10">
        <f>CHOOSE(CONTROL!$C$42, 5.0204, 5.0204)* CHOOSE(CONTROL!$C$21, $C$9, 100%, $E$9)</f>
        <v>5.0204000000000004</v>
      </c>
      <c r="K66" s="10">
        <f>CHOOSE(CONTROL!$C$42, 5.0399, 5.0399) * CHOOSE(CONTROL!$C$21, $C$9, 100%, $E$9)</f>
        <v>5.0399000000000003</v>
      </c>
      <c r="L66" s="10">
        <f>CHOOSE(CONTROL!$C$42, 5.8556, 5.8556) * CHOOSE(CONTROL!$C$21, $C$9, 100%, $E$9)</f>
        <v>5.8555999999999999</v>
      </c>
      <c r="M66" s="10">
        <f>CHOOSE(CONTROL!$C$42, 4.9836, 4.9836) * CHOOSE(CONTROL!$C$21, $C$9, 100%, $E$9)</f>
        <v>4.9836</v>
      </c>
      <c r="N66" s="10">
        <f>CHOOSE(CONTROL!$C$42, 5, 5) * CHOOSE(CONTROL!$C$21, $C$9, 100%, $E$9)</f>
        <v>5</v>
      </c>
      <c r="O66" s="10">
        <f>CHOOSE(CONTROL!$C$42, 5.2292, 5.2292) * CHOOSE(CONTROL!$C$21, $C$9, 100%, $E$9)</f>
        <v>5.2291999999999996</v>
      </c>
      <c r="P66" s="10">
        <f>CHOOSE(CONTROL!$C$42, 5.0114, 5.0114) * CHOOSE(CONTROL!$C$21, $C$9, 100%, $E$9)</f>
        <v>5.0114000000000001</v>
      </c>
      <c r="Q66" s="10">
        <f>CHOOSE(CONTROL!$C$42, 5.8245, 5.8245) * CHOOSE(CONTROL!$C$21, $C$9, 100%, $E$9)</f>
        <v>5.8244999999999996</v>
      </c>
      <c r="R66" s="10">
        <f>CHOOSE(CONTROL!$C$42, 6.4261, 6.4261) * CHOOSE(CONTROL!$C$21, $C$9, 100%, $E$9)</f>
        <v>6.4260999999999999</v>
      </c>
      <c r="S66" s="10">
        <f>CHOOSE(CONTROL!$C$42, 4.9133, 4.9133) * CHOOSE(CONTROL!$C$21, $C$9, 100%, $E$9)</f>
        <v>4.9132999999999996</v>
      </c>
      <c r="T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38">
        <f>(1000*CHOOSE(CONTROL!$C$42, 695, 695)*CHOOSE(CONTROL!$C$42, 0.5599, 0.5599)*CHOOSE(CONTROL!$C$42, 30, 30))/1000000</f>
        <v>11.673914999999997</v>
      </c>
      <c r="V66" s="38">
        <f>(1000*CHOOSE(CONTROL!$C$42, 500, 500)*CHOOSE(CONTROL!$C$42, 0.275, 0.275)*CHOOSE(CONTROL!$C$42, 30, 30))/1000000</f>
        <v>4.125</v>
      </c>
      <c r="W66" s="38">
        <f>(1000*CHOOSE(CONTROL!$C$42, 0.1146, 0.1146)*CHOOSE(CONTROL!$C$42, 121.5, 121.5)*CHOOSE(CONTROL!$C$42, 30, 30))/1000000</f>
        <v>0.417717</v>
      </c>
      <c r="X66" s="38">
        <f>(30*0.1790888*245000/1000000)+(30*0.2374*100000/1000000)</f>
        <v>2.0285026799999999</v>
      </c>
      <c r="Y66" s="38">
        <f>(1000*400*CHOOSE(CONTROL!$C$42, 2.0082, 2.0082)*CHOOSE(CONTROL!$C$42, 30, 30))/1000000</f>
        <v>24.098400000000002</v>
      </c>
      <c r="Z66" s="38"/>
      <c r="AA66" s="10"/>
      <c r="AB66" s="39"/>
      <c r="AC66" s="33">
        <f>(B66*194.205+C66*267.466+D66*133.845+E66*53.484+F66*40+G66*185+H66*0+I66*100+J66*300)/(194.205+267.466+133.845+53.484+0+40+185+100+300)</f>
        <v>5.0785640234693874</v>
      </c>
      <c r="AD66" s="27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5.0602848920863304</v>
      </c>
    </row>
    <row r="67" spans="1:30" ht="15" x14ac:dyDescent="0.2">
      <c r="A67" s="16">
        <v>43282</v>
      </c>
      <c r="B67" s="10">
        <f>CHOOSE(CONTROL!$C$42, 4.9668, 4.9668) * CHOOSE(CONTROL!$C$21, $C$9, 100%, $E$9)</f>
        <v>4.9668000000000001</v>
      </c>
      <c r="C67" s="10">
        <f>CHOOSE(CONTROL!$C$42, 4.9748, 4.9748) * CHOOSE(CONTROL!$C$21, $C$9, 100%, $E$9)</f>
        <v>4.9748000000000001</v>
      </c>
      <c r="D67" s="10">
        <f>CHOOSE(CONTROL!$C$42, 5.1517, 5.1517) * CHOOSE(CONTROL!$C$21, $C$9, 100%, $E$9)</f>
        <v>5.1516999999999999</v>
      </c>
      <c r="E67" s="10">
        <f>CHOOSE(CONTROL!$C$42, 5.1829, 5.1829) * CHOOSE(CONTROL!$C$21, $C$9, 100%, $E$9)</f>
        <v>5.1829000000000001</v>
      </c>
      <c r="F67" s="10">
        <f>CHOOSE(CONTROL!$C$42, 4.9306, 4.9306)*CHOOSE(CONTROL!$C$21, $C$9, 100%, $E$9)</f>
        <v>4.9306000000000001</v>
      </c>
      <c r="G67" s="10">
        <f>CHOOSE(CONTROL!$C$42, 4.9472, 4.9472)*CHOOSE(CONTROL!$C$21, $C$9, 100%, $E$9)</f>
        <v>4.9471999999999996</v>
      </c>
      <c r="H67" s="10">
        <f>CHOOSE(CONTROL!$C$42, 5.1715, 5.1715) * CHOOSE(CONTROL!$C$21, $C$9, 100%, $E$9)</f>
        <v>5.1715</v>
      </c>
      <c r="I67" s="10">
        <f>CHOOSE(CONTROL!$C$42, 4.9514, 4.9514)* CHOOSE(CONTROL!$C$21, $C$9, 100%, $E$9)</f>
        <v>4.9513999999999996</v>
      </c>
      <c r="J67" s="10">
        <f>CHOOSE(CONTROL!$C$42, 4.9236, 4.9236)* CHOOSE(CONTROL!$C$21, $C$9, 100%, $E$9)</f>
        <v>4.9236000000000004</v>
      </c>
      <c r="K67" s="10">
        <f>CHOOSE(CONTROL!$C$42, 4.9461, 4.9461) * CHOOSE(CONTROL!$C$21, $C$9, 100%, $E$9)</f>
        <v>4.9461000000000004</v>
      </c>
      <c r="L67" s="10">
        <f>CHOOSE(CONTROL!$C$42, 5.7585, 5.7585) * CHOOSE(CONTROL!$C$21, $C$9, 100%, $E$9)</f>
        <v>5.7584999999999997</v>
      </c>
      <c r="M67" s="10">
        <f>CHOOSE(CONTROL!$C$42, 4.8878, 4.8878) * CHOOSE(CONTROL!$C$21, $C$9, 100%, $E$9)</f>
        <v>4.8878000000000004</v>
      </c>
      <c r="N67" s="10">
        <f>CHOOSE(CONTROL!$C$42, 4.9042, 4.9042) * CHOOSE(CONTROL!$C$21, $C$9, 100%, $E$9)</f>
        <v>4.9042000000000003</v>
      </c>
      <c r="O67" s="10">
        <f>CHOOSE(CONTROL!$C$42, 5.1332, 5.1332) * CHOOSE(CONTROL!$C$21, $C$9, 100%, $E$9)</f>
        <v>5.1332000000000004</v>
      </c>
      <c r="P67" s="10">
        <f>CHOOSE(CONTROL!$C$42, 4.9153, 4.9153) * CHOOSE(CONTROL!$C$21, $C$9, 100%, $E$9)</f>
        <v>4.9153000000000002</v>
      </c>
      <c r="Q67" s="10">
        <f>CHOOSE(CONTROL!$C$42, 5.7285, 5.7285) * CHOOSE(CONTROL!$C$21, $C$9, 100%, $E$9)</f>
        <v>5.7285000000000004</v>
      </c>
      <c r="R67" s="10">
        <f>CHOOSE(CONTROL!$C$42, 6.3298, 6.3298) * CHOOSE(CONTROL!$C$21, $C$9, 100%, $E$9)</f>
        <v>6.3297999999999996</v>
      </c>
      <c r="S67" s="10">
        <f>CHOOSE(CONTROL!$C$42, 4.8191, 4.8191) * CHOOSE(CONTROL!$C$21, $C$9, 100%, $E$9)</f>
        <v>4.8190999999999997</v>
      </c>
      <c r="T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38">
        <f>(1000*CHOOSE(CONTROL!$C$42, 695, 695)*CHOOSE(CONTROL!$C$42, 0.5599, 0.5599)*CHOOSE(CONTROL!$C$42, 31, 31))/1000000</f>
        <v>12.063045499999998</v>
      </c>
      <c r="V67" s="38">
        <f>(1000*CHOOSE(CONTROL!$C$42, 500, 500)*CHOOSE(CONTROL!$C$42, 0.275, 0.275)*CHOOSE(CONTROL!$C$42, 31, 31))/1000000</f>
        <v>4.2625000000000002</v>
      </c>
      <c r="W67" s="38">
        <f>(1000*CHOOSE(CONTROL!$C$42, 0.1146, 0.1146)*CHOOSE(CONTROL!$C$42, 121.5, 121.5)*CHOOSE(CONTROL!$C$42, 31, 31))/1000000</f>
        <v>0.43164089999999994</v>
      </c>
      <c r="X67" s="38">
        <f>(31*0.1790888*245000/1000000)+(31*0.2374*100000/1000000)</f>
        <v>2.0961194359999999</v>
      </c>
      <c r="Y67" s="38">
        <f>(1000*400*CHOOSE(CONTROL!$C$42, 2.0082, 2.0082)*CHOOSE(CONTROL!$C$42, 31, 31))/1000000</f>
        <v>24.901679999999999</v>
      </c>
      <c r="Z67" s="38"/>
      <c r="AA67" s="10"/>
      <c r="AB67" s="39"/>
      <c r="AC67" s="33">
        <f>(B67*194.205+C67*267.466+D67*133.845+E67*53.484+F67*40+G67*185+H67*0+I67*100+J67*300)/(194.205+267.466+133.845+53.484+0+40+185+100+300)</f>
        <v>4.9816128421507075</v>
      </c>
      <c r="AD67" s="27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4.9643856115107923</v>
      </c>
    </row>
    <row r="68" spans="1:30" ht="15" x14ac:dyDescent="0.2">
      <c r="A68" s="16">
        <v>43313</v>
      </c>
      <c r="B68" s="10">
        <f>CHOOSE(CONTROL!$C$42, 4.7218, 4.7218) * CHOOSE(CONTROL!$C$21, $C$9, 100%, $E$9)</f>
        <v>4.7218</v>
      </c>
      <c r="C68" s="10">
        <f>CHOOSE(CONTROL!$C$42, 4.7297, 4.7297) * CHOOSE(CONTROL!$C$21, $C$9, 100%, $E$9)</f>
        <v>4.7297000000000002</v>
      </c>
      <c r="D68" s="10">
        <f>CHOOSE(CONTROL!$C$42, 4.9067, 4.9067) * CHOOSE(CONTROL!$C$21, $C$9, 100%, $E$9)</f>
        <v>4.9066999999999998</v>
      </c>
      <c r="E68" s="10">
        <f>CHOOSE(CONTROL!$C$42, 4.9378, 4.9378) * CHOOSE(CONTROL!$C$21, $C$9, 100%, $E$9)</f>
        <v>4.9378000000000002</v>
      </c>
      <c r="F68" s="10">
        <f>CHOOSE(CONTROL!$C$42, 4.6856, 4.6856)*CHOOSE(CONTROL!$C$21, $C$9, 100%, $E$9)</f>
        <v>4.6856</v>
      </c>
      <c r="G68" s="10">
        <f>CHOOSE(CONTROL!$C$42, 4.7022, 4.7022)*CHOOSE(CONTROL!$C$21, $C$9, 100%, $E$9)</f>
        <v>4.7022000000000004</v>
      </c>
      <c r="H68" s="10">
        <f>CHOOSE(CONTROL!$C$42, 4.9265, 4.9265) * CHOOSE(CONTROL!$C$21, $C$9, 100%, $E$9)</f>
        <v>4.9264999999999999</v>
      </c>
      <c r="I68" s="10">
        <f>CHOOSE(CONTROL!$C$42, 4.7064, 4.7064)* CHOOSE(CONTROL!$C$21, $C$9, 100%, $E$9)</f>
        <v>4.7064000000000004</v>
      </c>
      <c r="J68" s="10">
        <f>CHOOSE(CONTROL!$C$42, 4.6786, 4.6786)* CHOOSE(CONTROL!$C$21, $C$9, 100%, $E$9)</f>
        <v>4.6786000000000003</v>
      </c>
      <c r="K68" s="10">
        <f>CHOOSE(CONTROL!$C$42, 4.7081, 4.7081) * CHOOSE(CONTROL!$C$21, $C$9, 100%, $E$9)</f>
        <v>4.7081</v>
      </c>
      <c r="L68" s="10">
        <f>CHOOSE(CONTROL!$C$42, 5.5135, 5.5135) * CHOOSE(CONTROL!$C$21, $C$9, 100%, $E$9)</f>
        <v>5.5134999999999996</v>
      </c>
      <c r="M68" s="10">
        <f>CHOOSE(CONTROL!$C$42, 4.6452, 4.6452) * CHOOSE(CONTROL!$C$21, $C$9, 100%, $E$9)</f>
        <v>4.6452</v>
      </c>
      <c r="N68" s="10">
        <f>CHOOSE(CONTROL!$C$42, 4.6617, 4.6617) * CHOOSE(CONTROL!$C$21, $C$9, 100%, $E$9)</f>
        <v>4.6616999999999997</v>
      </c>
      <c r="O68" s="10">
        <f>CHOOSE(CONTROL!$C$42, 4.8906, 4.8906) * CHOOSE(CONTROL!$C$21, $C$9, 100%, $E$9)</f>
        <v>4.8906000000000001</v>
      </c>
      <c r="P68" s="10">
        <f>CHOOSE(CONTROL!$C$42, 4.6727, 4.6727) * CHOOSE(CONTROL!$C$21, $C$9, 100%, $E$9)</f>
        <v>4.6726999999999999</v>
      </c>
      <c r="Q68" s="10">
        <f>CHOOSE(CONTROL!$C$42, 5.4859, 5.4859) * CHOOSE(CONTROL!$C$21, $C$9, 100%, $E$9)</f>
        <v>5.4859</v>
      </c>
      <c r="R68" s="10">
        <f>CHOOSE(CONTROL!$C$42, 6.0866, 6.0866) * CHOOSE(CONTROL!$C$21, $C$9, 100%, $E$9)</f>
        <v>6.0865999999999998</v>
      </c>
      <c r="S68" s="10">
        <f>CHOOSE(CONTROL!$C$42, 4.5811, 4.5811) * CHOOSE(CONTROL!$C$21, $C$9, 100%, $E$9)</f>
        <v>4.5811000000000002</v>
      </c>
      <c r="T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38">
        <f>(1000*CHOOSE(CONTROL!$C$42, 695, 695)*CHOOSE(CONTROL!$C$42, 0.5599, 0.5599)*CHOOSE(CONTROL!$C$42, 31, 31))/1000000</f>
        <v>12.063045499999998</v>
      </c>
      <c r="V68" s="38">
        <f>(1000*CHOOSE(CONTROL!$C$42, 500, 500)*CHOOSE(CONTROL!$C$42, 0.275, 0.275)*CHOOSE(CONTROL!$C$42, 31, 31))/1000000</f>
        <v>4.2625000000000002</v>
      </c>
      <c r="W68" s="38">
        <f>(1000*CHOOSE(CONTROL!$C$42, 0.1146, 0.1146)*CHOOSE(CONTROL!$C$42, 121.5, 121.5)*CHOOSE(CONTROL!$C$42, 31, 31))/1000000</f>
        <v>0.43164089999999994</v>
      </c>
      <c r="X68" s="38">
        <f>(31*0.1790888*245000/1000000)+(31*0.2374*100000/1000000)</f>
        <v>2.0961194359999999</v>
      </c>
      <c r="Y68" s="38">
        <f>(1000*400*CHOOSE(CONTROL!$C$42, 2.0082, 2.0082)*CHOOSE(CONTROL!$C$42, 31, 31))/1000000</f>
        <v>24.901679999999999</v>
      </c>
      <c r="Z68" s="38"/>
      <c r="AA68" s="10"/>
      <c r="AB68" s="39"/>
      <c r="AC68" s="33">
        <f>(B68*194.205+C68*267.466+D68*133.845+E68*53.484+F68*40+G68*185+H68*0+I68*100+J68*300)/(194.205+267.466+133.845+53.484+0+40+185+100+300)</f>
        <v>4.7365876498430142</v>
      </c>
      <c r="AD68" s="27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4.7218086330935245</v>
      </c>
    </row>
    <row r="69" spans="1:30" ht="15" x14ac:dyDescent="0.2">
      <c r="A69" s="16">
        <v>43344</v>
      </c>
      <c r="B69" s="10">
        <f>CHOOSE(CONTROL!$C$42, 4.4224, 4.4224) * CHOOSE(CONTROL!$C$21, $C$9, 100%, $E$9)</f>
        <v>4.4223999999999997</v>
      </c>
      <c r="C69" s="10">
        <f>CHOOSE(CONTROL!$C$42, 4.4303, 4.4303) * CHOOSE(CONTROL!$C$21, $C$9, 100%, $E$9)</f>
        <v>4.4302999999999999</v>
      </c>
      <c r="D69" s="10">
        <f>CHOOSE(CONTROL!$C$42, 4.6073, 4.6073) * CHOOSE(CONTROL!$C$21, $C$9, 100%, $E$9)</f>
        <v>4.6073000000000004</v>
      </c>
      <c r="E69" s="10">
        <f>CHOOSE(CONTROL!$C$42, 4.6384, 4.6384) * CHOOSE(CONTROL!$C$21, $C$9, 100%, $E$9)</f>
        <v>4.6383999999999999</v>
      </c>
      <c r="F69" s="10">
        <f>CHOOSE(CONTROL!$C$42, 4.3859, 4.3859)*CHOOSE(CONTROL!$C$21, $C$9, 100%, $E$9)</f>
        <v>4.3859000000000004</v>
      </c>
      <c r="G69" s="10">
        <f>CHOOSE(CONTROL!$C$42, 4.4025, 4.4025)*CHOOSE(CONTROL!$C$21, $C$9, 100%, $E$9)</f>
        <v>4.4024999999999999</v>
      </c>
      <c r="H69" s="10">
        <f>CHOOSE(CONTROL!$C$42, 4.627, 4.627) * CHOOSE(CONTROL!$C$21, $C$9, 100%, $E$9)</f>
        <v>4.6269999999999998</v>
      </c>
      <c r="I69" s="10">
        <f>CHOOSE(CONTROL!$C$42, 4.4069, 4.4069)* CHOOSE(CONTROL!$C$21, $C$9, 100%, $E$9)</f>
        <v>4.4069000000000003</v>
      </c>
      <c r="J69" s="10">
        <f>CHOOSE(CONTROL!$C$42, 4.3789, 4.3789)* CHOOSE(CONTROL!$C$21, $C$9, 100%, $E$9)</f>
        <v>4.3788999999999998</v>
      </c>
      <c r="K69" s="10">
        <f>CHOOSE(CONTROL!$C$42, 4.4167, 4.4167) * CHOOSE(CONTROL!$C$21, $C$9, 100%, $E$9)</f>
        <v>4.4166999999999996</v>
      </c>
      <c r="L69" s="10">
        <f>CHOOSE(CONTROL!$C$42, 5.214, 5.214) * CHOOSE(CONTROL!$C$21, $C$9, 100%, $E$9)</f>
        <v>5.2140000000000004</v>
      </c>
      <c r="M69" s="10">
        <f>CHOOSE(CONTROL!$C$42, 4.3486, 4.3486) * CHOOSE(CONTROL!$C$21, $C$9, 100%, $E$9)</f>
        <v>4.3486000000000002</v>
      </c>
      <c r="N69" s="10">
        <f>CHOOSE(CONTROL!$C$42, 4.365, 4.365) * CHOOSE(CONTROL!$C$21, $C$9, 100%, $E$9)</f>
        <v>4.3650000000000002</v>
      </c>
      <c r="O69" s="10">
        <f>CHOOSE(CONTROL!$C$42, 4.5942, 4.5942) * CHOOSE(CONTROL!$C$21, $C$9, 100%, $E$9)</f>
        <v>4.5941999999999998</v>
      </c>
      <c r="P69" s="10">
        <f>CHOOSE(CONTROL!$C$42, 4.3763, 4.3763) * CHOOSE(CONTROL!$C$21, $C$9, 100%, $E$9)</f>
        <v>4.3762999999999996</v>
      </c>
      <c r="Q69" s="10">
        <f>CHOOSE(CONTROL!$C$42, 5.1895, 5.1895) * CHOOSE(CONTROL!$C$21, $C$9, 100%, $E$9)</f>
        <v>5.1894999999999998</v>
      </c>
      <c r="R69" s="10">
        <f>CHOOSE(CONTROL!$C$42, 5.7894, 5.7894) * CHOOSE(CONTROL!$C$21, $C$9, 100%, $E$9)</f>
        <v>5.7893999999999997</v>
      </c>
      <c r="S69" s="10">
        <f>CHOOSE(CONTROL!$C$42, 4.2903, 4.2903) * CHOOSE(CONTROL!$C$21, $C$9, 100%, $E$9)</f>
        <v>4.2903000000000002</v>
      </c>
      <c r="T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38">
        <f>(1000*CHOOSE(CONTROL!$C$42, 695, 695)*CHOOSE(CONTROL!$C$42, 0.5599, 0.5599)*CHOOSE(CONTROL!$C$42, 30, 30))/1000000</f>
        <v>11.673914999999997</v>
      </c>
      <c r="V69" s="38">
        <f>(1000*CHOOSE(CONTROL!$C$42, 500, 500)*CHOOSE(CONTROL!$C$42, 0.275, 0.275)*CHOOSE(CONTROL!$C$42, 30, 30))/1000000</f>
        <v>4.125</v>
      </c>
      <c r="W69" s="38">
        <f>(1000*CHOOSE(CONTROL!$C$42, 0.1146, 0.1146)*CHOOSE(CONTROL!$C$42, 121.5, 121.5)*CHOOSE(CONTROL!$C$42, 30, 30))/1000000</f>
        <v>0.417717</v>
      </c>
      <c r="X69" s="38">
        <f>(30*0.1790888*245000/1000000)+(30*0.2374*100000/1000000)</f>
        <v>2.0285026799999999</v>
      </c>
      <c r="Y69" s="38">
        <f>(1000*400*CHOOSE(CONTROL!$C$42, 2.0082, 2.0082)*CHOOSE(CONTROL!$C$42, 30, 30))/1000000</f>
        <v>24.098400000000002</v>
      </c>
      <c r="Z69" s="38"/>
      <c r="AA69" s="10"/>
      <c r="AB69" s="39"/>
      <c r="AC69" s="33">
        <f>(B69*194.205+C69*267.466+D69*133.845+E69*53.484+F69*40+G69*185+H69*0+I69*100+J69*300)/(194.205+267.466+133.845+53.484+0+40+185+100+300)</f>
        <v>4.437056174175825</v>
      </c>
      <c r="AD69" s="27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4.4252705035971225</v>
      </c>
    </row>
    <row r="70" spans="1:30" ht="15" x14ac:dyDescent="0.2">
      <c r="A70" s="16">
        <v>43374</v>
      </c>
      <c r="B70" s="10">
        <f>CHOOSE(CONTROL!$C$42, 4.3305, 4.3305) * CHOOSE(CONTROL!$C$21, $C$9, 100%, $E$9)</f>
        <v>4.3304999999999998</v>
      </c>
      <c r="C70" s="10">
        <f>CHOOSE(CONTROL!$C$42, 4.3357, 4.3357) * CHOOSE(CONTROL!$C$21, $C$9, 100%, $E$9)</f>
        <v>4.3357000000000001</v>
      </c>
      <c r="D70" s="10">
        <f>CHOOSE(CONTROL!$C$42, 4.5177, 4.5177) * CHOOSE(CONTROL!$C$21, $C$9, 100%, $E$9)</f>
        <v>4.5176999999999996</v>
      </c>
      <c r="E70" s="10">
        <f>CHOOSE(CONTROL!$C$42, 4.5465, 4.5465) * CHOOSE(CONTROL!$C$21, $C$9, 100%, $E$9)</f>
        <v>4.5465</v>
      </c>
      <c r="F70" s="10">
        <f>CHOOSE(CONTROL!$C$42, 4.2961, 4.2961)*CHOOSE(CONTROL!$C$21, $C$9, 100%, $E$9)</f>
        <v>4.2961</v>
      </c>
      <c r="G70" s="10">
        <f>CHOOSE(CONTROL!$C$42, 4.3124, 4.3124)*CHOOSE(CONTROL!$C$21, $C$9, 100%, $E$9)</f>
        <v>4.3124000000000002</v>
      </c>
      <c r="H70" s="10">
        <f>CHOOSE(CONTROL!$C$42, 4.537, 4.537) * CHOOSE(CONTROL!$C$21, $C$9, 100%, $E$9)</f>
        <v>4.5369999999999999</v>
      </c>
      <c r="I70" s="10">
        <f>CHOOSE(CONTROL!$C$42, 4.3169, 4.3169)* CHOOSE(CONTROL!$C$21, $C$9, 100%, $E$9)</f>
        <v>4.3169000000000004</v>
      </c>
      <c r="J70" s="10">
        <f>CHOOSE(CONTROL!$C$42, 4.2891, 4.2891)* CHOOSE(CONTROL!$C$21, $C$9, 100%, $E$9)</f>
        <v>4.2891000000000004</v>
      </c>
      <c r="K70" s="10">
        <f>CHOOSE(CONTROL!$C$42, 4.3297, 4.3297) * CHOOSE(CONTROL!$C$21, $C$9, 100%, $E$9)</f>
        <v>4.3296999999999999</v>
      </c>
      <c r="L70" s="10">
        <f>CHOOSE(CONTROL!$C$42, 5.124, 5.124) * CHOOSE(CONTROL!$C$21, $C$9, 100%, $E$9)</f>
        <v>5.1239999999999997</v>
      </c>
      <c r="M70" s="10">
        <f>CHOOSE(CONTROL!$C$42, 4.2597, 4.2597) * CHOOSE(CONTROL!$C$21, $C$9, 100%, $E$9)</f>
        <v>4.2596999999999996</v>
      </c>
      <c r="N70" s="10">
        <f>CHOOSE(CONTROL!$C$42, 4.2758, 4.2758) * CHOOSE(CONTROL!$C$21, $C$9, 100%, $E$9)</f>
        <v>4.2758000000000003</v>
      </c>
      <c r="O70" s="10">
        <f>CHOOSE(CONTROL!$C$42, 4.505, 4.505) * CHOOSE(CONTROL!$C$21, $C$9, 100%, $E$9)</f>
        <v>4.5049999999999999</v>
      </c>
      <c r="P70" s="10">
        <f>CHOOSE(CONTROL!$C$42, 4.2872, 4.2872) * CHOOSE(CONTROL!$C$21, $C$9, 100%, $E$9)</f>
        <v>4.2872000000000003</v>
      </c>
      <c r="Q70" s="10">
        <f>CHOOSE(CONTROL!$C$42, 5.1003, 5.1003) * CHOOSE(CONTROL!$C$21, $C$9, 100%, $E$9)</f>
        <v>5.1002999999999998</v>
      </c>
      <c r="R70" s="10">
        <f>CHOOSE(CONTROL!$C$42, 5.7001, 5.7001) * CHOOSE(CONTROL!$C$21, $C$9, 100%, $E$9)</f>
        <v>5.7000999999999999</v>
      </c>
      <c r="S70" s="10">
        <f>CHOOSE(CONTROL!$C$42, 4.2028, 4.2028) * CHOOSE(CONTROL!$C$21, $C$9, 100%, $E$9)</f>
        <v>4.2027999999999999</v>
      </c>
      <c r="T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38">
        <f>(1000*CHOOSE(CONTROL!$C$42, 695, 695)*CHOOSE(CONTROL!$C$42, 0.5599, 0.5599)*CHOOSE(CONTROL!$C$42, 31, 31))/1000000</f>
        <v>12.063045499999998</v>
      </c>
      <c r="V70" s="38">
        <f>(1000*CHOOSE(CONTROL!$C$42, 500, 500)*CHOOSE(CONTROL!$C$42, 0.275, 0.275)*CHOOSE(CONTROL!$C$42, 31, 31))/1000000</f>
        <v>4.2625000000000002</v>
      </c>
      <c r="W70" s="38">
        <f>(1000*CHOOSE(CONTROL!$C$42, 0.1146, 0.1146)*CHOOSE(CONTROL!$C$42, 121.5, 121.5)*CHOOSE(CONTROL!$C$42, 31, 31))/1000000</f>
        <v>0.43164089999999994</v>
      </c>
      <c r="X70" s="38">
        <f>(31*0.1790888*245000/1000000)+(31*0.2374*100000/1000000)</f>
        <v>2.0961194359999999</v>
      </c>
      <c r="Y70" s="38">
        <f>(1000*400*CHOOSE(CONTROL!$C$42, 2.0082, 2.0082)*CHOOSE(CONTROL!$C$42, 31, 31))/1000000</f>
        <v>24.901679999999999</v>
      </c>
      <c r="Z70" s="38"/>
      <c r="AA70" s="10"/>
      <c r="AB70" s="39"/>
      <c r="AC70" s="33">
        <f>(B70*131.881+C70*277.167+D70*79.08+E70*125.872+F70*40+G70*185+H70*0+I70*100+J70*300)/(131.881+277.167+79.08+125.872+0+40+185+100+300)</f>
        <v>4.3506201746569815</v>
      </c>
      <c r="AD70" s="27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4.3361884892086326</v>
      </c>
    </row>
    <row r="71" spans="1:30" ht="15" x14ac:dyDescent="0.2">
      <c r="A71" s="16">
        <v>43405</v>
      </c>
      <c r="B71" s="10">
        <f>CHOOSE(CONTROL!$C$42, 4.4441, 4.4441) * CHOOSE(CONTROL!$C$21, $C$9, 100%, $E$9)</f>
        <v>4.4440999999999997</v>
      </c>
      <c r="C71" s="10">
        <f>CHOOSE(CONTROL!$C$42, 4.4491, 4.4491) * CHOOSE(CONTROL!$C$21, $C$9, 100%, $E$9)</f>
        <v>4.4490999999999996</v>
      </c>
      <c r="D71" s="10">
        <f>CHOOSE(CONTROL!$C$42, 4.4735, 4.4735) * CHOOSE(CONTROL!$C$21, $C$9, 100%, $E$9)</f>
        <v>4.4734999999999996</v>
      </c>
      <c r="E71" s="10">
        <f>CHOOSE(CONTROL!$C$42, 4.5073, 4.5073) * CHOOSE(CONTROL!$C$21, $C$9, 100%, $E$9)</f>
        <v>4.5072999999999999</v>
      </c>
      <c r="F71" s="10">
        <f>CHOOSE(CONTROL!$C$42, 4.4134, 4.4134)*CHOOSE(CONTROL!$C$21, $C$9, 100%, $E$9)</f>
        <v>4.4134000000000002</v>
      </c>
      <c r="G71" s="10">
        <f>CHOOSE(CONTROL!$C$42, 4.4299, 4.4299)*CHOOSE(CONTROL!$C$21, $C$9, 100%, $E$9)</f>
        <v>4.4298999999999999</v>
      </c>
      <c r="H71" s="10">
        <f>CHOOSE(CONTROL!$C$42, 4.4965, 4.4965) * CHOOSE(CONTROL!$C$21, $C$9, 100%, $E$9)</f>
        <v>4.4965000000000002</v>
      </c>
      <c r="I71" s="10">
        <f>CHOOSE(CONTROL!$C$42, 4.4309, 4.4309)* CHOOSE(CONTROL!$C$21, $C$9, 100%, $E$9)</f>
        <v>4.4309000000000003</v>
      </c>
      <c r="J71" s="10">
        <f>CHOOSE(CONTROL!$C$42, 4.4064, 4.4064)* CHOOSE(CONTROL!$C$21, $C$9, 100%, $E$9)</f>
        <v>4.4063999999999997</v>
      </c>
      <c r="K71" s="10">
        <f>CHOOSE(CONTROL!$C$42, 4.442, 4.442) * CHOOSE(CONTROL!$C$21, $C$9, 100%, $E$9)</f>
        <v>4.4420000000000002</v>
      </c>
      <c r="L71" s="10">
        <f>CHOOSE(CONTROL!$C$42, 5.0835, 5.0835) * CHOOSE(CONTROL!$C$21, $C$9, 100%, $E$9)</f>
        <v>5.0834999999999999</v>
      </c>
      <c r="M71" s="10">
        <f>CHOOSE(CONTROL!$C$42, 4.3758, 4.3758) * CHOOSE(CONTROL!$C$21, $C$9, 100%, $E$9)</f>
        <v>4.3757999999999999</v>
      </c>
      <c r="N71" s="10">
        <f>CHOOSE(CONTROL!$C$42, 4.392, 4.392) * CHOOSE(CONTROL!$C$21, $C$9, 100%, $E$9)</f>
        <v>4.3920000000000003</v>
      </c>
      <c r="O71" s="10">
        <f>CHOOSE(CONTROL!$C$42, 4.4649, 4.4649) * CHOOSE(CONTROL!$C$21, $C$9, 100%, $E$9)</f>
        <v>4.4649000000000001</v>
      </c>
      <c r="P71" s="10">
        <f>CHOOSE(CONTROL!$C$42, 4.4, 4.4) * CHOOSE(CONTROL!$C$21, $C$9, 100%, $E$9)</f>
        <v>4.4000000000000004</v>
      </c>
      <c r="Q71" s="10">
        <f>CHOOSE(CONTROL!$C$42, 5.0602, 5.0602) * CHOOSE(CONTROL!$C$21, $C$9, 100%, $E$9)</f>
        <v>5.0602</v>
      </c>
      <c r="R71" s="10">
        <f>CHOOSE(CONTROL!$C$42, 5.6599, 5.6599) * CHOOSE(CONTROL!$C$21, $C$9, 100%, $E$9)</f>
        <v>5.6599000000000004</v>
      </c>
      <c r="S71" s="10">
        <f>CHOOSE(CONTROL!$C$42, 4.3135, 4.3135) * CHOOSE(CONTROL!$C$21, $C$9, 100%, $E$9)</f>
        <v>4.3135000000000003</v>
      </c>
      <c r="T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38">
        <f>(1000*CHOOSE(CONTROL!$C$42, 695, 695)*CHOOSE(CONTROL!$C$42, 0.5599, 0.5599)*CHOOSE(CONTROL!$C$42, 30, 30))/1000000</f>
        <v>11.673914999999997</v>
      </c>
      <c r="V71" s="38">
        <f>(1000*CHOOSE(CONTROL!$C$42, 500, 500)*CHOOSE(CONTROL!$C$42, 0.275, 0.275)*CHOOSE(CONTROL!$C$42, 30, 30))/1000000</f>
        <v>4.125</v>
      </c>
      <c r="W71" s="38">
        <f>(1000*CHOOSE(CONTROL!$C$42, 0.1146, 0.1146)*CHOOSE(CONTROL!$C$42, 121.5, 121.5)*CHOOSE(CONTROL!$C$42, 30, 30))/1000000</f>
        <v>0.417717</v>
      </c>
      <c r="X71" s="38">
        <f>(30*0.1790888*100000/1000000)+(30*0.2374*100000/1000000)</f>
        <v>1.2494664</v>
      </c>
      <c r="Y71" s="38">
        <f>(1000*400*CHOOSE(CONTROL!$C$42, 2.0082, 2.0082)*CHOOSE(CONTROL!$C$42, 30, 30))/1000000</f>
        <v>24.098400000000002</v>
      </c>
      <c r="Z71" s="38"/>
      <c r="AA71" s="10"/>
      <c r="AB71" s="39"/>
      <c r="AC71" s="33">
        <f>(B71*122.58+C71*297.941+D71*89.177+E71*40.302+F71*40+G71*160+H71*0+I71*100+J71*300)/(122.58+297.941+89.177+40.302+0+40+160+100+300)</f>
        <v>4.4358639958260868</v>
      </c>
      <c r="AD71" s="27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4.420597841726619</v>
      </c>
    </row>
    <row r="72" spans="1:30" ht="15" x14ac:dyDescent="0.2">
      <c r="A72" s="16">
        <v>43435</v>
      </c>
      <c r="B72" s="10">
        <f>CHOOSE(CONTROL!$C$42, 4.7469, 4.7469) * CHOOSE(CONTROL!$C$21, $C$9, 100%, $E$9)</f>
        <v>4.7469000000000001</v>
      </c>
      <c r="C72" s="10">
        <f>CHOOSE(CONTROL!$C$42, 4.7519, 4.7519) * CHOOSE(CONTROL!$C$21, $C$9, 100%, $E$9)</f>
        <v>4.7519</v>
      </c>
      <c r="D72" s="10">
        <f>CHOOSE(CONTROL!$C$42, 4.7763, 4.7763) * CHOOSE(CONTROL!$C$21, $C$9, 100%, $E$9)</f>
        <v>4.7763</v>
      </c>
      <c r="E72" s="10">
        <f>CHOOSE(CONTROL!$C$42, 4.8101, 4.8101) * CHOOSE(CONTROL!$C$21, $C$9, 100%, $E$9)</f>
        <v>4.8101000000000003</v>
      </c>
      <c r="F72" s="10">
        <f>CHOOSE(CONTROL!$C$42, 4.7185, 4.7185)*CHOOSE(CONTROL!$C$21, $C$9, 100%, $E$9)</f>
        <v>4.7184999999999997</v>
      </c>
      <c r="G72" s="10">
        <f>CHOOSE(CONTROL!$C$42, 4.7356, 4.7356)*CHOOSE(CONTROL!$C$21, $C$9, 100%, $E$9)</f>
        <v>4.7355999999999998</v>
      </c>
      <c r="H72" s="10">
        <f>CHOOSE(CONTROL!$C$42, 4.7993, 4.7993) * CHOOSE(CONTROL!$C$21, $C$9, 100%, $E$9)</f>
        <v>4.7992999999999997</v>
      </c>
      <c r="I72" s="10">
        <f>CHOOSE(CONTROL!$C$42, 4.7337, 4.7337)* CHOOSE(CONTROL!$C$21, $C$9, 100%, $E$9)</f>
        <v>4.7336999999999998</v>
      </c>
      <c r="J72" s="10">
        <f>CHOOSE(CONTROL!$C$42, 4.7115, 4.7115)* CHOOSE(CONTROL!$C$21, $C$9, 100%, $E$9)</f>
        <v>4.7115</v>
      </c>
      <c r="K72" s="10">
        <f>CHOOSE(CONTROL!$C$42, 4.7412, 4.7412) * CHOOSE(CONTROL!$C$21, $C$9, 100%, $E$9)</f>
        <v>4.7412000000000001</v>
      </c>
      <c r="L72" s="10">
        <f>CHOOSE(CONTROL!$C$42, 5.3863, 5.3863) * CHOOSE(CONTROL!$C$21, $C$9, 100%, $E$9)</f>
        <v>5.3863000000000003</v>
      </c>
      <c r="M72" s="10">
        <f>CHOOSE(CONTROL!$C$42, 4.6778, 4.6778) * CHOOSE(CONTROL!$C$21, $C$9, 100%, $E$9)</f>
        <v>4.6778000000000004</v>
      </c>
      <c r="N72" s="10">
        <f>CHOOSE(CONTROL!$C$42, 4.6947, 4.6947) * CHOOSE(CONTROL!$C$21, $C$9, 100%, $E$9)</f>
        <v>4.6947000000000001</v>
      </c>
      <c r="O72" s="10">
        <f>CHOOSE(CONTROL!$C$42, 4.7647, 4.7647) * CHOOSE(CONTROL!$C$21, $C$9, 100%, $E$9)</f>
        <v>4.7647000000000004</v>
      </c>
      <c r="P72" s="10">
        <f>CHOOSE(CONTROL!$C$42, 4.6998, 4.6998) * CHOOSE(CONTROL!$C$21, $C$9, 100%, $E$9)</f>
        <v>4.6997999999999998</v>
      </c>
      <c r="Q72" s="10">
        <f>CHOOSE(CONTROL!$C$42, 5.36, 5.36) * CHOOSE(CONTROL!$C$21, $C$9, 100%, $E$9)</f>
        <v>5.36</v>
      </c>
      <c r="R72" s="10">
        <f>CHOOSE(CONTROL!$C$42, 5.9604, 5.9604) * CHOOSE(CONTROL!$C$21, $C$9, 100%, $E$9)</f>
        <v>5.9603999999999999</v>
      </c>
      <c r="S72" s="10">
        <f>CHOOSE(CONTROL!$C$42, 4.6076, 4.6076) * CHOOSE(CONTROL!$C$21, $C$9, 100%, $E$9)</f>
        <v>4.6075999999999997</v>
      </c>
      <c r="T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38">
        <f>(1000*CHOOSE(CONTROL!$C$42, 695, 695)*CHOOSE(CONTROL!$C$42, 0.5599, 0.5599)*CHOOSE(CONTROL!$C$42, 31, 31))/1000000</f>
        <v>12.063045499999998</v>
      </c>
      <c r="V72" s="38">
        <f>(1000*CHOOSE(CONTROL!$C$42, 500, 500)*CHOOSE(CONTROL!$C$42, 0.275, 0.275)*CHOOSE(CONTROL!$C$42, 31, 31))/1000000</f>
        <v>4.2625000000000002</v>
      </c>
      <c r="W72" s="38">
        <f>(1000*CHOOSE(CONTROL!$C$42, 0.1146, 0.1146)*CHOOSE(CONTROL!$C$42, 121.5, 121.5)*CHOOSE(CONTROL!$C$42, 31, 31))/1000000</f>
        <v>0.43164089999999994</v>
      </c>
      <c r="X72" s="38">
        <f>(31*0.1790888*100000/1000000)+(31*0.2374*100000/1000000)</f>
        <v>1.2911152800000001</v>
      </c>
      <c r="Y72" s="38">
        <f>(1000*400*CHOOSE(CONTROL!$C$42, 2.0082, 2.0082)*CHOOSE(CONTROL!$C$42, 31, 31))/1000000</f>
        <v>24.901679999999999</v>
      </c>
      <c r="Z72" s="38"/>
      <c r="AA72" s="10"/>
      <c r="AB72" s="39"/>
      <c r="AC72" s="33">
        <f>(B72*122.58+C72*297.941+D72*89.177+E72*40.302+F72*40+G72*160+H72*0+I72*100+J72*300)/(122.58+297.941+89.177+40.302+0+40+160+100+300)</f>
        <v>4.7397474740869558</v>
      </c>
      <c r="AD72" s="27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4.7213244604316547</v>
      </c>
    </row>
    <row r="73" spans="1:30" ht="15" x14ac:dyDescent="0.2">
      <c r="A73" s="16">
        <v>43466</v>
      </c>
      <c r="B73" s="10">
        <f>CHOOSE(CONTROL!$C$42, 5.6526, 5.6526) * CHOOSE(CONTROL!$C$21, $C$9, 100%, $E$9)</f>
        <v>5.6525999999999996</v>
      </c>
      <c r="C73" s="10">
        <f>CHOOSE(CONTROL!$C$42, 5.6575, 5.6575) * CHOOSE(CONTROL!$C$21, $C$9, 100%, $E$9)</f>
        <v>5.6574999999999998</v>
      </c>
      <c r="D73" s="10">
        <f>CHOOSE(CONTROL!$C$42, 5.682, 5.682) * CHOOSE(CONTROL!$C$21, $C$9, 100%, $E$9)</f>
        <v>5.6820000000000004</v>
      </c>
      <c r="E73" s="10">
        <f>CHOOSE(CONTROL!$C$42, 5.7158, 5.7158) * CHOOSE(CONTROL!$C$21, $C$9, 100%, $E$9)</f>
        <v>5.7157999999999998</v>
      </c>
      <c r="F73" s="10">
        <f>CHOOSE(CONTROL!$C$42, 5.6355, 5.6355)*CHOOSE(CONTROL!$C$21, $C$9, 100%, $E$9)</f>
        <v>5.6355000000000004</v>
      </c>
      <c r="G73" s="10">
        <f>CHOOSE(CONTROL!$C$42, 5.6542, 5.6542)*CHOOSE(CONTROL!$C$21, $C$9, 100%, $E$9)</f>
        <v>5.6542000000000003</v>
      </c>
      <c r="H73" s="10">
        <f>CHOOSE(CONTROL!$C$42, 5.705, 5.705) * CHOOSE(CONTROL!$C$21, $C$9, 100%, $E$9)</f>
        <v>5.7050000000000001</v>
      </c>
      <c r="I73" s="10">
        <f>CHOOSE(CONTROL!$C$42, 5.6471, 5.6471)* CHOOSE(CONTROL!$C$21, $C$9, 100%, $E$9)</f>
        <v>5.6471</v>
      </c>
      <c r="J73" s="10">
        <f>CHOOSE(CONTROL!$C$42, 5.6285, 5.6285)* CHOOSE(CONTROL!$C$21, $C$9, 100%, $E$9)</f>
        <v>5.6284999999999998</v>
      </c>
      <c r="K73" s="10">
        <f>CHOOSE(CONTROL!$C$42, 5.6421, 5.6421) * CHOOSE(CONTROL!$C$21, $C$9, 100%, $E$9)</f>
        <v>5.6421000000000001</v>
      </c>
      <c r="L73" s="10">
        <f>CHOOSE(CONTROL!$C$42, 6.292, 6.292) * CHOOSE(CONTROL!$C$21, $C$9, 100%, $E$9)</f>
        <v>6.2919999999999998</v>
      </c>
      <c r="M73" s="10">
        <f>CHOOSE(CONTROL!$C$42, 5.5856, 5.5856) * CHOOSE(CONTROL!$C$21, $C$9, 100%, $E$9)</f>
        <v>5.5856000000000003</v>
      </c>
      <c r="N73" s="10">
        <f>CHOOSE(CONTROL!$C$42, 5.604, 5.604) * CHOOSE(CONTROL!$C$21, $C$9, 100%, $E$9)</f>
        <v>5.6040000000000001</v>
      </c>
      <c r="O73" s="10">
        <f>CHOOSE(CONTROL!$C$42, 5.6612, 5.6612) * CHOOSE(CONTROL!$C$21, $C$9, 100%, $E$9)</f>
        <v>5.6612</v>
      </c>
      <c r="P73" s="10">
        <f>CHOOSE(CONTROL!$C$42, 5.604, 5.604) * CHOOSE(CONTROL!$C$21, $C$9, 100%, $E$9)</f>
        <v>5.6040000000000001</v>
      </c>
      <c r="Q73" s="10">
        <f>CHOOSE(CONTROL!$C$42, 6.2565, 6.2565) * CHOOSE(CONTROL!$C$21, $C$9, 100%, $E$9)</f>
        <v>6.2565</v>
      </c>
      <c r="R73" s="10">
        <f>CHOOSE(CONTROL!$C$42, 6.8592, 6.8592) * CHOOSE(CONTROL!$C$21, $C$9, 100%, $E$9)</f>
        <v>6.8592000000000004</v>
      </c>
      <c r="S73" s="10">
        <f>CHOOSE(CONTROL!$C$42, 5.4871, 5.4871) * CHOOSE(CONTROL!$C$21, $C$9, 100%, $E$9)</f>
        <v>5.4870999999999999</v>
      </c>
      <c r="T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38">
        <f>(1000*CHOOSE(CONTROL!$C$42, 695, 695)*CHOOSE(CONTROL!$C$42, 0.5599, 0.5599)*CHOOSE(CONTROL!$C$42, 31, 31))/1000000</f>
        <v>12.063045499999998</v>
      </c>
      <c r="V73" s="38">
        <f>(1000*CHOOSE(CONTROL!$C$42, 500, 500)*CHOOSE(CONTROL!$C$42, 0.275, 0.275)*CHOOSE(CONTROL!$C$42, 31, 31))/1000000</f>
        <v>4.2625000000000002</v>
      </c>
      <c r="W73" s="38">
        <f>(1000*CHOOSE(CONTROL!$C$42, 0.1146, 0.1146)*CHOOSE(CONTROL!$C$42, 121.5, 121.5)*CHOOSE(CONTROL!$C$42, 31, 31))/1000000</f>
        <v>0.43164089999999994</v>
      </c>
      <c r="X73" s="38">
        <f>(31*0.1790888*100000/1000000)+(31*0.2374*100000/1000000)</f>
        <v>1.2911152800000001</v>
      </c>
      <c r="Y73" s="38">
        <f>(1000*400*CHOOSE(CONTROL!$C$42, 1.988, 1.988)*CHOOSE(CONTROL!$C$42, 31, 31))/1000000</f>
        <v>24.651199999999999</v>
      </c>
      <c r="Z73" s="38"/>
      <c r="AA73" s="10"/>
      <c r="AB73" s="39"/>
      <c r="AC73" s="33">
        <f>(B73*122.58+C73*297.941+D73*89.177+E73*40.302+F73*40+G73*160+H73*0+I73*100+J73*300)/(122.58+297.941+89.177+40.302+0+40+160+100+300)</f>
        <v>5.6512267835652183</v>
      </c>
      <c r="AD73" s="27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5.6235712230215826</v>
      </c>
    </row>
    <row r="74" spans="1:30" ht="15" x14ac:dyDescent="0.2">
      <c r="A74" s="16">
        <v>43497</v>
      </c>
      <c r="B74" s="10">
        <f>CHOOSE(CONTROL!$C$42, 5.7532, 5.7532) * CHOOSE(CONTROL!$C$21, $C$9, 100%, $E$9)</f>
        <v>5.7531999999999996</v>
      </c>
      <c r="C74" s="10">
        <f>CHOOSE(CONTROL!$C$42, 5.7581, 5.7581) * CHOOSE(CONTROL!$C$21, $C$9, 100%, $E$9)</f>
        <v>5.7580999999999998</v>
      </c>
      <c r="D74" s="10">
        <f>CHOOSE(CONTROL!$C$42, 5.7826, 5.7826) * CHOOSE(CONTROL!$C$21, $C$9, 100%, $E$9)</f>
        <v>5.7826000000000004</v>
      </c>
      <c r="E74" s="10">
        <f>CHOOSE(CONTROL!$C$42, 5.8164, 5.8164) * CHOOSE(CONTROL!$C$21, $C$9, 100%, $E$9)</f>
        <v>5.8163999999999998</v>
      </c>
      <c r="F74" s="10">
        <f>CHOOSE(CONTROL!$C$42, 5.7354, 5.7354)*CHOOSE(CONTROL!$C$21, $C$9, 100%, $E$9)</f>
        <v>5.7354000000000003</v>
      </c>
      <c r="G74" s="10">
        <f>CHOOSE(CONTROL!$C$42, 5.7539, 5.7539)*CHOOSE(CONTROL!$C$21, $C$9, 100%, $E$9)</f>
        <v>5.7538999999999998</v>
      </c>
      <c r="H74" s="10">
        <f>CHOOSE(CONTROL!$C$42, 5.8056, 5.8056) * CHOOSE(CONTROL!$C$21, $C$9, 100%, $E$9)</f>
        <v>5.8056000000000001</v>
      </c>
      <c r="I74" s="10">
        <f>CHOOSE(CONTROL!$C$42, 5.7477, 5.7477)* CHOOSE(CONTROL!$C$21, $C$9, 100%, $E$9)</f>
        <v>5.7477</v>
      </c>
      <c r="J74" s="10">
        <f>CHOOSE(CONTROL!$C$42, 5.7284, 5.7284)* CHOOSE(CONTROL!$C$21, $C$9, 100%, $E$9)</f>
        <v>5.7283999999999997</v>
      </c>
      <c r="K74" s="10">
        <f>CHOOSE(CONTROL!$C$42, 5.7384, 5.7384) * CHOOSE(CONTROL!$C$21, $C$9, 100%, $E$9)</f>
        <v>5.7384000000000004</v>
      </c>
      <c r="L74" s="10">
        <f>CHOOSE(CONTROL!$C$42, 6.3926, 6.3926) * CHOOSE(CONTROL!$C$21, $C$9, 100%, $E$9)</f>
        <v>6.3925999999999998</v>
      </c>
      <c r="M74" s="10">
        <f>CHOOSE(CONTROL!$C$42, 5.6844, 5.6844) * CHOOSE(CONTROL!$C$21, $C$9, 100%, $E$9)</f>
        <v>5.6844000000000001</v>
      </c>
      <c r="N74" s="10">
        <f>CHOOSE(CONTROL!$C$42, 5.7027, 5.7027) * CHOOSE(CONTROL!$C$21, $C$9, 100%, $E$9)</f>
        <v>5.7027000000000001</v>
      </c>
      <c r="O74" s="10">
        <f>CHOOSE(CONTROL!$C$42, 5.7608, 5.7608) * CHOOSE(CONTROL!$C$21, $C$9, 100%, $E$9)</f>
        <v>5.7607999999999997</v>
      </c>
      <c r="P74" s="10">
        <f>CHOOSE(CONTROL!$C$42, 5.7035, 5.7035) * CHOOSE(CONTROL!$C$21, $C$9, 100%, $E$9)</f>
        <v>5.7035</v>
      </c>
      <c r="Q74" s="10">
        <f>CHOOSE(CONTROL!$C$42, 6.3561, 6.3561) * CHOOSE(CONTROL!$C$21, $C$9, 100%, $E$9)</f>
        <v>6.3560999999999996</v>
      </c>
      <c r="R74" s="10">
        <f>CHOOSE(CONTROL!$C$42, 6.959, 6.959) * CHOOSE(CONTROL!$C$21, $C$9, 100%, $E$9)</f>
        <v>6.9589999999999996</v>
      </c>
      <c r="S74" s="10">
        <f>CHOOSE(CONTROL!$C$42, 5.5848, 5.5848) * CHOOSE(CONTROL!$C$21, $C$9, 100%, $E$9)</f>
        <v>5.5848000000000004</v>
      </c>
      <c r="T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38">
        <f>(1000*CHOOSE(CONTROL!$C$42, 695, 695)*CHOOSE(CONTROL!$C$42, 0.5599, 0.5599)*CHOOSE(CONTROL!$C$42, 28, 28))/1000000</f>
        <v>10.895653999999999</v>
      </c>
      <c r="V74" s="38">
        <f>(1000*CHOOSE(CONTROL!$C$42, 500, 500)*CHOOSE(CONTROL!$C$42, 0.275, 0.275)*CHOOSE(CONTROL!$C$42, 28, 28))/1000000</f>
        <v>3.85</v>
      </c>
      <c r="W74" s="38">
        <f>(1000*CHOOSE(CONTROL!$C$42, 0.1146, 0.1146)*CHOOSE(CONTROL!$C$42, 121.5, 121.5)*CHOOSE(CONTROL!$C$42, 28, 28))/1000000</f>
        <v>0.38986920000000003</v>
      </c>
      <c r="X74" s="38">
        <f>(28*0.1790888*100000/1000000)+(28*0.2374*100000/1000000)</f>
        <v>1.16616864</v>
      </c>
      <c r="Y74" s="38">
        <f>(1000*400*CHOOSE(CONTROL!$C$42, 1.988, 1.988)*CHOOSE(CONTROL!$C$42, 28, 28))/1000000</f>
        <v>22.265599999999999</v>
      </c>
      <c r="Z74" s="38"/>
      <c r="AA74" s="10"/>
      <c r="AB74" s="39"/>
      <c r="AC74" s="33">
        <f>(B74*122.58+C74*297.941+D74*89.177+E74*40.302+F74*40+G74*160+H74*0+I74*100+J74*300)/(122.58+297.941+89.177+40.302+0+40+160+100+300)</f>
        <v>5.7514946096521742</v>
      </c>
      <c r="AD74" s="27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5.7228287769784165</v>
      </c>
    </row>
    <row r="75" spans="1:30" ht="15" x14ac:dyDescent="0.2">
      <c r="A75" s="16">
        <v>43525</v>
      </c>
      <c r="B75" s="10">
        <f>CHOOSE(CONTROL!$C$42, 5.5899, 5.5899) * CHOOSE(CONTROL!$C$21, $C$9, 100%, $E$9)</f>
        <v>5.5899000000000001</v>
      </c>
      <c r="C75" s="10">
        <f>CHOOSE(CONTROL!$C$42, 5.5949, 5.5949) * CHOOSE(CONTROL!$C$21, $C$9, 100%, $E$9)</f>
        <v>5.5949</v>
      </c>
      <c r="D75" s="10">
        <f>CHOOSE(CONTROL!$C$42, 5.6193, 5.6193) * CHOOSE(CONTROL!$C$21, $C$9, 100%, $E$9)</f>
        <v>5.6193</v>
      </c>
      <c r="E75" s="10">
        <f>CHOOSE(CONTROL!$C$42, 5.6531, 5.6531) * CHOOSE(CONTROL!$C$21, $C$9, 100%, $E$9)</f>
        <v>5.6531000000000002</v>
      </c>
      <c r="F75" s="10">
        <f>CHOOSE(CONTROL!$C$42, 5.5706, 5.5706)*CHOOSE(CONTROL!$C$21, $C$9, 100%, $E$9)</f>
        <v>5.5705999999999998</v>
      </c>
      <c r="G75" s="10">
        <f>CHOOSE(CONTROL!$C$42, 5.5887, 5.5887)*CHOOSE(CONTROL!$C$21, $C$9, 100%, $E$9)</f>
        <v>5.5887000000000002</v>
      </c>
      <c r="H75" s="10">
        <f>CHOOSE(CONTROL!$C$42, 5.6423, 5.6423) * CHOOSE(CONTROL!$C$21, $C$9, 100%, $E$9)</f>
        <v>5.6422999999999996</v>
      </c>
      <c r="I75" s="10">
        <f>CHOOSE(CONTROL!$C$42, 5.5844, 5.5844)* CHOOSE(CONTROL!$C$21, $C$9, 100%, $E$9)</f>
        <v>5.5843999999999996</v>
      </c>
      <c r="J75" s="10">
        <f>CHOOSE(CONTROL!$C$42, 5.5636, 5.5636)* CHOOSE(CONTROL!$C$21, $C$9, 100%, $E$9)</f>
        <v>5.5636000000000001</v>
      </c>
      <c r="K75" s="10">
        <f>CHOOSE(CONTROL!$C$42, 5.5764, 5.5764) * CHOOSE(CONTROL!$C$21, $C$9, 100%, $E$9)</f>
        <v>5.5763999999999996</v>
      </c>
      <c r="L75" s="10">
        <f>CHOOSE(CONTROL!$C$42, 6.2293, 6.2293) * CHOOSE(CONTROL!$C$21, $C$9, 100%, $E$9)</f>
        <v>6.2293000000000003</v>
      </c>
      <c r="M75" s="10">
        <f>CHOOSE(CONTROL!$C$42, 5.5213, 5.5213) * CHOOSE(CONTROL!$C$21, $C$9, 100%, $E$9)</f>
        <v>5.5213000000000001</v>
      </c>
      <c r="N75" s="10">
        <f>CHOOSE(CONTROL!$C$42, 5.5392, 5.5392) * CHOOSE(CONTROL!$C$21, $C$9, 100%, $E$9)</f>
        <v>5.5392000000000001</v>
      </c>
      <c r="O75" s="10">
        <f>CHOOSE(CONTROL!$C$42, 5.5992, 5.5992) * CHOOSE(CONTROL!$C$21, $C$9, 100%, $E$9)</f>
        <v>5.5991999999999997</v>
      </c>
      <c r="P75" s="10">
        <f>CHOOSE(CONTROL!$C$42, 5.5419, 5.5419) * CHOOSE(CONTROL!$C$21, $C$9, 100%, $E$9)</f>
        <v>5.5419</v>
      </c>
      <c r="Q75" s="10">
        <f>CHOOSE(CONTROL!$C$42, 6.1945, 6.1945) * CHOOSE(CONTROL!$C$21, $C$9, 100%, $E$9)</f>
        <v>6.1944999999999997</v>
      </c>
      <c r="R75" s="10">
        <f>CHOOSE(CONTROL!$C$42, 6.797, 6.797) * CHOOSE(CONTROL!$C$21, $C$9, 100%, $E$9)</f>
        <v>6.7969999999999997</v>
      </c>
      <c r="S75" s="10">
        <f>CHOOSE(CONTROL!$C$42, 5.4262, 5.4262) * CHOOSE(CONTROL!$C$21, $C$9, 100%, $E$9)</f>
        <v>5.4261999999999997</v>
      </c>
      <c r="T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38">
        <f>(1000*CHOOSE(CONTROL!$C$42, 695, 695)*CHOOSE(CONTROL!$C$42, 0.5599, 0.5599)*CHOOSE(CONTROL!$C$42, 31, 31))/1000000</f>
        <v>12.063045499999998</v>
      </c>
      <c r="V75" s="38">
        <f>(1000*CHOOSE(CONTROL!$C$42, 500, 500)*CHOOSE(CONTROL!$C$42, 0.275, 0.275)*CHOOSE(CONTROL!$C$42, 31, 31))/1000000</f>
        <v>4.2625000000000002</v>
      </c>
      <c r="W75" s="38">
        <f>(1000*CHOOSE(CONTROL!$C$42, 0.1146, 0.1146)*CHOOSE(CONTROL!$C$42, 121.5, 121.5)*CHOOSE(CONTROL!$C$42, 31, 31))/1000000</f>
        <v>0.43164089999999994</v>
      </c>
      <c r="X75" s="38">
        <f>(31*0.1790888*100000/1000000)+(31*0.2374*100000/1000000)</f>
        <v>1.2911152800000001</v>
      </c>
      <c r="Y75" s="38">
        <f>(1000*400*CHOOSE(CONTROL!$C$42, 1.988, 1.988)*CHOOSE(CONTROL!$C$42, 31, 31))/1000000</f>
        <v>24.651199999999999</v>
      </c>
      <c r="Z75" s="38"/>
      <c r="AA75" s="10"/>
      <c r="AB75" s="39"/>
      <c r="AC75" s="33">
        <f>(B75*122.58+C75*297.941+D75*89.177+E75*40.302+F75*40+G75*160+H75*0+I75*100+J75*300)/(122.58+297.941+89.177+40.302+0+40+160+100+300)</f>
        <v>5.5875126914782607</v>
      </c>
      <c r="AD75" s="27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5.5606014388489209</v>
      </c>
    </row>
    <row r="76" spans="1:30" ht="15" x14ac:dyDescent="0.2">
      <c r="A76" s="16">
        <v>43556</v>
      </c>
      <c r="B76" s="10">
        <f>CHOOSE(CONTROL!$C$42, 5.574, 5.574) * CHOOSE(CONTROL!$C$21, $C$9, 100%, $E$9)</f>
        <v>5.5739999999999998</v>
      </c>
      <c r="C76" s="10">
        <f>CHOOSE(CONTROL!$C$42, 5.5783, 5.5783) * CHOOSE(CONTROL!$C$21, $C$9, 100%, $E$9)</f>
        <v>5.5782999999999996</v>
      </c>
      <c r="D76" s="10">
        <f>CHOOSE(CONTROL!$C$42, 5.7585, 5.7585) * CHOOSE(CONTROL!$C$21, $C$9, 100%, $E$9)</f>
        <v>5.7584999999999997</v>
      </c>
      <c r="E76" s="10">
        <f>CHOOSE(CONTROL!$C$42, 5.7903, 5.7903) * CHOOSE(CONTROL!$C$21, $C$9, 100%, $E$9)</f>
        <v>5.7903000000000002</v>
      </c>
      <c r="F76" s="10">
        <f>CHOOSE(CONTROL!$C$42, 5.5393, 5.5393)*CHOOSE(CONTROL!$C$21, $C$9, 100%, $E$9)</f>
        <v>5.5392999999999999</v>
      </c>
      <c r="G76" s="10">
        <f>CHOOSE(CONTROL!$C$42, 5.5555, 5.5555)*CHOOSE(CONTROL!$C$21, $C$9, 100%, $E$9)</f>
        <v>5.5555000000000003</v>
      </c>
      <c r="H76" s="10">
        <f>CHOOSE(CONTROL!$C$42, 5.78, 5.78) * CHOOSE(CONTROL!$C$21, $C$9, 100%, $E$9)</f>
        <v>5.78</v>
      </c>
      <c r="I76" s="10">
        <f>CHOOSE(CONTROL!$C$42, 5.56, 5.56)* CHOOSE(CONTROL!$C$21, $C$9, 100%, $E$9)</f>
        <v>5.56</v>
      </c>
      <c r="J76" s="10">
        <f>CHOOSE(CONTROL!$C$42, 5.5323, 5.5323)* CHOOSE(CONTROL!$C$21, $C$9, 100%, $E$9)</f>
        <v>5.5323000000000002</v>
      </c>
      <c r="K76" s="10">
        <f>CHOOSE(CONTROL!$C$42, 5.5377, 5.5377) * CHOOSE(CONTROL!$C$21, $C$9, 100%, $E$9)</f>
        <v>5.5377000000000001</v>
      </c>
      <c r="L76" s="10">
        <f>CHOOSE(CONTROL!$C$42, 6.367, 6.367) * CHOOSE(CONTROL!$C$21, $C$9, 100%, $E$9)</f>
        <v>6.367</v>
      </c>
      <c r="M76" s="10">
        <f>CHOOSE(CONTROL!$C$42, 5.4903, 5.4903) * CHOOSE(CONTROL!$C$21, $C$9, 100%, $E$9)</f>
        <v>5.4903000000000004</v>
      </c>
      <c r="N76" s="10">
        <f>CHOOSE(CONTROL!$C$42, 5.5064, 5.5064) * CHOOSE(CONTROL!$C$21, $C$9, 100%, $E$9)</f>
        <v>5.5064000000000002</v>
      </c>
      <c r="O76" s="10">
        <f>CHOOSE(CONTROL!$C$42, 5.7355, 5.7355) * CHOOSE(CONTROL!$C$21, $C$9, 100%, $E$9)</f>
        <v>5.7355</v>
      </c>
      <c r="P76" s="10">
        <f>CHOOSE(CONTROL!$C$42, 5.5177, 5.5177) * CHOOSE(CONTROL!$C$21, $C$9, 100%, $E$9)</f>
        <v>5.5176999999999996</v>
      </c>
      <c r="Q76" s="10">
        <f>CHOOSE(CONTROL!$C$42, 6.3308, 6.3308) * CHOOSE(CONTROL!$C$21, $C$9, 100%, $E$9)</f>
        <v>6.3308</v>
      </c>
      <c r="R76" s="10">
        <f>CHOOSE(CONTROL!$C$42, 6.9337, 6.9337) * CHOOSE(CONTROL!$C$21, $C$9, 100%, $E$9)</f>
        <v>6.9337</v>
      </c>
      <c r="S76" s="10">
        <f>CHOOSE(CONTROL!$C$42, 5.41, 5.41) * CHOOSE(CONTROL!$C$21, $C$9, 100%, $E$9)</f>
        <v>5.41</v>
      </c>
      <c r="T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38">
        <f>(1000*CHOOSE(CONTROL!$C$42, 695, 695)*CHOOSE(CONTROL!$C$42, 0.5599, 0.5599)*CHOOSE(CONTROL!$C$42, 30, 30))/1000000</f>
        <v>11.673914999999997</v>
      </c>
      <c r="V76" s="38">
        <f>(1000*CHOOSE(CONTROL!$C$42, 500, 500)*CHOOSE(CONTROL!$C$42, 0.275, 0.275)*CHOOSE(CONTROL!$C$42, 30, 30))/1000000</f>
        <v>4.125</v>
      </c>
      <c r="W76" s="38">
        <f>(1000*CHOOSE(CONTROL!$C$42, 0.1146, 0.1146)*CHOOSE(CONTROL!$C$42, 121.5, 121.5)*CHOOSE(CONTROL!$C$42, 30, 30))/1000000</f>
        <v>0.417717</v>
      </c>
      <c r="X76" s="38">
        <f>(30*0.1790888*245000/1000000)+(30*0.2374*100000/1000000)</f>
        <v>2.0285026799999999</v>
      </c>
      <c r="Y76" s="38">
        <f>(1000*400*CHOOSE(CONTROL!$C$42, 1.988, 1.988)*CHOOSE(CONTROL!$C$42, 30, 30))/1000000</f>
        <v>23.856000000000002</v>
      </c>
      <c r="Z76" s="38"/>
      <c r="AA76" s="10"/>
      <c r="AB76" s="39"/>
      <c r="AC76" s="33">
        <f>(B76*141.293+C76*267.993+D76*115.016+E76*89.698+F76*40+G76*185+H76*0+I76*100+J76*300)/(141.293+267.993+115.016+89.698+0+40+185+100+300)</f>
        <v>5.5926069405165455</v>
      </c>
      <c r="AD76" s="27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5.566746043165467</v>
      </c>
    </row>
    <row r="77" spans="1:30" ht="15" x14ac:dyDescent="0.2">
      <c r="A77" s="16">
        <v>43586</v>
      </c>
      <c r="B77" s="10">
        <f>CHOOSE(CONTROL!$C$42, 5.6249, 5.6249) * CHOOSE(CONTROL!$C$21, $C$9, 100%, $E$9)</f>
        <v>5.6249000000000002</v>
      </c>
      <c r="C77" s="10">
        <f>CHOOSE(CONTROL!$C$42, 5.6328, 5.6328) * CHOOSE(CONTROL!$C$21, $C$9, 100%, $E$9)</f>
        <v>5.6327999999999996</v>
      </c>
      <c r="D77" s="10">
        <f>CHOOSE(CONTROL!$C$42, 5.8098, 5.8098) * CHOOSE(CONTROL!$C$21, $C$9, 100%, $E$9)</f>
        <v>5.8098000000000001</v>
      </c>
      <c r="E77" s="10">
        <f>CHOOSE(CONTROL!$C$42, 5.841, 5.841) * CHOOSE(CONTROL!$C$21, $C$9, 100%, $E$9)</f>
        <v>5.8410000000000002</v>
      </c>
      <c r="F77" s="10">
        <f>CHOOSE(CONTROL!$C$42, 5.5883, 5.5883)*CHOOSE(CONTROL!$C$21, $C$9, 100%, $E$9)</f>
        <v>5.5883000000000003</v>
      </c>
      <c r="G77" s="10">
        <f>CHOOSE(CONTROL!$C$42, 5.6048, 5.6048)*CHOOSE(CONTROL!$C$21, $C$9, 100%, $E$9)</f>
        <v>5.6048</v>
      </c>
      <c r="H77" s="10">
        <f>CHOOSE(CONTROL!$C$42, 5.8296, 5.8296) * CHOOSE(CONTROL!$C$21, $C$9, 100%, $E$9)</f>
        <v>5.8296000000000001</v>
      </c>
      <c r="I77" s="10">
        <f>CHOOSE(CONTROL!$C$42, 5.6095, 5.6095)* CHOOSE(CONTROL!$C$21, $C$9, 100%, $E$9)</f>
        <v>5.6094999999999997</v>
      </c>
      <c r="J77" s="10">
        <f>CHOOSE(CONTROL!$C$42, 5.5813, 5.5813)* CHOOSE(CONTROL!$C$21, $C$9, 100%, $E$9)</f>
        <v>5.5812999999999997</v>
      </c>
      <c r="K77" s="10">
        <f>CHOOSE(CONTROL!$C$42, 5.5846, 5.5846) * CHOOSE(CONTROL!$C$21, $C$9, 100%, $E$9)</f>
        <v>5.5846</v>
      </c>
      <c r="L77" s="10">
        <f>CHOOSE(CONTROL!$C$42, 6.4166, 6.4166) * CHOOSE(CONTROL!$C$21, $C$9, 100%, $E$9)</f>
        <v>6.4165999999999999</v>
      </c>
      <c r="M77" s="10">
        <f>CHOOSE(CONTROL!$C$42, 5.5388, 5.5388) * CHOOSE(CONTROL!$C$21, $C$9, 100%, $E$9)</f>
        <v>5.5388000000000002</v>
      </c>
      <c r="N77" s="10">
        <f>CHOOSE(CONTROL!$C$42, 5.5551, 5.5551) * CHOOSE(CONTROL!$C$21, $C$9, 100%, $E$9)</f>
        <v>5.5551000000000004</v>
      </c>
      <c r="O77" s="10">
        <f>CHOOSE(CONTROL!$C$42, 5.7846, 5.7846) * CHOOSE(CONTROL!$C$21, $C$9, 100%, $E$9)</f>
        <v>5.7846000000000002</v>
      </c>
      <c r="P77" s="10">
        <f>CHOOSE(CONTROL!$C$42, 5.5668, 5.5668) * CHOOSE(CONTROL!$C$21, $C$9, 100%, $E$9)</f>
        <v>5.5667999999999997</v>
      </c>
      <c r="Q77" s="10">
        <f>CHOOSE(CONTROL!$C$42, 6.3799, 6.3799) * CHOOSE(CONTROL!$C$21, $C$9, 100%, $E$9)</f>
        <v>6.3799000000000001</v>
      </c>
      <c r="R77" s="10">
        <f>CHOOSE(CONTROL!$C$42, 6.9828, 6.9828) * CHOOSE(CONTROL!$C$21, $C$9, 100%, $E$9)</f>
        <v>6.9828000000000001</v>
      </c>
      <c r="S77" s="10">
        <f>CHOOSE(CONTROL!$C$42, 5.4581, 5.4581) * CHOOSE(CONTROL!$C$21, $C$9, 100%, $E$9)</f>
        <v>5.4581</v>
      </c>
      <c r="T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38">
        <f>(1000*CHOOSE(CONTROL!$C$42, 695, 695)*CHOOSE(CONTROL!$C$42, 0.5599, 0.5599)*CHOOSE(CONTROL!$C$42, 31, 31))/1000000</f>
        <v>12.063045499999998</v>
      </c>
      <c r="V77" s="38">
        <f>(1000*CHOOSE(CONTROL!$C$42, 500, 500)*CHOOSE(CONTROL!$C$42, 0.275, 0.275)*CHOOSE(CONTROL!$C$42, 31, 31))/1000000</f>
        <v>4.2625000000000002</v>
      </c>
      <c r="W77" s="38">
        <f>(1000*CHOOSE(CONTROL!$C$42, 0.1146, 0.1146)*CHOOSE(CONTROL!$C$42, 121.5, 121.5)*CHOOSE(CONTROL!$C$42, 31, 31))/1000000</f>
        <v>0.43164089999999994</v>
      </c>
      <c r="X77" s="38">
        <f>(31*0.1790888*245000/1000000)+(31*0.2374*100000/1000000)</f>
        <v>2.0961194359999999</v>
      </c>
      <c r="Y77" s="38">
        <f>(1000*400*CHOOSE(CONTROL!$C$42, 1.988, 1.988)*CHOOSE(CONTROL!$C$42, 31, 31))/1000000</f>
        <v>24.651199999999999</v>
      </c>
      <c r="Z77" s="38"/>
      <c r="AA77" s="10"/>
      <c r="AB77" s="39"/>
      <c r="AC77" s="33">
        <f>(B77*194.205+C77*267.466+D77*133.845+E77*53.484+F77*40+G77*185+H77*0+I77*100+J77*300)/(194.205+267.466+133.845+53.484+0+40+185+100+300)</f>
        <v>5.6395124916012556</v>
      </c>
      <c r="AD77" s="27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5.6155467625899282</v>
      </c>
    </row>
    <row r="78" spans="1:30" ht="15" x14ac:dyDescent="0.2">
      <c r="A78" s="16">
        <v>43617</v>
      </c>
      <c r="B78" s="10">
        <f>CHOOSE(CONTROL!$C$42, 5.7843, 5.7843) * CHOOSE(CONTROL!$C$21, $C$9, 100%, $E$9)</f>
        <v>5.7843</v>
      </c>
      <c r="C78" s="10">
        <f>CHOOSE(CONTROL!$C$42, 5.7922, 5.7922) * CHOOSE(CONTROL!$C$21, $C$9, 100%, $E$9)</f>
        <v>5.7922000000000002</v>
      </c>
      <c r="D78" s="10">
        <f>CHOOSE(CONTROL!$C$42, 5.9692, 5.9692) * CHOOSE(CONTROL!$C$21, $C$9, 100%, $E$9)</f>
        <v>5.9691999999999998</v>
      </c>
      <c r="E78" s="10">
        <f>CHOOSE(CONTROL!$C$42, 6.0004, 6.0004) * CHOOSE(CONTROL!$C$21, $C$9, 100%, $E$9)</f>
        <v>6.0004</v>
      </c>
      <c r="F78" s="10">
        <f>CHOOSE(CONTROL!$C$42, 5.7478, 5.7478)*CHOOSE(CONTROL!$C$21, $C$9, 100%, $E$9)</f>
        <v>5.7477999999999998</v>
      </c>
      <c r="G78" s="10">
        <f>CHOOSE(CONTROL!$C$42, 5.7644, 5.7644)*CHOOSE(CONTROL!$C$21, $C$9, 100%, $E$9)</f>
        <v>5.7644000000000002</v>
      </c>
      <c r="H78" s="10">
        <f>CHOOSE(CONTROL!$C$42, 5.989, 5.989) * CHOOSE(CONTROL!$C$21, $C$9, 100%, $E$9)</f>
        <v>5.9889999999999999</v>
      </c>
      <c r="I78" s="10">
        <f>CHOOSE(CONTROL!$C$42, 5.7689, 5.7689)* CHOOSE(CONTROL!$C$21, $C$9, 100%, $E$9)</f>
        <v>5.7689000000000004</v>
      </c>
      <c r="J78" s="10">
        <f>CHOOSE(CONTROL!$C$42, 5.7408, 5.7408)* CHOOSE(CONTROL!$C$21, $C$9, 100%, $E$9)</f>
        <v>5.7408000000000001</v>
      </c>
      <c r="K78" s="10">
        <f>CHOOSE(CONTROL!$C$42, 5.7398, 5.7398) * CHOOSE(CONTROL!$C$21, $C$9, 100%, $E$9)</f>
        <v>5.7397999999999998</v>
      </c>
      <c r="L78" s="10">
        <f>CHOOSE(CONTROL!$C$42, 6.576, 6.576) * CHOOSE(CONTROL!$C$21, $C$9, 100%, $E$9)</f>
        <v>6.5759999999999996</v>
      </c>
      <c r="M78" s="10">
        <f>CHOOSE(CONTROL!$C$42, 5.6967, 5.6967) * CHOOSE(CONTROL!$C$21, $C$9, 100%, $E$9)</f>
        <v>5.6966999999999999</v>
      </c>
      <c r="N78" s="10">
        <f>CHOOSE(CONTROL!$C$42, 5.7131, 5.7131) * CHOOSE(CONTROL!$C$21, $C$9, 100%, $E$9)</f>
        <v>5.7130999999999998</v>
      </c>
      <c r="O78" s="10">
        <f>CHOOSE(CONTROL!$C$42, 5.9424, 5.9424) * CHOOSE(CONTROL!$C$21, $C$9, 100%, $E$9)</f>
        <v>5.9424000000000001</v>
      </c>
      <c r="P78" s="10">
        <f>CHOOSE(CONTROL!$C$42, 5.7246, 5.7246) * CHOOSE(CONTROL!$C$21, $C$9, 100%, $E$9)</f>
        <v>5.7245999999999997</v>
      </c>
      <c r="Q78" s="10">
        <f>CHOOSE(CONTROL!$C$42, 6.5377, 6.5377) * CHOOSE(CONTROL!$C$21, $C$9, 100%, $E$9)</f>
        <v>6.5377000000000001</v>
      </c>
      <c r="R78" s="10">
        <f>CHOOSE(CONTROL!$C$42, 7.141, 7.141) * CHOOSE(CONTROL!$C$21, $C$9, 100%, $E$9)</f>
        <v>7.141</v>
      </c>
      <c r="S78" s="10">
        <f>CHOOSE(CONTROL!$C$42, 5.6129, 5.6129) * CHOOSE(CONTROL!$C$21, $C$9, 100%, $E$9)</f>
        <v>5.6128999999999998</v>
      </c>
      <c r="T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38">
        <f>(1000*CHOOSE(CONTROL!$C$42, 695, 695)*CHOOSE(CONTROL!$C$42, 0.5599, 0.5599)*CHOOSE(CONTROL!$C$42, 30, 30))/1000000</f>
        <v>11.673914999999997</v>
      </c>
      <c r="V78" s="38">
        <f>(1000*CHOOSE(CONTROL!$C$42, 500, 500)*CHOOSE(CONTROL!$C$42, 0.275, 0.275)*CHOOSE(CONTROL!$C$42, 30, 30))/1000000</f>
        <v>4.125</v>
      </c>
      <c r="W78" s="38">
        <f>(1000*CHOOSE(CONTROL!$C$42, 0.1146, 0.1146)*CHOOSE(CONTROL!$C$42, 121.5, 121.5)*CHOOSE(CONTROL!$C$42, 30, 30))/1000000</f>
        <v>0.417717</v>
      </c>
      <c r="X78" s="38">
        <f>(30*0.1790888*245000/1000000)+(30*0.2374*100000/1000000)</f>
        <v>2.0285026799999999</v>
      </c>
      <c r="Y78" s="38">
        <f>(1000*400*CHOOSE(CONTROL!$C$42, 1.988, 1.988)*CHOOSE(CONTROL!$C$42, 30, 30))/1000000</f>
        <v>23.856000000000002</v>
      </c>
      <c r="Z78" s="38"/>
      <c r="AA78" s="10"/>
      <c r="AB78" s="39"/>
      <c r="AC78" s="33">
        <f>(B78*194.205+C78*267.466+D78*133.845+E78*53.484+F78*40+G78*185+H78*0+I78*100+J78*300)/(194.205+267.466+133.845+53.484+0+40+185+100+300)</f>
        <v>5.7989682215855574</v>
      </c>
      <c r="AD78" s="27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5.7734273381294967</v>
      </c>
    </row>
    <row r="79" spans="1:30" ht="15" x14ac:dyDescent="0.2">
      <c r="A79" s="16">
        <v>43647</v>
      </c>
      <c r="B79" s="10">
        <f>CHOOSE(CONTROL!$C$42, 5.6735, 5.6735) * CHOOSE(CONTROL!$C$21, $C$9, 100%, $E$9)</f>
        <v>5.6734999999999998</v>
      </c>
      <c r="C79" s="10">
        <f>CHOOSE(CONTROL!$C$42, 5.6814, 5.6814) * CHOOSE(CONTROL!$C$21, $C$9, 100%, $E$9)</f>
        <v>5.6814</v>
      </c>
      <c r="D79" s="10">
        <f>CHOOSE(CONTROL!$C$42, 5.8584, 5.8584) * CHOOSE(CONTROL!$C$21, $C$9, 100%, $E$9)</f>
        <v>5.8583999999999996</v>
      </c>
      <c r="E79" s="10">
        <f>CHOOSE(CONTROL!$C$42, 5.8895, 5.8895) * CHOOSE(CONTROL!$C$21, $C$9, 100%, $E$9)</f>
        <v>5.8895</v>
      </c>
      <c r="F79" s="10">
        <f>CHOOSE(CONTROL!$C$42, 5.6372, 5.6372)*CHOOSE(CONTROL!$C$21, $C$9, 100%, $E$9)</f>
        <v>5.6372</v>
      </c>
      <c r="G79" s="10">
        <f>CHOOSE(CONTROL!$C$42, 5.6538, 5.6538)*CHOOSE(CONTROL!$C$21, $C$9, 100%, $E$9)</f>
        <v>5.6538000000000004</v>
      </c>
      <c r="H79" s="10">
        <f>CHOOSE(CONTROL!$C$42, 5.8781, 5.8781) * CHOOSE(CONTROL!$C$21, $C$9, 100%, $E$9)</f>
        <v>5.8780999999999999</v>
      </c>
      <c r="I79" s="10">
        <f>CHOOSE(CONTROL!$C$42, 5.658, 5.658)* CHOOSE(CONTROL!$C$21, $C$9, 100%, $E$9)</f>
        <v>5.6580000000000004</v>
      </c>
      <c r="J79" s="10">
        <f>CHOOSE(CONTROL!$C$42, 5.6302, 5.6302)* CHOOSE(CONTROL!$C$21, $C$9, 100%, $E$9)</f>
        <v>5.6302000000000003</v>
      </c>
      <c r="K79" s="10">
        <f>CHOOSE(CONTROL!$C$42, 5.6327, 5.6327) * CHOOSE(CONTROL!$C$21, $C$9, 100%, $E$9)</f>
        <v>5.6326999999999998</v>
      </c>
      <c r="L79" s="10">
        <f>CHOOSE(CONTROL!$C$42, 6.4651, 6.4651) * CHOOSE(CONTROL!$C$21, $C$9, 100%, $E$9)</f>
        <v>6.4650999999999996</v>
      </c>
      <c r="M79" s="10">
        <f>CHOOSE(CONTROL!$C$42, 5.5872, 5.5872) * CHOOSE(CONTROL!$C$21, $C$9, 100%, $E$9)</f>
        <v>5.5872000000000002</v>
      </c>
      <c r="N79" s="10">
        <f>CHOOSE(CONTROL!$C$42, 5.6037, 5.6037) * CHOOSE(CONTROL!$C$21, $C$9, 100%, $E$9)</f>
        <v>5.6036999999999999</v>
      </c>
      <c r="O79" s="10">
        <f>CHOOSE(CONTROL!$C$42, 5.8326, 5.8326) * CHOOSE(CONTROL!$C$21, $C$9, 100%, $E$9)</f>
        <v>5.8326000000000002</v>
      </c>
      <c r="P79" s="10">
        <f>CHOOSE(CONTROL!$C$42, 5.6148, 5.6148) * CHOOSE(CONTROL!$C$21, $C$9, 100%, $E$9)</f>
        <v>5.6147999999999998</v>
      </c>
      <c r="Q79" s="10">
        <f>CHOOSE(CONTROL!$C$42, 6.4279, 6.4279) * CHOOSE(CONTROL!$C$21, $C$9, 100%, $E$9)</f>
        <v>6.4279000000000002</v>
      </c>
      <c r="R79" s="10">
        <f>CHOOSE(CONTROL!$C$42, 7.031, 7.031) * CHOOSE(CONTROL!$C$21, $C$9, 100%, $E$9)</f>
        <v>7.0309999999999997</v>
      </c>
      <c r="S79" s="10">
        <f>CHOOSE(CONTROL!$C$42, 5.5052, 5.5052) * CHOOSE(CONTROL!$C$21, $C$9, 100%, $E$9)</f>
        <v>5.5052000000000003</v>
      </c>
      <c r="T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38">
        <f>(1000*CHOOSE(CONTROL!$C$42, 695, 695)*CHOOSE(CONTROL!$C$42, 0.5599, 0.5599)*CHOOSE(CONTROL!$C$42, 31, 31))/1000000</f>
        <v>12.063045499999998</v>
      </c>
      <c r="V79" s="38">
        <f>(1000*CHOOSE(CONTROL!$C$42, 500, 500)*CHOOSE(CONTROL!$C$42, 0.275, 0.275)*CHOOSE(CONTROL!$C$42, 31, 31))/1000000</f>
        <v>4.2625000000000002</v>
      </c>
      <c r="W79" s="38">
        <f>(1000*CHOOSE(CONTROL!$C$42, 0.1146, 0.1146)*CHOOSE(CONTROL!$C$42, 121.5, 121.5)*CHOOSE(CONTROL!$C$42, 31, 31))/1000000</f>
        <v>0.43164089999999994</v>
      </c>
      <c r="X79" s="38">
        <f>(31*0.1790888*245000/1000000)+(31*0.2374*100000/1000000)</f>
        <v>2.0961194359999999</v>
      </c>
      <c r="Y79" s="38">
        <f>(1000*400*CHOOSE(CONTROL!$C$42, 1.988, 1.988)*CHOOSE(CONTROL!$C$42, 31, 31))/1000000</f>
        <v>24.651199999999999</v>
      </c>
      <c r="Z79" s="38"/>
      <c r="AA79" s="10"/>
      <c r="AB79" s="39"/>
      <c r="AC79" s="33">
        <f>(B79*194.205+C79*267.466+D79*133.845+E79*53.484+F79*40+G79*185+H79*0+I79*100+J79*300)/(194.205+267.466+133.845+53.484+0+40+185+100+300)</f>
        <v>5.6882385917582425</v>
      </c>
      <c r="AD79" s="27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5.6638230215827337</v>
      </c>
    </row>
    <row r="80" spans="1:30" ht="15" x14ac:dyDescent="0.2">
      <c r="A80" s="16">
        <v>43678</v>
      </c>
      <c r="B80" s="10">
        <f>CHOOSE(CONTROL!$C$42, 5.3935, 5.3935) * CHOOSE(CONTROL!$C$21, $C$9, 100%, $E$9)</f>
        <v>5.3935000000000004</v>
      </c>
      <c r="C80" s="10">
        <f>CHOOSE(CONTROL!$C$42, 5.4014, 5.4014) * CHOOSE(CONTROL!$C$21, $C$9, 100%, $E$9)</f>
        <v>5.4013999999999998</v>
      </c>
      <c r="D80" s="10">
        <f>CHOOSE(CONTROL!$C$42, 5.5784, 5.5784) * CHOOSE(CONTROL!$C$21, $C$9, 100%, $E$9)</f>
        <v>5.5784000000000002</v>
      </c>
      <c r="E80" s="10">
        <f>CHOOSE(CONTROL!$C$42, 5.6095, 5.6095) * CHOOSE(CONTROL!$C$21, $C$9, 100%, $E$9)</f>
        <v>5.6094999999999997</v>
      </c>
      <c r="F80" s="10">
        <f>CHOOSE(CONTROL!$C$42, 5.3573, 5.3573)*CHOOSE(CONTROL!$C$21, $C$9, 100%, $E$9)</f>
        <v>5.3573000000000004</v>
      </c>
      <c r="G80" s="10">
        <f>CHOOSE(CONTROL!$C$42, 5.3739, 5.3739)*CHOOSE(CONTROL!$C$21, $C$9, 100%, $E$9)</f>
        <v>5.3738999999999999</v>
      </c>
      <c r="H80" s="10">
        <f>CHOOSE(CONTROL!$C$42, 5.5982, 5.5982) * CHOOSE(CONTROL!$C$21, $C$9, 100%, $E$9)</f>
        <v>5.5982000000000003</v>
      </c>
      <c r="I80" s="10">
        <f>CHOOSE(CONTROL!$C$42, 5.3781, 5.3781)* CHOOSE(CONTROL!$C$21, $C$9, 100%, $E$9)</f>
        <v>5.3780999999999999</v>
      </c>
      <c r="J80" s="10">
        <f>CHOOSE(CONTROL!$C$42, 5.3503, 5.3503)* CHOOSE(CONTROL!$C$21, $C$9, 100%, $E$9)</f>
        <v>5.3502999999999998</v>
      </c>
      <c r="K80" s="10">
        <f>CHOOSE(CONTROL!$C$42, 5.3608, 5.3608) * CHOOSE(CONTROL!$C$21, $C$9, 100%, $E$9)</f>
        <v>5.3608000000000002</v>
      </c>
      <c r="L80" s="10">
        <f>CHOOSE(CONTROL!$C$42, 6.1852, 6.1852) * CHOOSE(CONTROL!$C$21, $C$9, 100%, $E$9)</f>
        <v>6.1852</v>
      </c>
      <c r="M80" s="10">
        <f>CHOOSE(CONTROL!$C$42, 5.3102, 5.3102) * CHOOSE(CONTROL!$C$21, $C$9, 100%, $E$9)</f>
        <v>5.3102</v>
      </c>
      <c r="N80" s="10">
        <f>CHOOSE(CONTROL!$C$42, 5.3266, 5.3266) * CHOOSE(CONTROL!$C$21, $C$9, 100%, $E$9)</f>
        <v>5.3266</v>
      </c>
      <c r="O80" s="10">
        <f>CHOOSE(CONTROL!$C$42, 5.5555, 5.5555) * CHOOSE(CONTROL!$C$21, $C$9, 100%, $E$9)</f>
        <v>5.5555000000000003</v>
      </c>
      <c r="P80" s="10">
        <f>CHOOSE(CONTROL!$C$42, 5.3377, 5.3377) * CHOOSE(CONTROL!$C$21, $C$9, 100%, $E$9)</f>
        <v>5.3376999999999999</v>
      </c>
      <c r="Q80" s="10">
        <f>CHOOSE(CONTROL!$C$42, 6.1508, 6.1508) * CHOOSE(CONTROL!$C$21, $C$9, 100%, $E$9)</f>
        <v>6.1508000000000003</v>
      </c>
      <c r="R80" s="10">
        <f>CHOOSE(CONTROL!$C$42, 6.7532, 6.7532) * CHOOSE(CONTROL!$C$21, $C$9, 100%, $E$9)</f>
        <v>6.7531999999999996</v>
      </c>
      <c r="S80" s="10">
        <f>CHOOSE(CONTROL!$C$42, 5.2334, 5.2334) * CHOOSE(CONTROL!$C$21, $C$9, 100%, $E$9)</f>
        <v>5.2333999999999996</v>
      </c>
      <c r="T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38">
        <f>(1000*CHOOSE(CONTROL!$C$42, 695, 695)*CHOOSE(CONTROL!$C$42, 0.5599, 0.5599)*CHOOSE(CONTROL!$C$42, 31, 31))/1000000</f>
        <v>12.063045499999998</v>
      </c>
      <c r="V80" s="38">
        <f>(1000*CHOOSE(CONTROL!$C$42, 500, 500)*CHOOSE(CONTROL!$C$42, 0.275, 0.275)*CHOOSE(CONTROL!$C$42, 31, 31))/1000000</f>
        <v>4.2625000000000002</v>
      </c>
      <c r="W80" s="38">
        <f>(1000*CHOOSE(CONTROL!$C$42, 0.1146, 0.1146)*CHOOSE(CONTROL!$C$42, 121.5, 121.5)*CHOOSE(CONTROL!$C$42, 31, 31))/1000000</f>
        <v>0.43164089999999994</v>
      </c>
      <c r="X80" s="38">
        <f>(31*0.1790888*245000/1000000)+(31*0.2374*100000/1000000)</f>
        <v>2.0961194359999999</v>
      </c>
      <c r="Y80" s="38">
        <f>(1000*400*CHOOSE(CONTROL!$C$42, 1.988, 1.988)*CHOOSE(CONTROL!$C$42, 31, 31))/1000000</f>
        <v>24.651199999999999</v>
      </c>
      <c r="Z80" s="38"/>
      <c r="AA80" s="10"/>
      <c r="AB80" s="39"/>
      <c r="AC80" s="33">
        <f>(B80*194.205+C80*267.466+D80*133.845+E80*53.484+F80*40+G80*185+H80*0+I80*100+J80*300)/(194.205+267.466+133.845+53.484+0+40+185+100+300)</f>
        <v>5.4082876498430146</v>
      </c>
      <c r="AD80" s="27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5.3867575539568344</v>
      </c>
    </row>
    <row r="81" spans="1:30" ht="15" x14ac:dyDescent="0.2">
      <c r="A81" s="16">
        <v>43709</v>
      </c>
      <c r="B81" s="10">
        <f>CHOOSE(CONTROL!$C$42, 5.0514, 5.0514) * CHOOSE(CONTROL!$C$21, $C$9, 100%, $E$9)</f>
        <v>5.0514000000000001</v>
      </c>
      <c r="C81" s="10">
        <f>CHOOSE(CONTROL!$C$42, 5.0593, 5.0593) * CHOOSE(CONTROL!$C$21, $C$9, 100%, $E$9)</f>
        <v>5.0593000000000004</v>
      </c>
      <c r="D81" s="10">
        <f>CHOOSE(CONTROL!$C$42, 5.2363, 5.2363) * CHOOSE(CONTROL!$C$21, $C$9, 100%, $E$9)</f>
        <v>5.2363</v>
      </c>
      <c r="E81" s="10">
        <f>CHOOSE(CONTROL!$C$42, 5.2675, 5.2675) * CHOOSE(CONTROL!$C$21, $C$9, 100%, $E$9)</f>
        <v>5.2675000000000001</v>
      </c>
      <c r="F81" s="10">
        <f>CHOOSE(CONTROL!$C$42, 5.015, 5.015)*CHOOSE(CONTROL!$C$21, $C$9, 100%, $E$9)</f>
        <v>5.0149999999999997</v>
      </c>
      <c r="G81" s="10">
        <f>CHOOSE(CONTROL!$C$42, 5.0316, 5.0316)*CHOOSE(CONTROL!$C$21, $C$9, 100%, $E$9)</f>
        <v>5.0316000000000001</v>
      </c>
      <c r="H81" s="10">
        <f>CHOOSE(CONTROL!$C$42, 5.2561, 5.2561) * CHOOSE(CONTROL!$C$21, $C$9, 100%, $E$9)</f>
        <v>5.2561</v>
      </c>
      <c r="I81" s="10">
        <f>CHOOSE(CONTROL!$C$42, 5.036, 5.036)* CHOOSE(CONTROL!$C$21, $C$9, 100%, $E$9)</f>
        <v>5.0359999999999996</v>
      </c>
      <c r="J81" s="10">
        <f>CHOOSE(CONTROL!$C$42, 5.008, 5.008)* CHOOSE(CONTROL!$C$21, $C$9, 100%, $E$9)</f>
        <v>5.008</v>
      </c>
      <c r="K81" s="10">
        <f>CHOOSE(CONTROL!$C$42, 5.0279, 5.0279) * CHOOSE(CONTROL!$C$21, $C$9, 100%, $E$9)</f>
        <v>5.0278999999999998</v>
      </c>
      <c r="L81" s="10">
        <f>CHOOSE(CONTROL!$C$42, 5.8431, 5.8431) * CHOOSE(CONTROL!$C$21, $C$9, 100%, $E$9)</f>
        <v>5.8430999999999997</v>
      </c>
      <c r="M81" s="10">
        <f>CHOOSE(CONTROL!$C$42, 4.9713, 4.9713) * CHOOSE(CONTROL!$C$21, $C$9, 100%, $E$9)</f>
        <v>4.9713000000000003</v>
      </c>
      <c r="N81" s="10">
        <f>CHOOSE(CONTROL!$C$42, 4.9877, 4.9877) * CHOOSE(CONTROL!$C$21, $C$9, 100%, $E$9)</f>
        <v>4.9877000000000002</v>
      </c>
      <c r="O81" s="10">
        <f>CHOOSE(CONTROL!$C$42, 5.2169, 5.2169) * CHOOSE(CONTROL!$C$21, $C$9, 100%, $E$9)</f>
        <v>5.2168999999999999</v>
      </c>
      <c r="P81" s="10">
        <f>CHOOSE(CONTROL!$C$42, 4.9991, 4.9991) * CHOOSE(CONTROL!$C$21, $C$9, 100%, $E$9)</f>
        <v>4.9991000000000003</v>
      </c>
      <c r="Q81" s="10">
        <f>CHOOSE(CONTROL!$C$42, 5.8122, 5.8122) * CHOOSE(CONTROL!$C$21, $C$9, 100%, $E$9)</f>
        <v>5.8121999999999998</v>
      </c>
      <c r="R81" s="10">
        <f>CHOOSE(CONTROL!$C$42, 6.4137, 6.4137) * CHOOSE(CONTROL!$C$21, $C$9, 100%, $E$9)</f>
        <v>6.4137000000000004</v>
      </c>
      <c r="S81" s="10">
        <f>CHOOSE(CONTROL!$C$42, 4.9012, 4.9012) * CHOOSE(CONTROL!$C$21, $C$9, 100%, $E$9)</f>
        <v>4.9012000000000002</v>
      </c>
      <c r="T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38">
        <f>(1000*CHOOSE(CONTROL!$C$42, 695, 695)*CHOOSE(CONTROL!$C$42, 0.5599, 0.5599)*CHOOSE(CONTROL!$C$42, 30, 30))/1000000</f>
        <v>11.673914999999997</v>
      </c>
      <c r="V81" s="38">
        <f>(1000*CHOOSE(CONTROL!$C$42, 500, 500)*CHOOSE(CONTROL!$C$42, 0.275, 0.275)*CHOOSE(CONTROL!$C$42, 30, 30))/1000000</f>
        <v>4.125</v>
      </c>
      <c r="W81" s="38">
        <f>(1000*CHOOSE(CONTROL!$C$42, 0.1146, 0.1146)*CHOOSE(CONTROL!$C$42, 121.5, 121.5)*CHOOSE(CONTROL!$C$42, 30, 30))/1000000</f>
        <v>0.417717</v>
      </c>
      <c r="X81" s="38">
        <f>(30*0.1790888*245000/1000000)+(30*0.2374*100000/1000000)</f>
        <v>2.0285026799999999</v>
      </c>
      <c r="Y81" s="38">
        <f>(1000*400*CHOOSE(CONTROL!$C$42, 1.988, 1.988)*CHOOSE(CONTROL!$C$42, 30, 30))/1000000</f>
        <v>23.856000000000002</v>
      </c>
      <c r="Z81" s="38"/>
      <c r="AA81" s="10"/>
      <c r="AB81" s="39"/>
      <c r="AC81" s="33">
        <f>(B81*194.205+C81*267.466+D81*133.845+E81*53.484+F81*40+G81*185+H81*0+I81*100+J81*300)/(194.205+267.466+133.845+53.484+0+40+185+100+300)</f>
        <v>5.0661094303767662</v>
      </c>
      <c r="AD81" s="27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5.0479848920863315</v>
      </c>
    </row>
    <row r="82" spans="1:30" ht="15" x14ac:dyDescent="0.2">
      <c r="A82" s="16">
        <v>43739</v>
      </c>
      <c r="B82" s="10">
        <f>CHOOSE(CONTROL!$C$42, 4.9468, 4.9468) * CHOOSE(CONTROL!$C$21, $C$9, 100%, $E$9)</f>
        <v>4.9467999999999996</v>
      </c>
      <c r="C82" s="10">
        <f>CHOOSE(CONTROL!$C$42, 4.952, 4.952) * CHOOSE(CONTROL!$C$21, $C$9, 100%, $E$9)</f>
        <v>4.952</v>
      </c>
      <c r="D82" s="10">
        <f>CHOOSE(CONTROL!$C$42, 5.134, 5.134) * CHOOSE(CONTROL!$C$21, $C$9, 100%, $E$9)</f>
        <v>5.1340000000000003</v>
      </c>
      <c r="E82" s="10">
        <f>CHOOSE(CONTROL!$C$42, 5.1628, 5.1628) * CHOOSE(CONTROL!$C$21, $C$9, 100%, $E$9)</f>
        <v>5.1627999999999998</v>
      </c>
      <c r="F82" s="10">
        <f>CHOOSE(CONTROL!$C$42, 4.9124, 4.9124)*CHOOSE(CONTROL!$C$21, $C$9, 100%, $E$9)</f>
        <v>4.9123999999999999</v>
      </c>
      <c r="G82" s="10">
        <f>CHOOSE(CONTROL!$C$42, 4.9287, 4.9287)*CHOOSE(CONTROL!$C$21, $C$9, 100%, $E$9)</f>
        <v>4.9287000000000001</v>
      </c>
      <c r="H82" s="10">
        <f>CHOOSE(CONTROL!$C$42, 5.1533, 5.1533) * CHOOSE(CONTROL!$C$21, $C$9, 100%, $E$9)</f>
        <v>5.1532999999999998</v>
      </c>
      <c r="I82" s="10">
        <f>CHOOSE(CONTROL!$C$42, 4.9332, 4.9332)* CHOOSE(CONTROL!$C$21, $C$9, 100%, $E$9)</f>
        <v>4.9332000000000003</v>
      </c>
      <c r="J82" s="10">
        <f>CHOOSE(CONTROL!$C$42, 4.9054, 4.9054)* CHOOSE(CONTROL!$C$21, $C$9, 100%, $E$9)</f>
        <v>4.9054000000000002</v>
      </c>
      <c r="K82" s="10">
        <f>CHOOSE(CONTROL!$C$42, 4.9285, 4.9285) * CHOOSE(CONTROL!$C$21, $C$9, 100%, $E$9)</f>
        <v>4.9284999999999997</v>
      </c>
      <c r="L82" s="10">
        <f>CHOOSE(CONTROL!$C$42, 5.7403, 5.7403) * CHOOSE(CONTROL!$C$21, $C$9, 100%, $E$9)</f>
        <v>5.7403000000000004</v>
      </c>
      <c r="M82" s="10">
        <f>CHOOSE(CONTROL!$C$42, 4.8697, 4.8697) * CHOOSE(CONTROL!$C$21, $C$9, 100%, $E$9)</f>
        <v>4.8696999999999999</v>
      </c>
      <c r="N82" s="10">
        <f>CHOOSE(CONTROL!$C$42, 4.8858, 4.8858) * CHOOSE(CONTROL!$C$21, $C$9, 100%, $E$9)</f>
        <v>4.8857999999999997</v>
      </c>
      <c r="O82" s="10">
        <f>CHOOSE(CONTROL!$C$42, 5.1151, 5.1151) * CHOOSE(CONTROL!$C$21, $C$9, 100%, $E$9)</f>
        <v>5.1151</v>
      </c>
      <c r="P82" s="10">
        <f>CHOOSE(CONTROL!$C$42, 4.8973, 4.8973) * CHOOSE(CONTROL!$C$21, $C$9, 100%, $E$9)</f>
        <v>4.8973000000000004</v>
      </c>
      <c r="Q82" s="10">
        <f>CHOOSE(CONTROL!$C$42, 5.7104, 5.7104) * CHOOSE(CONTROL!$C$21, $C$9, 100%, $E$9)</f>
        <v>5.7103999999999999</v>
      </c>
      <c r="R82" s="10">
        <f>CHOOSE(CONTROL!$C$42, 6.3117, 6.3117) * CHOOSE(CONTROL!$C$21, $C$9, 100%, $E$9)</f>
        <v>6.3117000000000001</v>
      </c>
      <c r="S82" s="10">
        <f>CHOOSE(CONTROL!$C$42, 4.8013, 4.8013) * CHOOSE(CONTROL!$C$21, $C$9, 100%, $E$9)</f>
        <v>4.8013000000000003</v>
      </c>
      <c r="T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38">
        <f>(1000*CHOOSE(CONTROL!$C$42, 695, 695)*CHOOSE(CONTROL!$C$42, 0.5599, 0.5599)*CHOOSE(CONTROL!$C$42, 31, 31))/1000000</f>
        <v>12.063045499999998</v>
      </c>
      <c r="V82" s="38">
        <f>(1000*CHOOSE(CONTROL!$C$42, 500, 500)*CHOOSE(CONTROL!$C$42, 0.275, 0.275)*CHOOSE(CONTROL!$C$42, 31, 31))/1000000</f>
        <v>4.2625000000000002</v>
      </c>
      <c r="W82" s="38">
        <f>(1000*CHOOSE(CONTROL!$C$42, 0.1146, 0.1146)*CHOOSE(CONTROL!$C$42, 121.5, 121.5)*CHOOSE(CONTROL!$C$42, 31, 31))/1000000</f>
        <v>0.43164089999999994</v>
      </c>
      <c r="X82" s="38">
        <f>(31*0.1790888*245000/1000000)+(31*0.2374*100000/1000000)</f>
        <v>2.0961194359999999</v>
      </c>
      <c r="Y82" s="38">
        <f>(1000*400*CHOOSE(CONTROL!$C$42, 1.988, 1.988)*CHOOSE(CONTROL!$C$42, 31, 31))/1000000</f>
        <v>24.651199999999999</v>
      </c>
      <c r="Z82" s="38"/>
      <c r="AA82" s="10"/>
      <c r="AB82" s="39"/>
      <c r="AC82" s="33">
        <f>(B82*131.881+C82*277.167+D82*79.08+E82*125.872+F82*40+G82*185+H82*0+I82*100+J82*300)/(131.881+277.167+79.08+125.872+0+40+185+100+300)</f>
        <v>4.9669201746569804</v>
      </c>
      <c r="AD82" s="27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4.9462309352517986</v>
      </c>
    </row>
    <row r="83" spans="1:30" ht="15" x14ac:dyDescent="0.2">
      <c r="A83" s="16">
        <v>43770</v>
      </c>
      <c r="B83" s="10">
        <f>CHOOSE(CONTROL!$C$42, 5.0766, 5.0766) * CHOOSE(CONTROL!$C$21, $C$9, 100%, $E$9)</f>
        <v>5.0766</v>
      </c>
      <c r="C83" s="10">
        <f>CHOOSE(CONTROL!$C$42, 5.0816, 5.0816) * CHOOSE(CONTROL!$C$21, $C$9, 100%, $E$9)</f>
        <v>5.0815999999999999</v>
      </c>
      <c r="D83" s="10">
        <f>CHOOSE(CONTROL!$C$42, 5.106, 5.106) * CHOOSE(CONTROL!$C$21, $C$9, 100%, $E$9)</f>
        <v>5.1059999999999999</v>
      </c>
      <c r="E83" s="10">
        <f>CHOOSE(CONTROL!$C$42, 5.1398, 5.1398) * CHOOSE(CONTROL!$C$21, $C$9, 100%, $E$9)</f>
        <v>5.1398000000000001</v>
      </c>
      <c r="F83" s="10">
        <f>CHOOSE(CONTROL!$C$42, 5.046, 5.046)*CHOOSE(CONTROL!$C$21, $C$9, 100%, $E$9)</f>
        <v>5.0460000000000003</v>
      </c>
      <c r="G83" s="10">
        <f>CHOOSE(CONTROL!$C$42, 5.0624, 5.0624)*CHOOSE(CONTROL!$C$21, $C$9, 100%, $E$9)</f>
        <v>5.0624000000000002</v>
      </c>
      <c r="H83" s="10">
        <f>CHOOSE(CONTROL!$C$42, 5.129, 5.129) * CHOOSE(CONTROL!$C$21, $C$9, 100%, $E$9)</f>
        <v>5.1289999999999996</v>
      </c>
      <c r="I83" s="10">
        <f>CHOOSE(CONTROL!$C$42, 5.0634, 5.0634)* CHOOSE(CONTROL!$C$21, $C$9, 100%, $E$9)</f>
        <v>5.0633999999999997</v>
      </c>
      <c r="J83" s="10">
        <f>CHOOSE(CONTROL!$C$42, 5.039, 5.039)* CHOOSE(CONTROL!$C$21, $C$9, 100%, $E$9)</f>
        <v>5.0389999999999997</v>
      </c>
      <c r="K83" s="10">
        <f>CHOOSE(CONTROL!$C$42, 5.0566, 5.0566) * CHOOSE(CONTROL!$C$21, $C$9, 100%, $E$9)</f>
        <v>5.0566000000000004</v>
      </c>
      <c r="L83" s="10">
        <f>CHOOSE(CONTROL!$C$42, 5.716, 5.716) * CHOOSE(CONTROL!$C$21, $C$9, 100%, $E$9)</f>
        <v>5.7160000000000002</v>
      </c>
      <c r="M83" s="10">
        <f>CHOOSE(CONTROL!$C$42, 5.0019, 5.0019) * CHOOSE(CONTROL!$C$21, $C$9, 100%, $E$9)</f>
        <v>5.0019</v>
      </c>
      <c r="N83" s="10">
        <f>CHOOSE(CONTROL!$C$42, 5.0182, 5.0182) * CHOOSE(CONTROL!$C$21, $C$9, 100%, $E$9)</f>
        <v>5.0182000000000002</v>
      </c>
      <c r="O83" s="10">
        <f>CHOOSE(CONTROL!$C$42, 5.0911, 5.0911) * CHOOSE(CONTROL!$C$21, $C$9, 100%, $E$9)</f>
        <v>5.0911</v>
      </c>
      <c r="P83" s="10">
        <f>CHOOSE(CONTROL!$C$42, 5.0262, 5.0262) * CHOOSE(CONTROL!$C$21, $C$9, 100%, $E$9)</f>
        <v>5.0262000000000002</v>
      </c>
      <c r="Q83" s="10">
        <f>CHOOSE(CONTROL!$C$42, 5.6864, 5.6864) * CHOOSE(CONTROL!$C$21, $C$9, 100%, $E$9)</f>
        <v>5.6863999999999999</v>
      </c>
      <c r="R83" s="10">
        <f>CHOOSE(CONTROL!$C$42, 6.2876, 6.2876) * CHOOSE(CONTROL!$C$21, $C$9, 100%, $E$9)</f>
        <v>6.2876000000000003</v>
      </c>
      <c r="S83" s="10">
        <f>CHOOSE(CONTROL!$C$42, 4.9278, 4.9278) * CHOOSE(CONTROL!$C$21, $C$9, 100%, $E$9)</f>
        <v>4.9278000000000004</v>
      </c>
      <c r="T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38">
        <f>(1000*CHOOSE(CONTROL!$C$42, 695, 695)*CHOOSE(CONTROL!$C$42, 0.5599, 0.5599)*CHOOSE(CONTROL!$C$42, 30, 30))/1000000</f>
        <v>11.673914999999997</v>
      </c>
      <c r="V83" s="38">
        <f>(1000*CHOOSE(CONTROL!$C$42, 500, 500)*CHOOSE(CONTROL!$C$42, 0.275, 0.275)*CHOOSE(CONTROL!$C$42, 30, 30))/1000000</f>
        <v>4.125</v>
      </c>
      <c r="W83" s="38">
        <f>(1000*CHOOSE(CONTROL!$C$42, 0.1146, 0.1146)*CHOOSE(CONTROL!$C$42, 121.5, 121.5)*CHOOSE(CONTROL!$C$42, 30, 30))/1000000</f>
        <v>0.417717</v>
      </c>
      <c r="X83" s="38">
        <f>(30*0.1790888*100000/1000000)+(30*0.2374*100000/1000000)</f>
        <v>1.2494664</v>
      </c>
      <c r="Y83" s="38">
        <f>(1000*400*CHOOSE(CONTROL!$C$42, 1.988, 1.988)*CHOOSE(CONTROL!$C$42, 30, 30))/1000000</f>
        <v>23.856000000000002</v>
      </c>
      <c r="Z83" s="38"/>
      <c r="AA83" s="10"/>
      <c r="AB83" s="39"/>
      <c r="AC83" s="33">
        <f>(B83*122.58+C83*297.941+D83*89.177+E83*40.302+F83*40+G83*160+H83*0+I83*100+J83*300)/(122.58+297.941+89.177+40.302+0+40+160+100+300)</f>
        <v>5.0683935610434778</v>
      </c>
      <c r="AD83" s="27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5.0467633093525182</v>
      </c>
    </row>
    <row r="84" spans="1:30" ht="15" x14ac:dyDescent="0.2">
      <c r="A84" s="16">
        <v>43800</v>
      </c>
      <c r="B84" s="10">
        <f>CHOOSE(CONTROL!$C$42, 5.4226, 5.4226) * CHOOSE(CONTROL!$C$21, $C$9, 100%, $E$9)</f>
        <v>5.4226000000000001</v>
      </c>
      <c r="C84" s="10">
        <f>CHOOSE(CONTROL!$C$42, 5.4275, 5.4275) * CHOOSE(CONTROL!$C$21, $C$9, 100%, $E$9)</f>
        <v>5.4275000000000002</v>
      </c>
      <c r="D84" s="10">
        <f>CHOOSE(CONTROL!$C$42, 5.452, 5.452) * CHOOSE(CONTROL!$C$21, $C$9, 100%, $E$9)</f>
        <v>5.452</v>
      </c>
      <c r="E84" s="10">
        <f>CHOOSE(CONTROL!$C$42, 5.4857, 5.4857) * CHOOSE(CONTROL!$C$21, $C$9, 100%, $E$9)</f>
        <v>5.4856999999999996</v>
      </c>
      <c r="F84" s="10">
        <f>CHOOSE(CONTROL!$C$42, 5.3942, 5.3942)*CHOOSE(CONTROL!$C$21, $C$9, 100%, $E$9)</f>
        <v>5.3941999999999997</v>
      </c>
      <c r="G84" s="10">
        <f>CHOOSE(CONTROL!$C$42, 5.4112, 5.4112)*CHOOSE(CONTROL!$C$21, $C$9, 100%, $E$9)</f>
        <v>5.4112</v>
      </c>
      <c r="H84" s="10">
        <f>CHOOSE(CONTROL!$C$42, 5.4749, 5.4749) * CHOOSE(CONTROL!$C$21, $C$9, 100%, $E$9)</f>
        <v>5.4748999999999999</v>
      </c>
      <c r="I84" s="10">
        <f>CHOOSE(CONTROL!$C$42, 5.4093, 5.4093)* CHOOSE(CONTROL!$C$21, $C$9, 100%, $E$9)</f>
        <v>5.4093</v>
      </c>
      <c r="J84" s="10">
        <f>CHOOSE(CONTROL!$C$42, 5.3872, 5.3872)* CHOOSE(CONTROL!$C$21, $C$9, 100%, $E$9)</f>
        <v>5.3872</v>
      </c>
      <c r="K84" s="10">
        <f>CHOOSE(CONTROL!$C$42, 5.3977, 5.3977) * CHOOSE(CONTROL!$C$21, $C$9, 100%, $E$9)</f>
        <v>5.3977000000000004</v>
      </c>
      <c r="L84" s="10">
        <f>CHOOSE(CONTROL!$C$42, 6.0619, 6.0619) * CHOOSE(CONTROL!$C$21, $C$9, 100%, $E$9)</f>
        <v>6.0618999999999996</v>
      </c>
      <c r="M84" s="10">
        <f>CHOOSE(CONTROL!$C$42, 5.3466, 5.3466) * CHOOSE(CONTROL!$C$21, $C$9, 100%, $E$9)</f>
        <v>5.3465999999999996</v>
      </c>
      <c r="N84" s="10">
        <f>CHOOSE(CONTROL!$C$42, 5.3635, 5.3635) * CHOOSE(CONTROL!$C$21, $C$9, 100%, $E$9)</f>
        <v>5.3635000000000002</v>
      </c>
      <c r="O84" s="10">
        <f>CHOOSE(CONTROL!$C$42, 5.4335, 5.4335) * CHOOSE(CONTROL!$C$21, $C$9, 100%, $E$9)</f>
        <v>5.4335000000000004</v>
      </c>
      <c r="P84" s="10">
        <f>CHOOSE(CONTROL!$C$42, 5.3686, 5.3686) * CHOOSE(CONTROL!$C$21, $C$9, 100%, $E$9)</f>
        <v>5.3685999999999998</v>
      </c>
      <c r="Q84" s="10">
        <f>CHOOSE(CONTROL!$C$42, 6.0288, 6.0288) * CHOOSE(CONTROL!$C$21, $C$9, 100%, $E$9)</f>
        <v>6.0288000000000004</v>
      </c>
      <c r="R84" s="10">
        <f>CHOOSE(CONTROL!$C$42, 6.6309, 6.6309) * CHOOSE(CONTROL!$C$21, $C$9, 100%, $E$9)</f>
        <v>6.6308999999999996</v>
      </c>
      <c r="S84" s="10">
        <f>CHOOSE(CONTROL!$C$42, 5.2637, 5.2637) * CHOOSE(CONTROL!$C$21, $C$9, 100%, $E$9)</f>
        <v>5.2637</v>
      </c>
      <c r="T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38">
        <f>(1000*CHOOSE(CONTROL!$C$42, 695, 695)*CHOOSE(CONTROL!$C$42, 0.5599, 0.5599)*CHOOSE(CONTROL!$C$42, 31, 31))/1000000</f>
        <v>12.063045499999998</v>
      </c>
      <c r="V84" s="38">
        <f>(1000*CHOOSE(CONTROL!$C$42, 500, 500)*CHOOSE(CONTROL!$C$42, 0.275, 0.275)*CHOOSE(CONTROL!$C$42, 31, 31))/1000000</f>
        <v>4.2625000000000002</v>
      </c>
      <c r="W84" s="38">
        <f>(1000*CHOOSE(CONTROL!$C$42, 0.1146, 0.1146)*CHOOSE(CONTROL!$C$42, 121.5, 121.5)*CHOOSE(CONTROL!$C$42, 31, 31))/1000000</f>
        <v>0.43164089999999994</v>
      </c>
      <c r="X84" s="38">
        <f>(31*0.1790888*100000/1000000)+(31*0.2374*100000/1000000)</f>
        <v>1.2911152800000001</v>
      </c>
      <c r="Y84" s="38">
        <f>(1000*400*CHOOSE(CONTROL!$C$42, 1.988, 1.988)*CHOOSE(CONTROL!$C$42, 31, 31))/1000000</f>
        <v>24.651199999999999</v>
      </c>
      <c r="Z84" s="38"/>
      <c r="AA84" s="10"/>
      <c r="AB84" s="39"/>
      <c r="AC84" s="33">
        <f>(B84*122.58+C84*297.941+D84*89.177+E84*40.302+F84*40+G84*160+H84*0+I84*100+J84*300)/(122.58+297.941+89.177+40.302+0+40+160+100+300)</f>
        <v>5.4153954529565214</v>
      </c>
      <c r="AD84" s="27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5.3901244604316547</v>
      </c>
    </row>
    <row r="85" spans="1:30" ht="15" x14ac:dyDescent="0.2">
      <c r="A85" s="16">
        <v>43831</v>
      </c>
      <c r="B85" s="10">
        <f>CHOOSE(CONTROL!$C$42, 5.8125, 5.8125) * CHOOSE(CONTROL!$C$21, $C$9, 100%, $E$9)</f>
        <v>5.8125</v>
      </c>
      <c r="C85" s="10">
        <f>CHOOSE(CONTROL!$C$42, 5.8174, 5.8174) * CHOOSE(CONTROL!$C$21, $C$9, 100%, $E$9)</f>
        <v>5.8174000000000001</v>
      </c>
      <c r="D85" s="10">
        <f>CHOOSE(CONTROL!$C$42, 5.8419, 5.8419) * CHOOSE(CONTROL!$C$21, $C$9, 100%, $E$9)</f>
        <v>5.8418999999999999</v>
      </c>
      <c r="E85" s="10">
        <f>CHOOSE(CONTROL!$C$42, 5.8757, 5.8757) * CHOOSE(CONTROL!$C$21, $C$9, 100%, $E$9)</f>
        <v>5.8757000000000001</v>
      </c>
      <c r="F85" s="10">
        <f>CHOOSE(CONTROL!$C$42, 5.7954, 5.7954)*CHOOSE(CONTROL!$C$21, $C$9, 100%, $E$9)</f>
        <v>5.7953999999999999</v>
      </c>
      <c r="G85" s="10">
        <f>CHOOSE(CONTROL!$C$42, 5.8141, 5.8141)*CHOOSE(CONTROL!$C$21, $C$9, 100%, $E$9)</f>
        <v>5.8140999999999998</v>
      </c>
      <c r="H85" s="10">
        <f>CHOOSE(CONTROL!$C$42, 5.8649, 5.8649) * CHOOSE(CONTROL!$C$21, $C$9, 100%, $E$9)</f>
        <v>5.8648999999999996</v>
      </c>
      <c r="I85" s="10">
        <f>CHOOSE(CONTROL!$C$42, 5.807, 5.807)* CHOOSE(CONTROL!$C$21, $C$9, 100%, $E$9)</f>
        <v>5.8070000000000004</v>
      </c>
      <c r="J85" s="10">
        <f>CHOOSE(CONTROL!$C$42, 5.7884, 5.7884)* CHOOSE(CONTROL!$C$21, $C$9, 100%, $E$9)</f>
        <v>5.7884000000000002</v>
      </c>
      <c r="K85" s="10">
        <f>CHOOSE(CONTROL!$C$42, 5.7975, 5.7975) * CHOOSE(CONTROL!$C$21, $C$9, 100%, $E$9)</f>
        <v>5.7975000000000003</v>
      </c>
      <c r="L85" s="10">
        <f>CHOOSE(CONTROL!$C$42, 6.4519, 6.4519) * CHOOSE(CONTROL!$C$21, $C$9, 100%, $E$9)</f>
        <v>6.4519000000000002</v>
      </c>
      <c r="M85" s="10">
        <f>CHOOSE(CONTROL!$C$42, 5.7438, 5.7438) * CHOOSE(CONTROL!$C$21, $C$9, 100%, $E$9)</f>
        <v>5.7438000000000002</v>
      </c>
      <c r="N85" s="10">
        <f>CHOOSE(CONTROL!$C$42, 5.7623, 5.7623) * CHOOSE(CONTROL!$C$21, $C$9, 100%, $E$9)</f>
        <v>5.7622999999999998</v>
      </c>
      <c r="O85" s="10">
        <f>CHOOSE(CONTROL!$C$42, 5.8195, 5.8195) * CHOOSE(CONTROL!$C$21, $C$9, 100%, $E$9)</f>
        <v>5.8194999999999997</v>
      </c>
      <c r="P85" s="10">
        <f>CHOOSE(CONTROL!$C$42, 5.7622, 5.7622) * CHOOSE(CONTROL!$C$21, $C$9, 100%, $E$9)</f>
        <v>5.7622</v>
      </c>
      <c r="Q85" s="10">
        <f>CHOOSE(CONTROL!$C$42, 6.4148, 6.4148) * CHOOSE(CONTROL!$C$21, $C$9, 100%, $E$9)</f>
        <v>6.4147999999999996</v>
      </c>
      <c r="R85" s="10">
        <f>CHOOSE(CONTROL!$C$42, 7.0179, 7.0179) * CHOOSE(CONTROL!$C$21, $C$9, 100%, $E$9)</f>
        <v>7.0179</v>
      </c>
      <c r="S85" s="10">
        <f>CHOOSE(CONTROL!$C$42, 5.6424, 5.6424) * CHOOSE(CONTROL!$C$21, $C$9, 100%, $E$9)</f>
        <v>5.6424000000000003</v>
      </c>
      <c r="T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38">
        <f>(1000*CHOOSE(CONTROL!$C$42, 695, 695)*CHOOSE(CONTROL!$C$42, 0.5599, 0.5599)*CHOOSE(CONTROL!$C$42, 31, 31))/1000000</f>
        <v>12.063045499999998</v>
      </c>
      <c r="V85" s="38">
        <f>(1000*CHOOSE(CONTROL!$C$42, 500, 500)*CHOOSE(CONTROL!$C$42, 0.275, 0.275)*CHOOSE(CONTROL!$C$42, 31, 31))/1000000</f>
        <v>4.2625000000000002</v>
      </c>
      <c r="W85" s="38">
        <f>(1000*CHOOSE(CONTROL!$C$42, 0.1146, 0.1146)*CHOOSE(CONTROL!$C$42, 121.5, 121.5)*CHOOSE(CONTROL!$C$42, 31, 31))/1000000</f>
        <v>0.43164089999999994</v>
      </c>
      <c r="X85" s="38">
        <f>(31*0.1790888*100000/1000000)+(31*0.2374*100000/1000000)</f>
        <v>1.2911152800000001</v>
      </c>
      <c r="Y85" s="38">
        <f>(1000*400*CHOOSE(CONTROL!$C$42, 1.7863, 1.7863)*CHOOSE(CONTROL!$C$42, 31, 31))/1000000</f>
        <v>22.150120000000001</v>
      </c>
      <c r="Z85" s="38"/>
      <c r="AA85" s="10"/>
      <c r="AB85" s="39"/>
      <c r="AC85" s="33">
        <f>(B85*122.58+C85*297.941+D85*89.177+E85*40.302+F85*40+G85*160+H85*0+I85*100+J85*300)/(122.58+297.941+89.177+40.302+0+40+160+100+300)</f>
        <v>5.8111267835652169</v>
      </c>
      <c r="AD85" s="27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5.7818223021582735</v>
      </c>
    </row>
    <row r="86" spans="1:30" ht="15" x14ac:dyDescent="0.2">
      <c r="A86" s="16">
        <v>43862</v>
      </c>
      <c r="B86" s="10">
        <f>CHOOSE(CONTROL!$C$42, 5.9159, 5.9159) * CHOOSE(CONTROL!$C$21, $C$9, 100%, $E$9)</f>
        <v>5.9158999999999997</v>
      </c>
      <c r="C86" s="10">
        <f>CHOOSE(CONTROL!$C$42, 5.9209, 5.9209) * CHOOSE(CONTROL!$C$21, $C$9, 100%, $E$9)</f>
        <v>5.9208999999999996</v>
      </c>
      <c r="D86" s="10">
        <f>CHOOSE(CONTROL!$C$42, 5.9453, 5.9453) * CHOOSE(CONTROL!$C$21, $C$9, 100%, $E$9)</f>
        <v>5.9452999999999996</v>
      </c>
      <c r="E86" s="10">
        <f>CHOOSE(CONTROL!$C$42, 5.9791, 5.9791) * CHOOSE(CONTROL!$C$21, $C$9, 100%, $E$9)</f>
        <v>5.9790999999999999</v>
      </c>
      <c r="F86" s="10">
        <f>CHOOSE(CONTROL!$C$42, 5.8982, 5.8982)*CHOOSE(CONTROL!$C$21, $C$9, 100%, $E$9)</f>
        <v>5.8982000000000001</v>
      </c>
      <c r="G86" s="10">
        <f>CHOOSE(CONTROL!$C$42, 5.9166, 5.9166)*CHOOSE(CONTROL!$C$21, $C$9, 100%, $E$9)</f>
        <v>5.9165999999999999</v>
      </c>
      <c r="H86" s="10">
        <f>CHOOSE(CONTROL!$C$42, 5.9683, 5.9683) * CHOOSE(CONTROL!$C$21, $C$9, 100%, $E$9)</f>
        <v>5.9683000000000002</v>
      </c>
      <c r="I86" s="10">
        <f>CHOOSE(CONTROL!$C$42, 5.9104, 5.9104)* CHOOSE(CONTROL!$C$21, $C$9, 100%, $E$9)</f>
        <v>5.9104000000000001</v>
      </c>
      <c r="J86" s="10">
        <f>CHOOSE(CONTROL!$C$42, 5.8912, 5.8912)* CHOOSE(CONTROL!$C$21, $C$9, 100%, $E$9)</f>
        <v>5.8912000000000004</v>
      </c>
      <c r="K86" s="10">
        <f>CHOOSE(CONTROL!$C$42, 5.8965, 5.8965) * CHOOSE(CONTROL!$C$21, $C$9, 100%, $E$9)</f>
        <v>5.8964999999999996</v>
      </c>
      <c r="L86" s="10">
        <f>CHOOSE(CONTROL!$C$42, 6.5553, 6.5553) * CHOOSE(CONTROL!$C$21, $C$9, 100%, $E$9)</f>
        <v>6.5552999999999999</v>
      </c>
      <c r="M86" s="10">
        <f>CHOOSE(CONTROL!$C$42, 5.8455, 5.8455) * CHOOSE(CONTROL!$C$21, $C$9, 100%, $E$9)</f>
        <v>5.8455000000000004</v>
      </c>
      <c r="N86" s="10">
        <f>CHOOSE(CONTROL!$C$42, 5.8638, 5.8638) * CHOOSE(CONTROL!$C$21, $C$9, 100%, $E$9)</f>
        <v>5.8638000000000003</v>
      </c>
      <c r="O86" s="10">
        <f>CHOOSE(CONTROL!$C$42, 5.9219, 5.9219) * CHOOSE(CONTROL!$C$21, $C$9, 100%, $E$9)</f>
        <v>5.9218999999999999</v>
      </c>
      <c r="P86" s="10">
        <f>CHOOSE(CONTROL!$C$42, 5.8646, 5.8646) * CHOOSE(CONTROL!$C$21, $C$9, 100%, $E$9)</f>
        <v>5.8646000000000003</v>
      </c>
      <c r="Q86" s="10">
        <f>CHOOSE(CONTROL!$C$42, 6.5172, 6.5172) * CHOOSE(CONTROL!$C$21, $C$9, 100%, $E$9)</f>
        <v>6.5171999999999999</v>
      </c>
      <c r="R86" s="10">
        <f>CHOOSE(CONTROL!$C$42, 7.1205, 7.1205) * CHOOSE(CONTROL!$C$21, $C$9, 100%, $E$9)</f>
        <v>7.1204999999999998</v>
      </c>
      <c r="S86" s="10">
        <f>CHOOSE(CONTROL!$C$42, 5.7428, 5.7428) * CHOOSE(CONTROL!$C$21, $C$9, 100%, $E$9)</f>
        <v>5.7427999999999999</v>
      </c>
      <c r="T8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" s="38">
        <f>(1000*CHOOSE(CONTROL!$C$42, 695, 695)*CHOOSE(CONTROL!$C$42, 0.5599, 0.5599)*CHOOSE(CONTROL!$C$42, 29, 29))/1000000</f>
        <v>11.284784499999999</v>
      </c>
      <c r="V86" s="38">
        <f>(1000*CHOOSE(CONTROL!$C$42, 500, 500)*CHOOSE(CONTROL!$C$42, 0.275, 0.275)*CHOOSE(CONTROL!$C$42, 29, 29))/1000000</f>
        <v>3.9874999999999998</v>
      </c>
      <c r="W86" s="38">
        <f>(1000*CHOOSE(CONTROL!$C$42, 0.1146, 0.1146)*CHOOSE(CONTROL!$C$42, 121.5, 121.5)*CHOOSE(CONTROL!$C$42, 29, 29))/1000000</f>
        <v>0.40379309999999996</v>
      </c>
      <c r="X86" s="38">
        <f>(29*0.1790888*100000/1000000)+(29*0.2374*100000/1000000)</f>
        <v>1.2078175199999999</v>
      </c>
      <c r="Y86" s="38">
        <f>(1000*400*CHOOSE(CONTROL!$C$42, 1.7863, 1.7863)*CHOOSE(CONTROL!$C$42, 29, 29))/1000000</f>
        <v>20.721080000000001</v>
      </c>
      <c r="Z86" s="38"/>
      <c r="AA86" s="10"/>
      <c r="AB86" s="39"/>
      <c r="AC86" s="33">
        <f>(B86*122.58+C86*297.941+D86*89.177+E86*40.302+F86*40+G86*160+H86*0+I86*100+J86*300)/(122.58+297.941+89.177+40.302+0+40+160+100+300)</f>
        <v>5.9142500827826083</v>
      </c>
      <c r="AD86" s="27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5.8839287769784177</v>
      </c>
    </row>
    <row r="87" spans="1:30" ht="15" x14ac:dyDescent="0.2">
      <c r="A87" s="16">
        <v>43891</v>
      </c>
      <c r="B87" s="10">
        <f>CHOOSE(CONTROL!$C$42, 5.748, 5.748) * CHOOSE(CONTROL!$C$21, $C$9, 100%, $E$9)</f>
        <v>5.7480000000000002</v>
      </c>
      <c r="C87" s="10">
        <f>CHOOSE(CONTROL!$C$42, 5.753, 5.753) * CHOOSE(CONTROL!$C$21, $C$9, 100%, $E$9)</f>
        <v>5.7530000000000001</v>
      </c>
      <c r="D87" s="10">
        <f>CHOOSE(CONTROL!$C$42, 5.7774, 5.7774) * CHOOSE(CONTROL!$C$21, $C$9, 100%, $E$9)</f>
        <v>5.7774000000000001</v>
      </c>
      <c r="E87" s="10">
        <f>CHOOSE(CONTROL!$C$42, 5.8112, 5.8112) * CHOOSE(CONTROL!$C$21, $C$9, 100%, $E$9)</f>
        <v>5.8112000000000004</v>
      </c>
      <c r="F87" s="10">
        <f>CHOOSE(CONTROL!$C$42, 5.7288, 5.7288)*CHOOSE(CONTROL!$C$21, $C$9, 100%, $E$9)</f>
        <v>5.7287999999999997</v>
      </c>
      <c r="G87" s="10">
        <f>CHOOSE(CONTROL!$C$42, 5.7468, 5.7468)*CHOOSE(CONTROL!$C$21, $C$9, 100%, $E$9)</f>
        <v>5.7468000000000004</v>
      </c>
      <c r="H87" s="10">
        <f>CHOOSE(CONTROL!$C$42, 5.8004, 5.8004) * CHOOSE(CONTROL!$C$21, $C$9, 100%, $E$9)</f>
        <v>5.8003999999999998</v>
      </c>
      <c r="I87" s="10">
        <f>CHOOSE(CONTROL!$C$42, 5.7425, 5.7425)* CHOOSE(CONTROL!$C$21, $C$9, 100%, $E$9)</f>
        <v>5.7424999999999997</v>
      </c>
      <c r="J87" s="10">
        <f>CHOOSE(CONTROL!$C$42, 5.7218, 5.7218)* CHOOSE(CONTROL!$C$21, $C$9, 100%, $E$9)</f>
        <v>5.7218</v>
      </c>
      <c r="K87" s="10">
        <f>CHOOSE(CONTROL!$C$42, 5.7301, 5.7301) * CHOOSE(CONTROL!$C$21, $C$9, 100%, $E$9)</f>
        <v>5.7301000000000002</v>
      </c>
      <c r="L87" s="10">
        <f>CHOOSE(CONTROL!$C$42, 6.3874, 6.3874) * CHOOSE(CONTROL!$C$21, $C$9, 100%, $E$9)</f>
        <v>6.3874000000000004</v>
      </c>
      <c r="M87" s="10">
        <f>CHOOSE(CONTROL!$C$42, 5.6778, 5.6778) * CHOOSE(CONTROL!$C$21, $C$9, 100%, $E$9)</f>
        <v>5.6778000000000004</v>
      </c>
      <c r="N87" s="10">
        <f>CHOOSE(CONTROL!$C$42, 5.6957, 5.6957) * CHOOSE(CONTROL!$C$21, $C$9, 100%, $E$9)</f>
        <v>5.6957000000000004</v>
      </c>
      <c r="O87" s="10">
        <f>CHOOSE(CONTROL!$C$42, 5.7557, 5.7557) * CHOOSE(CONTROL!$C$21, $C$9, 100%, $E$9)</f>
        <v>5.7557</v>
      </c>
      <c r="P87" s="10">
        <f>CHOOSE(CONTROL!$C$42, 5.6984, 5.6984) * CHOOSE(CONTROL!$C$21, $C$9, 100%, $E$9)</f>
        <v>5.6984000000000004</v>
      </c>
      <c r="Q87" s="10">
        <f>CHOOSE(CONTROL!$C$42, 6.351, 6.351) * CHOOSE(CONTROL!$C$21, $C$9, 100%, $E$9)</f>
        <v>6.351</v>
      </c>
      <c r="R87" s="10">
        <f>CHOOSE(CONTROL!$C$42, 6.9539, 6.9539) * CHOOSE(CONTROL!$C$21, $C$9, 100%, $E$9)</f>
        <v>6.9539</v>
      </c>
      <c r="S87" s="10">
        <f>CHOOSE(CONTROL!$C$42, 5.5798, 5.5798) * CHOOSE(CONTROL!$C$21, $C$9, 100%, $E$9)</f>
        <v>5.5797999999999996</v>
      </c>
      <c r="T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38">
        <f>(1000*CHOOSE(CONTROL!$C$42, 695, 695)*CHOOSE(CONTROL!$C$42, 0.5599, 0.5599)*CHOOSE(CONTROL!$C$42, 31, 31))/1000000</f>
        <v>12.063045499999998</v>
      </c>
      <c r="V87" s="38">
        <f>(1000*CHOOSE(CONTROL!$C$42, 500, 500)*CHOOSE(CONTROL!$C$42, 0.275, 0.275)*CHOOSE(CONTROL!$C$42, 31, 31))/1000000</f>
        <v>4.2625000000000002</v>
      </c>
      <c r="W87" s="38">
        <f>(1000*CHOOSE(CONTROL!$C$42, 0.1146, 0.1146)*CHOOSE(CONTROL!$C$42, 121.5, 121.5)*CHOOSE(CONTROL!$C$42, 31, 31))/1000000</f>
        <v>0.43164089999999994</v>
      </c>
      <c r="X87" s="38">
        <f>(31*0.1790888*100000/1000000)+(31*0.2374*100000/1000000)</f>
        <v>1.2911152800000001</v>
      </c>
      <c r="Y87" s="38">
        <f>(1000*400*CHOOSE(CONTROL!$C$42, 1.7863, 1.7863)*CHOOSE(CONTROL!$C$42, 31, 31))/1000000</f>
        <v>22.150120000000001</v>
      </c>
      <c r="Z87" s="38"/>
      <c r="AA87" s="10"/>
      <c r="AB87" s="39"/>
      <c r="AC87" s="33">
        <f>(B87*122.58+C87*297.941+D87*89.177+E87*40.302+F87*40+G87*160+H87*0+I87*100+J87*300)/(122.58+297.941+89.177+40.302+0+40+160+100+300)</f>
        <v>5.7456422566956524</v>
      </c>
      <c r="AD87" s="27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5.7171014388489212</v>
      </c>
    </row>
    <row r="88" spans="1:30" ht="15" x14ac:dyDescent="0.2">
      <c r="A88" s="16">
        <v>43922</v>
      </c>
      <c r="B88" s="10">
        <f>CHOOSE(CONTROL!$C$42, 5.7316, 5.7316) * CHOOSE(CONTROL!$C$21, $C$9, 100%, $E$9)</f>
        <v>5.7316000000000003</v>
      </c>
      <c r="C88" s="10">
        <f>CHOOSE(CONTROL!$C$42, 5.736, 5.736) * CHOOSE(CONTROL!$C$21, $C$9, 100%, $E$9)</f>
        <v>5.7359999999999998</v>
      </c>
      <c r="D88" s="10">
        <f>CHOOSE(CONTROL!$C$42, 5.9161, 5.9161) * CHOOSE(CONTROL!$C$21, $C$9, 100%, $E$9)</f>
        <v>5.9161000000000001</v>
      </c>
      <c r="E88" s="10">
        <f>CHOOSE(CONTROL!$C$42, 5.9479, 5.9479) * CHOOSE(CONTROL!$C$21, $C$9, 100%, $E$9)</f>
        <v>5.9478999999999997</v>
      </c>
      <c r="F88" s="10">
        <f>CHOOSE(CONTROL!$C$42, 5.6969, 5.6969)*CHOOSE(CONTROL!$C$21, $C$9, 100%, $E$9)</f>
        <v>5.6969000000000003</v>
      </c>
      <c r="G88" s="10">
        <f>CHOOSE(CONTROL!$C$42, 5.7132, 5.7132)*CHOOSE(CONTROL!$C$21, $C$9, 100%, $E$9)</f>
        <v>5.7131999999999996</v>
      </c>
      <c r="H88" s="10">
        <f>CHOOSE(CONTROL!$C$42, 5.9377, 5.9377) * CHOOSE(CONTROL!$C$21, $C$9, 100%, $E$9)</f>
        <v>5.9377000000000004</v>
      </c>
      <c r="I88" s="10">
        <f>CHOOSE(CONTROL!$C$42, 5.7176, 5.7176)* CHOOSE(CONTROL!$C$21, $C$9, 100%, $E$9)</f>
        <v>5.7176</v>
      </c>
      <c r="J88" s="10">
        <f>CHOOSE(CONTROL!$C$42, 5.6899, 5.6899)* CHOOSE(CONTROL!$C$21, $C$9, 100%, $E$9)</f>
        <v>5.6898999999999997</v>
      </c>
      <c r="K88" s="10">
        <f>CHOOSE(CONTROL!$C$42, 5.6908, 5.6908) * CHOOSE(CONTROL!$C$21, $C$9, 100%, $E$9)</f>
        <v>5.6908000000000003</v>
      </c>
      <c r="L88" s="10">
        <f>CHOOSE(CONTROL!$C$42, 6.5247, 6.5247) * CHOOSE(CONTROL!$C$21, $C$9, 100%, $E$9)</f>
        <v>6.5247000000000002</v>
      </c>
      <c r="M88" s="10">
        <f>CHOOSE(CONTROL!$C$42, 5.6463, 5.6463) * CHOOSE(CONTROL!$C$21, $C$9, 100%, $E$9)</f>
        <v>5.6463000000000001</v>
      </c>
      <c r="N88" s="10">
        <f>CHOOSE(CONTROL!$C$42, 5.6624, 5.6624) * CHOOSE(CONTROL!$C$21, $C$9, 100%, $E$9)</f>
        <v>5.6623999999999999</v>
      </c>
      <c r="O88" s="10">
        <f>CHOOSE(CONTROL!$C$42, 5.8916, 5.8916) * CHOOSE(CONTROL!$C$21, $C$9, 100%, $E$9)</f>
        <v>5.8916000000000004</v>
      </c>
      <c r="P88" s="10">
        <f>CHOOSE(CONTROL!$C$42, 5.6738, 5.6738) * CHOOSE(CONTROL!$C$21, $C$9, 100%, $E$9)</f>
        <v>5.6738</v>
      </c>
      <c r="Q88" s="10">
        <f>CHOOSE(CONTROL!$C$42, 6.4869, 6.4869) * CHOOSE(CONTROL!$C$21, $C$9, 100%, $E$9)</f>
        <v>6.4869000000000003</v>
      </c>
      <c r="R88" s="10">
        <f>CHOOSE(CONTROL!$C$42, 7.0901, 7.0901) * CHOOSE(CONTROL!$C$21, $C$9, 100%, $E$9)</f>
        <v>7.0900999999999996</v>
      </c>
      <c r="S88" s="10">
        <f>CHOOSE(CONTROL!$C$42, 5.5631, 5.5631) * CHOOSE(CONTROL!$C$21, $C$9, 100%, $E$9)</f>
        <v>5.5631000000000004</v>
      </c>
      <c r="T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38">
        <f>(1000*CHOOSE(CONTROL!$C$42, 695, 695)*CHOOSE(CONTROL!$C$42, 0.5599, 0.5599)*CHOOSE(CONTROL!$C$42, 30, 30))/1000000</f>
        <v>11.673914999999997</v>
      </c>
      <c r="V88" s="38">
        <f>(1000*CHOOSE(CONTROL!$C$42, 500, 500)*CHOOSE(CONTROL!$C$42, 0.275, 0.275)*CHOOSE(CONTROL!$C$42, 30, 30))/1000000</f>
        <v>4.125</v>
      </c>
      <c r="W88" s="38">
        <f>(1000*CHOOSE(CONTROL!$C$42, 0.1146, 0.1146)*CHOOSE(CONTROL!$C$42, 121.5, 121.5)*CHOOSE(CONTROL!$C$42, 30, 30))/1000000</f>
        <v>0.417717</v>
      </c>
      <c r="X88" s="38">
        <f>(30*0.1790888*245000/1000000)+(30*0.2374*100000/1000000)</f>
        <v>2.0285026799999999</v>
      </c>
      <c r="Y88" s="38">
        <f>(1000*400*CHOOSE(CONTROL!$C$42, 1.7863, 1.7863)*CHOOSE(CONTROL!$C$42, 30, 30))/1000000</f>
        <v>21.435600000000001</v>
      </c>
      <c r="Z88" s="38"/>
      <c r="AA88" s="10"/>
      <c r="AB88" s="39"/>
      <c r="AC88" s="33">
        <f>(B88*141.293+C88*267.993+D88*115.016+E88*89.698+F88*40+G88*185+H88*0+I88*100+J88*300)/(141.293+267.993+115.016+89.698+0+40+185+100+300)</f>
        <v>5.750243501694916</v>
      </c>
      <c r="AD88" s="27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5.7227884892086331</v>
      </c>
    </row>
    <row r="89" spans="1:30" ht="15" x14ac:dyDescent="0.2">
      <c r="A89" s="16">
        <v>43952</v>
      </c>
      <c r="B89" s="10">
        <f>CHOOSE(CONTROL!$C$42, 5.784, 5.784) * CHOOSE(CONTROL!$C$21, $C$9, 100%, $E$9)</f>
        <v>5.7839999999999998</v>
      </c>
      <c r="C89" s="10">
        <f>CHOOSE(CONTROL!$C$42, 5.7919, 5.7919) * CHOOSE(CONTROL!$C$21, $C$9, 100%, $E$9)</f>
        <v>5.7919</v>
      </c>
      <c r="D89" s="10">
        <f>CHOOSE(CONTROL!$C$42, 5.9689, 5.9689) * CHOOSE(CONTROL!$C$21, $C$9, 100%, $E$9)</f>
        <v>5.9688999999999997</v>
      </c>
      <c r="E89" s="10">
        <f>CHOOSE(CONTROL!$C$42, 6, 6) * CHOOSE(CONTROL!$C$21, $C$9, 100%, $E$9)</f>
        <v>6</v>
      </c>
      <c r="F89" s="10">
        <f>CHOOSE(CONTROL!$C$42, 5.7473, 5.7473)*CHOOSE(CONTROL!$C$21, $C$9, 100%, $E$9)</f>
        <v>5.7473000000000001</v>
      </c>
      <c r="G89" s="10">
        <f>CHOOSE(CONTROL!$C$42, 5.7638, 5.7638)*CHOOSE(CONTROL!$C$21, $C$9, 100%, $E$9)</f>
        <v>5.7637999999999998</v>
      </c>
      <c r="H89" s="10">
        <f>CHOOSE(CONTROL!$C$42, 5.9886, 5.9886) * CHOOSE(CONTROL!$C$21, $C$9, 100%, $E$9)</f>
        <v>5.9885999999999999</v>
      </c>
      <c r="I89" s="10">
        <f>CHOOSE(CONTROL!$C$42, 5.7685, 5.7685)* CHOOSE(CONTROL!$C$21, $C$9, 100%, $E$9)</f>
        <v>5.7685000000000004</v>
      </c>
      <c r="J89" s="10">
        <f>CHOOSE(CONTROL!$C$42, 5.7403, 5.7403)* CHOOSE(CONTROL!$C$21, $C$9, 100%, $E$9)</f>
        <v>5.7403000000000004</v>
      </c>
      <c r="K89" s="10">
        <f>CHOOSE(CONTROL!$C$42, 5.7391, 5.7391) * CHOOSE(CONTROL!$C$21, $C$9, 100%, $E$9)</f>
        <v>5.7390999999999996</v>
      </c>
      <c r="L89" s="10">
        <f>CHOOSE(CONTROL!$C$42, 6.5756, 6.5756) * CHOOSE(CONTROL!$C$21, $C$9, 100%, $E$9)</f>
        <v>6.5755999999999997</v>
      </c>
      <c r="M89" s="10">
        <f>CHOOSE(CONTROL!$C$42, 5.6962, 5.6962) * CHOOSE(CONTROL!$C$21, $C$9, 100%, $E$9)</f>
        <v>5.6962000000000002</v>
      </c>
      <c r="N89" s="10">
        <f>CHOOSE(CONTROL!$C$42, 5.7125, 5.7125) * CHOOSE(CONTROL!$C$21, $C$9, 100%, $E$9)</f>
        <v>5.7125000000000004</v>
      </c>
      <c r="O89" s="10">
        <f>CHOOSE(CONTROL!$C$42, 5.942, 5.942) * CHOOSE(CONTROL!$C$21, $C$9, 100%, $E$9)</f>
        <v>5.9420000000000002</v>
      </c>
      <c r="P89" s="10">
        <f>CHOOSE(CONTROL!$C$42, 5.7242, 5.7242) * CHOOSE(CONTROL!$C$21, $C$9, 100%, $E$9)</f>
        <v>5.7241999999999997</v>
      </c>
      <c r="Q89" s="10">
        <f>CHOOSE(CONTROL!$C$42, 6.5373, 6.5373) * CHOOSE(CONTROL!$C$21, $C$9, 100%, $E$9)</f>
        <v>6.5373000000000001</v>
      </c>
      <c r="R89" s="10">
        <f>CHOOSE(CONTROL!$C$42, 7.1407, 7.1407) * CHOOSE(CONTROL!$C$21, $C$9, 100%, $E$9)</f>
        <v>7.1406999999999998</v>
      </c>
      <c r="S89" s="10">
        <f>CHOOSE(CONTROL!$C$42, 5.6125, 5.6125) * CHOOSE(CONTROL!$C$21, $C$9, 100%, $E$9)</f>
        <v>5.6124999999999998</v>
      </c>
      <c r="T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38">
        <f>(1000*CHOOSE(CONTROL!$C$42, 695, 695)*CHOOSE(CONTROL!$C$42, 0.5599, 0.5599)*CHOOSE(CONTROL!$C$42, 31, 31))/1000000</f>
        <v>12.063045499999998</v>
      </c>
      <c r="V89" s="38">
        <f>(1000*CHOOSE(CONTROL!$C$42, 500, 500)*CHOOSE(CONTROL!$C$42, 0.275, 0.275)*CHOOSE(CONTROL!$C$42, 31, 31))/1000000</f>
        <v>4.2625000000000002</v>
      </c>
      <c r="W89" s="38">
        <f>(1000*CHOOSE(CONTROL!$C$42, 0.1146, 0.1146)*CHOOSE(CONTROL!$C$42, 121.5, 121.5)*CHOOSE(CONTROL!$C$42, 31, 31))/1000000</f>
        <v>0.43164089999999994</v>
      </c>
      <c r="X89" s="38">
        <f>(31*0.1790888*245000/1000000)+(31*0.2374*100000/1000000)</f>
        <v>2.0961194359999999</v>
      </c>
      <c r="Y89" s="38">
        <f>(1000*600*CHOOSE(CONTROL!$C$42, 1.7863, 1.7863)*CHOOSE(CONTROL!$C$42, 31, 31))/1000000</f>
        <v>33.225180000000002</v>
      </c>
      <c r="Z89" s="38"/>
      <c r="AA89" s="10"/>
      <c r="AB89" s="39"/>
      <c r="AC89" s="33">
        <f>(B89*194.205+C89*267.466+D89*133.845+E89*53.484+F89*40+G89*185+H89*0+I89*100+J89*300)/(194.205+267.466+133.845+53.484+0+40+185+100+300)</f>
        <v>5.7985592354003144</v>
      </c>
      <c r="AD89" s="27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5.7729467625899282</v>
      </c>
    </row>
    <row r="90" spans="1:30" ht="15" x14ac:dyDescent="0.2">
      <c r="A90" s="16">
        <v>43983</v>
      </c>
      <c r="B90" s="10">
        <f>CHOOSE(CONTROL!$C$42, 5.9479, 5.9479) * CHOOSE(CONTROL!$C$21, $C$9, 100%, $E$9)</f>
        <v>5.9478999999999997</v>
      </c>
      <c r="C90" s="10">
        <f>CHOOSE(CONTROL!$C$42, 5.9558, 5.9558) * CHOOSE(CONTROL!$C$21, $C$9, 100%, $E$9)</f>
        <v>5.9558</v>
      </c>
      <c r="D90" s="10">
        <f>CHOOSE(CONTROL!$C$42, 6.1328, 6.1328) * CHOOSE(CONTROL!$C$21, $C$9, 100%, $E$9)</f>
        <v>6.1327999999999996</v>
      </c>
      <c r="E90" s="10">
        <f>CHOOSE(CONTROL!$C$42, 6.1639, 6.1639) * CHOOSE(CONTROL!$C$21, $C$9, 100%, $E$9)</f>
        <v>6.1638999999999999</v>
      </c>
      <c r="F90" s="10">
        <f>CHOOSE(CONTROL!$C$42, 5.9114, 5.9114)*CHOOSE(CONTROL!$C$21, $C$9, 100%, $E$9)</f>
        <v>5.9114000000000004</v>
      </c>
      <c r="G90" s="10">
        <f>CHOOSE(CONTROL!$C$42, 5.9279, 5.9279)*CHOOSE(CONTROL!$C$21, $C$9, 100%, $E$9)</f>
        <v>5.9279000000000002</v>
      </c>
      <c r="H90" s="10">
        <f>CHOOSE(CONTROL!$C$42, 6.1525, 6.1525) * CHOOSE(CONTROL!$C$21, $C$9, 100%, $E$9)</f>
        <v>6.1524999999999999</v>
      </c>
      <c r="I90" s="10">
        <f>CHOOSE(CONTROL!$C$42, 5.9325, 5.9325)* CHOOSE(CONTROL!$C$21, $C$9, 100%, $E$9)</f>
        <v>5.9325000000000001</v>
      </c>
      <c r="J90" s="10">
        <f>CHOOSE(CONTROL!$C$42, 5.9044, 5.9044)* CHOOSE(CONTROL!$C$21, $C$9, 100%, $E$9)</f>
        <v>5.9043999999999999</v>
      </c>
      <c r="K90" s="10">
        <f>CHOOSE(CONTROL!$C$42, 5.8987, 5.8987) * CHOOSE(CONTROL!$C$21, $C$9, 100%, $E$9)</f>
        <v>5.8986999999999998</v>
      </c>
      <c r="L90" s="10">
        <f>CHOOSE(CONTROL!$C$42, 6.7395, 6.7395) * CHOOSE(CONTROL!$C$21, $C$9, 100%, $E$9)</f>
        <v>6.7394999999999996</v>
      </c>
      <c r="M90" s="10">
        <f>CHOOSE(CONTROL!$C$42, 5.8586, 5.8586) * CHOOSE(CONTROL!$C$21, $C$9, 100%, $E$9)</f>
        <v>5.8586</v>
      </c>
      <c r="N90" s="10">
        <f>CHOOSE(CONTROL!$C$42, 5.875, 5.875) * CHOOSE(CONTROL!$C$21, $C$9, 100%, $E$9)</f>
        <v>5.875</v>
      </c>
      <c r="O90" s="10">
        <f>CHOOSE(CONTROL!$C$42, 6.1043, 6.1043) * CHOOSE(CONTROL!$C$21, $C$9, 100%, $E$9)</f>
        <v>6.1043000000000003</v>
      </c>
      <c r="P90" s="10">
        <f>CHOOSE(CONTROL!$C$42, 5.8865, 5.8865) * CHOOSE(CONTROL!$C$21, $C$9, 100%, $E$9)</f>
        <v>5.8864999999999998</v>
      </c>
      <c r="Q90" s="10">
        <f>CHOOSE(CONTROL!$C$42, 6.6996, 6.6996) * CHOOSE(CONTROL!$C$21, $C$9, 100%, $E$9)</f>
        <v>6.6996000000000002</v>
      </c>
      <c r="R90" s="10">
        <f>CHOOSE(CONTROL!$C$42, 7.3033, 7.3033) * CHOOSE(CONTROL!$C$21, $C$9, 100%, $E$9)</f>
        <v>7.3033000000000001</v>
      </c>
      <c r="S90" s="10">
        <f>CHOOSE(CONTROL!$C$42, 5.7717, 5.7717) * CHOOSE(CONTROL!$C$21, $C$9, 100%, $E$9)</f>
        <v>5.7717000000000001</v>
      </c>
      <c r="T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38">
        <f>(1000*CHOOSE(CONTROL!$C$42, 695, 695)*CHOOSE(CONTROL!$C$42, 0.5599, 0.5599)*CHOOSE(CONTROL!$C$42, 30, 30))/1000000</f>
        <v>11.673914999999997</v>
      </c>
      <c r="V90" s="38">
        <f>(1000*CHOOSE(CONTROL!$C$42, 500, 500)*CHOOSE(CONTROL!$C$42, 0.275, 0.275)*CHOOSE(CONTROL!$C$42, 30, 30))/1000000</f>
        <v>4.125</v>
      </c>
      <c r="W90" s="38">
        <f>(1000*CHOOSE(CONTROL!$C$42, 0.1146, 0.1146)*CHOOSE(CONTROL!$C$42, 121.5, 121.5)*CHOOSE(CONTROL!$C$42, 30, 30))/1000000</f>
        <v>0.417717</v>
      </c>
      <c r="X90" s="38">
        <f>(30*0.1790888*245000/1000000)+(30*0.2374*100000/1000000)</f>
        <v>2.0285026799999999</v>
      </c>
      <c r="Y90" s="38">
        <f>(1000*600*CHOOSE(CONTROL!$C$42, 1.7863, 1.7863)*CHOOSE(CONTROL!$C$42, 30, 30))/1000000</f>
        <v>32.153399999999998</v>
      </c>
      <c r="Z90" s="38"/>
      <c r="AA90" s="10"/>
      <c r="AB90" s="39"/>
      <c r="AC90" s="33">
        <f>(B90*194.205+C90*267.466+D90*133.845+E90*53.484+F90*40+G90*185+H90*0+I90*100+J90*300)/(194.205+267.466+133.845+53.484+0+40+185+100+300)</f>
        <v>5.9625495022762953</v>
      </c>
      <c r="AD90" s="27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5.935327338129496</v>
      </c>
    </row>
    <row r="91" spans="1:30" ht="15" x14ac:dyDescent="0.2">
      <c r="A91" s="16">
        <v>44013</v>
      </c>
      <c r="B91" s="10">
        <f>CHOOSE(CONTROL!$C$42, 5.8339, 5.8339) * CHOOSE(CONTROL!$C$21, $C$9, 100%, $E$9)</f>
        <v>5.8338999999999999</v>
      </c>
      <c r="C91" s="10">
        <f>CHOOSE(CONTROL!$C$42, 5.8418, 5.8418) * CHOOSE(CONTROL!$C$21, $C$9, 100%, $E$9)</f>
        <v>5.8418000000000001</v>
      </c>
      <c r="D91" s="10">
        <f>CHOOSE(CONTROL!$C$42, 6.0188, 6.0188) * CHOOSE(CONTROL!$C$21, $C$9, 100%, $E$9)</f>
        <v>6.0187999999999997</v>
      </c>
      <c r="E91" s="10">
        <f>CHOOSE(CONTROL!$C$42, 6.0499, 6.0499) * CHOOSE(CONTROL!$C$21, $C$9, 100%, $E$9)</f>
        <v>6.0499000000000001</v>
      </c>
      <c r="F91" s="10">
        <f>CHOOSE(CONTROL!$C$42, 5.7976, 5.7976)*CHOOSE(CONTROL!$C$21, $C$9, 100%, $E$9)</f>
        <v>5.7976000000000001</v>
      </c>
      <c r="G91" s="10">
        <f>CHOOSE(CONTROL!$C$42, 5.8143, 5.8143)*CHOOSE(CONTROL!$C$21, $C$9, 100%, $E$9)</f>
        <v>5.8143000000000002</v>
      </c>
      <c r="H91" s="10">
        <f>CHOOSE(CONTROL!$C$42, 6.0385, 6.0385) * CHOOSE(CONTROL!$C$21, $C$9, 100%, $E$9)</f>
        <v>6.0385</v>
      </c>
      <c r="I91" s="10">
        <f>CHOOSE(CONTROL!$C$42, 5.8185, 5.8185)* CHOOSE(CONTROL!$C$21, $C$9, 100%, $E$9)</f>
        <v>5.8185000000000002</v>
      </c>
      <c r="J91" s="10">
        <f>CHOOSE(CONTROL!$C$42, 5.7906, 5.7906)* CHOOSE(CONTROL!$C$21, $C$9, 100%, $E$9)</f>
        <v>5.7906000000000004</v>
      </c>
      <c r="K91" s="10">
        <f>CHOOSE(CONTROL!$C$42, 5.7885, 5.7885) * CHOOSE(CONTROL!$C$21, $C$9, 100%, $E$9)</f>
        <v>5.7885</v>
      </c>
      <c r="L91" s="10">
        <f>CHOOSE(CONTROL!$C$42, 6.6255, 6.6255) * CHOOSE(CONTROL!$C$21, $C$9, 100%, $E$9)</f>
        <v>6.6254999999999997</v>
      </c>
      <c r="M91" s="10">
        <f>CHOOSE(CONTROL!$C$42, 5.746, 5.746) * CHOOSE(CONTROL!$C$21, $C$9, 100%, $E$9)</f>
        <v>5.7460000000000004</v>
      </c>
      <c r="N91" s="10">
        <f>CHOOSE(CONTROL!$C$42, 5.7625, 5.7625) * CHOOSE(CONTROL!$C$21, $C$9, 100%, $E$9)</f>
        <v>5.7625000000000002</v>
      </c>
      <c r="O91" s="10">
        <f>CHOOSE(CONTROL!$C$42, 5.9914, 5.9914) * CHOOSE(CONTROL!$C$21, $C$9, 100%, $E$9)</f>
        <v>5.9913999999999996</v>
      </c>
      <c r="P91" s="10">
        <f>CHOOSE(CONTROL!$C$42, 5.7736, 5.7736) * CHOOSE(CONTROL!$C$21, $C$9, 100%, $E$9)</f>
        <v>5.7736000000000001</v>
      </c>
      <c r="Q91" s="10">
        <f>CHOOSE(CONTROL!$C$42, 6.5867, 6.5867) * CHOOSE(CONTROL!$C$21, $C$9, 100%, $E$9)</f>
        <v>6.5867000000000004</v>
      </c>
      <c r="R91" s="10">
        <f>CHOOSE(CONTROL!$C$42, 7.1902, 7.1902) * CHOOSE(CONTROL!$C$21, $C$9, 100%, $E$9)</f>
        <v>7.1901999999999999</v>
      </c>
      <c r="S91" s="10">
        <f>CHOOSE(CONTROL!$C$42, 5.661, 5.661) * CHOOSE(CONTROL!$C$21, $C$9, 100%, $E$9)</f>
        <v>5.6609999999999996</v>
      </c>
      <c r="T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38">
        <f>(1000*CHOOSE(CONTROL!$C$42, 695, 695)*CHOOSE(CONTROL!$C$42, 0.5599, 0.5599)*CHOOSE(CONTROL!$C$42, 31, 31))/1000000</f>
        <v>12.063045499999998</v>
      </c>
      <c r="V91" s="38">
        <f>(1000*CHOOSE(CONTROL!$C$42, 500, 500)*CHOOSE(CONTROL!$C$42, 0.275, 0.275)*CHOOSE(CONTROL!$C$42, 31, 31))/1000000</f>
        <v>4.2625000000000002</v>
      </c>
      <c r="W91" s="38">
        <f>(1000*CHOOSE(CONTROL!$C$42, 0.1146, 0.1146)*CHOOSE(CONTROL!$C$42, 121.5, 121.5)*CHOOSE(CONTROL!$C$42, 31, 31))/1000000</f>
        <v>0.43164089999999994</v>
      </c>
      <c r="X91" s="38">
        <f>(31*0.1790888*245000/1000000)+(31*0.2374*100000/1000000)</f>
        <v>2.0961194359999999</v>
      </c>
      <c r="Y91" s="38">
        <f>(1000*600*CHOOSE(CONTROL!$C$42, 1.7863, 1.7863)*CHOOSE(CONTROL!$C$42, 31, 31))/1000000</f>
        <v>33.225180000000002</v>
      </c>
      <c r="Z91" s="38"/>
      <c r="AA91" s="10"/>
      <c r="AB91" s="39"/>
      <c r="AC91" s="33">
        <f>(B91*194.205+C91*267.466+D91*133.845+E91*53.484+F91*40+G91*185+H91*0+I91*100+J91*300)/(194.205+267.466+133.845+53.484+0+40+185+100+300)</f>
        <v>5.8486609622448977</v>
      </c>
      <c r="AD91" s="27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5.8226230215827339</v>
      </c>
    </row>
    <row r="92" spans="1:30" ht="15" x14ac:dyDescent="0.2">
      <c r="A92" s="16">
        <v>44044</v>
      </c>
      <c r="B92" s="10">
        <f>CHOOSE(CONTROL!$C$42, 5.546, 5.546) * CHOOSE(CONTROL!$C$21, $C$9, 100%, $E$9)</f>
        <v>5.5460000000000003</v>
      </c>
      <c r="C92" s="10">
        <f>CHOOSE(CONTROL!$C$42, 5.5539, 5.5539) * CHOOSE(CONTROL!$C$21, $C$9, 100%, $E$9)</f>
        <v>5.5538999999999996</v>
      </c>
      <c r="D92" s="10">
        <f>CHOOSE(CONTROL!$C$42, 5.7309, 5.7309) * CHOOSE(CONTROL!$C$21, $C$9, 100%, $E$9)</f>
        <v>5.7309000000000001</v>
      </c>
      <c r="E92" s="10">
        <f>CHOOSE(CONTROL!$C$42, 5.762, 5.762) * CHOOSE(CONTROL!$C$21, $C$9, 100%, $E$9)</f>
        <v>5.7619999999999996</v>
      </c>
      <c r="F92" s="10">
        <f>CHOOSE(CONTROL!$C$42, 5.5098, 5.5098)*CHOOSE(CONTROL!$C$21, $C$9, 100%, $E$9)</f>
        <v>5.5098000000000003</v>
      </c>
      <c r="G92" s="10">
        <f>CHOOSE(CONTROL!$C$42, 5.5264, 5.5264)*CHOOSE(CONTROL!$C$21, $C$9, 100%, $E$9)</f>
        <v>5.5263999999999998</v>
      </c>
      <c r="H92" s="10">
        <f>CHOOSE(CONTROL!$C$42, 5.7506, 5.7506) * CHOOSE(CONTROL!$C$21, $C$9, 100%, $E$9)</f>
        <v>5.7506000000000004</v>
      </c>
      <c r="I92" s="10">
        <f>CHOOSE(CONTROL!$C$42, 5.5306, 5.5306)* CHOOSE(CONTROL!$C$21, $C$9, 100%, $E$9)</f>
        <v>5.5305999999999997</v>
      </c>
      <c r="J92" s="10">
        <f>CHOOSE(CONTROL!$C$42, 5.5028, 5.5028)* CHOOSE(CONTROL!$C$21, $C$9, 100%, $E$9)</f>
        <v>5.5027999999999997</v>
      </c>
      <c r="K92" s="10">
        <f>CHOOSE(CONTROL!$C$42, 5.5089, 5.5089) * CHOOSE(CONTROL!$C$21, $C$9, 100%, $E$9)</f>
        <v>5.5088999999999997</v>
      </c>
      <c r="L92" s="10">
        <f>CHOOSE(CONTROL!$C$42, 6.3376, 6.3376) * CHOOSE(CONTROL!$C$21, $C$9, 100%, $E$9)</f>
        <v>6.3376000000000001</v>
      </c>
      <c r="M92" s="10">
        <f>CHOOSE(CONTROL!$C$42, 5.4611, 5.4611) * CHOOSE(CONTROL!$C$21, $C$9, 100%, $E$9)</f>
        <v>5.4611000000000001</v>
      </c>
      <c r="N92" s="10">
        <f>CHOOSE(CONTROL!$C$42, 5.4776, 5.4776) * CHOOSE(CONTROL!$C$21, $C$9, 100%, $E$9)</f>
        <v>5.4775999999999998</v>
      </c>
      <c r="O92" s="10">
        <f>CHOOSE(CONTROL!$C$42, 5.7064, 5.7064) * CHOOSE(CONTROL!$C$21, $C$9, 100%, $E$9)</f>
        <v>5.7064000000000004</v>
      </c>
      <c r="P92" s="10">
        <f>CHOOSE(CONTROL!$C$42, 5.4886, 5.4886) * CHOOSE(CONTROL!$C$21, $C$9, 100%, $E$9)</f>
        <v>5.4885999999999999</v>
      </c>
      <c r="Q92" s="10">
        <f>CHOOSE(CONTROL!$C$42, 6.3017, 6.3017) * CHOOSE(CONTROL!$C$21, $C$9, 100%, $E$9)</f>
        <v>6.3017000000000003</v>
      </c>
      <c r="R92" s="10">
        <f>CHOOSE(CONTROL!$C$42, 6.9045, 6.9045) * CHOOSE(CONTROL!$C$21, $C$9, 100%, $E$9)</f>
        <v>6.9044999999999996</v>
      </c>
      <c r="S92" s="10">
        <f>CHOOSE(CONTROL!$C$42, 5.3814, 5.3814) * CHOOSE(CONTROL!$C$21, $C$9, 100%, $E$9)</f>
        <v>5.3814000000000002</v>
      </c>
      <c r="T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38">
        <f>(1000*CHOOSE(CONTROL!$C$42, 695, 695)*CHOOSE(CONTROL!$C$42, 0.5599, 0.5599)*CHOOSE(CONTROL!$C$42, 31, 31))/1000000</f>
        <v>12.063045499999998</v>
      </c>
      <c r="V92" s="38">
        <f>(1000*CHOOSE(CONTROL!$C$42, 500, 500)*CHOOSE(CONTROL!$C$42, 0.275, 0.275)*CHOOSE(CONTROL!$C$42, 31, 31))/1000000</f>
        <v>4.2625000000000002</v>
      </c>
      <c r="W92" s="38">
        <f>(1000*CHOOSE(CONTROL!$C$42, 0.1146, 0.1146)*CHOOSE(CONTROL!$C$42, 121.5, 121.5)*CHOOSE(CONTROL!$C$42, 31, 31))/1000000</f>
        <v>0.43164089999999994</v>
      </c>
      <c r="X92" s="38">
        <f>(31*0.1790888*245000/1000000)+(31*0.2374*100000/1000000)</f>
        <v>2.0961194359999999</v>
      </c>
      <c r="Y92" s="38">
        <f>(1000*600*CHOOSE(CONTROL!$C$42, 1.7863, 1.7863)*CHOOSE(CONTROL!$C$42, 31, 31))/1000000</f>
        <v>33.225180000000002</v>
      </c>
      <c r="Z92" s="38"/>
      <c r="AA92" s="10"/>
      <c r="AB92" s="39"/>
      <c r="AC92" s="33">
        <f>(B92*194.205+C92*267.466+D92*133.845+E92*53.484+F92*40+G92*185+H92*0+I92*100+J92*300)/(194.205+267.466+133.845+53.484+0+40+185+100+300)</f>
        <v>5.5607876498430144</v>
      </c>
      <c r="AD92" s="27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5.5376805755395688</v>
      </c>
    </row>
    <row r="93" spans="1:30" ht="15" x14ac:dyDescent="0.2">
      <c r="A93" s="16">
        <v>44075</v>
      </c>
      <c r="B93" s="10">
        <f>CHOOSE(CONTROL!$C$42, 5.1942, 5.1942) * CHOOSE(CONTROL!$C$21, $C$9, 100%, $E$9)</f>
        <v>5.1942000000000004</v>
      </c>
      <c r="C93" s="10">
        <f>CHOOSE(CONTROL!$C$42, 5.2021, 5.2021) * CHOOSE(CONTROL!$C$21, $C$9, 100%, $E$9)</f>
        <v>5.2020999999999997</v>
      </c>
      <c r="D93" s="10">
        <f>CHOOSE(CONTROL!$C$42, 5.3791, 5.3791) * CHOOSE(CONTROL!$C$21, $C$9, 100%, $E$9)</f>
        <v>5.3791000000000002</v>
      </c>
      <c r="E93" s="10">
        <f>CHOOSE(CONTROL!$C$42, 5.4103, 5.4103) * CHOOSE(CONTROL!$C$21, $C$9, 100%, $E$9)</f>
        <v>5.4103000000000003</v>
      </c>
      <c r="F93" s="10">
        <f>CHOOSE(CONTROL!$C$42, 5.1578, 5.1578)*CHOOSE(CONTROL!$C$21, $C$9, 100%, $E$9)</f>
        <v>5.1577999999999999</v>
      </c>
      <c r="G93" s="10">
        <f>CHOOSE(CONTROL!$C$42, 5.1744, 5.1744)*CHOOSE(CONTROL!$C$21, $C$9, 100%, $E$9)</f>
        <v>5.1744000000000003</v>
      </c>
      <c r="H93" s="10">
        <f>CHOOSE(CONTROL!$C$42, 5.3989, 5.3989) * CHOOSE(CONTROL!$C$21, $C$9, 100%, $E$9)</f>
        <v>5.3989000000000003</v>
      </c>
      <c r="I93" s="10">
        <f>CHOOSE(CONTROL!$C$42, 5.1788, 5.1788)* CHOOSE(CONTROL!$C$21, $C$9, 100%, $E$9)</f>
        <v>5.1787999999999998</v>
      </c>
      <c r="J93" s="10">
        <f>CHOOSE(CONTROL!$C$42, 5.1508, 5.1508)* CHOOSE(CONTROL!$C$21, $C$9, 100%, $E$9)</f>
        <v>5.1508000000000003</v>
      </c>
      <c r="K93" s="10">
        <f>CHOOSE(CONTROL!$C$42, 5.1666, 5.1666) * CHOOSE(CONTROL!$C$21, $C$9, 100%, $E$9)</f>
        <v>5.1665999999999999</v>
      </c>
      <c r="L93" s="10">
        <f>CHOOSE(CONTROL!$C$42, 5.9859, 5.9859) * CHOOSE(CONTROL!$C$21, $C$9, 100%, $E$9)</f>
        <v>5.9859</v>
      </c>
      <c r="M93" s="10">
        <f>CHOOSE(CONTROL!$C$42, 5.1127, 5.1127) * CHOOSE(CONTROL!$C$21, $C$9, 100%, $E$9)</f>
        <v>5.1127000000000002</v>
      </c>
      <c r="N93" s="10">
        <f>CHOOSE(CONTROL!$C$42, 5.129, 5.129) * CHOOSE(CONTROL!$C$21, $C$9, 100%, $E$9)</f>
        <v>5.1289999999999996</v>
      </c>
      <c r="O93" s="10">
        <f>CHOOSE(CONTROL!$C$42, 5.3582, 5.3582) * CHOOSE(CONTROL!$C$21, $C$9, 100%, $E$9)</f>
        <v>5.3582000000000001</v>
      </c>
      <c r="P93" s="10">
        <f>CHOOSE(CONTROL!$C$42, 5.1404, 5.1404) * CHOOSE(CONTROL!$C$21, $C$9, 100%, $E$9)</f>
        <v>5.1403999999999996</v>
      </c>
      <c r="Q93" s="10">
        <f>CHOOSE(CONTROL!$C$42, 5.9535, 5.9535) * CHOOSE(CONTROL!$C$21, $C$9, 100%, $E$9)</f>
        <v>5.9535</v>
      </c>
      <c r="R93" s="10">
        <f>CHOOSE(CONTROL!$C$42, 6.5554, 6.5554) * CHOOSE(CONTROL!$C$21, $C$9, 100%, $E$9)</f>
        <v>6.5553999999999997</v>
      </c>
      <c r="S93" s="10">
        <f>CHOOSE(CONTROL!$C$42, 5.0399, 5.0399) * CHOOSE(CONTROL!$C$21, $C$9, 100%, $E$9)</f>
        <v>5.0399000000000003</v>
      </c>
      <c r="T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38">
        <f>(1000*CHOOSE(CONTROL!$C$42, 695, 695)*CHOOSE(CONTROL!$C$42, 0.5599, 0.5599)*CHOOSE(CONTROL!$C$42, 30, 30))/1000000</f>
        <v>11.673914999999997</v>
      </c>
      <c r="V93" s="38">
        <f>(1000*CHOOSE(CONTROL!$C$42, 500, 500)*CHOOSE(CONTROL!$C$42, 0.275, 0.275)*CHOOSE(CONTROL!$C$42, 30, 30))/1000000</f>
        <v>4.125</v>
      </c>
      <c r="W93" s="38">
        <f>(1000*CHOOSE(CONTROL!$C$42, 0.1146, 0.1146)*CHOOSE(CONTROL!$C$42, 121.5, 121.5)*CHOOSE(CONTROL!$C$42, 30, 30))/1000000</f>
        <v>0.417717</v>
      </c>
      <c r="X93" s="38">
        <f>(30*0.1790888*245000/1000000)+(30*0.2374*100000/1000000)</f>
        <v>2.0285026799999999</v>
      </c>
      <c r="Y93" s="38">
        <f>(1000*600*CHOOSE(CONTROL!$C$42, 1.7863, 1.7863)*CHOOSE(CONTROL!$C$42, 30, 30))/1000000</f>
        <v>32.153399999999998</v>
      </c>
      <c r="Z93" s="38"/>
      <c r="AA93" s="10"/>
      <c r="AB93" s="39"/>
      <c r="AC93" s="33">
        <f>(B93*194.205+C93*267.466+D93*133.845+E93*53.484+F93*40+G93*185+H93*0+I93*100+J93*300)/(194.205+267.466+133.845+53.484+0+40+185+100+300)</f>
        <v>5.2089094303767656</v>
      </c>
      <c r="AD93" s="27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5.1893194244604315</v>
      </c>
    </row>
    <row r="94" spans="1:30" ht="15" x14ac:dyDescent="0.2">
      <c r="A94" s="16">
        <v>44105</v>
      </c>
      <c r="B94" s="10">
        <f>CHOOSE(CONTROL!$C$42, 5.0867, 5.0867) * CHOOSE(CONTROL!$C$21, $C$9, 100%, $E$9)</f>
        <v>5.0867000000000004</v>
      </c>
      <c r="C94" s="10">
        <f>CHOOSE(CONTROL!$C$42, 5.0919, 5.0919) * CHOOSE(CONTROL!$C$21, $C$9, 100%, $E$9)</f>
        <v>5.0918999999999999</v>
      </c>
      <c r="D94" s="10">
        <f>CHOOSE(CONTROL!$C$42, 5.2739, 5.2739) * CHOOSE(CONTROL!$C$21, $C$9, 100%, $E$9)</f>
        <v>5.2739000000000003</v>
      </c>
      <c r="E94" s="10">
        <f>CHOOSE(CONTROL!$C$42, 5.3027, 5.3027) * CHOOSE(CONTROL!$C$21, $C$9, 100%, $E$9)</f>
        <v>5.3026999999999997</v>
      </c>
      <c r="F94" s="10">
        <f>CHOOSE(CONTROL!$C$42, 5.0523, 5.0523)*CHOOSE(CONTROL!$C$21, $C$9, 100%, $E$9)</f>
        <v>5.0522999999999998</v>
      </c>
      <c r="G94" s="10">
        <f>CHOOSE(CONTROL!$C$42, 5.0686, 5.0686)*CHOOSE(CONTROL!$C$21, $C$9, 100%, $E$9)</f>
        <v>5.0686</v>
      </c>
      <c r="H94" s="10">
        <f>CHOOSE(CONTROL!$C$42, 5.2932, 5.2932) * CHOOSE(CONTROL!$C$21, $C$9, 100%, $E$9)</f>
        <v>5.2931999999999997</v>
      </c>
      <c r="I94" s="10">
        <f>CHOOSE(CONTROL!$C$42, 5.0731, 5.0731)* CHOOSE(CONTROL!$C$21, $C$9, 100%, $E$9)</f>
        <v>5.0731000000000002</v>
      </c>
      <c r="J94" s="10">
        <f>CHOOSE(CONTROL!$C$42, 5.0453, 5.0453)* CHOOSE(CONTROL!$C$21, $C$9, 100%, $E$9)</f>
        <v>5.0453000000000001</v>
      </c>
      <c r="K94" s="10">
        <f>CHOOSE(CONTROL!$C$42, 5.0645, 5.0645) * CHOOSE(CONTROL!$C$21, $C$9, 100%, $E$9)</f>
        <v>5.0644999999999998</v>
      </c>
      <c r="L94" s="10">
        <f>CHOOSE(CONTROL!$C$42, 5.8802, 5.8802) * CHOOSE(CONTROL!$C$21, $C$9, 100%, $E$9)</f>
        <v>5.8802000000000003</v>
      </c>
      <c r="M94" s="10">
        <f>CHOOSE(CONTROL!$C$42, 5.0082, 5.0082) * CHOOSE(CONTROL!$C$21, $C$9, 100%, $E$9)</f>
        <v>5.0082000000000004</v>
      </c>
      <c r="N94" s="10">
        <f>CHOOSE(CONTROL!$C$42, 5.0243, 5.0243) * CHOOSE(CONTROL!$C$21, $C$9, 100%, $E$9)</f>
        <v>5.0243000000000002</v>
      </c>
      <c r="O94" s="10">
        <f>CHOOSE(CONTROL!$C$42, 5.2536, 5.2536) * CHOOSE(CONTROL!$C$21, $C$9, 100%, $E$9)</f>
        <v>5.2535999999999996</v>
      </c>
      <c r="P94" s="10">
        <f>CHOOSE(CONTROL!$C$42, 5.0357, 5.0357) * CHOOSE(CONTROL!$C$21, $C$9, 100%, $E$9)</f>
        <v>5.0357000000000003</v>
      </c>
      <c r="Q94" s="10">
        <f>CHOOSE(CONTROL!$C$42, 5.8489, 5.8489) * CHOOSE(CONTROL!$C$21, $C$9, 100%, $E$9)</f>
        <v>5.8489000000000004</v>
      </c>
      <c r="R94" s="10">
        <f>CHOOSE(CONTROL!$C$42, 6.4505, 6.4505) * CHOOSE(CONTROL!$C$21, $C$9, 100%, $E$9)</f>
        <v>6.4504999999999999</v>
      </c>
      <c r="S94" s="10">
        <f>CHOOSE(CONTROL!$C$42, 4.9372, 4.9372) * CHOOSE(CONTROL!$C$21, $C$9, 100%, $E$9)</f>
        <v>4.9371999999999998</v>
      </c>
      <c r="T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38">
        <f>(1000*CHOOSE(CONTROL!$C$42, 695, 695)*CHOOSE(CONTROL!$C$42, 0.5599, 0.5599)*CHOOSE(CONTROL!$C$42, 31, 31))/1000000</f>
        <v>12.063045499999998</v>
      </c>
      <c r="V94" s="38">
        <f>(1000*CHOOSE(CONTROL!$C$42, 500, 500)*CHOOSE(CONTROL!$C$42, 0.275, 0.275)*CHOOSE(CONTROL!$C$42, 31, 31))/1000000</f>
        <v>4.2625000000000002</v>
      </c>
      <c r="W94" s="38">
        <f>(1000*CHOOSE(CONTROL!$C$42, 0.1146, 0.1146)*CHOOSE(CONTROL!$C$42, 121.5, 121.5)*CHOOSE(CONTROL!$C$42, 31, 31))/1000000</f>
        <v>0.43164089999999994</v>
      </c>
      <c r="X94" s="38">
        <f>(31*0.1790888*245000/1000000)+(31*0.2374*100000/1000000)</f>
        <v>2.0961194359999999</v>
      </c>
      <c r="Y94" s="38">
        <f>(1000*600*CHOOSE(CONTROL!$C$42, 1.7863, 1.7863)*CHOOSE(CONTROL!$C$42, 31, 31))/1000000</f>
        <v>33.225180000000002</v>
      </c>
      <c r="Z94" s="38"/>
      <c r="AA94" s="10"/>
      <c r="AB94" s="39"/>
      <c r="AC94" s="33">
        <f>(B94*131.881+C94*277.167+D94*79.08+E94*125.872+F94*40+G94*185+H94*0+I94*100+J94*300)/(131.881+277.167+79.08+125.872+0+40+185+100+300)</f>
        <v>5.1068201746569821</v>
      </c>
      <c r="AD94" s="27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5.0847165467625901</v>
      </c>
    </row>
    <row r="95" spans="1:30" ht="15" x14ac:dyDescent="0.2">
      <c r="A95" s="16">
        <v>44136</v>
      </c>
      <c r="B95" s="10">
        <f>CHOOSE(CONTROL!$C$42, 5.2202, 5.2202) * CHOOSE(CONTROL!$C$21, $C$9, 100%, $E$9)</f>
        <v>5.2202000000000002</v>
      </c>
      <c r="C95" s="10">
        <f>CHOOSE(CONTROL!$C$42, 5.2252, 5.2252) * CHOOSE(CONTROL!$C$21, $C$9, 100%, $E$9)</f>
        <v>5.2252000000000001</v>
      </c>
      <c r="D95" s="10">
        <f>CHOOSE(CONTROL!$C$42, 5.2496, 5.2496) * CHOOSE(CONTROL!$C$21, $C$9, 100%, $E$9)</f>
        <v>5.2496</v>
      </c>
      <c r="E95" s="10">
        <f>CHOOSE(CONTROL!$C$42, 5.2834, 5.2834) * CHOOSE(CONTROL!$C$21, $C$9, 100%, $E$9)</f>
        <v>5.2834000000000003</v>
      </c>
      <c r="F95" s="10">
        <f>CHOOSE(CONTROL!$C$42, 5.1895, 5.1895)*CHOOSE(CONTROL!$C$21, $C$9, 100%, $E$9)</f>
        <v>5.1894999999999998</v>
      </c>
      <c r="G95" s="10">
        <f>CHOOSE(CONTROL!$C$42, 5.206, 5.206)*CHOOSE(CONTROL!$C$21, $C$9, 100%, $E$9)</f>
        <v>5.2060000000000004</v>
      </c>
      <c r="H95" s="10">
        <f>CHOOSE(CONTROL!$C$42, 5.2726, 5.2726) * CHOOSE(CONTROL!$C$21, $C$9, 100%, $E$9)</f>
        <v>5.2725999999999997</v>
      </c>
      <c r="I95" s="10">
        <f>CHOOSE(CONTROL!$C$42, 5.207, 5.207)* CHOOSE(CONTROL!$C$21, $C$9, 100%, $E$9)</f>
        <v>5.2069999999999999</v>
      </c>
      <c r="J95" s="10">
        <f>CHOOSE(CONTROL!$C$42, 5.1825, 5.1825)* CHOOSE(CONTROL!$C$21, $C$9, 100%, $E$9)</f>
        <v>5.1825000000000001</v>
      </c>
      <c r="K95" s="10">
        <f>CHOOSE(CONTROL!$C$42, 5.1961, 5.1961) * CHOOSE(CONTROL!$C$21, $C$9, 100%, $E$9)</f>
        <v>5.1961000000000004</v>
      </c>
      <c r="L95" s="10">
        <f>CHOOSE(CONTROL!$C$42, 5.8596, 5.8596) * CHOOSE(CONTROL!$C$21, $C$9, 100%, $E$9)</f>
        <v>5.8596000000000004</v>
      </c>
      <c r="M95" s="10">
        <f>CHOOSE(CONTROL!$C$42, 5.1441, 5.1441) * CHOOSE(CONTROL!$C$21, $C$9, 100%, $E$9)</f>
        <v>5.1440999999999999</v>
      </c>
      <c r="N95" s="10">
        <f>CHOOSE(CONTROL!$C$42, 5.1603, 5.1603) * CHOOSE(CONTROL!$C$21, $C$9, 100%, $E$9)</f>
        <v>5.1603000000000003</v>
      </c>
      <c r="O95" s="10">
        <f>CHOOSE(CONTROL!$C$42, 5.2332, 5.2332) * CHOOSE(CONTROL!$C$21, $C$9, 100%, $E$9)</f>
        <v>5.2332000000000001</v>
      </c>
      <c r="P95" s="10">
        <f>CHOOSE(CONTROL!$C$42, 5.1683, 5.1683) * CHOOSE(CONTROL!$C$21, $C$9, 100%, $E$9)</f>
        <v>5.1683000000000003</v>
      </c>
      <c r="Q95" s="10">
        <f>CHOOSE(CONTROL!$C$42, 5.8285, 5.8285) * CHOOSE(CONTROL!$C$21, $C$9, 100%, $E$9)</f>
        <v>5.8285</v>
      </c>
      <c r="R95" s="10">
        <f>CHOOSE(CONTROL!$C$42, 6.4301, 6.4301) * CHOOSE(CONTROL!$C$21, $C$9, 100%, $E$9)</f>
        <v>6.4301000000000004</v>
      </c>
      <c r="S95" s="10">
        <f>CHOOSE(CONTROL!$C$42, 5.0672, 5.0672) * CHOOSE(CONTROL!$C$21, $C$9, 100%, $E$9)</f>
        <v>5.0671999999999997</v>
      </c>
      <c r="T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38">
        <f>(1000*CHOOSE(CONTROL!$C$42, 695, 695)*CHOOSE(CONTROL!$C$42, 0.5599, 0.5599)*CHOOSE(CONTROL!$C$42, 30, 30))/1000000</f>
        <v>11.673914999999997</v>
      </c>
      <c r="V95" s="38">
        <f>(1000*CHOOSE(CONTROL!$C$42, 500, 500)*CHOOSE(CONTROL!$C$42, 0.275, 0.275)*CHOOSE(CONTROL!$C$42, 30, 30))/1000000</f>
        <v>4.125</v>
      </c>
      <c r="W95" s="38">
        <f>(1000*CHOOSE(CONTROL!$C$42, 0.1146, 0.1146)*CHOOSE(CONTROL!$C$42, 121.5, 121.5)*CHOOSE(CONTROL!$C$42, 30, 30))/1000000</f>
        <v>0.417717</v>
      </c>
      <c r="X95" s="38">
        <f>(30*0.1790888*100000/1000000)+(30*0.2374*100000/1000000)</f>
        <v>1.2494664</v>
      </c>
      <c r="Y95" s="38">
        <f>(1000*600*CHOOSE(CONTROL!$C$42, 1.7863, 1.7863)*CHOOSE(CONTROL!$C$42, 30, 30))/1000000</f>
        <v>32.153399999999998</v>
      </c>
      <c r="Z95" s="38"/>
      <c r="AA95" s="10"/>
      <c r="AB95" s="39"/>
      <c r="AC95" s="33">
        <f>(B95*122.58+C95*297.941+D95*89.177+E95*40.302+F95*40+G95*160+H95*0+I95*100+J95*300)/(122.58+297.941+89.177+40.302+0+40+160+100+300)</f>
        <v>5.2119639958260873</v>
      </c>
      <c r="AD95" s="27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5.1888978417266189</v>
      </c>
    </row>
    <row r="96" spans="1:30" ht="15" x14ac:dyDescent="0.2">
      <c r="A96" s="16">
        <v>44166</v>
      </c>
      <c r="B96" s="10">
        <f>CHOOSE(CONTROL!$C$42, 5.5759, 5.5759) * CHOOSE(CONTROL!$C$21, $C$9, 100%, $E$9)</f>
        <v>5.5758999999999999</v>
      </c>
      <c r="C96" s="10">
        <f>CHOOSE(CONTROL!$C$42, 5.5809, 5.5809) * CHOOSE(CONTROL!$C$21, $C$9, 100%, $E$9)</f>
        <v>5.5808999999999997</v>
      </c>
      <c r="D96" s="10">
        <f>CHOOSE(CONTROL!$C$42, 5.6053, 5.6053) * CHOOSE(CONTROL!$C$21, $C$9, 100%, $E$9)</f>
        <v>5.6052999999999997</v>
      </c>
      <c r="E96" s="10">
        <f>CHOOSE(CONTROL!$C$42, 5.6391, 5.6391) * CHOOSE(CONTROL!$C$21, $C$9, 100%, $E$9)</f>
        <v>5.6391</v>
      </c>
      <c r="F96" s="10">
        <f>CHOOSE(CONTROL!$C$42, 5.5476, 5.5476)*CHOOSE(CONTROL!$C$21, $C$9, 100%, $E$9)</f>
        <v>5.5476000000000001</v>
      </c>
      <c r="G96" s="10">
        <f>CHOOSE(CONTROL!$C$42, 5.5646, 5.5646)*CHOOSE(CONTROL!$C$21, $C$9, 100%, $E$9)</f>
        <v>5.5646000000000004</v>
      </c>
      <c r="H96" s="10">
        <f>CHOOSE(CONTROL!$C$42, 5.6283, 5.6283) * CHOOSE(CONTROL!$C$21, $C$9, 100%, $E$9)</f>
        <v>5.6283000000000003</v>
      </c>
      <c r="I96" s="10">
        <f>CHOOSE(CONTROL!$C$42, 5.5627, 5.5627)* CHOOSE(CONTROL!$C$21, $C$9, 100%, $E$9)</f>
        <v>5.5627000000000004</v>
      </c>
      <c r="J96" s="10">
        <f>CHOOSE(CONTROL!$C$42, 5.5406, 5.5406)* CHOOSE(CONTROL!$C$21, $C$9, 100%, $E$9)</f>
        <v>5.5406000000000004</v>
      </c>
      <c r="K96" s="10">
        <f>CHOOSE(CONTROL!$C$42, 5.5467, 5.5467) * CHOOSE(CONTROL!$C$21, $C$9, 100%, $E$9)</f>
        <v>5.5467000000000004</v>
      </c>
      <c r="L96" s="10">
        <f>CHOOSE(CONTROL!$C$42, 6.2153, 6.2153) * CHOOSE(CONTROL!$C$21, $C$9, 100%, $E$9)</f>
        <v>6.2153</v>
      </c>
      <c r="M96" s="10">
        <f>CHOOSE(CONTROL!$C$42, 5.4985, 5.4985) * CHOOSE(CONTROL!$C$21, $C$9, 100%, $E$9)</f>
        <v>5.4984999999999999</v>
      </c>
      <c r="N96" s="10">
        <f>CHOOSE(CONTROL!$C$42, 5.5153, 5.5153) * CHOOSE(CONTROL!$C$21, $C$9, 100%, $E$9)</f>
        <v>5.5152999999999999</v>
      </c>
      <c r="O96" s="10">
        <f>CHOOSE(CONTROL!$C$42, 5.5853, 5.5853) * CHOOSE(CONTROL!$C$21, $C$9, 100%, $E$9)</f>
        <v>5.5853000000000002</v>
      </c>
      <c r="P96" s="10">
        <f>CHOOSE(CONTROL!$C$42, 5.5204, 5.5204) * CHOOSE(CONTROL!$C$21, $C$9, 100%, $E$9)</f>
        <v>5.5204000000000004</v>
      </c>
      <c r="Q96" s="10">
        <f>CHOOSE(CONTROL!$C$42, 6.1806, 6.1806) * CHOOSE(CONTROL!$C$21, $C$9, 100%, $E$9)</f>
        <v>6.1806000000000001</v>
      </c>
      <c r="R96" s="10">
        <f>CHOOSE(CONTROL!$C$42, 6.7831, 6.7831) * CHOOSE(CONTROL!$C$21, $C$9, 100%, $E$9)</f>
        <v>6.7831000000000001</v>
      </c>
      <c r="S96" s="10">
        <f>CHOOSE(CONTROL!$C$42, 5.4127, 5.4127) * CHOOSE(CONTROL!$C$21, $C$9, 100%, $E$9)</f>
        <v>5.4127000000000001</v>
      </c>
      <c r="T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38">
        <f>(1000*CHOOSE(CONTROL!$C$42, 695, 695)*CHOOSE(CONTROL!$C$42, 0.5599, 0.5599)*CHOOSE(CONTROL!$C$42, 31, 31))/1000000</f>
        <v>12.063045499999998</v>
      </c>
      <c r="V96" s="38">
        <f>(1000*CHOOSE(CONTROL!$C$42, 500, 500)*CHOOSE(CONTROL!$C$42, 0.275, 0.275)*CHOOSE(CONTROL!$C$42, 31, 31))/1000000</f>
        <v>4.2625000000000002</v>
      </c>
      <c r="W96" s="38">
        <f>(1000*CHOOSE(CONTROL!$C$42, 0.1146, 0.1146)*CHOOSE(CONTROL!$C$42, 121.5, 121.5)*CHOOSE(CONTROL!$C$42, 31, 31))/1000000</f>
        <v>0.43164089999999994</v>
      </c>
      <c r="X96" s="38">
        <f>(31*0.1790888*100000/1000000)+(31*0.2374*100000/1000000)</f>
        <v>1.2911152800000001</v>
      </c>
      <c r="Y96" s="38">
        <f>(1000*600*CHOOSE(CONTROL!$C$42, 1.7863, 1.7863)*CHOOSE(CONTROL!$C$42, 31, 31))/1000000</f>
        <v>33.225180000000002</v>
      </c>
      <c r="Z96" s="38"/>
      <c r="AA96" s="10"/>
      <c r="AB96" s="39"/>
      <c r="AC96" s="33">
        <f>(B96*122.58+C96*297.941+D96*89.177+E96*40.302+F96*40+G96*160+H96*0+I96*100+J96*300)/(122.58+297.941+89.177+40.302+0+40+160+100+300)</f>
        <v>5.568777039304349</v>
      </c>
      <c r="AD96" s="27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5.541958992805756</v>
      </c>
    </row>
    <row r="97" spans="1:30" ht="15" x14ac:dyDescent="0.2">
      <c r="A97" s="16">
        <v>44197</v>
      </c>
      <c r="B97" s="10">
        <f>CHOOSE(CONTROL!$C$42, 6.0257, 6.0257) * CHOOSE(CONTROL!$C$21, $C$9, 100%, $E$9)</f>
        <v>6.0256999999999996</v>
      </c>
      <c r="C97" s="10">
        <f>CHOOSE(CONTROL!$C$42, 6.0306, 6.0306) * CHOOSE(CONTROL!$C$21, $C$9, 100%, $E$9)</f>
        <v>6.0305999999999997</v>
      </c>
      <c r="D97" s="10">
        <f>CHOOSE(CONTROL!$C$42, 6.0551, 6.0551) * CHOOSE(CONTROL!$C$21, $C$9, 100%, $E$9)</f>
        <v>6.0551000000000004</v>
      </c>
      <c r="E97" s="10">
        <f>CHOOSE(CONTROL!$C$42, 6.0889, 6.0889) * CHOOSE(CONTROL!$C$21, $C$9, 100%, $E$9)</f>
        <v>6.0888999999999998</v>
      </c>
      <c r="F97" s="10">
        <f>CHOOSE(CONTROL!$C$42, 6.0086, 6.0086)*CHOOSE(CONTROL!$C$21, $C$9, 100%, $E$9)</f>
        <v>6.0086000000000004</v>
      </c>
      <c r="G97" s="10">
        <f>CHOOSE(CONTROL!$C$42, 6.0273, 6.0273)*CHOOSE(CONTROL!$C$21, $C$9, 100%, $E$9)</f>
        <v>6.0273000000000003</v>
      </c>
      <c r="H97" s="10">
        <f>CHOOSE(CONTROL!$C$42, 6.0781, 6.0781) * CHOOSE(CONTROL!$C$21, $C$9, 100%, $E$9)</f>
        <v>6.0781000000000001</v>
      </c>
      <c r="I97" s="10">
        <f>CHOOSE(CONTROL!$C$42, 6.0202, 6.0202)* CHOOSE(CONTROL!$C$21, $C$9, 100%, $E$9)</f>
        <v>6.0202</v>
      </c>
      <c r="J97" s="10">
        <f>CHOOSE(CONTROL!$C$42, 6.0016, 6.0016)* CHOOSE(CONTROL!$C$21, $C$9, 100%, $E$9)</f>
        <v>6.0015999999999998</v>
      </c>
      <c r="K97" s="10">
        <f>CHOOSE(CONTROL!$C$42, 6.0046, 6.0046) * CHOOSE(CONTROL!$C$21, $C$9, 100%, $E$9)</f>
        <v>6.0045999999999999</v>
      </c>
      <c r="L97" s="10">
        <f>CHOOSE(CONTROL!$C$42, 6.6651, 6.6651) * CHOOSE(CONTROL!$C$21, $C$9, 100%, $E$9)</f>
        <v>6.6650999999999998</v>
      </c>
      <c r="M97" s="10">
        <f>CHOOSE(CONTROL!$C$42, 5.9549, 5.9549) * CHOOSE(CONTROL!$C$21, $C$9, 100%, $E$9)</f>
        <v>5.9549000000000003</v>
      </c>
      <c r="N97" s="10">
        <f>CHOOSE(CONTROL!$C$42, 5.9733, 5.9733) * CHOOSE(CONTROL!$C$21, $C$9, 100%, $E$9)</f>
        <v>5.9733000000000001</v>
      </c>
      <c r="O97" s="10">
        <f>CHOOSE(CONTROL!$C$42, 6.0306, 6.0306) * CHOOSE(CONTROL!$C$21, $C$9, 100%, $E$9)</f>
        <v>6.0305999999999997</v>
      </c>
      <c r="P97" s="10">
        <f>CHOOSE(CONTROL!$C$42, 5.9733, 5.9733) * CHOOSE(CONTROL!$C$21, $C$9, 100%, $E$9)</f>
        <v>5.9733000000000001</v>
      </c>
      <c r="Q97" s="10">
        <f>CHOOSE(CONTROL!$C$42, 6.6259, 6.6259) * CHOOSE(CONTROL!$C$21, $C$9, 100%, $E$9)</f>
        <v>6.6258999999999997</v>
      </c>
      <c r="R97" s="10">
        <f>CHOOSE(CONTROL!$C$42, 7.2294, 7.2294) * CHOOSE(CONTROL!$C$21, $C$9, 100%, $E$9)</f>
        <v>7.2294</v>
      </c>
      <c r="S97" s="10">
        <f>CHOOSE(CONTROL!$C$42, 5.8494, 5.8494) * CHOOSE(CONTROL!$C$21, $C$9, 100%, $E$9)</f>
        <v>5.8494000000000002</v>
      </c>
      <c r="T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38">
        <f>(1000*CHOOSE(CONTROL!$C$42, 695, 695)*CHOOSE(CONTROL!$C$42, 0.5599, 0.5599)*CHOOSE(CONTROL!$C$42, 31, 31))/1000000</f>
        <v>12.063045499999998</v>
      </c>
      <c r="V97" s="38">
        <f>(1000*CHOOSE(CONTROL!$C$42, 500, 500)*CHOOSE(CONTROL!$C$42, 0.275, 0.275)*CHOOSE(CONTROL!$C$42, 31, 31))/1000000</f>
        <v>4.2625000000000002</v>
      </c>
      <c r="W97" s="38">
        <f>(1000*CHOOSE(CONTROL!$C$42, 0.1146, 0.1146)*CHOOSE(CONTROL!$C$42, 121.5, 121.5)*CHOOSE(CONTROL!$C$42, 31, 31))/1000000</f>
        <v>0.43164089999999994</v>
      </c>
      <c r="X97" s="38">
        <f>(31*0.1790888*100000/1000000)+(31*0.2374*100000/1000000)</f>
        <v>1.2911152800000001</v>
      </c>
      <c r="Y97" s="38">
        <f>(1000*600*CHOOSE(CONTROL!$C$42, 1.7748, 1.7748)*CHOOSE(CONTROL!$C$42, 31, 31))/1000000</f>
        <v>33.011279999999999</v>
      </c>
      <c r="Z97" s="38"/>
      <c r="AA97" s="10"/>
      <c r="AB97" s="39"/>
      <c r="AC97" s="33">
        <f>(B97*122.58+C97*297.941+D97*89.177+E97*40.302+F97*40+G97*160+H97*0+I97*100+J97*300)/(122.58+297.941+89.177+40.302+0+40+160+100+300)</f>
        <v>6.0243267835652166</v>
      </c>
      <c r="AD97" s="27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5.99291654676259</v>
      </c>
    </row>
    <row r="98" spans="1:30" ht="15" x14ac:dyDescent="0.2">
      <c r="A98" s="16">
        <v>44228</v>
      </c>
      <c r="B98" s="10">
        <f>CHOOSE(CONTROL!$C$42, 6.1329, 6.1329) * CHOOSE(CONTROL!$C$21, $C$9, 100%, $E$9)</f>
        <v>6.1329000000000002</v>
      </c>
      <c r="C98" s="10">
        <f>CHOOSE(CONTROL!$C$42, 6.1378, 6.1378) * CHOOSE(CONTROL!$C$21, $C$9, 100%, $E$9)</f>
        <v>6.1378000000000004</v>
      </c>
      <c r="D98" s="10">
        <f>CHOOSE(CONTROL!$C$42, 6.1623, 6.1623) * CHOOSE(CONTROL!$C$21, $C$9, 100%, $E$9)</f>
        <v>6.1623000000000001</v>
      </c>
      <c r="E98" s="10">
        <f>CHOOSE(CONTROL!$C$42, 6.1961, 6.1961) * CHOOSE(CONTROL!$C$21, $C$9, 100%, $E$9)</f>
        <v>6.1961000000000004</v>
      </c>
      <c r="F98" s="10">
        <f>CHOOSE(CONTROL!$C$42, 6.1152, 6.1152)*CHOOSE(CONTROL!$C$21, $C$9, 100%, $E$9)</f>
        <v>6.1151999999999997</v>
      </c>
      <c r="G98" s="10">
        <f>CHOOSE(CONTROL!$C$42, 6.1336, 6.1336)*CHOOSE(CONTROL!$C$21, $C$9, 100%, $E$9)</f>
        <v>6.1336000000000004</v>
      </c>
      <c r="H98" s="10">
        <f>CHOOSE(CONTROL!$C$42, 6.1853, 6.1853) * CHOOSE(CONTROL!$C$21, $C$9, 100%, $E$9)</f>
        <v>6.1852999999999998</v>
      </c>
      <c r="I98" s="10">
        <f>CHOOSE(CONTROL!$C$42, 6.1274, 6.1274)* CHOOSE(CONTROL!$C$21, $C$9, 100%, $E$9)</f>
        <v>6.1273999999999997</v>
      </c>
      <c r="J98" s="10">
        <f>CHOOSE(CONTROL!$C$42, 6.1082, 6.1082)* CHOOSE(CONTROL!$C$21, $C$9, 100%, $E$9)</f>
        <v>6.1082000000000001</v>
      </c>
      <c r="K98" s="10">
        <f>CHOOSE(CONTROL!$C$42, 6.1073, 6.1073) * CHOOSE(CONTROL!$C$21, $C$9, 100%, $E$9)</f>
        <v>6.1073000000000004</v>
      </c>
      <c r="L98" s="10">
        <f>CHOOSE(CONTROL!$C$42, 6.7723, 6.7723) * CHOOSE(CONTROL!$C$21, $C$9, 100%, $E$9)</f>
        <v>6.7723000000000004</v>
      </c>
      <c r="M98" s="10">
        <f>CHOOSE(CONTROL!$C$42, 6.0603, 6.0603) * CHOOSE(CONTROL!$C$21, $C$9, 100%, $E$9)</f>
        <v>6.0602999999999998</v>
      </c>
      <c r="N98" s="10">
        <f>CHOOSE(CONTROL!$C$42, 6.0786, 6.0786) * CHOOSE(CONTROL!$C$21, $C$9, 100%, $E$9)</f>
        <v>6.0785999999999998</v>
      </c>
      <c r="O98" s="10">
        <f>CHOOSE(CONTROL!$C$42, 6.1367, 6.1367) * CHOOSE(CONTROL!$C$21, $C$9, 100%, $E$9)</f>
        <v>6.1367000000000003</v>
      </c>
      <c r="P98" s="10">
        <f>CHOOSE(CONTROL!$C$42, 6.0794, 6.0794) * CHOOSE(CONTROL!$C$21, $C$9, 100%, $E$9)</f>
        <v>6.0793999999999997</v>
      </c>
      <c r="Q98" s="10">
        <f>CHOOSE(CONTROL!$C$42, 6.732, 6.732) * CHOOSE(CONTROL!$C$21, $C$9, 100%, $E$9)</f>
        <v>6.7320000000000002</v>
      </c>
      <c r="R98" s="10">
        <f>CHOOSE(CONTROL!$C$42, 7.3358, 7.3358) * CHOOSE(CONTROL!$C$21, $C$9, 100%, $E$9)</f>
        <v>7.3357999999999999</v>
      </c>
      <c r="S98" s="10">
        <f>CHOOSE(CONTROL!$C$42, 5.9535, 5.9535) * CHOOSE(CONTROL!$C$21, $C$9, 100%, $E$9)</f>
        <v>5.9535</v>
      </c>
      <c r="T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" s="38">
        <f>(1000*CHOOSE(CONTROL!$C$42, 695, 695)*CHOOSE(CONTROL!$C$42, 0.5599, 0.5599)*CHOOSE(CONTROL!$C$42, 28, 28))/1000000</f>
        <v>10.895653999999999</v>
      </c>
      <c r="V98" s="38">
        <f>(1000*CHOOSE(CONTROL!$C$42, 500, 500)*CHOOSE(CONTROL!$C$42, 0.275, 0.275)*CHOOSE(CONTROL!$C$42, 28, 28))/1000000</f>
        <v>3.85</v>
      </c>
      <c r="W98" s="38">
        <f>(1000*CHOOSE(CONTROL!$C$42, 0.1146, 0.1146)*CHOOSE(CONTROL!$C$42, 121.5, 121.5)*CHOOSE(CONTROL!$C$42, 28, 28))/1000000</f>
        <v>0.38986920000000003</v>
      </c>
      <c r="X98" s="38">
        <f>(28*0.1790888*100000/1000000)+(28*0.2374*100000/1000000)</f>
        <v>1.16616864</v>
      </c>
      <c r="Y98" s="38">
        <f>(1000*600*CHOOSE(CONTROL!$C$42, 1.7748, 1.7748)*CHOOSE(CONTROL!$C$42, 28, 28))/1000000</f>
        <v>29.81664</v>
      </c>
      <c r="Z98" s="38"/>
      <c r="AA98" s="10"/>
      <c r="AB98" s="39"/>
      <c r="AC98" s="33">
        <f>(B98*122.58+C98*297.941+D98*89.177+E98*40.302+F98*40+G98*160+H98*0+I98*100+J98*300)/(122.58+297.941+89.177+40.302+0+40+160+100+300)</f>
        <v>6.1312241748695655</v>
      </c>
      <c r="AD98" s="27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6.0987287769784171</v>
      </c>
    </row>
    <row r="99" spans="1:30" ht="15" x14ac:dyDescent="0.2">
      <c r="A99" s="16">
        <v>44256</v>
      </c>
      <c r="B99" s="10">
        <f>CHOOSE(CONTROL!$C$42, 5.9589, 5.9589) * CHOOSE(CONTROL!$C$21, $C$9, 100%, $E$9)</f>
        <v>5.9588999999999999</v>
      </c>
      <c r="C99" s="10">
        <f>CHOOSE(CONTROL!$C$42, 5.9638, 5.9638) * CHOOSE(CONTROL!$C$21, $C$9, 100%, $E$9)</f>
        <v>5.9638</v>
      </c>
      <c r="D99" s="10">
        <f>CHOOSE(CONTROL!$C$42, 5.9883, 5.9883) * CHOOSE(CONTROL!$C$21, $C$9, 100%, $E$9)</f>
        <v>5.9882999999999997</v>
      </c>
      <c r="E99" s="10">
        <f>CHOOSE(CONTROL!$C$42, 6.0221, 6.0221) * CHOOSE(CONTROL!$C$21, $C$9, 100%, $E$9)</f>
        <v>6.0221</v>
      </c>
      <c r="F99" s="10">
        <f>CHOOSE(CONTROL!$C$42, 5.9396, 5.9396)*CHOOSE(CONTROL!$C$21, $C$9, 100%, $E$9)</f>
        <v>5.9396000000000004</v>
      </c>
      <c r="G99" s="10">
        <f>CHOOSE(CONTROL!$C$42, 5.9577, 5.9577)*CHOOSE(CONTROL!$C$21, $C$9, 100%, $E$9)</f>
        <v>5.9577</v>
      </c>
      <c r="H99" s="10">
        <f>CHOOSE(CONTROL!$C$42, 6.0112, 6.0112) * CHOOSE(CONTROL!$C$21, $C$9, 100%, $E$9)</f>
        <v>6.0111999999999997</v>
      </c>
      <c r="I99" s="10">
        <f>CHOOSE(CONTROL!$C$42, 5.9534, 5.9534)* CHOOSE(CONTROL!$C$21, $C$9, 100%, $E$9)</f>
        <v>5.9534000000000002</v>
      </c>
      <c r="J99" s="10">
        <f>CHOOSE(CONTROL!$C$42, 5.9326, 5.9326)* CHOOSE(CONTROL!$C$21, $C$9, 100%, $E$9)</f>
        <v>5.9325999999999999</v>
      </c>
      <c r="K99" s="10">
        <f>CHOOSE(CONTROL!$C$42, 5.9349, 5.9349) * CHOOSE(CONTROL!$C$21, $C$9, 100%, $E$9)</f>
        <v>5.9348999999999998</v>
      </c>
      <c r="L99" s="10">
        <f>CHOOSE(CONTROL!$C$42, 6.5982, 6.5982) * CHOOSE(CONTROL!$C$21, $C$9, 100%, $E$9)</f>
        <v>6.5982000000000003</v>
      </c>
      <c r="M99" s="10">
        <f>CHOOSE(CONTROL!$C$42, 5.8865, 5.8865) * CHOOSE(CONTROL!$C$21, $C$9, 100%, $E$9)</f>
        <v>5.8864999999999998</v>
      </c>
      <c r="N99" s="10">
        <f>CHOOSE(CONTROL!$C$42, 5.9044, 5.9044) * CHOOSE(CONTROL!$C$21, $C$9, 100%, $E$9)</f>
        <v>5.9043999999999999</v>
      </c>
      <c r="O99" s="10">
        <f>CHOOSE(CONTROL!$C$42, 5.9644, 5.9644) * CHOOSE(CONTROL!$C$21, $C$9, 100%, $E$9)</f>
        <v>5.9644000000000004</v>
      </c>
      <c r="P99" s="10">
        <f>CHOOSE(CONTROL!$C$42, 5.9071, 5.9071) * CHOOSE(CONTROL!$C$21, $C$9, 100%, $E$9)</f>
        <v>5.9070999999999998</v>
      </c>
      <c r="Q99" s="10">
        <f>CHOOSE(CONTROL!$C$42, 6.5597, 6.5597) * CHOOSE(CONTROL!$C$21, $C$9, 100%, $E$9)</f>
        <v>6.5597000000000003</v>
      </c>
      <c r="R99" s="10">
        <f>CHOOSE(CONTROL!$C$42, 7.1631, 7.1631) * CHOOSE(CONTROL!$C$21, $C$9, 100%, $E$9)</f>
        <v>7.1631</v>
      </c>
      <c r="S99" s="10">
        <f>CHOOSE(CONTROL!$C$42, 5.7845, 5.7845) * CHOOSE(CONTROL!$C$21, $C$9, 100%, $E$9)</f>
        <v>5.7845000000000004</v>
      </c>
      <c r="T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38">
        <f>(1000*CHOOSE(CONTROL!$C$42, 695, 695)*CHOOSE(CONTROL!$C$42, 0.5599, 0.5599)*CHOOSE(CONTROL!$C$42, 31, 31))/1000000</f>
        <v>12.063045499999998</v>
      </c>
      <c r="V99" s="38">
        <f>(1000*CHOOSE(CONTROL!$C$42, 500, 500)*CHOOSE(CONTROL!$C$42, 0.275, 0.275)*CHOOSE(CONTROL!$C$42, 31, 31))/1000000</f>
        <v>4.2625000000000002</v>
      </c>
      <c r="W99" s="38">
        <f>(1000*CHOOSE(CONTROL!$C$42, 0.1146, 0.1146)*CHOOSE(CONTROL!$C$42, 121.5, 121.5)*CHOOSE(CONTROL!$C$42, 31, 31))/1000000</f>
        <v>0.43164089999999994</v>
      </c>
      <c r="X99" s="38">
        <f>(31*0.1790888*100000/1000000)+(31*0.2374*100000/1000000)</f>
        <v>1.2911152800000001</v>
      </c>
      <c r="Y99" s="38">
        <f>(1000*600*CHOOSE(CONTROL!$C$42, 1.7748, 1.7748)*CHOOSE(CONTROL!$C$42, 31, 31))/1000000</f>
        <v>33.011279999999999</v>
      </c>
      <c r="Z99" s="38"/>
      <c r="AA99" s="10"/>
      <c r="AB99" s="39"/>
      <c r="AC99" s="33">
        <f>(B99*122.58+C99*297.941+D99*89.177+E99*40.302+F99*40+G99*160+H99*0+I99*100+J99*300)/(122.58+297.941+89.177+40.302+0+40+160+100+300)</f>
        <v>5.9564867835652162</v>
      </c>
      <c r="AD99" s="27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5.9258014388489206</v>
      </c>
    </row>
    <row r="100" spans="1:30" ht="15" x14ac:dyDescent="0.2">
      <c r="A100" s="16">
        <v>44287</v>
      </c>
      <c r="B100" s="10">
        <f>CHOOSE(CONTROL!$C$42, 5.9418, 5.9418) * CHOOSE(CONTROL!$C$21, $C$9, 100%, $E$9)</f>
        <v>5.9417999999999997</v>
      </c>
      <c r="C100" s="10">
        <f>CHOOSE(CONTROL!$C$42, 5.9462, 5.9462) * CHOOSE(CONTROL!$C$21, $C$9, 100%, $E$9)</f>
        <v>5.9462000000000002</v>
      </c>
      <c r="D100" s="10">
        <f>CHOOSE(CONTROL!$C$42, 6.1263, 6.1263) * CHOOSE(CONTROL!$C$21, $C$9, 100%, $E$9)</f>
        <v>6.1262999999999996</v>
      </c>
      <c r="E100" s="10">
        <f>CHOOSE(CONTROL!$C$42, 6.1581, 6.1581) * CHOOSE(CONTROL!$C$21, $C$9, 100%, $E$9)</f>
        <v>6.1581000000000001</v>
      </c>
      <c r="F100" s="10">
        <f>CHOOSE(CONTROL!$C$42, 5.9071, 5.9071)*CHOOSE(CONTROL!$C$21, $C$9, 100%, $E$9)</f>
        <v>5.9070999999999998</v>
      </c>
      <c r="G100" s="10">
        <f>CHOOSE(CONTROL!$C$42, 5.9234, 5.9234)*CHOOSE(CONTROL!$C$21, $C$9, 100%, $E$9)</f>
        <v>5.9234</v>
      </c>
      <c r="H100" s="10">
        <f>CHOOSE(CONTROL!$C$42, 6.1479, 6.1479) * CHOOSE(CONTROL!$C$21, $C$9, 100%, $E$9)</f>
        <v>6.1478999999999999</v>
      </c>
      <c r="I100" s="10">
        <f>CHOOSE(CONTROL!$C$42, 5.9278, 5.9278)* CHOOSE(CONTROL!$C$21, $C$9, 100%, $E$9)</f>
        <v>5.9278000000000004</v>
      </c>
      <c r="J100" s="10">
        <f>CHOOSE(CONTROL!$C$42, 5.9001, 5.9001)* CHOOSE(CONTROL!$C$21, $C$9, 100%, $E$9)</f>
        <v>5.9001000000000001</v>
      </c>
      <c r="K100" s="10">
        <f>CHOOSE(CONTROL!$C$42, 5.8951, 5.8951) * CHOOSE(CONTROL!$C$21, $C$9, 100%, $E$9)</f>
        <v>5.8951000000000002</v>
      </c>
      <c r="L100" s="10">
        <f>CHOOSE(CONTROL!$C$42, 6.7349, 6.7349) * CHOOSE(CONTROL!$C$21, $C$9, 100%, $E$9)</f>
        <v>6.7348999999999997</v>
      </c>
      <c r="M100" s="10">
        <f>CHOOSE(CONTROL!$C$42, 5.8544, 5.8544) * CHOOSE(CONTROL!$C$21, $C$9, 100%, $E$9)</f>
        <v>5.8544</v>
      </c>
      <c r="N100" s="10">
        <f>CHOOSE(CONTROL!$C$42, 5.8705, 5.8705) * CHOOSE(CONTROL!$C$21, $C$9, 100%, $E$9)</f>
        <v>5.8704999999999998</v>
      </c>
      <c r="O100" s="10">
        <f>CHOOSE(CONTROL!$C$42, 6.0997, 6.0997) * CHOOSE(CONTROL!$C$21, $C$9, 100%, $E$9)</f>
        <v>6.0997000000000003</v>
      </c>
      <c r="P100" s="10">
        <f>CHOOSE(CONTROL!$C$42, 5.8818, 5.8818) * CHOOSE(CONTROL!$C$21, $C$9, 100%, $E$9)</f>
        <v>5.8818000000000001</v>
      </c>
      <c r="Q100" s="10">
        <f>CHOOSE(CONTROL!$C$42, 6.695, 6.695) * CHOOSE(CONTROL!$C$21, $C$9, 100%, $E$9)</f>
        <v>6.6950000000000003</v>
      </c>
      <c r="R100" s="10">
        <f>CHOOSE(CONTROL!$C$42, 7.2987, 7.2987) * CHOOSE(CONTROL!$C$21, $C$9, 100%, $E$9)</f>
        <v>7.2987000000000002</v>
      </c>
      <c r="S100" s="10">
        <f>CHOOSE(CONTROL!$C$42, 5.7672, 5.7672) * CHOOSE(CONTROL!$C$21, $C$9, 100%, $E$9)</f>
        <v>5.7671999999999999</v>
      </c>
      <c r="T1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38">
        <f>(1000*CHOOSE(CONTROL!$C$42, 695, 695)*CHOOSE(CONTROL!$C$42, 0.5599, 0.5599)*CHOOSE(CONTROL!$C$42, 30, 30))/1000000</f>
        <v>11.673914999999997</v>
      </c>
      <c r="V100" s="38">
        <f>(1000*CHOOSE(CONTROL!$C$42, 500, 500)*CHOOSE(CONTROL!$C$42, 0.275, 0.275)*CHOOSE(CONTROL!$C$42, 30, 30))/1000000</f>
        <v>4.125</v>
      </c>
      <c r="W100" s="38">
        <f>(1000*CHOOSE(CONTROL!$C$42, 0.1146, 0.1146)*CHOOSE(CONTROL!$C$42, 121.5, 121.5)*CHOOSE(CONTROL!$C$42, 30, 30))/1000000</f>
        <v>0.417717</v>
      </c>
      <c r="X100" s="38">
        <f>(30*0.1790888*245000/1000000)+(30*0.2374*100000/1000000)</f>
        <v>2.0285026799999999</v>
      </c>
      <c r="Y100" s="38">
        <f>(1000*600*CHOOSE(CONTROL!$C$42, 1.7748, 1.7748)*CHOOSE(CONTROL!$C$42, 30, 30))/1000000</f>
        <v>31.946400000000001</v>
      </c>
      <c r="Z100" s="38"/>
      <c r="AA100" s="10"/>
      <c r="AB100" s="39"/>
      <c r="AC100" s="33">
        <f>(B100*141.293+C100*267.993+D100*115.016+E100*89.698+F100*40+G100*185+H100*0+I100*100+J100*300)/(141.293+267.993+115.016+89.698+0+40+185+100+300)</f>
        <v>5.9604435016949155</v>
      </c>
      <c r="AD100" s="27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5.930874100719425</v>
      </c>
    </row>
    <row r="101" spans="1:30" ht="15" x14ac:dyDescent="0.2">
      <c r="A101" s="16">
        <v>44317</v>
      </c>
      <c r="B101" s="10">
        <f>CHOOSE(CONTROL!$C$42, 5.996, 5.996) * CHOOSE(CONTROL!$C$21, $C$9, 100%, $E$9)</f>
        <v>5.9960000000000004</v>
      </c>
      <c r="C101" s="10">
        <f>CHOOSE(CONTROL!$C$42, 6.0039, 6.0039) * CHOOSE(CONTROL!$C$21, $C$9, 100%, $E$9)</f>
        <v>6.0038999999999998</v>
      </c>
      <c r="D101" s="10">
        <f>CHOOSE(CONTROL!$C$42, 6.1809, 6.1809) * CHOOSE(CONTROL!$C$21, $C$9, 100%, $E$9)</f>
        <v>6.1809000000000003</v>
      </c>
      <c r="E101" s="10">
        <f>CHOOSE(CONTROL!$C$42, 6.212, 6.212) * CHOOSE(CONTROL!$C$21, $C$9, 100%, $E$9)</f>
        <v>6.2119999999999997</v>
      </c>
      <c r="F101" s="10">
        <f>CHOOSE(CONTROL!$C$42, 5.9594, 5.9594)*CHOOSE(CONTROL!$C$21, $C$9, 100%, $E$9)</f>
        <v>5.9593999999999996</v>
      </c>
      <c r="G101" s="10">
        <f>CHOOSE(CONTROL!$C$42, 5.9759, 5.9759)*CHOOSE(CONTROL!$C$21, $C$9, 100%, $E$9)</f>
        <v>5.9759000000000002</v>
      </c>
      <c r="H101" s="10">
        <f>CHOOSE(CONTROL!$C$42, 6.2007, 6.2007) * CHOOSE(CONTROL!$C$21, $C$9, 100%, $E$9)</f>
        <v>6.2007000000000003</v>
      </c>
      <c r="I101" s="10">
        <f>CHOOSE(CONTROL!$C$42, 5.9806, 5.9806)* CHOOSE(CONTROL!$C$21, $C$9, 100%, $E$9)</f>
        <v>5.9805999999999999</v>
      </c>
      <c r="J101" s="10">
        <f>CHOOSE(CONTROL!$C$42, 5.9524, 5.9524)* CHOOSE(CONTROL!$C$21, $C$9, 100%, $E$9)</f>
        <v>5.9523999999999999</v>
      </c>
      <c r="K101" s="10">
        <f>CHOOSE(CONTROL!$C$42, 5.9451, 5.9451) * CHOOSE(CONTROL!$C$21, $C$9, 100%, $E$9)</f>
        <v>5.9451000000000001</v>
      </c>
      <c r="L101" s="10">
        <f>CHOOSE(CONTROL!$C$42, 6.7877, 6.7877) * CHOOSE(CONTROL!$C$21, $C$9, 100%, $E$9)</f>
        <v>6.7877000000000001</v>
      </c>
      <c r="M101" s="10">
        <f>CHOOSE(CONTROL!$C$42, 5.9061, 5.9061) * CHOOSE(CONTROL!$C$21, $C$9, 100%, $E$9)</f>
        <v>5.9061000000000003</v>
      </c>
      <c r="N101" s="10">
        <f>CHOOSE(CONTROL!$C$42, 5.9225, 5.9225) * CHOOSE(CONTROL!$C$21, $C$9, 100%, $E$9)</f>
        <v>5.9225000000000003</v>
      </c>
      <c r="O101" s="10">
        <f>CHOOSE(CONTROL!$C$42, 6.1519, 6.1519) * CHOOSE(CONTROL!$C$21, $C$9, 100%, $E$9)</f>
        <v>6.1519000000000004</v>
      </c>
      <c r="P101" s="10">
        <f>CHOOSE(CONTROL!$C$42, 5.9341, 5.9341) * CHOOSE(CONTROL!$C$21, $C$9, 100%, $E$9)</f>
        <v>5.9340999999999999</v>
      </c>
      <c r="Q101" s="10">
        <f>CHOOSE(CONTROL!$C$42, 6.7472, 6.7472) * CHOOSE(CONTROL!$C$21, $C$9, 100%, $E$9)</f>
        <v>6.7472000000000003</v>
      </c>
      <c r="R101" s="10">
        <f>CHOOSE(CONTROL!$C$42, 7.3511, 7.3511) * CHOOSE(CONTROL!$C$21, $C$9, 100%, $E$9)</f>
        <v>7.3510999999999997</v>
      </c>
      <c r="S101" s="10">
        <f>CHOOSE(CONTROL!$C$42, 5.8185, 5.8185) * CHOOSE(CONTROL!$C$21, $C$9, 100%, $E$9)</f>
        <v>5.8185000000000002</v>
      </c>
      <c r="T1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38">
        <f>(1000*CHOOSE(CONTROL!$C$42, 695, 695)*CHOOSE(CONTROL!$C$42, 0.5599, 0.5599)*CHOOSE(CONTROL!$C$42, 31, 31))/1000000</f>
        <v>12.063045499999998</v>
      </c>
      <c r="V101" s="38">
        <f>(1000*CHOOSE(CONTROL!$C$42, 500, 500)*CHOOSE(CONTROL!$C$42, 0.275, 0.275)*CHOOSE(CONTROL!$C$42, 31, 31))/1000000</f>
        <v>4.2625000000000002</v>
      </c>
      <c r="W101" s="38">
        <f>(1000*CHOOSE(CONTROL!$C$42, 0.1146, 0.1146)*CHOOSE(CONTROL!$C$42, 121.5, 121.5)*CHOOSE(CONTROL!$C$42, 31, 31))/1000000</f>
        <v>0.43164089999999994</v>
      </c>
      <c r="X101" s="38">
        <f>(31*0.1790888*245000/1000000)+(31*0.2374*100000/1000000)</f>
        <v>2.0961194359999999</v>
      </c>
      <c r="Y101" s="38">
        <f>(1000*600*CHOOSE(CONTROL!$C$42, 1.7748, 1.7748)*CHOOSE(CONTROL!$C$42, 31, 31))/1000000</f>
        <v>33.011279999999999</v>
      </c>
      <c r="Z101" s="38"/>
      <c r="AA101" s="10"/>
      <c r="AB101" s="39"/>
      <c r="AC101" s="33">
        <f>(B101*194.205+C101*267.466+D101*133.845+E101*53.484+F101*40+G101*185+H101*0+I101*100+J101*300)/(194.205+267.466+133.845+53.484+0+40+185+100+300)</f>
        <v>6.0106082934850873</v>
      </c>
      <c r="AD101" s="27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5.9828697841726619</v>
      </c>
    </row>
    <row r="102" spans="1:30" ht="15" x14ac:dyDescent="0.2">
      <c r="A102" s="16">
        <v>44348</v>
      </c>
      <c r="B102" s="10">
        <f>CHOOSE(CONTROL!$C$42, 6.1659, 6.1659) * CHOOSE(CONTROL!$C$21, $C$9, 100%, $E$9)</f>
        <v>6.1658999999999997</v>
      </c>
      <c r="C102" s="10">
        <f>CHOOSE(CONTROL!$C$42, 6.1738, 6.1738) * CHOOSE(CONTROL!$C$21, $C$9, 100%, $E$9)</f>
        <v>6.1738</v>
      </c>
      <c r="D102" s="10">
        <f>CHOOSE(CONTROL!$C$42, 6.3508, 6.3508) * CHOOSE(CONTROL!$C$21, $C$9, 100%, $E$9)</f>
        <v>6.3507999999999996</v>
      </c>
      <c r="E102" s="10">
        <f>CHOOSE(CONTROL!$C$42, 6.382, 6.382) * CHOOSE(CONTROL!$C$21, $C$9, 100%, $E$9)</f>
        <v>6.3819999999999997</v>
      </c>
      <c r="F102" s="10">
        <f>CHOOSE(CONTROL!$C$42, 6.1295, 6.1295)*CHOOSE(CONTROL!$C$21, $C$9, 100%, $E$9)</f>
        <v>6.1295000000000002</v>
      </c>
      <c r="G102" s="10">
        <f>CHOOSE(CONTROL!$C$42, 6.146, 6.146)*CHOOSE(CONTROL!$C$21, $C$9, 100%, $E$9)</f>
        <v>6.1459999999999999</v>
      </c>
      <c r="H102" s="10">
        <f>CHOOSE(CONTROL!$C$42, 6.3706, 6.3706) * CHOOSE(CONTROL!$C$21, $C$9, 100%, $E$9)</f>
        <v>6.3705999999999996</v>
      </c>
      <c r="I102" s="10">
        <f>CHOOSE(CONTROL!$C$42, 6.1505, 6.1505)* CHOOSE(CONTROL!$C$21, $C$9, 100%, $E$9)</f>
        <v>6.1505000000000001</v>
      </c>
      <c r="J102" s="10">
        <f>CHOOSE(CONTROL!$C$42, 6.1225, 6.1225)* CHOOSE(CONTROL!$C$21, $C$9, 100%, $E$9)</f>
        <v>6.1224999999999996</v>
      </c>
      <c r="K102" s="10">
        <f>CHOOSE(CONTROL!$C$42, 6.1106, 6.1106) * CHOOSE(CONTROL!$C$21, $C$9, 100%, $E$9)</f>
        <v>6.1105999999999998</v>
      </c>
      <c r="L102" s="10">
        <f>CHOOSE(CONTROL!$C$42, 6.9576, 6.9576) * CHOOSE(CONTROL!$C$21, $C$9, 100%, $E$9)</f>
        <v>6.9576000000000002</v>
      </c>
      <c r="M102" s="10">
        <f>CHOOSE(CONTROL!$C$42, 6.0745, 6.0745) * CHOOSE(CONTROL!$C$21, $C$9, 100%, $E$9)</f>
        <v>6.0744999999999996</v>
      </c>
      <c r="N102" s="10">
        <f>CHOOSE(CONTROL!$C$42, 6.0909, 6.0909) * CHOOSE(CONTROL!$C$21, $C$9, 100%, $E$9)</f>
        <v>6.0909000000000004</v>
      </c>
      <c r="O102" s="10">
        <f>CHOOSE(CONTROL!$C$42, 6.3201, 6.3201) * CHOOSE(CONTROL!$C$21, $C$9, 100%, $E$9)</f>
        <v>6.3201000000000001</v>
      </c>
      <c r="P102" s="10">
        <f>CHOOSE(CONTROL!$C$42, 6.1023, 6.1023) * CHOOSE(CONTROL!$C$21, $C$9, 100%, $E$9)</f>
        <v>6.1022999999999996</v>
      </c>
      <c r="Q102" s="10">
        <f>CHOOSE(CONTROL!$C$42, 6.9154, 6.9154) * CHOOSE(CONTROL!$C$21, $C$9, 100%, $E$9)</f>
        <v>6.9154</v>
      </c>
      <c r="R102" s="10">
        <f>CHOOSE(CONTROL!$C$42, 7.5197, 7.5197) * CHOOSE(CONTROL!$C$21, $C$9, 100%, $E$9)</f>
        <v>7.5197000000000003</v>
      </c>
      <c r="S102" s="10">
        <f>CHOOSE(CONTROL!$C$42, 5.9835, 5.9835) * CHOOSE(CONTROL!$C$21, $C$9, 100%, $E$9)</f>
        <v>5.9835000000000003</v>
      </c>
      <c r="T1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38">
        <f>(1000*CHOOSE(CONTROL!$C$42, 695, 695)*CHOOSE(CONTROL!$C$42, 0.5599, 0.5599)*CHOOSE(CONTROL!$C$42, 30, 30))/1000000</f>
        <v>11.673914999999997</v>
      </c>
      <c r="V102" s="38">
        <f>(1000*CHOOSE(CONTROL!$C$42, 500, 500)*CHOOSE(CONTROL!$C$42, 0.275, 0.275)*CHOOSE(CONTROL!$C$42, 30, 30))/1000000</f>
        <v>4.125</v>
      </c>
      <c r="W102" s="38">
        <f>(1000*CHOOSE(CONTROL!$C$42, 0.1146, 0.1146)*CHOOSE(CONTROL!$C$42, 121.5, 121.5)*CHOOSE(CONTROL!$C$42, 30, 30))/1000000</f>
        <v>0.417717</v>
      </c>
      <c r="X102" s="38">
        <f>(30*0.1790888*245000/1000000)+(30*0.2374*100000/1000000)</f>
        <v>2.0285026799999999</v>
      </c>
      <c r="Y102" s="38">
        <f>(1000*600*CHOOSE(CONTROL!$C$42, 1.7748, 1.7748)*CHOOSE(CONTROL!$C$42, 30, 30))/1000000</f>
        <v>31.946400000000001</v>
      </c>
      <c r="Z102" s="38"/>
      <c r="AA102" s="10"/>
      <c r="AB102" s="39"/>
      <c r="AC102" s="33">
        <f>(B102*194.205+C102*267.466+D102*133.845+E102*53.484+F102*40+G102*185+H102*0+I102*100+J102*300)/(194.205+267.466+133.845+53.484+0+40+185+100+300)</f>
        <v>6.1805949091836734</v>
      </c>
      <c r="AD102" s="27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6.1511848920863317</v>
      </c>
    </row>
    <row r="103" spans="1:30" ht="15" x14ac:dyDescent="0.2">
      <c r="A103" s="16">
        <v>44378</v>
      </c>
      <c r="B103" s="10">
        <f>CHOOSE(CONTROL!$C$42, 6.0477, 6.0477) * CHOOSE(CONTROL!$C$21, $C$9, 100%, $E$9)</f>
        <v>6.0476999999999999</v>
      </c>
      <c r="C103" s="10">
        <f>CHOOSE(CONTROL!$C$42, 6.0557, 6.0557) * CHOOSE(CONTROL!$C$21, $C$9, 100%, $E$9)</f>
        <v>6.0556999999999999</v>
      </c>
      <c r="D103" s="10">
        <f>CHOOSE(CONTROL!$C$42, 6.2327, 6.2327) * CHOOSE(CONTROL!$C$21, $C$9, 100%, $E$9)</f>
        <v>6.2327000000000004</v>
      </c>
      <c r="E103" s="10">
        <f>CHOOSE(CONTROL!$C$42, 6.2638, 6.2638) * CHOOSE(CONTROL!$C$21, $C$9, 100%, $E$9)</f>
        <v>6.2637999999999998</v>
      </c>
      <c r="F103" s="10">
        <f>CHOOSE(CONTROL!$C$42, 6.0115, 6.0115)*CHOOSE(CONTROL!$C$21, $C$9, 100%, $E$9)</f>
        <v>6.0114999999999998</v>
      </c>
      <c r="G103" s="10">
        <f>CHOOSE(CONTROL!$C$42, 6.0281, 6.0281)*CHOOSE(CONTROL!$C$21, $C$9, 100%, $E$9)</f>
        <v>6.0281000000000002</v>
      </c>
      <c r="H103" s="10">
        <f>CHOOSE(CONTROL!$C$42, 6.2524, 6.2524) * CHOOSE(CONTROL!$C$21, $C$9, 100%, $E$9)</f>
        <v>6.2523999999999997</v>
      </c>
      <c r="I103" s="10">
        <f>CHOOSE(CONTROL!$C$42, 6.0323, 6.0323)* CHOOSE(CONTROL!$C$21, $C$9, 100%, $E$9)</f>
        <v>6.0323000000000002</v>
      </c>
      <c r="J103" s="10">
        <f>CHOOSE(CONTROL!$C$42, 6.0045, 6.0045)* CHOOSE(CONTROL!$C$21, $C$9, 100%, $E$9)</f>
        <v>6.0045000000000002</v>
      </c>
      <c r="K103" s="10">
        <f>CHOOSE(CONTROL!$C$42, 5.9963, 5.9963) * CHOOSE(CONTROL!$C$21, $C$9, 100%, $E$9)</f>
        <v>5.9962999999999997</v>
      </c>
      <c r="L103" s="10">
        <f>CHOOSE(CONTROL!$C$42, 6.8394, 6.8394) * CHOOSE(CONTROL!$C$21, $C$9, 100%, $E$9)</f>
        <v>6.8394000000000004</v>
      </c>
      <c r="M103" s="10">
        <f>CHOOSE(CONTROL!$C$42, 5.9578, 5.9578) * CHOOSE(CONTROL!$C$21, $C$9, 100%, $E$9)</f>
        <v>5.9577999999999998</v>
      </c>
      <c r="N103" s="10">
        <f>CHOOSE(CONTROL!$C$42, 5.9742, 5.9742) * CHOOSE(CONTROL!$C$21, $C$9, 100%, $E$9)</f>
        <v>5.9741999999999997</v>
      </c>
      <c r="O103" s="10">
        <f>CHOOSE(CONTROL!$C$42, 6.2032, 6.2032) * CHOOSE(CONTROL!$C$21, $C$9, 100%, $E$9)</f>
        <v>6.2031999999999998</v>
      </c>
      <c r="P103" s="10">
        <f>CHOOSE(CONTROL!$C$42, 5.9853, 5.9853) * CHOOSE(CONTROL!$C$21, $C$9, 100%, $E$9)</f>
        <v>5.9852999999999996</v>
      </c>
      <c r="Q103" s="10">
        <f>CHOOSE(CONTROL!$C$42, 6.7985, 6.7985) * CHOOSE(CONTROL!$C$21, $C$9, 100%, $E$9)</f>
        <v>6.7984999999999998</v>
      </c>
      <c r="R103" s="10">
        <f>CHOOSE(CONTROL!$C$42, 7.4024, 7.4024) * CHOOSE(CONTROL!$C$21, $C$9, 100%, $E$9)</f>
        <v>7.4024000000000001</v>
      </c>
      <c r="S103" s="10">
        <f>CHOOSE(CONTROL!$C$42, 5.8687, 5.8687) * CHOOSE(CONTROL!$C$21, $C$9, 100%, $E$9)</f>
        <v>5.8686999999999996</v>
      </c>
      <c r="T1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38">
        <f>(1000*CHOOSE(CONTROL!$C$42, 695, 695)*CHOOSE(CONTROL!$C$42, 0.5599, 0.5599)*CHOOSE(CONTROL!$C$42, 31, 31))/1000000</f>
        <v>12.063045499999998</v>
      </c>
      <c r="V103" s="38">
        <f>(1000*CHOOSE(CONTROL!$C$42, 500, 500)*CHOOSE(CONTROL!$C$42, 0.275, 0.275)*CHOOSE(CONTROL!$C$42, 31, 31))/1000000</f>
        <v>4.2625000000000002</v>
      </c>
      <c r="W103" s="38">
        <f>(1000*CHOOSE(CONTROL!$C$42, 0.1146, 0.1146)*CHOOSE(CONTROL!$C$42, 121.5, 121.5)*CHOOSE(CONTROL!$C$42, 31, 31))/1000000</f>
        <v>0.43164089999999994</v>
      </c>
      <c r="X103" s="38">
        <f>(31*0.1790888*245000/1000000)+(31*0.2374*100000/1000000)</f>
        <v>2.0961194359999999</v>
      </c>
      <c r="Y103" s="38">
        <f>(1000*600*CHOOSE(CONTROL!$C$42, 1.7748, 1.7748)*CHOOSE(CONTROL!$C$42, 31, 31))/1000000</f>
        <v>33.011279999999999</v>
      </c>
      <c r="Z103" s="38"/>
      <c r="AA103" s="10"/>
      <c r="AB103" s="39"/>
      <c r="AC103" s="33">
        <f>(B103*194.205+C103*267.466+D103*133.845+E103*53.484+F103*40+G103*185+H103*0+I103*100+J103*300)/(194.205+267.466+133.845+53.484+0+40+185+100+300)</f>
        <v>6.0625233480376757</v>
      </c>
      <c r="AD103" s="27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6.0343856115107899</v>
      </c>
    </row>
    <row r="104" spans="1:30" ht="15" x14ac:dyDescent="0.2">
      <c r="A104" s="16">
        <v>44409</v>
      </c>
      <c r="B104" s="10">
        <f>CHOOSE(CONTROL!$C$42, 5.7493, 5.7493) * CHOOSE(CONTROL!$C$21, $C$9, 100%, $E$9)</f>
        <v>5.7492999999999999</v>
      </c>
      <c r="C104" s="10">
        <f>CHOOSE(CONTROL!$C$42, 5.7572, 5.7572) * CHOOSE(CONTROL!$C$21, $C$9, 100%, $E$9)</f>
        <v>5.7572000000000001</v>
      </c>
      <c r="D104" s="10">
        <f>CHOOSE(CONTROL!$C$42, 5.9342, 5.9342) * CHOOSE(CONTROL!$C$21, $C$9, 100%, $E$9)</f>
        <v>5.9341999999999997</v>
      </c>
      <c r="E104" s="10">
        <f>CHOOSE(CONTROL!$C$42, 5.9653, 5.9653) * CHOOSE(CONTROL!$C$21, $C$9, 100%, $E$9)</f>
        <v>5.9653</v>
      </c>
      <c r="F104" s="10">
        <f>CHOOSE(CONTROL!$C$42, 5.7131, 5.7131)*CHOOSE(CONTROL!$C$21, $C$9, 100%, $E$9)</f>
        <v>5.7130999999999998</v>
      </c>
      <c r="G104" s="10">
        <f>CHOOSE(CONTROL!$C$42, 5.7298, 5.7298)*CHOOSE(CONTROL!$C$21, $C$9, 100%, $E$9)</f>
        <v>5.7298</v>
      </c>
      <c r="H104" s="10">
        <f>CHOOSE(CONTROL!$C$42, 5.954, 5.954) * CHOOSE(CONTROL!$C$21, $C$9, 100%, $E$9)</f>
        <v>5.9539999999999997</v>
      </c>
      <c r="I104" s="10">
        <f>CHOOSE(CONTROL!$C$42, 5.7339, 5.7339)* CHOOSE(CONTROL!$C$21, $C$9, 100%, $E$9)</f>
        <v>5.7339000000000002</v>
      </c>
      <c r="J104" s="10">
        <f>CHOOSE(CONTROL!$C$42, 5.7061, 5.7061)* CHOOSE(CONTROL!$C$21, $C$9, 100%, $E$9)</f>
        <v>5.7061000000000002</v>
      </c>
      <c r="K104" s="10">
        <f>CHOOSE(CONTROL!$C$42, 5.7065, 5.7065) * CHOOSE(CONTROL!$C$21, $C$9, 100%, $E$9)</f>
        <v>5.7065000000000001</v>
      </c>
      <c r="L104" s="10">
        <f>CHOOSE(CONTROL!$C$42, 6.541, 6.541) * CHOOSE(CONTROL!$C$21, $C$9, 100%, $E$9)</f>
        <v>6.5410000000000004</v>
      </c>
      <c r="M104" s="10">
        <f>CHOOSE(CONTROL!$C$42, 5.6624, 5.6624) * CHOOSE(CONTROL!$C$21, $C$9, 100%, $E$9)</f>
        <v>5.6623999999999999</v>
      </c>
      <c r="N104" s="10">
        <f>CHOOSE(CONTROL!$C$42, 5.6788, 5.6788) * CHOOSE(CONTROL!$C$21, $C$9, 100%, $E$9)</f>
        <v>5.6787999999999998</v>
      </c>
      <c r="O104" s="10">
        <f>CHOOSE(CONTROL!$C$42, 5.9077, 5.9077) * CHOOSE(CONTROL!$C$21, $C$9, 100%, $E$9)</f>
        <v>5.9077000000000002</v>
      </c>
      <c r="P104" s="10">
        <f>CHOOSE(CONTROL!$C$42, 5.6899, 5.6899) * CHOOSE(CONTROL!$C$21, $C$9, 100%, $E$9)</f>
        <v>5.6898999999999997</v>
      </c>
      <c r="Q104" s="10">
        <f>CHOOSE(CONTROL!$C$42, 6.503, 6.503) * CHOOSE(CONTROL!$C$21, $C$9, 100%, $E$9)</f>
        <v>6.5030000000000001</v>
      </c>
      <c r="R104" s="10">
        <f>CHOOSE(CONTROL!$C$42, 7.1063, 7.1063) * CHOOSE(CONTROL!$C$21, $C$9, 100%, $E$9)</f>
        <v>7.1063000000000001</v>
      </c>
      <c r="S104" s="10">
        <f>CHOOSE(CONTROL!$C$42, 5.5789, 5.5789) * CHOOSE(CONTROL!$C$21, $C$9, 100%, $E$9)</f>
        <v>5.5789</v>
      </c>
      <c r="T1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38">
        <f>(1000*CHOOSE(CONTROL!$C$42, 695, 695)*CHOOSE(CONTROL!$C$42, 0.5599, 0.5599)*CHOOSE(CONTROL!$C$42, 31, 31))/1000000</f>
        <v>12.063045499999998</v>
      </c>
      <c r="V104" s="38">
        <f>(1000*CHOOSE(CONTROL!$C$42, 500, 500)*CHOOSE(CONTROL!$C$42, 0.275, 0.275)*CHOOSE(CONTROL!$C$42, 31, 31))/1000000</f>
        <v>4.2625000000000002</v>
      </c>
      <c r="W104" s="38">
        <f>(1000*CHOOSE(CONTROL!$C$42, 0.1146, 0.1146)*CHOOSE(CONTROL!$C$42, 121.5, 121.5)*CHOOSE(CONTROL!$C$42, 31, 31))/1000000</f>
        <v>0.43164089999999994</v>
      </c>
      <c r="X104" s="38">
        <f>(31*0.1790888*245000/1000000)+(31*0.2374*100000/1000000)</f>
        <v>2.0961194359999999</v>
      </c>
      <c r="Y104" s="38">
        <f>(1000*600*CHOOSE(CONTROL!$C$42, 1.7748, 1.7748)*CHOOSE(CONTROL!$C$42, 31, 31))/1000000</f>
        <v>33.011279999999999</v>
      </c>
      <c r="Z104" s="38"/>
      <c r="AA104" s="10"/>
      <c r="AB104" s="39"/>
      <c r="AC104" s="33">
        <f>(B104*194.205+C104*267.466+D104*133.845+E104*53.484+F104*40+G104*185+H104*0+I104*100+J104*300)/(194.205+267.466+133.845+53.484+0+40+185+100+300)</f>
        <v>5.7641021710361073</v>
      </c>
      <c r="AD104" s="27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5.7389575539568343</v>
      </c>
    </row>
    <row r="105" spans="1:30" ht="15" x14ac:dyDescent="0.2">
      <c r="A105" s="16">
        <v>44440</v>
      </c>
      <c r="B105" s="10">
        <f>CHOOSE(CONTROL!$C$42, 5.3846, 5.3846) * CHOOSE(CONTROL!$C$21, $C$9, 100%, $E$9)</f>
        <v>5.3845999999999998</v>
      </c>
      <c r="C105" s="10">
        <f>CHOOSE(CONTROL!$C$42, 5.3926, 5.3926) * CHOOSE(CONTROL!$C$21, $C$9, 100%, $E$9)</f>
        <v>5.3925999999999998</v>
      </c>
      <c r="D105" s="10">
        <f>CHOOSE(CONTROL!$C$42, 5.5695, 5.5695) * CHOOSE(CONTROL!$C$21, $C$9, 100%, $E$9)</f>
        <v>5.5694999999999997</v>
      </c>
      <c r="E105" s="10">
        <f>CHOOSE(CONTROL!$C$42, 5.6007, 5.6007) * CHOOSE(CONTROL!$C$21, $C$9, 100%, $E$9)</f>
        <v>5.6006999999999998</v>
      </c>
      <c r="F105" s="10">
        <f>CHOOSE(CONTROL!$C$42, 5.3482, 5.3482)*CHOOSE(CONTROL!$C$21, $C$9, 100%, $E$9)</f>
        <v>5.3482000000000003</v>
      </c>
      <c r="G105" s="10">
        <f>CHOOSE(CONTROL!$C$42, 5.3648, 5.3648)*CHOOSE(CONTROL!$C$21, $C$9, 100%, $E$9)</f>
        <v>5.3647999999999998</v>
      </c>
      <c r="H105" s="10">
        <f>CHOOSE(CONTROL!$C$42, 5.5893, 5.5893) * CHOOSE(CONTROL!$C$21, $C$9, 100%, $E$9)</f>
        <v>5.5892999999999997</v>
      </c>
      <c r="I105" s="10">
        <f>CHOOSE(CONTROL!$C$42, 5.3692, 5.3692)* CHOOSE(CONTROL!$C$21, $C$9, 100%, $E$9)</f>
        <v>5.3692000000000002</v>
      </c>
      <c r="J105" s="10">
        <f>CHOOSE(CONTROL!$C$42, 5.3412, 5.3412)* CHOOSE(CONTROL!$C$21, $C$9, 100%, $E$9)</f>
        <v>5.3411999999999997</v>
      </c>
      <c r="K105" s="10">
        <f>CHOOSE(CONTROL!$C$42, 5.3516, 5.3516) * CHOOSE(CONTROL!$C$21, $C$9, 100%, $E$9)</f>
        <v>5.3516000000000004</v>
      </c>
      <c r="L105" s="10">
        <f>CHOOSE(CONTROL!$C$42, 6.1763, 6.1763) * CHOOSE(CONTROL!$C$21, $C$9, 100%, $E$9)</f>
        <v>6.1763000000000003</v>
      </c>
      <c r="M105" s="10">
        <f>CHOOSE(CONTROL!$C$42, 5.3011, 5.3011) * CHOOSE(CONTROL!$C$21, $C$9, 100%, $E$9)</f>
        <v>5.3010999999999999</v>
      </c>
      <c r="N105" s="10">
        <f>CHOOSE(CONTROL!$C$42, 5.3175, 5.3175) * CHOOSE(CONTROL!$C$21, $C$9, 100%, $E$9)</f>
        <v>5.3174999999999999</v>
      </c>
      <c r="O105" s="10">
        <f>CHOOSE(CONTROL!$C$42, 5.5467, 5.5467) * CHOOSE(CONTROL!$C$21, $C$9, 100%, $E$9)</f>
        <v>5.5467000000000004</v>
      </c>
      <c r="P105" s="10">
        <f>CHOOSE(CONTROL!$C$42, 5.3289, 5.3289) * CHOOSE(CONTROL!$C$21, $C$9, 100%, $E$9)</f>
        <v>5.3289</v>
      </c>
      <c r="Q105" s="10">
        <f>CHOOSE(CONTROL!$C$42, 6.142, 6.142) * CHOOSE(CONTROL!$C$21, $C$9, 100%, $E$9)</f>
        <v>6.1420000000000003</v>
      </c>
      <c r="R105" s="10">
        <f>CHOOSE(CONTROL!$C$42, 6.7444, 6.7444) * CHOOSE(CONTROL!$C$21, $C$9, 100%, $E$9)</f>
        <v>6.7443999999999997</v>
      </c>
      <c r="S105" s="10">
        <f>CHOOSE(CONTROL!$C$42, 5.2248, 5.2248) * CHOOSE(CONTROL!$C$21, $C$9, 100%, $E$9)</f>
        <v>5.2248000000000001</v>
      </c>
      <c r="T1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38">
        <f>(1000*CHOOSE(CONTROL!$C$42, 695, 695)*CHOOSE(CONTROL!$C$42, 0.5599, 0.5599)*CHOOSE(CONTROL!$C$42, 30, 30))/1000000</f>
        <v>11.673914999999997</v>
      </c>
      <c r="V105" s="38">
        <f>(1000*CHOOSE(CONTROL!$C$42, 500, 500)*CHOOSE(CONTROL!$C$42, 0.275, 0.275)*CHOOSE(CONTROL!$C$42, 30, 30))/1000000</f>
        <v>4.125</v>
      </c>
      <c r="W105" s="38">
        <f>(1000*CHOOSE(CONTROL!$C$42, 0.1146, 0.1146)*CHOOSE(CONTROL!$C$42, 121.5, 121.5)*CHOOSE(CONTROL!$C$42, 30, 30))/1000000</f>
        <v>0.417717</v>
      </c>
      <c r="X105" s="38">
        <f>(30*0.1790888*245000/1000000)+(30*0.2374*100000/1000000)</f>
        <v>2.0285026799999999</v>
      </c>
      <c r="Y105" s="38">
        <f>(1000*600*CHOOSE(CONTROL!$C$42, 1.7748, 1.7748)*CHOOSE(CONTROL!$C$42, 30, 30))/1000000</f>
        <v>31.946400000000001</v>
      </c>
      <c r="Z105" s="38"/>
      <c r="AA105" s="10"/>
      <c r="AB105" s="39"/>
      <c r="AC105" s="33">
        <f>(B105*194.205+C105*267.466+D105*133.845+E105*53.484+F105*40+G105*185+H105*0+I105*100+J105*300)/(194.205+267.466+133.845+53.484+0+40+185+100+300)</f>
        <v>5.3993304245682889</v>
      </c>
      <c r="AD105" s="27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5.3777848920863311</v>
      </c>
    </row>
    <row r="106" spans="1:30" ht="15" x14ac:dyDescent="0.2">
      <c r="A106" s="16">
        <v>44470</v>
      </c>
      <c r="B106" s="10">
        <f>CHOOSE(CONTROL!$C$42, 5.2733, 5.2733) * CHOOSE(CONTROL!$C$21, $C$9, 100%, $E$9)</f>
        <v>5.2732999999999999</v>
      </c>
      <c r="C106" s="10">
        <f>CHOOSE(CONTROL!$C$42, 5.2785, 5.2785) * CHOOSE(CONTROL!$C$21, $C$9, 100%, $E$9)</f>
        <v>5.2785000000000002</v>
      </c>
      <c r="D106" s="10">
        <f>CHOOSE(CONTROL!$C$42, 5.4604, 5.4604) * CHOOSE(CONTROL!$C$21, $C$9, 100%, $E$9)</f>
        <v>5.4603999999999999</v>
      </c>
      <c r="E106" s="10">
        <f>CHOOSE(CONTROL!$C$42, 5.4892, 5.4892) * CHOOSE(CONTROL!$C$21, $C$9, 100%, $E$9)</f>
        <v>5.4892000000000003</v>
      </c>
      <c r="F106" s="10">
        <f>CHOOSE(CONTROL!$C$42, 5.2389, 5.2389)*CHOOSE(CONTROL!$C$21, $C$9, 100%, $E$9)</f>
        <v>5.2389000000000001</v>
      </c>
      <c r="G106" s="10">
        <f>CHOOSE(CONTROL!$C$42, 5.2551, 5.2551)*CHOOSE(CONTROL!$C$21, $C$9, 100%, $E$9)</f>
        <v>5.2550999999999997</v>
      </c>
      <c r="H106" s="10">
        <f>CHOOSE(CONTROL!$C$42, 5.4797, 5.4797) * CHOOSE(CONTROL!$C$21, $C$9, 100%, $E$9)</f>
        <v>5.4797000000000002</v>
      </c>
      <c r="I106" s="10">
        <f>CHOOSE(CONTROL!$C$42, 5.2596, 5.2596)* CHOOSE(CONTROL!$C$21, $C$9, 100%, $E$9)</f>
        <v>5.2595999999999998</v>
      </c>
      <c r="J106" s="10">
        <f>CHOOSE(CONTROL!$C$42, 5.2319, 5.2319)* CHOOSE(CONTROL!$C$21, $C$9, 100%, $E$9)</f>
        <v>5.2319000000000004</v>
      </c>
      <c r="K106" s="10">
        <f>CHOOSE(CONTROL!$C$42, 5.2457, 5.2457) * CHOOSE(CONTROL!$C$21, $C$9, 100%, $E$9)</f>
        <v>5.2457000000000003</v>
      </c>
      <c r="L106" s="10">
        <f>CHOOSE(CONTROL!$C$42, 6.0667, 6.0667) * CHOOSE(CONTROL!$C$21, $C$9, 100%, $E$9)</f>
        <v>6.0667</v>
      </c>
      <c r="M106" s="10">
        <f>CHOOSE(CONTROL!$C$42, 5.1929, 5.1929) * CHOOSE(CONTROL!$C$21, $C$9, 100%, $E$9)</f>
        <v>5.1928999999999998</v>
      </c>
      <c r="N106" s="10">
        <f>CHOOSE(CONTROL!$C$42, 5.209, 5.209) * CHOOSE(CONTROL!$C$21, $C$9, 100%, $E$9)</f>
        <v>5.2089999999999996</v>
      </c>
      <c r="O106" s="10">
        <f>CHOOSE(CONTROL!$C$42, 5.4382, 5.4382) * CHOOSE(CONTROL!$C$21, $C$9, 100%, $E$9)</f>
        <v>5.4382000000000001</v>
      </c>
      <c r="P106" s="10">
        <f>CHOOSE(CONTROL!$C$42, 5.2204, 5.2204) * CHOOSE(CONTROL!$C$21, $C$9, 100%, $E$9)</f>
        <v>5.2203999999999997</v>
      </c>
      <c r="Q106" s="10">
        <f>CHOOSE(CONTROL!$C$42, 6.0335, 6.0335) * CHOOSE(CONTROL!$C$21, $C$9, 100%, $E$9)</f>
        <v>6.0335000000000001</v>
      </c>
      <c r="R106" s="10">
        <f>CHOOSE(CONTROL!$C$42, 6.6356, 6.6356) * CHOOSE(CONTROL!$C$21, $C$9, 100%, $E$9)</f>
        <v>6.6356000000000002</v>
      </c>
      <c r="S106" s="10">
        <f>CHOOSE(CONTROL!$C$42, 5.1183, 5.1183) * CHOOSE(CONTROL!$C$21, $C$9, 100%, $E$9)</f>
        <v>5.1182999999999996</v>
      </c>
      <c r="T1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38">
        <f>(1000*CHOOSE(CONTROL!$C$42, 695, 695)*CHOOSE(CONTROL!$C$42, 0.5599, 0.5599)*CHOOSE(CONTROL!$C$42, 31, 31))/1000000</f>
        <v>12.063045499999998</v>
      </c>
      <c r="V106" s="38">
        <f>(1000*CHOOSE(CONTROL!$C$42, 500, 500)*CHOOSE(CONTROL!$C$42, 0.275, 0.275)*CHOOSE(CONTROL!$C$42, 31, 31))/1000000</f>
        <v>4.2625000000000002</v>
      </c>
      <c r="W106" s="38">
        <f>(1000*CHOOSE(CONTROL!$C$42, 0.1146, 0.1146)*CHOOSE(CONTROL!$C$42, 121.5, 121.5)*CHOOSE(CONTROL!$C$42, 31, 31))/1000000</f>
        <v>0.43164089999999994</v>
      </c>
      <c r="X106" s="38">
        <f>(31*0.1790888*245000/1000000)+(31*0.2374*100000/1000000)</f>
        <v>2.0961194359999999</v>
      </c>
      <c r="Y106" s="38">
        <f>(1000*600*CHOOSE(CONTROL!$C$42, 1.7748, 1.7748)*CHOOSE(CONTROL!$C$42, 31, 31))/1000000</f>
        <v>33.011279999999999</v>
      </c>
      <c r="Z106" s="38"/>
      <c r="AA106" s="10"/>
      <c r="AB106" s="39"/>
      <c r="AC106" s="33">
        <f>(B106*131.881+C106*277.167+D106*79.08+E106*125.872+F106*40+G106*185+H106*0+I106*100+J106*300)/(131.881+277.167+79.08+125.872+0+40+185+100+300)</f>
        <v>5.2933806305084756</v>
      </c>
      <c r="AD106" s="27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5.2693884892086329</v>
      </c>
    </row>
    <row r="107" spans="1:30" ht="15" x14ac:dyDescent="0.2">
      <c r="A107" s="16">
        <v>44501</v>
      </c>
      <c r="B107" s="10">
        <f>CHOOSE(CONTROL!$C$42, 5.4117, 5.4117) * CHOOSE(CONTROL!$C$21, $C$9, 100%, $E$9)</f>
        <v>5.4116999999999997</v>
      </c>
      <c r="C107" s="10">
        <f>CHOOSE(CONTROL!$C$42, 5.4166, 5.4166) * CHOOSE(CONTROL!$C$21, $C$9, 100%, $E$9)</f>
        <v>5.4165999999999999</v>
      </c>
      <c r="D107" s="10">
        <f>CHOOSE(CONTROL!$C$42, 5.4411, 5.4411) * CHOOSE(CONTROL!$C$21, $C$9, 100%, $E$9)</f>
        <v>5.4410999999999996</v>
      </c>
      <c r="E107" s="10">
        <f>CHOOSE(CONTROL!$C$42, 5.4749, 5.4749) * CHOOSE(CONTROL!$C$21, $C$9, 100%, $E$9)</f>
        <v>5.4748999999999999</v>
      </c>
      <c r="F107" s="10">
        <f>CHOOSE(CONTROL!$C$42, 5.381, 5.381)*CHOOSE(CONTROL!$C$21, $C$9, 100%, $E$9)</f>
        <v>5.3810000000000002</v>
      </c>
      <c r="G107" s="10">
        <f>CHOOSE(CONTROL!$C$42, 5.3974, 5.3974)*CHOOSE(CONTROL!$C$21, $C$9, 100%, $E$9)</f>
        <v>5.3974000000000002</v>
      </c>
      <c r="H107" s="10">
        <f>CHOOSE(CONTROL!$C$42, 5.4641, 5.4641) * CHOOSE(CONTROL!$C$21, $C$9, 100%, $E$9)</f>
        <v>5.4641000000000002</v>
      </c>
      <c r="I107" s="10">
        <f>CHOOSE(CONTROL!$C$42, 5.3985, 5.3985)* CHOOSE(CONTROL!$C$21, $C$9, 100%, $E$9)</f>
        <v>5.3985000000000003</v>
      </c>
      <c r="J107" s="10">
        <f>CHOOSE(CONTROL!$C$42, 5.374, 5.374)* CHOOSE(CONTROL!$C$21, $C$9, 100%, $E$9)</f>
        <v>5.3739999999999997</v>
      </c>
      <c r="K107" s="10">
        <f>CHOOSE(CONTROL!$C$42, 5.3821, 5.3821) * CHOOSE(CONTROL!$C$21, $C$9, 100%, $E$9)</f>
        <v>5.3821000000000003</v>
      </c>
      <c r="L107" s="10">
        <f>CHOOSE(CONTROL!$C$42, 6.0511, 6.0511) * CHOOSE(CONTROL!$C$21, $C$9, 100%, $E$9)</f>
        <v>6.0510999999999999</v>
      </c>
      <c r="M107" s="10">
        <f>CHOOSE(CONTROL!$C$42, 5.3336, 5.3336) * CHOOSE(CONTROL!$C$21, $C$9, 100%, $E$9)</f>
        <v>5.3335999999999997</v>
      </c>
      <c r="N107" s="10">
        <f>CHOOSE(CONTROL!$C$42, 5.3499, 5.3499) * CHOOSE(CONTROL!$C$21, $C$9, 100%, $E$9)</f>
        <v>5.3498999999999999</v>
      </c>
      <c r="O107" s="10">
        <f>CHOOSE(CONTROL!$C$42, 5.4228, 5.4228) * CHOOSE(CONTROL!$C$21, $C$9, 100%, $E$9)</f>
        <v>5.4227999999999996</v>
      </c>
      <c r="P107" s="10">
        <f>CHOOSE(CONTROL!$C$42, 5.3578, 5.3578) * CHOOSE(CONTROL!$C$21, $C$9, 100%, $E$9)</f>
        <v>5.3578000000000001</v>
      </c>
      <c r="Q107" s="10">
        <f>CHOOSE(CONTROL!$C$42, 6.0181, 6.0181) * CHOOSE(CONTROL!$C$21, $C$9, 100%, $E$9)</f>
        <v>6.0180999999999996</v>
      </c>
      <c r="R107" s="10">
        <f>CHOOSE(CONTROL!$C$42, 6.6201, 6.6201) * CHOOSE(CONTROL!$C$21, $C$9, 100%, $E$9)</f>
        <v>6.6200999999999999</v>
      </c>
      <c r="S107" s="10">
        <f>CHOOSE(CONTROL!$C$42, 5.2532, 5.2532) * CHOOSE(CONTROL!$C$21, $C$9, 100%, $E$9)</f>
        <v>5.2531999999999996</v>
      </c>
      <c r="T1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38">
        <f>(1000*CHOOSE(CONTROL!$C$42, 695, 695)*CHOOSE(CONTROL!$C$42, 0.5599, 0.5599)*CHOOSE(CONTROL!$C$42, 30, 30))/1000000</f>
        <v>11.673914999999997</v>
      </c>
      <c r="V107" s="38">
        <f>(1000*CHOOSE(CONTROL!$C$42, 500, 500)*CHOOSE(CONTROL!$C$42, 0.275, 0.275)*CHOOSE(CONTROL!$C$42, 30, 30))/1000000</f>
        <v>4.125</v>
      </c>
      <c r="W107" s="38">
        <f>(1000*CHOOSE(CONTROL!$C$42, 0.1146, 0.1146)*CHOOSE(CONTROL!$C$42, 121.5, 121.5)*CHOOSE(CONTROL!$C$42, 30, 30))/1000000</f>
        <v>0.417717</v>
      </c>
      <c r="X107" s="38">
        <f>(30*0.1790888*100000/1000000)+(30*0.2374*100000/1000000)</f>
        <v>1.2494664</v>
      </c>
      <c r="Y107" s="38">
        <f>(1000*600*CHOOSE(CONTROL!$C$42, 1.7748, 1.7748)*CHOOSE(CONTROL!$C$42, 30, 30))/1000000</f>
        <v>31.946400000000001</v>
      </c>
      <c r="Z107" s="38"/>
      <c r="AA107" s="10"/>
      <c r="AB107" s="39"/>
      <c r="AC107" s="33">
        <f>(B107*122.58+C107*297.941+D107*89.177+E107*40.302+F107*40+G107*160+H107*0+I107*100+J107*300)/(122.58+297.941+89.177+40.302+0+40+160+100+300)</f>
        <v>5.4034241748695653</v>
      </c>
      <c r="AD107" s="27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5.3784489208633088</v>
      </c>
    </row>
    <row r="108" spans="1:30" ht="15" x14ac:dyDescent="0.2">
      <c r="A108" s="16">
        <v>44531</v>
      </c>
      <c r="B108" s="10">
        <f>CHOOSE(CONTROL!$C$42, 5.7804, 5.7804) * CHOOSE(CONTROL!$C$21, $C$9, 100%, $E$9)</f>
        <v>5.7804000000000002</v>
      </c>
      <c r="C108" s="10">
        <f>CHOOSE(CONTROL!$C$42, 5.7854, 5.7854) * CHOOSE(CONTROL!$C$21, $C$9, 100%, $E$9)</f>
        <v>5.7854000000000001</v>
      </c>
      <c r="D108" s="10">
        <f>CHOOSE(CONTROL!$C$42, 5.8099, 5.8099) * CHOOSE(CONTROL!$C$21, $C$9, 100%, $E$9)</f>
        <v>5.8098999999999998</v>
      </c>
      <c r="E108" s="10">
        <f>CHOOSE(CONTROL!$C$42, 5.8436, 5.8436) * CHOOSE(CONTROL!$C$21, $C$9, 100%, $E$9)</f>
        <v>5.8436000000000003</v>
      </c>
      <c r="F108" s="10">
        <f>CHOOSE(CONTROL!$C$42, 5.7521, 5.7521)*CHOOSE(CONTROL!$C$21, $C$9, 100%, $E$9)</f>
        <v>5.7521000000000004</v>
      </c>
      <c r="G108" s="10">
        <f>CHOOSE(CONTROL!$C$42, 5.7691, 5.7691)*CHOOSE(CONTROL!$C$21, $C$9, 100%, $E$9)</f>
        <v>5.7690999999999999</v>
      </c>
      <c r="H108" s="10">
        <f>CHOOSE(CONTROL!$C$42, 5.8328, 5.8328) * CHOOSE(CONTROL!$C$21, $C$9, 100%, $E$9)</f>
        <v>5.8327999999999998</v>
      </c>
      <c r="I108" s="10">
        <f>CHOOSE(CONTROL!$C$42, 5.7672, 5.7672)* CHOOSE(CONTROL!$C$21, $C$9, 100%, $E$9)</f>
        <v>5.7671999999999999</v>
      </c>
      <c r="J108" s="10">
        <f>CHOOSE(CONTROL!$C$42, 5.7451, 5.7451)* CHOOSE(CONTROL!$C$21, $C$9, 100%, $E$9)</f>
        <v>5.7450999999999999</v>
      </c>
      <c r="K108" s="10">
        <f>CHOOSE(CONTROL!$C$42, 5.7454, 5.7454) * CHOOSE(CONTROL!$C$21, $C$9, 100%, $E$9)</f>
        <v>5.7454000000000001</v>
      </c>
      <c r="L108" s="10">
        <f>CHOOSE(CONTROL!$C$42, 6.4198, 6.4198) * CHOOSE(CONTROL!$C$21, $C$9, 100%, $E$9)</f>
        <v>6.4198000000000004</v>
      </c>
      <c r="M108" s="10">
        <f>CHOOSE(CONTROL!$C$42, 5.7009, 5.7009) * CHOOSE(CONTROL!$C$21, $C$9, 100%, $E$9)</f>
        <v>5.7008999999999999</v>
      </c>
      <c r="N108" s="10">
        <f>CHOOSE(CONTROL!$C$42, 5.7178, 5.7178) * CHOOSE(CONTROL!$C$21, $C$9, 100%, $E$9)</f>
        <v>5.7178000000000004</v>
      </c>
      <c r="O108" s="10">
        <f>CHOOSE(CONTROL!$C$42, 5.7878, 5.7878) * CHOOSE(CONTROL!$C$21, $C$9, 100%, $E$9)</f>
        <v>5.7877999999999998</v>
      </c>
      <c r="P108" s="10">
        <f>CHOOSE(CONTROL!$C$42, 5.7229, 5.7229) * CHOOSE(CONTROL!$C$21, $C$9, 100%, $E$9)</f>
        <v>5.7229000000000001</v>
      </c>
      <c r="Q108" s="10">
        <f>CHOOSE(CONTROL!$C$42, 6.3831, 6.3831) * CHOOSE(CONTROL!$C$21, $C$9, 100%, $E$9)</f>
        <v>6.3830999999999998</v>
      </c>
      <c r="R108" s="10">
        <f>CHOOSE(CONTROL!$C$42, 6.9861, 6.9861) * CHOOSE(CONTROL!$C$21, $C$9, 100%, $E$9)</f>
        <v>6.9861000000000004</v>
      </c>
      <c r="S108" s="10">
        <f>CHOOSE(CONTROL!$C$42, 5.6113, 5.6113) * CHOOSE(CONTROL!$C$21, $C$9, 100%, $E$9)</f>
        <v>5.6113</v>
      </c>
      <c r="T1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38">
        <f>(1000*CHOOSE(CONTROL!$C$42, 695, 695)*CHOOSE(CONTROL!$C$42, 0.5599, 0.5599)*CHOOSE(CONTROL!$C$42, 31, 31))/1000000</f>
        <v>12.063045499999998</v>
      </c>
      <c r="V108" s="38">
        <f>(1000*CHOOSE(CONTROL!$C$42, 500, 500)*CHOOSE(CONTROL!$C$42, 0.275, 0.275)*CHOOSE(CONTROL!$C$42, 31, 31))/1000000</f>
        <v>4.2625000000000002</v>
      </c>
      <c r="W108" s="38">
        <f>(1000*CHOOSE(CONTROL!$C$42, 0.1146, 0.1146)*CHOOSE(CONTROL!$C$42, 121.5, 121.5)*CHOOSE(CONTROL!$C$42, 31, 31))/1000000</f>
        <v>0.43164089999999994</v>
      </c>
      <c r="X108" s="38">
        <f>(31*0.1790888*100000/1000000)+(31*0.2374*100000/1000000)</f>
        <v>1.2911152800000001</v>
      </c>
      <c r="Y108" s="38">
        <f>(1000*600*CHOOSE(CONTROL!$C$42, 1.7748, 1.7748)*CHOOSE(CONTROL!$C$42, 31, 31))/1000000</f>
        <v>33.011279999999999</v>
      </c>
      <c r="Z108" s="38"/>
      <c r="AA108" s="10"/>
      <c r="AB108" s="39"/>
      <c r="AC108" s="33">
        <f>(B108*122.58+C108*297.941+D108*89.177+E108*40.302+F108*40+G108*160+H108*0+I108*100+J108*300)/(122.58+297.941+89.177+40.302+0+40+160+100+300)</f>
        <v>5.7732847938260869</v>
      </c>
      <c r="AD108" s="27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5.744424460431655</v>
      </c>
    </row>
    <row r="109" spans="1:30" ht="15" x14ac:dyDescent="0.2">
      <c r="A109" s="16">
        <v>44562</v>
      </c>
      <c r="B109" s="10">
        <f>CHOOSE(CONTROL!$C$42, 6.2389, 6.2389) * CHOOSE(CONTROL!$C$21, $C$9, 100%, $E$9)</f>
        <v>6.2389000000000001</v>
      </c>
      <c r="C109" s="10">
        <f>CHOOSE(CONTROL!$C$42, 6.2438, 6.2438) * CHOOSE(CONTROL!$C$21, $C$9, 100%, $E$9)</f>
        <v>6.2438000000000002</v>
      </c>
      <c r="D109" s="10">
        <f>CHOOSE(CONTROL!$C$42, 6.2683, 6.2683) * CHOOSE(CONTROL!$C$21, $C$9, 100%, $E$9)</f>
        <v>6.2683</v>
      </c>
      <c r="E109" s="10">
        <f>CHOOSE(CONTROL!$C$42, 6.3021, 6.3021) * CHOOSE(CONTROL!$C$21, $C$9, 100%, $E$9)</f>
        <v>6.3021000000000003</v>
      </c>
      <c r="F109" s="10">
        <f>CHOOSE(CONTROL!$C$42, 6.2218, 6.2218)*CHOOSE(CONTROL!$C$21, $C$9, 100%, $E$9)</f>
        <v>6.2218</v>
      </c>
      <c r="G109" s="10">
        <f>CHOOSE(CONTROL!$C$42, 6.2405, 6.2405)*CHOOSE(CONTROL!$C$21, $C$9, 100%, $E$9)</f>
        <v>6.2404999999999999</v>
      </c>
      <c r="H109" s="10">
        <f>CHOOSE(CONTROL!$C$42, 6.2913, 6.2913) * CHOOSE(CONTROL!$C$21, $C$9, 100%, $E$9)</f>
        <v>6.2912999999999997</v>
      </c>
      <c r="I109" s="10">
        <f>CHOOSE(CONTROL!$C$42, 6.2334, 6.2334)* CHOOSE(CONTROL!$C$21, $C$9, 100%, $E$9)</f>
        <v>6.2333999999999996</v>
      </c>
      <c r="J109" s="10">
        <f>CHOOSE(CONTROL!$C$42, 6.2148, 6.2148)* CHOOSE(CONTROL!$C$21, $C$9, 100%, $E$9)</f>
        <v>6.2148000000000003</v>
      </c>
      <c r="K109" s="10">
        <f>CHOOSE(CONTROL!$C$42, 6.2118, 6.2118) * CHOOSE(CONTROL!$C$21, $C$9, 100%, $E$9)</f>
        <v>6.2118000000000002</v>
      </c>
      <c r="L109" s="10">
        <f>CHOOSE(CONTROL!$C$42, 6.8783, 6.8783) * CHOOSE(CONTROL!$C$21, $C$9, 100%, $E$9)</f>
        <v>6.8783000000000003</v>
      </c>
      <c r="M109" s="10">
        <f>CHOOSE(CONTROL!$C$42, 6.1659, 6.1659) * CHOOSE(CONTROL!$C$21, $C$9, 100%, $E$9)</f>
        <v>6.1658999999999997</v>
      </c>
      <c r="N109" s="10">
        <f>CHOOSE(CONTROL!$C$42, 6.1844, 6.1844) * CHOOSE(CONTROL!$C$21, $C$9, 100%, $E$9)</f>
        <v>6.1844000000000001</v>
      </c>
      <c r="O109" s="10">
        <f>CHOOSE(CONTROL!$C$42, 6.2416, 6.2416) * CHOOSE(CONTROL!$C$21, $C$9, 100%, $E$9)</f>
        <v>6.2416</v>
      </c>
      <c r="P109" s="10">
        <f>CHOOSE(CONTROL!$C$42, 6.1843, 6.1843) * CHOOSE(CONTROL!$C$21, $C$9, 100%, $E$9)</f>
        <v>6.1843000000000004</v>
      </c>
      <c r="Q109" s="10">
        <f>CHOOSE(CONTROL!$C$42, 6.8369, 6.8369) * CHOOSE(CONTROL!$C$21, $C$9, 100%, $E$9)</f>
        <v>6.8369</v>
      </c>
      <c r="R109" s="10">
        <f>CHOOSE(CONTROL!$C$42, 7.441, 7.441) * CHOOSE(CONTROL!$C$21, $C$9, 100%, $E$9)</f>
        <v>7.4409999999999998</v>
      </c>
      <c r="S109" s="10">
        <f>CHOOSE(CONTROL!$C$42, 6.0564, 6.0564) * CHOOSE(CONTROL!$C$21, $C$9, 100%, $E$9)</f>
        <v>6.0564</v>
      </c>
      <c r="T1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38">
        <f>(1000*CHOOSE(CONTROL!$C$42, 695, 695)*CHOOSE(CONTROL!$C$42, 0.5599, 0.5599)*CHOOSE(CONTROL!$C$42, 31, 31))/1000000</f>
        <v>12.063045499999998</v>
      </c>
      <c r="V109" s="38">
        <f>(1000*CHOOSE(CONTROL!$C$42, 500, 500)*CHOOSE(CONTROL!$C$42, 0.275, 0.275)*CHOOSE(CONTROL!$C$42, 31, 31))/1000000</f>
        <v>4.2625000000000002</v>
      </c>
      <c r="W109" s="38">
        <f>(1000*CHOOSE(CONTROL!$C$42, 0.1146, 0.1146)*CHOOSE(CONTROL!$C$42, 121.5, 121.5)*CHOOSE(CONTROL!$C$42, 31, 31))/1000000</f>
        <v>0.43164089999999994</v>
      </c>
      <c r="X109" s="38">
        <f>(31*0.1790888*100000/1000000)+(31*0.2374*100000/1000000)</f>
        <v>1.2911152800000001</v>
      </c>
      <c r="Y109" s="38">
        <f>(1000*600*CHOOSE(CONTROL!$C$42, 1.7641, 1.7641)*CHOOSE(CONTROL!$C$42, 31, 31))/1000000</f>
        <v>32.812260000000002</v>
      </c>
      <c r="Z109" s="38"/>
      <c r="AA109" s="10"/>
      <c r="AB109" s="39"/>
      <c r="AC109" s="33">
        <f>(B109*122.58+C109*297.941+D109*89.177+E109*40.302+F109*40+G109*160+H109*0+I109*100+J109*300)/(122.58+297.941+89.177+40.302+0+40+160+100+300)</f>
        <v>6.2375267835652171</v>
      </c>
      <c r="AD109" s="27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6.2039223021582739</v>
      </c>
    </row>
    <row r="110" spans="1:30" ht="15" x14ac:dyDescent="0.2">
      <c r="A110" s="16">
        <v>44593</v>
      </c>
      <c r="B110" s="10">
        <f>CHOOSE(CONTROL!$C$42, 6.3499, 6.3499) * CHOOSE(CONTROL!$C$21, $C$9, 100%, $E$9)</f>
        <v>6.3498999999999999</v>
      </c>
      <c r="C110" s="10">
        <f>CHOOSE(CONTROL!$C$42, 6.3548, 6.3548) * CHOOSE(CONTROL!$C$21, $C$9, 100%, $E$9)</f>
        <v>6.3548</v>
      </c>
      <c r="D110" s="10">
        <f>CHOOSE(CONTROL!$C$42, 6.3793, 6.3793) * CHOOSE(CONTROL!$C$21, $C$9, 100%, $E$9)</f>
        <v>6.3792999999999997</v>
      </c>
      <c r="E110" s="10">
        <f>CHOOSE(CONTROL!$C$42, 6.4131, 6.4131) * CHOOSE(CONTROL!$C$21, $C$9, 100%, $E$9)</f>
        <v>6.4131</v>
      </c>
      <c r="F110" s="10">
        <f>CHOOSE(CONTROL!$C$42, 6.3321, 6.3321)*CHOOSE(CONTROL!$C$21, $C$9, 100%, $E$9)</f>
        <v>6.3320999999999996</v>
      </c>
      <c r="G110" s="10">
        <f>CHOOSE(CONTROL!$C$42, 6.3506, 6.3506)*CHOOSE(CONTROL!$C$21, $C$9, 100%, $E$9)</f>
        <v>6.3506</v>
      </c>
      <c r="H110" s="10">
        <f>CHOOSE(CONTROL!$C$42, 6.4023, 6.4023) * CHOOSE(CONTROL!$C$21, $C$9, 100%, $E$9)</f>
        <v>6.4023000000000003</v>
      </c>
      <c r="I110" s="10">
        <f>CHOOSE(CONTROL!$C$42, 6.3444, 6.3444)* CHOOSE(CONTROL!$C$21, $C$9, 100%, $E$9)</f>
        <v>6.3444000000000003</v>
      </c>
      <c r="J110" s="10">
        <f>CHOOSE(CONTROL!$C$42, 6.3251, 6.3251)* CHOOSE(CONTROL!$C$21, $C$9, 100%, $E$9)</f>
        <v>6.3250999999999999</v>
      </c>
      <c r="K110" s="10">
        <f>CHOOSE(CONTROL!$C$42, 6.3181, 6.3181) * CHOOSE(CONTROL!$C$21, $C$9, 100%, $E$9)</f>
        <v>6.3181000000000003</v>
      </c>
      <c r="L110" s="10">
        <f>CHOOSE(CONTROL!$C$42, 6.9893, 6.9893) * CHOOSE(CONTROL!$C$21, $C$9, 100%, $E$9)</f>
        <v>6.9893000000000001</v>
      </c>
      <c r="M110" s="10">
        <f>CHOOSE(CONTROL!$C$42, 6.2751, 6.2751) * CHOOSE(CONTROL!$C$21, $C$9, 100%, $E$9)</f>
        <v>6.2751000000000001</v>
      </c>
      <c r="N110" s="10">
        <f>CHOOSE(CONTROL!$C$42, 6.2934, 6.2934) * CHOOSE(CONTROL!$C$21, $C$9, 100%, $E$9)</f>
        <v>6.2934000000000001</v>
      </c>
      <c r="O110" s="10">
        <f>CHOOSE(CONTROL!$C$42, 6.3515, 6.3515) * CHOOSE(CONTROL!$C$21, $C$9, 100%, $E$9)</f>
        <v>6.3514999999999997</v>
      </c>
      <c r="P110" s="10">
        <f>CHOOSE(CONTROL!$C$42, 6.2942, 6.2942) * CHOOSE(CONTROL!$C$21, $C$9, 100%, $E$9)</f>
        <v>6.2942</v>
      </c>
      <c r="Q110" s="10">
        <f>CHOOSE(CONTROL!$C$42, 6.9468, 6.9468) * CHOOSE(CONTROL!$C$21, $C$9, 100%, $E$9)</f>
        <v>6.9467999999999996</v>
      </c>
      <c r="R110" s="10">
        <f>CHOOSE(CONTROL!$C$42, 7.5511, 7.5511) * CHOOSE(CONTROL!$C$21, $C$9, 100%, $E$9)</f>
        <v>7.5510999999999999</v>
      </c>
      <c r="S110" s="10">
        <f>CHOOSE(CONTROL!$C$42, 6.1642, 6.1642) * CHOOSE(CONTROL!$C$21, $C$9, 100%, $E$9)</f>
        <v>6.1642000000000001</v>
      </c>
      <c r="T1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38">
        <f>(1000*CHOOSE(CONTROL!$C$42, 695, 695)*CHOOSE(CONTROL!$C$42, 0.5599, 0.5599)*CHOOSE(CONTROL!$C$42, 28, 28))/1000000</f>
        <v>10.895653999999999</v>
      </c>
      <c r="V110" s="38">
        <f>(1000*CHOOSE(CONTROL!$C$42, 500, 500)*CHOOSE(CONTROL!$C$42, 0.275, 0.275)*CHOOSE(CONTROL!$C$42, 28, 28))/1000000</f>
        <v>3.85</v>
      </c>
      <c r="W110" s="38">
        <f>(1000*CHOOSE(CONTROL!$C$42, 0.1146, 0.1146)*CHOOSE(CONTROL!$C$42, 121.5, 121.5)*CHOOSE(CONTROL!$C$42, 28, 28))/1000000</f>
        <v>0.38986920000000003</v>
      </c>
      <c r="X110" s="38">
        <f>(28*0.1790888*100000/1000000)+(28*0.2374*100000/1000000)</f>
        <v>1.16616864</v>
      </c>
      <c r="Y110" s="38">
        <f>(1000*600*CHOOSE(CONTROL!$C$42, 1.7641, 1.7641)*CHOOSE(CONTROL!$C$42, 28, 28))/1000000</f>
        <v>29.636880000000001</v>
      </c>
      <c r="Z110" s="38"/>
      <c r="AA110" s="10"/>
      <c r="AB110" s="39"/>
      <c r="AC110" s="33">
        <f>(B110*122.58+C110*297.941+D110*89.177+E110*40.302+F110*40+G110*160+H110*0+I110*100+J110*300)/(122.58+297.941+89.177+40.302+0+40+160+100+300)</f>
        <v>6.3481946096521744</v>
      </c>
      <c r="AD110" s="27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6.3135287769784174</v>
      </c>
    </row>
    <row r="111" spans="1:30" ht="15" x14ac:dyDescent="0.2">
      <c r="A111" s="16">
        <v>44621</v>
      </c>
      <c r="B111" s="10">
        <f>CHOOSE(CONTROL!$C$42, 6.1697, 6.1697) * CHOOSE(CONTROL!$C$21, $C$9, 100%, $E$9)</f>
        <v>6.1696999999999997</v>
      </c>
      <c r="C111" s="10">
        <f>CHOOSE(CONTROL!$C$42, 6.1746, 6.1746) * CHOOSE(CONTROL!$C$21, $C$9, 100%, $E$9)</f>
        <v>6.1745999999999999</v>
      </c>
      <c r="D111" s="10">
        <f>CHOOSE(CONTROL!$C$42, 6.1991, 6.1991) * CHOOSE(CONTROL!$C$21, $C$9, 100%, $E$9)</f>
        <v>6.1990999999999996</v>
      </c>
      <c r="E111" s="10">
        <f>CHOOSE(CONTROL!$C$42, 6.2329, 6.2329) * CHOOSE(CONTROL!$C$21, $C$9, 100%, $E$9)</f>
        <v>6.2328999999999999</v>
      </c>
      <c r="F111" s="10">
        <f>CHOOSE(CONTROL!$C$42, 6.1504, 6.1504)*CHOOSE(CONTROL!$C$21, $C$9, 100%, $E$9)</f>
        <v>6.1504000000000003</v>
      </c>
      <c r="G111" s="10">
        <f>CHOOSE(CONTROL!$C$42, 6.1685, 6.1685)*CHOOSE(CONTROL!$C$21, $C$9, 100%, $E$9)</f>
        <v>6.1684999999999999</v>
      </c>
      <c r="H111" s="10">
        <f>CHOOSE(CONTROL!$C$42, 6.2221, 6.2221) * CHOOSE(CONTROL!$C$21, $C$9, 100%, $E$9)</f>
        <v>6.2221000000000002</v>
      </c>
      <c r="I111" s="10">
        <f>CHOOSE(CONTROL!$C$42, 6.1642, 6.1642)* CHOOSE(CONTROL!$C$21, $C$9, 100%, $E$9)</f>
        <v>6.1642000000000001</v>
      </c>
      <c r="J111" s="10">
        <f>CHOOSE(CONTROL!$C$42, 6.1434, 6.1434)* CHOOSE(CONTROL!$C$21, $C$9, 100%, $E$9)</f>
        <v>6.1433999999999997</v>
      </c>
      <c r="K111" s="10">
        <f>CHOOSE(CONTROL!$C$42, 6.1397, 6.1397) * CHOOSE(CONTROL!$C$21, $C$9, 100%, $E$9)</f>
        <v>6.1397000000000004</v>
      </c>
      <c r="L111" s="10">
        <f>CHOOSE(CONTROL!$C$42, 6.8091, 6.8091) * CHOOSE(CONTROL!$C$21, $C$9, 100%, $E$9)</f>
        <v>6.8090999999999999</v>
      </c>
      <c r="M111" s="10">
        <f>CHOOSE(CONTROL!$C$42, 6.0952, 6.0952) * CHOOSE(CONTROL!$C$21, $C$9, 100%, $E$9)</f>
        <v>6.0952000000000002</v>
      </c>
      <c r="N111" s="10">
        <f>CHOOSE(CONTROL!$C$42, 6.1131, 6.1131) * CHOOSE(CONTROL!$C$21, $C$9, 100%, $E$9)</f>
        <v>6.1131000000000002</v>
      </c>
      <c r="O111" s="10">
        <f>CHOOSE(CONTROL!$C$42, 6.1731, 6.1731) * CHOOSE(CONTROL!$C$21, $C$9, 100%, $E$9)</f>
        <v>6.1730999999999998</v>
      </c>
      <c r="P111" s="10">
        <f>CHOOSE(CONTROL!$C$42, 6.1158, 6.1158) * CHOOSE(CONTROL!$C$21, $C$9, 100%, $E$9)</f>
        <v>6.1158000000000001</v>
      </c>
      <c r="Q111" s="10">
        <f>CHOOSE(CONTROL!$C$42, 6.7684, 6.7684) * CHOOSE(CONTROL!$C$21, $C$9, 100%, $E$9)</f>
        <v>6.7683999999999997</v>
      </c>
      <c r="R111" s="10">
        <f>CHOOSE(CONTROL!$C$42, 7.3723, 7.3723) * CHOOSE(CONTROL!$C$21, $C$9, 100%, $E$9)</f>
        <v>7.3723000000000001</v>
      </c>
      <c r="S111" s="10">
        <f>CHOOSE(CONTROL!$C$42, 5.9892, 5.9892) * CHOOSE(CONTROL!$C$21, $C$9, 100%, $E$9)</f>
        <v>5.9892000000000003</v>
      </c>
      <c r="T1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38">
        <f>(1000*CHOOSE(CONTROL!$C$42, 695, 695)*CHOOSE(CONTROL!$C$42, 0.5599, 0.5599)*CHOOSE(CONTROL!$C$42, 31, 31))/1000000</f>
        <v>12.063045499999998</v>
      </c>
      <c r="V111" s="38">
        <f>(1000*CHOOSE(CONTROL!$C$42, 500, 500)*CHOOSE(CONTROL!$C$42, 0.275, 0.275)*CHOOSE(CONTROL!$C$42, 31, 31))/1000000</f>
        <v>4.2625000000000002</v>
      </c>
      <c r="W111" s="38">
        <f>(1000*CHOOSE(CONTROL!$C$42, 0.1146, 0.1146)*CHOOSE(CONTROL!$C$42, 121.5, 121.5)*CHOOSE(CONTROL!$C$42, 31, 31))/1000000</f>
        <v>0.43164089999999994</v>
      </c>
      <c r="X111" s="38">
        <f>(31*0.1790888*100000/1000000)+(31*0.2374*100000/1000000)</f>
        <v>1.2911152800000001</v>
      </c>
      <c r="Y111" s="38">
        <f>(1000*600*CHOOSE(CONTROL!$C$42, 1.7641, 1.7641)*CHOOSE(CONTROL!$C$42, 31, 31))/1000000</f>
        <v>32.812260000000002</v>
      </c>
      <c r="Z111" s="38"/>
      <c r="AA111" s="10"/>
      <c r="AB111" s="39"/>
      <c r="AC111" s="33">
        <f>(B111*122.58+C111*297.941+D111*89.177+E111*40.302+F111*40+G111*160+H111*0+I111*100+J111*300)/(122.58+297.941+89.177+40.302+0+40+160+100+300)</f>
        <v>6.167286783565217</v>
      </c>
      <c r="AD111" s="27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6.134501438848921</v>
      </c>
    </row>
    <row r="112" spans="1:30" ht="15" x14ac:dyDescent="0.2">
      <c r="A112" s="16">
        <v>44652</v>
      </c>
      <c r="B112" s="10">
        <f>CHOOSE(CONTROL!$C$42, 6.152, 6.152) * CHOOSE(CONTROL!$C$21, $C$9, 100%, $E$9)</f>
        <v>6.1520000000000001</v>
      </c>
      <c r="C112" s="10">
        <f>CHOOSE(CONTROL!$C$42, 6.1564, 6.1564) * CHOOSE(CONTROL!$C$21, $C$9, 100%, $E$9)</f>
        <v>6.1563999999999997</v>
      </c>
      <c r="D112" s="10">
        <f>CHOOSE(CONTROL!$C$42, 6.3365, 6.3365) * CHOOSE(CONTROL!$C$21, $C$9, 100%, $E$9)</f>
        <v>6.3365</v>
      </c>
      <c r="E112" s="10">
        <f>CHOOSE(CONTROL!$C$42, 6.3683, 6.3683) * CHOOSE(CONTROL!$C$21, $C$9, 100%, $E$9)</f>
        <v>6.3682999999999996</v>
      </c>
      <c r="F112" s="10">
        <f>CHOOSE(CONTROL!$C$42, 6.1173, 6.1173)*CHOOSE(CONTROL!$C$21, $C$9, 100%, $E$9)</f>
        <v>6.1173000000000002</v>
      </c>
      <c r="G112" s="10">
        <f>CHOOSE(CONTROL!$C$42, 6.1336, 6.1336)*CHOOSE(CONTROL!$C$21, $C$9, 100%, $E$9)</f>
        <v>6.1336000000000004</v>
      </c>
      <c r="H112" s="10">
        <f>CHOOSE(CONTROL!$C$42, 6.3581, 6.3581) * CHOOSE(CONTROL!$C$21, $C$9, 100%, $E$9)</f>
        <v>6.3581000000000003</v>
      </c>
      <c r="I112" s="10">
        <f>CHOOSE(CONTROL!$C$42, 6.138, 6.138)* CHOOSE(CONTROL!$C$21, $C$9, 100%, $E$9)</f>
        <v>6.1379999999999999</v>
      </c>
      <c r="J112" s="10">
        <f>CHOOSE(CONTROL!$C$42, 6.1103, 6.1103)* CHOOSE(CONTROL!$C$21, $C$9, 100%, $E$9)</f>
        <v>6.1102999999999996</v>
      </c>
      <c r="K112" s="10">
        <f>CHOOSE(CONTROL!$C$42, 6.0993, 6.0993) * CHOOSE(CONTROL!$C$21, $C$9, 100%, $E$9)</f>
        <v>6.0993000000000004</v>
      </c>
      <c r="L112" s="10">
        <f>CHOOSE(CONTROL!$C$42, 6.9451, 6.9451) * CHOOSE(CONTROL!$C$21, $C$9, 100%, $E$9)</f>
        <v>6.9451000000000001</v>
      </c>
      <c r="M112" s="10">
        <f>CHOOSE(CONTROL!$C$42, 6.0625, 6.0625) * CHOOSE(CONTROL!$C$21, $C$9, 100%, $E$9)</f>
        <v>6.0625</v>
      </c>
      <c r="N112" s="10">
        <f>CHOOSE(CONTROL!$C$42, 6.0786, 6.0786) * CHOOSE(CONTROL!$C$21, $C$9, 100%, $E$9)</f>
        <v>6.0785999999999998</v>
      </c>
      <c r="O112" s="10">
        <f>CHOOSE(CONTROL!$C$42, 6.3077, 6.3077) * CHOOSE(CONTROL!$C$21, $C$9, 100%, $E$9)</f>
        <v>6.3076999999999996</v>
      </c>
      <c r="P112" s="10">
        <f>CHOOSE(CONTROL!$C$42, 6.0899, 6.0899) * CHOOSE(CONTROL!$C$21, $C$9, 100%, $E$9)</f>
        <v>6.0899000000000001</v>
      </c>
      <c r="Q112" s="10">
        <f>CHOOSE(CONTROL!$C$42, 6.903, 6.903) * CHOOSE(CONTROL!$C$21, $C$9, 100%, $E$9)</f>
        <v>6.9029999999999996</v>
      </c>
      <c r="R112" s="10">
        <f>CHOOSE(CONTROL!$C$42, 7.5073, 7.5073) * CHOOSE(CONTROL!$C$21, $C$9, 100%, $E$9)</f>
        <v>7.5072999999999999</v>
      </c>
      <c r="S112" s="10">
        <f>CHOOSE(CONTROL!$C$42, 5.9713, 5.9713) * CHOOSE(CONTROL!$C$21, $C$9, 100%, $E$9)</f>
        <v>5.9713000000000003</v>
      </c>
      <c r="T1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38">
        <f>(1000*CHOOSE(CONTROL!$C$42, 695, 695)*CHOOSE(CONTROL!$C$42, 0.5599, 0.5599)*CHOOSE(CONTROL!$C$42, 30, 30))/1000000</f>
        <v>11.673914999999997</v>
      </c>
      <c r="V112" s="38">
        <f>(1000*CHOOSE(CONTROL!$C$42, 500, 500)*CHOOSE(CONTROL!$C$42, 0.275, 0.275)*CHOOSE(CONTROL!$C$42, 30, 30))/1000000</f>
        <v>4.125</v>
      </c>
      <c r="W112" s="38">
        <f>(1000*CHOOSE(CONTROL!$C$42, 0.1146, 0.1146)*CHOOSE(CONTROL!$C$42, 121.5, 121.5)*CHOOSE(CONTROL!$C$42, 30, 30))/1000000</f>
        <v>0.417717</v>
      </c>
      <c r="X112" s="38">
        <f>(30*0.1790888*245000/1000000)+(30*0.2374*100000/1000000)</f>
        <v>2.0285026799999999</v>
      </c>
      <c r="Y112" s="38">
        <f>(1000*600*CHOOSE(CONTROL!$C$42, 1.7641, 1.7641)*CHOOSE(CONTROL!$C$42, 30, 30))/1000000</f>
        <v>31.753799999999998</v>
      </c>
      <c r="Z112" s="38"/>
      <c r="AA112" s="10"/>
      <c r="AB112" s="39"/>
      <c r="AC112" s="33">
        <f>(B112*141.293+C112*267.993+D112*115.016+E112*89.698+F112*40+G112*185+H112*0+I112*100+J112*300)/(141.293+267.993+115.016+89.698+0+40+185+100+300)</f>
        <v>6.1706435016949159</v>
      </c>
      <c r="AD112" s="27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6.1389460431654674</v>
      </c>
    </row>
    <row r="113" spans="1:30" ht="15" x14ac:dyDescent="0.2">
      <c r="A113" s="16">
        <v>44682</v>
      </c>
      <c r="B113" s="10">
        <f>CHOOSE(CONTROL!$C$42, 6.2081, 6.2081) * CHOOSE(CONTROL!$C$21, $C$9, 100%, $E$9)</f>
        <v>6.2081</v>
      </c>
      <c r="C113" s="10">
        <f>CHOOSE(CONTROL!$C$42, 6.216, 6.216) * CHOOSE(CONTROL!$C$21, $C$9, 100%, $E$9)</f>
        <v>6.2160000000000002</v>
      </c>
      <c r="D113" s="10">
        <f>CHOOSE(CONTROL!$C$42, 6.393, 6.393) * CHOOSE(CONTROL!$C$21, $C$9, 100%, $E$9)</f>
        <v>6.3929999999999998</v>
      </c>
      <c r="E113" s="10">
        <f>CHOOSE(CONTROL!$C$42, 6.4241, 6.4241) * CHOOSE(CONTROL!$C$21, $C$9, 100%, $E$9)</f>
        <v>6.4241000000000001</v>
      </c>
      <c r="F113" s="10">
        <f>CHOOSE(CONTROL!$C$42, 6.1714, 6.1714)*CHOOSE(CONTROL!$C$21, $C$9, 100%, $E$9)</f>
        <v>6.1714000000000002</v>
      </c>
      <c r="G113" s="10">
        <f>CHOOSE(CONTROL!$C$42, 6.1879, 6.1879)*CHOOSE(CONTROL!$C$21, $C$9, 100%, $E$9)</f>
        <v>6.1879</v>
      </c>
      <c r="H113" s="10">
        <f>CHOOSE(CONTROL!$C$42, 6.4127, 6.4127) * CHOOSE(CONTROL!$C$21, $C$9, 100%, $E$9)</f>
        <v>6.4127000000000001</v>
      </c>
      <c r="I113" s="10">
        <f>CHOOSE(CONTROL!$C$42, 6.1926, 6.1926)* CHOOSE(CONTROL!$C$21, $C$9, 100%, $E$9)</f>
        <v>6.1925999999999997</v>
      </c>
      <c r="J113" s="10">
        <f>CHOOSE(CONTROL!$C$42, 6.1644, 6.1644)* CHOOSE(CONTROL!$C$21, $C$9, 100%, $E$9)</f>
        <v>6.1643999999999997</v>
      </c>
      <c r="K113" s="10">
        <f>CHOOSE(CONTROL!$C$42, 6.1511, 6.1511) * CHOOSE(CONTROL!$C$21, $C$9, 100%, $E$9)</f>
        <v>6.1510999999999996</v>
      </c>
      <c r="L113" s="10">
        <f>CHOOSE(CONTROL!$C$42, 6.9997, 6.9997) * CHOOSE(CONTROL!$C$21, $C$9, 100%, $E$9)</f>
        <v>6.9996999999999998</v>
      </c>
      <c r="M113" s="10">
        <f>CHOOSE(CONTROL!$C$42, 6.116, 6.116) * CHOOSE(CONTROL!$C$21, $C$9, 100%, $E$9)</f>
        <v>6.1159999999999997</v>
      </c>
      <c r="N113" s="10">
        <f>CHOOSE(CONTROL!$C$42, 6.1324, 6.1324) * CHOOSE(CONTROL!$C$21, $C$9, 100%, $E$9)</f>
        <v>6.1323999999999996</v>
      </c>
      <c r="O113" s="10">
        <f>CHOOSE(CONTROL!$C$42, 6.3618, 6.3618) * CHOOSE(CONTROL!$C$21, $C$9, 100%, $E$9)</f>
        <v>6.3617999999999997</v>
      </c>
      <c r="P113" s="10">
        <f>CHOOSE(CONTROL!$C$42, 6.144, 6.144) * CHOOSE(CONTROL!$C$21, $C$9, 100%, $E$9)</f>
        <v>6.1440000000000001</v>
      </c>
      <c r="Q113" s="10">
        <f>CHOOSE(CONTROL!$C$42, 6.9571, 6.9571) * CHOOSE(CONTROL!$C$21, $C$9, 100%, $E$9)</f>
        <v>6.9570999999999996</v>
      </c>
      <c r="R113" s="10">
        <f>CHOOSE(CONTROL!$C$42, 7.5615, 7.5615) * CHOOSE(CONTROL!$C$21, $C$9, 100%, $E$9)</f>
        <v>7.5614999999999997</v>
      </c>
      <c r="S113" s="10">
        <f>CHOOSE(CONTROL!$C$42, 6.0244, 6.0244) * CHOOSE(CONTROL!$C$21, $C$9, 100%, $E$9)</f>
        <v>6.0244</v>
      </c>
      <c r="T1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38">
        <f>(1000*CHOOSE(CONTROL!$C$42, 695, 695)*CHOOSE(CONTROL!$C$42, 0.5599, 0.5599)*CHOOSE(CONTROL!$C$42, 31, 31))/1000000</f>
        <v>12.063045499999998</v>
      </c>
      <c r="V113" s="38">
        <f>(1000*CHOOSE(CONTROL!$C$42, 500, 500)*CHOOSE(CONTROL!$C$42, 0.275, 0.275)*CHOOSE(CONTROL!$C$42, 31, 31))/1000000</f>
        <v>4.2625000000000002</v>
      </c>
      <c r="W113" s="38">
        <f>(1000*CHOOSE(CONTROL!$C$42, 0.1146, 0.1146)*CHOOSE(CONTROL!$C$42, 121.5, 121.5)*CHOOSE(CONTROL!$C$42, 31, 31))/1000000</f>
        <v>0.43164089999999994</v>
      </c>
      <c r="X113" s="38">
        <f>(31*0.1790888*245000/1000000)+(31*0.2374*100000/1000000)</f>
        <v>2.0961194359999999</v>
      </c>
      <c r="Y113" s="38">
        <f>(1000*600*CHOOSE(CONTROL!$C$42, 1.7641, 1.7641)*CHOOSE(CONTROL!$C$42, 31, 31))/1000000</f>
        <v>32.812260000000002</v>
      </c>
      <c r="Z113" s="38"/>
      <c r="AA113" s="10"/>
      <c r="AB113" s="39"/>
      <c r="AC113" s="33">
        <f>(B113*194.205+C113*267.466+D113*133.845+E113*53.484+F113*40+G113*185+H113*0+I113*100+J113*300)/(194.205+267.466+133.845+53.484+0+40+185+100+300)</f>
        <v>6.2226592354003145</v>
      </c>
      <c r="AD113" s="27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6.1927697841726612</v>
      </c>
    </row>
    <row r="114" spans="1:30" ht="15" x14ac:dyDescent="0.2">
      <c r="A114" s="16">
        <v>44713</v>
      </c>
      <c r="B114" s="10">
        <f>CHOOSE(CONTROL!$C$42, 6.384, 6.384) * CHOOSE(CONTROL!$C$21, $C$9, 100%, $E$9)</f>
        <v>6.3840000000000003</v>
      </c>
      <c r="C114" s="10">
        <f>CHOOSE(CONTROL!$C$42, 6.3919, 6.3919) * CHOOSE(CONTROL!$C$21, $C$9, 100%, $E$9)</f>
        <v>6.3918999999999997</v>
      </c>
      <c r="D114" s="10">
        <f>CHOOSE(CONTROL!$C$42, 6.5689, 6.5689) * CHOOSE(CONTROL!$C$21, $C$9, 100%, $E$9)</f>
        <v>6.5689000000000002</v>
      </c>
      <c r="E114" s="10">
        <f>CHOOSE(CONTROL!$C$42, 6.6, 6.6) * CHOOSE(CONTROL!$C$21, $C$9, 100%, $E$9)</f>
        <v>6.6</v>
      </c>
      <c r="F114" s="10">
        <f>CHOOSE(CONTROL!$C$42, 6.3475, 6.3475)*CHOOSE(CONTROL!$C$21, $C$9, 100%, $E$9)</f>
        <v>6.3475000000000001</v>
      </c>
      <c r="G114" s="10">
        <f>CHOOSE(CONTROL!$C$42, 6.3641, 6.3641)*CHOOSE(CONTROL!$C$21, $C$9, 100%, $E$9)</f>
        <v>6.3640999999999996</v>
      </c>
      <c r="H114" s="10">
        <f>CHOOSE(CONTROL!$C$42, 6.5887, 6.5887) * CHOOSE(CONTROL!$C$21, $C$9, 100%, $E$9)</f>
        <v>6.5887000000000002</v>
      </c>
      <c r="I114" s="10">
        <f>CHOOSE(CONTROL!$C$42, 6.3686, 6.3686)* CHOOSE(CONTROL!$C$21, $C$9, 100%, $E$9)</f>
        <v>6.3685999999999998</v>
      </c>
      <c r="J114" s="10">
        <f>CHOOSE(CONTROL!$C$42, 6.3405, 6.3405)* CHOOSE(CONTROL!$C$21, $C$9, 100%, $E$9)</f>
        <v>6.3404999999999996</v>
      </c>
      <c r="K114" s="10">
        <f>CHOOSE(CONTROL!$C$42, 6.3225, 6.3225) * CHOOSE(CONTROL!$C$21, $C$9, 100%, $E$9)</f>
        <v>6.3224999999999998</v>
      </c>
      <c r="L114" s="10">
        <f>CHOOSE(CONTROL!$C$42, 7.1757, 7.1757) * CHOOSE(CONTROL!$C$21, $C$9, 100%, $E$9)</f>
        <v>7.1757</v>
      </c>
      <c r="M114" s="10">
        <f>CHOOSE(CONTROL!$C$42, 6.2904, 6.2904) * CHOOSE(CONTROL!$C$21, $C$9, 100%, $E$9)</f>
        <v>6.2904</v>
      </c>
      <c r="N114" s="10">
        <f>CHOOSE(CONTROL!$C$42, 6.3067, 6.3067) * CHOOSE(CONTROL!$C$21, $C$9, 100%, $E$9)</f>
        <v>6.3067000000000002</v>
      </c>
      <c r="O114" s="10">
        <f>CHOOSE(CONTROL!$C$42, 6.536, 6.536) * CHOOSE(CONTROL!$C$21, $C$9, 100%, $E$9)</f>
        <v>6.5359999999999996</v>
      </c>
      <c r="P114" s="10">
        <f>CHOOSE(CONTROL!$C$42, 6.3182, 6.3182) * CHOOSE(CONTROL!$C$21, $C$9, 100%, $E$9)</f>
        <v>6.3182</v>
      </c>
      <c r="Q114" s="10">
        <f>CHOOSE(CONTROL!$C$42, 7.1313, 7.1313) * CHOOSE(CONTROL!$C$21, $C$9, 100%, $E$9)</f>
        <v>7.1313000000000004</v>
      </c>
      <c r="R114" s="10">
        <f>CHOOSE(CONTROL!$C$42, 7.7361, 7.7361) * CHOOSE(CONTROL!$C$21, $C$9, 100%, $E$9)</f>
        <v>7.7361000000000004</v>
      </c>
      <c r="S114" s="10">
        <f>CHOOSE(CONTROL!$C$42, 6.1953, 6.1953) * CHOOSE(CONTROL!$C$21, $C$9, 100%, $E$9)</f>
        <v>6.1952999999999996</v>
      </c>
      <c r="T1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38">
        <f>(1000*CHOOSE(CONTROL!$C$42, 695, 695)*CHOOSE(CONTROL!$C$42, 0.5599, 0.5599)*CHOOSE(CONTROL!$C$42, 30, 30))/1000000</f>
        <v>11.673914999999997</v>
      </c>
      <c r="V114" s="38">
        <f>(1000*CHOOSE(CONTROL!$C$42, 500, 500)*CHOOSE(CONTROL!$C$42, 0.275, 0.275)*CHOOSE(CONTROL!$C$42, 30, 30))/1000000</f>
        <v>4.125</v>
      </c>
      <c r="W114" s="38">
        <f>(1000*CHOOSE(CONTROL!$C$42, 0.1146, 0.1146)*CHOOSE(CONTROL!$C$42, 121.5, 121.5)*CHOOSE(CONTROL!$C$42, 30, 30))/1000000</f>
        <v>0.417717</v>
      </c>
      <c r="X114" s="38">
        <f>(30*0.1790888*245000/1000000)+(30*0.2374*100000/1000000)</f>
        <v>2.0285026799999999</v>
      </c>
      <c r="Y114" s="38">
        <f>(1000*600*CHOOSE(CONTROL!$C$42, 1.7641, 1.7641)*CHOOSE(CONTROL!$C$42, 30, 30))/1000000</f>
        <v>31.753799999999998</v>
      </c>
      <c r="Z114" s="38"/>
      <c r="AA114" s="10"/>
      <c r="AB114" s="39"/>
      <c r="AC114" s="33">
        <f>(B114*194.205+C114*267.466+D114*133.845+E114*53.484+F114*40+G114*185+H114*0+I114*100+J114*300)/(194.205+267.466+133.845+53.484+0+40+185+100+300)</f>
        <v>6.3986640234693866</v>
      </c>
      <c r="AD114" s="27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6.3670618705035977</v>
      </c>
    </row>
    <row r="115" spans="1:30" ht="15" x14ac:dyDescent="0.2">
      <c r="A115" s="16">
        <v>44743</v>
      </c>
      <c r="B115" s="10">
        <f>CHOOSE(CONTROL!$C$42, 6.2616, 6.2616) * CHOOSE(CONTROL!$C$21, $C$9, 100%, $E$9)</f>
        <v>6.2615999999999996</v>
      </c>
      <c r="C115" s="10">
        <f>CHOOSE(CONTROL!$C$42, 6.2695, 6.2695) * CHOOSE(CONTROL!$C$21, $C$9, 100%, $E$9)</f>
        <v>6.2694999999999999</v>
      </c>
      <c r="D115" s="10">
        <f>CHOOSE(CONTROL!$C$42, 6.4465, 6.4465) * CHOOSE(CONTROL!$C$21, $C$9, 100%, $E$9)</f>
        <v>6.4465000000000003</v>
      </c>
      <c r="E115" s="10">
        <f>CHOOSE(CONTROL!$C$42, 6.4777, 6.4777) * CHOOSE(CONTROL!$C$21, $C$9, 100%, $E$9)</f>
        <v>6.4776999999999996</v>
      </c>
      <c r="F115" s="10">
        <f>CHOOSE(CONTROL!$C$42, 6.2254, 6.2254)*CHOOSE(CONTROL!$C$21, $C$9, 100%, $E$9)</f>
        <v>6.2253999999999996</v>
      </c>
      <c r="G115" s="10">
        <f>CHOOSE(CONTROL!$C$42, 6.242, 6.242)*CHOOSE(CONTROL!$C$21, $C$9, 100%, $E$9)</f>
        <v>6.242</v>
      </c>
      <c r="H115" s="10">
        <f>CHOOSE(CONTROL!$C$42, 6.4663, 6.4663) * CHOOSE(CONTROL!$C$21, $C$9, 100%, $E$9)</f>
        <v>6.4663000000000004</v>
      </c>
      <c r="I115" s="10">
        <f>CHOOSE(CONTROL!$C$42, 6.2462, 6.2462)* CHOOSE(CONTROL!$C$21, $C$9, 100%, $E$9)</f>
        <v>6.2462</v>
      </c>
      <c r="J115" s="10">
        <f>CHOOSE(CONTROL!$C$42, 6.2184, 6.2184)* CHOOSE(CONTROL!$C$21, $C$9, 100%, $E$9)</f>
        <v>6.2183999999999999</v>
      </c>
      <c r="K115" s="10">
        <f>CHOOSE(CONTROL!$C$42, 6.2041, 6.2041) * CHOOSE(CONTROL!$C$21, $C$9, 100%, $E$9)</f>
        <v>6.2041000000000004</v>
      </c>
      <c r="L115" s="10">
        <f>CHOOSE(CONTROL!$C$42, 7.0533, 7.0533) * CHOOSE(CONTROL!$C$21, $C$9, 100%, $E$9)</f>
        <v>7.0533000000000001</v>
      </c>
      <c r="M115" s="10">
        <f>CHOOSE(CONTROL!$C$42, 6.1695, 6.1695) * CHOOSE(CONTROL!$C$21, $C$9, 100%, $E$9)</f>
        <v>6.1695000000000002</v>
      </c>
      <c r="N115" s="10">
        <f>CHOOSE(CONTROL!$C$42, 6.1859, 6.1859) * CHOOSE(CONTROL!$C$21, $C$9, 100%, $E$9)</f>
        <v>6.1859000000000002</v>
      </c>
      <c r="O115" s="10">
        <f>CHOOSE(CONTROL!$C$42, 6.4149, 6.4149) * CHOOSE(CONTROL!$C$21, $C$9, 100%, $E$9)</f>
        <v>6.4149000000000003</v>
      </c>
      <c r="P115" s="10">
        <f>CHOOSE(CONTROL!$C$42, 6.1971, 6.1971) * CHOOSE(CONTROL!$C$21, $C$9, 100%, $E$9)</f>
        <v>6.1970999999999998</v>
      </c>
      <c r="Q115" s="10">
        <f>CHOOSE(CONTROL!$C$42, 7.0102, 7.0102) * CHOOSE(CONTROL!$C$21, $C$9, 100%, $E$9)</f>
        <v>7.0102000000000002</v>
      </c>
      <c r="R115" s="10">
        <f>CHOOSE(CONTROL!$C$42, 7.6147, 7.6147) * CHOOSE(CONTROL!$C$21, $C$9, 100%, $E$9)</f>
        <v>7.6147</v>
      </c>
      <c r="S115" s="10">
        <f>CHOOSE(CONTROL!$C$42, 6.0764, 6.0764) * CHOOSE(CONTROL!$C$21, $C$9, 100%, $E$9)</f>
        <v>6.0763999999999996</v>
      </c>
      <c r="T1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38">
        <f>(1000*CHOOSE(CONTROL!$C$42, 695, 695)*CHOOSE(CONTROL!$C$42, 0.5599, 0.5599)*CHOOSE(CONTROL!$C$42, 31, 31))/1000000</f>
        <v>12.063045499999998</v>
      </c>
      <c r="V115" s="38">
        <f>(1000*CHOOSE(CONTROL!$C$42, 500, 500)*CHOOSE(CONTROL!$C$42, 0.275, 0.275)*CHOOSE(CONTROL!$C$42, 31, 31))/1000000</f>
        <v>4.2625000000000002</v>
      </c>
      <c r="W115" s="38">
        <f>(1000*CHOOSE(CONTROL!$C$42, 0.1146, 0.1146)*CHOOSE(CONTROL!$C$42, 121.5, 121.5)*CHOOSE(CONTROL!$C$42, 31, 31))/1000000</f>
        <v>0.43164089999999994</v>
      </c>
      <c r="X115" s="38">
        <f>(31*0.1790888*245000/1000000)+(31*0.2374*100000/1000000)</f>
        <v>2.0961194359999999</v>
      </c>
      <c r="Y115" s="38">
        <f>(1000*600*CHOOSE(CONTROL!$C$42, 1.7641, 1.7641)*CHOOSE(CONTROL!$C$42, 31, 31))/1000000</f>
        <v>32.812260000000002</v>
      </c>
      <c r="Z115" s="38"/>
      <c r="AA115" s="10"/>
      <c r="AB115" s="39"/>
      <c r="AC115" s="33">
        <f>(B115*194.205+C115*267.466+D115*133.845+E115*53.484+F115*40+G115*185+H115*0+I115*100+J115*300)/(194.205+267.466+133.845+53.484+0+40+185+100+300)</f>
        <v>6.2763918479591831</v>
      </c>
      <c r="AD115" s="27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6.2461000000000002</v>
      </c>
    </row>
    <row r="116" spans="1:30" ht="15" x14ac:dyDescent="0.2">
      <c r="A116" s="16">
        <v>44774</v>
      </c>
      <c r="B116" s="10">
        <f>CHOOSE(CONTROL!$C$42, 5.9526, 5.9526) * CHOOSE(CONTROL!$C$21, $C$9, 100%, $E$9)</f>
        <v>5.9526000000000003</v>
      </c>
      <c r="C116" s="10">
        <f>CHOOSE(CONTROL!$C$42, 5.9605, 5.9605) * CHOOSE(CONTROL!$C$21, $C$9, 100%, $E$9)</f>
        <v>5.9604999999999997</v>
      </c>
      <c r="D116" s="10">
        <f>CHOOSE(CONTROL!$C$42, 6.1375, 6.1375) * CHOOSE(CONTROL!$C$21, $C$9, 100%, $E$9)</f>
        <v>6.1375000000000002</v>
      </c>
      <c r="E116" s="10">
        <f>CHOOSE(CONTROL!$C$42, 6.1687, 6.1687) * CHOOSE(CONTROL!$C$21, $C$9, 100%, $E$9)</f>
        <v>6.1687000000000003</v>
      </c>
      <c r="F116" s="10">
        <f>CHOOSE(CONTROL!$C$42, 5.9164, 5.9164)*CHOOSE(CONTROL!$C$21, $C$9, 100%, $E$9)</f>
        <v>5.9164000000000003</v>
      </c>
      <c r="G116" s="10">
        <f>CHOOSE(CONTROL!$C$42, 5.9331, 5.9331)*CHOOSE(CONTROL!$C$21, $C$9, 100%, $E$9)</f>
        <v>5.9330999999999996</v>
      </c>
      <c r="H116" s="10">
        <f>CHOOSE(CONTROL!$C$42, 6.1573, 6.1573) * CHOOSE(CONTROL!$C$21, $C$9, 100%, $E$9)</f>
        <v>6.1573000000000002</v>
      </c>
      <c r="I116" s="10">
        <f>CHOOSE(CONTROL!$C$42, 5.9372, 5.9372)* CHOOSE(CONTROL!$C$21, $C$9, 100%, $E$9)</f>
        <v>5.9371999999999998</v>
      </c>
      <c r="J116" s="10">
        <f>CHOOSE(CONTROL!$C$42, 5.9094, 5.9094)* CHOOSE(CONTROL!$C$21, $C$9, 100%, $E$9)</f>
        <v>5.9093999999999998</v>
      </c>
      <c r="K116" s="10">
        <f>CHOOSE(CONTROL!$C$42, 5.904, 5.904) * CHOOSE(CONTROL!$C$21, $C$9, 100%, $E$9)</f>
        <v>5.9039999999999999</v>
      </c>
      <c r="L116" s="10">
        <f>CHOOSE(CONTROL!$C$42, 6.7443, 6.7443) * CHOOSE(CONTROL!$C$21, $C$9, 100%, $E$9)</f>
        <v>6.7443</v>
      </c>
      <c r="M116" s="10">
        <f>CHOOSE(CONTROL!$C$42, 5.8636, 5.8636) * CHOOSE(CONTROL!$C$21, $C$9, 100%, $E$9)</f>
        <v>5.8635999999999999</v>
      </c>
      <c r="N116" s="10">
        <f>CHOOSE(CONTROL!$C$42, 5.8801, 5.8801) * CHOOSE(CONTROL!$C$21, $C$9, 100%, $E$9)</f>
        <v>5.8800999999999997</v>
      </c>
      <c r="O116" s="10">
        <f>CHOOSE(CONTROL!$C$42, 6.109, 6.109) * CHOOSE(CONTROL!$C$21, $C$9, 100%, $E$9)</f>
        <v>6.109</v>
      </c>
      <c r="P116" s="10">
        <f>CHOOSE(CONTROL!$C$42, 5.8911, 5.8911) * CHOOSE(CONTROL!$C$21, $C$9, 100%, $E$9)</f>
        <v>5.8910999999999998</v>
      </c>
      <c r="Q116" s="10">
        <f>CHOOSE(CONTROL!$C$42, 6.7043, 6.7043) * CHOOSE(CONTROL!$C$21, $C$9, 100%, $E$9)</f>
        <v>6.7042999999999999</v>
      </c>
      <c r="R116" s="10">
        <f>CHOOSE(CONTROL!$C$42, 7.308, 7.308) * CHOOSE(CONTROL!$C$21, $C$9, 100%, $E$9)</f>
        <v>7.3079999999999998</v>
      </c>
      <c r="S116" s="10">
        <f>CHOOSE(CONTROL!$C$42, 5.7763, 5.7763) * CHOOSE(CONTROL!$C$21, $C$9, 100%, $E$9)</f>
        <v>5.7763</v>
      </c>
      <c r="T1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38">
        <f>(1000*CHOOSE(CONTROL!$C$42, 695, 695)*CHOOSE(CONTROL!$C$42, 0.5599, 0.5599)*CHOOSE(CONTROL!$C$42, 31, 31))/1000000</f>
        <v>12.063045499999998</v>
      </c>
      <c r="V116" s="38">
        <f>(1000*CHOOSE(CONTROL!$C$42, 500, 500)*CHOOSE(CONTROL!$C$42, 0.275, 0.275)*CHOOSE(CONTROL!$C$42, 31, 31))/1000000</f>
        <v>4.2625000000000002</v>
      </c>
      <c r="W116" s="38">
        <f>(1000*CHOOSE(CONTROL!$C$42, 0.1146, 0.1146)*CHOOSE(CONTROL!$C$42, 121.5, 121.5)*CHOOSE(CONTROL!$C$42, 31, 31))/1000000</f>
        <v>0.43164089999999994</v>
      </c>
      <c r="X116" s="38">
        <f>(31*0.1790888*245000/1000000)+(31*0.2374*100000/1000000)</f>
        <v>2.0961194359999999</v>
      </c>
      <c r="Y116" s="38">
        <f>(1000*600*CHOOSE(CONTROL!$C$42, 1.7641, 1.7641)*CHOOSE(CONTROL!$C$42, 31, 31))/1000000</f>
        <v>32.812260000000002</v>
      </c>
      <c r="Z116" s="38"/>
      <c r="AA116" s="10"/>
      <c r="AB116" s="39"/>
      <c r="AC116" s="33">
        <f>(B116*194.205+C116*267.466+D116*133.845+E116*53.484+F116*40+G116*185+H116*0+I116*100+J116*300)/(194.205+267.466+133.845+53.484+0+40+185+100+300)</f>
        <v>5.9674063691522763</v>
      </c>
      <c r="AD116" s="27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5.9402086330935244</v>
      </c>
    </row>
    <row r="117" spans="1:30" ht="15" x14ac:dyDescent="0.2">
      <c r="A117" s="16">
        <v>44805</v>
      </c>
      <c r="B117" s="10">
        <f>CHOOSE(CONTROL!$C$42, 5.575, 5.575) * CHOOSE(CONTROL!$C$21, $C$9, 100%, $E$9)</f>
        <v>5.5750000000000002</v>
      </c>
      <c r="C117" s="10">
        <f>CHOOSE(CONTROL!$C$42, 5.583, 5.583) * CHOOSE(CONTROL!$C$21, $C$9, 100%, $E$9)</f>
        <v>5.5830000000000002</v>
      </c>
      <c r="D117" s="10">
        <f>CHOOSE(CONTROL!$C$42, 5.7599, 5.7599) * CHOOSE(CONTROL!$C$21, $C$9, 100%, $E$9)</f>
        <v>5.7599</v>
      </c>
      <c r="E117" s="10">
        <f>CHOOSE(CONTROL!$C$42, 5.7911, 5.7911) * CHOOSE(CONTROL!$C$21, $C$9, 100%, $E$9)</f>
        <v>5.7911000000000001</v>
      </c>
      <c r="F117" s="10">
        <f>CHOOSE(CONTROL!$C$42, 5.5386, 5.5386)*CHOOSE(CONTROL!$C$21, $C$9, 100%, $E$9)</f>
        <v>5.5385999999999997</v>
      </c>
      <c r="G117" s="10">
        <f>CHOOSE(CONTROL!$C$42, 5.5552, 5.5552)*CHOOSE(CONTROL!$C$21, $C$9, 100%, $E$9)</f>
        <v>5.5552000000000001</v>
      </c>
      <c r="H117" s="10">
        <f>CHOOSE(CONTROL!$C$42, 5.7797, 5.7797) * CHOOSE(CONTROL!$C$21, $C$9, 100%, $E$9)</f>
        <v>5.7797000000000001</v>
      </c>
      <c r="I117" s="10">
        <f>CHOOSE(CONTROL!$C$42, 5.5596, 5.5596)* CHOOSE(CONTROL!$C$21, $C$9, 100%, $E$9)</f>
        <v>5.5595999999999997</v>
      </c>
      <c r="J117" s="10">
        <f>CHOOSE(CONTROL!$C$42, 5.5316, 5.5316)* CHOOSE(CONTROL!$C$21, $C$9, 100%, $E$9)</f>
        <v>5.5316000000000001</v>
      </c>
      <c r="K117" s="10">
        <f>CHOOSE(CONTROL!$C$42, 5.5366, 5.5366) * CHOOSE(CONTROL!$C$21, $C$9, 100%, $E$9)</f>
        <v>5.5366</v>
      </c>
      <c r="L117" s="10">
        <f>CHOOSE(CONTROL!$C$42, 6.3667, 6.3667) * CHOOSE(CONTROL!$C$21, $C$9, 100%, $E$9)</f>
        <v>6.3666999999999998</v>
      </c>
      <c r="M117" s="10">
        <f>CHOOSE(CONTROL!$C$42, 5.4896, 5.4896) * CHOOSE(CONTROL!$C$21, $C$9, 100%, $E$9)</f>
        <v>5.4896000000000003</v>
      </c>
      <c r="N117" s="10">
        <f>CHOOSE(CONTROL!$C$42, 5.506, 5.506) * CHOOSE(CONTROL!$C$21, $C$9, 100%, $E$9)</f>
        <v>5.5060000000000002</v>
      </c>
      <c r="O117" s="10">
        <f>CHOOSE(CONTROL!$C$42, 5.7352, 5.7352) * CHOOSE(CONTROL!$C$21, $C$9, 100%, $E$9)</f>
        <v>5.7351999999999999</v>
      </c>
      <c r="P117" s="10">
        <f>CHOOSE(CONTROL!$C$42, 5.5174, 5.5174) * CHOOSE(CONTROL!$C$21, $C$9, 100%, $E$9)</f>
        <v>5.5174000000000003</v>
      </c>
      <c r="Q117" s="10">
        <f>CHOOSE(CONTROL!$C$42, 6.3305, 6.3305) * CHOOSE(CONTROL!$C$21, $C$9, 100%, $E$9)</f>
        <v>6.3304999999999998</v>
      </c>
      <c r="R117" s="10">
        <f>CHOOSE(CONTROL!$C$42, 6.9333, 6.9333) * CHOOSE(CONTROL!$C$21, $C$9, 100%, $E$9)</f>
        <v>6.9333</v>
      </c>
      <c r="S117" s="10">
        <f>CHOOSE(CONTROL!$C$42, 5.4097, 5.4097) * CHOOSE(CONTROL!$C$21, $C$9, 100%, $E$9)</f>
        <v>5.4097</v>
      </c>
      <c r="T1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38">
        <f>(1000*CHOOSE(CONTROL!$C$42, 695, 695)*CHOOSE(CONTROL!$C$42, 0.5599, 0.5599)*CHOOSE(CONTROL!$C$42, 30, 30))/1000000</f>
        <v>11.673914999999997</v>
      </c>
      <c r="V117" s="38">
        <f>(1000*CHOOSE(CONTROL!$C$42, 500, 500)*CHOOSE(CONTROL!$C$42, 0.275, 0.275)*CHOOSE(CONTROL!$C$42, 30, 30))/1000000</f>
        <v>4.125</v>
      </c>
      <c r="W117" s="38">
        <f>(1000*CHOOSE(CONTROL!$C$42, 0.1146, 0.1146)*CHOOSE(CONTROL!$C$42, 121.5, 121.5)*CHOOSE(CONTROL!$C$42, 30, 30))/1000000</f>
        <v>0.417717</v>
      </c>
      <c r="X117" s="38">
        <f>(30*0.1790888*245000/1000000)+(30*0.2374*100000/1000000)</f>
        <v>2.0285026799999999</v>
      </c>
      <c r="Y117" s="38">
        <f>(1000*600*CHOOSE(CONTROL!$C$42, 1.7641, 1.7641)*CHOOSE(CONTROL!$C$42, 30, 30))/1000000</f>
        <v>31.753799999999998</v>
      </c>
      <c r="Z117" s="38"/>
      <c r="AA117" s="10"/>
      <c r="AB117" s="39"/>
      <c r="AC117" s="33">
        <f>(B117*194.205+C117*267.466+D117*133.845+E117*53.484+F117*40+G117*185+H117*0+I117*100+J117*300)/(194.205+267.466+133.845+53.484+0+40+185+100+300)</f>
        <v>5.5897304245682893</v>
      </c>
      <c r="AD117" s="27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5.5662848920863315</v>
      </c>
    </row>
    <row r="118" spans="1:30" ht="15" x14ac:dyDescent="0.2">
      <c r="A118" s="16">
        <v>44835</v>
      </c>
      <c r="B118" s="10">
        <f>CHOOSE(CONTROL!$C$42, 5.4598, 5.4598) * CHOOSE(CONTROL!$C$21, $C$9, 100%, $E$9)</f>
        <v>5.4598000000000004</v>
      </c>
      <c r="C118" s="10">
        <f>CHOOSE(CONTROL!$C$42, 5.465, 5.465) * CHOOSE(CONTROL!$C$21, $C$9, 100%, $E$9)</f>
        <v>5.4649999999999999</v>
      </c>
      <c r="D118" s="10">
        <f>CHOOSE(CONTROL!$C$42, 5.647, 5.647) * CHOOSE(CONTROL!$C$21, $C$9, 100%, $E$9)</f>
        <v>5.6470000000000002</v>
      </c>
      <c r="E118" s="10">
        <f>CHOOSE(CONTROL!$C$42, 5.6758, 5.6758) * CHOOSE(CONTROL!$C$21, $C$9, 100%, $E$9)</f>
        <v>5.6757999999999997</v>
      </c>
      <c r="F118" s="10">
        <f>CHOOSE(CONTROL!$C$42, 5.4254, 5.4254)*CHOOSE(CONTROL!$C$21, $C$9, 100%, $E$9)</f>
        <v>5.4253999999999998</v>
      </c>
      <c r="G118" s="10">
        <f>CHOOSE(CONTROL!$C$42, 5.4417, 5.4417)*CHOOSE(CONTROL!$C$21, $C$9, 100%, $E$9)</f>
        <v>5.4417</v>
      </c>
      <c r="H118" s="10">
        <f>CHOOSE(CONTROL!$C$42, 5.6662, 5.6662) * CHOOSE(CONTROL!$C$21, $C$9, 100%, $E$9)</f>
        <v>5.6661999999999999</v>
      </c>
      <c r="I118" s="10">
        <f>CHOOSE(CONTROL!$C$42, 5.4462, 5.4462)* CHOOSE(CONTROL!$C$21, $C$9, 100%, $E$9)</f>
        <v>5.4462000000000002</v>
      </c>
      <c r="J118" s="10">
        <f>CHOOSE(CONTROL!$C$42, 5.4184, 5.4184)* CHOOSE(CONTROL!$C$21, $C$9, 100%, $E$9)</f>
        <v>5.4184000000000001</v>
      </c>
      <c r="K118" s="10">
        <f>CHOOSE(CONTROL!$C$42, 5.4269, 5.4269) * CHOOSE(CONTROL!$C$21, $C$9, 100%, $E$9)</f>
        <v>5.4268999999999998</v>
      </c>
      <c r="L118" s="10">
        <f>CHOOSE(CONTROL!$C$42, 6.2532, 6.2532) * CHOOSE(CONTROL!$C$21, $C$9, 100%, $E$9)</f>
        <v>6.2531999999999996</v>
      </c>
      <c r="M118" s="10">
        <f>CHOOSE(CONTROL!$C$42, 5.3776, 5.3776) * CHOOSE(CONTROL!$C$21, $C$9, 100%, $E$9)</f>
        <v>5.3776000000000002</v>
      </c>
      <c r="N118" s="10">
        <f>CHOOSE(CONTROL!$C$42, 5.3936, 5.3936) * CHOOSE(CONTROL!$C$21, $C$9, 100%, $E$9)</f>
        <v>5.3936000000000002</v>
      </c>
      <c r="O118" s="10">
        <f>CHOOSE(CONTROL!$C$42, 5.6229, 5.6229) * CHOOSE(CONTROL!$C$21, $C$9, 100%, $E$9)</f>
        <v>5.6228999999999996</v>
      </c>
      <c r="P118" s="10">
        <f>CHOOSE(CONTROL!$C$42, 5.4051, 5.4051) * CHOOSE(CONTROL!$C$21, $C$9, 100%, $E$9)</f>
        <v>5.4051</v>
      </c>
      <c r="Q118" s="10">
        <f>CHOOSE(CONTROL!$C$42, 6.2182, 6.2182) * CHOOSE(CONTROL!$C$21, $C$9, 100%, $E$9)</f>
        <v>6.2182000000000004</v>
      </c>
      <c r="R118" s="10">
        <f>CHOOSE(CONTROL!$C$42, 6.8207, 6.8207) * CHOOSE(CONTROL!$C$21, $C$9, 100%, $E$9)</f>
        <v>6.8207000000000004</v>
      </c>
      <c r="S118" s="10">
        <f>CHOOSE(CONTROL!$C$42, 5.2995, 5.2995) * CHOOSE(CONTROL!$C$21, $C$9, 100%, $E$9)</f>
        <v>5.2995000000000001</v>
      </c>
      <c r="T1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38">
        <f>(1000*CHOOSE(CONTROL!$C$42, 695, 695)*CHOOSE(CONTROL!$C$42, 0.5599, 0.5599)*CHOOSE(CONTROL!$C$42, 31, 31))/1000000</f>
        <v>12.063045499999998</v>
      </c>
      <c r="V118" s="38">
        <f>(1000*CHOOSE(CONTROL!$C$42, 500, 500)*CHOOSE(CONTROL!$C$42, 0.275, 0.275)*CHOOSE(CONTROL!$C$42, 31, 31))/1000000</f>
        <v>4.2625000000000002</v>
      </c>
      <c r="W118" s="38">
        <f>(1000*CHOOSE(CONTROL!$C$42, 0.1146, 0.1146)*CHOOSE(CONTROL!$C$42, 121.5, 121.5)*CHOOSE(CONTROL!$C$42, 31, 31))/1000000</f>
        <v>0.43164089999999994</v>
      </c>
      <c r="X118" s="38">
        <f>(31*0.1790888*245000/1000000)+(31*0.2374*100000/1000000)</f>
        <v>2.0961194359999999</v>
      </c>
      <c r="Y118" s="38">
        <f>(1000*600*CHOOSE(CONTROL!$C$42, 1.7641, 1.7641)*CHOOSE(CONTROL!$C$42, 31, 31))/1000000</f>
        <v>32.812260000000002</v>
      </c>
      <c r="Z118" s="38"/>
      <c r="AA118" s="10"/>
      <c r="AB118" s="39"/>
      <c r="AC118" s="33">
        <f>(B118*131.881+C118*277.167+D118*79.08+E118*125.872+F118*40+G118*185+H118*0+I118*100+J118*300)/(131.881+277.167+79.08+125.872+0+40+185+100+300)</f>
        <v>5.4799201746569812</v>
      </c>
      <c r="AD118" s="27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5.4540654676258988</v>
      </c>
    </row>
    <row r="119" spans="1:30" ht="15" x14ac:dyDescent="0.2">
      <c r="A119" s="16">
        <v>44866</v>
      </c>
      <c r="B119" s="10">
        <f>CHOOSE(CONTROL!$C$42, 5.6031, 5.6031) * CHOOSE(CONTROL!$C$21, $C$9, 100%, $E$9)</f>
        <v>5.6031000000000004</v>
      </c>
      <c r="C119" s="10">
        <f>CHOOSE(CONTROL!$C$42, 5.6081, 5.6081) * CHOOSE(CONTROL!$C$21, $C$9, 100%, $E$9)</f>
        <v>5.6081000000000003</v>
      </c>
      <c r="D119" s="10">
        <f>CHOOSE(CONTROL!$C$42, 5.6326, 5.6326) * CHOOSE(CONTROL!$C$21, $C$9, 100%, $E$9)</f>
        <v>5.6326000000000001</v>
      </c>
      <c r="E119" s="10">
        <f>CHOOSE(CONTROL!$C$42, 5.6663, 5.6663) * CHOOSE(CONTROL!$C$21, $C$9, 100%, $E$9)</f>
        <v>5.6662999999999997</v>
      </c>
      <c r="F119" s="10">
        <f>CHOOSE(CONTROL!$C$42, 5.5725, 5.5725)*CHOOSE(CONTROL!$C$21, $C$9, 100%, $E$9)</f>
        <v>5.5724999999999998</v>
      </c>
      <c r="G119" s="10">
        <f>CHOOSE(CONTROL!$C$42, 5.5889, 5.5889)*CHOOSE(CONTROL!$C$21, $C$9, 100%, $E$9)</f>
        <v>5.5888999999999998</v>
      </c>
      <c r="H119" s="10">
        <f>CHOOSE(CONTROL!$C$42, 5.6555, 5.6555) * CHOOSE(CONTROL!$C$21, $C$9, 100%, $E$9)</f>
        <v>5.6555</v>
      </c>
      <c r="I119" s="10">
        <f>CHOOSE(CONTROL!$C$42, 5.5899, 5.5899)* CHOOSE(CONTROL!$C$21, $C$9, 100%, $E$9)</f>
        <v>5.5899000000000001</v>
      </c>
      <c r="J119" s="10">
        <f>CHOOSE(CONTROL!$C$42, 5.5655, 5.5655)* CHOOSE(CONTROL!$C$21, $C$9, 100%, $E$9)</f>
        <v>5.5655000000000001</v>
      </c>
      <c r="K119" s="10">
        <f>CHOOSE(CONTROL!$C$42, 5.5681, 5.5681) * CHOOSE(CONTROL!$C$21, $C$9, 100%, $E$9)</f>
        <v>5.5681000000000003</v>
      </c>
      <c r="L119" s="10">
        <f>CHOOSE(CONTROL!$C$42, 6.2425, 6.2425) * CHOOSE(CONTROL!$C$21, $C$9, 100%, $E$9)</f>
        <v>6.2424999999999997</v>
      </c>
      <c r="M119" s="10">
        <f>CHOOSE(CONTROL!$C$42, 5.5231, 5.5231) * CHOOSE(CONTROL!$C$21, $C$9, 100%, $E$9)</f>
        <v>5.5231000000000003</v>
      </c>
      <c r="N119" s="10">
        <f>CHOOSE(CONTROL!$C$42, 5.5394, 5.5394) * CHOOSE(CONTROL!$C$21, $C$9, 100%, $E$9)</f>
        <v>5.5393999999999997</v>
      </c>
      <c r="O119" s="10">
        <f>CHOOSE(CONTROL!$C$42, 5.6123, 5.6123) * CHOOSE(CONTROL!$C$21, $C$9, 100%, $E$9)</f>
        <v>5.6123000000000003</v>
      </c>
      <c r="P119" s="10">
        <f>CHOOSE(CONTROL!$C$42, 5.5474, 5.5474) * CHOOSE(CONTROL!$C$21, $C$9, 100%, $E$9)</f>
        <v>5.5473999999999997</v>
      </c>
      <c r="Q119" s="10">
        <f>CHOOSE(CONTROL!$C$42, 6.2076, 6.2076) * CHOOSE(CONTROL!$C$21, $C$9, 100%, $E$9)</f>
        <v>6.2076000000000002</v>
      </c>
      <c r="R119" s="10">
        <f>CHOOSE(CONTROL!$C$42, 6.8101, 6.8101) * CHOOSE(CONTROL!$C$21, $C$9, 100%, $E$9)</f>
        <v>6.8101000000000003</v>
      </c>
      <c r="S119" s="10">
        <f>CHOOSE(CONTROL!$C$42, 5.4391, 5.4391) * CHOOSE(CONTROL!$C$21, $C$9, 100%, $E$9)</f>
        <v>5.4390999999999998</v>
      </c>
      <c r="T1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38">
        <f>(1000*CHOOSE(CONTROL!$C$42, 695, 695)*CHOOSE(CONTROL!$C$42, 0.5599, 0.5599)*CHOOSE(CONTROL!$C$42, 30, 30))/1000000</f>
        <v>11.673914999999997</v>
      </c>
      <c r="V119" s="38">
        <f>(1000*CHOOSE(CONTROL!$C$42, 500, 500)*CHOOSE(CONTROL!$C$42, 0.275, 0.275)*CHOOSE(CONTROL!$C$42, 30, 30))/1000000</f>
        <v>4.125</v>
      </c>
      <c r="W119" s="38">
        <f>(1000*CHOOSE(CONTROL!$C$42, 0.1146, 0.1146)*CHOOSE(CONTROL!$C$42, 121.5, 121.5)*CHOOSE(CONTROL!$C$42, 30, 30))/1000000</f>
        <v>0.417717</v>
      </c>
      <c r="X119" s="38">
        <f>(30*0.1790888*100000/1000000)+(30*0.2374*100000/1000000)</f>
        <v>1.2494664</v>
      </c>
      <c r="Y119" s="38">
        <f>(1000*600*CHOOSE(CONTROL!$C$42, 1.7641, 1.7641)*CHOOSE(CONTROL!$C$42, 30, 30))/1000000</f>
        <v>31.753799999999998</v>
      </c>
      <c r="Z119" s="38"/>
      <c r="AA119" s="10"/>
      <c r="AB119" s="39"/>
      <c r="AC119" s="33">
        <f>(B119*122.58+C119*297.941+D119*89.177+E119*40.302+F119*40+G119*160+H119*0+I119*100+J119*300)/(122.58+297.941+89.177+40.302+0+40+160+100+300)</f>
        <v>5.5949013155652176</v>
      </c>
      <c r="AD119" s="27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5.5679633093525185</v>
      </c>
    </row>
    <row r="120" spans="1:30" ht="15" x14ac:dyDescent="0.2">
      <c r="A120" s="16">
        <v>44896</v>
      </c>
      <c r="B120" s="10">
        <f>CHOOSE(CONTROL!$C$42, 5.985, 5.985) * CHOOSE(CONTROL!$C$21, $C$9, 100%, $E$9)</f>
        <v>5.9850000000000003</v>
      </c>
      <c r="C120" s="10">
        <f>CHOOSE(CONTROL!$C$42, 5.9899, 5.9899) * CHOOSE(CONTROL!$C$21, $C$9, 100%, $E$9)</f>
        <v>5.9898999999999996</v>
      </c>
      <c r="D120" s="10">
        <f>CHOOSE(CONTROL!$C$42, 6.0144, 6.0144) * CHOOSE(CONTROL!$C$21, $C$9, 100%, $E$9)</f>
        <v>6.0144000000000002</v>
      </c>
      <c r="E120" s="10">
        <f>CHOOSE(CONTROL!$C$42, 6.0481, 6.0481) * CHOOSE(CONTROL!$C$21, $C$9, 100%, $E$9)</f>
        <v>6.0480999999999998</v>
      </c>
      <c r="F120" s="10">
        <f>CHOOSE(CONTROL!$C$42, 5.9566, 5.9566)*CHOOSE(CONTROL!$C$21, $C$9, 100%, $E$9)</f>
        <v>5.9565999999999999</v>
      </c>
      <c r="G120" s="10">
        <f>CHOOSE(CONTROL!$C$42, 5.9736, 5.9736)*CHOOSE(CONTROL!$C$21, $C$9, 100%, $E$9)</f>
        <v>5.9736000000000002</v>
      </c>
      <c r="H120" s="10">
        <f>CHOOSE(CONTROL!$C$42, 6.0373, 6.0373) * CHOOSE(CONTROL!$C$21, $C$9, 100%, $E$9)</f>
        <v>6.0373000000000001</v>
      </c>
      <c r="I120" s="10">
        <f>CHOOSE(CONTROL!$C$42, 5.9717, 5.9717)* CHOOSE(CONTROL!$C$21, $C$9, 100%, $E$9)</f>
        <v>5.9717000000000002</v>
      </c>
      <c r="J120" s="10">
        <f>CHOOSE(CONTROL!$C$42, 5.9496, 5.9496)* CHOOSE(CONTROL!$C$21, $C$9, 100%, $E$9)</f>
        <v>5.9496000000000002</v>
      </c>
      <c r="K120" s="10">
        <f>CHOOSE(CONTROL!$C$42, 5.9441, 5.9441) * CHOOSE(CONTROL!$C$21, $C$9, 100%, $E$9)</f>
        <v>5.9440999999999997</v>
      </c>
      <c r="L120" s="10">
        <f>CHOOSE(CONTROL!$C$42, 6.6243, 6.6243) * CHOOSE(CONTROL!$C$21, $C$9, 100%, $E$9)</f>
        <v>6.6242999999999999</v>
      </c>
      <c r="M120" s="10">
        <f>CHOOSE(CONTROL!$C$42, 5.9034, 5.9034) * CHOOSE(CONTROL!$C$21, $C$9, 100%, $E$9)</f>
        <v>5.9034000000000004</v>
      </c>
      <c r="N120" s="10">
        <f>CHOOSE(CONTROL!$C$42, 5.9202, 5.9202) * CHOOSE(CONTROL!$C$21, $C$9, 100%, $E$9)</f>
        <v>5.9202000000000004</v>
      </c>
      <c r="O120" s="10">
        <f>CHOOSE(CONTROL!$C$42, 5.9902, 5.9902) * CHOOSE(CONTROL!$C$21, $C$9, 100%, $E$9)</f>
        <v>5.9901999999999997</v>
      </c>
      <c r="P120" s="10">
        <f>CHOOSE(CONTROL!$C$42, 5.9253, 5.9253) * CHOOSE(CONTROL!$C$21, $C$9, 100%, $E$9)</f>
        <v>5.9253</v>
      </c>
      <c r="Q120" s="10">
        <f>CHOOSE(CONTROL!$C$42, 6.5855, 6.5855) * CHOOSE(CONTROL!$C$21, $C$9, 100%, $E$9)</f>
        <v>6.5854999999999997</v>
      </c>
      <c r="R120" s="10">
        <f>CHOOSE(CONTROL!$C$42, 7.189, 7.189) * CHOOSE(CONTROL!$C$21, $C$9, 100%, $E$9)</f>
        <v>7.1890000000000001</v>
      </c>
      <c r="S120" s="10">
        <f>CHOOSE(CONTROL!$C$42, 5.8099, 5.8099) * CHOOSE(CONTROL!$C$21, $C$9, 100%, $E$9)</f>
        <v>5.8098999999999998</v>
      </c>
      <c r="T1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38">
        <f>(1000*CHOOSE(CONTROL!$C$42, 695, 695)*CHOOSE(CONTROL!$C$42, 0.5599, 0.5599)*CHOOSE(CONTROL!$C$42, 31, 31))/1000000</f>
        <v>12.063045499999998</v>
      </c>
      <c r="V120" s="38">
        <f>(1000*CHOOSE(CONTROL!$C$42, 500, 500)*CHOOSE(CONTROL!$C$42, 0.275, 0.275)*CHOOSE(CONTROL!$C$42, 31, 31))/1000000</f>
        <v>4.2625000000000002</v>
      </c>
      <c r="W120" s="38">
        <f>(1000*CHOOSE(CONTROL!$C$42, 0.1146, 0.1146)*CHOOSE(CONTROL!$C$42, 121.5, 121.5)*CHOOSE(CONTROL!$C$42, 31, 31))/1000000</f>
        <v>0.43164089999999994</v>
      </c>
      <c r="X120" s="38">
        <f>(31*0.1790888*100000/1000000)+(31*0.2374*100000/1000000)</f>
        <v>1.2911152800000001</v>
      </c>
      <c r="Y120" s="38">
        <f>(1000*600*CHOOSE(CONTROL!$C$42, 1.7641, 1.7641)*CHOOSE(CONTROL!$C$42, 31, 31))/1000000</f>
        <v>32.812260000000002</v>
      </c>
      <c r="Z120" s="38"/>
      <c r="AA120" s="10"/>
      <c r="AB120" s="39"/>
      <c r="AC120" s="33">
        <f>(B120*122.58+C120*297.941+D120*89.177+E120*40.302+F120*40+G120*160+H120*0+I120*100+J120*300)/(122.58+297.941+89.177+40.302+0+40+160+100+300)</f>
        <v>5.9777954529565216</v>
      </c>
      <c r="AD120" s="27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5.9468589928057556</v>
      </c>
    </row>
    <row r="121" spans="1:30" ht="15" x14ac:dyDescent="0.2">
      <c r="A121" s="16">
        <v>44927</v>
      </c>
      <c r="B121" s="10">
        <f>CHOOSE(CONTROL!$C$42, 6.4521, 6.4521) * CHOOSE(CONTROL!$C$21, $C$9, 100%, $E$9)</f>
        <v>6.4520999999999997</v>
      </c>
      <c r="C121" s="10">
        <f>CHOOSE(CONTROL!$C$42, 6.457, 6.457) * CHOOSE(CONTROL!$C$21, $C$9, 100%, $E$9)</f>
        <v>6.4569999999999999</v>
      </c>
      <c r="D121" s="10">
        <f>CHOOSE(CONTROL!$C$42, 6.4815, 6.4815) * CHOOSE(CONTROL!$C$21, $C$9, 100%, $E$9)</f>
        <v>6.4814999999999996</v>
      </c>
      <c r="E121" s="10">
        <f>CHOOSE(CONTROL!$C$42, 6.5153, 6.5153) * CHOOSE(CONTROL!$C$21, $C$9, 100%, $E$9)</f>
        <v>6.5152999999999999</v>
      </c>
      <c r="F121" s="10">
        <f>CHOOSE(CONTROL!$C$42, 6.435, 6.435)*CHOOSE(CONTROL!$C$21, $C$9, 100%, $E$9)</f>
        <v>6.4349999999999996</v>
      </c>
      <c r="G121" s="10">
        <f>CHOOSE(CONTROL!$C$42, 6.4537, 6.4537)*CHOOSE(CONTROL!$C$21, $C$9, 100%, $E$9)</f>
        <v>6.4537000000000004</v>
      </c>
      <c r="H121" s="10">
        <f>CHOOSE(CONTROL!$C$42, 6.5044, 6.5044) * CHOOSE(CONTROL!$C$21, $C$9, 100%, $E$9)</f>
        <v>6.5044000000000004</v>
      </c>
      <c r="I121" s="10">
        <f>CHOOSE(CONTROL!$C$42, 6.4466, 6.4466)* CHOOSE(CONTROL!$C$21, $C$9, 100%, $E$9)</f>
        <v>6.4466000000000001</v>
      </c>
      <c r="J121" s="10">
        <f>CHOOSE(CONTROL!$C$42, 6.428, 6.428)* CHOOSE(CONTROL!$C$21, $C$9, 100%, $E$9)</f>
        <v>6.4279999999999999</v>
      </c>
      <c r="K121" s="10">
        <f>CHOOSE(CONTROL!$C$42, 6.4189, 6.4189) * CHOOSE(CONTROL!$C$21, $C$9, 100%, $E$9)</f>
        <v>6.4188999999999998</v>
      </c>
      <c r="L121" s="10">
        <f>CHOOSE(CONTROL!$C$42, 7.0914, 7.0914) * CHOOSE(CONTROL!$C$21, $C$9, 100%, $E$9)</f>
        <v>7.0914000000000001</v>
      </c>
      <c r="M121" s="10">
        <f>CHOOSE(CONTROL!$C$42, 6.377, 6.377) * CHOOSE(CONTROL!$C$21, $C$9, 100%, $E$9)</f>
        <v>6.3769999999999998</v>
      </c>
      <c r="N121" s="10">
        <f>CHOOSE(CONTROL!$C$42, 6.3954, 6.3954) * CHOOSE(CONTROL!$C$21, $C$9, 100%, $E$9)</f>
        <v>6.3954000000000004</v>
      </c>
      <c r="O121" s="10">
        <f>CHOOSE(CONTROL!$C$42, 6.4526, 6.4526) * CHOOSE(CONTROL!$C$21, $C$9, 100%, $E$9)</f>
        <v>6.4526000000000003</v>
      </c>
      <c r="P121" s="10">
        <f>CHOOSE(CONTROL!$C$42, 6.3954, 6.3954) * CHOOSE(CONTROL!$C$21, $C$9, 100%, $E$9)</f>
        <v>6.3954000000000004</v>
      </c>
      <c r="Q121" s="10">
        <f>CHOOSE(CONTROL!$C$42, 7.0479, 7.0479) * CHOOSE(CONTROL!$C$21, $C$9, 100%, $E$9)</f>
        <v>7.0479000000000003</v>
      </c>
      <c r="R121" s="10">
        <f>CHOOSE(CONTROL!$C$42, 7.6526, 7.6526) * CHOOSE(CONTROL!$C$21, $C$9, 100%, $E$9)</f>
        <v>7.6525999999999996</v>
      </c>
      <c r="S121" s="10">
        <f>CHOOSE(CONTROL!$C$42, 6.2635, 6.2635) * CHOOSE(CONTROL!$C$21, $C$9, 100%, $E$9)</f>
        <v>6.2634999999999996</v>
      </c>
      <c r="T1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38">
        <f>(1000*CHOOSE(CONTROL!$C$42, 695, 695)*CHOOSE(CONTROL!$C$42, 0.5599, 0.5599)*CHOOSE(CONTROL!$C$42, 31, 31))/1000000</f>
        <v>12.063045499999998</v>
      </c>
      <c r="V121" s="38">
        <f>(1000*CHOOSE(CONTROL!$C$42, 500, 500)*CHOOSE(CONTROL!$C$42, 0.275, 0.275)*CHOOSE(CONTROL!$C$42, 31, 31))/1000000</f>
        <v>4.2625000000000002</v>
      </c>
      <c r="W121" s="38">
        <f>(1000*CHOOSE(CONTROL!$C$42, 0.1146, 0.1146)*CHOOSE(CONTROL!$C$42, 121.5, 121.5)*CHOOSE(CONTROL!$C$42, 31, 31))/1000000</f>
        <v>0.43164089999999994</v>
      </c>
      <c r="X121" s="38">
        <f>(31*0.1790888*100000/1000000)+(31*0.2374*100000/1000000)</f>
        <v>1.2911152800000001</v>
      </c>
      <c r="Y121" s="38">
        <f>(1000*600*CHOOSE(CONTROL!$C$42, 1.754, 1.754)*CHOOSE(CONTROL!$C$42, 31, 31))/1000000</f>
        <v>32.624400000000001</v>
      </c>
      <c r="Z121" s="38"/>
      <c r="AA121" s="10"/>
      <c r="AB121" s="39"/>
      <c r="AC121" s="33">
        <f>(B121*122.58+C121*297.941+D121*89.177+E121*40.302+F121*40+G121*160+H121*0+I121*100+J121*300)/(122.58+297.941+89.177+40.302+0+40+160+100+300)</f>
        <v>6.4507267835652176</v>
      </c>
      <c r="AD121" s="27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6.4149712230215838</v>
      </c>
    </row>
    <row r="122" spans="1:30" ht="15" x14ac:dyDescent="0.2">
      <c r="A122" s="16">
        <v>44958</v>
      </c>
      <c r="B122" s="10">
        <f>CHOOSE(CONTROL!$C$42, 6.5669, 6.5669) * CHOOSE(CONTROL!$C$21, $C$9, 100%, $E$9)</f>
        <v>6.5669000000000004</v>
      </c>
      <c r="C122" s="10">
        <f>CHOOSE(CONTROL!$C$42, 6.5718, 6.5718) * CHOOSE(CONTROL!$C$21, $C$9, 100%, $E$9)</f>
        <v>6.5717999999999996</v>
      </c>
      <c r="D122" s="10">
        <f>CHOOSE(CONTROL!$C$42, 6.5963, 6.5963) * CHOOSE(CONTROL!$C$21, $C$9, 100%, $E$9)</f>
        <v>6.5963000000000003</v>
      </c>
      <c r="E122" s="10">
        <f>CHOOSE(CONTROL!$C$42, 6.6301, 6.6301) * CHOOSE(CONTROL!$C$21, $C$9, 100%, $E$9)</f>
        <v>6.6300999999999997</v>
      </c>
      <c r="F122" s="10">
        <f>CHOOSE(CONTROL!$C$42, 6.5491, 6.5491)*CHOOSE(CONTROL!$C$21, $C$9, 100%, $E$9)</f>
        <v>6.5491000000000001</v>
      </c>
      <c r="G122" s="10">
        <f>CHOOSE(CONTROL!$C$42, 6.5676, 6.5676)*CHOOSE(CONTROL!$C$21, $C$9, 100%, $E$9)</f>
        <v>6.5675999999999997</v>
      </c>
      <c r="H122" s="10">
        <f>CHOOSE(CONTROL!$C$42, 6.6193, 6.6193) * CHOOSE(CONTROL!$C$21, $C$9, 100%, $E$9)</f>
        <v>6.6193</v>
      </c>
      <c r="I122" s="10">
        <f>CHOOSE(CONTROL!$C$42, 6.5614, 6.5614)* CHOOSE(CONTROL!$C$21, $C$9, 100%, $E$9)</f>
        <v>6.5613999999999999</v>
      </c>
      <c r="J122" s="10">
        <f>CHOOSE(CONTROL!$C$42, 6.5421, 6.5421)* CHOOSE(CONTROL!$C$21, $C$9, 100%, $E$9)</f>
        <v>6.5420999999999996</v>
      </c>
      <c r="K122" s="10">
        <f>CHOOSE(CONTROL!$C$42, 6.529, 6.529) * CHOOSE(CONTROL!$C$21, $C$9, 100%, $E$9)</f>
        <v>6.5289999999999999</v>
      </c>
      <c r="L122" s="10">
        <f>CHOOSE(CONTROL!$C$42, 7.2063, 7.2063) * CHOOSE(CONTROL!$C$21, $C$9, 100%, $E$9)</f>
        <v>7.2062999999999997</v>
      </c>
      <c r="M122" s="10">
        <f>CHOOSE(CONTROL!$C$42, 6.4899, 6.4899) * CHOOSE(CONTROL!$C$21, $C$9, 100%, $E$9)</f>
        <v>6.4898999999999996</v>
      </c>
      <c r="N122" s="10">
        <f>CHOOSE(CONTROL!$C$42, 6.5082, 6.5082) * CHOOSE(CONTROL!$C$21, $C$9, 100%, $E$9)</f>
        <v>6.5082000000000004</v>
      </c>
      <c r="O122" s="10">
        <f>CHOOSE(CONTROL!$C$42, 6.5663, 6.5663) * CHOOSE(CONTROL!$C$21, $C$9, 100%, $E$9)</f>
        <v>6.5663</v>
      </c>
      <c r="P122" s="10">
        <f>CHOOSE(CONTROL!$C$42, 6.509, 6.509) * CHOOSE(CONTROL!$C$21, $C$9, 100%, $E$9)</f>
        <v>6.5090000000000003</v>
      </c>
      <c r="Q122" s="10">
        <f>CHOOSE(CONTROL!$C$42, 7.1616, 7.1616) * CHOOSE(CONTROL!$C$21, $C$9, 100%, $E$9)</f>
        <v>7.1616</v>
      </c>
      <c r="R122" s="10">
        <f>CHOOSE(CONTROL!$C$42, 7.7665, 7.7665) * CHOOSE(CONTROL!$C$21, $C$9, 100%, $E$9)</f>
        <v>7.7664999999999997</v>
      </c>
      <c r="S122" s="10">
        <f>CHOOSE(CONTROL!$C$42, 6.3749, 6.3749) * CHOOSE(CONTROL!$C$21, $C$9, 100%, $E$9)</f>
        <v>6.3749000000000002</v>
      </c>
      <c r="T1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38">
        <f>(1000*CHOOSE(CONTROL!$C$42, 695, 695)*CHOOSE(CONTROL!$C$42, 0.5599, 0.5599)*CHOOSE(CONTROL!$C$42, 28, 28))/1000000</f>
        <v>10.895653999999999</v>
      </c>
      <c r="V122" s="38">
        <f>(1000*CHOOSE(CONTROL!$C$42, 500, 500)*CHOOSE(CONTROL!$C$42, 0.275, 0.275)*CHOOSE(CONTROL!$C$42, 28, 28))/1000000</f>
        <v>3.85</v>
      </c>
      <c r="W122" s="38">
        <f>(1000*CHOOSE(CONTROL!$C$42, 0.1146, 0.1146)*CHOOSE(CONTROL!$C$42, 121.5, 121.5)*CHOOSE(CONTROL!$C$42, 28, 28))/1000000</f>
        <v>0.38986920000000003</v>
      </c>
      <c r="X122" s="38">
        <f>(28*0.1790888*100000/1000000)+(28*0.2374*100000/1000000)</f>
        <v>1.16616864</v>
      </c>
      <c r="Y122" s="38">
        <f>(1000*600*CHOOSE(CONTROL!$C$42, 1.754, 1.754)*CHOOSE(CONTROL!$C$42, 28, 28))/1000000</f>
        <v>29.467199999999998</v>
      </c>
      <c r="Z122" s="38"/>
      <c r="AA122" s="10"/>
      <c r="AB122" s="39"/>
      <c r="AC122" s="33">
        <f>(B122*122.58+C122*297.941+D122*89.177+E122*40.302+F122*40+G122*160+H122*0+I122*100+J122*300)/(122.58+297.941+89.177+40.302+0+40+160+100+300)</f>
        <v>6.5651946096521741</v>
      </c>
      <c r="AD122" s="27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6.5283287769784177</v>
      </c>
    </row>
    <row r="123" spans="1:30" ht="15" x14ac:dyDescent="0.2">
      <c r="A123" s="16">
        <v>44986</v>
      </c>
      <c r="B123" s="10">
        <f>CHOOSE(CONTROL!$C$42, 6.3805, 6.3805) * CHOOSE(CONTROL!$C$21, $C$9, 100%, $E$9)</f>
        <v>6.3804999999999996</v>
      </c>
      <c r="C123" s="10">
        <f>CHOOSE(CONTROL!$C$42, 6.3855, 6.3855) * CHOOSE(CONTROL!$C$21, $C$9, 100%, $E$9)</f>
        <v>6.3855000000000004</v>
      </c>
      <c r="D123" s="10">
        <f>CHOOSE(CONTROL!$C$42, 6.4099, 6.4099) * CHOOSE(CONTROL!$C$21, $C$9, 100%, $E$9)</f>
        <v>6.4099000000000004</v>
      </c>
      <c r="E123" s="10">
        <f>CHOOSE(CONTROL!$C$42, 6.4437, 6.4437) * CHOOSE(CONTROL!$C$21, $C$9, 100%, $E$9)</f>
        <v>6.4436999999999998</v>
      </c>
      <c r="F123" s="10">
        <f>CHOOSE(CONTROL!$C$42, 6.3612, 6.3612)*CHOOSE(CONTROL!$C$21, $C$9, 100%, $E$9)</f>
        <v>6.3612000000000002</v>
      </c>
      <c r="G123" s="10">
        <f>CHOOSE(CONTROL!$C$42, 6.3793, 6.3793)*CHOOSE(CONTROL!$C$21, $C$9, 100%, $E$9)</f>
        <v>6.3792999999999997</v>
      </c>
      <c r="H123" s="10">
        <f>CHOOSE(CONTROL!$C$42, 6.4329, 6.4329) * CHOOSE(CONTROL!$C$21, $C$9, 100%, $E$9)</f>
        <v>6.4329000000000001</v>
      </c>
      <c r="I123" s="10">
        <f>CHOOSE(CONTROL!$C$42, 6.375, 6.375)* CHOOSE(CONTROL!$C$21, $C$9, 100%, $E$9)</f>
        <v>6.375</v>
      </c>
      <c r="J123" s="10">
        <f>CHOOSE(CONTROL!$C$42, 6.3542, 6.3542)* CHOOSE(CONTROL!$C$21, $C$9, 100%, $E$9)</f>
        <v>6.3541999999999996</v>
      </c>
      <c r="K123" s="10">
        <f>CHOOSE(CONTROL!$C$42, 6.3446, 6.3446) * CHOOSE(CONTROL!$C$21, $C$9, 100%, $E$9)</f>
        <v>6.3445999999999998</v>
      </c>
      <c r="L123" s="10">
        <f>CHOOSE(CONTROL!$C$42, 7.0199, 7.0199) * CHOOSE(CONTROL!$C$21, $C$9, 100%, $E$9)</f>
        <v>7.0198999999999998</v>
      </c>
      <c r="M123" s="10">
        <f>CHOOSE(CONTROL!$C$42, 6.3039, 6.3039) * CHOOSE(CONTROL!$C$21, $C$9, 100%, $E$9)</f>
        <v>6.3038999999999996</v>
      </c>
      <c r="N123" s="10">
        <f>CHOOSE(CONTROL!$C$42, 6.3218, 6.3218) * CHOOSE(CONTROL!$C$21, $C$9, 100%, $E$9)</f>
        <v>6.3217999999999996</v>
      </c>
      <c r="O123" s="10">
        <f>CHOOSE(CONTROL!$C$42, 6.3818, 6.3818) * CHOOSE(CONTROL!$C$21, $C$9, 100%, $E$9)</f>
        <v>6.3818000000000001</v>
      </c>
      <c r="P123" s="10">
        <f>CHOOSE(CONTROL!$C$42, 6.3245, 6.3245) * CHOOSE(CONTROL!$C$21, $C$9, 100%, $E$9)</f>
        <v>6.3244999999999996</v>
      </c>
      <c r="Q123" s="10">
        <f>CHOOSE(CONTROL!$C$42, 6.9771, 6.9771) * CHOOSE(CONTROL!$C$21, $C$9, 100%, $E$9)</f>
        <v>6.9771000000000001</v>
      </c>
      <c r="R123" s="10">
        <f>CHOOSE(CONTROL!$C$42, 7.5816, 7.5816) * CHOOSE(CONTROL!$C$21, $C$9, 100%, $E$9)</f>
        <v>7.5815999999999999</v>
      </c>
      <c r="S123" s="10">
        <f>CHOOSE(CONTROL!$C$42, 6.194, 6.194) * CHOOSE(CONTROL!$C$21, $C$9, 100%, $E$9)</f>
        <v>6.194</v>
      </c>
      <c r="T1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38">
        <f>(1000*CHOOSE(CONTROL!$C$42, 695, 695)*CHOOSE(CONTROL!$C$42, 0.5599, 0.5599)*CHOOSE(CONTROL!$C$42, 31, 31))/1000000</f>
        <v>12.063045499999998</v>
      </c>
      <c r="V123" s="38">
        <f>(1000*CHOOSE(CONTROL!$C$42, 500, 500)*CHOOSE(CONTROL!$C$42, 0.275, 0.275)*CHOOSE(CONTROL!$C$42, 31, 31))/1000000</f>
        <v>4.2625000000000002</v>
      </c>
      <c r="W123" s="38">
        <f>(1000*CHOOSE(CONTROL!$C$42, 0.1146, 0.1146)*CHOOSE(CONTROL!$C$42, 121.5, 121.5)*CHOOSE(CONTROL!$C$42, 31, 31))/1000000</f>
        <v>0.43164089999999994</v>
      </c>
      <c r="X123" s="38">
        <f>(31*0.1790888*100000/1000000)+(31*0.2374*100000/1000000)</f>
        <v>1.2911152800000001</v>
      </c>
      <c r="Y123" s="38">
        <f>(1000*600*CHOOSE(CONTROL!$C$42, 1.754, 1.754)*CHOOSE(CONTROL!$C$42, 31, 31))/1000000</f>
        <v>32.624400000000001</v>
      </c>
      <c r="Z123" s="38"/>
      <c r="AA123" s="10"/>
      <c r="AB123" s="39"/>
      <c r="AC123" s="33">
        <f>(B123*122.58+C123*297.941+D123*89.177+E123*40.302+F123*40+G123*160+H123*0+I123*100+J123*300)/(122.58+297.941+89.177+40.302+0+40+160+100+300)</f>
        <v>6.3781126914782611</v>
      </c>
      <c r="AD123" s="27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6.3432014388489204</v>
      </c>
    </row>
    <row r="124" spans="1:30" ht="15" x14ac:dyDescent="0.2">
      <c r="A124" s="16">
        <v>45017</v>
      </c>
      <c r="B124" s="10">
        <f>CHOOSE(CONTROL!$C$42, 6.3622, 6.3622) * CHOOSE(CONTROL!$C$21, $C$9, 100%, $E$9)</f>
        <v>6.3621999999999996</v>
      </c>
      <c r="C124" s="10">
        <f>CHOOSE(CONTROL!$C$42, 6.3666, 6.3666) * CHOOSE(CONTROL!$C$21, $C$9, 100%, $E$9)</f>
        <v>6.3666</v>
      </c>
      <c r="D124" s="10">
        <f>CHOOSE(CONTROL!$C$42, 6.5467, 6.5467) * CHOOSE(CONTROL!$C$21, $C$9, 100%, $E$9)</f>
        <v>6.5467000000000004</v>
      </c>
      <c r="E124" s="10">
        <f>CHOOSE(CONTROL!$C$42, 6.5785, 6.5785) * CHOOSE(CONTROL!$C$21, $C$9, 100%, $E$9)</f>
        <v>6.5785</v>
      </c>
      <c r="F124" s="10">
        <f>CHOOSE(CONTROL!$C$42, 6.3275, 6.3275)*CHOOSE(CONTROL!$C$21, $C$9, 100%, $E$9)</f>
        <v>6.3274999999999997</v>
      </c>
      <c r="G124" s="10">
        <f>CHOOSE(CONTROL!$C$42, 6.3438, 6.3438)*CHOOSE(CONTROL!$C$21, $C$9, 100%, $E$9)</f>
        <v>6.3437999999999999</v>
      </c>
      <c r="H124" s="10">
        <f>CHOOSE(CONTROL!$C$42, 6.5683, 6.5683) * CHOOSE(CONTROL!$C$21, $C$9, 100%, $E$9)</f>
        <v>6.5682999999999998</v>
      </c>
      <c r="I124" s="10">
        <f>CHOOSE(CONTROL!$C$42, 6.3482, 6.3482)* CHOOSE(CONTROL!$C$21, $C$9, 100%, $E$9)</f>
        <v>6.3482000000000003</v>
      </c>
      <c r="J124" s="10">
        <f>CHOOSE(CONTROL!$C$42, 6.3205, 6.3205)* CHOOSE(CONTROL!$C$21, $C$9, 100%, $E$9)</f>
        <v>6.3205</v>
      </c>
      <c r="K124" s="10">
        <f>CHOOSE(CONTROL!$C$42, 6.3035, 6.3035) * CHOOSE(CONTROL!$C$21, $C$9, 100%, $E$9)</f>
        <v>6.3034999999999997</v>
      </c>
      <c r="L124" s="10">
        <f>CHOOSE(CONTROL!$C$42, 7.1553, 7.1553) * CHOOSE(CONTROL!$C$21, $C$9, 100%, $E$9)</f>
        <v>7.1553000000000004</v>
      </c>
      <c r="M124" s="10">
        <f>CHOOSE(CONTROL!$C$42, 6.2706, 6.2706) * CHOOSE(CONTROL!$C$21, $C$9, 100%, $E$9)</f>
        <v>6.2706</v>
      </c>
      <c r="N124" s="10">
        <f>CHOOSE(CONTROL!$C$42, 6.2867, 6.2867) * CHOOSE(CONTROL!$C$21, $C$9, 100%, $E$9)</f>
        <v>6.2866999999999997</v>
      </c>
      <c r="O124" s="10">
        <f>CHOOSE(CONTROL!$C$42, 6.5158, 6.5158) * CHOOSE(CONTROL!$C$21, $C$9, 100%, $E$9)</f>
        <v>6.5157999999999996</v>
      </c>
      <c r="P124" s="10">
        <f>CHOOSE(CONTROL!$C$42, 6.298, 6.298) * CHOOSE(CONTROL!$C$21, $C$9, 100%, $E$9)</f>
        <v>6.298</v>
      </c>
      <c r="Q124" s="10">
        <f>CHOOSE(CONTROL!$C$42, 7.1111, 7.1111) * CHOOSE(CONTROL!$C$21, $C$9, 100%, $E$9)</f>
        <v>7.1111000000000004</v>
      </c>
      <c r="R124" s="10">
        <f>CHOOSE(CONTROL!$C$42, 7.7159, 7.7159) * CHOOSE(CONTROL!$C$21, $C$9, 100%, $E$9)</f>
        <v>7.7159000000000004</v>
      </c>
      <c r="S124" s="10">
        <f>CHOOSE(CONTROL!$C$42, 6.1754, 6.1754) * CHOOSE(CONTROL!$C$21, $C$9, 100%, $E$9)</f>
        <v>6.1753999999999998</v>
      </c>
      <c r="T1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38">
        <f>(1000*CHOOSE(CONTROL!$C$42, 695, 695)*CHOOSE(CONTROL!$C$42, 0.5599, 0.5599)*CHOOSE(CONTROL!$C$42, 30, 30))/1000000</f>
        <v>11.673914999999997</v>
      </c>
      <c r="V124" s="38">
        <f>(1000*CHOOSE(CONTROL!$C$42, 500, 500)*CHOOSE(CONTROL!$C$42, 0.275, 0.275)*CHOOSE(CONTROL!$C$42, 30, 30))/1000000</f>
        <v>4.125</v>
      </c>
      <c r="W124" s="38">
        <f>(1000*CHOOSE(CONTROL!$C$42, 0.1146, 0.1146)*CHOOSE(CONTROL!$C$42, 121.5, 121.5)*CHOOSE(CONTROL!$C$42, 30, 30))/1000000</f>
        <v>0.417717</v>
      </c>
      <c r="X124" s="38">
        <f>(30*0.1790888*245000/1000000)+(30*0.2374*100000/1000000)</f>
        <v>2.0285026799999999</v>
      </c>
      <c r="Y124" s="38">
        <f>(1000*600*CHOOSE(CONTROL!$C$42, 1.754, 1.754)*CHOOSE(CONTROL!$C$42, 30, 30))/1000000</f>
        <v>31.571999999999999</v>
      </c>
      <c r="Z124" s="38"/>
      <c r="AA124" s="10"/>
      <c r="AB124" s="39"/>
      <c r="AC124" s="33">
        <f>(B124*141.293+C124*267.993+D124*115.016+E124*89.698+F124*40+G124*185+H124*0+I124*100+J124*300)/(141.293+267.993+115.016+89.698+0+40+185+100+300)</f>
        <v>6.3808435016949145</v>
      </c>
      <c r="AD124" s="27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6.3470460431654674</v>
      </c>
    </row>
    <row r="125" spans="1:30" ht="15" x14ac:dyDescent="0.2">
      <c r="A125" s="16">
        <v>45047</v>
      </c>
      <c r="B125" s="10">
        <f>CHOOSE(CONTROL!$C$42, 6.4201, 6.4201) * CHOOSE(CONTROL!$C$21, $C$9, 100%, $E$9)</f>
        <v>6.4200999999999997</v>
      </c>
      <c r="C125" s="10">
        <f>CHOOSE(CONTROL!$C$42, 6.428, 6.428) * CHOOSE(CONTROL!$C$21, $C$9, 100%, $E$9)</f>
        <v>6.4279999999999999</v>
      </c>
      <c r="D125" s="10">
        <f>CHOOSE(CONTROL!$C$42, 6.605, 6.605) * CHOOSE(CONTROL!$C$21, $C$9, 100%, $E$9)</f>
        <v>6.6050000000000004</v>
      </c>
      <c r="E125" s="10">
        <f>CHOOSE(CONTROL!$C$42, 6.6361, 6.6361) * CHOOSE(CONTROL!$C$21, $C$9, 100%, $E$9)</f>
        <v>6.6360999999999999</v>
      </c>
      <c r="F125" s="10">
        <f>CHOOSE(CONTROL!$C$42, 6.3835, 6.3835)*CHOOSE(CONTROL!$C$21, $C$9, 100%, $E$9)</f>
        <v>6.3834999999999997</v>
      </c>
      <c r="G125" s="10">
        <f>CHOOSE(CONTROL!$C$42, 6.4, 6.4)*CHOOSE(CONTROL!$C$21, $C$9, 100%, $E$9)</f>
        <v>6.4</v>
      </c>
      <c r="H125" s="10">
        <f>CHOOSE(CONTROL!$C$42, 6.6248, 6.6248) * CHOOSE(CONTROL!$C$21, $C$9, 100%, $E$9)</f>
        <v>6.6247999999999996</v>
      </c>
      <c r="I125" s="10">
        <f>CHOOSE(CONTROL!$C$42, 6.4047, 6.4047)* CHOOSE(CONTROL!$C$21, $C$9, 100%, $E$9)</f>
        <v>6.4047000000000001</v>
      </c>
      <c r="J125" s="10">
        <f>CHOOSE(CONTROL!$C$42, 6.3765, 6.3765)* CHOOSE(CONTROL!$C$21, $C$9, 100%, $E$9)</f>
        <v>6.3765000000000001</v>
      </c>
      <c r="K125" s="10">
        <f>CHOOSE(CONTROL!$C$42, 6.3572, 6.3572) * CHOOSE(CONTROL!$C$21, $C$9, 100%, $E$9)</f>
        <v>6.3571999999999997</v>
      </c>
      <c r="L125" s="10">
        <f>CHOOSE(CONTROL!$C$42, 7.2118, 7.2118) * CHOOSE(CONTROL!$C$21, $C$9, 100%, $E$9)</f>
        <v>7.2118000000000002</v>
      </c>
      <c r="M125" s="10">
        <f>CHOOSE(CONTROL!$C$42, 6.3259, 6.3259) * CHOOSE(CONTROL!$C$21, $C$9, 100%, $E$9)</f>
        <v>6.3258999999999999</v>
      </c>
      <c r="N125" s="10">
        <f>CHOOSE(CONTROL!$C$42, 6.3423, 6.3423) * CHOOSE(CONTROL!$C$21, $C$9, 100%, $E$9)</f>
        <v>6.3422999999999998</v>
      </c>
      <c r="O125" s="10">
        <f>CHOOSE(CONTROL!$C$42, 6.5718, 6.5718) * CHOOSE(CONTROL!$C$21, $C$9, 100%, $E$9)</f>
        <v>6.5717999999999996</v>
      </c>
      <c r="P125" s="10">
        <f>CHOOSE(CONTROL!$C$42, 6.3539, 6.3539) * CHOOSE(CONTROL!$C$21, $C$9, 100%, $E$9)</f>
        <v>6.3539000000000003</v>
      </c>
      <c r="Q125" s="10">
        <f>CHOOSE(CONTROL!$C$42, 7.1671, 7.1671) * CHOOSE(CONTROL!$C$21, $C$9, 100%, $E$9)</f>
        <v>7.1670999999999996</v>
      </c>
      <c r="R125" s="10">
        <f>CHOOSE(CONTROL!$C$42, 7.772, 7.772) * CHOOSE(CONTROL!$C$21, $C$9, 100%, $E$9)</f>
        <v>7.7720000000000002</v>
      </c>
      <c r="S125" s="10">
        <f>CHOOSE(CONTROL!$C$42, 6.2303, 6.2303) * CHOOSE(CONTROL!$C$21, $C$9, 100%, $E$9)</f>
        <v>6.2302999999999997</v>
      </c>
      <c r="T1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38">
        <f>(1000*CHOOSE(CONTROL!$C$42, 695, 695)*CHOOSE(CONTROL!$C$42, 0.5599, 0.5599)*CHOOSE(CONTROL!$C$42, 31, 31))/1000000</f>
        <v>12.063045499999998</v>
      </c>
      <c r="V125" s="38">
        <f>(1000*CHOOSE(CONTROL!$C$42, 500, 500)*CHOOSE(CONTROL!$C$42, 0.275, 0.275)*CHOOSE(CONTROL!$C$42, 31, 31))/1000000</f>
        <v>4.2625000000000002</v>
      </c>
      <c r="W125" s="38">
        <f>(1000*CHOOSE(CONTROL!$C$42, 0.1146, 0.1146)*CHOOSE(CONTROL!$C$42, 121.5, 121.5)*CHOOSE(CONTROL!$C$42, 31, 31))/1000000</f>
        <v>0.43164089999999994</v>
      </c>
      <c r="X125" s="38">
        <f>(31*0.1790888*245000/1000000)+(31*0.2374*100000/1000000)</f>
        <v>2.0961194359999999</v>
      </c>
      <c r="Y125" s="38">
        <f>(1000*600*CHOOSE(CONTROL!$C$42, 1.754, 1.754)*CHOOSE(CONTROL!$C$42, 31, 31))/1000000</f>
        <v>32.624400000000001</v>
      </c>
      <c r="Z125" s="38"/>
      <c r="AA125" s="10"/>
      <c r="AB125" s="39"/>
      <c r="AC125" s="33">
        <f>(B125*194.205+C125*267.466+D125*133.845+E125*53.484+F125*40+G125*185+H125*0+I125*100+J125*300)/(194.205+267.466+133.845+53.484+0+40+185+100+300)</f>
        <v>6.4347082934850865</v>
      </c>
      <c r="AD125" s="27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6.4026978417266189</v>
      </c>
    </row>
    <row r="126" spans="1:30" ht="15" x14ac:dyDescent="0.2">
      <c r="A126" s="16">
        <v>45078</v>
      </c>
      <c r="B126" s="10">
        <f>CHOOSE(CONTROL!$C$42, 6.6021, 6.6021) * CHOOSE(CONTROL!$C$21, $C$9, 100%, $E$9)</f>
        <v>6.6021000000000001</v>
      </c>
      <c r="C126" s="10">
        <f>CHOOSE(CONTROL!$C$42, 6.61, 6.61) * CHOOSE(CONTROL!$C$21, $C$9, 100%, $E$9)</f>
        <v>6.61</v>
      </c>
      <c r="D126" s="10">
        <f>CHOOSE(CONTROL!$C$42, 6.787, 6.787) * CHOOSE(CONTROL!$C$21, $C$9, 100%, $E$9)</f>
        <v>6.7869999999999999</v>
      </c>
      <c r="E126" s="10">
        <f>CHOOSE(CONTROL!$C$42, 6.8181, 6.8181) * CHOOSE(CONTROL!$C$21, $C$9, 100%, $E$9)</f>
        <v>6.8181000000000003</v>
      </c>
      <c r="F126" s="10">
        <f>CHOOSE(CONTROL!$C$42, 6.5656, 6.5656)*CHOOSE(CONTROL!$C$21, $C$9, 100%, $E$9)</f>
        <v>6.5655999999999999</v>
      </c>
      <c r="G126" s="10">
        <f>CHOOSE(CONTROL!$C$42, 6.5821, 6.5821)*CHOOSE(CONTROL!$C$21, $C$9, 100%, $E$9)</f>
        <v>6.5820999999999996</v>
      </c>
      <c r="H126" s="10">
        <f>CHOOSE(CONTROL!$C$42, 6.8067, 6.8067) * CHOOSE(CONTROL!$C$21, $C$9, 100%, $E$9)</f>
        <v>6.8067000000000002</v>
      </c>
      <c r="I126" s="10">
        <f>CHOOSE(CONTROL!$C$42, 6.5867, 6.5867)* CHOOSE(CONTROL!$C$21, $C$9, 100%, $E$9)</f>
        <v>6.5867000000000004</v>
      </c>
      <c r="J126" s="10">
        <f>CHOOSE(CONTROL!$C$42, 6.5586, 6.5586)* CHOOSE(CONTROL!$C$21, $C$9, 100%, $E$9)</f>
        <v>6.5586000000000002</v>
      </c>
      <c r="K126" s="10">
        <f>CHOOSE(CONTROL!$C$42, 6.5343, 6.5343) * CHOOSE(CONTROL!$C$21, $C$9, 100%, $E$9)</f>
        <v>6.5343</v>
      </c>
      <c r="L126" s="10">
        <f>CHOOSE(CONTROL!$C$42, 7.3937, 7.3937) * CHOOSE(CONTROL!$C$21, $C$9, 100%, $E$9)</f>
        <v>7.3936999999999999</v>
      </c>
      <c r="M126" s="10">
        <f>CHOOSE(CONTROL!$C$42, 6.5062, 6.5062) * CHOOSE(CONTROL!$C$21, $C$9, 100%, $E$9)</f>
        <v>6.5061999999999998</v>
      </c>
      <c r="N126" s="10">
        <f>CHOOSE(CONTROL!$C$42, 6.5226, 6.5226) * CHOOSE(CONTROL!$C$21, $C$9, 100%, $E$9)</f>
        <v>6.5225999999999997</v>
      </c>
      <c r="O126" s="10">
        <f>CHOOSE(CONTROL!$C$42, 6.7519, 6.7519) * CHOOSE(CONTROL!$C$21, $C$9, 100%, $E$9)</f>
        <v>6.7519</v>
      </c>
      <c r="P126" s="10">
        <f>CHOOSE(CONTROL!$C$42, 6.5341, 6.5341) * CHOOSE(CONTROL!$C$21, $C$9, 100%, $E$9)</f>
        <v>6.5340999999999996</v>
      </c>
      <c r="Q126" s="10">
        <f>CHOOSE(CONTROL!$C$42, 7.3472, 7.3472) * CHOOSE(CONTROL!$C$21, $C$9, 100%, $E$9)</f>
        <v>7.3472</v>
      </c>
      <c r="R126" s="10">
        <f>CHOOSE(CONTROL!$C$42, 7.9525, 7.9525) * CHOOSE(CONTROL!$C$21, $C$9, 100%, $E$9)</f>
        <v>7.9524999999999997</v>
      </c>
      <c r="S126" s="10">
        <f>CHOOSE(CONTROL!$C$42, 6.407, 6.407) * CHOOSE(CONTROL!$C$21, $C$9, 100%, $E$9)</f>
        <v>6.407</v>
      </c>
      <c r="T1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38">
        <f>(1000*CHOOSE(CONTROL!$C$42, 695, 695)*CHOOSE(CONTROL!$C$42, 0.5599, 0.5599)*CHOOSE(CONTROL!$C$42, 30, 30))/1000000</f>
        <v>11.673914999999997</v>
      </c>
      <c r="V126" s="38">
        <f>(1000*CHOOSE(CONTROL!$C$42, 500, 500)*CHOOSE(CONTROL!$C$42, 0.275, 0.275)*CHOOSE(CONTROL!$C$42, 30, 30))/1000000</f>
        <v>4.125</v>
      </c>
      <c r="W126" s="38">
        <f>(1000*CHOOSE(CONTROL!$C$42, 0.1146, 0.1146)*CHOOSE(CONTROL!$C$42, 121.5, 121.5)*CHOOSE(CONTROL!$C$42, 30, 30))/1000000</f>
        <v>0.417717</v>
      </c>
      <c r="X126" s="38">
        <f>(30*0.1790888*245000/1000000)+(30*0.2374*100000/1000000)</f>
        <v>2.0285026799999999</v>
      </c>
      <c r="Y126" s="38">
        <f>(1000*600*CHOOSE(CONTROL!$C$42, 1.754, 1.754)*CHOOSE(CONTROL!$C$42, 30, 30))/1000000</f>
        <v>31.571999999999999</v>
      </c>
      <c r="Z126" s="38"/>
      <c r="AA126" s="10"/>
      <c r="AB126" s="39"/>
      <c r="AC126" s="33">
        <f>(B126*194.205+C126*267.466+D126*133.845+E126*53.484+F126*40+G126*185+H126*0+I126*100+J126*300)/(194.205+267.466+133.845+53.484+0+40+185+100+300)</f>
        <v>6.6167495022762957</v>
      </c>
      <c r="AD126" s="27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6.5829273381294966</v>
      </c>
    </row>
    <row r="127" spans="1:30" ht="15" x14ac:dyDescent="0.2">
      <c r="A127" s="16">
        <v>45108</v>
      </c>
      <c r="B127" s="10">
        <f>CHOOSE(CONTROL!$C$42, 6.4755, 6.4755) * CHOOSE(CONTROL!$C$21, $C$9, 100%, $E$9)</f>
        <v>6.4755000000000003</v>
      </c>
      <c r="C127" s="10">
        <f>CHOOSE(CONTROL!$C$42, 6.4834, 6.4834) * CHOOSE(CONTROL!$C$21, $C$9, 100%, $E$9)</f>
        <v>6.4833999999999996</v>
      </c>
      <c r="D127" s="10">
        <f>CHOOSE(CONTROL!$C$42, 6.6604, 6.6604) * CHOOSE(CONTROL!$C$21, $C$9, 100%, $E$9)</f>
        <v>6.6604000000000001</v>
      </c>
      <c r="E127" s="10">
        <f>CHOOSE(CONTROL!$C$42, 6.6916, 6.6916) * CHOOSE(CONTROL!$C$21, $C$9, 100%, $E$9)</f>
        <v>6.6916000000000002</v>
      </c>
      <c r="F127" s="10">
        <f>CHOOSE(CONTROL!$C$42, 6.4393, 6.4393)*CHOOSE(CONTROL!$C$21, $C$9, 100%, $E$9)</f>
        <v>6.4393000000000002</v>
      </c>
      <c r="G127" s="10">
        <f>CHOOSE(CONTROL!$C$42, 6.4559, 6.4559)*CHOOSE(CONTROL!$C$21, $C$9, 100%, $E$9)</f>
        <v>6.4558999999999997</v>
      </c>
      <c r="H127" s="10">
        <f>CHOOSE(CONTROL!$C$42, 6.6802, 6.6802) * CHOOSE(CONTROL!$C$21, $C$9, 100%, $E$9)</f>
        <v>6.6802000000000001</v>
      </c>
      <c r="I127" s="10">
        <f>CHOOSE(CONTROL!$C$42, 6.4601, 6.4601)* CHOOSE(CONTROL!$C$21, $C$9, 100%, $E$9)</f>
        <v>6.4600999999999997</v>
      </c>
      <c r="J127" s="10">
        <f>CHOOSE(CONTROL!$C$42, 6.4323, 6.4323)* CHOOSE(CONTROL!$C$21, $C$9, 100%, $E$9)</f>
        <v>6.4322999999999997</v>
      </c>
      <c r="K127" s="10">
        <f>CHOOSE(CONTROL!$C$42, 6.4119, 6.4119) * CHOOSE(CONTROL!$C$21, $C$9, 100%, $E$9)</f>
        <v>6.4119000000000002</v>
      </c>
      <c r="L127" s="10">
        <f>CHOOSE(CONTROL!$C$42, 7.2672, 7.2672) * CHOOSE(CONTROL!$C$21, $C$9, 100%, $E$9)</f>
        <v>7.2671999999999999</v>
      </c>
      <c r="M127" s="10">
        <f>CHOOSE(CONTROL!$C$42, 6.3812, 6.3812) * CHOOSE(CONTROL!$C$21, $C$9, 100%, $E$9)</f>
        <v>6.3811999999999998</v>
      </c>
      <c r="N127" s="10">
        <f>CHOOSE(CONTROL!$C$42, 6.3976, 6.3976) * CHOOSE(CONTROL!$C$21, $C$9, 100%, $E$9)</f>
        <v>6.3975999999999997</v>
      </c>
      <c r="O127" s="10">
        <f>CHOOSE(CONTROL!$C$42, 6.6266, 6.6266) * CHOOSE(CONTROL!$C$21, $C$9, 100%, $E$9)</f>
        <v>6.6265999999999998</v>
      </c>
      <c r="P127" s="10">
        <f>CHOOSE(CONTROL!$C$42, 6.4088, 6.4088) * CHOOSE(CONTROL!$C$21, $C$9, 100%, $E$9)</f>
        <v>6.4088000000000003</v>
      </c>
      <c r="Q127" s="10">
        <f>CHOOSE(CONTROL!$C$42, 7.2219, 7.2219) * CHOOSE(CONTROL!$C$21, $C$9, 100%, $E$9)</f>
        <v>7.2218999999999998</v>
      </c>
      <c r="R127" s="10">
        <f>CHOOSE(CONTROL!$C$42, 7.827, 7.827) * CHOOSE(CONTROL!$C$21, $C$9, 100%, $E$9)</f>
        <v>7.827</v>
      </c>
      <c r="S127" s="10">
        <f>CHOOSE(CONTROL!$C$42, 6.2841, 6.2841) * CHOOSE(CONTROL!$C$21, $C$9, 100%, $E$9)</f>
        <v>6.2840999999999996</v>
      </c>
      <c r="T1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38">
        <f>(1000*CHOOSE(CONTROL!$C$42, 695, 695)*CHOOSE(CONTROL!$C$42, 0.5599, 0.5599)*CHOOSE(CONTROL!$C$42, 31, 31))/1000000</f>
        <v>12.063045499999998</v>
      </c>
      <c r="V127" s="38">
        <f>(1000*CHOOSE(CONTROL!$C$42, 500, 500)*CHOOSE(CONTROL!$C$42, 0.275, 0.275)*CHOOSE(CONTROL!$C$42, 31, 31))/1000000</f>
        <v>4.2625000000000002</v>
      </c>
      <c r="W127" s="38">
        <f>(1000*CHOOSE(CONTROL!$C$42, 0.1146, 0.1146)*CHOOSE(CONTROL!$C$42, 121.5, 121.5)*CHOOSE(CONTROL!$C$42, 31, 31))/1000000</f>
        <v>0.43164089999999994</v>
      </c>
      <c r="X127" s="38">
        <f>(31*0.1790888*245000/1000000)+(31*0.2374*100000/1000000)</f>
        <v>2.0961194359999999</v>
      </c>
      <c r="Y127" s="38">
        <f>(1000*600*CHOOSE(CONTROL!$C$42, 1.754, 1.754)*CHOOSE(CONTROL!$C$42, 31, 31))/1000000</f>
        <v>32.624400000000001</v>
      </c>
      <c r="Z127" s="38"/>
      <c r="AA127" s="10"/>
      <c r="AB127" s="39"/>
      <c r="AC127" s="33">
        <f>(B127*194.205+C127*267.466+D127*133.845+E127*53.484+F127*40+G127*185+H127*0+I127*100+J127*300)/(194.205+267.466+133.845+53.484+0+40+185+100+300)</f>
        <v>6.4902918479591847</v>
      </c>
      <c r="AD127" s="27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6.4577999999999989</v>
      </c>
    </row>
    <row r="128" spans="1:30" ht="15" x14ac:dyDescent="0.2">
      <c r="A128" s="16">
        <v>45139</v>
      </c>
      <c r="B128" s="10">
        <f>CHOOSE(CONTROL!$C$42, 6.1559, 6.1559) * CHOOSE(CONTROL!$C$21, $C$9, 100%, $E$9)</f>
        <v>6.1558999999999999</v>
      </c>
      <c r="C128" s="10">
        <f>CHOOSE(CONTROL!$C$42, 6.1638, 6.1638) * CHOOSE(CONTROL!$C$21, $C$9, 100%, $E$9)</f>
        <v>6.1638000000000002</v>
      </c>
      <c r="D128" s="10">
        <f>CHOOSE(CONTROL!$C$42, 6.3408, 6.3408) * CHOOSE(CONTROL!$C$21, $C$9, 100%, $E$9)</f>
        <v>6.3407999999999998</v>
      </c>
      <c r="E128" s="10">
        <f>CHOOSE(CONTROL!$C$42, 6.372, 6.372) * CHOOSE(CONTROL!$C$21, $C$9, 100%, $E$9)</f>
        <v>6.3719999999999999</v>
      </c>
      <c r="F128" s="10">
        <f>CHOOSE(CONTROL!$C$42, 6.1198, 6.1198)*CHOOSE(CONTROL!$C$21, $C$9, 100%, $E$9)</f>
        <v>6.1197999999999997</v>
      </c>
      <c r="G128" s="10">
        <f>CHOOSE(CONTROL!$C$42, 6.1364, 6.1364)*CHOOSE(CONTROL!$C$21, $C$9, 100%, $E$9)</f>
        <v>6.1364000000000001</v>
      </c>
      <c r="H128" s="10">
        <f>CHOOSE(CONTROL!$C$42, 6.3606, 6.3606) * CHOOSE(CONTROL!$C$21, $C$9, 100%, $E$9)</f>
        <v>6.3605999999999998</v>
      </c>
      <c r="I128" s="10">
        <f>CHOOSE(CONTROL!$C$42, 6.1405, 6.1405)* CHOOSE(CONTROL!$C$21, $C$9, 100%, $E$9)</f>
        <v>6.1405000000000003</v>
      </c>
      <c r="J128" s="10">
        <f>CHOOSE(CONTROL!$C$42, 6.1128, 6.1128)* CHOOSE(CONTROL!$C$21, $C$9, 100%, $E$9)</f>
        <v>6.1128</v>
      </c>
      <c r="K128" s="10">
        <f>CHOOSE(CONTROL!$C$42, 6.1015, 6.1015) * CHOOSE(CONTROL!$C$21, $C$9, 100%, $E$9)</f>
        <v>6.1014999999999997</v>
      </c>
      <c r="L128" s="10">
        <f>CHOOSE(CONTROL!$C$42, 6.9476, 6.9476) * CHOOSE(CONTROL!$C$21, $C$9, 100%, $E$9)</f>
        <v>6.9476000000000004</v>
      </c>
      <c r="M128" s="10">
        <f>CHOOSE(CONTROL!$C$42, 6.0649, 6.0649) * CHOOSE(CONTROL!$C$21, $C$9, 100%, $E$9)</f>
        <v>6.0648999999999997</v>
      </c>
      <c r="N128" s="10">
        <f>CHOOSE(CONTROL!$C$42, 6.0814, 6.0814) * CHOOSE(CONTROL!$C$21, $C$9, 100%, $E$9)</f>
        <v>6.0814000000000004</v>
      </c>
      <c r="O128" s="10">
        <f>CHOOSE(CONTROL!$C$42, 6.3102, 6.3102) * CHOOSE(CONTROL!$C$21, $C$9, 100%, $E$9)</f>
        <v>6.3102</v>
      </c>
      <c r="P128" s="10">
        <f>CHOOSE(CONTROL!$C$42, 6.0924, 6.0924) * CHOOSE(CONTROL!$C$21, $C$9, 100%, $E$9)</f>
        <v>6.0923999999999996</v>
      </c>
      <c r="Q128" s="10">
        <f>CHOOSE(CONTROL!$C$42, 6.9055, 6.9055) * CHOOSE(CONTROL!$C$21, $C$9, 100%, $E$9)</f>
        <v>6.9055</v>
      </c>
      <c r="R128" s="10">
        <f>CHOOSE(CONTROL!$C$42, 7.5098, 7.5098) * CHOOSE(CONTROL!$C$21, $C$9, 100%, $E$9)</f>
        <v>7.5098000000000003</v>
      </c>
      <c r="S128" s="10">
        <f>CHOOSE(CONTROL!$C$42, 5.9738, 5.9738) * CHOOSE(CONTROL!$C$21, $C$9, 100%, $E$9)</f>
        <v>5.9737999999999998</v>
      </c>
      <c r="T1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38">
        <f>(1000*CHOOSE(CONTROL!$C$42, 695, 695)*CHOOSE(CONTROL!$C$42, 0.5599, 0.5599)*CHOOSE(CONTROL!$C$42, 31, 31))/1000000</f>
        <v>12.063045499999998</v>
      </c>
      <c r="V128" s="38">
        <f>(1000*CHOOSE(CONTROL!$C$42, 500, 500)*CHOOSE(CONTROL!$C$42, 0.275, 0.275)*CHOOSE(CONTROL!$C$42, 31, 31))/1000000</f>
        <v>4.2625000000000002</v>
      </c>
      <c r="W128" s="38">
        <f>(1000*CHOOSE(CONTROL!$C$42, 0.1146, 0.1146)*CHOOSE(CONTROL!$C$42, 121.5, 121.5)*CHOOSE(CONTROL!$C$42, 31, 31))/1000000</f>
        <v>0.43164089999999994</v>
      </c>
      <c r="X128" s="38">
        <f>(31*0.1790888*245000/1000000)+(31*0.2374*100000/1000000)</f>
        <v>2.0961194359999999</v>
      </c>
      <c r="Y128" s="38">
        <f>(1000*600*CHOOSE(CONTROL!$C$42, 1.754, 1.754)*CHOOSE(CONTROL!$C$42, 31, 31))/1000000</f>
        <v>32.624400000000001</v>
      </c>
      <c r="Z128" s="38"/>
      <c r="AA128" s="10"/>
      <c r="AB128" s="39"/>
      <c r="AC128" s="33">
        <f>(B128*194.205+C128*267.466+D128*133.845+E128*53.484+F128*40+G128*185+H128*0+I128*100+J128*300)/(194.205+267.466+133.845+53.484+0+40+185+100+300)</f>
        <v>6.1707330567503931</v>
      </c>
      <c r="AD128" s="27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6.1414805755395694</v>
      </c>
    </row>
    <row r="129" spans="1:30" ht="15" x14ac:dyDescent="0.2">
      <c r="A129" s="16">
        <v>45170</v>
      </c>
      <c r="B129" s="10">
        <f>CHOOSE(CONTROL!$C$42, 5.7655, 5.7655) * CHOOSE(CONTROL!$C$21, $C$9, 100%, $E$9)</f>
        <v>5.7655000000000003</v>
      </c>
      <c r="C129" s="10">
        <f>CHOOSE(CONTROL!$C$42, 5.7734, 5.7734) * CHOOSE(CONTROL!$C$21, $C$9, 100%, $E$9)</f>
        <v>5.7733999999999996</v>
      </c>
      <c r="D129" s="10">
        <f>CHOOSE(CONTROL!$C$42, 5.9504, 5.9504) * CHOOSE(CONTROL!$C$21, $C$9, 100%, $E$9)</f>
        <v>5.9504000000000001</v>
      </c>
      <c r="E129" s="10">
        <f>CHOOSE(CONTROL!$C$42, 5.9815, 5.9815) * CHOOSE(CONTROL!$C$21, $C$9, 100%, $E$9)</f>
        <v>5.9814999999999996</v>
      </c>
      <c r="F129" s="10">
        <f>CHOOSE(CONTROL!$C$42, 5.729, 5.729)*CHOOSE(CONTROL!$C$21, $C$9, 100%, $E$9)</f>
        <v>5.7290000000000001</v>
      </c>
      <c r="G129" s="10">
        <f>CHOOSE(CONTROL!$C$42, 5.7456, 5.7456)*CHOOSE(CONTROL!$C$21, $C$9, 100%, $E$9)</f>
        <v>5.7455999999999996</v>
      </c>
      <c r="H129" s="10">
        <f>CHOOSE(CONTROL!$C$42, 5.9701, 5.9701) * CHOOSE(CONTROL!$C$21, $C$9, 100%, $E$9)</f>
        <v>5.9701000000000004</v>
      </c>
      <c r="I129" s="10">
        <f>CHOOSE(CONTROL!$C$42, 5.75, 5.75)* CHOOSE(CONTROL!$C$21, $C$9, 100%, $E$9)</f>
        <v>5.75</v>
      </c>
      <c r="J129" s="10">
        <f>CHOOSE(CONTROL!$C$42, 5.722, 5.722)* CHOOSE(CONTROL!$C$21, $C$9, 100%, $E$9)</f>
        <v>5.7220000000000004</v>
      </c>
      <c r="K129" s="10">
        <f>CHOOSE(CONTROL!$C$42, 5.7216, 5.7216) * CHOOSE(CONTROL!$C$21, $C$9, 100%, $E$9)</f>
        <v>5.7215999999999996</v>
      </c>
      <c r="L129" s="10">
        <f>CHOOSE(CONTROL!$C$42, 6.5571, 6.5571) * CHOOSE(CONTROL!$C$21, $C$9, 100%, $E$9)</f>
        <v>6.5571000000000002</v>
      </c>
      <c r="M129" s="10">
        <f>CHOOSE(CONTROL!$C$42, 5.6781, 5.6781) * CHOOSE(CONTROL!$C$21, $C$9, 100%, $E$9)</f>
        <v>5.6780999999999997</v>
      </c>
      <c r="N129" s="10">
        <f>CHOOSE(CONTROL!$C$42, 5.6945, 5.6945) * CHOOSE(CONTROL!$C$21, $C$9, 100%, $E$9)</f>
        <v>5.6944999999999997</v>
      </c>
      <c r="O129" s="10">
        <f>CHOOSE(CONTROL!$C$42, 5.9237, 5.9237) * CHOOSE(CONTROL!$C$21, $C$9, 100%, $E$9)</f>
        <v>5.9237000000000002</v>
      </c>
      <c r="P129" s="10">
        <f>CHOOSE(CONTROL!$C$42, 5.7059, 5.7059) * CHOOSE(CONTROL!$C$21, $C$9, 100%, $E$9)</f>
        <v>5.7058999999999997</v>
      </c>
      <c r="Q129" s="10">
        <f>CHOOSE(CONTROL!$C$42, 6.519, 6.519) * CHOOSE(CONTROL!$C$21, $C$9, 100%, $E$9)</f>
        <v>6.5190000000000001</v>
      </c>
      <c r="R129" s="10">
        <f>CHOOSE(CONTROL!$C$42, 7.1223, 7.1223) * CHOOSE(CONTROL!$C$21, $C$9, 100%, $E$9)</f>
        <v>7.1223000000000001</v>
      </c>
      <c r="S129" s="10">
        <f>CHOOSE(CONTROL!$C$42, 5.5946, 5.5946) * CHOOSE(CONTROL!$C$21, $C$9, 100%, $E$9)</f>
        <v>5.5945999999999998</v>
      </c>
      <c r="T1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38">
        <f>(1000*CHOOSE(CONTROL!$C$42, 695, 695)*CHOOSE(CONTROL!$C$42, 0.5599, 0.5599)*CHOOSE(CONTROL!$C$42, 30, 30))/1000000</f>
        <v>11.673914999999997</v>
      </c>
      <c r="V129" s="38">
        <f>(1000*CHOOSE(CONTROL!$C$42, 500, 500)*CHOOSE(CONTROL!$C$42, 0.275, 0.275)*CHOOSE(CONTROL!$C$42, 30, 30))/1000000</f>
        <v>4.125</v>
      </c>
      <c r="W129" s="38">
        <f>(1000*CHOOSE(CONTROL!$C$42, 0.1146, 0.1146)*CHOOSE(CONTROL!$C$42, 121.5, 121.5)*CHOOSE(CONTROL!$C$42, 30, 30))/1000000</f>
        <v>0.417717</v>
      </c>
      <c r="X129" s="38">
        <f>(30*0.1790888*245000/1000000)+(30*0.2374*100000/1000000)</f>
        <v>2.0285026799999999</v>
      </c>
      <c r="Y129" s="38">
        <f>(1000*600*CHOOSE(CONTROL!$C$42, 1.754, 1.754)*CHOOSE(CONTROL!$C$42, 30, 30))/1000000</f>
        <v>31.571999999999999</v>
      </c>
      <c r="Z129" s="38"/>
      <c r="AA129" s="10"/>
      <c r="AB129" s="39"/>
      <c r="AC129" s="33">
        <f>(B129*194.205+C129*267.466+D129*133.845+E129*53.484+F129*40+G129*185+H129*0+I129*100+J129*300)/(194.205+267.466+133.845+53.484+0+40+185+100+300)</f>
        <v>5.7801561741758238</v>
      </c>
      <c r="AD129" s="27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5.7547848920863309</v>
      </c>
    </row>
    <row r="130" spans="1:30" ht="15" x14ac:dyDescent="0.2">
      <c r="A130" s="16">
        <v>45200</v>
      </c>
      <c r="B130" s="10">
        <f>CHOOSE(CONTROL!$C$42, 5.6464, 5.6464) * CHOOSE(CONTROL!$C$21, $C$9, 100%, $E$9)</f>
        <v>5.6463999999999999</v>
      </c>
      <c r="C130" s="10">
        <f>CHOOSE(CONTROL!$C$42, 5.6516, 5.6516) * CHOOSE(CONTROL!$C$21, $C$9, 100%, $E$9)</f>
        <v>5.6516000000000002</v>
      </c>
      <c r="D130" s="10">
        <f>CHOOSE(CONTROL!$C$42, 5.8335, 5.8335) * CHOOSE(CONTROL!$C$21, $C$9, 100%, $E$9)</f>
        <v>5.8334999999999999</v>
      </c>
      <c r="E130" s="10">
        <f>CHOOSE(CONTROL!$C$42, 5.8623, 5.8623) * CHOOSE(CONTROL!$C$21, $C$9, 100%, $E$9)</f>
        <v>5.8623000000000003</v>
      </c>
      <c r="F130" s="10">
        <f>CHOOSE(CONTROL!$C$42, 5.612, 5.612)*CHOOSE(CONTROL!$C$21, $C$9, 100%, $E$9)</f>
        <v>5.6120000000000001</v>
      </c>
      <c r="G130" s="10">
        <f>CHOOSE(CONTROL!$C$42, 5.6282, 5.6282)*CHOOSE(CONTROL!$C$21, $C$9, 100%, $E$9)</f>
        <v>5.6281999999999996</v>
      </c>
      <c r="H130" s="10">
        <f>CHOOSE(CONTROL!$C$42, 5.8528, 5.8528) * CHOOSE(CONTROL!$C$21, $C$9, 100%, $E$9)</f>
        <v>5.8528000000000002</v>
      </c>
      <c r="I130" s="10">
        <f>CHOOSE(CONTROL!$C$42, 5.6327, 5.6327)* CHOOSE(CONTROL!$C$21, $C$9, 100%, $E$9)</f>
        <v>5.6326999999999998</v>
      </c>
      <c r="J130" s="10">
        <f>CHOOSE(CONTROL!$C$42, 5.605, 5.605)* CHOOSE(CONTROL!$C$21, $C$9, 100%, $E$9)</f>
        <v>5.6050000000000004</v>
      </c>
      <c r="K130" s="10">
        <f>CHOOSE(CONTROL!$C$42, 5.6082, 5.6082) * CHOOSE(CONTROL!$C$21, $C$9, 100%, $E$9)</f>
        <v>5.6082000000000001</v>
      </c>
      <c r="L130" s="10">
        <f>CHOOSE(CONTROL!$C$42, 6.4398, 6.4398) * CHOOSE(CONTROL!$C$21, $C$9, 100%, $E$9)</f>
        <v>6.4398</v>
      </c>
      <c r="M130" s="10">
        <f>CHOOSE(CONTROL!$C$42, 5.5622, 5.5622) * CHOOSE(CONTROL!$C$21, $C$9, 100%, $E$9)</f>
        <v>5.5621999999999998</v>
      </c>
      <c r="N130" s="10">
        <f>CHOOSE(CONTROL!$C$42, 5.5783, 5.5783) * CHOOSE(CONTROL!$C$21, $C$9, 100%, $E$9)</f>
        <v>5.5782999999999996</v>
      </c>
      <c r="O130" s="10">
        <f>CHOOSE(CONTROL!$C$42, 5.8076, 5.8076) * CHOOSE(CONTROL!$C$21, $C$9, 100%, $E$9)</f>
        <v>5.8075999999999999</v>
      </c>
      <c r="P130" s="10">
        <f>CHOOSE(CONTROL!$C$42, 5.5897, 5.5897) * CHOOSE(CONTROL!$C$21, $C$9, 100%, $E$9)</f>
        <v>5.5896999999999997</v>
      </c>
      <c r="Q130" s="10">
        <f>CHOOSE(CONTROL!$C$42, 6.4029, 6.4029) * CHOOSE(CONTROL!$C$21, $C$9, 100%, $E$9)</f>
        <v>6.4028999999999998</v>
      </c>
      <c r="R130" s="10">
        <f>CHOOSE(CONTROL!$C$42, 7.0059, 7.0059) * CHOOSE(CONTROL!$C$21, $C$9, 100%, $E$9)</f>
        <v>7.0058999999999996</v>
      </c>
      <c r="S130" s="10">
        <f>CHOOSE(CONTROL!$C$42, 5.4806, 5.4806) * CHOOSE(CONTROL!$C$21, $C$9, 100%, $E$9)</f>
        <v>5.4805999999999999</v>
      </c>
      <c r="T1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38">
        <f>(1000*CHOOSE(CONTROL!$C$42, 695, 695)*CHOOSE(CONTROL!$C$42, 0.5599, 0.5599)*CHOOSE(CONTROL!$C$42, 31, 31))/1000000</f>
        <v>12.063045499999998</v>
      </c>
      <c r="V130" s="38">
        <f>(1000*CHOOSE(CONTROL!$C$42, 500, 500)*CHOOSE(CONTROL!$C$42, 0.275, 0.275)*CHOOSE(CONTROL!$C$42, 31, 31))/1000000</f>
        <v>4.2625000000000002</v>
      </c>
      <c r="W130" s="38">
        <f>(1000*CHOOSE(CONTROL!$C$42, 0.1146, 0.1146)*CHOOSE(CONTROL!$C$42, 121.5, 121.5)*CHOOSE(CONTROL!$C$42, 31, 31))/1000000</f>
        <v>0.43164089999999994</v>
      </c>
      <c r="X130" s="38">
        <f>(31*0.1790888*245000/1000000)+(31*0.2374*100000/1000000)</f>
        <v>2.0961194359999999</v>
      </c>
      <c r="Y130" s="38">
        <f>(1000*600*CHOOSE(CONTROL!$C$42, 1.754, 1.754)*CHOOSE(CONTROL!$C$42, 31, 31))/1000000</f>
        <v>32.624400000000001</v>
      </c>
      <c r="Z130" s="38"/>
      <c r="AA130" s="10"/>
      <c r="AB130" s="39"/>
      <c r="AC130" s="33">
        <f>(B130*131.881+C130*277.167+D130*79.08+E130*125.872+F130*40+G130*185+H130*0+I130*100+J130*300)/(131.881+277.167+79.08+125.872+0+40+185+100+300)</f>
        <v>5.6664806305084747</v>
      </c>
      <c r="AD130" s="27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5.6387165467625895</v>
      </c>
    </row>
    <row r="131" spans="1:30" ht="15" x14ac:dyDescent="0.2">
      <c r="A131" s="16">
        <v>45231</v>
      </c>
      <c r="B131" s="10">
        <f>CHOOSE(CONTROL!$C$42, 5.7946, 5.7946) * CHOOSE(CONTROL!$C$21, $C$9, 100%, $E$9)</f>
        <v>5.7946</v>
      </c>
      <c r="C131" s="10">
        <f>CHOOSE(CONTROL!$C$42, 5.7996, 5.7996) * CHOOSE(CONTROL!$C$21, $C$9, 100%, $E$9)</f>
        <v>5.7995999999999999</v>
      </c>
      <c r="D131" s="10">
        <f>CHOOSE(CONTROL!$C$42, 5.824, 5.824) * CHOOSE(CONTROL!$C$21, $C$9, 100%, $E$9)</f>
        <v>5.8239999999999998</v>
      </c>
      <c r="E131" s="10">
        <f>CHOOSE(CONTROL!$C$42, 5.8578, 5.8578) * CHOOSE(CONTROL!$C$21, $C$9, 100%, $E$9)</f>
        <v>5.8578000000000001</v>
      </c>
      <c r="F131" s="10">
        <f>CHOOSE(CONTROL!$C$42, 5.7639, 5.7639)*CHOOSE(CONTROL!$C$21, $C$9, 100%, $E$9)</f>
        <v>5.7638999999999996</v>
      </c>
      <c r="G131" s="10">
        <f>CHOOSE(CONTROL!$C$42, 5.7803, 5.7803)*CHOOSE(CONTROL!$C$21, $C$9, 100%, $E$9)</f>
        <v>5.7803000000000004</v>
      </c>
      <c r="H131" s="10">
        <f>CHOOSE(CONTROL!$C$42, 5.847, 5.847) * CHOOSE(CONTROL!$C$21, $C$9, 100%, $E$9)</f>
        <v>5.8470000000000004</v>
      </c>
      <c r="I131" s="10">
        <f>CHOOSE(CONTROL!$C$42, 5.7814, 5.7814)* CHOOSE(CONTROL!$C$21, $C$9, 100%, $E$9)</f>
        <v>5.7813999999999997</v>
      </c>
      <c r="J131" s="10">
        <f>CHOOSE(CONTROL!$C$42, 5.7569, 5.7569)* CHOOSE(CONTROL!$C$21, $C$9, 100%, $E$9)</f>
        <v>5.7568999999999999</v>
      </c>
      <c r="K131" s="10">
        <f>CHOOSE(CONTROL!$C$42, 5.7541, 5.7541) * CHOOSE(CONTROL!$C$21, $C$9, 100%, $E$9)</f>
        <v>5.7541000000000002</v>
      </c>
      <c r="L131" s="10">
        <f>CHOOSE(CONTROL!$C$42, 6.434, 6.434) * CHOOSE(CONTROL!$C$21, $C$9, 100%, $E$9)</f>
        <v>6.4340000000000002</v>
      </c>
      <c r="M131" s="10">
        <f>CHOOSE(CONTROL!$C$42, 5.7126, 5.7126) * CHOOSE(CONTROL!$C$21, $C$9, 100%, $E$9)</f>
        <v>5.7126000000000001</v>
      </c>
      <c r="N131" s="10">
        <f>CHOOSE(CONTROL!$C$42, 5.7289, 5.7289) * CHOOSE(CONTROL!$C$21, $C$9, 100%, $E$9)</f>
        <v>5.7289000000000003</v>
      </c>
      <c r="O131" s="10">
        <f>CHOOSE(CONTROL!$C$42, 5.8018, 5.8018) * CHOOSE(CONTROL!$C$21, $C$9, 100%, $E$9)</f>
        <v>5.8018000000000001</v>
      </c>
      <c r="P131" s="10">
        <f>CHOOSE(CONTROL!$C$42, 5.7369, 5.7369) * CHOOSE(CONTROL!$C$21, $C$9, 100%, $E$9)</f>
        <v>5.7369000000000003</v>
      </c>
      <c r="Q131" s="10">
        <f>CHOOSE(CONTROL!$C$42, 6.3971, 6.3971) * CHOOSE(CONTROL!$C$21, $C$9, 100%, $E$9)</f>
        <v>6.3971</v>
      </c>
      <c r="R131" s="10">
        <f>CHOOSE(CONTROL!$C$42, 7.0001, 7.0001) * CHOOSE(CONTROL!$C$21, $C$9, 100%, $E$9)</f>
        <v>7.0000999999999998</v>
      </c>
      <c r="S131" s="10">
        <f>CHOOSE(CONTROL!$C$42, 5.625, 5.625) * CHOOSE(CONTROL!$C$21, $C$9, 100%, $E$9)</f>
        <v>5.625</v>
      </c>
      <c r="T1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38">
        <f>(1000*CHOOSE(CONTROL!$C$42, 695, 695)*CHOOSE(CONTROL!$C$42, 0.5599, 0.5599)*CHOOSE(CONTROL!$C$42, 30, 30))/1000000</f>
        <v>11.673914999999997</v>
      </c>
      <c r="V131" s="38">
        <f>(1000*CHOOSE(CONTROL!$C$42, 500, 500)*CHOOSE(CONTROL!$C$42, 0.275, 0.275)*CHOOSE(CONTROL!$C$42, 30, 30))/1000000</f>
        <v>4.125</v>
      </c>
      <c r="W131" s="38">
        <f>(1000*CHOOSE(CONTROL!$C$42, 0.1146, 0.1146)*CHOOSE(CONTROL!$C$42, 121.5, 121.5)*CHOOSE(CONTROL!$C$42, 30, 30))/1000000</f>
        <v>0.417717</v>
      </c>
      <c r="X131" s="38">
        <f>(30*0.1790888*100000/1000000)+(30*0.2374*100000/1000000)</f>
        <v>1.2494664</v>
      </c>
      <c r="Y131" s="38">
        <f>(1000*600*CHOOSE(CONTROL!$C$42, 1.754, 1.754)*CHOOSE(CONTROL!$C$42, 30, 30))/1000000</f>
        <v>31.571999999999999</v>
      </c>
      <c r="Z131" s="38"/>
      <c r="AA131" s="10"/>
      <c r="AB131" s="39"/>
      <c r="AC131" s="33">
        <f>(B131*122.58+C131*297.941+D131*89.177+E131*40.302+F131*40+G131*160+H131*0+I131*100+J131*300)/(122.58+297.941+89.177+40.302+0+40+160+100+300)</f>
        <v>5.7863500827826098</v>
      </c>
      <c r="AD131" s="27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5.7574633093525183</v>
      </c>
    </row>
    <row r="132" spans="1:30" ht="15" x14ac:dyDescent="0.2">
      <c r="A132" s="16">
        <v>45261</v>
      </c>
      <c r="B132" s="10">
        <f>CHOOSE(CONTROL!$C$42, 6.1895, 6.1895) * CHOOSE(CONTROL!$C$21, $C$9, 100%, $E$9)</f>
        <v>6.1894999999999998</v>
      </c>
      <c r="C132" s="10">
        <f>CHOOSE(CONTROL!$C$42, 6.1944, 6.1944) * CHOOSE(CONTROL!$C$21, $C$9, 100%, $E$9)</f>
        <v>6.1943999999999999</v>
      </c>
      <c r="D132" s="10">
        <f>CHOOSE(CONTROL!$C$42, 6.2189, 6.2189) * CHOOSE(CONTROL!$C$21, $C$9, 100%, $E$9)</f>
        <v>6.2188999999999997</v>
      </c>
      <c r="E132" s="10">
        <f>CHOOSE(CONTROL!$C$42, 6.2527, 6.2527) * CHOOSE(CONTROL!$C$21, $C$9, 100%, $E$9)</f>
        <v>6.2526999999999999</v>
      </c>
      <c r="F132" s="10">
        <f>CHOOSE(CONTROL!$C$42, 6.1611, 6.1611)*CHOOSE(CONTROL!$C$21, $C$9, 100%, $E$9)</f>
        <v>6.1611000000000002</v>
      </c>
      <c r="G132" s="10">
        <f>CHOOSE(CONTROL!$C$42, 6.1781, 6.1781)*CHOOSE(CONTROL!$C$21, $C$9, 100%, $E$9)</f>
        <v>6.1780999999999997</v>
      </c>
      <c r="H132" s="10">
        <f>CHOOSE(CONTROL!$C$42, 6.2419, 6.2419) * CHOOSE(CONTROL!$C$21, $C$9, 100%, $E$9)</f>
        <v>6.2419000000000002</v>
      </c>
      <c r="I132" s="10">
        <f>CHOOSE(CONTROL!$C$42, 6.1762, 6.1762)* CHOOSE(CONTROL!$C$21, $C$9, 100%, $E$9)</f>
        <v>6.1761999999999997</v>
      </c>
      <c r="J132" s="10">
        <f>CHOOSE(CONTROL!$C$42, 6.1541, 6.1541)* CHOOSE(CONTROL!$C$21, $C$9, 100%, $E$9)</f>
        <v>6.1540999999999997</v>
      </c>
      <c r="K132" s="10">
        <f>CHOOSE(CONTROL!$C$42, 6.1428, 6.1428) * CHOOSE(CONTROL!$C$21, $C$9, 100%, $E$9)</f>
        <v>6.1428000000000003</v>
      </c>
      <c r="L132" s="10">
        <f>CHOOSE(CONTROL!$C$42, 6.8289, 6.8289) * CHOOSE(CONTROL!$C$21, $C$9, 100%, $E$9)</f>
        <v>6.8289</v>
      </c>
      <c r="M132" s="10">
        <f>CHOOSE(CONTROL!$C$42, 6.1058, 6.1058) * CHOOSE(CONTROL!$C$21, $C$9, 100%, $E$9)</f>
        <v>6.1058000000000003</v>
      </c>
      <c r="N132" s="10">
        <f>CHOOSE(CONTROL!$C$42, 6.1227, 6.1227) * CHOOSE(CONTROL!$C$21, $C$9, 100%, $E$9)</f>
        <v>6.1227</v>
      </c>
      <c r="O132" s="10">
        <f>CHOOSE(CONTROL!$C$42, 6.1927, 6.1927) * CHOOSE(CONTROL!$C$21, $C$9, 100%, $E$9)</f>
        <v>6.1927000000000003</v>
      </c>
      <c r="P132" s="10">
        <f>CHOOSE(CONTROL!$C$42, 6.1278, 6.1278) * CHOOSE(CONTROL!$C$21, $C$9, 100%, $E$9)</f>
        <v>6.1277999999999997</v>
      </c>
      <c r="Q132" s="10">
        <f>CHOOSE(CONTROL!$C$42, 6.788, 6.788) * CHOOSE(CONTROL!$C$21, $C$9, 100%, $E$9)</f>
        <v>6.7880000000000003</v>
      </c>
      <c r="R132" s="10">
        <f>CHOOSE(CONTROL!$C$42, 7.392, 7.392) * CHOOSE(CONTROL!$C$21, $C$9, 100%, $E$9)</f>
        <v>7.3920000000000003</v>
      </c>
      <c r="S132" s="10">
        <f>CHOOSE(CONTROL!$C$42, 6.0085, 6.0085) * CHOOSE(CONTROL!$C$21, $C$9, 100%, $E$9)</f>
        <v>6.0084999999999997</v>
      </c>
      <c r="T1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38">
        <f>(1000*CHOOSE(CONTROL!$C$42, 695, 695)*CHOOSE(CONTROL!$C$42, 0.5599, 0.5599)*CHOOSE(CONTROL!$C$42, 31, 31))/1000000</f>
        <v>12.063045499999998</v>
      </c>
      <c r="V132" s="38">
        <f>(1000*CHOOSE(CONTROL!$C$42, 500, 500)*CHOOSE(CONTROL!$C$42, 0.275, 0.275)*CHOOSE(CONTROL!$C$42, 31, 31))/1000000</f>
        <v>4.2625000000000002</v>
      </c>
      <c r="W132" s="38">
        <f>(1000*CHOOSE(CONTROL!$C$42, 0.1146, 0.1146)*CHOOSE(CONTROL!$C$42, 121.5, 121.5)*CHOOSE(CONTROL!$C$42, 31, 31))/1000000</f>
        <v>0.43164089999999994</v>
      </c>
      <c r="X132" s="38">
        <f>(31*0.1790888*100000/1000000)+(31*0.2374*100000/1000000)</f>
        <v>1.2911152800000001</v>
      </c>
      <c r="Y132" s="38">
        <f>(1000*600*CHOOSE(CONTROL!$C$42, 1.754, 1.754)*CHOOSE(CONTROL!$C$42, 31, 31))/1000000</f>
        <v>32.624400000000001</v>
      </c>
      <c r="Z132" s="38"/>
      <c r="AA132" s="10"/>
      <c r="AB132" s="39"/>
      <c r="AC132" s="33">
        <f>(B132*122.58+C132*297.941+D132*89.177+E132*40.302+F132*40+G132*160+H132*0+I132*100+J132*300)/(122.58+297.941+89.177+40.302+0+40+160+100+300)</f>
        <v>6.1822989574782605</v>
      </c>
      <c r="AD132" s="27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6.1493244604316546</v>
      </c>
    </row>
    <row r="133" spans="1:30" ht="15" x14ac:dyDescent="0.2">
      <c r="A133" s="16">
        <v>45292</v>
      </c>
      <c r="B133" s="10">
        <f>CHOOSE(CONTROL!$C$42, 6.6653, 6.6653) * CHOOSE(CONTROL!$C$21, $C$9, 100%, $E$9)</f>
        <v>6.6653000000000002</v>
      </c>
      <c r="C133" s="10">
        <f>CHOOSE(CONTROL!$C$42, 6.6702, 6.6702) * CHOOSE(CONTROL!$C$21, $C$9, 100%, $E$9)</f>
        <v>6.6702000000000004</v>
      </c>
      <c r="D133" s="10">
        <f>CHOOSE(CONTROL!$C$42, 6.6947, 6.6947) * CHOOSE(CONTROL!$C$21, $C$9, 100%, $E$9)</f>
        <v>6.6947000000000001</v>
      </c>
      <c r="E133" s="10">
        <f>CHOOSE(CONTROL!$C$42, 6.7284, 6.7284) * CHOOSE(CONTROL!$C$21, $C$9, 100%, $E$9)</f>
        <v>6.7283999999999997</v>
      </c>
      <c r="F133" s="10">
        <f>CHOOSE(CONTROL!$C$42, 6.6482, 6.6482)*CHOOSE(CONTROL!$C$21, $C$9, 100%, $E$9)</f>
        <v>6.6482000000000001</v>
      </c>
      <c r="G133" s="10">
        <f>CHOOSE(CONTROL!$C$42, 6.6669, 6.6669)*CHOOSE(CONTROL!$C$21, $C$9, 100%, $E$9)</f>
        <v>6.6669</v>
      </c>
      <c r="H133" s="10">
        <f>CHOOSE(CONTROL!$C$42, 6.7176, 6.7176) * CHOOSE(CONTROL!$C$21, $C$9, 100%, $E$9)</f>
        <v>6.7176</v>
      </c>
      <c r="I133" s="10">
        <f>CHOOSE(CONTROL!$C$42, 6.6597, 6.6597)* CHOOSE(CONTROL!$C$21, $C$9, 100%, $E$9)</f>
        <v>6.6597</v>
      </c>
      <c r="J133" s="10">
        <f>CHOOSE(CONTROL!$C$42, 6.6412, 6.6412)* CHOOSE(CONTROL!$C$21, $C$9, 100%, $E$9)</f>
        <v>6.6412000000000004</v>
      </c>
      <c r="K133" s="10">
        <f>CHOOSE(CONTROL!$C$42, 6.626, 6.626) * CHOOSE(CONTROL!$C$21, $C$9, 100%, $E$9)</f>
        <v>6.6260000000000003</v>
      </c>
      <c r="L133" s="10">
        <f>CHOOSE(CONTROL!$C$42, 7.3046, 7.3046) * CHOOSE(CONTROL!$C$21, $C$9, 100%, $E$9)</f>
        <v>7.3045999999999998</v>
      </c>
      <c r="M133" s="10">
        <f>CHOOSE(CONTROL!$C$42, 6.588, 6.588) * CHOOSE(CONTROL!$C$21, $C$9, 100%, $E$9)</f>
        <v>6.5880000000000001</v>
      </c>
      <c r="N133" s="10">
        <f>CHOOSE(CONTROL!$C$42, 6.6065, 6.6065) * CHOOSE(CONTROL!$C$21, $C$9, 100%, $E$9)</f>
        <v>6.6064999999999996</v>
      </c>
      <c r="O133" s="10">
        <f>CHOOSE(CONTROL!$C$42, 6.6637, 6.6637) * CHOOSE(CONTROL!$C$21, $C$9, 100%, $E$9)</f>
        <v>6.6637000000000004</v>
      </c>
      <c r="P133" s="10">
        <f>CHOOSE(CONTROL!$C$42, 6.6064, 6.6064) * CHOOSE(CONTROL!$C$21, $C$9, 100%, $E$9)</f>
        <v>6.6063999999999998</v>
      </c>
      <c r="Q133" s="10">
        <f>CHOOSE(CONTROL!$C$42, 7.259, 7.259) * CHOOSE(CONTROL!$C$21, $C$9, 100%, $E$9)</f>
        <v>7.2590000000000003</v>
      </c>
      <c r="R133" s="10">
        <f>CHOOSE(CONTROL!$C$42, 7.8641, 7.8641) * CHOOSE(CONTROL!$C$21, $C$9, 100%, $E$9)</f>
        <v>7.8640999999999996</v>
      </c>
      <c r="S133" s="10">
        <f>CHOOSE(CONTROL!$C$42, 6.4705, 6.4705) * CHOOSE(CONTROL!$C$21, $C$9, 100%, $E$9)</f>
        <v>6.4705000000000004</v>
      </c>
      <c r="T1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38">
        <f>(1000*CHOOSE(CONTROL!$C$42, 695, 695)*CHOOSE(CONTROL!$C$42, 0.5599, 0.5599)*CHOOSE(CONTROL!$C$42, 31, 31))/1000000</f>
        <v>12.063045499999998</v>
      </c>
      <c r="V133" s="38">
        <f>(1000*CHOOSE(CONTROL!$C$42, 500, 500)*CHOOSE(CONTROL!$C$42, 0.275, 0.275)*CHOOSE(CONTROL!$C$42, 31, 31))/1000000</f>
        <v>4.2625000000000002</v>
      </c>
      <c r="W133" s="38">
        <f>(1000*CHOOSE(CONTROL!$C$42, 0.1146, 0.1146)*CHOOSE(CONTROL!$C$42, 121.5, 121.5)*CHOOSE(CONTROL!$C$42, 31, 31))/1000000</f>
        <v>0.43164089999999994</v>
      </c>
      <c r="X133" s="38">
        <f>(31*0.1790888*100000/1000000)+(31*0.2374*100000/1000000)</f>
        <v>1.2911152800000001</v>
      </c>
      <c r="Y133" s="38">
        <f>(1000*600*CHOOSE(CONTROL!$C$42, 1.7441, 1.7441)*CHOOSE(CONTROL!$C$42, 31, 31))/1000000</f>
        <v>32.440260000000002</v>
      </c>
      <c r="Z133" s="38"/>
      <c r="AA133" s="10"/>
      <c r="AB133" s="39"/>
      <c r="AC133" s="33">
        <f>(B133*122.58+C133*297.941+D133*89.177+E133*40.302+F133*40+G133*160+H133*0+I133*100+J133*300)/(122.58+297.941+89.177+40.302+0+40+160+100+300)</f>
        <v>6.6639145833913043</v>
      </c>
      <c r="AD133" s="27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6.6260223021582734</v>
      </c>
    </row>
    <row r="134" spans="1:30" ht="15" x14ac:dyDescent="0.2">
      <c r="A134" s="16">
        <v>45323</v>
      </c>
      <c r="B134" s="10">
        <f>CHOOSE(CONTROL!$C$42, 6.7839, 6.7839) * CHOOSE(CONTROL!$C$21, $C$9, 100%, $E$9)</f>
        <v>6.7839</v>
      </c>
      <c r="C134" s="10">
        <f>CHOOSE(CONTROL!$C$42, 6.7888, 6.7888) * CHOOSE(CONTROL!$C$21, $C$9, 100%, $E$9)</f>
        <v>6.7888000000000002</v>
      </c>
      <c r="D134" s="10">
        <f>CHOOSE(CONTROL!$C$42, 6.8133, 6.8133) * CHOOSE(CONTROL!$C$21, $C$9, 100%, $E$9)</f>
        <v>6.8132999999999999</v>
      </c>
      <c r="E134" s="10">
        <f>CHOOSE(CONTROL!$C$42, 6.847, 6.847) * CHOOSE(CONTROL!$C$21, $C$9, 100%, $E$9)</f>
        <v>6.8470000000000004</v>
      </c>
      <c r="F134" s="10">
        <f>CHOOSE(CONTROL!$C$42, 6.7661, 6.7661)*CHOOSE(CONTROL!$C$21, $C$9, 100%, $E$9)</f>
        <v>6.7660999999999998</v>
      </c>
      <c r="G134" s="10">
        <f>CHOOSE(CONTROL!$C$42, 6.7846, 6.7846)*CHOOSE(CONTROL!$C$21, $C$9, 100%, $E$9)</f>
        <v>6.7846000000000002</v>
      </c>
      <c r="H134" s="10">
        <f>CHOOSE(CONTROL!$C$42, 6.8362, 6.8362) * CHOOSE(CONTROL!$C$21, $C$9, 100%, $E$9)</f>
        <v>6.8361999999999998</v>
      </c>
      <c r="I134" s="10">
        <f>CHOOSE(CONTROL!$C$42, 6.7783, 6.7783)* CHOOSE(CONTROL!$C$21, $C$9, 100%, $E$9)</f>
        <v>6.7782999999999998</v>
      </c>
      <c r="J134" s="10">
        <f>CHOOSE(CONTROL!$C$42, 6.7591, 6.7591)* CHOOSE(CONTROL!$C$21, $C$9, 100%, $E$9)</f>
        <v>6.7591000000000001</v>
      </c>
      <c r="K134" s="10">
        <f>CHOOSE(CONTROL!$C$42, 6.7398, 6.7398) * CHOOSE(CONTROL!$C$21, $C$9, 100%, $E$9)</f>
        <v>6.7397999999999998</v>
      </c>
      <c r="L134" s="10">
        <f>CHOOSE(CONTROL!$C$42, 7.4232, 7.4232) * CHOOSE(CONTROL!$C$21, $C$9, 100%, $E$9)</f>
        <v>7.4231999999999996</v>
      </c>
      <c r="M134" s="10">
        <f>CHOOSE(CONTROL!$C$42, 6.7047, 6.7047) * CHOOSE(CONTROL!$C$21, $C$9, 100%, $E$9)</f>
        <v>6.7046999999999999</v>
      </c>
      <c r="N134" s="10">
        <f>CHOOSE(CONTROL!$C$42, 6.723, 6.723) * CHOOSE(CONTROL!$C$21, $C$9, 100%, $E$9)</f>
        <v>6.7229999999999999</v>
      </c>
      <c r="O134" s="10">
        <f>CHOOSE(CONTROL!$C$42, 6.7811, 6.7811) * CHOOSE(CONTROL!$C$21, $C$9, 100%, $E$9)</f>
        <v>6.7811000000000003</v>
      </c>
      <c r="P134" s="10">
        <f>CHOOSE(CONTROL!$C$42, 6.7238, 6.7238) * CHOOSE(CONTROL!$C$21, $C$9, 100%, $E$9)</f>
        <v>6.7237999999999998</v>
      </c>
      <c r="Q134" s="10">
        <f>CHOOSE(CONTROL!$C$42, 7.3764, 7.3764) * CHOOSE(CONTROL!$C$21, $C$9, 100%, $E$9)</f>
        <v>7.3764000000000003</v>
      </c>
      <c r="R134" s="10">
        <f>CHOOSE(CONTROL!$C$42, 7.9818, 7.9818) * CHOOSE(CONTROL!$C$21, $C$9, 100%, $E$9)</f>
        <v>7.9817999999999998</v>
      </c>
      <c r="S134" s="10">
        <f>CHOOSE(CONTROL!$C$42, 6.5857, 6.5857) * CHOOSE(CONTROL!$C$21, $C$9, 100%, $E$9)</f>
        <v>6.5857000000000001</v>
      </c>
      <c r="T13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34" s="38">
        <f>(1000*CHOOSE(CONTROL!$C$42, 695, 695)*CHOOSE(CONTROL!$C$42, 0.5599, 0.5599)*CHOOSE(CONTROL!$C$42, 29, 29))/1000000</f>
        <v>11.284784499999999</v>
      </c>
      <c r="V134" s="38">
        <f>(1000*CHOOSE(CONTROL!$C$42, 500, 500)*CHOOSE(CONTROL!$C$42, 0.275, 0.275)*CHOOSE(CONTROL!$C$42, 29, 29))/1000000</f>
        <v>3.9874999999999998</v>
      </c>
      <c r="W134" s="38">
        <f>(1000*CHOOSE(CONTROL!$C$42, 0.1146, 0.1146)*CHOOSE(CONTROL!$C$42, 121.5, 121.5)*CHOOSE(CONTROL!$C$42, 29, 29))/1000000</f>
        <v>0.40379309999999996</v>
      </c>
      <c r="X134" s="38">
        <f>(29*0.1790888*100000/1000000)+(29*0.2374*100000/1000000)</f>
        <v>1.2078175199999999</v>
      </c>
      <c r="Y134" s="38">
        <f>(1000*600*CHOOSE(CONTROL!$C$42, 1.7441, 1.7441)*CHOOSE(CONTROL!$C$42, 29, 29))/1000000</f>
        <v>30.347339999999999</v>
      </c>
      <c r="Z134" s="38"/>
      <c r="AA134" s="10"/>
      <c r="AB134" s="39"/>
      <c r="AC134" s="33">
        <f>(B134*122.58+C134*297.941+D134*89.177+E134*40.302+F134*40+G134*160+H134*0+I134*100+J134*300)/(122.58+297.941+89.177+40.302+0+40+160+100+300)</f>
        <v>6.7821824094782608</v>
      </c>
      <c r="AD134" s="27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6.7431287769784181</v>
      </c>
    </row>
    <row r="135" spans="1:30" ht="15" x14ac:dyDescent="0.2">
      <c r="A135" s="16">
        <v>45352</v>
      </c>
      <c r="B135" s="10">
        <f>CHOOSE(CONTROL!$C$42, 6.5913, 6.5913) * CHOOSE(CONTROL!$C$21, $C$9, 100%, $E$9)</f>
        <v>6.5913000000000004</v>
      </c>
      <c r="C135" s="10">
        <f>CHOOSE(CONTROL!$C$42, 6.5963, 6.5963) * CHOOSE(CONTROL!$C$21, $C$9, 100%, $E$9)</f>
        <v>6.5963000000000003</v>
      </c>
      <c r="D135" s="10">
        <f>CHOOSE(CONTROL!$C$42, 6.6208, 6.6208) * CHOOSE(CONTROL!$C$21, $C$9, 100%, $E$9)</f>
        <v>6.6208</v>
      </c>
      <c r="E135" s="10">
        <f>CHOOSE(CONTROL!$C$42, 6.6545, 6.6545) * CHOOSE(CONTROL!$C$21, $C$9, 100%, $E$9)</f>
        <v>6.6544999999999996</v>
      </c>
      <c r="F135" s="10">
        <f>CHOOSE(CONTROL!$C$42, 6.5721, 6.5721)*CHOOSE(CONTROL!$C$21, $C$9, 100%, $E$9)</f>
        <v>6.5720999999999998</v>
      </c>
      <c r="G135" s="10">
        <f>CHOOSE(CONTROL!$C$42, 6.5901, 6.5901)*CHOOSE(CONTROL!$C$21, $C$9, 100%, $E$9)</f>
        <v>6.5900999999999996</v>
      </c>
      <c r="H135" s="10">
        <f>CHOOSE(CONTROL!$C$42, 6.6437, 6.6437) * CHOOSE(CONTROL!$C$21, $C$9, 100%, $E$9)</f>
        <v>6.6436999999999999</v>
      </c>
      <c r="I135" s="10">
        <f>CHOOSE(CONTROL!$C$42, 6.5858, 6.5858)* CHOOSE(CONTROL!$C$21, $C$9, 100%, $E$9)</f>
        <v>6.5857999999999999</v>
      </c>
      <c r="J135" s="10">
        <f>CHOOSE(CONTROL!$C$42, 6.5651, 6.5651)* CHOOSE(CONTROL!$C$21, $C$9, 100%, $E$9)</f>
        <v>6.5651000000000002</v>
      </c>
      <c r="K135" s="10">
        <f>CHOOSE(CONTROL!$C$42, 6.5494, 6.5494) * CHOOSE(CONTROL!$C$21, $C$9, 100%, $E$9)</f>
        <v>6.5494000000000003</v>
      </c>
      <c r="L135" s="10">
        <f>CHOOSE(CONTROL!$C$42, 7.2307, 7.2307) * CHOOSE(CONTROL!$C$21, $C$9, 100%, $E$9)</f>
        <v>7.2306999999999997</v>
      </c>
      <c r="M135" s="10">
        <f>CHOOSE(CONTROL!$C$42, 6.5126, 6.5126) * CHOOSE(CONTROL!$C$21, $C$9, 100%, $E$9)</f>
        <v>6.5125999999999999</v>
      </c>
      <c r="N135" s="10">
        <f>CHOOSE(CONTROL!$C$42, 6.5305, 6.5305) * CHOOSE(CONTROL!$C$21, $C$9, 100%, $E$9)</f>
        <v>6.5305</v>
      </c>
      <c r="O135" s="10">
        <f>CHOOSE(CONTROL!$C$42, 6.5905, 6.5905) * CHOOSE(CONTROL!$C$21, $C$9, 100%, $E$9)</f>
        <v>6.5904999999999996</v>
      </c>
      <c r="P135" s="10">
        <f>CHOOSE(CONTROL!$C$42, 6.5332, 6.5332) * CHOOSE(CONTROL!$C$21, $C$9, 100%, $E$9)</f>
        <v>6.5331999999999999</v>
      </c>
      <c r="Q135" s="10">
        <f>CHOOSE(CONTROL!$C$42, 7.1858, 7.1858) * CHOOSE(CONTROL!$C$21, $C$9, 100%, $E$9)</f>
        <v>7.1858000000000004</v>
      </c>
      <c r="R135" s="10">
        <f>CHOOSE(CONTROL!$C$42, 7.7908, 7.7908) * CHOOSE(CONTROL!$C$21, $C$9, 100%, $E$9)</f>
        <v>7.7907999999999999</v>
      </c>
      <c r="S135" s="10">
        <f>CHOOSE(CONTROL!$C$42, 6.3987, 6.3987) * CHOOSE(CONTROL!$C$21, $C$9, 100%, $E$9)</f>
        <v>6.3986999999999998</v>
      </c>
      <c r="T1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38">
        <f>(1000*CHOOSE(CONTROL!$C$42, 695, 695)*CHOOSE(CONTROL!$C$42, 0.5599, 0.5599)*CHOOSE(CONTROL!$C$42, 31, 31))/1000000</f>
        <v>12.063045499999998</v>
      </c>
      <c r="V135" s="38">
        <f>(1000*CHOOSE(CONTROL!$C$42, 500, 500)*CHOOSE(CONTROL!$C$42, 0.275, 0.275)*CHOOSE(CONTROL!$C$42, 31, 31))/1000000</f>
        <v>4.2625000000000002</v>
      </c>
      <c r="W135" s="38">
        <f>(1000*CHOOSE(CONTROL!$C$42, 0.1146, 0.1146)*CHOOSE(CONTROL!$C$42, 121.5, 121.5)*CHOOSE(CONTROL!$C$42, 31, 31))/1000000</f>
        <v>0.43164089999999994</v>
      </c>
      <c r="X135" s="38">
        <f>(31*0.1790888*100000/1000000)+(31*0.2374*100000/1000000)</f>
        <v>1.2911152800000001</v>
      </c>
      <c r="Y135" s="38">
        <f>(1000*600*CHOOSE(CONTROL!$C$42, 1.7441, 1.7441)*CHOOSE(CONTROL!$C$42, 31, 31))/1000000</f>
        <v>32.440260000000002</v>
      </c>
      <c r="Z135" s="38"/>
      <c r="AA135" s="10"/>
      <c r="AB135" s="39"/>
      <c r="AC135" s="33">
        <f>(B135*122.58+C135*297.941+D135*89.177+E135*40.302+F135*40+G135*160+H135*0+I135*100+J135*300)/(122.58+297.941+89.177+40.302+0+40+160+100+300)</f>
        <v>6.5889500112173911</v>
      </c>
      <c r="AD135" s="27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6.5519014388489198</v>
      </c>
    </row>
    <row r="136" spans="1:30" ht="15" x14ac:dyDescent="0.2">
      <c r="A136" s="16">
        <v>45383</v>
      </c>
      <c r="B136" s="10">
        <f>CHOOSE(CONTROL!$C$42, 6.5724, 6.5724) * CHOOSE(CONTROL!$C$21, $C$9, 100%, $E$9)</f>
        <v>6.5724</v>
      </c>
      <c r="C136" s="10">
        <f>CHOOSE(CONTROL!$C$42, 6.5768, 6.5768) * CHOOSE(CONTROL!$C$21, $C$9, 100%, $E$9)</f>
        <v>6.5768000000000004</v>
      </c>
      <c r="D136" s="10">
        <f>CHOOSE(CONTROL!$C$42, 6.7569, 6.7569) * CHOOSE(CONTROL!$C$21, $C$9, 100%, $E$9)</f>
        <v>6.7568999999999999</v>
      </c>
      <c r="E136" s="10">
        <f>CHOOSE(CONTROL!$C$42, 6.7887, 6.7887) * CHOOSE(CONTROL!$C$21, $C$9, 100%, $E$9)</f>
        <v>6.7887000000000004</v>
      </c>
      <c r="F136" s="10">
        <f>CHOOSE(CONTROL!$C$42, 6.5377, 6.5377)*CHOOSE(CONTROL!$C$21, $C$9, 100%, $E$9)</f>
        <v>6.5377000000000001</v>
      </c>
      <c r="G136" s="10">
        <f>CHOOSE(CONTROL!$C$42, 6.554, 6.554)*CHOOSE(CONTROL!$C$21, $C$9, 100%, $E$9)</f>
        <v>6.5540000000000003</v>
      </c>
      <c r="H136" s="10">
        <f>CHOOSE(CONTROL!$C$42, 6.7785, 6.7785) * CHOOSE(CONTROL!$C$21, $C$9, 100%, $E$9)</f>
        <v>6.7785000000000002</v>
      </c>
      <c r="I136" s="10">
        <f>CHOOSE(CONTROL!$C$42, 6.5584, 6.5584)* CHOOSE(CONTROL!$C$21, $C$9, 100%, $E$9)</f>
        <v>6.5583999999999998</v>
      </c>
      <c r="J136" s="10">
        <f>CHOOSE(CONTROL!$C$42, 6.5307, 6.5307)* CHOOSE(CONTROL!$C$21, $C$9, 100%, $E$9)</f>
        <v>6.5307000000000004</v>
      </c>
      <c r="K136" s="10">
        <f>CHOOSE(CONTROL!$C$42, 6.5077, 6.5077) * CHOOSE(CONTROL!$C$21, $C$9, 100%, $E$9)</f>
        <v>6.5076999999999998</v>
      </c>
      <c r="L136" s="10">
        <f>CHOOSE(CONTROL!$C$42, 7.3655, 7.3655) * CHOOSE(CONTROL!$C$21, $C$9, 100%, $E$9)</f>
        <v>7.3654999999999999</v>
      </c>
      <c r="M136" s="10">
        <f>CHOOSE(CONTROL!$C$42, 6.4786, 6.4786) * CHOOSE(CONTROL!$C$21, $C$9, 100%, $E$9)</f>
        <v>6.4786000000000001</v>
      </c>
      <c r="N136" s="10">
        <f>CHOOSE(CONTROL!$C$42, 6.4947, 6.4947) * CHOOSE(CONTROL!$C$21, $C$9, 100%, $E$9)</f>
        <v>6.4946999999999999</v>
      </c>
      <c r="O136" s="10">
        <f>CHOOSE(CONTROL!$C$42, 6.7239, 6.7239) * CHOOSE(CONTROL!$C$21, $C$9, 100%, $E$9)</f>
        <v>6.7239000000000004</v>
      </c>
      <c r="P136" s="10">
        <f>CHOOSE(CONTROL!$C$42, 6.5061, 6.5061) * CHOOSE(CONTROL!$C$21, $C$9, 100%, $E$9)</f>
        <v>6.5061</v>
      </c>
      <c r="Q136" s="10">
        <f>CHOOSE(CONTROL!$C$42, 7.3192, 7.3192) * CHOOSE(CONTROL!$C$21, $C$9, 100%, $E$9)</f>
        <v>7.3192000000000004</v>
      </c>
      <c r="R136" s="10">
        <f>CHOOSE(CONTROL!$C$42, 7.9245, 7.9245) * CHOOSE(CONTROL!$C$21, $C$9, 100%, $E$9)</f>
        <v>7.9245000000000001</v>
      </c>
      <c r="S136" s="10">
        <f>CHOOSE(CONTROL!$C$42, 6.3796, 6.3796) * CHOOSE(CONTROL!$C$21, $C$9, 100%, $E$9)</f>
        <v>6.3795999999999999</v>
      </c>
      <c r="T1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38">
        <f>(1000*CHOOSE(CONTROL!$C$42, 695, 695)*CHOOSE(CONTROL!$C$42, 0.5599, 0.5599)*CHOOSE(CONTROL!$C$42, 30, 30))/1000000</f>
        <v>11.673914999999997</v>
      </c>
      <c r="V136" s="38">
        <f>(1000*CHOOSE(CONTROL!$C$42, 500, 500)*CHOOSE(CONTROL!$C$42, 0.275, 0.275)*CHOOSE(CONTROL!$C$42, 30, 30))/1000000</f>
        <v>4.125</v>
      </c>
      <c r="W136" s="38">
        <f>(1000*CHOOSE(CONTROL!$C$42, 0.1146, 0.1146)*CHOOSE(CONTROL!$C$42, 121.5, 121.5)*CHOOSE(CONTROL!$C$42, 30, 30))/1000000</f>
        <v>0.417717</v>
      </c>
      <c r="X136" s="38">
        <f>(30*0.1790888*245000/1000000)+(30*0.2374*100000/1000000)</f>
        <v>2.0285026799999999</v>
      </c>
      <c r="Y136" s="38">
        <f>(1000*600*CHOOSE(CONTROL!$C$42, 1.7441, 1.7441)*CHOOSE(CONTROL!$C$42, 30, 30))/1000000</f>
        <v>31.393799999999999</v>
      </c>
      <c r="Z136" s="38"/>
      <c r="AA136" s="10"/>
      <c r="AB136" s="39"/>
      <c r="AC136" s="33">
        <f>(B136*141.293+C136*267.993+D136*115.016+E136*89.698+F136*40+G136*185+H136*0+I136*100+J136*300)/(141.293+267.993+115.016+89.698+0+40+185+100+300)</f>
        <v>6.5910435016949149</v>
      </c>
      <c r="AD136" s="27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6.5550884892086332</v>
      </c>
    </row>
    <row r="137" spans="1:30" ht="15" x14ac:dyDescent="0.2">
      <c r="A137" s="16">
        <v>45413</v>
      </c>
      <c r="B137" s="10">
        <f>CHOOSE(CONTROL!$C$42, 6.6322, 6.6322) * CHOOSE(CONTROL!$C$21, $C$9, 100%, $E$9)</f>
        <v>6.6322000000000001</v>
      </c>
      <c r="C137" s="10">
        <f>CHOOSE(CONTROL!$C$42, 6.6401, 6.6401) * CHOOSE(CONTROL!$C$21, $C$9, 100%, $E$9)</f>
        <v>6.6401000000000003</v>
      </c>
      <c r="D137" s="10">
        <f>CHOOSE(CONTROL!$C$42, 6.8171, 6.8171) * CHOOSE(CONTROL!$C$21, $C$9, 100%, $E$9)</f>
        <v>6.8170999999999999</v>
      </c>
      <c r="E137" s="10">
        <f>CHOOSE(CONTROL!$C$42, 6.8482, 6.8482) * CHOOSE(CONTROL!$C$21, $C$9, 100%, $E$9)</f>
        <v>6.8482000000000003</v>
      </c>
      <c r="F137" s="10">
        <f>CHOOSE(CONTROL!$C$42, 6.5955, 6.5955)*CHOOSE(CONTROL!$C$21, $C$9, 100%, $E$9)</f>
        <v>6.5955000000000004</v>
      </c>
      <c r="G137" s="10">
        <f>CHOOSE(CONTROL!$C$42, 6.612, 6.612)*CHOOSE(CONTROL!$C$21, $C$9, 100%, $E$9)</f>
        <v>6.6120000000000001</v>
      </c>
      <c r="H137" s="10">
        <f>CHOOSE(CONTROL!$C$42, 6.8368, 6.8368) * CHOOSE(CONTROL!$C$21, $C$9, 100%, $E$9)</f>
        <v>6.8368000000000002</v>
      </c>
      <c r="I137" s="10">
        <f>CHOOSE(CONTROL!$C$42, 6.6167, 6.6167)* CHOOSE(CONTROL!$C$21, $C$9, 100%, $E$9)</f>
        <v>6.6166999999999998</v>
      </c>
      <c r="J137" s="10">
        <f>CHOOSE(CONTROL!$C$42, 6.5885, 6.5885)* CHOOSE(CONTROL!$C$21, $C$9, 100%, $E$9)</f>
        <v>6.5884999999999998</v>
      </c>
      <c r="K137" s="10">
        <f>CHOOSE(CONTROL!$C$42, 6.5632, 6.5632) * CHOOSE(CONTROL!$C$21, $C$9, 100%, $E$9)</f>
        <v>6.5632000000000001</v>
      </c>
      <c r="L137" s="10">
        <f>CHOOSE(CONTROL!$C$42, 7.4238, 7.4238) * CHOOSE(CONTROL!$C$21, $C$9, 100%, $E$9)</f>
        <v>7.4238</v>
      </c>
      <c r="M137" s="10">
        <f>CHOOSE(CONTROL!$C$42, 6.5359, 6.5359) * CHOOSE(CONTROL!$C$21, $C$9, 100%, $E$9)</f>
        <v>6.5358999999999998</v>
      </c>
      <c r="N137" s="10">
        <f>CHOOSE(CONTROL!$C$42, 6.5522, 6.5522) * CHOOSE(CONTROL!$C$21, $C$9, 100%, $E$9)</f>
        <v>6.5522</v>
      </c>
      <c r="O137" s="10">
        <f>CHOOSE(CONTROL!$C$42, 6.7817, 6.7817) * CHOOSE(CONTROL!$C$21, $C$9, 100%, $E$9)</f>
        <v>6.7816999999999998</v>
      </c>
      <c r="P137" s="10">
        <f>CHOOSE(CONTROL!$C$42, 6.5638, 6.5638) * CHOOSE(CONTROL!$C$21, $C$9, 100%, $E$9)</f>
        <v>6.5637999999999996</v>
      </c>
      <c r="Q137" s="10">
        <f>CHOOSE(CONTROL!$C$42, 7.377, 7.377) * CHOOSE(CONTROL!$C$21, $C$9, 100%, $E$9)</f>
        <v>7.3769999999999998</v>
      </c>
      <c r="R137" s="10">
        <f>CHOOSE(CONTROL!$C$42, 7.9824, 7.9824) * CHOOSE(CONTROL!$C$21, $C$9, 100%, $E$9)</f>
        <v>7.9824000000000002</v>
      </c>
      <c r="S137" s="10">
        <f>CHOOSE(CONTROL!$C$42, 6.4362, 6.4362) * CHOOSE(CONTROL!$C$21, $C$9, 100%, $E$9)</f>
        <v>6.4362000000000004</v>
      </c>
      <c r="T1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38">
        <f>(1000*CHOOSE(CONTROL!$C$42, 695, 695)*CHOOSE(CONTROL!$C$42, 0.5599, 0.5599)*CHOOSE(CONTROL!$C$42, 31, 31))/1000000</f>
        <v>12.063045499999998</v>
      </c>
      <c r="V137" s="38">
        <f>(1000*CHOOSE(CONTROL!$C$42, 500, 500)*CHOOSE(CONTROL!$C$42, 0.275, 0.275)*CHOOSE(CONTROL!$C$42, 31, 31))/1000000</f>
        <v>4.2625000000000002</v>
      </c>
      <c r="W137" s="38">
        <f>(1000*CHOOSE(CONTROL!$C$42, 0.1146, 0.1146)*CHOOSE(CONTROL!$C$42, 121.5, 121.5)*CHOOSE(CONTROL!$C$42, 31, 31))/1000000</f>
        <v>0.43164089999999994</v>
      </c>
      <c r="X137" s="38">
        <f>(31*0.1790888*245000/1000000)+(31*0.2374*100000/1000000)</f>
        <v>2.0961194359999999</v>
      </c>
      <c r="Y137" s="38">
        <f>(1000*600*CHOOSE(CONTROL!$C$42, 1.7441, 1.7441)*CHOOSE(CONTROL!$C$42, 31, 31))/1000000</f>
        <v>32.440260000000002</v>
      </c>
      <c r="Z137" s="38"/>
      <c r="AA137" s="10"/>
      <c r="AB137" s="39"/>
      <c r="AC137" s="33">
        <f>(B137*194.205+C137*267.466+D137*133.845+E137*53.484+F137*40+G137*185+H137*0+I137*100+J137*300)/(194.205+267.466+133.845+53.484+0+40+185+100+300)</f>
        <v>6.6467592354003138</v>
      </c>
      <c r="AD137" s="27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6.6126323741007189</v>
      </c>
    </row>
    <row r="138" spans="1:30" ht="15" x14ac:dyDescent="0.2">
      <c r="A138" s="16">
        <v>45444</v>
      </c>
      <c r="B138" s="10">
        <f>CHOOSE(CONTROL!$C$42, 6.8201, 6.8201) * CHOOSE(CONTROL!$C$21, $C$9, 100%, $E$9)</f>
        <v>6.8201000000000001</v>
      </c>
      <c r="C138" s="10">
        <f>CHOOSE(CONTROL!$C$42, 6.828, 6.828) * CHOOSE(CONTROL!$C$21, $C$9, 100%, $E$9)</f>
        <v>6.8280000000000003</v>
      </c>
      <c r="D138" s="10">
        <f>CHOOSE(CONTROL!$C$42, 7.005, 7.005) * CHOOSE(CONTROL!$C$21, $C$9, 100%, $E$9)</f>
        <v>7.0049999999999999</v>
      </c>
      <c r="E138" s="10">
        <f>CHOOSE(CONTROL!$C$42, 7.0362, 7.0362) * CHOOSE(CONTROL!$C$21, $C$9, 100%, $E$9)</f>
        <v>7.0362</v>
      </c>
      <c r="F138" s="10">
        <f>CHOOSE(CONTROL!$C$42, 6.7837, 6.7837)*CHOOSE(CONTROL!$C$21, $C$9, 100%, $E$9)</f>
        <v>6.7836999999999996</v>
      </c>
      <c r="G138" s="10">
        <f>CHOOSE(CONTROL!$C$42, 6.8002, 6.8002)*CHOOSE(CONTROL!$C$21, $C$9, 100%, $E$9)</f>
        <v>6.8002000000000002</v>
      </c>
      <c r="H138" s="10">
        <f>CHOOSE(CONTROL!$C$42, 7.0248, 7.0248) * CHOOSE(CONTROL!$C$21, $C$9, 100%, $E$9)</f>
        <v>7.0247999999999999</v>
      </c>
      <c r="I138" s="10">
        <f>CHOOSE(CONTROL!$C$42, 6.8047, 6.8047)* CHOOSE(CONTROL!$C$21, $C$9, 100%, $E$9)</f>
        <v>6.8047000000000004</v>
      </c>
      <c r="J138" s="10">
        <f>CHOOSE(CONTROL!$C$42, 6.7767, 6.7767)* CHOOSE(CONTROL!$C$21, $C$9, 100%, $E$9)</f>
        <v>6.7766999999999999</v>
      </c>
      <c r="K138" s="10">
        <f>CHOOSE(CONTROL!$C$42, 6.7462, 6.7462) * CHOOSE(CONTROL!$C$21, $C$9, 100%, $E$9)</f>
        <v>6.7462</v>
      </c>
      <c r="L138" s="10">
        <f>CHOOSE(CONTROL!$C$42, 7.6118, 7.6118) * CHOOSE(CONTROL!$C$21, $C$9, 100%, $E$9)</f>
        <v>7.6117999999999997</v>
      </c>
      <c r="M138" s="10">
        <f>CHOOSE(CONTROL!$C$42, 6.7221, 6.7221) * CHOOSE(CONTROL!$C$21, $C$9, 100%, $E$9)</f>
        <v>6.7221000000000002</v>
      </c>
      <c r="N138" s="10">
        <f>CHOOSE(CONTROL!$C$42, 6.7385, 6.7385) * CHOOSE(CONTROL!$C$21, $C$9, 100%, $E$9)</f>
        <v>6.7385000000000002</v>
      </c>
      <c r="O138" s="10">
        <f>CHOOSE(CONTROL!$C$42, 6.9677, 6.9677) * CHOOSE(CONTROL!$C$21, $C$9, 100%, $E$9)</f>
        <v>6.9676999999999998</v>
      </c>
      <c r="P138" s="10">
        <f>CHOOSE(CONTROL!$C$42, 6.7499, 6.7499) * CHOOSE(CONTROL!$C$21, $C$9, 100%, $E$9)</f>
        <v>6.7499000000000002</v>
      </c>
      <c r="Q138" s="10">
        <f>CHOOSE(CONTROL!$C$42, 7.563, 7.563) * CHOOSE(CONTROL!$C$21, $C$9, 100%, $E$9)</f>
        <v>7.5629999999999997</v>
      </c>
      <c r="R138" s="10">
        <f>CHOOSE(CONTROL!$C$42, 8.1689, 8.1689) * CHOOSE(CONTROL!$C$21, $C$9, 100%, $E$9)</f>
        <v>8.1689000000000007</v>
      </c>
      <c r="S138" s="10">
        <f>CHOOSE(CONTROL!$C$42, 6.6188, 6.6188) * CHOOSE(CONTROL!$C$21, $C$9, 100%, $E$9)</f>
        <v>6.6188000000000002</v>
      </c>
      <c r="T1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38">
        <f>(1000*CHOOSE(CONTROL!$C$42, 695, 695)*CHOOSE(CONTROL!$C$42, 0.5599, 0.5599)*CHOOSE(CONTROL!$C$42, 30, 30))/1000000</f>
        <v>11.673914999999997</v>
      </c>
      <c r="V138" s="38">
        <f>(1000*CHOOSE(CONTROL!$C$42, 500, 500)*CHOOSE(CONTROL!$C$42, 0.275, 0.275)*CHOOSE(CONTROL!$C$42, 30, 30))/1000000</f>
        <v>4.125</v>
      </c>
      <c r="W138" s="38">
        <f>(1000*CHOOSE(CONTROL!$C$42, 0.1146, 0.1146)*CHOOSE(CONTROL!$C$42, 121.5, 121.5)*CHOOSE(CONTROL!$C$42, 30, 30))/1000000</f>
        <v>0.417717</v>
      </c>
      <c r="X138" s="38">
        <f>(30*0.1790888*245000/1000000)+(30*0.2374*100000/1000000)</f>
        <v>2.0285026799999999</v>
      </c>
      <c r="Y138" s="38">
        <f>(1000*600*CHOOSE(CONTROL!$C$42, 1.7441, 1.7441)*CHOOSE(CONTROL!$C$42, 30, 30))/1000000</f>
        <v>31.393799999999999</v>
      </c>
      <c r="Z138" s="38"/>
      <c r="AA138" s="10"/>
      <c r="AB138" s="39"/>
      <c r="AC138" s="33">
        <f>(B138*194.205+C138*267.466+D138*133.845+E138*53.484+F138*40+G138*185+H138*0+I138*100+J138*300)/(194.205+267.466+133.845+53.484+0+40+185+100+300)</f>
        <v>6.8347949091836737</v>
      </c>
      <c r="AD138" s="27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6.7987848920863305</v>
      </c>
    </row>
    <row r="139" spans="1:30" ht="15" x14ac:dyDescent="0.2">
      <c r="A139" s="16">
        <v>45474</v>
      </c>
      <c r="B139" s="10">
        <f>CHOOSE(CONTROL!$C$42, 6.6894, 6.6894) * CHOOSE(CONTROL!$C$21, $C$9, 100%, $E$9)</f>
        <v>6.6894</v>
      </c>
      <c r="C139" s="10">
        <f>CHOOSE(CONTROL!$C$42, 6.6973, 6.6973) * CHOOSE(CONTROL!$C$21, $C$9, 100%, $E$9)</f>
        <v>6.6973000000000003</v>
      </c>
      <c r="D139" s="10">
        <f>CHOOSE(CONTROL!$C$42, 6.8743, 6.8743) * CHOOSE(CONTROL!$C$21, $C$9, 100%, $E$9)</f>
        <v>6.8742999999999999</v>
      </c>
      <c r="E139" s="10">
        <f>CHOOSE(CONTROL!$C$42, 6.9054, 6.9054) * CHOOSE(CONTROL!$C$21, $C$9, 100%, $E$9)</f>
        <v>6.9054000000000002</v>
      </c>
      <c r="F139" s="10">
        <f>CHOOSE(CONTROL!$C$42, 6.6532, 6.6532)*CHOOSE(CONTROL!$C$21, $C$9, 100%, $E$9)</f>
        <v>6.6532</v>
      </c>
      <c r="G139" s="10">
        <f>CHOOSE(CONTROL!$C$42, 6.6698, 6.6698)*CHOOSE(CONTROL!$C$21, $C$9, 100%, $E$9)</f>
        <v>6.6698000000000004</v>
      </c>
      <c r="H139" s="10">
        <f>CHOOSE(CONTROL!$C$42, 6.8941, 6.8941) * CHOOSE(CONTROL!$C$21, $C$9, 100%, $E$9)</f>
        <v>6.8940999999999999</v>
      </c>
      <c r="I139" s="10">
        <f>CHOOSE(CONTROL!$C$42, 6.674, 6.674)* CHOOSE(CONTROL!$C$21, $C$9, 100%, $E$9)</f>
        <v>6.6740000000000004</v>
      </c>
      <c r="J139" s="10">
        <f>CHOOSE(CONTROL!$C$42, 6.6462, 6.6462)* CHOOSE(CONTROL!$C$21, $C$9, 100%, $E$9)</f>
        <v>6.6462000000000003</v>
      </c>
      <c r="K139" s="10">
        <f>CHOOSE(CONTROL!$C$42, 6.6197, 6.6197) * CHOOSE(CONTROL!$C$21, $C$9, 100%, $E$9)</f>
        <v>6.6196999999999999</v>
      </c>
      <c r="L139" s="10">
        <f>CHOOSE(CONTROL!$C$42, 7.4811, 7.4811) * CHOOSE(CONTROL!$C$21, $C$9, 100%, $E$9)</f>
        <v>7.4810999999999996</v>
      </c>
      <c r="M139" s="10">
        <f>CHOOSE(CONTROL!$C$42, 6.5929, 6.5929) * CHOOSE(CONTROL!$C$21, $C$9, 100%, $E$9)</f>
        <v>6.5929000000000002</v>
      </c>
      <c r="N139" s="10">
        <f>CHOOSE(CONTROL!$C$42, 6.6094, 6.6094) * CHOOSE(CONTROL!$C$21, $C$9, 100%, $E$9)</f>
        <v>6.6093999999999999</v>
      </c>
      <c r="O139" s="10">
        <f>CHOOSE(CONTROL!$C$42, 6.8383, 6.8383) * CHOOSE(CONTROL!$C$21, $C$9, 100%, $E$9)</f>
        <v>6.8383000000000003</v>
      </c>
      <c r="P139" s="10">
        <f>CHOOSE(CONTROL!$C$42, 6.6205, 6.6205) * CHOOSE(CONTROL!$C$21, $C$9, 100%, $E$9)</f>
        <v>6.6204999999999998</v>
      </c>
      <c r="Q139" s="10">
        <f>CHOOSE(CONTROL!$C$42, 7.4336, 7.4336) * CHOOSE(CONTROL!$C$21, $C$9, 100%, $E$9)</f>
        <v>7.4336000000000002</v>
      </c>
      <c r="R139" s="10">
        <f>CHOOSE(CONTROL!$C$42, 8.0392, 8.0392) * CHOOSE(CONTROL!$C$21, $C$9, 100%, $E$9)</f>
        <v>8.0391999999999992</v>
      </c>
      <c r="S139" s="10">
        <f>CHOOSE(CONTROL!$C$42, 6.4918, 6.4918) * CHOOSE(CONTROL!$C$21, $C$9, 100%, $E$9)</f>
        <v>6.4917999999999996</v>
      </c>
      <c r="T1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38">
        <f>(1000*CHOOSE(CONTROL!$C$42, 695, 695)*CHOOSE(CONTROL!$C$42, 0.5599, 0.5599)*CHOOSE(CONTROL!$C$42, 31, 31))/1000000</f>
        <v>12.063045499999998</v>
      </c>
      <c r="V139" s="38">
        <f>(1000*CHOOSE(CONTROL!$C$42, 500, 500)*CHOOSE(CONTROL!$C$42, 0.275, 0.275)*CHOOSE(CONTROL!$C$42, 31, 31))/1000000</f>
        <v>4.2625000000000002</v>
      </c>
      <c r="W139" s="38">
        <f>(1000*CHOOSE(CONTROL!$C$42, 0.1146, 0.1146)*CHOOSE(CONTROL!$C$42, 121.5, 121.5)*CHOOSE(CONTROL!$C$42, 31, 31))/1000000</f>
        <v>0.43164089999999994</v>
      </c>
      <c r="X139" s="38">
        <f>(31*0.1790888*245000/1000000)+(31*0.2374*100000/1000000)</f>
        <v>2.0961194359999999</v>
      </c>
      <c r="Y139" s="38">
        <f>(1000*600*CHOOSE(CONTROL!$C$42, 1.7441, 1.7441)*CHOOSE(CONTROL!$C$42, 31, 31))/1000000</f>
        <v>32.440260000000002</v>
      </c>
      <c r="Z139" s="38"/>
      <c r="AA139" s="10"/>
      <c r="AB139" s="39"/>
      <c r="AC139" s="33">
        <f>(B139*194.205+C139*267.466+D139*133.845+E139*53.484+F139*40+G139*185+H139*0+I139*100+J139*300)/(194.205+267.466+133.845+53.484+0+40+185+100+300)</f>
        <v>6.7041876498430142</v>
      </c>
      <c r="AD139" s="27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6.6695230215827346</v>
      </c>
    </row>
    <row r="140" spans="1:30" ht="15" x14ac:dyDescent="0.2">
      <c r="A140" s="16">
        <v>45505</v>
      </c>
      <c r="B140" s="10">
        <f>CHOOSE(CONTROL!$C$42, 6.3592, 6.3592) * CHOOSE(CONTROL!$C$21, $C$9, 100%, $E$9)</f>
        <v>6.3592000000000004</v>
      </c>
      <c r="C140" s="10">
        <f>CHOOSE(CONTROL!$C$42, 6.3672, 6.3672) * CHOOSE(CONTROL!$C$21, $C$9, 100%, $E$9)</f>
        <v>6.3672000000000004</v>
      </c>
      <c r="D140" s="10">
        <f>CHOOSE(CONTROL!$C$42, 6.5441, 6.5441) * CHOOSE(CONTROL!$C$21, $C$9, 100%, $E$9)</f>
        <v>6.5441000000000003</v>
      </c>
      <c r="E140" s="10">
        <f>CHOOSE(CONTROL!$C$42, 6.5753, 6.5753) * CHOOSE(CONTROL!$C$21, $C$9, 100%, $E$9)</f>
        <v>6.5753000000000004</v>
      </c>
      <c r="F140" s="10">
        <f>CHOOSE(CONTROL!$C$42, 6.3231, 6.3231)*CHOOSE(CONTROL!$C$21, $C$9, 100%, $E$9)</f>
        <v>6.3231000000000002</v>
      </c>
      <c r="G140" s="10">
        <f>CHOOSE(CONTROL!$C$42, 6.3397, 6.3397)*CHOOSE(CONTROL!$C$21, $C$9, 100%, $E$9)</f>
        <v>6.3396999999999997</v>
      </c>
      <c r="H140" s="10">
        <f>CHOOSE(CONTROL!$C$42, 6.5639, 6.5639) * CHOOSE(CONTROL!$C$21, $C$9, 100%, $E$9)</f>
        <v>6.5639000000000003</v>
      </c>
      <c r="I140" s="10">
        <f>CHOOSE(CONTROL!$C$42, 6.3438, 6.3438)* CHOOSE(CONTROL!$C$21, $C$9, 100%, $E$9)</f>
        <v>6.3437999999999999</v>
      </c>
      <c r="J140" s="10">
        <f>CHOOSE(CONTROL!$C$42, 6.3161, 6.3161)* CHOOSE(CONTROL!$C$21, $C$9, 100%, $E$9)</f>
        <v>6.3160999999999996</v>
      </c>
      <c r="K140" s="10">
        <f>CHOOSE(CONTROL!$C$42, 6.2991, 6.2991) * CHOOSE(CONTROL!$C$21, $C$9, 100%, $E$9)</f>
        <v>6.2991000000000001</v>
      </c>
      <c r="L140" s="10">
        <f>CHOOSE(CONTROL!$C$42, 7.1509, 7.1509) * CHOOSE(CONTROL!$C$21, $C$9, 100%, $E$9)</f>
        <v>7.1509</v>
      </c>
      <c r="M140" s="10">
        <f>CHOOSE(CONTROL!$C$42, 6.2662, 6.2662) * CHOOSE(CONTROL!$C$21, $C$9, 100%, $E$9)</f>
        <v>6.2662000000000004</v>
      </c>
      <c r="N140" s="10">
        <f>CHOOSE(CONTROL!$C$42, 6.2826, 6.2826) * CHOOSE(CONTROL!$C$21, $C$9, 100%, $E$9)</f>
        <v>6.2826000000000004</v>
      </c>
      <c r="O140" s="10">
        <f>CHOOSE(CONTROL!$C$42, 6.5115, 6.5115) * CHOOSE(CONTROL!$C$21, $C$9, 100%, $E$9)</f>
        <v>6.5114999999999998</v>
      </c>
      <c r="P140" s="10">
        <f>CHOOSE(CONTROL!$C$42, 6.2937, 6.2937) * CHOOSE(CONTROL!$C$21, $C$9, 100%, $E$9)</f>
        <v>6.2937000000000003</v>
      </c>
      <c r="Q140" s="10">
        <f>CHOOSE(CONTROL!$C$42, 7.1068, 7.1068) * CHOOSE(CONTROL!$C$21, $C$9, 100%, $E$9)</f>
        <v>7.1067999999999998</v>
      </c>
      <c r="R140" s="10">
        <f>CHOOSE(CONTROL!$C$42, 7.7116, 7.7116) * CHOOSE(CONTROL!$C$21, $C$9, 100%, $E$9)</f>
        <v>7.7115999999999998</v>
      </c>
      <c r="S140" s="10">
        <f>CHOOSE(CONTROL!$C$42, 6.1712, 6.1712) * CHOOSE(CONTROL!$C$21, $C$9, 100%, $E$9)</f>
        <v>6.1711999999999998</v>
      </c>
      <c r="T1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38">
        <f>(1000*CHOOSE(CONTROL!$C$42, 695, 695)*CHOOSE(CONTROL!$C$42, 0.5599, 0.5599)*CHOOSE(CONTROL!$C$42, 31, 31))/1000000</f>
        <v>12.063045499999998</v>
      </c>
      <c r="V140" s="38">
        <f>(1000*CHOOSE(CONTROL!$C$42, 500, 500)*CHOOSE(CONTROL!$C$42, 0.275, 0.275)*CHOOSE(CONTROL!$C$42, 31, 31))/1000000</f>
        <v>4.2625000000000002</v>
      </c>
      <c r="W140" s="38">
        <f>(1000*CHOOSE(CONTROL!$C$42, 0.1146, 0.1146)*CHOOSE(CONTROL!$C$42, 121.5, 121.5)*CHOOSE(CONTROL!$C$42, 31, 31))/1000000</f>
        <v>0.43164089999999994</v>
      </c>
      <c r="X140" s="38">
        <f>(31*0.1790888*245000/1000000)+(31*0.2374*100000/1000000)</f>
        <v>2.0961194359999999</v>
      </c>
      <c r="Y140" s="38">
        <f>(1000*600*CHOOSE(CONTROL!$C$42, 1.7441, 1.7441)*CHOOSE(CONTROL!$C$42, 31, 31))/1000000</f>
        <v>32.440260000000002</v>
      </c>
      <c r="Z140" s="38"/>
      <c r="AA140" s="10"/>
      <c r="AB140" s="39"/>
      <c r="AC140" s="33">
        <f>(B140*194.205+C140*267.466+D140*133.845+E140*53.484+F140*40+G140*185+H140*0+I140*100+J140*300)/(194.205+267.466+133.845+53.484+0+40+185+100+300)</f>
        <v>6.3740540509419157</v>
      </c>
      <c r="AD140" s="27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6.3427575539568348</v>
      </c>
    </row>
    <row r="141" spans="1:30" ht="15" x14ac:dyDescent="0.2">
      <c r="A141" s="16">
        <v>45536</v>
      </c>
      <c r="B141" s="10">
        <f>CHOOSE(CONTROL!$C$42, 5.9559, 5.9559) * CHOOSE(CONTROL!$C$21, $C$9, 100%, $E$9)</f>
        <v>5.9558999999999997</v>
      </c>
      <c r="C141" s="10">
        <f>CHOOSE(CONTROL!$C$42, 5.9638, 5.9638) * CHOOSE(CONTROL!$C$21, $C$9, 100%, $E$9)</f>
        <v>5.9638</v>
      </c>
      <c r="D141" s="10">
        <f>CHOOSE(CONTROL!$C$42, 6.1408, 6.1408) * CHOOSE(CONTROL!$C$21, $C$9, 100%, $E$9)</f>
        <v>6.1407999999999996</v>
      </c>
      <c r="E141" s="10">
        <f>CHOOSE(CONTROL!$C$42, 6.1719, 6.1719) * CHOOSE(CONTROL!$C$21, $C$9, 100%, $E$9)</f>
        <v>6.1718999999999999</v>
      </c>
      <c r="F141" s="10">
        <f>CHOOSE(CONTROL!$C$42, 5.9194, 5.9194)*CHOOSE(CONTROL!$C$21, $C$9, 100%, $E$9)</f>
        <v>5.9194000000000004</v>
      </c>
      <c r="G141" s="10">
        <f>CHOOSE(CONTROL!$C$42, 5.936, 5.936)*CHOOSE(CONTROL!$C$21, $C$9, 100%, $E$9)</f>
        <v>5.9359999999999999</v>
      </c>
      <c r="H141" s="10">
        <f>CHOOSE(CONTROL!$C$42, 6.1605, 6.1605) * CHOOSE(CONTROL!$C$21, $C$9, 100%, $E$9)</f>
        <v>6.1604999999999999</v>
      </c>
      <c r="I141" s="10">
        <f>CHOOSE(CONTROL!$C$42, 5.9405, 5.9405)* CHOOSE(CONTROL!$C$21, $C$9, 100%, $E$9)</f>
        <v>5.9405000000000001</v>
      </c>
      <c r="J141" s="10">
        <f>CHOOSE(CONTROL!$C$42, 5.9124, 5.9124)* CHOOSE(CONTROL!$C$21, $C$9, 100%, $E$9)</f>
        <v>5.9123999999999999</v>
      </c>
      <c r="K141" s="10">
        <f>CHOOSE(CONTROL!$C$42, 5.9066, 5.9066) * CHOOSE(CONTROL!$C$21, $C$9, 100%, $E$9)</f>
        <v>5.9066000000000001</v>
      </c>
      <c r="L141" s="10">
        <f>CHOOSE(CONTROL!$C$42, 6.7475, 6.7475) * CHOOSE(CONTROL!$C$21, $C$9, 100%, $E$9)</f>
        <v>6.7474999999999996</v>
      </c>
      <c r="M141" s="10">
        <f>CHOOSE(CONTROL!$C$42, 5.8666, 5.8666) * CHOOSE(CONTROL!$C$21, $C$9, 100%, $E$9)</f>
        <v>5.8666</v>
      </c>
      <c r="N141" s="10">
        <f>CHOOSE(CONTROL!$C$42, 5.883, 5.883) * CHOOSE(CONTROL!$C$21, $C$9, 100%, $E$9)</f>
        <v>5.883</v>
      </c>
      <c r="O141" s="10">
        <f>CHOOSE(CONTROL!$C$42, 6.1122, 6.1122) * CHOOSE(CONTROL!$C$21, $C$9, 100%, $E$9)</f>
        <v>6.1121999999999996</v>
      </c>
      <c r="P141" s="10">
        <f>CHOOSE(CONTROL!$C$42, 5.8944, 5.8944) * CHOOSE(CONTROL!$C$21, $C$9, 100%, $E$9)</f>
        <v>5.8944000000000001</v>
      </c>
      <c r="Q141" s="10">
        <f>CHOOSE(CONTROL!$C$42, 6.7075, 6.7075) * CHOOSE(CONTROL!$C$21, $C$9, 100%, $E$9)</f>
        <v>6.7074999999999996</v>
      </c>
      <c r="R141" s="10">
        <f>CHOOSE(CONTROL!$C$42, 7.3113, 7.3113) * CHOOSE(CONTROL!$C$21, $C$9, 100%, $E$9)</f>
        <v>7.3113000000000001</v>
      </c>
      <c r="S141" s="10">
        <f>CHOOSE(CONTROL!$C$42, 5.7795, 5.7795) * CHOOSE(CONTROL!$C$21, $C$9, 100%, $E$9)</f>
        <v>5.7794999999999996</v>
      </c>
      <c r="T1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38">
        <f>(1000*CHOOSE(CONTROL!$C$42, 695, 695)*CHOOSE(CONTROL!$C$42, 0.5599, 0.5599)*CHOOSE(CONTROL!$C$42, 30, 30))/1000000</f>
        <v>11.673914999999997</v>
      </c>
      <c r="V141" s="38">
        <f>(1000*CHOOSE(CONTROL!$C$42, 500, 500)*CHOOSE(CONTROL!$C$42, 0.275, 0.275)*CHOOSE(CONTROL!$C$42, 30, 30))/1000000</f>
        <v>4.125</v>
      </c>
      <c r="W141" s="38">
        <f>(1000*CHOOSE(CONTROL!$C$42, 0.1146, 0.1146)*CHOOSE(CONTROL!$C$42, 121.5, 121.5)*CHOOSE(CONTROL!$C$42, 30, 30))/1000000</f>
        <v>0.417717</v>
      </c>
      <c r="X141" s="38">
        <f>(30*0.1790888*245000/1000000)+(30*0.2374*100000/1000000)</f>
        <v>2.0285026799999999</v>
      </c>
      <c r="Y141" s="38">
        <f>(1000*600*CHOOSE(CONTROL!$C$42, 1.7441, 1.7441)*CHOOSE(CONTROL!$C$42, 30, 30))/1000000</f>
        <v>31.393799999999999</v>
      </c>
      <c r="Z141" s="38"/>
      <c r="AA141" s="10"/>
      <c r="AB141" s="39"/>
      <c r="AC141" s="33">
        <f>(B141*194.205+C141*267.466+D141*133.845+E141*53.484+F141*40+G141*185+H141*0+I141*100+J141*300)/(194.205+267.466+133.845+53.484+0+40+185+100+300)</f>
        <v>5.9705640234693877</v>
      </c>
      <c r="AD141" s="27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5.9432848920863321</v>
      </c>
    </row>
    <row r="142" spans="1:30" ht="15" x14ac:dyDescent="0.2">
      <c r="A142" s="16">
        <v>45566</v>
      </c>
      <c r="B142" s="10">
        <f>CHOOSE(CONTROL!$C$42, 5.8329, 5.8329) * CHOOSE(CONTROL!$C$21, $C$9, 100%, $E$9)</f>
        <v>5.8329000000000004</v>
      </c>
      <c r="C142" s="10">
        <f>CHOOSE(CONTROL!$C$42, 5.8381, 5.8381) * CHOOSE(CONTROL!$C$21, $C$9, 100%, $E$9)</f>
        <v>5.8380999999999998</v>
      </c>
      <c r="D142" s="10">
        <f>CHOOSE(CONTROL!$C$42, 6.0201, 6.0201) * CHOOSE(CONTROL!$C$21, $C$9, 100%, $E$9)</f>
        <v>6.0201000000000002</v>
      </c>
      <c r="E142" s="10">
        <f>CHOOSE(CONTROL!$C$42, 6.0489, 6.0489) * CHOOSE(CONTROL!$C$21, $C$9, 100%, $E$9)</f>
        <v>6.0488999999999997</v>
      </c>
      <c r="F142" s="10">
        <f>CHOOSE(CONTROL!$C$42, 5.7985, 5.7985)*CHOOSE(CONTROL!$C$21, $C$9, 100%, $E$9)</f>
        <v>5.7984999999999998</v>
      </c>
      <c r="G142" s="10">
        <f>CHOOSE(CONTROL!$C$42, 5.8147, 5.8147)*CHOOSE(CONTROL!$C$21, $C$9, 100%, $E$9)</f>
        <v>5.8147000000000002</v>
      </c>
      <c r="H142" s="10">
        <f>CHOOSE(CONTROL!$C$42, 6.0393, 6.0393) * CHOOSE(CONTROL!$C$21, $C$9, 100%, $E$9)</f>
        <v>6.0392999999999999</v>
      </c>
      <c r="I142" s="10">
        <f>CHOOSE(CONTROL!$C$42, 5.8192, 5.8192)* CHOOSE(CONTROL!$C$21, $C$9, 100%, $E$9)</f>
        <v>5.8192000000000004</v>
      </c>
      <c r="J142" s="10">
        <f>CHOOSE(CONTROL!$C$42, 5.7915, 5.7915)* CHOOSE(CONTROL!$C$21, $C$9, 100%, $E$9)</f>
        <v>5.7915000000000001</v>
      </c>
      <c r="K142" s="10">
        <f>CHOOSE(CONTROL!$C$42, 5.7894, 5.7894) * CHOOSE(CONTROL!$C$21, $C$9, 100%, $E$9)</f>
        <v>5.7893999999999997</v>
      </c>
      <c r="L142" s="10">
        <f>CHOOSE(CONTROL!$C$42, 6.6263, 6.6263) * CHOOSE(CONTROL!$C$21, $C$9, 100%, $E$9)</f>
        <v>6.6262999999999996</v>
      </c>
      <c r="M142" s="10">
        <f>CHOOSE(CONTROL!$C$42, 5.7469, 5.7469) * CHOOSE(CONTROL!$C$21, $C$9, 100%, $E$9)</f>
        <v>5.7469000000000001</v>
      </c>
      <c r="N142" s="10">
        <f>CHOOSE(CONTROL!$C$42, 5.763, 5.763) * CHOOSE(CONTROL!$C$21, $C$9, 100%, $E$9)</f>
        <v>5.7629999999999999</v>
      </c>
      <c r="O142" s="10">
        <f>CHOOSE(CONTROL!$C$42, 5.9922, 5.9922) * CHOOSE(CONTROL!$C$21, $C$9, 100%, $E$9)</f>
        <v>5.9922000000000004</v>
      </c>
      <c r="P142" s="10">
        <f>CHOOSE(CONTROL!$C$42, 5.7744, 5.7744) * CHOOSE(CONTROL!$C$21, $C$9, 100%, $E$9)</f>
        <v>5.7744</v>
      </c>
      <c r="Q142" s="10">
        <f>CHOOSE(CONTROL!$C$42, 6.5875, 6.5875) * CHOOSE(CONTROL!$C$21, $C$9, 100%, $E$9)</f>
        <v>6.5875000000000004</v>
      </c>
      <c r="R142" s="10">
        <f>CHOOSE(CONTROL!$C$42, 7.191, 7.191) * CHOOSE(CONTROL!$C$21, $C$9, 100%, $E$9)</f>
        <v>7.1909999999999998</v>
      </c>
      <c r="S142" s="10">
        <f>CHOOSE(CONTROL!$C$42, 5.6618, 5.6618) * CHOOSE(CONTROL!$C$21, $C$9, 100%, $E$9)</f>
        <v>5.6618000000000004</v>
      </c>
      <c r="T1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38">
        <f>(1000*CHOOSE(CONTROL!$C$42, 695, 695)*CHOOSE(CONTROL!$C$42, 0.5599, 0.5599)*CHOOSE(CONTROL!$C$42, 31, 31))/1000000</f>
        <v>12.063045499999998</v>
      </c>
      <c r="V142" s="38">
        <f>(1000*CHOOSE(CONTROL!$C$42, 500, 500)*CHOOSE(CONTROL!$C$42, 0.275, 0.275)*CHOOSE(CONTROL!$C$42, 31, 31))/1000000</f>
        <v>4.2625000000000002</v>
      </c>
      <c r="W142" s="38">
        <f>(1000*CHOOSE(CONTROL!$C$42, 0.1146, 0.1146)*CHOOSE(CONTROL!$C$42, 121.5, 121.5)*CHOOSE(CONTROL!$C$42, 31, 31))/1000000</f>
        <v>0.43164089999999994</v>
      </c>
      <c r="X142" s="38">
        <f>(31*0.1790888*245000/1000000)+(31*0.2374*100000/1000000)</f>
        <v>2.0961194359999999</v>
      </c>
      <c r="Y142" s="38">
        <f>(1000*600*CHOOSE(CONTROL!$C$42, 1.7441, 1.7441)*CHOOSE(CONTROL!$C$42, 31, 31))/1000000</f>
        <v>32.440260000000002</v>
      </c>
      <c r="Z142" s="38"/>
      <c r="AA142" s="10"/>
      <c r="AB142" s="39"/>
      <c r="AC142" s="33">
        <f>(B142*131.881+C142*277.167+D142*79.08+E142*125.872+F142*40+G142*185+H142*0+I142*100+J142*300)/(131.881+277.167+79.08+125.872+0+40+185+100+300)</f>
        <v>5.8529971722356731</v>
      </c>
      <c r="AD142" s="27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5.8233884892086341</v>
      </c>
    </row>
    <row r="143" spans="1:30" ht="15" x14ac:dyDescent="0.2">
      <c r="A143" s="16">
        <v>45597</v>
      </c>
      <c r="B143" s="10">
        <f>CHOOSE(CONTROL!$C$42, 5.9861, 5.9861) * CHOOSE(CONTROL!$C$21, $C$9, 100%, $E$9)</f>
        <v>5.9861000000000004</v>
      </c>
      <c r="C143" s="10">
        <f>CHOOSE(CONTROL!$C$42, 5.991, 5.991) * CHOOSE(CONTROL!$C$21, $C$9, 100%, $E$9)</f>
        <v>5.9909999999999997</v>
      </c>
      <c r="D143" s="10">
        <f>CHOOSE(CONTROL!$C$42, 6.0155, 6.0155) * CHOOSE(CONTROL!$C$21, $C$9, 100%, $E$9)</f>
        <v>6.0155000000000003</v>
      </c>
      <c r="E143" s="10">
        <f>CHOOSE(CONTROL!$C$42, 6.0492, 6.0492) * CHOOSE(CONTROL!$C$21, $C$9, 100%, $E$9)</f>
        <v>6.0491999999999999</v>
      </c>
      <c r="F143" s="10">
        <f>CHOOSE(CONTROL!$C$42, 5.9554, 5.9554)*CHOOSE(CONTROL!$C$21, $C$9, 100%, $E$9)</f>
        <v>5.9554</v>
      </c>
      <c r="G143" s="10">
        <f>CHOOSE(CONTROL!$C$42, 5.9718, 5.9718)*CHOOSE(CONTROL!$C$21, $C$9, 100%, $E$9)</f>
        <v>5.9718</v>
      </c>
      <c r="H143" s="10">
        <f>CHOOSE(CONTROL!$C$42, 6.0384, 6.0384) * CHOOSE(CONTROL!$C$21, $C$9, 100%, $E$9)</f>
        <v>6.0384000000000002</v>
      </c>
      <c r="I143" s="10">
        <f>CHOOSE(CONTROL!$C$42, 5.9728, 5.9728)* CHOOSE(CONTROL!$C$21, $C$9, 100%, $E$9)</f>
        <v>5.9728000000000003</v>
      </c>
      <c r="J143" s="10">
        <f>CHOOSE(CONTROL!$C$42, 5.9484, 5.9484)* CHOOSE(CONTROL!$C$21, $C$9, 100%, $E$9)</f>
        <v>5.9484000000000004</v>
      </c>
      <c r="K143" s="10">
        <f>CHOOSE(CONTROL!$C$42, 5.9401, 5.9401) * CHOOSE(CONTROL!$C$21, $C$9, 100%, $E$9)</f>
        <v>5.9401000000000002</v>
      </c>
      <c r="L143" s="10">
        <f>CHOOSE(CONTROL!$C$42, 6.6254, 6.6254) * CHOOSE(CONTROL!$C$21, $C$9, 100%, $E$9)</f>
        <v>6.6254</v>
      </c>
      <c r="M143" s="10">
        <f>CHOOSE(CONTROL!$C$42, 5.9022, 5.9022) * CHOOSE(CONTROL!$C$21, $C$9, 100%, $E$9)</f>
        <v>5.9021999999999997</v>
      </c>
      <c r="N143" s="10">
        <f>CHOOSE(CONTROL!$C$42, 5.9184, 5.9184) * CHOOSE(CONTROL!$C$21, $C$9, 100%, $E$9)</f>
        <v>5.9184000000000001</v>
      </c>
      <c r="O143" s="10">
        <f>CHOOSE(CONTROL!$C$42, 5.9913, 5.9913) * CHOOSE(CONTROL!$C$21, $C$9, 100%, $E$9)</f>
        <v>5.9912999999999998</v>
      </c>
      <c r="P143" s="10">
        <f>CHOOSE(CONTROL!$C$42, 5.9264, 5.9264) * CHOOSE(CONTROL!$C$21, $C$9, 100%, $E$9)</f>
        <v>5.9264000000000001</v>
      </c>
      <c r="Q143" s="10">
        <f>CHOOSE(CONTROL!$C$42, 6.5866, 6.5866) * CHOOSE(CONTROL!$C$21, $C$9, 100%, $E$9)</f>
        <v>6.5865999999999998</v>
      </c>
      <c r="R143" s="10">
        <f>CHOOSE(CONTROL!$C$42, 7.1901, 7.1901) * CHOOSE(CONTROL!$C$21, $C$9, 100%, $E$9)</f>
        <v>7.1901000000000002</v>
      </c>
      <c r="S143" s="10">
        <f>CHOOSE(CONTROL!$C$42, 5.8109, 5.8109) * CHOOSE(CONTROL!$C$21, $C$9, 100%, $E$9)</f>
        <v>5.8109000000000002</v>
      </c>
      <c r="T1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38">
        <f>(1000*CHOOSE(CONTROL!$C$42, 695, 695)*CHOOSE(CONTROL!$C$42, 0.5599, 0.5599)*CHOOSE(CONTROL!$C$42, 30, 30))/1000000</f>
        <v>11.673914999999997</v>
      </c>
      <c r="V143" s="38">
        <f>(1000*CHOOSE(CONTROL!$C$42, 500, 500)*CHOOSE(CONTROL!$C$42, 0.275, 0.275)*CHOOSE(CONTROL!$C$42, 30, 30))/1000000</f>
        <v>4.125</v>
      </c>
      <c r="W143" s="38">
        <f>(1000*CHOOSE(CONTROL!$C$42, 0.1146, 0.1146)*CHOOSE(CONTROL!$C$42, 121.5, 121.5)*CHOOSE(CONTROL!$C$42, 30, 30))/1000000</f>
        <v>0.417717</v>
      </c>
      <c r="X143" s="38">
        <f>(30*0.1790888*100000/1000000)+(30*0.2374*100000/1000000)</f>
        <v>1.2494664</v>
      </c>
      <c r="Y143" s="38">
        <f>(1000*600*CHOOSE(CONTROL!$C$42, 1.7441, 1.7441)*CHOOSE(CONTROL!$C$42, 30, 30))/1000000</f>
        <v>31.393799999999999</v>
      </c>
      <c r="Z143" s="38"/>
      <c r="AA143" s="10"/>
      <c r="AB143" s="39"/>
      <c r="AC143" s="33">
        <f>(B143*122.58+C143*297.941+D143*89.177+E143*40.302+F143*40+G143*160+H143*0+I143*100+J143*300)/(122.58+297.941+89.177+40.302+0+40+160+100+300)</f>
        <v>5.9778119746956522</v>
      </c>
      <c r="AD143" s="27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5.9469978417266196</v>
      </c>
    </row>
    <row r="144" spans="1:30" ht="15" x14ac:dyDescent="0.2">
      <c r="A144" s="16">
        <v>45627</v>
      </c>
      <c r="B144" s="10">
        <f>CHOOSE(CONTROL!$C$42, 6.394, 6.394) * CHOOSE(CONTROL!$C$21, $C$9, 100%, $E$9)</f>
        <v>6.3940000000000001</v>
      </c>
      <c r="C144" s="10">
        <f>CHOOSE(CONTROL!$C$42, 6.3989, 6.3989) * CHOOSE(CONTROL!$C$21, $C$9, 100%, $E$9)</f>
        <v>6.3989000000000003</v>
      </c>
      <c r="D144" s="10">
        <f>CHOOSE(CONTROL!$C$42, 6.4234, 6.4234) * CHOOSE(CONTROL!$C$21, $C$9, 100%, $E$9)</f>
        <v>6.4234</v>
      </c>
      <c r="E144" s="10">
        <f>CHOOSE(CONTROL!$C$42, 6.4572, 6.4572) * CHOOSE(CONTROL!$C$21, $C$9, 100%, $E$9)</f>
        <v>6.4572000000000003</v>
      </c>
      <c r="F144" s="10">
        <f>CHOOSE(CONTROL!$C$42, 6.3656, 6.3656)*CHOOSE(CONTROL!$C$21, $C$9, 100%, $E$9)</f>
        <v>6.3655999999999997</v>
      </c>
      <c r="G144" s="10">
        <f>CHOOSE(CONTROL!$C$42, 6.3826, 6.3826)*CHOOSE(CONTROL!$C$21, $C$9, 100%, $E$9)</f>
        <v>6.3826000000000001</v>
      </c>
      <c r="H144" s="10">
        <f>CHOOSE(CONTROL!$C$42, 6.4464, 6.4464) * CHOOSE(CONTROL!$C$21, $C$9, 100%, $E$9)</f>
        <v>6.4463999999999997</v>
      </c>
      <c r="I144" s="10">
        <f>CHOOSE(CONTROL!$C$42, 6.3807, 6.3807)* CHOOSE(CONTROL!$C$21, $C$9, 100%, $E$9)</f>
        <v>6.3807</v>
      </c>
      <c r="J144" s="10">
        <f>CHOOSE(CONTROL!$C$42, 6.3586, 6.3586)* CHOOSE(CONTROL!$C$21, $C$9, 100%, $E$9)</f>
        <v>6.3586</v>
      </c>
      <c r="K144" s="10">
        <f>CHOOSE(CONTROL!$C$42, 6.3415, 6.3415) * CHOOSE(CONTROL!$C$21, $C$9, 100%, $E$9)</f>
        <v>6.3414999999999999</v>
      </c>
      <c r="L144" s="10">
        <f>CHOOSE(CONTROL!$C$42, 7.0334, 7.0334) * CHOOSE(CONTROL!$C$21, $C$9, 100%, $E$9)</f>
        <v>7.0334000000000003</v>
      </c>
      <c r="M144" s="10">
        <f>CHOOSE(CONTROL!$C$42, 6.3083, 6.3083) * CHOOSE(CONTROL!$C$21, $C$9, 100%, $E$9)</f>
        <v>6.3083</v>
      </c>
      <c r="N144" s="10">
        <f>CHOOSE(CONTROL!$C$42, 6.3251, 6.3251) * CHOOSE(CONTROL!$C$21, $C$9, 100%, $E$9)</f>
        <v>6.3250999999999999</v>
      </c>
      <c r="O144" s="10">
        <f>CHOOSE(CONTROL!$C$42, 6.3951, 6.3951) * CHOOSE(CONTROL!$C$21, $C$9, 100%, $E$9)</f>
        <v>6.3951000000000002</v>
      </c>
      <c r="P144" s="10">
        <f>CHOOSE(CONTROL!$C$42, 6.3302, 6.3302) * CHOOSE(CONTROL!$C$21, $C$9, 100%, $E$9)</f>
        <v>6.3301999999999996</v>
      </c>
      <c r="Q144" s="10">
        <f>CHOOSE(CONTROL!$C$42, 6.9904, 6.9904) * CHOOSE(CONTROL!$C$21, $C$9, 100%, $E$9)</f>
        <v>6.9904000000000002</v>
      </c>
      <c r="R144" s="10">
        <f>CHOOSE(CONTROL!$C$42, 7.5949, 7.5949) * CHOOSE(CONTROL!$C$21, $C$9, 100%, $E$9)</f>
        <v>7.5949</v>
      </c>
      <c r="S144" s="10">
        <f>CHOOSE(CONTROL!$C$42, 6.2071, 6.2071) * CHOOSE(CONTROL!$C$21, $C$9, 100%, $E$9)</f>
        <v>6.2070999999999996</v>
      </c>
      <c r="T1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38">
        <f>(1000*CHOOSE(CONTROL!$C$42, 695, 695)*CHOOSE(CONTROL!$C$42, 0.5599, 0.5599)*CHOOSE(CONTROL!$C$42, 31, 31))/1000000</f>
        <v>12.063045499999998</v>
      </c>
      <c r="V144" s="38">
        <f>(1000*CHOOSE(CONTROL!$C$42, 500, 500)*CHOOSE(CONTROL!$C$42, 0.275, 0.275)*CHOOSE(CONTROL!$C$42, 31, 31))/1000000</f>
        <v>4.2625000000000002</v>
      </c>
      <c r="W144" s="38">
        <f>(1000*CHOOSE(CONTROL!$C$42, 0.1146, 0.1146)*CHOOSE(CONTROL!$C$42, 121.5, 121.5)*CHOOSE(CONTROL!$C$42, 31, 31))/1000000</f>
        <v>0.43164089999999994</v>
      </c>
      <c r="X144" s="38">
        <f>(31*0.1790888*100000/1000000)+(31*0.2374*100000/1000000)</f>
        <v>1.2911152800000001</v>
      </c>
      <c r="Y144" s="38">
        <f>(1000*600*CHOOSE(CONTROL!$C$42, 1.7441, 1.7441)*CHOOSE(CONTROL!$C$42, 31, 31))/1000000</f>
        <v>32.440260000000002</v>
      </c>
      <c r="Z144" s="38"/>
      <c r="AA144" s="10"/>
      <c r="AB144" s="39"/>
      <c r="AC144" s="33">
        <f>(B144*122.58+C144*297.941+D144*89.177+E144*40.302+F144*40+G144*160+H144*0+I144*100+J144*300)/(122.58+297.941+89.177+40.302+0+40+160+100+300)</f>
        <v>6.38679895747826</v>
      </c>
      <c r="AD144" s="27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6.3517589928057552</v>
      </c>
    </row>
    <row r="145" spans="1:30" ht="15" x14ac:dyDescent="0.2">
      <c r="A145" s="16">
        <v>45658</v>
      </c>
      <c r="B145" s="10">
        <f>CHOOSE(CONTROL!$C$42, 6.8251, 6.8251) * CHOOSE(CONTROL!$C$21, $C$9, 100%, $E$9)</f>
        <v>6.8250999999999999</v>
      </c>
      <c r="C145" s="10">
        <f>CHOOSE(CONTROL!$C$42, 6.8301, 6.8301) * CHOOSE(CONTROL!$C$21, $C$9, 100%, $E$9)</f>
        <v>6.8300999999999998</v>
      </c>
      <c r="D145" s="10">
        <f>CHOOSE(CONTROL!$C$42, 6.8546, 6.8546) * CHOOSE(CONTROL!$C$21, $C$9, 100%, $E$9)</f>
        <v>6.8545999999999996</v>
      </c>
      <c r="E145" s="10">
        <f>CHOOSE(CONTROL!$C$42, 6.8883, 6.8883) * CHOOSE(CONTROL!$C$21, $C$9, 100%, $E$9)</f>
        <v>6.8883000000000001</v>
      </c>
      <c r="F145" s="10">
        <f>CHOOSE(CONTROL!$C$42, 6.8081, 6.8081)*CHOOSE(CONTROL!$C$21, $C$9, 100%, $E$9)</f>
        <v>6.8080999999999996</v>
      </c>
      <c r="G145" s="10">
        <f>CHOOSE(CONTROL!$C$42, 6.8267, 6.8267)*CHOOSE(CONTROL!$C$21, $C$9, 100%, $E$9)</f>
        <v>6.8266999999999998</v>
      </c>
      <c r="H145" s="10">
        <f>CHOOSE(CONTROL!$C$42, 6.8775, 6.8775) * CHOOSE(CONTROL!$C$21, $C$9, 100%, $E$9)</f>
        <v>6.8775000000000004</v>
      </c>
      <c r="I145" s="10">
        <f>CHOOSE(CONTROL!$C$42, 6.8196, 6.8196)* CHOOSE(CONTROL!$C$21, $C$9, 100%, $E$9)</f>
        <v>6.8196000000000003</v>
      </c>
      <c r="J145" s="10">
        <f>CHOOSE(CONTROL!$C$42, 6.8011, 6.8011)* CHOOSE(CONTROL!$C$21, $C$9, 100%, $E$9)</f>
        <v>6.8010999999999999</v>
      </c>
      <c r="K145" s="10">
        <f>CHOOSE(CONTROL!$C$42, 6.7814, 6.7814) * CHOOSE(CONTROL!$C$21, $C$9, 100%, $E$9)</f>
        <v>6.7813999999999997</v>
      </c>
      <c r="L145" s="10">
        <f>CHOOSE(CONTROL!$C$42, 7.4645, 7.4645) * CHOOSE(CONTROL!$C$21, $C$9, 100%, $E$9)</f>
        <v>7.4645000000000001</v>
      </c>
      <c r="M145" s="10">
        <f>CHOOSE(CONTROL!$C$42, 6.7463, 6.7463) * CHOOSE(CONTROL!$C$21, $C$9, 100%, $E$9)</f>
        <v>6.7462999999999997</v>
      </c>
      <c r="N145" s="10">
        <f>CHOOSE(CONTROL!$C$42, 6.7647, 6.7647) * CHOOSE(CONTROL!$C$21, $C$9, 100%, $E$9)</f>
        <v>6.7647000000000004</v>
      </c>
      <c r="O145" s="10">
        <f>CHOOSE(CONTROL!$C$42, 6.822, 6.822) * CHOOSE(CONTROL!$C$21, $C$9, 100%, $E$9)</f>
        <v>6.8220000000000001</v>
      </c>
      <c r="P145" s="10">
        <f>CHOOSE(CONTROL!$C$42, 6.7647, 6.7647) * CHOOSE(CONTROL!$C$21, $C$9, 100%, $E$9)</f>
        <v>6.7647000000000004</v>
      </c>
      <c r="Q145" s="10">
        <f>CHOOSE(CONTROL!$C$42, 7.4173, 7.4173) * CHOOSE(CONTROL!$C$21, $C$9, 100%, $E$9)</f>
        <v>7.4173</v>
      </c>
      <c r="R145" s="10">
        <f>CHOOSE(CONTROL!$C$42, 8.0228, 8.0228) * CHOOSE(CONTROL!$C$21, $C$9, 100%, $E$9)</f>
        <v>8.0228000000000002</v>
      </c>
      <c r="S145" s="10">
        <f>CHOOSE(CONTROL!$C$42, 6.6258, 6.6258) * CHOOSE(CONTROL!$C$21, $C$9, 100%, $E$9)</f>
        <v>6.6257999999999999</v>
      </c>
      <c r="T1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38">
        <f>(1000*CHOOSE(CONTROL!$C$42, 695, 695)*CHOOSE(CONTROL!$C$42, 0.5599, 0.5599)*CHOOSE(CONTROL!$C$42, 31, 31))/1000000</f>
        <v>12.063045499999998</v>
      </c>
      <c r="V145" s="38">
        <f>(1000*CHOOSE(CONTROL!$C$42, 500, 500)*CHOOSE(CONTROL!$C$42, 0.275, 0.275)*CHOOSE(CONTROL!$C$42, 31, 31))/1000000</f>
        <v>4.2625000000000002</v>
      </c>
      <c r="W145" s="38">
        <f>(1000*CHOOSE(CONTROL!$C$42, 0.1146, 0.1146)*CHOOSE(CONTROL!$C$42, 121.5, 121.5)*CHOOSE(CONTROL!$C$42, 31, 31))/1000000</f>
        <v>0.43164089999999994</v>
      </c>
      <c r="X145" s="38">
        <f>(31*0.1790888*100000/1000000)+(31*0.2374*100000/1000000)</f>
        <v>1.2911152800000001</v>
      </c>
      <c r="Y145" s="38">
        <f>(1000*600*CHOOSE(CONTROL!$C$42, 1.7341, 1.7341)*CHOOSE(CONTROL!$C$42, 31, 31))/1000000</f>
        <v>32.254260000000002</v>
      </c>
      <c r="Z145" s="38"/>
      <c r="AA145" s="10"/>
      <c r="AB145" s="39"/>
      <c r="AC145" s="33">
        <f>(B145*122.58+C145*297.941+D145*89.177+E145*40.302+F145*40+G145*160+H145*0+I145*100+J145*300)/(122.58+297.941+89.177+40.302+0+40+160+100+300)</f>
        <v>6.8237900112173904</v>
      </c>
      <c r="AD145" s="27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6.7843165467625894</v>
      </c>
    </row>
    <row r="146" spans="1:30" ht="15" x14ac:dyDescent="0.2">
      <c r="A146" s="16">
        <v>45689</v>
      </c>
      <c r="B146" s="10">
        <f>CHOOSE(CONTROL!$C$42, 6.9466, 6.9466) * CHOOSE(CONTROL!$C$21, $C$9, 100%, $E$9)</f>
        <v>6.9466000000000001</v>
      </c>
      <c r="C146" s="10">
        <f>CHOOSE(CONTROL!$C$42, 6.9515, 6.9515) * CHOOSE(CONTROL!$C$21, $C$9, 100%, $E$9)</f>
        <v>6.9515000000000002</v>
      </c>
      <c r="D146" s="10">
        <f>CHOOSE(CONTROL!$C$42, 6.976, 6.976) * CHOOSE(CONTROL!$C$21, $C$9, 100%, $E$9)</f>
        <v>6.976</v>
      </c>
      <c r="E146" s="10">
        <f>CHOOSE(CONTROL!$C$42, 7.0098, 7.0098) * CHOOSE(CONTROL!$C$21, $C$9, 100%, $E$9)</f>
        <v>7.0098000000000003</v>
      </c>
      <c r="F146" s="10">
        <f>CHOOSE(CONTROL!$C$42, 6.9289, 6.9289)*CHOOSE(CONTROL!$C$21, $C$9, 100%, $E$9)</f>
        <v>6.9288999999999996</v>
      </c>
      <c r="G146" s="10">
        <f>CHOOSE(CONTROL!$C$42, 6.9473, 6.9473)*CHOOSE(CONTROL!$C$21, $C$9, 100%, $E$9)</f>
        <v>6.9473000000000003</v>
      </c>
      <c r="H146" s="10">
        <f>CHOOSE(CONTROL!$C$42, 6.999, 6.999) * CHOOSE(CONTROL!$C$21, $C$9, 100%, $E$9)</f>
        <v>6.9989999999999997</v>
      </c>
      <c r="I146" s="10">
        <f>CHOOSE(CONTROL!$C$42, 6.9411, 6.9411)* CHOOSE(CONTROL!$C$21, $C$9, 100%, $E$9)</f>
        <v>6.9410999999999996</v>
      </c>
      <c r="J146" s="10">
        <f>CHOOSE(CONTROL!$C$42, 6.9219, 6.9219)* CHOOSE(CONTROL!$C$21, $C$9, 100%, $E$9)</f>
        <v>6.9218999999999999</v>
      </c>
      <c r="K146" s="10">
        <f>CHOOSE(CONTROL!$C$42, 6.8979, 6.8979) * CHOOSE(CONTROL!$C$21, $C$9, 100%, $E$9)</f>
        <v>6.8978999999999999</v>
      </c>
      <c r="L146" s="10">
        <f>CHOOSE(CONTROL!$C$42, 7.586, 7.586) * CHOOSE(CONTROL!$C$21, $C$9, 100%, $E$9)</f>
        <v>7.5860000000000003</v>
      </c>
      <c r="M146" s="10">
        <f>CHOOSE(CONTROL!$C$42, 6.8658, 6.8658) * CHOOSE(CONTROL!$C$21, $C$9, 100%, $E$9)</f>
        <v>6.8658000000000001</v>
      </c>
      <c r="N146" s="10">
        <f>CHOOSE(CONTROL!$C$42, 6.8841, 6.8841) * CHOOSE(CONTROL!$C$21, $C$9, 100%, $E$9)</f>
        <v>6.8841000000000001</v>
      </c>
      <c r="O146" s="10">
        <f>CHOOSE(CONTROL!$C$42, 6.9422, 6.9422) * CHOOSE(CONTROL!$C$21, $C$9, 100%, $E$9)</f>
        <v>6.9421999999999997</v>
      </c>
      <c r="P146" s="10">
        <f>CHOOSE(CONTROL!$C$42, 6.8849, 6.8849) * CHOOSE(CONTROL!$C$21, $C$9, 100%, $E$9)</f>
        <v>6.8849</v>
      </c>
      <c r="Q146" s="10">
        <f>CHOOSE(CONTROL!$C$42, 7.5375, 7.5375) * CHOOSE(CONTROL!$C$21, $C$9, 100%, $E$9)</f>
        <v>7.5374999999999996</v>
      </c>
      <c r="R146" s="10">
        <f>CHOOSE(CONTROL!$C$42, 8.1433, 8.1433) * CHOOSE(CONTROL!$C$21, $C$9, 100%, $E$9)</f>
        <v>8.1433</v>
      </c>
      <c r="S146" s="10">
        <f>CHOOSE(CONTROL!$C$42, 6.7437, 6.7437) * CHOOSE(CONTROL!$C$21, $C$9, 100%, $E$9)</f>
        <v>6.7436999999999996</v>
      </c>
      <c r="T1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46" s="38">
        <f>(1000*CHOOSE(CONTROL!$C$42, 695, 695)*CHOOSE(CONTROL!$C$42, 0.5599, 0.5599)*CHOOSE(CONTROL!$C$42, 28, 28))/1000000</f>
        <v>10.895653999999999</v>
      </c>
      <c r="V146" s="38">
        <f>(1000*CHOOSE(CONTROL!$C$42, 500, 500)*CHOOSE(CONTROL!$C$42, 0.275, 0.275)*CHOOSE(CONTROL!$C$42, 28, 28))/1000000</f>
        <v>3.85</v>
      </c>
      <c r="W146" s="38">
        <f>(1000*CHOOSE(CONTROL!$C$42, 0.1146, 0.1146)*CHOOSE(CONTROL!$C$42, 121.5, 121.5)*CHOOSE(CONTROL!$C$42, 28, 28))/1000000</f>
        <v>0.38986920000000003</v>
      </c>
      <c r="X146" s="38">
        <f>(28*0.1790888*100000/1000000)+(28*0.2374*100000/1000000)</f>
        <v>1.16616864</v>
      </c>
      <c r="Y146" s="38">
        <f>(1000*600*CHOOSE(CONTROL!$C$42, 1.7341, 1.7341)*CHOOSE(CONTROL!$C$42, 28, 28))/1000000</f>
        <v>29.13288</v>
      </c>
      <c r="Z146" s="38"/>
      <c r="AA146" s="10"/>
      <c r="AB146" s="39"/>
      <c r="AC146" s="33">
        <f>(B146*122.58+C146*297.941+D146*89.177+E146*40.302+F146*40+G146*160+H146*0+I146*100+J146*300)/(122.58+297.941+89.177+40.302+0+40+160+100+300)</f>
        <v>6.9449241748695645</v>
      </c>
      <c r="AD146" s="27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6.9042287769784174</v>
      </c>
    </row>
    <row r="147" spans="1:30" ht="15" x14ac:dyDescent="0.2">
      <c r="A147" s="16">
        <v>45717</v>
      </c>
      <c r="B147" s="10">
        <f>CHOOSE(CONTROL!$C$42, 6.7495, 6.7495) * CHOOSE(CONTROL!$C$21, $C$9, 100%, $E$9)</f>
        <v>6.7495000000000003</v>
      </c>
      <c r="C147" s="10">
        <f>CHOOSE(CONTROL!$C$42, 6.7544, 6.7544) * CHOOSE(CONTROL!$C$21, $C$9, 100%, $E$9)</f>
        <v>6.7544000000000004</v>
      </c>
      <c r="D147" s="10">
        <f>CHOOSE(CONTROL!$C$42, 6.7789, 6.7789) * CHOOSE(CONTROL!$C$21, $C$9, 100%, $E$9)</f>
        <v>6.7789000000000001</v>
      </c>
      <c r="E147" s="10">
        <f>CHOOSE(CONTROL!$C$42, 6.8126, 6.8126) * CHOOSE(CONTROL!$C$21, $C$9, 100%, $E$9)</f>
        <v>6.8125999999999998</v>
      </c>
      <c r="F147" s="10">
        <f>CHOOSE(CONTROL!$C$42, 6.7302, 6.7302)*CHOOSE(CONTROL!$C$21, $C$9, 100%, $E$9)</f>
        <v>6.7302</v>
      </c>
      <c r="G147" s="10">
        <f>CHOOSE(CONTROL!$C$42, 6.7483, 6.7483)*CHOOSE(CONTROL!$C$21, $C$9, 100%, $E$9)</f>
        <v>6.7483000000000004</v>
      </c>
      <c r="H147" s="10">
        <f>CHOOSE(CONTROL!$C$42, 6.8018, 6.8018) * CHOOSE(CONTROL!$C$21, $C$9, 100%, $E$9)</f>
        <v>6.8018000000000001</v>
      </c>
      <c r="I147" s="10">
        <f>CHOOSE(CONTROL!$C$42, 6.744, 6.744)* CHOOSE(CONTROL!$C$21, $C$9, 100%, $E$9)</f>
        <v>6.7439999999999998</v>
      </c>
      <c r="J147" s="10">
        <f>CHOOSE(CONTROL!$C$42, 6.7232, 6.7232)* CHOOSE(CONTROL!$C$21, $C$9, 100%, $E$9)</f>
        <v>6.7232000000000003</v>
      </c>
      <c r="K147" s="10">
        <f>CHOOSE(CONTROL!$C$42, 6.703, 6.703) * CHOOSE(CONTROL!$C$21, $C$9, 100%, $E$9)</f>
        <v>6.7030000000000003</v>
      </c>
      <c r="L147" s="10">
        <f>CHOOSE(CONTROL!$C$42, 7.3888, 7.3888) * CHOOSE(CONTROL!$C$21, $C$9, 100%, $E$9)</f>
        <v>7.3887999999999998</v>
      </c>
      <c r="M147" s="10">
        <f>CHOOSE(CONTROL!$C$42, 6.6692, 6.6692) * CHOOSE(CONTROL!$C$21, $C$9, 100%, $E$9)</f>
        <v>6.6692</v>
      </c>
      <c r="N147" s="10">
        <f>CHOOSE(CONTROL!$C$42, 6.6871, 6.6871) * CHOOSE(CONTROL!$C$21, $C$9, 100%, $E$9)</f>
        <v>6.6871</v>
      </c>
      <c r="O147" s="10">
        <f>CHOOSE(CONTROL!$C$42, 6.747, 6.747) * CHOOSE(CONTROL!$C$21, $C$9, 100%, $E$9)</f>
        <v>6.7469999999999999</v>
      </c>
      <c r="P147" s="10">
        <f>CHOOSE(CONTROL!$C$42, 6.6898, 6.6898) * CHOOSE(CONTROL!$C$21, $C$9, 100%, $E$9)</f>
        <v>6.6898</v>
      </c>
      <c r="Q147" s="10">
        <f>CHOOSE(CONTROL!$C$42, 7.3423, 7.3423) * CHOOSE(CONTROL!$C$21, $C$9, 100%, $E$9)</f>
        <v>7.3422999999999998</v>
      </c>
      <c r="R147" s="10">
        <f>CHOOSE(CONTROL!$C$42, 7.9477, 7.9477) * CHOOSE(CONTROL!$C$21, $C$9, 100%, $E$9)</f>
        <v>7.9477000000000002</v>
      </c>
      <c r="S147" s="10">
        <f>CHOOSE(CONTROL!$C$42, 6.5523, 6.5523) * CHOOSE(CONTROL!$C$21, $C$9, 100%, $E$9)</f>
        <v>6.5522999999999998</v>
      </c>
      <c r="T1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38">
        <f>(1000*CHOOSE(CONTROL!$C$42, 695, 695)*CHOOSE(CONTROL!$C$42, 0.5599, 0.5599)*CHOOSE(CONTROL!$C$42, 31, 31))/1000000</f>
        <v>12.063045499999998</v>
      </c>
      <c r="V147" s="38">
        <f>(1000*CHOOSE(CONTROL!$C$42, 500, 500)*CHOOSE(CONTROL!$C$42, 0.275, 0.275)*CHOOSE(CONTROL!$C$42, 31, 31))/1000000</f>
        <v>4.2625000000000002</v>
      </c>
      <c r="W147" s="38">
        <f>(1000*CHOOSE(CONTROL!$C$42, 0.1146, 0.1146)*CHOOSE(CONTROL!$C$42, 121.5, 121.5)*CHOOSE(CONTROL!$C$42, 31, 31))/1000000</f>
        <v>0.43164089999999994</v>
      </c>
      <c r="X147" s="38">
        <f>(31*0.1790888*100000/1000000)+(31*0.2374*100000/1000000)</f>
        <v>1.2911152800000001</v>
      </c>
      <c r="Y147" s="38">
        <f>(1000*600*CHOOSE(CONTROL!$C$42, 1.7341, 1.7341)*CHOOSE(CONTROL!$C$42, 31, 31))/1000000</f>
        <v>32.254260000000002</v>
      </c>
      <c r="Z147" s="38"/>
      <c r="AA147" s="10"/>
      <c r="AB147" s="39"/>
      <c r="AC147" s="33">
        <f>(B147*122.58+C147*297.941+D147*89.177+E147*40.302+F147*40+G147*160+H147*0+I147*100+J147*300)/(122.58+297.941+89.177+40.302+0+40+160+100+300)</f>
        <v>6.747083279043478</v>
      </c>
      <c r="AD147" s="27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6.7084561151079143</v>
      </c>
    </row>
    <row r="148" spans="1:30" ht="15" x14ac:dyDescent="0.2">
      <c r="A148" s="16">
        <v>45748</v>
      </c>
      <c r="B148" s="10">
        <f>CHOOSE(CONTROL!$C$42, 6.73, 6.73) * CHOOSE(CONTROL!$C$21, $C$9, 100%, $E$9)</f>
        <v>6.73</v>
      </c>
      <c r="C148" s="10">
        <f>CHOOSE(CONTROL!$C$42, 6.7344, 6.7344) * CHOOSE(CONTROL!$C$21, $C$9, 100%, $E$9)</f>
        <v>6.7343999999999999</v>
      </c>
      <c r="D148" s="10">
        <f>CHOOSE(CONTROL!$C$42, 6.9145, 6.9145) * CHOOSE(CONTROL!$C$21, $C$9, 100%, $E$9)</f>
        <v>6.9145000000000003</v>
      </c>
      <c r="E148" s="10">
        <f>CHOOSE(CONTROL!$C$42, 6.9463, 6.9463) * CHOOSE(CONTROL!$C$21, $C$9, 100%, $E$9)</f>
        <v>6.9462999999999999</v>
      </c>
      <c r="F148" s="10">
        <f>CHOOSE(CONTROL!$C$42, 6.6954, 6.6954)*CHOOSE(CONTROL!$C$21, $C$9, 100%, $E$9)</f>
        <v>6.6954000000000002</v>
      </c>
      <c r="G148" s="10">
        <f>CHOOSE(CONTROL!$C$42, 6.7116, 6.7116)*CHOOSE(CONTROL!$C$21, $C$9, 100%, $E$9)</f>
        <v>6.7115999999999998</v>
      </c>
      <c r="H148" s="10">
        <f>CHOOSE(CONTROL!$C$42, 6.9361, 6.9361) * CHOOSE(CONTROL!$C$21, $C$9, 100%, $E$9)</f>
        <v>6.9360999999999997</v>
      </c>
      <c r="I148" s="10">
        <f>CHOOSE(CONTROL!$C$42, 6.716, 6.716)* CHOOSE(CONTROL!$C$21, $C$9, 100%, $E$9)</f>
        <v>6.7160000000000002</v>
      </c>
      <c r="J148" s="10">
        <f>CHOOSE(CONTROL!$C$42, 6.6884, 6.6884)* CHOOSE(CONTROL!$C$21, $C$9, 100%, $E$9)</f>
        <v>6.6883999999999997</v>
      </c>
      <c r="K148" s="10">
        <f>CHOOSE(CONTROL!$C$42, 6.6609, 6.6609) * CHOOSE(CONTROL!$C$21, $C$9, 100%, $E$9)</f>
        <v>6.6608999999999998</v>
      </c>
      <c r="L148" s="10">
        <f>CHOOSE(CONTROL!$C$42, 7.5231, 7.5231) * CHOOSE(CONTROL!$C$21, $C$9, 100%, $E$9)</f>
        <v>7.5231000000000003</v>
      </c>
      <c r="M148" s="10">
        <f>CHOOSE(CONTROL!$C$42, 6.6347, 6.6347) * CHOOSE(CONTROL!$C$21, $C$9, 100%, $E$9)</f>
        <v>6.6346999999999996</v>
      </c>
      <c r="N148" s="10">
        <f>CHOOSE(CONTROL!$C$42, 6.6508, 6.6508) * CHOOSE(CONTROL!$C$21, $C$9, 100%, $E$9)</f>
        <v>6.6508000000000003</v>
      </c>
      <c r="O148" s="10">
        <f>CHOOSE(CONTROL!$C$42, 6.8799, 6.8799) * CHOOSE(CONTROL!$C$21, $C$9, 100%, $E$9)</f>
        <v>6.8799000000000001</v>
      </c>
      <c r="P148" s="10">
        <f>CHOOSE(CONTROL!$C$42, 6.6621, 6.6621) * CHOOSE(CONTROL!$C$21, $C$9, 100%, $E$9)</f>
        <v>6.6620999999999997</v>
      </c>
      <c r="Q148" s="10">
        <f>CHOOSE(CONTROL!$C$42, 7.4752, 7.4752) * CHOOSE(CONTROL!$C$21, $C$9, 100%, $E$9)</f>
        <v>7.4752000000000001</v>
      </c>
      <c r="R148" s="10">
        <f>CHOOSE(CONTROL!$C$42, 8.0809, 8.0809) * CHOOSE(CONTROL!$C$21, $C$9, 100%, $E$9)</f>
        <v>8.0808999999999997</v>
      </c>
      <c r="S148" s="10">
        <f>CHOOSE(CONTROL!$C$42, 6.5326, 6.5326) * CHOOSE(CONTROL!$C$21, $C$9, 100%, $E$9)</f>
        <v>6.5326000000000004</v>
      </c>
      <c r="T1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38">
        <f>(1000*CHOOSE(CONTROL!$C$42, 695, 695)*CHOOSE(CONTROL!$C$42, 0.5599, 0.5599)*CHOOSE(CONTROL!$C$42, 30, 30))/1000000</f>
        <v>11.673914999999997</v>
      </c>
      <c r="V148" s="38">
        <f>(1000*CHOOSE(CONTROL!$C$42, 500, 500)*CHOOSE(CONTROL!$C$42, 0.275, 0.275)*CHOOSE(CONTROL!$C$42, 30, 30))/1000000</f>
        <v>4.125</v>
      </c>
      <c r="W148" s="38">
        <f>(1000*CHOOSE(CONTROL!$C$42, 0.1146, 0.1146)*CHOOSE(CONTROL!$C$42, 121.5, 121.5)*CHOOSE(CONTROL!$C$42, 30, 30))/1000000</f>
        <v>0.417717</v>
      </c>
      <c r="X148" s="38">
        <f>(30*0.1790888*245000/1000000)+(30*0.2374*100000/1000000)</f>
        <v>2.0285026799999999</v>
      </c>
      <c r="Y148" s="38">
        <f>(1000*600*CHOOSE(CONTROL!$C$42, 1.7341, 1.7341)*CHOOSE(CONTROL!$C$42, 30, 30))/1000000</f>
        <v>31.213799999999999</v>
      </c>
      <c r="Z148" s="38"/>
      <c r="AA148" s="10"/>
      <c r="AB148" s="39"/>
      <c r="AC148" s="33">
        <f>(B148*141.293+C148*267.993+D148*115.016+E148*89.698+F148*40+G148*185+H148*0+I148*100+J148*300)/(141.293+267.993+115.016+89.698+0+40+185+100+300)</f>
        <v>6.7486709431799827</v>
      </c>
      <c r="AD148" s="27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6.7111460431654679</v>
      </c>
    </row>
    <row r="149" spans="1:30" ht="15" x14ac:dyDescent="0.2">
      <c r="A149" s="16">
        <v>45778</v>
      </c>
      <c r="B149" s="10">
        <f>CHOOSE(CONTROL!$C$42, 6.7912, 6.7912) * CHOOSE(CONTROL!$C$21, $C$9, 100%, $E$9)</f>
        <v>6.7911999999999999</v>
      </c>
      <c r="C149" s="10">
        <f>CHOOSE(CONTROL!$C$42, 6.7991, 6.7991) * CHOOSE(CONTROL!$C$21, $C$9, 100%, $E$9)</f>
        <v>6.7991000000000001</v>
      </c>
      <c r="D149" s="10">
        <f>CHOOSE(CONTROL!$C$42, 6.9761, 6.9761) * CHOOSE(CONTROL!$C$21, $C$9, 100%, $E$9)</f>
        <v>6.9760999999999997</v>
      </c>
      <c r="E149" s="10">
        <f>CHOOSE(CONTROL!$C$42, 7.0072, 7.0072) * CHOOSE(CONTROL!$C$21, $C$9, 100%, $E$9)</f>
        <v>7.0072000000000001</v>
      </c>
      <c r="F149" s="10">
        <f>CHOOSE(CONTROL!$C$42, 6.7546, 6.7546)*CHOOSE(CONTROL!$C$21, $C$9, 100%, $E$9)</f>
        <v>6.7545999999999999</v>
      </c>
      <c r="G149" s="10">
        <f>CHOOSE(CONTROL!$C$42, 6.771, 6.771)*CHOOSE(CONTROL!$C$21, $C$9, 100%, $E$9)</f>
        <v>6.7709999999999999</v>
      </c>
      <c r="H149" s="10">
        <f>CHOOSE(CONTROL!$C$42, 6.9959, 6.9959) * CHOOSE(CONTROL!$C$21, $C$9, 100%, $E$9)</f>
        <v>6.9958999999999998</v>
      </c>
      <c r="I149" s="10">
        <f>CHOOSE(CONTROL!$C$42, 6.7758, 6.7758)* CHOOSE(CONTROL!$C$21, $C$9, 100%, $E$9)</f>
        <v>6.7758000000000003</v>
      </c>
      <c r="J149" s="10">
        <f>CHOOSE(CONTROL!$C$42, 6.7476, 6.7476)* CHOOSE(CONTROL!$C$21, $C$9, 100%, $E$9)</f>
        <v>6.7476000000000003</v>
      </c>
      <c r="K149" s="10">
        <f>CHOOSE(CONTROL!$C$42, 6.7177, 6.7177) * CHOOSE(CONTROL!$C$21, $C$9, 100%, $E$9)</f>
        <v>6.7176999999999998</v>
      </c>
      <c r="L149" s="10">
        <f>CHOOSE(CONTROL!$C$42, 7.5829, 7.5829) * CHOOSE(CONTROL!$C$21, $C$9, 100%, $E$9)</f>
        <v>7.5829000000000004</v>
      </c>
      <c r="M149" s="10">
        <f>CHOOSE(CONTROL!$C$42, 6.6933, 6.6933) * CHOOSE(CONTROL!$C$21, $C$9, 100%, $E$9)</f>
        <v>6.6932999999999998</v>
      </c>
      <c r="N149" s="10">
        <f>CHOOSE(CONTROL!$C$42, 6.7096, 6.7096) * CHOOSE(CONTROL!$C$21, $C$9, 100%, $E$9)</f>
        <v>6.7096</v>
      </c>
      <c r="O149" s="10">
        <f>CHOOSE(CONTROL!$C$42, 6.9391, 6.9391) * CHOOSE(CONTROL!$C$21, $C$9, 100%, $E$9)</f>
        <v>6.9390999999999998</v>
      </c>
      <c r="P149" s="10">
        <f>CHOOSE(CONTROL!$C$42, 6.7213, 6.7213) * CHOOSE(CONTROL!$C$21, $C$9, 100%, $E$9)</f>
        <v>6.7213000000000003</v>
      </c>
      <c r="Q149" s="10">
        <f>CHOOSE(CONTROL!$C$42, 7.5344, 7.5344) * CHOOSE(CONTROL!$C$21, $C$9, 100%, $E$9)</f>
        <v>7.5343999999999998</v>
      </c>
      <c r="R149" s="10">
        <f>CHOOSE(CONTROL!$C$42, 8.1402, 8.1402) * CHOOSE(CONTROL!$C$21, $C$9, 100%, $E$9)</f>
        <v>8.1402000000000001</v>
      </c>
      <c r="S149" s="10">
        <f>CHOOSE(CONTROL!$C$42, 6.5907, 6.5907) * CHOOSE(CONTROL!$C$21, $C$9, 100%, $E$9)</f>
        <v>6.5907</v>
      </c>
      <c r="T1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38">
        <f>(1000*CHOOSE(CONTROL!$C$42, 695, 695)*CHOOSE(CONTROL!$C$42, 0.5599, 0.5599)*CHOOSE(CONTROL!$C$42, 31, 31))/1000000</f>
        <v>12.063045499999998</v>
      </c>
      <c r="V149" s="38">
        <f>(1000*CHOOSE(CONTROL!$C$42, 500, 500)*CHOOSE(CONTROL!$C$42, 0.275, 0.275)*CHOOSE(CONTROL!$C$42, 31, 31))/1000000</f>
        <v>4.2625000000000002</v>
      </c>
      <c r="W149" s="38">
        <f>(1000*CHOOSE(CONTROL!$C$42, 0.1146, 0.1146)*CHOOSE(CONTROL!$C$42, 121.5, 121.5)*CHOOSE(CONTROL!$C$42, 31, 31))/1000000</f>
        <v>0.43164089999999994</v>
      </c>
      <c r="X149" s="38">
        <f>(31*0.1790888*245000/1000000)+(31*0.2374*100000/1000000)</f>
        <v>2.0961194359999999</v>
      </c>
      <c r="Y149" s="38">
        <f>(1000*600*CHOOSE(CONTROL!$C$42, 1.7341, 1.7341)*CHOOSE(CONTROL!$C$42, 31, 31))/1000000</f>
        <v>32.254260000000002</v>
      </c>
      <c r="Z149" s="38"/>
      <c r="AA149" s="10"/>
      <c r="AB149" s="39"/>
      <c r="AC149" s="33">
        <f>(B149*194.205+C149*267.466+D149*133.845+E149*53.484+F149*40+G149*185+H149*0+I149*100+J149*300)/(194.205+267.466+133.845+53.484+0+40+185+100+300)</f>
        <v>6.8057937722919943</v>
      </c>
      <c r="AD149" s="27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6.7700467625899279</v>
      </c>
    </row>
    <row r="150" spans="1:30" ht="15" x14ac:dyDescent="0.2">
      <c r="A150" s="16">
        <v>45809</v>
      </c>
      <c r="B150" s="10">
        <f>CHOOSE(CONTROL!$C$42, 6.9837, 6.9837) * CHOOSE(CONTROL!$C$21, $C$9, 100%, $E$9)</f>
        <v>6.9836999999999998</v>
      </c>
      <c r="C150" s="10">
        <f>CHOOSE(CONTROL!$C$42, 6.9916, 6.9916) * CHOOSE(CONTROL!$C$21, $C$9, 100%, $E$9)</f>
        <v>6.9916</v>
      </c>
      <c r="D150" s="10">
        <f>CHOOSE(CONTROL!$C$42, 7.1686, 7.1686) * CHOOSE(CONTROL!$C$21, $C$9, 100%, $E$9)</f>
        <v>7.1685999999999996</v>
      </c>
      <c r="E150" s="10">
        <f>CHOOSE(CONTROL!$C$42, 7.1997, 7.1997) * CHOOSE(CONTROL!$C$21, $C$9, 100%, $E$9)</f>
        <v>7.1997</v>
      </c>
      <c r="F150" s="10">
        <f>CHOOSE(CONTROL!$C$42, 6.9472, 6.9472)*CHOOSE(CONTROL!$C$21, $C$9, 100%, $E$9)</f>
        <v>6.9471999999999996</v>
      </c>
      <c r="G150" s="10">
        <f>CHOOSE(CONTROL!$C$42, 6.9638, 6.9638)*CHOOSE(CONTROL!$C$21, $C$9, 100%, $E$9)</f>
        <v>6.9638</v>
      </c>
      <c r="H150" s="10">
        <f>CHOOSE(CONTROL!$C$42, 7.1884, 7.1884) * CHOOSE(CONTROL!$C$21, $C$9, 100%, $E$9)</f>
        <v>7.1883999999999997</v>
      </c>
      <c r="I150" s="10">
        <f>CHOOSE(CONTROL!$C$42, 6.9683, 6.9683)* CHOOSE(CONTROL!$C$21, $C$9, 100%, $E$9)</f>
        <v>6.9683000000000002</v>
      </c>
      <c r="J150" s="10">
        <f>CHOOSE(CONTROL!$C$42, 6.9402, 6.9402)* CHOOSE(CONTROL!$C$21, $C$9, 100%, $E$9)</f>
        <v>6.9401999999999999</v>
      </c>
      <c r="K150" s="10">
        <f>CHOOSE(CONTROL!$C$42, 6.9051, 6.9051) * CHOOSE(CONTROL!$C$21, $C$9, 100%, $E$9)</f>
        <v>6.9051</v>
      </c>
      <c r="L150" s="10">
        <f>CHOOSE(CONTROL!$C$42, 7.7754, 7.7754) * CHOOSE(CONTROL!$C$21, $C$9, 100%, $E$9)</f>
        <v>7.7754000000000003</v>
      </c>
      <c r="M150" s="10">
        <f>CHOOSE(CONTROL!$C$42, 6.884, 6.884) * CHOOSE(CONTROL!$C$21, $C$9, 100%, $E$9)</f>
        <v>6.8840000000000003</v>
      </c>
      <c r="N150" s="10">
        <f>CHOOSE(CONTROL!$C$42, 6.9004, 6.9004) * CHOOSE(CONTROL!$C$21, $C$9, 100%, $E$9)</f>
        <v>6.9004000000000003</v>
      </c>
      <c r="O150" s="10">
        <f>CHOOSE(CONTROL!$C$42, 7.1296, 7.1296) * CHOOSE(CONTROL!$C$21, $C$9, 100%, $E$9)</f>
        <v>7.1295999999999999</v>
      </c>
      <c r="P150" s="10">
        <f>CHOOSE(CONTROL!$C$42, 6.9118, 6.9118) * CHOOSE(CONTROL!$C$21, $C$9, 100%, $E$9)</f>
        <v>6.9118000000000004</v>
      </c>
      <c r="Q150" s="10">
        <f>CHOOSE(CONTROL!$C$42, 7.7249, 7.7249) * CHOOSE(CONTROL!$C$21, $C$9, 100%, $E$9)</f>
        <v>7.7248999999999999</v>
      </c>
      <c r="R150" s="10">
        <f>CHOOSE(CONTROL!$C$42, 8.3312, 8.3312) * CHOOSE(CONTROL!$C$21, $C$9, 100%, $E$9)</f>
        <v>8.3312000000000008</v>
      </c>
      <c r="S150" s="10">
        <f>CHOOSE(CONTROL!$C$42, 6.7776, 6.7776) * CHOOSE(CONTROL!$C$21, $C$9, 100%, $E$9)</f>
        <v>6.7775999999999996</v>
      </c>
      <c r="T1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38">
        <f>(1000*CHOOSE(CONTROL!$C$42, 695, 695)*CHOOSE(CONTROL!$C$42, 0.5599, 0.5599)*CHOOSE(CONTROL!$C$42, 30, 30))/1000000</f>
        <v>11.673914999999997</v>
      </c>
      <c r="V150" s="38">
        <f>(1000*CHOOSE(CONTROL!$C$42, 500, 500)*CHOOSE(CONTROL!$C$42, 0.275, 0.275)*CHOOSE(CONTROL!$C$42, 30, 30))/1000000</f>
        <v>4.125</v>
      </c>
      <c r="W150" s="38">
        <f>(1000*CHOOSE(CONTROL!$C$42, 0.1146, 0.1146)*CHOOSE(CONTROL!$C$42, 121.5, 121.5)*CHOOSE(CONTROL!$C$42, 30, 30))/1000000</f>
        <v>0.417717</v>
      </c>
      <c r="X150" s="38">
        <f>(30*0.1790888*245000/1000000)+(30*0.2374*100000/1000000)</f>
        <v>2.0285026799999999</v>
      </c>
      <c r="Y150" s="38">
        <f>(1000*600*CHOOSE(CONTROL!$C$42, 1.7341, 1.7341)*CHOOSE(CONTROL!$C$42, 30, 30))/1000000</f>
        <v>31.213799999999999</v>
      </c>
      <c r="Z150" s="38"/>
      <c r="AA150" s="10"/>
      <c r="AB150" s="39"/>
      <c r="AC150" s="33">
        <f>(B150*194.205+C150*267.466+D150*133.845+E150*53.484+F150*40+G150*185+H150*0+I150*100+J150*300)/(194.205+267.466+133.845+53.484+0+40+185+100+300)</f>
        <v>6.9983640234693869</v>
      </c>
      <c r="AD150" s="27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6.9606848920863316</v>
      </c>
    </row>
    <row r="151" spans="1:30" ht="15" x14ac:dyDescent="0.2">
      <c r="A151" s="16">
        <v>45839</v>
      </c>
      <c r="B151" s="10">
        <f>CHOOSE(CONTROL!$C$42, 6.8498, 6.8498) * CHOOSE(CONTROL!$C$21, $C$9, 100%, $E$9)</f>
        <v>6.8498000000000001</v>
      </c>
      <c r="C151" s="10">
        <f>CHOOSE(CONTROL!$C$42, 6.8577, 6.8577) * CHOOSE(CONTROL!$C$21, $C$9, 100%, $E$9)</f>
        <v>6.8577000000000004</v>
      </c>
      <c r="D151" s="10">
        <f>CHOOSE(CONTROL!$C$42, 7.0347, 7.0347) * CHOOSE(CONTROL!$C$21, $C$9, 100%, $E$9)</f>
        <v>7.0347</v>
      </c>
      <c r="E151" s="10">
        <f>CHOOSE(CONTROL!$C$42, 7.0658, 7.0658) * CHOOSE(CONTROL!$C$21, $C$9, 100%, $E$9)</f>
        <v>7.0658000000000003</v>
      </c>
      <c r="F151" s="10">
        <f>CHOOSE(CONTROL!$C$42, 6.8136, 6.8136)*CHOOSE(CONTROL!$C$21, $C$9, 100%, $E$9)</f>
        <v>6.8136000000000001</v>
      </c>
      <c r="G151" s="10">
        <f>CHOOSE(CONTROL!$C$42, 6.8302, 6.8302)*CHOOSE(CONTROL!$C$21, $C$9, 100%, $E$9)</f>
        <v>6.8301999999999996</v>
      </c>
      <c r="H151" s="10">
        <f>CHOOSE(CONTROL!$C$42, 7.0545, 7.0545) * CHOOSE(CONTROL!$C$21, $C$9, 100%, $E$9)</f>
        <v>7.0545</v>
      </c>
      <c r="I151" s="10">
        <f>CHOOSE(CONTROL!$C$42, 6.8344, 6.8344)* CHOOSE(CONTROL!$C$21, $C$9, 100%, $E$9)</f>
        <v>6.8343999999999996</v>
      </c>
      <c r="J151" s="10">
        <f>CHOOSE(CONTROL!$C$42, 6.8066, 6.8066)* CHOOSE(CONTROL!$C$21, $C$9, 100%, $E$9)</f>
        <v>6.8066000000000004</v>
      </c>
      <c r="K151" s="10">
        <f>CHOOSE(CONTROL!$C$42, 6.7756, 6.7756) * CHOOSE(CONTROL!$C$21, $C$9, 100%, $E$9)</f>
        <v>6.7755999999999998</v>
      </c>
      <c r="L151" s="10">
        <f>CHOOSE(CONTROL!$C$42, 7.6415, 7.6415) * CHOOSE(CONTROL!$C$21, $C$9, 100%, $E$9)</f>
        <v>7.6414999999999997</v>
      </c>
      <c r="M151" s="10">
        <f>CHOOSE(CONTROL!$C$42, 6.7517, 6.7517) * CHOOSE(CONTROL!$C$21, $C$9, 100%, $E$9)</f>
        <v>6.7516999999999996</v>
      </c>
      <c r="N151" s="10">
        <f>CHOOSE(CONTROL!$C$42, 6.7682, 6.7682) * CHOOSE(CONTROL!$C$21, $C$9, 100%, $E$9)</f>
        <v>6.7682000000000002</v>
      </c>
      <c r="O151" s="10">
        <f>CHOOSE(CONTROL!$C$42, 6.9971, 6.9971) * CHOOSE(CONTROL!$C$21, $C$9, 100%, $E$9)</f>
        <v>6.9970999999999997</v>
      </c>
      <c r="P151" s="10">
        <f>CHOOSE(CONTROL!$C$42, 6.7793, 6.7793) * CHOOSE(CONTROL!$C$21, $C$9, 100%, $E$9)</f>
        <v>6.7793000000000001</v>
      </c>
      <c r="Q151" s="10">
        <f>CHOOSE(CONTROL!$C$42, 7.5924, 7.5924) * CHOOSE(CONTROL!$C$21, $C$9, 100%, $E$9)</f>
        <v>7.5923999999999996</v>
      </c>
      <c r="R151" s="10">
        <f>CHOOSE(CONTROL!$C$42, 8.1984, 8.1984) * CHOOSE(CONTROL!$C$21, $C$9, 100%, $E$9)</f>
        <v>8.1983999999999995</v>
      </c>
      <c r="S151" s="10">
        <f>CHOOSE(CONTROL!$C$42, 6.6476, 6.6476) * CHOOSE(CONTROL!$C$21, $C$9, 100%, $E$9)</f>
        <v>6.6475999999999997</v>
      </c>
      <c r="T1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38">
        <f>(1000*CHOOSE(CONTROL!$C$42, 695, 695)*CHOOSE(CONTROL!$C$42, 0.5599, 0.5599)*CHOOSE(CONTROL!$C$42, 31, 31))/1000000</f>
        <v>12.063045499999998</v>
      </c>
      <c r="V151" s="38">
        <f>(1000*CHOOSE(CONTROL!$C$42, 500, 500)*CHOOSE(CONTROL!$C$42, 0.275, 0.275)*CHOOSE(CONTROL!$C$42, 31, 31))/1000000</f>
        <v>4.2625000000000002</v>
      </c>
      <c r="W151" s="38">
        <f>(1000*CHOOSE(CONTROL!$C$42, 0.1146, 0.1146)*CHOOSE(CONTROL!$C$42, 121.5, 121.5)*CHOOSE(CONTROL!$C$42, 31, 31))/1000000</f>
        <v>0.43164089999999994</v>
      </c>
      <c r="X151" s="38">
        <f>(31*0.1790888*245000/1000000)+(31*0.2374*100000/1000000)</f>
        <v>2.0961194359999999</v>
      </c>
      <c r="Y151" s="38">
        <f>(1000*600*CHOOSE(CONTROL!$C$42, 1.7341, 1.7341)*CHOOSE(CONTROL!$C$42, 31, 31))/1000000</f>
        <v>32.254260000000002</v>
      </c>
      <c r="Z151" s="38"/>
      <c r="AA151" s="10"/>
      <c r="AB151" s="39"/>
      <c r="AC151" s="33">
        <f>(B151*194.205+C151*267.466+D151*133.845+E151*53.484+F151*40+G151*185+H151*0+I151*100+J151*300)/(194.205+267.466+133.845+53.484+0+40+185+100+300)</f>
        <v>6.8645876498430134</v>
      </c>
      <c r="AD151" s="27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6.8283230215827331</v>
      </c>
    </row>
    <row r="152" spans="1:30" ht="15" x14ac:dyDescent="0.2">
      <c r="A152" s="16">
        <v>45870</v>
      </c>
      <c r="B152" s="10">
        <f>CHOOSE(CONTROL!$C$42, 6.5117, 6.5117) * CHOOSE(CONTROL!$C$21, $C$9, 100%, $E$9)</f>
        <v>6.5117000000000003</v>
      </c>
      <c r="C152" s="10">
        <f>CHOOSE(CONTROL!$C$42, 6.5196, 6.5196) * CHOOSE(CONTROL!$C$21, $C$9, 100%, $E$9)</f>
        <v>6.5195999999999996</v>
      </c>
      <c r="D152" s="10">
        <f>CHOOSE(CONTROL!$C$42, 6.6966, 6.6966) * CHOOSE(CONTROL!$C$21, $C$9, 100%, $E$9)</f>
        <v>6.6966000000000001</v>
      </c>
      <c r="E152" s="10">
        <f>CHOOSE(CONTROL!$C$42, 6.7278, 6.7278) * CHOOSE(CONTROL!$C$21, $C$9, 100%, $E$9)</f>
        <v>6.7278000000000002</v>
      </c>
      <c r="F152" s="10">
        <f>CHOOSE(CONTROL!$C$42, 6.4756, 6.4756)*CHOOSE(CONTROL!$C$21, $C$9, 100%, $E$9)</f>
        <v>6.4756</v>
      </c>
      <c r="G152" s="10">
        <f>CHOOSE(CONTROL!$C$42, 6.4922, 6.4922)*CHOOSE(CONTROL!$C$21, $C$9, 100%, $E$9)</f>
        <v>6.4922000000000004</v>
      </c>
      <c r="H152" s="10">
        <f>CHOOSE(CONTROL!$C$42, 6.7164, 6.7164) * CHOOSE(CONTROL!$C$21, $C$9, 100%, $E$9)</f>
        <v>6.7164000000000001</v>
      </c>
      <c r="I152" s="10">
        <f>CHOOSE(CONTROL!$C$42, 6.4963, 6.4963)* CHOOSE(CONTROL!$C$21, $C$9, 100%, $E$9)</f>
        <v>6.4962999999999997</v>
      </c>
      <c r="J152" s="10">
        <f>CHOOSE(CONTROL!$C$42, 6.4686, 6.4686)* CHOOSE(CONTROL!$C$21, $C$9, 100%, $E$9)</f>
        <v>6.4686000000000003</v>
      </c>
      <c r="K152" s="10">
        <f>CHOOSE(CONTROL!$C$42, 6.4472, 6.4472) * CHOOSE(CONTROL!$C$21, $C$9, 100%, $E$9)</f>
        <v>6.4471999999999996</v>
      </c>
      <c r="L152" s="10">
        <f>CHOOSE(CONTROL!$C$42, 7.3034, 7.3034) * CHOOSE(CONTROL!$C$21, $C$9, 100%, $E$9)</f>
        <v>7.3033999999999999</v>
      </c>
      <c r="M152" s="10">
        <f>CHOOSE(CONTROL!$C$42, 6.4171, 6.4171) * CHOOSE(CONTROL!$C$21, $C$9, 100%, $E$9)</f>
        <v>6.4170999999999996</v>
      </c>
      <c r="N152" s="10">
        <f>CHOOSE(CONTROL!$C$42, 6.4336, 6.4336) * CHOOSE(CONTROL!$C$21, $C$9, 100%, $E$9)</f>
        <v>6.4336000000000002</v>
      </c>
      <c r="O152" s="10">
        <f>CHOOSE(CONTROL!$C$42, 6.6625, 6.6625) * CHOOSE(CONTROL!$C$21, $C$9, 100%, $E$9)</f>
        <v>6.6624999999999996</v>
      </c>
      <c r="P152" s="10">
        <f>CHOOSE(CONTROL!$C$42, 6.4446, 6.4446) * CHOOSE(CONTROL!$C$21, $C$9, 100%, $E$9)</f>
        <v>6.4446000000000003</v>
      </c>
      <c r="Q152" s="10">
        <f>CHOOSE(CONTROL!$C$42, 7.2578, 7.2578) * CHOOSE(CONTROL!$C$21, $C$9, 100%, $E$9)</f>
        <v>7.2577999999999996</v>
      </c>
      <c r="R152" s="10">
        <f>CHOOSE(CONTROL!$C$42, 7.8629, 7.8629) * CHOOSE(CONTROL!$C$21, $C$9, 100%, $E$9)</f>
        <v>7.8628999999999998</v>
      </c>
      <c r="S152" s="10">
        <f>CHOOSE(CONTROL!$C$42, 6.3193, 6.3193) * CHOOSE(CONTROL!$C$21, $C$9, 100%, $E$9)</f>
        <v>6.3193000000000001</v>
      </c>
      <c r="T1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38">
        <f>(1000*CHOOSE(CONTROL!$C$42, 695, 695)*CHOOSE(CONTROL!$C$42, 0.5599, 0.5599)*CHOOSE(CONTROL!$C$42, 31, 31))/1000000</f>
        <v>12.063045499999998</v>
      </c>
      <c r="V152" s="38">
        <f>(1000*CHOOSE(CONTROL!$C$42, 500, 500)*CHOOSE(CONTROL!$C$42, 0.275, 0.275)*CHOOSE(CONTROL!$C$42, 31, 31))/1000000</f>
        <v>4.2625000000000002</v>
      </c>
      <c r="W152" s="38">
        <f>(1000*CHOOSE(CONTROL!$C$42, 0.1146, 0.1146)*CHOOSE(CONTROL!$C$42, 121.5, 121.5)*CHOOSE(CONTROL!$C$42, 31, 31))/1000000</f>
        <v>0.43164089999999994</v>
      </c>
      <c r="X152" s="38">
        <f>(31*0.1790888*245000/1000000)+(31*0.2374*100000/1000000)</f>
        <v>2.0961194359999999</v>
      </c>
      <c r="Y152" s="38">
        <f>(1000*600*CHOOSE(CONTROL!$C$42, 1.7341, 1.7341)*CHOOSE(CONTROL!$C$42, 31, 31))/1000000</f>
        <v>32.254260000000002</v>
      </c>
      <c r="Z152" s="38"/>
      <c r="AA152" s="10"/>
      <c r="AB152" s="39"/>
      <c r="AC152" s="33">
        <f>(B152*194.205+C152*267.466+D152*133.845+E152*53.484+F152*40+G152*185+H152*0+I152*100+J152*300)/(194.205+267.466+133.845+53.484+0+40+185+100+300)</f>
        <v>6.5265330567503934</v>
      </c>
      <c r="AD152" s="27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6.493708633093525</v>
      </c>
    </row>
    <row r="153" spans="1:30" ht="15" x14ac:dyDescent="0.2">
      <c r="A153" s="16">
        <v>45901</v>
      </c>
      <c r="B153" s="10">
        <f>CHOOSE(CONTROL!$C$42, 6.0987, 6.0987) * CHOOSE(CONTROL!$C$21, $C$9, 100%, $E$9)</f>
        <v>6.0987</v>
      </c>
      <c r="C153" s="10">
        <f>CHOOSE(CONTROL!$C$42, 6.1066, 6.1066) * CHOOSE(CONTROL!$C$21, $C$9, 100%, $E$9)</f>
        <v>6.1066000000000003</v>
      </c>
      <c r="D153" s="10">
        <f>CHOOSE(CONTROL!$C$42, 6.2836, 6.2836) * CHOOSE(CONTROL!$C$21, $C$9, 100%, $E$9)</f>
        <v>6.2835999999999999</v>
      </c>
      <c r="E153" s="10">
        <f>CHOOSE(CONTROL!$C$42, 6.3147, 6.3147) * CHOOSE(CONTROL!$C$21, $C$9, 100%, $E$9)</f>
        <v>6.3147000000000002</v>
      </c>
      <c r="F153" s="10">
        <f>CHOOSE(CONTROL!$C$42, 6.0623, 6.0623)*CHOOSE(CONTROL!$C$21, $C$9, 100%, $E$9)</f>
        <v>6.0622999999999996</v>
      </c>
      <c r="G153" s="10">
        <f>CHOOSE(CONTROL!$C$42, 6.0788, 6.0788)*CHOOSE(CONTROL!$C$21, $C$9, 100%, $E$9)</f>
        <v>6.0788000000000002</v>
      </c>
      <c r="H153" s="10">
        <f>CHOOSE(CONTROL!$C$42, 6.3033, 6.3033) * CHOOSE(CONTROL!$C$21, $C$9, 100%, $E$9)</f>
        <v>6.3033000000000001</v>
      </c>
      <c r="I153" s="10">
        <f>CHOOSE(CONTROL!$C$42, 6.0833, 6.0833)* CHOOSE(CONTROL!$C$21, $C$9, 100%, $E$9)</f>
        <v>6.0833000000000004</v>
      </c>
      <c r="J153" s="10">
        <f>CHOOSE(CONTROL!$C$42, 6.0553, 6.0553)* CHOOSE(CONTROL!$C$21, $C$9, 100%, $E$9)</f>
        <v>6.0552999999999999</v>
      </c>
      <c r="K153" s="10">
        <f>CHOOSE(CONTROL!$C$42, 6.0454, 6.0454) * CHOOSE(CONTROL!$C$21, $C$9, 100%, $E$9)</f>
        <v>6.0453999999999999</v>
      </c>
      <c r="L153" s="10">
        <f>CHOOSE(CONTROL!$C$42, 6.8903, 6.8903) * CHOOSE(CONTROL!$C$21, $C$9, 100%, $E$9)</f>
        <v>6.8902999999999999</v>
      </c>
      <c r="M153" s="10">
        <f>CHOOSE(CONTROL!$C$42, 6.008, 6.008) * CHOOSE(CONTROL!$C$21, $C$9, 100%, $E$9)</f>
        <v>6.008</v>
      </c>
      <c r="N153" s="10">
        <f>CHOOSE(CONTROL!$C$42, 6.0244, 6.0244) * CHOOSE(CONTROL!$C$21, $C$9, 100%, $E$9)</f>
        <v>6.0244</v>
      </c>
      <c r="O153" s="10">
        <f>CHOOSE(CONTROL!$C$42, 6.2536, 6.2536) * CHOOSE(CONTROL!$C$21, $C$9, 100%, $E$9)</f>
        <v>6.2535999999999996</v>
      </c>
      <c r="P153" s="10">
        <f>CHOOSE(CONTROL!$C$42, 6.0357, 6.0357) * CHOOSE(CONTROL!$C$21, $C$9, 100%, $E$9)</f>
        <v>6.0357000000000003</v>
      </c>
      <c r="Q153" s="10">
        <f>CHOOSE(CONTROL!$C$42, 6.8489, 6.8489) * CHOOSE(CONTROL!$C$21, $C$9, 100%, $E$9)</f>
        <v>6.8489000000000004</v>
      </c>
      <c r="R153" s="10">
        <f>CHOOSE(CONTROL!$C$42, 7.453, 7.453) * CHOOSE(CONTROL!$C$21, $C$9, 100%, $E$9)</f>
        <v>7.4530000000000003</v>
      </c>
      <c r="S153" s="10">
        <f>CHOOSE(CONTROL!$C$42, 5.9182, 5.9182) * CHOOSE(CONTROL!$C$21, $C$9, 100%, $E$9)</f>
        <v>5.9181999999999997</v>
      </c>
      <c r="T1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38">
        <f>(1000*CHOOSE(CONTROL!$C$42, 695, 695)*CHOOSE(CONTROL!$C$42, 0.5599, 0.5599)*CHOOSE(CONTROL!$C$42, 30, 30))/1000000</f>
        <v>11.673914999999997</v>
      </c>
      <c r="V153" s="38">
        <f>(1000*CHOOSE(CONTROL!$C$42, 500, 500)*CHOOSE(CONTROL!$C$42, 0.275, 0.275)*CHOOSE(CONTROL!$C$42, 30, 30))/1000000</f>
        <v>4.125</v>
      </c>
      <c r="W153" s="38">
        <f>(1000*CHOOSE(CONTROL!$C$42, 0.1146, 0.1146)*CHOOSE(CONTROL!$C$42, 121.5, 121.5)*CHOOSE(CONTROL!$C$42, 30, 30))/1000000</f>
        <v>0.417717</v>
      </c>
      <c r="X153" s="38">
        <f>(30*0.1790888*245000/1000000)+(30*0.2374*100000/1000000)</f>
        <v>2.0285026799999999</v>
      </c>
      <c r="Y153" s="38">
        <f>(1000*600*CHOOSE(CONTROL!$C$42, 1.7341, 1.7341)*CHOOSE(CONTROL!$C$42, 30, 30))/1000000</f>
        <v>31.213799999999999</v>
      </c>
      <c r="Z153" s="38"/>
      <c r="AA153" s="10"/>
      <c r="AB153" s="39"/>
      <c r="AC153" s="33">
        <f>(B153*194.205+C153*267.466+D153*133.845+E153*53.484+F153*40+G153*185+H153*0+I153*100+J153*300)/(194.205+267.466+133.845+53.484+0+40+185+100+300)</f>
        <v>6.1133907110675034</v>
      </c>
      <c r="AD153" s="27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6.0846705035971214</v>
      </c>
    </row>
    <row r="154" spans="1:30" ht="15" x14ac:dyDescent="0.2">
      <c r="A154" s="16">
        <v>45931</v>
      </c>
      <c r="B154" s="10">
        <f>CHOOSE(CONTROL!$C$42, 5.9728, 5.9728) * CHOOSE(CONTROL!$C$21, $C$9, 100%, $E$9)</f>
        <v>5.9728000000000003</v>
      </c>
      <c r="C154" s="10">
        <f>CHOOSE(CONTROL!$C$42, 5.978, 5.978) * CHOOSE(CONTROL!$C$21, $C$9, 100%, $E$9)</f>
        <v>5.9779999999999998</v>
      </c>
      <c r="D154" s="10">
        <f>CHOOSE(CONTROL!$C$42, 6.16, 6.16) * CHOOSE(CONTROL!$C$21, $C$9, 100%, $E$9)</f>
        <v>6.16</v>
      </c>
      <c r="E154" s="10">
        <f>CHOOSE(CONTROL!$C$42, 6.1888, 6.1888) * CHOOSE(CONTROL!$C$21, $C$9, 100%, $E$9)</f>
        <v>6.1887999999999996</v>
      </c>
      <c r="F154" s="10">
        <f>CHOOSE(CONTROL!$C$42, 5.9384, 5.9384)*CHOOSE(CONTROL!$C$21, $C$9, 100%, $E$9)</f>
        <v>5.9383999999999997</v>
      </c>
      <c r="G154" s="10">
        <f>CHOOSE(CONTROL!$C$42, 5.9546, 5.9546)*CHOOSE(CONTROL!$C$21, $C$9, 100%, $E$9)</f>
        <v>5.9546000000000001</v>
      </c>
      <c r="H154" s="10">
        <f>CHOOSE(CONTROL!$C$42, 6.1792, 6.1792) * CHOOSE(CONTROL!$C$21, $C$9, 100%, $E$9)</f>
        <v>6.1791999999999998</v>
      </c>
      <c r="I154" s="10">
        <f>CHOOSE(CONTROL!$C$42, 5.9592, 5.9592)* CHOOSE(CONTROL!$C$21, $C$9, 100%, $E$9)</f>
        <v>5.9592000000000001</v>
      </c>
      <c r="J154" s="10">
        <f>CHOOSE(CONTROL!$C$42, 5.9314, 5.9314)* CHOOSE(CONTROL!$C$21, $C$9, 100%, $E$9)</f>
        <v>5.9314</v>
      </c>
      <c r="K154" s="10">
        <f>CHOOSE(CONTROL!$C$42, 5.9254, 5.9254) * CHOOSE(CONTROL!$C$21, $C$9, 100%, $E$9)</f>
        <v>5.9253999999999998</v>
      </c>
      <c r="L154" s="10">
        <f>CHOOSE(CONTROL!$C$42, 6.7662, 6.7662) * CHOOSE(CONTROL!$C$21, $C$9, 100%, $E$9)</f>
        <v>6.7662000000000004</v>
      </c>
      <c r="M154" s="10">
        <f>CHOOSE(CONTROL!$C$42, 5.8854, 5.8854) * CHOOSE(CONTROL!$C$21, $C$9, 100%, $E$9)</f>
        <v>5.8853999999999997</v>
      </c>
      <c r="N154" s="10">
        <f>CHOOSE(CONTROL!$C$42, 5.9015, 5.9015) * CHOOSE(CONTROL!$C$21, $C$9, 100%, $E$9)</f>
        <v>5.9015000000000004</v>
      </c>
      <c r="O154" s="10">
        <f>CHOOSE(CONTROL!$C$42, 6.1307, 6.1307) * CHOOSE(CONTROL!$C$21, $C$9, 100%, $E$9)</f>
        <v>6.1307</v>
      </c>
      <c r="P154" s="10">
        <f>CHOOSE(CONTROL!$C$42, 5.9129, 5.9129) * CHOOSE(CONTROL!$C$21, $C$9, 100%, $E$9)</f>
        <v>5.9128999999999996</v>
      </c>
      <c r="Q154" s="10">
        <f>CHOOSE(CONTROL!$C$42, 6.726, 6.726) * CHOOSE(CONTROL!$C$21, $C$9, 100%, $E$9)</f>
        <v>6.726</v>
      </c>
      <c r="R154" s="10">
        <f>CHOOSE(CONTROL!$C$42, 7.3298, 7.3298) * CHOOSE(CONTROL!$C$21, $C$9, 100%, $E$9)</f>
        <v>7.3297999999999996</v>
      </c>
      <c r="S154" s="10">
        <f>CHOOSE(CONTROL!$C$42, 5.7976, 5.7976) * CHOOSE(CONTROL!$C$21, $C$9, 100%, $E$9)</f>
        <v>5.7976000000000001</v>
      </c>
      <c r="T1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38">
        <f>(1000*CHOOSE(CONTROL!$C$42, 695, 695)*CHOOSE(CONTROL!$C$42, 0.5599, 0.5599)*CHOOSE(CONTROL!$C$42, 31, 31))/1000000</f>
        <v>12.063045499999998</v>
      </c>
      <c r="V154" s="38">
        <f>(1000*CHOOSE(CONTROL!$C$42, 500, 500)*CHOOSE(CONTROL!$C$42, 0.275, 0.275)*CHOOSE(CONTROL!$C$42, 31, 31))/1000000</f>
        <v>4.2625000000000002</v>
      </c>
      <c r="W154" s="38">
        <f>(1000*CHOOSE(CONTROL!$C$42, 0.1146, 0.1146)*CHOOSE(CONTROL!$C$42, 121.5, 121.5)*CHOOSE(CONTROL!$C$42, 31, 31))/1000000</f>
        <v>0.43164089999999994</v>
      </c>
      <c r="X154" s="38">
        <f>(31*0.1790888*245000/1000000)+(31*0.2374*100000/1000000)</f>
        <v>2.0961194359999999</v>
      </c>
      <c r="Y154" s="38">
        <f>(1000*600*CHOOSE(CONTROL!$C$42, 1.7341, 1.7341)*CHOOSE(CONTROL!$C$42, 31, 31))/1000000</f>
        <v>32.254260000000002</v>
      </c>
      <c r="Z154" s="38"/>
      <c r="AA154" s="10"/>
      <c r="AB154" s="39"/>
      <c r="AC154" s="33">
        <f>(B154*131.881+C154*277.167+D154*79.08+E154*125.872+F154*40+G154*185+H154*0+I154*100+J154*300)/(131.881+277.167+79.08+125.872+0+40+185+100+300)</f>
        <v>5.9929052432606937</v>
      </c>
      <c r="AD154" s="27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5.9618884892086328</v>
      </c>
    </row>
    <row r="155" spans="1:30" ht="15" x14ac:dyDescent="0.2">
      <c r="A155" s="16">
        <v>45962</v>
      </c>
      <c r="B155" s="10">
        <f>CHOOSE(CONTROL!$C$42, 6.1296, 6.1296) * CHOOSE(CONTROL!$C$21, $C$9, 100%, $E$9)</f>
        <v>6.1295999999999999</v>
      </c>
      <c r="C155" s="10">
        <f>CHOOSE(CONTROL!$C$42, 6.1346, 6.1346) * CHOOSE(CONTROL!$C$21, $C$9, 100%, $E$9)</f>
        <v>6.1345999999999998</v>
      </c>
      <c r="D155" s="10">
        <f>CHOOSE(CONTROL!$C$42, 6.1591, 6.1591) * CHOOSE(CONTROL!$C$21, $C$9, 100%, $E$9)</f>
        <v>6.1590999999999996</v>
      </c>
      <c r="E155" s="10">
        <f>CHOOSE(CONTROL!$C$42, 6.1928, 6.1928) * CHOOSE(CONTROL!$C$21, $C$9, 100%, $E$9)</f>
        <v>6.1928000000000001</v>
      </c>
      <c r="F155" s="10">
        <f>CHOOSE(CONTROL!$C$42, 6.099, 6.099)*CHOOSE(CONTROL!$C$21, $C$9, 100%, $E$9)</f>
        <v>6.0990000000000002</v>
      </c>
      <c r="G155" s="10">
        <f>CHOOSE(CONTROL!$C$42, 6.1154, 6.1154)*CHOOSE(CONTROL!$C$21, $C$9, 100%, $E$9)</f>
        <v>6.1154000000000002</v>
      </c>
      <c r="H155" s="10">
        <f>CHOOSE(CONTROL!$C$42, 6.182, 6.182) * CHOOSE(CONTROL!$C$21, $C$9, 100%, $E$9)</f>
        <v>6.1820000000000004</v>
      </c>
      <c r="I155" s="10">
        <f>CHOOSE(CONTROL!$C$42, 6.1164, 6.1164)* CHOOSE(CONTROL!$C$21, $C$9, 100%, $E$9)</f>
        <v>6.1163999999999996</v>
      </c>
      <c r="J155" s="10">
        <f>CHOOSE(CONTROL!$C$42, 6.092, 6.092)* CHOOSE(CONTROL!$C$21, $C$9, 100%, $E$9)</f>
        <v>6.0919999999999996</v>
      </c>
      <c r="K155" s="10">
        <f>CHOOSE(CONTROL!$C$42, 6.0796, 6.0796) * CHOOSE(CONTROL!$C$21, $C$9, 100%, $E$9)</f>
        <v>6.0796000000000001</v>
      </c>
      <c r="L155" s="10">
        <f>CHOOSE(CONTROL!$C$42, 6.769, 6.769) * CHOOSE(CONTROL!$C$21, $C$9, 100%, $E$9)</f>
        <v>6.7690000000000001</v>
      </c>
      <c r="M155" s="10">
        <f>CHOOSE(CONTROL!$C$42, 6.0443, 6.0443) * CHOOSE(CONTROL!$C$21, $C$9, 100%, $E$9)</f>
        <v>6.0442999999999998</v>
      </c>
      <c r="N155" s="10">
        <f>CHOOSE(CONTROL!$C$42, 6.0606, 6.0606) * CHOOSE(CONTROL!$C$21, $C$9, 100%, $E$9)</f>
        <v>6.0606</v>
      </c>
      <c r="O155" s="10">
        <f>CHOOSE(CONTROL!$C$42, 6.1335, 6.1335) * CHOOSE(CONTROL!$C$21, $C$9, 100%, $E$9)</f>
        <v>6.1334999999999997</v>
      </c>
      <c r="P155" s="10">
        <f>CHOOSE(CONTROL!$C$42, 6.0686, 6.0686) * CHOOSE(CONTROL!$C$21, $C$9, 100%, $E$9)</f>
        <v>6.0686</v>
      </c>
      <c r="Q155" s="10">
        <f>CHOOSE(CONTROL!$C$42, 6.7288, 6.7288) * CHOOSE(CONTROL!$C$21, $C$9, 100%, $E$9)</f>
        <v>6.7287999999999997</v>
      </c>
      <c r="R155" s="10">
        <f>CHOOSE(CONTROL!$C$42, 7.3326, 7.3326) * CHOOSE(CONTROL!$C$21, $C$9, 100%, $E$9)</f>
        <v>7.3326000000000002</v>
      </c>
      <c r="S155" s="10">
        <f>CHOOSE(CONTROL!$C$42, 5.9504, 5.9504) * CHOOSE(CONTROL!$C$21, $C$9, 100%, $E$9)</f>
        <v>5.9504000000000001</v>
      </c>
      <c r="T1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38">
        <f>(1000*CHOOSE(CONTROL!$C$42, 695, 695)*CHOOSE(CONTROL!$C$42, 0.5599, 0.5599)*CHOOSE(CONTROL!$C$42, 30, 30))/1000000</f>
        <v>11.673914999999997</v>
      </c>
      <c r="V155" s="38">
        <f>(1000*CHOOSE(CONTROL!$C$42, 500, 500)*CHOOSE(CONTROL!$C$42, 0.275, 0.275)*CHOOSE(CONTROL!$C$42, 30, 30))/1000000</f>
        <v>4.125</v>
      </c>
      <c r="W155" s="38">
        <f>(1000*CHOOSE(CONTROL!$C$42, 0.1146, 0.1146)*CHOOSE(CONTROL!$C$42, 121.5, 121.5)*CHOOSE(CONTROL!$C$42, 30, 30))/1000000</f>
        <v>0.417717</v>
      </c>
      <c r="X155" s="38">
        <f>(30*0.1790888*100000/1000000)+(30*0.2374*100000/1000000)</f>
        <v>1.2494664</v>
      </c>
      <c r="Y155" s="38">
        <f>(1000*600*CHOOSE(CONTROL!$C$42, 1.7341, 1.7341)*CHOOSE(CONTROL!$C$42, 30, 30))/1000000</f>
        <v>31.213799999999999</v>
      </c>
      <c r="Z155" s="38"/>
      <c r="AA155" s="10"/>
      <c r="AB155" s="39"/>
      <c r="AC155" s="33">
        <f>(B155*122.58+C155*297.941+D155*89.177+E155*40.302+F155*40+G155*160+H155*0+I155*100+J155*300)/(122.58+297.941+89.177+40.302+0+40+160+100+300)</f>
        <v>6.121401315565218</v>
      </c>
      <c r="AD155" s="27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6.0891633093525179</v>
      </c>
    </row>
    <row r="156" spans="1:30" ht="15" x14ac:dyDescent="0.2">
      <c r="A156" s="16">
        <v>45992</v>
      </c>
      <c r="B156" s="10">
        <f>CHOOSE(CONTROL!$C$42, 6.5474, 6.5474) * CHOOSE(CONTROL!$C$21, $C$9, 100%, $E$9)</f>
        <v>6.5473999999999997</v>
      </c>
      <c r="C156" s="10">
        <f>CHOOSE(CONTROL!$C$42, 6.5523, 6.5523) * CHOOSE(CONTROL!$C$21, $C$9, 100%, $E$9)</f>
        <v>6.5522999999999998</v>
      </c>
      <c r="D156" s="10">
        <f>CHOOSE(CONTROL!$C$42, 6.5768, 6.5768) * CHOOSE(CONTROL!$C$21, $C$9, 100%, $E$9)</f>
        <v>6.5768000000000004</v>
      </c>
      <c r="E156" s="10">
        <f>CHOOSE(CONTROL!$C$42, 6.6106, 6.6106) * CHOOSE(CONTROL!$C$21, $C$9, 100%, $E$9)</f>
        <v>6.6105999999999998</v>
      </c>
      <c r="F156" s="10">
        <f>CHOOSE(CONTROL!$C$42, 6.519, 6.519)*CHOOSE(CONTROL!$C$21, $C$9, 100%, $E$9)</f>
        <v>6.5190000000000001</v>
      </c>
      <c r="G156" s="10">
        <f>CHOOSE(CONTROL!$C$42, 6.536, 6.536)*CHOOSE(CONTROL!$C$21, $C$9, 100%, $E$9)</f>
        <v>6.5359999999999996</v>
      </c>
      <c r="H156" s="10">
        <f>CHOOSE(CONTROL!$C$42, 6.5997, 6.5997) * CHOOSE(CONTROL!$C$21, $C$9, 100%, $E$9)</f>
        <v>6.5997000000000003</v>
      </c>
      <c r="I156" s="10">
        <f>CHOOSE(CONTROL!$C$42, 6.5341, 6.5341)* CHOOSE(CONTROL!$C$21, $C$9, 100%, $E$9)</f>
        <v>6.5340999999999996</v>
      </c>
      <c r="J156" s="10">
        <f>CHOOSE(CONTROL!$C$42, 6.512, 6.512)* CHOOSE(CONTROL!$C$21, $C$9, 100%, $E$9)</f>
        <v>6.5119999999999996</v>
      </c>
      <c r="K156" s="10">
        <f>CHOOSE(CONTROL!$C$42, 6.4905, 6.4905) * CHOOSE(CONTROL!$C$21, $C$9, 100%, $E$9)</f>
        <v>6.4904999999999999</v>
      </c>
      <c r="L156" s="10">
        <f>CHOOSE(CONTROL!$C$42, 7.1867, 7.1867) * CHOOSE(CONTROL!$C$21, $C$9, 100%, $E$9)</f>
        <v>7.1867000000000001</v>
      </c>
      <c r="M156" s="10">
        <f>CHOOSE(CONTROL!$C$42, 6.4601, 6.4601) * CHOOSE(CONTROL!$C$21, $C$9, 100%, $E$9)</f>
        <v>6.4600999999999997</v>
      </c>
      <c r="N156" s="10">
        <f>CHOOSE(CONTROL!$C$42, 6.477, 6.477) * CHOOSE(CONTROL!$C$21, $C$9, 100%, $E$9)</f>
        <v>6.4770000000000003</v>
      </c>
      <c r="O156" s="10">
        <f>CHOOSE(CONTROL!$C$42, 6.547, 6.547) * CHOOSE(CONTROL!$C$21, $C$9, 100%, $E$9)</f>
        <v>6.5469999999999997</v>
      </c>
      <c r="P156" s="10">
        <f>CHOOSE(CONTROL!$C$42, 6.4821, 6.4821) * CHOOSE(CONTROL!$C$21, $C$9, 100%, $E$9)</f>
        <v>6.4821</v>
      </c>
      <c r="Q156" s="10">
        <f>CHOOSE(CONTROL!$C$42, 7.1423, 7.1423) * CHOOSE(CONTROL!$C$21, $C$9, 100%, $E$9)</f>
        <v>7.1422999999999996</v>
      </c>
      <c r="R156" s="10">
        <f>CHOOSE(CONTROL!$C$42, 7.7471, 7.7471) * CHOOSE(CONTROL!$C$21, $C$9, 100%, $E$9)</f>
        <v>7.7470999999999997</v>
      </c>
      <c r="S156" s="10">
        <f>CHOOSE(CONTROL!$C$42, 6.356, 6.356) * CHOOSE(CONTROL!$C$21, $C$9, 100%, $E$9)</f>
        <v>6.3559999999999999</v>
      </c>
      <c r="T1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38">
        <f>(1000*CHOOSE(CONTROL!$C$42, 695, 695)*CHOOSE(CONTROL!$C$42, 0.5599, 0.5599)*CHOOSE(CONTROL!$C$42, 31, 31))/1000000</f>
        <v>12.063045499999998</v>
      </c>
      <c r="V156" s="38">
        <f>(1000*CHOOSE(CONTROL!$C$42, 500, 500)*CHOOSE(CONTROL!$C$42, 0.275, 0.275)*CHOOSE(CONTROL!$C$42, 31, 31))/1000000</f>
        <v>4.2625000000000002</v>
      </c>
      <c r="W156" s="38">
        <f>(1000*CHOOSE(CONTROL!$C$42, 0.1146, 0.1146)*CHOOSE(CONTROL!$C$42, 121.5, 121.5)*CHOOSE(CONTROL!$C$42, 31, 31))/1000000</f>
        <v>0.43164089999999994</v>
      </c>
      <c r="X156" s="38">
        <f>(31*0.1790888*100000/1000000)+(31*0.2374*100000/1000000)</f>
        <v>1.2911152800000001</v>
      </c>
      <c r="Y156" s="38">
        <f>(1000*600*CHOOSE(CONTROL!$C$42, 1.7341, 1.7341)*CHOOSE(CONTROL!$C$42, 31, 31))/1000000</f>
        <v>32.254260000000002</v>
      </c>
      <c r="Z156" s="38"/>
      <c r="AA156" s="10"/>
      <c r="AB156" s="39"/>
      <c r="AC156" s="33">
        <f>(B156*122.58+C156*297.941+D156*89.177+E156*40.302+F156*40+G156*160+H156*0+I156*100+J156*300)/(122.58+297.941+89.177+40.302+0+40+160+100+300)</f>
        <v>6.5401989574782613</v>
      </c>
      <c r="AD156" s="27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6.5036244604316549</v>
      </c>
    </row>
    <row r="157" spans="1:30" ht="15" x14ac:dyDescent="0.2">
      <c r="A157" s="16">
        <v>46023</v>
      </c>
      <c r="B157" s="10">
        <f>CHOOSE(CONTROL!$C$42, 7.0383, 7.0383) * CHOOSE(CONTROL!$C$21, $C$9, 100%, $E$9)</f>
        <v>7.0382999999999996</v>
      </c>
      <c r="C157" s="10">
        <f>CHOOSE(CONTROL!$C$42, 7.0433, 7.0433) * CHOOSE(CONTROL!$C$21, $C$9, 100%, $E$9)</f>
        <v>7.0433000000000003</v>
      </c>
      <c r="D157" s="10">
        <f>CHOOSE(CONTROL!$C$42, 7.0678, 7.0678) * CHOOSE(CONTROL!$C$21, $C$9, 100%, $E$9)</f>
        <v>7.0678000000000001</v>
      </c>
      <c r="E157" s="10">
        <f>CHOOSE(CONTROL!$C$42, 7.1015, 7.1015) * CHOOSE(CONTROL!$C$21, $C$9, 100%, $E$9)</f>
        <v>7.1014999999999997</v>
      </c>
      <c r="F157" s="10">
        <f>CHOOSE(CONTROL!$C$42, 7.0213, 7.0213)*CHOOSE(CONTROL!$C$21, $C$9, 100%, $E$9)</f>
        <v>7.0213000000000001</v>
      </c>
      <c r="G157" s="10">
        <f>CHOOSE(CONTROL!$C$42, 7.0399, 7.0399)*CHOOSE(CONTROL!$C$21, $C$9, 100%, $E$9)</f>
        <v>7.0399000000000003</v>
      </c>
      <c r="H157" s="10">
        <f>CHOOSE(CONTROL!$C$42, 7.0907, 7.0907) * CHOOSE(CONTROL!$C$21, $C$9, 100%, $E$9)</f>
        <v>7.0907</v>
      </c>
      <c r="I157" s="10">
        <f>CHOOSE(CONTROL!$C$42, 7.0328, 7.0328)* CHOOSE(CONTROL!$C$21, $C$9, 100%, $E$9)</f>
        <v>7.0327999999999999</v>
      </c>
      <c r="J157" s="10">
        <f>CHOOSE(CONTROL!$C$42, 7.0143, 7.0143)* CHOOSE(CONTROL!$C$21, $C$9, 100%, $E$9)</f>
        <v>7.0143000000000004</v>
      </c>
      <c r="K157" s="10">
        <f>CHOOSE(CONTROL!$C$42, 6.9885, 6.9885) * CHOOSE(CONTROL!$C$21, $C$9, 100%, $E$9)</f>
        <v>6.9885000000000002</v>
      </c>
      <c r="L157" s="10">
        <f>CHOOSE(CONTROL!$C$42, 7.6777, 7.6777) * CHOOSE(CONTROL!$C$21, $C$9, 100%, $E$9)</f>
        <v>7.6776999999999997</v>
      </c>
      <c r="M157" s="10">
        <f>CHOOSE(CONTROL!$C$42, 6.9573, 6.9573) * CHOOSE(CONTROL!$C$21, $C$9, 100%, $E$9)</f>
        <v>6.9573</v>
      </c>
      <c r="N157" s="10">
        <f>CHOOSE(CONTROL!$C$42, 6.9758, 6.9758) * CHOOSE(CONTROL!$C$21, $C$9, 100%, $E$9)</f>
        <v>6.9757999999999996</v>
      </c>
      <c r="O157" s="10">
        <f>CHOOSE(CONTROL!$C$42, 7.033, 7.033) * CHOOSE(CONTROL!$C$21, $C$9, 100%, $E$9)</f>
        <v>7.0330000000000004</v>
      </c>
      <c r="P157" s="10">
        <f>CHOOSE(CONTROL!$C$42, 6.9757, 6.9757) * CHOOSE(CONTROL!$C$21, $C$9, 100%, $E$9)</f>
        <v>6.9756999999999998</v>
      </c>
      <c r="Q157" s="10">
        <f>CHOOSE(CONTROL!$C$42, 7.6283, 7.6283) * CHOOSE(CONTROL!$C$21, $C$9, 100%, $E$9)</f>
        <v>7.6283000000000003</v>
      </c>
      <c r="R157" s="10">
        <f>CHOOSE(CONTROL!$C$42, 8.2344, 8.2344) * CHOOSE(CONTROL!$C$21, $C$9, 100%, $E$9)</f>
        <v>8.2344000000000008</v>
      </c>
      <c r="S157" s="10">
        <f>CHOOSE(CONTROL!$C$42, 6.8328, 6.8328) * CHOOSE(CONTROL!$C$21, $C$9, 100%, $E$9)</f>
        <v>6.8327999999999998</v>
      </c>
      <c r="T1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38">
        <f>(1000*CHOOSE(CONTROL!$C$42, 695, 695)*CHOOSE(CONTROL!$C$42, 0.5599, 0.5599)*CHOOSE(CONTROL!$C$42, 31, 31))/1000000</f>
        <v>12.063045499999998</v>
      </c>
      <c r="V157" s="38">
        <f>(1000*CHOOSE(CONTROL!$C$42, 500, 500)*CHOOSE(CONTROL!$C$42, 0.275, 0.275)*CHOOSE(CONTROL!$C$42, 31, 31))/1000000</f>
        <v>4.2625000000000002</v>
      </c>
      <c r="W157" s="38">
        <f>(1000*CHOOSE(CONTROL!$C$42, 0.1146, 0.1146)*CHOOSE(CONTROL!$C$42, 121.5, 121.5)*CHOOSE(CONTROL!$C$42, 31, 31))/1000000</f>
        <v>0.43164089999999994</v>
      </c>
      <c r="X157" s="38">
        <f>(31*0.1790888*100000/1000000)+(31*0.2374*100000/1000000)</f>
        <v>1.2911152800000001</v>
      </c>
      <c r="Y157" s="38">
        <f>(1000*600*CHOOSE(CONTROL!$C$42, 1.7242, 1.7242)*CHOOSE(CONTROL!$C$42, 31, 31))/1000000</f>
        <v>32.070120000000003</v>
      </c>
      <c r="Z157" s="38"/>
      <c r="AA157" s="10"/>
      <c r="AB157" s="39"/>
      <c r="AC157" s="33">
        <f>(B157*122.58+C157*297.941+D157*89.177+E157*40.302+F157*40+G157*160+H157*0+I157*100+J157*300)/(122.58+297.941+89.177+40.302+0+40+160+100+300)</f>
        <v>7.0369900112173909</v>
      </c>
      <c r="AD157" s="27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6.9953223021582733</v>
      </c>
    </row>
    <row r="158" spans="1:30" ht="15" x14ac:dyDescent="0.2">
      <c r="A158" s="16">
        <v>46054</v>
      </c>
      <c r="B158" s="10">
        <f>CHOOSE(CONTROL!$C$42, 7.1636, 7.1636) * CHOOSE(CONTROL!$C$21, $C$9, 100%, $E$9)</f>
        <v>7.1635999999999997</v>
      </c>
      <c r="C158" s="10">
        <f>CHOOSE(CONTROL!$C$42, 7.1685, 7.1685) * CHOOSE(CONTROL!$C$21, $C$9, 100%, $E$9)</f>
        <v>7.1684999999999999</v>
      </c>
      <c r="D158" s="10">
        <f>CHOOSE(CONTROL!$C$42, 7.193, 7.193) * CHOOSE(CONTROL!$C$21, $C$9, 100%, $E$9)</f>
        <v>7.1929999999999996</v>
      </c>
      <c r="E158" s="10">
        <f>CHOOSE(CONTROL!$C$42, 7.2268, 7.2268) * CHOOSE(CONTROL!$C$21, $C$9, 100%, $E$9)</f>
        <v>7.2267999999999999</v>
      </c>
      <c r="F158" s="10">
        <f>CHOOSE(CONTROL!$C$42, 7.1458, 7.1458)*CHOOSE(CONTROL!$C$21, $C$9, 100%, $E$9)</f>
        <v>7.1458000000000004</v>
      </c>
      <c r="G158" s="10">
        <f>CHOOSE(CONTROL!$C$42, 7.1643, 7.1643)*CHOOSE(CONTROL!$C$21, $C$9, 100%, $E$9)</f>
        <v>7.1642999999999999</v>
      </c>
      <c r="H158" s="10">
        <f>CHOOSE(CONTROL!$C$42, 7.216, 7.216) * CHOOSE(CONTROL!$C$21, $C$9, 100%, $E$9)</f>
        <v>7.2160000000000002</v>
      </c>
      <c r="I158" s="10">
        <f>CHOOSE(CONTROL!$C$42, 7.1581, 7.1581)* CHOOSE(CONTROL!$C$21, $C$9, 100%, $E$9)</f>
        <v>7.1581000000000001</v>
      </c>
      <c r="J158" s="10">
        <f>CHOOSE(CONTROL!$C$42, 7.1388, 7.1388)* CHOOSE(CONTROL!$C$21, $C$9, 100%, $E$9)</f>
        <v>7.1387999999999998</v>
      </c>
      <c r="K158" s="10">
        <f>CHOOSE(CONTROL!$C$42, 7.1087, 7.1087) * CHOOSE(CONTROL!$C$21, $C$9, 100%, $E$9)</f>
        <v>7.1086999999999998</v>
      </c>
      <c r="L158" s="10">
        <f>CHOOSE(CONTROL!$C$42, 7.803, 7.803) * CHOOSE(CONTROL!$C$21, $C$9, 100%, $E$9)</f>
        <v>7.8029999999999999</v>
      </c>
      <c r="M158" s="10">
        <f>CHOOSE(CONTROL!$C$42, 7.0806, 7.0806) * CHOOSE(CONTROL!$C$21, $C$9, 100%, $E$9)</f>
        <v>7.0805999999999996</v>
      </c>
      <c r="N158" s="10">
        <f>CHOOSE(CONTROL!$C$42, 7.0989, 7.0989) * CHOOSE(CONTROL!$C$21, $C$9, 100%, $E$9)</f>
        <v>7.0989000000000004</v>
      </c>
      <c r="O158" s="10">
        <f>CHOOSE(CONTROL!$C$42, 7.157, 7.157) * CHOOSE(CONTROL!$C$21, $C$9, 100%, $E$9)</f>
        <v>7.157</v>
      </c>
      <c r="P158" s="10">
        <f>CHOOSE(CONTROL!$C$42, 7.0997, 7.0997) * CHOOSE(CONTROL!$C$21, $C$9, 100%, $E$9)</f>
        <v>7.0997000000000003</v>
      </c>
      <c r="Q158" s="10">
        <f>CHOOSE(CONTROL!$C$42, 7.7523, 7.7523) * CHOOSE(CONTROL!$C$21, $C$9, 100%, $E$9)</f>
        <v>7.7523</v>
      </c>
      <c r="R158" s="10">
        <f>CHOOSE(CONTROL!$C$42, 8.3587, 8.3587) * CHOOSE(CONTROL!$C$21, $C$9, 100%, $E$9)</f>
        <v>8.3587000000000007</v>
      </c>
      <c r="S158" s="10">
        <f>CHOOSE(CONTROL!$C$42, 6.9544, 6.9544) * CHOOSE(CONTROL!$C$21, $C$9, 100%, $E$9)</f>
        <v>6.9543999999999997</v>
      </c>
      <c r="T1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38">
        <f>(1000*CHOOSE(CONTROL!$C$42, 695, 695)*CHOOSE(CONTROL!$C$42, 0.5599, 0.5599)*CHOOSE(CONTROL!$C$42, 28, 28))/1000000</f>
        <v>10.895653999999999</v>
      </c>
      <c r="V158" s="38">
        <f>(1000*CHOOSE(CONTROL!$C$42, 500, 500)*CHOOSE(CONTROL!$C$42, 0.275, 0.275)*CHOOSE(CONTROL!$C$42, 28, 28))/1000000</f>
        <v>3.85</v>
      </c>
      <c r="W158" s="38">
        <f>(1000*CHOOSE(CONTROL!$C$42, 0.1146, 0.1146)*CHOOSE(CONTROL!$C$42, 121.5, 121.5)*CHOOSE(CONTROL!$C$42, 28, 28))/1000000</f>
        <v>0.38986920000000003</v>
      </c>
      <c r="X158" s="38">
        <f>(28*0.1790888*100000/1000000)+(28*0.2374*100000/1000000)</f>
        <v>1.16616864</v>
      </c>
      <c r="Y158" s="38">
        <f>(1000*600*CHOOSE(CONTROL!$C$42, 1.7242, 1.7242)*CHOOSE(CONTROL!$C$42, 28, 28))/1000000</f>
        <v>28.966560000000001</v>
      </c>
      <c r="Z158" s="38"/>
      <c r="AA158" s="10"/>
      <c r="AB158" s="39"/>
      <c r="AC158" s="33">
        <f>(B158*122.58+C158*297.941+D158*89.177+E158*40.302+F158*40+G158*160+H158*0+I158*100+J158*300)/(122.58+297.941+89.177+40.302+0+40+160+100+300)</f>
        <v>7.1618946096521743</v>
      </c>
      <c r="AD158" s="27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7.1190287769784169</v>
      </c>
    </row>
    <row r="159" spans="1:30" ht="15" x14ac:dyDescent="0.2">
      <c r="A159" s="16">
        <v>46082</v>
      </c>
      <c r="B159" s="10">
        <f>CHOOSE(CONTROL!$C$42, 6.9603, 6.9603) * CHOOSE(CONTROL!$C$21, $C$9, 100%, $E$9)</f>
        <v>6.9603000000000002</v>
      </c>
      <c r="C159" s="10">
        <f>CHOOSE(CONTROL!$C$42, 6.9652, 6.9652) * CHOOSE(CONTROL!$C$21, $C$9, 100%, $E$9)</f>
        <v>6.9652000000000003</v>
      </c>
      <c r="D159" s="10">
        <f>CHOOSE(CONTROL!$C$42, 6.9897, 6.9897) * CHOOSE(CONTROL!$C$21, $C$9, 100%, $E$9)</f>
        <v>6.9897</v>
      </c>
      <c r="E159" s="10">
        <f>CHOOSE(CONTROL!$C$42, 7.0235, 7.0235) * CHOOSE(CONTROL!$C$21, $C$9, 100%, $E$9)</f>
        <v>7.0235000000000003</v>
      </c>
      <c r="F159" s="10">
        <f>CHOOSE(CONTROL!$C$42, 6.941, 6.941)*CHOOSE(CONTROL!$C$21, $C$9, 100%, $E$9)</f>
        <v>6.9409999999999998</v>
      </c>
      <c r="G159" s="10">
        <f>CHOOSE(CONTROL!$C$42, 6.9591, 6.9591)*CHOOSE(CONTROL!$C$21, $C$9, 100%, $E$9)</f>
        <v>6.9591000000000003</v>
      </c>
      <c r="H159" s="10">
        <f>CHOOSE(CONTROL!$C$42, 7.0127, 7.0127) * CHOOSE(CONTROL!$C$21, $C$9, 100%, $E$9)</f>
        <v>7.0126999999999997</v>
      </c>
      <c r="I159" s="10">
        <f>CHOOSE(CONTROL!$C$42, 6.9548, 6.9548)* CHOOSE(CONTROL!$C$21, $C$9, 100%, $E$9)</f>
        <v>6.9547999999999996</v>
      </c>
      <c r="J159" s="10">
        <f>CHOOSE(CONTROL!$C$42, 6.934, 6.934)* CHOOSE(CONTROL!$C$21, $C$9, 100%, $E$9)</f>
        <v>6.9340000000000002</v>
      </c>
      <c r="K159" s="10">
        <f>CHOOSE(CONTROL!$C$42, 6.9079, 6.9079) * CHOOSE(CONTROL!$C$21, $C$9, 100%, $E$9)</f>
        <v>6.9078999999999997</v>
      </c>
      <c r="L159" s="10">
        <f>CHOOSE(CONTROL!$C$42, 7.5997, 7.5997) * CHOOSE(CONTROL!$C$21, $C$9, 100%, $E$9)</f>
        <v>7.5997000000000003</v>
      </c>
      <c r="M159" s="10">
        <f>CHOOSE(CONTROL!$C$42, 6.8779, 6.8779) * CHOOSE(CONTROL!$C$21, $C$9, 100%, $E$9)</f>
        <v>6.8779000000000003</v>
      </c>
      <c r="N159" s="10">
        <f>CHOOSE(CONTROL!$C$42, 6.8958, 6.8958) * CHOOSE(CONTROL!$C$21, $C$9, 100%, $E$9)</f>
        <v>6.8958000000000004</v>
      </c>
      <c r="O159" s="10">
        <f>CHOOSE(CONTROL!$C$42, 6.9557, 6.9557) * CHOOSE(CONTROL!$C$21, $C$9, 100%, $E$9)</f>
        <v>6.9557000000000002</v>
      </c>
      <c r="P159" s="10">
        <f>CHOOSE(CONTROL!$C$42, 6.8985, 6.8985) * CHOOSE(CONTROL!$C$21, $C$9, 100%, $E$9)</f>
        <v>6.8985000000000003</v>
      </c>
      <c r="Q159" s="10">
        <f>CHOOSE(CONTROL!$C$42, 7.551, 7.551) * CHOOSE(CONTROL!$C$21, $C$9, 100%, $E$9)</f>
        <v>7.5510000000000002</v>
      </c>
      <c r="R159" s="10">
        <f>CHOOSE(CONTROL!$C$42, 8.1569, 8.1569) * CHOOSE(CONTROL!$C$21, $C$9, 100%, $E$9)</f>
        <v>8.1569000000000003</v>
      </c>
      <c r="S159" s="10">
        <f>CHOOSE(CONTROL!$C$42, 6.757, 6.757) * CHOOSE(CONTROL!$C$21, $C$9, 100%, $E$9)</f>
        <v>6.7569999999999997</v>
      </c>
      <c r="T1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38">
        <f>(1000*CHOOSE(CONTROL!$C$42, 695, 695)*CHOOSE(CONTROL!$C$42, 0.5599, 0.5599)*CHOOSE(CONTROL!$C$42, 31, 31))/1000000</f>
        <v>12.063045499999998</v>
      </c>
      <c r="V159" s="38">
        <f>(1000*CHOOSE(CONTROL!$C$42, 500, 500)*CHOOSE(CONTROL!$C$42, 0.275, 0.275)*CHOOSE(CONTROL!$C$42, 31, 31))/1000000</f>
        <v>4.2625000000000002</v>
      </c>
      <c r="W159" s="38">
        <f>(1000*CHOOSE(CONTROL!$C$42, 0.1146, 0.1146)*CHOOSE(CONTROL!$C$42, 121.5, 121.5)*CHOOSE(CONTROL!$C$42, 31, 31))/1000000</f>
        <v>0.43164089999999994</v>
      </c>
      <c r="X159" s="38">
        <f>(31*0.1790888*100000/1000000)+(31*0.2374*100000/1000000)</f>
        <v>1.2911152800000001</v>
      </c>
      <c r="Y159" s="38">
        <f>(1000*600*CHOOSE(CONTROL!$C$42, 1.7242, 1.7242)*CHOOSE(CONTROL!$C$42, 31, 31))/1000000</f>
        <v>32.070120000000003</v>
      </c>
      <c r="Z159" s="38"/>
      <c r="AA159" s="10"/>
      <c r="AB159" s="39"/>
      <c r="AC159" s="33">
        <f>(B159*122.58+C159*297.941+D159*89.177+E159*40.302+F159*40+G159*160+H159*0+I159*100+J159*300)/(122.58+297.941+89.177+40.302+0+40+160+100+300)</f>
        <v>6.9578867835652174</v>
      </c>
      <c r="AD159" s="27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6.9171561151079146</v>
      </c>
    </row>
    <row r="160" spans="1:30" ht="15" x14ac:dyDescent="0.2">
      <c r="A160" s="16">
        <v>46113</v>
      </c>
      <c r="B160" s="10">
        <f>CHOOSE(CONTROL!$C$42, 6.9402, 6.9402) * CHOOSE(CONTROL!$C$21, $C$9, 100%, $E$9)</f>
        <v>6.9401999999999999</v>
      </c>
      <c r="C160" s="10">
        <f>CHOOSE(CONTROL!$C$42, 6.9446, 6.9446) * CHOOSE(CONTROL!$C$21, $C$9, 100%, $E$9)</f>
        <v>6.9446000000000003</v>
      </c>
      <c r="D160" s="10">
        <f>CHOOSE(CONTROL!$C$42, 7.1247, 7.1247) * CHOOSE(CONTROL!$C$21, $C$9, 100%, $E$9)</f>
        <v>7.1246999999999998</v>
      </c>
      <c r="E160" s="10">
        <f>CHOOSE(CONTROL!$C$42, 7.1565, 7.1565) * CHOOSE(CONTROL!$C$21, $C$9, 100%, $E$9)</f>
        <v>7.1565000000000003</v>
      </c>
      <c r="F160" s="10">
        <f>CHOOSE(CONTROL!$C$42, 6.9056, 6.9056)*CHOOSE(CONTROL!$C$21, $C$9, 100%, $E$9)</f>
        <v>6.9055999999999997</v>
      </c>
      <c r="G160" s="10">
        <f>CHOOSE(CONTROL!$C$42, 6.9218, 6.9218)*CHOOSE(CONTROL!$C$21, $C$9, 100%, $E$9)</f>
        <v>6.9218000000000002</v>
      </c>
      <c r="H160" s="10">
        <f>CHOOSE(CONTROL!$C$42, 7.1463, 7.1463) * CHOOSE(CONTROL!$C$21, $C$9, 100%, $E$9)</f>
        <v>7.1463000000000001</v>
      </c>
      <c r="I160" s="10">
        <f>CHOOSE(CONTROL!$C$42, 6.9262, 6.9262)* CHOOSE(CONTROL!$C$21, $C$9, 100%, $E$9)</f>
        <v>6.9261999999999997</v>
      </c>
      <c r="J160" s="10">
        <f>CHOOSE(CONTROL!$C$42, 6.8986, 6.8986)* CHOOSE(CONTROL!$C$21, $C$9, 100%, $E$9)</f>
        <v>6.8986000000000001</v>
      </c>
      <c r="K160" s="10">
        <f>CHOOSE(CONTROL!$C$42, 6.8651, 6.8651) * CHOOSE(CONTROL!$C$21, $C$9, 100%, $E$9)</f>
        <v>6.8651</v>
      </c>
      <c r="L160" s="10">
        <f>CHOOSE(CONTROL!$C$42, 7.7333, 7.7333) * CHOOSE(CONTROL!$C$21, $C$9, 100%, $E$9)</f>
        <v>7.7332999999999998</v>
      </c>
      <c r="M160" s="10">
        <f>CHOOSE(CONTROL!$C$42, 6.8428, 6.8428) * CHOOSE(CONTROL!$C$21, $C$9, 100%, $E$9)</f>
        <v>6.8428000000000004</v>
      </c>
      <c r="N160" s="10">
        <f>CHOOSE(CONTROL!$C$42, 6.8589, 6.8589) * CHOOSE(CONTROL!$C$21, $C$9, 100%, $E$9)</f>
        <v>6.8589000000000002</v>
      </c>
      <c r="O160" s="10">
        <f>CHOOSE(CONTROL!$C$42, 7.088, 7.088) * CHOOSE(CONTROL!$C$21, $C$9, 100%, $E$9)</f>
        <v>7.0880000000000001</v>
      </c>
      <c r="P160" s="10">
        <f>CHOOSE(CONTROL!$C$42, 6.8702, 6.8702) * CHOOSE(CONTROL!$C$21, $C$9, 100%, $E$9)</f>
        <v>6.8701999999999996</v>
      </c>
      <c r="Q160" s="10">
        <f>CHOOSE(CONTROL!$C$42, 7.6833, 7.6833) * CHOOSE(CONTROL!$C$21, $C$9, 100%, $E$9)</f>
        <v>7.6833</v>
      </c>
      <c r="R160" s="10">
        <f>CHOOSE(CONTROL!$C$42, 8.2895, 8.2895) * CHOOSE(CONTROL!$C$21, $C$9, 100%, $E$9)</f>
        <v>8.2895000000000003</v>
      </c>
      <c r="S160" s="10">
        <f>CHOOSE(CONTROL!$C$42, 6.7368, 6.7368) * CHOOSE(CONTROL!$C$21, $C$9, 100%, $E$9)</f>
        <v>6.7367999999999997</v>
      </c>
      <c r="T1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38">
        <f>(1000*CHOOSE(CONTROL!$C$42, 695, 695)*CHOOSE(CONTROL!$C$42, 0.5599, 0.5599)*CHOOSE(CONTROL!$C$42, 30, 30))/1000000</f>
        <v>11.673914999999997</v>
      </c>
      <c r="V160" s="38">
        <f>(1000*CHOOSE(CONTROL!$C$42, 500, 500)*CHOOSE(CONTROL!$C$42, 0.275, 0.275)*CHOOSE(CONTROL!$C$42, 30, 30))/1000000</f>
        <v>4.125</v>
      </c>
      <c r="W160" s="38">
        <f>(1000*CHOOSE(CONTROL!$C$42, 0.1146, 0.1146)*CHOOSE(CONTROL!$C$42, 121.5, 121.5)*CHOOSE(CONTROL!$C$42, 30, 30))/1000000</f>
        <v>0.417717</v>
      </c>
      <c r="X160" s="38">
        <f>(30*0.1790888*245000/1000000)+(30*0.2374*100000/1000000)</f>
        <v>2.0285026799999999</v>
      </c>
      <c r="Y160" s="38">
        <f>(1000*600*CHOOSE(CONTROL!$C$42, 1.7242, 1.7242)*CHOOSE(CONTROL!$C$42, 30, 30))/1000000</f>
        <v>31.035599999999999</v>
      </c>
      <c r="Z160" s="38"/>
      <c r="AA160" s="10"/>
      <c r="AB160" s="39"/>
      <c r="AC160" s="33">
        <f>(B160*141.293+C160*267.993+D160*115.016+E160*89.698+F160*40+G160*185+H160*0+I160*100+J160*300)/(141.293+267.993+115.016+89.698+0+40+185+100+300)</f>
        <v>6.958870943179984</v>
      </c>
      <c r="AD160" s="27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6.9192460431654679</v>
      </c>
    </row>
    <row r="161" spans="1:30" ht="15" x14ac:dyDescent="0.2">
      <c r="A161" s="16">
        <v>46143</v>
      </c>
      <c r="B161" s="10">
        <f>CHOOSE(CONTROL!$C$42, 7.0032, 7.0032) * CHOOSE(CONTROL!$C$21, $C$9, 100%, $E$9)</f>
        <v>7.0031999999999996</v>
      </c>
      <c r="C161" s="10">
        <f>CHOOSE(CONTROL!$C$42, 7.0112, 7.0112) * CHOOSE(CONTROL!$C$21, $C$9, 100%, $E$9)</f>
        <v>7.0111999999999997</v>
      </c>
      <c r="D161" s="10">
        <f>CHOOSE(CONTROL!$C$42, 7.1881, 7.1881) * CHOOSE(CONTROL!$C$21, $C$9, 100%, $E$9)</f>
        <v>7.1881000000000004</v>
      </c>
      <c r="E161" s="10">
        <f>CHOOSE(CONTROL!$C$42, 7.2193, 7.2193) * CHOOSE(CONTROL!$C$21, $C$9, 100%, $E$9)</f>
        <v>7.2192999999999996</v>
      </c>
      <c r="F161" s="10">
        <f>CHOOSE(CONTROL!$C$42, 6.9666, 6.9666)*CHOOSE(CONTROL!$C$21, $C$9, 100%, $E$9)</f>
        <v>6.9665999999999997</v>
      </c>
      <c r="G161" s="10">
        <f>CHOOSE(CONTROL!$C$42, 6.9831, 6.9831)*CHOOSE(CONTROL!$C$21, $C$9, 100%, $E$9)</f>
        <v>6.9831000000000003</v>
      </c>
      <c r="H161" s="10">
        <f>CHOOSE(CONTROL!$C$42, 7.2079, 7.2079) * CHOOSE(CONTROL!$C$21, $C$9, 100%, $E$9)</f>
        <v>7.2079000000000004</v>
      </c>
      <c r="I161" s="10">
        <f>CHOOSE(CONTROL!$C$42, 6.9878, 6.9878)* CHOOSE(CONTROL!$C$21, $C$9, 100%, $E$9)</f>
        <v>6.9878</v>
      </c>
      <c r="J161" s="10">
        <f>CHOOSE(CONTROL!$C$42, 6.9596, 6.9596)* CHOOSE(CONTROL!$C$21, $C$9, 100%, $E$9)</f>
        <v>6.9596</v>
      </c>
      <c r="K161" s="10">
        <f>CHOOSE(CONTROL!$C$42, 6.9237, 6.9237) * CHOOSE(CONTROL!$C$21, $C$9, 100%, $E$9)</f>
        <v>6.9237000000000002</v>
      </c>
      <c r="L161" s="10">
        <f>CHOOSE(CONTROL!$C$42, 7.7949, 7.7949) * CHOOSE(CONTROL!$C$21, $C$9, 100%, $E$9)</f>
        <v>7.7949000000000002</v>
      </c>
      <c r="M161" s="10">
        <f>CHOOSE(CONTROL!$C$42, 6.9032, 6.9032) * CHOOSE(CONTROL!$C$21, $C$9, 100%, $E$9)</f>
        <v>6.9032</v>
      </c>
      <c r="N161" s="10">
        <f>CHOOSE(CONTROL!$C$42, 6.9195, 6.9195) * CHOOSE(CONTROL!$C$21, $C$9, 100%, $E$9)</f>
        <v>6.9195000000000002</v>
      </c>
      <c r="O161" s="10">
        <f>CHOOSE(CONTROL!$C$42, 7.149, 7.149) * CHOOSE(CONTROL!$C$21, $C$9, 100%, $E$9)</f>
        <v>7.149</v>
      </c>
      <c r="P161" s="10">
        <f>CHOOSE(CONTROL!$C$42, 6.9312, 6.9312) * CHOOSE(CONTROL!$C$21, $C$9, 100%, $E$9)</f>
        <v>6.9311999999999996</v>
      </c>
      <c r="Q161" s="10">
        <f>CHOOSE(CONTROL!$C$42, 7.7443, 7.7443) * CHOOSE(CONTROL!$C$21, $C$9, 100%, $E$9)</f>
        <v>7.7443</v>
      </c>
      <c r="R161" s="10">
        <f>CHOOSE(CONTROL!$C$42, 8.3507, 8.3507) * CHOOSE(CONTROL!$C$21, $C$9, 100%, $E$9)</f>
        <v>8.3506999999999998</v>
      </c>
      <c r="S161" s="10">
        <f>CHOOSE(CONTROL!$C$42, 6.7966, 6.7966) * CHOOSE(CONTROL!$C$21, $C$9, 100%, $E$9)</f>
        <v>6.7965999999999998</v>
      </c>
      <c r="T1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38">
        <f>(1000*CHOOSE(CONTROL!$C$42, 695, 695)*CHOOSE(CONTROL!$C$42, 0.5599, 0.5599)*CHOOSE(CONTROL!$C$42, 31, 31))/1000000</f>
        <v>12.063045499999998</v>
      </c>
      <c r="V161" s="38">
        <f>(1000*CHOOSE(CONTROL!$C$42, 500, 500)*CHOOSE(CONTROL!$C$42, 0.275, 0.275)*CHOOSE(CONTROL!$C$42, 31, 31))/1000000</f>
        <v>4.2625000000000002</v>
      </c>
      <c r="W161" s="38">
        <f>(1000*CHOOSE(CONTROL!$C$42, 0.1146, 0.1146)*CHOOSE(CONTROL!$C$42, 121.5, 121.5)*CHOOSE(CONTROL!$C$42, 31, 31))/1000000</f>
        <v>0.43164089999999994</v>
      </c>
      <c r="X161" s="38">
        <f>(31*0.1790888*245000/1000000)+(31*0.2374*100000/1000000)</f>
        <v>2.0961194359999999</v>
      </c>
      <c r="Y161" s="38">
        <f>(1000*600*CHOOSE(CONTROL!$C$42, 1.7242, 1.7242)*CHOOSE(CONTROL!$C$42, 31, 31))/1000000</f>
        <v>32.070120000000003</v>
      </c>
      <c r="Z161" s="38"/>
      <c r="AA161" s="10"/>
      <c r="AB161" s="39"/>
      <c r="AC161" s="33">
        <f>(B161*194.205+C161*267.466+D161*133.845+E161*53.484+F161*40+G161*185+H161*0+I161*100+J161*300)/(194.205+267.466+133.845+53.484+0+40+185+100+300)</f>
        <v>7.0178334857927789</v>
      </c>
      <c r="AD161" s="27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6.9799467625899281</v>
      </c>
    </row>
    <row r="162" spans="1:30" ht="15" x14ac:dyDescent="0.2">
      <c r="A162" s="16">
        <v>46174</v>
      </c>
      <c r="B162" s="10">
        <f>CHOOSE(CONTROL!$C$42, 7.2017, 7.2017) * CHOOSE(CONTROL!$C$21, $C$9, 100%, $E$9)</f>
        <v>7.2016999999999998</v>
      </c>
      <c r="C162" s="10">
        <f>CHOOSE(CONTROL!$C$42, 7.2097, 7.2097) * CHOOSE(CONTROL!$C$21, $C$9, 100%, $E$9)</f>
        <v>7.2096999999999998</v>
      </c>
      <c r="D162" s="10">
        <f>CHOOSE(CONTROL!$C$42, 7.3866, 7.3866) * CHOOSE(CONTROL!$C$21, $C$9, 100%, $E$9)</f>
        <v>7.3865999999999996</v>
      </c>
      <c r="E162" s="10">
        <f>CHOOSE(CONTROL!$C$42, 7.4178, 7.4178) * CHOOSE(CONTROL!$C$21, $C$9, 100%, $E$9)</f>
        <v>7.4177999999999997</v>
      </c>
      <c r="F162" s="10">
        <f>CHOOSE(CONTROL!$C$42, 7.1653, 7.1653)*CHOOSE(CONTROL!$C$21, $C$9, 100%, $E$9)</f>
        <v>7.1653000000000002</v>
      </c>
      <c r="G162" s="10">
        <f>CHOOSE(CONTROL!$C$42, 7.1818, 7.1818)*CHOOSE(CONTROL!$C$21, $C$9, 100%, $E$9)</f>
        <v>7.1818</v>
      </c>
      <c r="H162" s="10">
        <f>CHOOSE(CONTROL!$C$42, 7.4064, 7.4064) * CHOOSE(CONTROL!$C$21, $C$9, 100%, $E$9)</f>
        <v>7.4063999999999997</v>
      </c>
      <c r="I162" s="10">
        <f>CHOOSE(CONTROL!$C$42, 7.1863, 7.1863)* CHOOSE(CONTROL!$C$21, $C$9, 100%, $E$9)</f>
        <v>7.1863000000000001</v>
      </c>
      <c r="J162" s="10">
        <f>CHOOSE(CONTROL!$C$42, 7.1583, 7.1583)* CHOOSE(CONTROL!$C$21, $C$9, 100%, $E$9)</f>
        <v>7.1582999999999997</v>
      </c>
      <c r="K162" s="10">
        <f>CHOOSE(CONTROL!$C$42, 7.117, 7.117) * CHOOSE(CONTROL!$C$21, $C$9, 100%, $E$9)</f>
        <v>7.117</v>
      </c>
      <c r="L162" s="10">
        <f>CHOOSE(CONTROL!$C$42, 7.9934, 7.9934) * CHOOSE(CONTROL!$C$21, $C$9, 100%, $E$9)</f>
        <v>7.9934000000000003</v>
      </c>
      <c r="M162" s="10">
        <f>CHOOSE(CONTROL!$C$42, 7.0999, 7.0999) * CHOOSE(CONTROL!$C$21, $C$9, 100%, $E$9)</f>
        <v>7.0998999999999999</v>
      </c>
      <c r="N162" s="10">
        <f>CHOOSE(CONTROL!$C$42, 7.1162, 7.1162) * CHOOSE(CONTROL!$C$21, $C$9, 100%, $E$9)</f>
        <v>7.1162000000000001</v>
      </c>
      <c r="O162" s="10">
        <f>CHOOSE(CONTROL!$C$42, 7.3455, 7.3455) * CHOOSE(CONTROL!$C$21, $C$9, 100%, $E$9)</f>
        <v>7.3455000000000004</v>
      </c>
      <c r="P162" s="10">
        <f>CHOOSE(CONTROL!$C$42, 7.1277, 7.1277) * CHOOSE(CONTROL!$C$21, $C$9, 100%, $E$9)</f>
        <v>7.1276999999999999</v>
      </c>
      <c r="Q162" s="10">
        <f>CHOOSE(CONTROL!$C$42, 7.9408, 7.9408) * CHOOSE(CONTROL!$C$21, $C$9, 100%, $E$9)</f>
        <v>7.9408000000000003</v>
      </c>
      <c r="R162" s="10">
        <f>CHOOSE(CONTROL!$C$42, 8.5477, 8.5477) * CHOOSE(CONTROL!$C$21, $C$9, 100%, $E$9)</f>
        <v>8.5477000000000007</v>
      </c>
      <c r="S162" s="10">
        <f>CHOOSE(CONTROL!$C$42, 6.9894, 6.9894) * CHOOSE(CONTROL!$C$21, $C$9, 100%, $E$9)</f>
        <v>6.9893999999999998</v>
      </c>
      <c r="T1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38">
        <f>(1000*CHOOSE(CONTROL!$C$42, 695, 695)*CHOOSE(CONTROL!$C$42, 0.5599, 0.5599)*CHOOSE(CONTROL!$C$42, 30, 30))/1000000</f>
        <v>11.673914999999997</v>
      </c>
      <c r="V162" s="38">
        <f>(1000*CHOOSE(CONTROL!$C$42, 500, 500)*CHOOSE(CONTROL!$C$42, 0.275, 0.275)*CHOOSE(CONTROL!$C$42, 30, 30))/1000000</f>
        <v>4.125</v>
      </c>
      <c r="W162" s="38">
        <f>(1000*CHOOSE(CONTROL!$C$42, 0.1146, 0.1146)*CHOOSE(CONTROL!$C$42, 121.5, 121.5)*CHOOSE(CONTROL!$C$42, 30, 30))/1000000</f>
        <v>0.417717</v>
      </c>
      <c r="X162" s="38">
        <f>(30*0.1790888*245000/1000000)+(30*0.2374*100000/1000000)</f>
        <v>2.0285026799999999</v>
      </c>
      <c r="Y162" s="38">
        <f>(1000*600*CHOOSE(CONTROL!$C$42, 1.7242, 1.7242)*CHOOSE(CONTROL!$C$42, 30, 30))/1000000</f>
        <v>31.035599999999999</v>
      </c>
      <c r="Z162" s="38"/>
      <c r="AA162" s="10"/>
      <c r="AB162" s="39"/>
      <c r="AC162" s="33">
        <f>(B162*194.205+C162*267.466+D162*133.845+E162*53.484+F162*40+G162*185+H162*0+I162*100+J162*300)/(194.205+267.466+133.845+53.484+0+40+185+100+300)</f>
        <v>7.2164159033751956</v>
      </c>
      <c r="AD162" s="27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7.1765618705035985</v>
      </c>
    </row>
    <row r="163" spans="1:30" ht="15" x14ac:dyDescent="0.2">
      <c r="A163" s="16">
        <v>46204</v>
      </c>
      <c r="B163" s="10">
        <f>CHOOSE(CONTROL!$C$42, 7.0637, 7.0637) * CHOOSE(CONTROL!$C$21, $C$9, 100%, $E$9)</f>
        <v>7.0636999999999999</v>
      </c>
      <c r="C163" s="10">
        <f>CHOOSE(CONTROL!$C$42, 7.0716, 7.0716) * CHOOSE(CONTROL!$C$21, $C$9, 100%, $E$9)</f>
        <v>7.0716000000000001</v>
      </c>
      <c r="D163" s="10">
        <f>CHOOSE(CONTROL!$C$42, 7.2486, 7.2486) * CHOOSE(CONTROL!$C$21, $C$9, 100%, $E$9)</f>
        <v>7.2485999999999997</v>
      </c>
      <c r="E163" s="10">
        <f>CHOOSE(CONTROL!$C$42, 7.2797, 7.2797) * CHOOSE(CONTROL!$C$21, $C$9, 100%, $E$9)</f>
        <v>7.2797000000000001</v>
      </c>
      <c r="F163" s="10">
        <f>CHOOSE(CONTROL!$C$42, 7.0275, 7.0275)*CHOOSE(CONTROL!$C$21, $C$9, 100%, $E$9)</f>
        <v>7.0274999999999999</v>
      </c>
      <c r="G163" s="10">
        <f>CHOOSE(CONTROL!$C$42, 7.0441, 7.0441)*CHOOSE(CONTROL!$C$21, $C$9, 100%, $E$9)</f>
        <v>7.0441000000000003</v>
      </c>
      <c r="H163" s="10">
        <f>CHOOSE(CONTROL!$C$42, 7.2684, 7.2684) * CHOOSE(CONTROL!$C$21, $C$9, 100%, $E$9)</f>
        <v>7.2683999999999997</v>
      </c>
      <c r="I163" s="10">
        <f>CHOOSE(CONTROL!$C$42, 7.0483, 7.0483)* CHOOSE(CONTROL!$C$21, $C$9, 100%, $E$9)</f>
        <v>7.0483000000000002</v>
      </c>
      <c r="J163" s="10">
        <f>CHOOSE(CONTROL!$C$42, 7.0205, 7.0205)* CHOOSE(CONTROL!$C$21, $C$9, 100%, $E$9)</f>
        <v>7.0205000000000002</v>
      </c>
      <c r="K163" s="10">
        <f>CHOOSE(CONTROL!$C$42, 6.9834, 6.9834) * CHOOSE(CONTROL!$C$21, $C$9, 100%, $E$9)</f>
        <v>6.9833999999999996</v>
      </c>
      <c r="L163" s="10">
        <f>CHOOSE(CONTROL!$C$42, 7.8554, 7.8554) * CHOOSE(CONTROL!$C$21, $C$9, 100%, $E$9)</f>
        <v>7.8554000000000004</v>
      </c>
      <c r="M163" s="10">
        <f>CHOOSE(CONTROL!$C$42, 6.9634, 6.9634) * CHOOSE(CONTROL!$C$21, $C$9, 100%, $E$9)</f>
        <v>6.9634</v>
      </c>
      <c r="N163" s="10">
        <f>CHOOSE(CONTROL!$C$42, 6.9799, 6.9799) * CHOOSE(CONTROL!$C$21, $C$9, 100%, $E$9)</f>
        <v>6.9798999999999998</v>
      </c>
      <c r="O163" s="10">
        <f>CHOOSE(CONTROL!$C$42, 7.2088, 7.2088) * CHOOSE(CONTROL!$C$21, $C$9, 100%, $E$9)</f>
        <v>7.2088000000000001</v>
      </c>
      <c r="P163" s="10">
        <f>CHOOSE(CONTROL!$C$42, 6.991, 6.991) * CHOOSE(CONTROL!$C$21, $C$9, 100%, $E$9)</f>
        <v>6.9909999999999997</v>
      </c>
      <c r="Q163" s="10">
        <f>CHOOSE(CONTROL!$C$42, 7.8041, 7.8041) * CHOOSE(CONTROL!$C$21, $C$9, 100%, $E$9)</f>
        <v>7.8041</v>
      </c>
      <c r="R163" s="10">
        <f>CHOOSE(CONTROL!$C$42, 8.4106, 8.4106) * CHOOSE(CONTROL!$C$21, $C$9, 100%, $E$9)</f>
        <v>8.4106000000000005</v>
      </c>
      <c r="S163" s="10">
        <f>CHOOSE(CONTROL!$C$42, 6.8553, 6.8553) * CHOOSE(CONTROL!$C$21, $C$9, 100%, $E$9)</f>
        <v>6.8552999999999997</v>
      </c>
      <c r="T1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38">
        <f>(1000*CHOOSE(CONTROL!$C$42, 695, 695)*CHOOSE(CONTROL!$C$42, 0.5599, 0.5599)*CHOOSE(CONTROL!$C$42, 31, 31))/1000000</f>
        <v>12.063045499999998</v>
      </c>
      <c r="V163" s="38">
        <f>(1000*CHOOSE(CONTROL!$C$42, 500, 500)*CHOOSE(CONTROL!$C$42, 0.275, 0.275)*CHOOSE(CONTROL!$C$42, 31, 31))/1000000</f>
        <v>4.2625000000000002</v>
      </c>
      <c r="W163" s="38">
        <f>(1000*CHOOSE(CONTROL!$C$42, 0.1146, 0.1146)*CHOOSE(CONTROL!$C$42, 121.5, 121.5)*CHOOSE(CONTROL!$C$42, 31, 31))/1000000</f>
        <v>0.43164089999999994</v>
      </c>
      <c r="X163" s="38">
        <f>(31*0.1790888*245000/1000000)+(31*0.2374*100000/1000000)</f>
        <v>2.0961194359999999</v>
      </c>
      <c r="Y163" s="38">
        <f>(1000*600*CHOOSE(CONTROL!$C$42, 1.7242, 1.7242)*CHOOSE(CONTROL!$C$42, 31, 31))/1000000</f>
        <v>32.070120000000003</v>
      </c>
      <c r="Z163" s="38"/>
      <c r="AA163" s="10"/>
      <c r="AB163" s="39"/>
      <c r="AC163" s="33">
        <f>(B163*194.205+C163*267.466+D163*133.845+E163*53.484+F163*40+G163*185+H163*0+I163*100+J163*300)/(194.205+267.466+133.845+53.484+0+40+185+100+300)</f>
        <v>7.0784876498430149</v>
      </c>
      <c r="AD163" s="27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7.0400230215827344</v>
      </c>
    </row>
    <row r="164" spans="1:30" ht="15" x14ac:dyDescent="0.2">
      <c r="A164" s="16">
        <v>46235</v>
      </c>
      <c r="B164" s="10">
        <f>CHOOSE(CONTROL!$C$42, 6.715, 6.715) * CHOOSE(CONTROL!$C$21, $C$9, 100%, $E$9)</f>
        <v>6.7149999999999999</v>
      </c>
      <c r="C164" s="10">
        <f>CHOOSE(CONTROL!$C$42, 6.723, 6.723) * CHOOSE(CONTROL!$C$21, $C$9, 100%, $E$9)</f>
        <v>6.7229999999999999</v>
      </c>
      <c r="D164" s="10">
        <f>CHOOSE(CONTROL!$C$42, 6.9, 6.9) * CHOOSE(CONTROL!$C$21, $C$9, 100%, $E$9)</f>
        <v>6.9</v>
      </c>
      <c r="E164" s="10">
        <f>CHOOSE(CONTROL!$C$42, 6.9311, 6.9311) * CHOOSE(CONTROL!$C$21, $C$9, 100%, $E$9)</f>
        <v>6.9310999999999998</v>
      </c>
      <c r="F164" s="10">
        <f>CHOOSE(CONTROL!$C$42, 6.6789, 6.6789)*CHOOSE(CONTROL!$C$21, $C$9, 100%, $E$9)</f>
        <v>6.6788999999999996</v>
      </c>
      <c r="G164" s="10">
        <f>CHOOSE(CONTROL!$C$42, 6.6955, 6.6955)*CHOOSE(CONTROL!$C$21, $C$9, 100%, $E$9)</f>
        <v>6.6955</v>
      </c>
      <c r="H164" s="10">
        <f>CHOOSE(CONTROL!$C$42, 6.9197, 6.9197) * CHOOSE(CONTROL!$C$21, $C$9, 100%, $E$9)</f>
        <v>6.9196999999999997</v>
      </c>
      <c r="I164" s="10">
        <f>CHOOSE(CONTROL!$C$42, 6.6996, 6.6996)* CHOOSE(CONTROL!$C$21, $C$9, 100%, $E$9)</f>
        <v>6.6996000000000002</v>
      </c>
      <c r="J164" s="10">
        <f>CHOOSE(CONTROL!$C$42, 6.6719, 6.6719)* CHOOSE(CONTROL!$C$21, $C$9, 100%, $E$9)</f>
        <v>6.6718999999999999</v>
      </c>
      <c r="K164" s="10">
        <f>CHOOSE(CONTROL!$C$42, 6.6448, 6.6448) * CHOOSE(CONTROL!$C$21, $C$9, 100%, $E$9)</f>
        <v>6.6448</v>
      </c>
      <c r="L164" s="10">
        <f>CHOOSE(CONTROL!$C$42, 7.5067, 7.5067) * CHOOSE(CONTROL!$C$21, $C$9, 100%, $E$9)</f>
        <v>7.5067000000000004</v>
      </c>
      <c r="M164" s="10">
        <f>CHOOSE(CONTROL!$C$42, 6.6184, 6.6184) * CHOOSE(CONTROL!$C$21, $C$9, 100%, $E$9)</f>
        <v>6.6184000000000003</v>
      </c>
      <c r="N164" s="10">
        <f>CHOOSE(CONTROL!$C$42, 6.6348, 6.6348) * CHOOSE(CONTROL!$C$21, $C$9, 100%, $E$9)</f>
        <v>6.6348000000000003</v>
      </c>
      <c r="O164" s="10">
        <f>CHOOSE(CONTROL!$C$42, 6.8637, 6.8637) * CHOOSE(CONTROL!$C$21, $C$9, 100%, $E$9)</f>
        <v>6.8636999999999997</v>
      </c>
      <c r="P164" s="10">
        <f>CHOOSE(CONTROL!$C$42, 6.6459, 6.6459) * CHOOSE(CONTROL!$C$21, $C$9, 100%, $E$9)</f>
        <v>6.6459000000000001</v>
      </c>
      <c r="Q164" s="10">
        <f>CHOOSE(CONTROL!$C$42, 7.459, 7.459) * CHOOSE(CONTROL!$C$21, $C$9, 100%, $E$9)</f>
        <v>7.4589999999999996</v>
      </c>
      <c r="R164" s="10">
        <f>CHOOSE(CONTROL!$C$42, 8.0647, 8.0647) * CHOOSE(CONTROL!$C$21, $C$9, 100%, $E$9)</f>
        <v>8.0647000000000002</v>
      </c>
      <c r="S164" s="10">
        <f>CHOOSE(CONTROL!$C$42, 6.5167, 6.5167) * CHOOSE(CONTROL!$C$21, $C$9, 100%, $E$9)</f>
        <v>6.5167000000000002</v>
      </c>
      <c r="T1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38">
        <f>(1000*CHOOSE(CONTROL!$C$42, 695, 695)*CHOOSE(CONTROL!$C$42, 0.5599, 0.5599)*CHOOSE(CONTROL!$C$42, 31, 31))/1000000</f>
        <v>12.063045499999998</v>
      </c>
      <c r="V164" s="38">
        <f>(1000*CHOOSE(CONTROL!$C$42, 500, 500)*CHOOSE(CONTROL!$C$42, 0.275, 0.275)*CHOOSE(CONTROL!$C$42, 31, 31))/1000000</f>
        <v>4.2625000000000002</v>
      </c>
      <c r="W164" s="38">
        <f>(1000*CHOOSE(CONTROL!$C$42, 0.1146, 0.1146)*CHOOSE(CONTROL!$C$42, 121.5, 121.5)*CHOOSE(CONTROL!$C$42, 31, 31))/1000000</f>
        <v>0.43164089999999994</v>
      </c>
      <c r="X164" s="38">
        <f>(31*0.1790888*245000/1000000)+(31*0.2374*100000/1000000)</f>
        <v>2.0961194359999999</v>
      </c>
      <c r="Y164" s="38">
        <f>(1000*600*CHOOSE(CONTROL!$C$42, 1.7242, 1.7242)*CHOOSE(CONTROL!$C$42, 31, 31))/1000000</f>
        <v>32.070120000000003</v>
      </c>
      <c r="Z164" s="38"/>
      <c r="AA164" s="10"/>
      <c r="AB164" s="39"/>
      <c r="AC164" s="33">
        <f>(B164*194.205+C164*267.466+D164*133.845+E164*53.484+F164*40+G164*185+H164*0+I164*100+J164*300)/(194.205+267.466+133.845+53.484+0+40+185+100+300)</f>
        <v>6.7298645568288862</v>
      </c>
      <c r="AD164" s="27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6.6949575539568347</v>
      </c>
    </row>
    <row r="165" spans="1:30" ht="15" x14ac:dyDescent="0.2">
      <c r="A165" s="16">
        <v>46266</v>
      </c>
      <c r="B165" s="10">
        <f>CHOOSE(CONTROL!$C$42, 6.2891, 6.2891) * CHOOSE(CONTROL!$C$21, $C$9, 100%, $E$9)</f>
        <v>6.2891000000000004</v>
      </c>
      <c r="C165" s="10">
        <f>CHOOSE(CONTROL!$C$42, 6.297, 6.297) * CHOOSE(CONTROL!$C$21, $C$9, 100%, $E$9)</f>
        <v>6.2969999999999997</v>
      </c>
      <c r="D165" s="10">
        <f>CHOOSE(CONTROL!$C$42, 6.474, 6.474) * CHOOSE(CONTROL!$C$21, $C$9, 100%, $E$9)</f>
        <v>6.4740000000000002</v>
      </c>
      <c r="E165" s="10">
        <f>CHOOSE(CONTROL!$C$42, 6.5051, 6.5051) * CHOOSE(CONTROL!$C$21, $C$9, 100%, $E$9)</f>
        <v>6.5050999999999997</v>
      </c>
      <c r="F165" s="10">
        <f>CHOOSE(CONTROL!$C$42, 6.2527, 6.2527)*CHOOSE(CONTROL!$C$21, $C$9, 100%, $E$9)</f>
        <v>6.2526999999999999</v>
      </c>
      <c r="G165" s="10">
        <f>CHOOSE(CONTROL!$C$42, 6.2692, 6.2692)*CHOOSE(CONTROL!$C$21, $C$9, 100%, $E$9)</f>
        <v>6.2691999999999997</v>
      </c>
      <c r="H165" s="10">
        <f>CHOOSE(CONTROL!$C$42, 6.4938, 6.4938) * CHOOSE(CONTROL!$C$21, $C$9, 100%, $E$9)</f>
        <v>6.4938000000000002</v>
      </c>
      <c r="I165" s="10">
        <f>CHOOSE(CONTROL!$C$42, 6.2737, 6.2737)* CHOOSE(CONTROL!$C$21, $C$9, 100%, $E$9)</f>
        <v>6.2736999999999998</v>
      </c>
      <c r="J165" s="10">
        <f>CHOOSE(CONTROL!$C$42, 6.2457, 6.2457)* CHOOSE(CONTROL!$C$21, $C$9, 100%, $E$9)</f>
        <v>6.2457000000000003</v>
      </c>
      <c r="K165" s="10">
        <f>CHOOSE(CONTROL!$C$42, 6.2304, 6.2304) * CHOOSE(CONTROL!$C$21, $C$9, 100%, $E$9)</f>
        <v>6.2304000000000004</v>
      </c>
      <c r="L165" s="10">
        <f>CHOOSE(CONTROL!$C$42, 7.0808, 7.0808) * CHOOSE(CONTROL!$C$21, $C$9, 100%, $E$9)</f>
        <v>7.0808</v>
      </c>
      <c r="M165" s="10">
        <f>CHOOSE(CONTROL!$C$42, 6.1965, 6.1965) * CHOOSE(CONTROL!$C$21, $C$9, 100%, $E$9)</f>
        <v>6.1965000000000003</v>
      </c>
      <c r="N165" s="10">
        <f>CHOOSE(CONTROL!$C$42, 6.2128, 6.2128) * CHOOSE(CONTROL!$C$21, $C$9, 100%, $E$9)</f>
        <v>6.2127999999999997</v>
      </c>
      <c r="O165" s="10">
        <f>CHOOSE(CONTROL!$C$42, 6.442, 6.442) * CHOOSE(CONTROL!$C$21, $C$9, 100%, $E$9)</f>
        <v>6.4420000000000002</v>
      </c>
      <c r="P165" s="10">
        <f>CHOOSE(CONTROL!$C$42, 6.2242, 6.2242) * CHOOSE(CONTROL!$C$21, $C$9, 100%, $E$9)</f>
        <v>6.2241999999999997</v>
      </c>
      <c r="Q165" s="10">
        <f>CHOOSE(CONTROL!$C$42, 7.0373, 7.0373) * CHOOSE(CONTROL!$C$21, $C$9, 100%, $E$9)</f>
        <v>7.0373000000000001</v>
      </c>
      <c r="R165" s="10">
        <f>CHOOSE(CONTROL!$C$42, 7.6419, 7.6419) * CHOOSE(CONTROL!$C$21, $C$9, 100%, $E$9)</f>
        <v>7.6418999999999997</v>
      </c>
      <c r="S165" s="10">
        <f>CHOOSE(CONTROL!$C$42, 6.1031, 6.1031) * CHOOSE(CONTROL!$C$21, $C$9, 100%, $E$9)</f>
        <v>6.1031000000000004</v>
      </c>
      <c r="T1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38">
        <f>(1000*CHOOSE(CONTROL!$C$42, 695, 695)*CHOOSE(CONTROL!$C$42, 0.5599, 0.5599)*CHOOSE(CONTROL!$C$42, 30, 30))/1000000</f>
        <v>11.673914999999997</v>
      </c>
      <c r="V165" s="38">
        <f>(1000*CHOOSE(CONTROL!$C$42, 500, 500)*CHOOSE(CONTROL!$C$42, 0.275, 0.275)*CHOOSE(CONTROL!$C$42, 30, 30))/1000000</f>
        <v>4.125</v>
      </c>
      <c r="W165" s="38">
        <f>(1000*CHOOSE(CONTROL!$C$42, 0.1146, 0.1146)*CHOOSE(CONTROL!$C$42, 121.5, 121.5)*CHOOSE(CONTROL!$C$42, 30, 30))/1000000</f>
        <v>0.417717</v>
      </c>
      <c r="X165" s="38">
        <f>(30*0.1790888*245000/1000000)+(30*0.2374*100000/1000000)</f>
        <v>2.0285026799999999</v>
      </c>
      <c r="Y165" s="38">
        <f>(1000*600*CHOOSE(CONTROL!$C$42, 1.7242, 1.7242)*CHOOSE(CONTROL!$C$42, 30, 30))/1000000</f>
        <v>31.035599999999999</v>
      </c>
      <c r="Z165" s="38"/>
      <c r="AA165" s="10"/>
      <c r="AB165" s="39"/>
      <c r="AC165" s="33">
        <f>(B165*194.205+C165*267.466+D165*133.845+E165*53.484+F165*40+G165*185+H165*0+I165*100+J165*300)/(194.205+267.466+133.845+53.484+0+40+185+100+300)</f>
        <v>6.3037907110675038</v>
      </c>
      <c r="AD165" s="27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6.2731194244604316</v>
      </c>
    </row>
    <row r="166" spans="1:30" ht="15" x14ac:dyDescent="0.2">
      <c r="A166" s="16">
        <v>46296</v>
      </c>
      <c r="B166" s="10">
        <f>CHOOSE(CONTROL!$C$42, 6.1593, 6.1593) * CHOOSE(CONTROL!$C$21, $C$9, 100%, $E$9)</f>
        <v>6.1593</v>
      </c>
      <c r="C166" s="10">
        <f>CHOOSE(CONTROL!$C$42, 6.1646, 6.1646) * CHOOSE(CONTROL!$C$21, $C$9, 100%, $E$9)</f>
        <v>6.1646000000000001</v>
      </c>
      <c r="D166" s="10">
        <f>CHOOSE(CONTROL!$C$42, 6.3465, 6.3465) * CHOOSE(CONTROL!$C$21, $C$9, 100%, $E$9)</f>
        <v>6.3464999999999998</v>
      </c>
      <c r="E166" s="10">
        <f>CHOOSE(CONTROL!$C$42, 6.3753, 6.3753) * CHOOSE(CONTROL!$C$21, $C$9, 100%, $E$9)</f>
        <v>6.3753000000000002</v>
      </c>
      <c r="F166" s="10">
        <f>CHOOSE(CONTROL!$C$42, 6.125, 6.125)*CHOOSE(CONTROL!$C$21, $C$9, 100%, $E$9)</f>
        <v>6.125</v>
      </c>
      <c r="G166" s="10">
        <f>CHOOSE(CONTROL!$C$42, 6.1412, 6.1412)*CHOOSE(CONTROL!$C$21, $C$9, 100%, $E$9)</f>
        <v>6.1412000000000004</v>
      </c>
      <c r="H166" s="10">
        <f>CHOOSE(CONTROL!$C$42, 6.3658, 6.3658) * CHOOSE(CONTROL!$C$21, $C$9, 100%, $E$9)</f>
        <v>6.3658000000000001</v>
      </c>
      <c r="I166" s="10">
        <f>CHOOSE(CONTROL!$C$42, 6.1457, 6.1457)* CHOOSE(CONTROL!$C$21, $C$9, 100%, $E$9)</f>
        <v>6.1456999999999997</v>
      </c>
      <c r="J166" s="10">
        <f>CHOOSE(CONTROL!$C$42, 6.118, 6.118)* CHOOSE(CONTROL!$C$21, $C$9, 100%, $E$9)</f>
        <v>6.1180000000000003</v>
      </c>
      <c r="K166" s="10">
        <f>CHOOSE(CONTROL!$C$42, 6.1066, 6.1066) * CHOOSE(CONTROL!$C$21, $C$9, 100%, $E$9)</f>
        <v>6.1066000000000003</v>
      </c>
      <c r="L166" s="10">
        <f>CHOOSE(CONTROL!$C$42, 6.9528, 6.9528) * CHOOSE(CONTROL!$C$21, $C$9, 100%, $E$9)</f>
        <v>6.9527999999999999</v>
      </c>
      <c r="M166" s="10">
        <f>CHOOSE(CONTROL!$C$42, 6.07, 6.07) * CHOOSE(CONTROL!$C$21, $C$9, 100%, $E$9)</f>
        <v>6.07</v>
      </c>
      <c r="N166" s="10">
        <f>CHOOSE(CONTROL!$C$42, 6.0861, 6.0861) * CHOOSE(CONTROL!$C$21, $C$9, 100%, $E$9)</f>
        <v>6.0861000000000001</v>
      </c>
      <c r="O166" s="10">
        <f>CHOOSE(CONTROL!$C$42, 6.3154, 6.3154) * CHOOSE(CONTROL!$C$21, $C$9, 100%, $E$9)</f>
        <v>6.3154000000000003</v>
      </c>
      <c r="P166" s="10">
        <f>CHOOSE(CONTROL!$C$42, 6.0975, 6.0975) * CHOOSE(CONTROL!$C$21, $C$9, 100%, $E$9)</f>
        <v>6.0975000000000001</v>
      </c>
      <c r="Q166" s="10">
        <f>CHOOSE(CONTROL!$C$42, 6.9107, 6.9107) * CHOOSE(CONTROL!$C$21, $C$9, 100%, $E$9)</f>
        <v>6.9107000000000003</v>
      </c>
      <c r="R166" s="10">
        <f>CHOOSE(CONTROL!$C$42, 7.5149, 7.5149) * CHOOSE(CONTROL!$C$21, $C$9, 100%, $E$9)</f>
        <v>7.5148999999999999</v>
      </c>
      <c r="S166" s="10">
        <f>CHOOSE(CONTROL!$C$42, 5.9788, 5.9788) * CHOOSE(CONTROL!$C$21, $C$9, 100%, $E$9)</f>
        <v>5.9787999999999997</v>
      </c>
      <c r="T1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38">
        <f>(1000*CHOOSE(CONTROL!$C$42, 695, 695)*CHOOSE(CONTROL!$C$42, 0.5599, 0.5599)*CHOOSE(CONTROL!$C$42, 31, 31))/1000000</f>
        <v>12.063045499999998</v>
      </c>
      <c r="V166" s="38">
        <f>(1000*CHOOSE(CONTROL!$C$42, 500, 500)*CHOOSE(CONTROL!$C$42, 0.275, 0.275)*CHOOSE(CONTROL!$C$42, 31, 31))/1000000</f>
        <v>4.2625000000000002</v>
      </c>
      <c r="W166" s="38">
        <f>(1000*CHOOSE(CONTROL!$C$42, 0.1146, 0.1146)*CHOOSE(CONTROL!$C$42, 121.5, 121.5)*CHOOSE(CONTROL!$C$42, 31, 31))/1000000</f>
        <v>0.43164089999999994</v>
      </c>
      <c r="X166" s="38">
        <f>(31*0.1790888*245000/1000000)+(31*0.2374*100000/1000000)</f>
        <v>2.0961194359999999</v>
      </c>
      <c r="Y166" s="38">
        <f>(1000*600*CHOOSE(CONTROL!$C$42, 1.7242, 1.7242)*CHOOSE(CONTROL!$C$42, 31, 31))/1000000</f>
        <v>32.070120000000003</v>
      </c>
      <c r="Z166" s="38"/>
      <c r="AA166" s="10"/>
      <c r="AB166" s="39"/>
      <c r="AC166" s="33">
        <f>(B166*131.881+C166*277.167+D166*79.08+E166*125.872+F166*40+G166*185+H166*0+I166*100+J166*300)/(131.881+277.167+79.08+125.872+0+40+185+100+300)</f>
        <v>6.179469986359968</v>
      </c>
      <c r="AD166" s="27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6.14651654676259</v>
      </c>
    </row>
    <row r="167" spans="1:30" ht="15" x14ac:dyDescent="0.2">
      <c r="A167" s="16">
        <v>46327</v>
      </c>
      <c r="B167" s="10">
        <f>CHOOSE(CONTROL!$C$42, 6.3211, 6.3211) * CHOOSE(CONTROL!$C$21, $C$9, 100%, $E$9)</f>
        <v>6.3211000000000004</v>
      </c>
      <c r="C167" s="10">
        <f>CHOOSE(CONTROL!$C$42, 6.3261, 6.3261) * CHOOSE(CONTROL!$C$21, $C$9, 100%, $E$9)</f>
        <v>6.3261000000000003</v>
      </c>
      <c r="D167" s="10">
        <f>CHOOSE(CONTROL!$C$42, 6.3505, 6.3505) * CHOOSE(CONTROL!$C$21, $C$9, 100%, $E$9)</f>
        <v>6.3505000000000003</v>
      </c>
      <c r="E167" s="10">
        <f>CHOOSE(CONTROL!$C$42, 6.3843, 6.3843) * CHOOSE(CONTROL!$C$21, $C$9, 100%, $E$9)</f>
        <v>6.3842999999999996</v>
      </c>
      <c r="F167" s="10">
        <f>CHOOSE(CONTROL!$C$42, 6.2904, 6.2904)*CHOOSE(CONTROL!$C$21, $C$9, 100%, $E$9)</f>
        <v>6.2904</v>
      </c>
      <c r="G167" s="10">
        <f>CHOOSE(CONTROL!$C$42, 6.3069, 6.3069)*CHOOSE(CONTROL!$C$21, $C$9, 100%, $E$9)</f>
        <v>6.3068999999999997</v>
      </c>
      <c r="H167" s="10">
        <f>CHOOSE(CONTROL!$C$42, 6.3735, 6.3735) * CHOOSE(CONTROL!$C$21, $C$9, 100%, $E$9)</f>
        <v>6.3734999999999999</v>
      </c>
      <c r="I167" s="10">
        <f>CHOOSE(CONTROL!$C$42, 6.3079, 6.3079)* CHOOSE(CONTROL!$C$21, $C$9, 100%, $E$9)</f>
        <v>6.3079000000000001</v>
      </c>
      <c r="J167" s="10">
        <f>CHOOSE(CONTROL!$C$42, 6.2834, 6.2834)* CHOOSE(CONTROL!$C$21, $C$9, 100%, $E$9)</f>
        <v>6.2834000000000003</v>
      </c>
      <c r="K167" s="10">
        <f>CHOOSE(CONTROL!$C$42, 6.2657, 6.2657) * CHOOSE(CONTROL!$C$21, $C$9, 100%, $E$9)</f>
        <v>6.2656999999999998</v>
      </c>
      <c r="L167" s="10">
        <f>CHOOSE(CONTROL!$C$42, 6.9605, 6.9605) * CHOOSE(CONTROL!$C$21, $C$9, 100%, $E$9)</f>
        <v>6.9604999999999997</v>
      </c>
      <c r="M167" s="10">
        <f>CHOOSE(CONTROL!$C$42, 6.2338, 6.2338) * CHOOSE(CONTROL!$C$21, $C$9, 100%, $E$9)</f>
        <v>6.2337999999999996</v>
      </c>
      <c r="N167" s="10">
        <f>CHOOSE(CONTROL!$C$42, 6.2501, 6.2501) * CHOOSE(CONTROL!$C$21, $C$9, 100%, $E$9)</f>
        <v>6.2500999999999998</v>
      </c>
      <c r="O167" s="10">
        <f>CHOOSE(CONTROL!$C$42, 6.323, 6.323) * CHOOSE(CONTROL!$C$21, $C$9, 100%, $E$9)</f>
        <v>6.3230000000000004</v>
      </c>
      <c r="P167" s="10">
        <f>CHOOSE(CONTROL!$C$42, 6.2581, 6.2581) * CHOOSE(CONTROL!$C$21, $C$9, 100%, $E$9)</f>
        <v>6.2580999999999998</v>
      </c>
      <c r="Q167" s="10">
        <f>CHOOSE(CONTROL!$C$42, 6.9183, 6.9183) * CHOOSE(CONTROL!$C$21, $C$9, 100%, $E$9)</f>
        <v>6.9183000000000003</v>
      </c>
      <c r="R167" s="10">
        <f>CHOOSE(CONTROL!$C$42, 7.5226, 7.5226) * CHOOSE(CONTROL!$C$21, $C$9, 100%, $E$9)</f>
        <v>7.5225999999999997</v>
      </c>
      <c r="S167" s="10">
        <f>CHOOSE(CONTROL!$C$42, 6.1363, 6.1363) * CHOOSE(CONTROL!$C$21, $C$9, 100%, $E$9)</f>
        <v>6.1363000000000003</v>
      </c>
      <c r="T1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38">
        <f>(1000*CHOOSE(CONTROL!$C$42, 695, 695)*CHOOSE(CONTROL!$C$42, 0.5599, 0.5599)*CHOOSE(CONTROL!$C$42, 30, 30))/1000000</f>
        <v>11.673914999999997</v>
      </c>
      <c r="V167" s="38">
        <f>(1000*CHOOSE(CONTROL!$C$42, 500, 500)*CHOOSE(CONTROL!$C$42, 0.275, 0.275)*CHOOSE(CONTROL!$C$42, 30, 30))/1000000</f>
        <v>4.125</v>
      </c>
      <c r="W167" s="38">
        <f>(1000*CHOOSE(CONTROL!$C$42, 0.1146, 0.1146)*CHOOSE(CONTROL!$C$42, 121.5, 121.5)*CHOOSE(CONTROL!$C$42, 30, 30))/1000000</f>
        <v>0.417717</v>
      </c>
      <c r="X167" s="38">
        <f>(30*0.1790888*100000/1000000)+(30*0.2374*100000/1000000)</f>
        <v>1.2494664</v>
      </c>
      <c r="Y167" s="38">
        <f>(1000*600*CHOOSE(CONTROL!$C$42, 1.7242, 1.7242)*CHOOSE(CONTROL!$C$42, 30, 30))/1000000</f>
        <v>31.035599999999999</v>
      </c>
      <c r="Z167" s="38"/>
      <c r="AA167" s="10"/>
      <c r="AB167" s="39"/>
      <c r="AC167" s="33">
        <f>(B167*122.58+C167*297.941+D167*89.177+E167*40.302+F167*40+G167*160+H167*0+I167*100+J167*300)/(122.58+297.941+89.177+40.302+0+40+160+100+300)</f>
        <v>6.3128639958260875</v>
      </c>
      <c r="AD167" s="27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6.2786633093525186</v>
      </c>
    </row>
    <row r="168" spans="1:30" ht="15" x14ac:dyDescent="0.2">
      <c r="A168" s="16">
        <v>46357</v>
      </c>
      <c r="B168" s="10">
        <f>CHOOSE(CONTROL!$C$42, 6.7519, 6.7519) * CHOOSE(CONTROL!$C$21, $C$9, 100%, $E$9)</f>
        <v>6.7519</v>
      </c>
      <c r="C168" s="10">
        <f>CHOOSE(CONTROL!$C$42, 6.7568, 6.7568) * CHOOSE(CONTROL!$C$21, $C$9, 100%, $E$9)</f>
        <v>6.7568000000000001</v>
      </c>
      <c r="D168" s="10">
        <f>CHOOSE(CONTROL!$C$42, 6.7813, 6.7813) * CHOOSE(CONTROL!$C$21, $C$9, 100%, $E$9)</f>
        <v>6.7812999999999999</v>
      </c>
      <c r="E168" s="10">
        <f>CHOOSE(CONTROL!$C$42, 6.8151, 6.8151) * CHOOSE(CONTROL!$C$21, $C$9, 100%, $E$9)</f>
        <v>6.8151000000000002</v>
      </c>
      <c r="F168" s="10">
        <f>CHOOSE(CONTROL!$C$42, 6.7235, 6.7235)*CHOOSE(CONTROL!$C$21, $C$9, 100%, $E$9)</f>
        <v>6.7234999999999996</v>
      </c>
      <c r="G168" s="10">
        <f>CHOOSE(CONTROL!$C$42, 6.7405, 6.7405)*CHOOSE(CONTROL!$C$21, $C$9, 100%, $E$9)</f>
        <v>6.7404999999999999</v>
      </c>
      <c r="H168" s="10">
        <f>CHOOSE(CONTROL!$C$42, 6.8043, 6.8043) * CHOOSE(CONTROL!$C$21, $C$9, 100%, $E$9)</f>
        <v>6.8042999999999996</v>
      </c>
      <c r="I168" s="10">
        <f>CHOOSE(CONTROL!$C$42, 6.7386, 6.7386)* CHOOSE(CONTROL!$C$21, $C$9, 100%, $E$9)</f>
        <v>6.7385999999999999</v>
      </c>
      <c r="J168" s="10">
        <f>CHOOSE(CONTROL!$C$42, 6.7165, 6.7165)* CHOOSE(CONTROL!$C$21, $C$9, 100%, $E$9)</f>
        <v>6.7164999999999999</v>
      </c>
      <c r="K168" s="10">
        <f>CHOOSE(CONTROL!$C$42, 6.6892, 6.6892) * CHOOSE(CONTROL!$C$21, $C$9, 100%, $E$9)</f>
        <v>6.6891999999999996</v>
      </c>
      <c r="L168" s="10">
        <f>CHOOSE(CONTROL!$C$42, 7.3913, 7.3913) * CHOOSE(CONTROL!$C$21, $C$9, 100%, $E$9)</f>
        <v>7.3913000000000002</v>
      </c>
      <c r="M168" s="10">
        <f>CHOOSE(CONTROL!$C$42, 6.6625, 6.6625) * CHOOSE(CONTROL!$C$21, $C$9, 100%, $E$9)</f>
        <v>6.6624999999999996</v>
      </c>
      <c r="N168" s="10">
        <f>CHOOSE(CONTROL!$C$42, 6.6794, 6.6794) * CHOOSE(CONTROL!$C$21, $C$9, 100%, $E$9)</f>
        <v>6.6794000000000002</v>
      </c>
      <c r="O168" s="10">
        <f>CHOOSE(CONTROL!$C$42, 6.7494, 6.7494) * CHOOSE(CONTROL!$C$21, $C$9, 100%, $E$9)</f>
        <v>6.7493999999999996</v>
      </c>
      <c r="P168" s="10">
        <f>CHOOSE(CONTROL!$C$42, 6.6845, 6.6845) * CHOOSE(CONTROL!$C$21, $C$9, 100%, $E$9)</f>
        <v>6.6844999999999999</v>
      </c>
      <c r="Q168" s="10">
        <f>CHOOSE(CONTROL!$C$42, 7.3447, 7.3447) * CHOOSE(CONTROL!$C$21, $C$9, 100%, $E$9)</f>
        <v>7.3446999999999996</v>
      </c>
      <c r="R168" s="10">
        <f>CHOOSE(CONTROL!$C$42, 7.9501, 7.9501) * CHOOSE(CONTROL!$C$21, $C$9, 100%, $E$9)</f>
        <v>7.9500999999999999</v>
      </c>
      <c r="S168" s="10">
        <f>CHOOSE(CONTROL!$C$42, 6.5546, 6.5546) * CHOOSE(CONTROL!$C$21, $C$9, 100%, $E$9)</f>
        <v>6.5545999999999998</v>
      </c>
      <c r="T1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38">
        <f>(1000*CHOOSE(CONTROL!$C$42, 695, 695)*CHOOSE(CONTROL!$C$42, 0.5599, 0.5599)*CHOOSE(CONTROL!$C$42, 31, 31))/1000000</f>
        <v>12.063045499999998</v>
      </c>
      <c r="V168" s="38">
        <f>(1000*CHOOSE(CONTROL!$C$42, 500, 500)*CHOOSE(CONTROL!$C$42, 0.275, 0.275)*CHOOSE(CONTROL!$C$42, 31, 31))/1000000</f>
        <v>4.2625000000000002</v>
      </c>
      <c r="W168" s="38">
        <f>(1000*CHOOSE(CONTROL!$C$42, 0.1146, 0.1146)*CHOOSE(CONTROL!$C$42, 121.5, 121.5)*CHOOSE(CONTROL!$C$42, 31, 31))/1000000</f>
        <v>0.43164089999999994</v>
      </c>
      <c r="X168" s="38">
        <f>(31*0.1790888*100000/1000000)+(31*0.2374*100000/1000000)</f>
        <v>1.2911152800000001</v>
      </c>
      <c r="Y168" s="38">
        <f>(1000*600*CHOOSE(CONTROL!$C$42, 1.7242, 1.7242)*CHOOSE(CONTROL!$C$42, 31, 31))/1000000</f>
        <v>32.070120000000003</v>
      </c>
      <c r="Z168" s="38"/>
      <c r="AA168" s="10"/>
      <c r="AB168" s="39"/>
      <c r="AC168" s="33">
        <f>(B168*122.58+C168*297.941+D168*89.177+E168*40.302+F168*40+G168*160+H168*0+I168*100+J168*300)/(122.58+297.941+89.177+40.302+0+40+160+100+300)</f>
        <v>6.7446989574782599</v>
      </c>
      <c r="AD168" s="27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6.7060244604316548</v>
      </c>
    </row>
    <row r="169" spans="1:30" ht="15" x14ac:dyDescent="0.2">
      <c r="A169" s="16">
        <v>46388</v>
      </c>
      <c r="B169" s="10">
        <f>CHOOSE(CONTROL!$C$42, 7.3048, 7.3048) * CHOOSE(CONTROL!$C$21, $C$9, 100%, $E$9)</f>
        <v>7.3048000000000002</v>
      </c>
      <c r="C169" s="10">
        <f>CHOOSE(CONTROL!$C$42, 7.3098, 7.3098) * CHOOSE(CONTROL!$C$21, $C$9, 100%, $E$9)</f>
        <v>7.3098000000000001</v>
      </c>
      <c r="D169" s="10">
        <f>CHOOSE(CONTROL!$C$42, 7.3342, 7.3342) * CHOOSE(CONTROL!$C$21, $C$9, 100%, $E$9)</f>
        <v>7.3342000000000001</v>
      </c>
      <c r="E169" s="10">
        <f>CHOOSE(CONTROL!$C$42, 7.368, 7.368) * CHOOSE(CONTROL!$C$21, $C$9, 100%, $E$9)</f>
        <v>7.3680000000000003</v>
      </c>
      <c r="F169" s="10">
        <f>CHOOSE(CONTROL!$C$42, 7.2878, 7.2878)*CHOOSE(CONTROL!$C$21, $C$9, 100%, $E$9)</f>
        <v>7.2877999999999998</v>
      </c>
      <c r="G169" s="10">
        <f>CHOOSE(CONTROL!$C$42, 7.3064, 7.3064)*CHOOSE(CONTROL!$C$21, $C$9, 100%, $E$9)</f>
        <v>7.3064</v>
      </c>
      <c r="H169" s="10">
        <f>CHOOSE(CONTROL!$C$42, 7.3572, 7.3572) * CHOOSE(CONTROL!$C$21, $C$9, 100%, $E$9)</f>
        <v>7.3571999999999997</v>
      </c>
      <c r="I169" s="10">
        <f>CHOOSE(CONTROL!$C$42, 7.2993, 7.2993)* CHOOSE(CONTROL!$C$21, $C$9, 100%, $E$9)</f>
        <v>7.2992999999999997</v>
      </c>
      <c r="J169" s="10">
        <f>CHOOSE(CONTROL!$C$42, 7.2808, 7.2808)* CHOOSE(CONTROL!$C$21, $C$9, 100%, $E$9)</f>
        <v>7.2808000000000002</v>
      </c>
      <c r="K169" s="10">
        <f>CHOOSE(CONTROL!$C$42, 7.2474, 7.2474) * CHOOSE(CONTROL!$C$21, $C$9, 100%, $E$9)</f>
        <v>7.2473999999999998</v>
      </c>
      <c r="L169" s="10">
        <f>CHOOSE(CONTROL!$C$42, 7.9442, 7.9442) * CHOOSE(CONTROL!$C$21, $C$9, 100%, $E$9)</f>
        <v>7.9442000000000004</v>
      </c>
      <c r="M169" s="10">
        <f>CHOOSE(CONTROL!$C$42, 7.2211, 7.2211) * CHOOSE(CONTROL!$C$21, $C$9, 100%, $E$9)</f>
        <v>7.2210999999999999</v>
      </c>
      <c r="N169" s="10">
        <f>CHOOSE(CONTROL!$C$42, 7.2396, 7.2396) * CHOOSE(CONTROL!$C$21, $C$9, 100%, $E$9)</f>
        <v>7.2396000000000003</v>
      </c>
      <c r="O169" s="10">
        <f>CHOOSE(CONTROL!$C$42, 7.2968, 7.2968) * CHOOSE(CONTROL!$C$21, $C$9, 100%, $E$9)</f>
        <v>7.2968000000000002</v>
      </c>
      <c r="P169" s="10">
        <f>CHOOSE(CONTROL!$C$42, 7.2395, 7.2395) * CHOOSE(CONTROL!$C$21, $C$9, 100%, $E$9)</f>
        <v>7.2394999999999996</v>
      </c>
      <c r="Q169" s="10">
        <f>CHOOSE(CONTROL!$C$42, 7.8921, 7.8921) * CHOOSE(CONTROL!$C$21, $C$9, 100%, $E$9)</f>
        <v>7.8921000000000001</v>
      </c>
      <c r="R169" s="10">
        <f>CHOOSE(CONTROL!$C$42, 8.4988, 8.4988) * CHOOSE(CONTROL!$C$21, $C$9, 100%, $E$9)</f>
        <v>8.4987999999999992</v>
      </c>
      <c r="S169" s="10">
        <f>CHOOSE(CONTROL!$C$42, 7.0916, 7.0916) * CHOOSE(CONTROL!$C$21, $C$9, 100%, $E$9)</f>
        <v>7.0915999999999997</v>
      </c>
      <c r="T1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38">
        <f>(1000*CHOOSE(CONTROL!$C$42, 695, 695)*CHOOSE(CONTROL!$C$42, 0.5599, 0.5599)*CHOOSE(CONTROL!$C$42, 31, 31))/1000000</f>
        <v>12.063045499999998</v>
      </c>
      <c r="V169" s="38">
        <f>(1000*CHOOSE(CONTROL!$C$42, 500, 500)*CHOOSE(CONTROL!$C$42, 0.275, 0.275)*CHOOSE(CONTROL!$C$42, 31, 31))/1000000</f>
        <v>4.2625000000000002</v>
      </c>
      <c r="W169" s="38">
        <f>(1000*CHOOSE(CONTROL!$C$42, 0.1146, 0.1146)*CHOOSE(CONTROL!$C$42, 121.5, 121.5)*CHOOSE(CONTROL!$C$42, 31, 31))/1000000</f>
        <v>0.43164089999999994</v>
      </c>
      <c r="X169" s="38">
        <f>(31*0.1790888*100000/1000000)+(31*0.2374*100000/1000000)</f>
        <v>1.2911152800000001</v>
      </c>
      <c r="Y169" s="38">
        <f>(1000*600*CHOOSE(CONTROL!$C$42, 1.7143, 1.7143)*CHOOSE(CONTROL!$C$42, 31, 31))/1000000</f>
        <v>31.88598</v>
      </c>
      <c r="Z169" s="38"/>
      <c r="AA169" s="10"/>
      <c r="AB169" s="39"/>
      <c r="AC169" s="33">
        <f>(B169*122.58+C169*297.941+D169*89.177+E169*40.302+F169*40+G169*160+H169*0+I169*100+J169*300)/(122.58+297.941+89.177+40.302+0+40+160+100+300)</f>
        <v>7.3034822566956521</v>
      </c>
      <c r="AD169" s="27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7.259122302158274</v>
      </c>
    </row>
    <row r="170" spans="1:30" ht="15" x14ac:dyDescent="0.2">
      <c r="A170" s="16">
        <v>46419</v>
      </c>
      <c r="B170" s="10">
        <f>CHOOSE(CONTROL!$C$42, 7.4348, 7.4348) * CHOOSE(CONTROL!$C$21, $C$9, 100%, $E$9)</f>
        <v>7.4348000000000001</v>
      </c>
      <c r="C170" s="10">
        <f>CHOOSE(CONTROL!$C$42, 7.4398, 7.4398) * CHOOSE(CONTROL!$C$21, $C$9, 100%, $E$9)</f>
        <v>7.4398</v>
      </c>
      <c r="D170" s="10">
        <f>CHOOSE(CONTROL!$C$42, 7.4642, 7.4642) * CHOOSE(CONTROL!$C$21, $C$9, 100%, $E$9)</f>
        <v>7.4641999999999999</v>
      </c>
      <c r="E170" s="10">
        <f>CHOOSE(CONTROL!$C$42, 7.498, 7.498) * CHOOSE(CONTROL!$C$21, $C$9, 100%, $E$9)</f>
        <v>7.4980000000000002</v>
      </c>
      <c r="F170" s="10">
        <f>CHOOSE(CONTROL!$C$42, 7.4171, 7.4171)*CHOOSE(CONTROL!$C$21, $C$9, 100%, $E$9)</f>
        <v>7.4170999999999996</v>
      </c>
      <c r="G170" s="10">
        <f>CHOOSE(CONTROL!$C$42, 7.4356, 7.4356)*CHOOSE(CONTROL!$C$21, $C$9, 100%, $E$9)</f>
        <v>7.4356</v>
      </c>
      <c r="H170" s="10">
        <f>CHOOSE(CONTROL!$C$42, 7.4872, 7.4872) * CHOOSE(CONTROL!$C$21, $C$9, 100%, $E$9)</f>
        <v>7.4871999999999996</v>
      </c>
      <c r="I170" s="10">
        <f>CHOOSE(CONTROL!$C$42, 7.4293, 7.4293)* CHOOSE(CONTROL!$C$21, $C$9, 100%, $E$9)</f>
        <v>7.4292999999999996</v>
      </c>
      <c r="J170" s="10">
        <f>CHOOSE(CONTROL!$C$42, 7.4101, 7.4101)* CHOOSE(CONTROL!$C$21, $C$9, 100%, $E$9)</f>
        <v>7.4100999999999999</v>
      </c>
      <c r="K170" s="10">
        <f>CHOOSE(CONTROL!$C$42, 7.3722, 7.3722) * CHOOSE(CONTROL!$C$21, $C$9, 100%, $E$9)</f>
        <v>7.3722000000000003</v>
      </c>
      <c r="L170" s="10">
        <f>CHOOSE(CONTROL!$C$42, 8.0742, 8.0742) * CHOOSE(CONTROL!$C$21, $C$9, 100%, $E$9)</f>
        <v>8.0741999999999994</v>
      </c>
      <c r="M170" s="10">
        <f>CHOOSE(CONTROL!$C$42, 7.3491, 7.3491) * CHOOSE(CONTROL!$C$21, $C$9, 100%, $E$9)</f>
        <v>7.3491</v>
      </c>
      <c r="N170" s="10">
        <f>CHOOSE(CONTROL!$C$42, 7.3674, 7.3674) * CHOOSE(CONTROL!$C$21, $C$9, 100%, $E$9)</f>
        <v>7.3673999999999999</v>
      </c>
      <c r="O170" s="10">
        <f>CHOOSE(CONTROL!$C$42, 7.4255, 7.4255) * CHOOSE(CONTROL!$C$21, $C$9, 100%, $E$9)</f>
        <v>7.4255000000000004</v>
      </c>
      <c r="P170" s="10">
        <f>CHOOSE(CONTROL!$C$42, 7.3682, 7.3682) * CHOOSE(CONTROL!$C$21, $C$9, 100%, $E$9)</f>
        <v>7.3681999999999999</v>
      </c>
      <c r="Q170" s="10">
        <f>CHOOSE(CONTROL!$C$42, 8.0208, 8.0208) * CHOOSE(CONTROL!$C$21, $C$9, 100%, $E$9)</f>
        <v>8.0207999999999995</v>
      </c>
      <c r="R170" s="10">
        <f>CHOOSE(CONTROL!$C$42, 8.6278, 8.6278) * CHOOSE(CONTROL!$C$21, $C$9, 100%, $E$9)</f>
        <v>8.6278000000000006</v>
      </c>
      <c r="S170" s="10">
        <f>CHOOSE(CONTROL!$C$42, 7.2178, 7.2178) * CHOOSE(CONTROL!$C$21, $C$9, 100%, $E$9)</f>
        <v>7.2178000000000004</v>
      </c>
      <c r="T1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38">
        <f>(1000*CHOOSE(CONTROL!$C$42, 695, 695)*CHOOSE(CONTROL!$C$42, 0.5599, 0.5599)*CHOOSE(CONTROL!$C$42, 28, 28))/1000000</f>
        <v>10.895653999999999</v>
      </c>
      <c r="V170" s="38">
        <f>(1000*CHOOSE(CONTROL!$C$42, 500, 500)*CHOOSE(CONTROL!$C$42, 0.275, 0.275)*CHOOSE(CONTROL!$C$42, 28, 28))/1000000</f>
        <v>3.85</v>
      </c>
      <c r="W170" s="38">
        <f>(1000*CHOOSE(CONTROL!$C$42, 0.1146, 0.1146)*CHOOSE(CONTROL!$C$42, 121.5, 121.5)*CHOOSE(CONTROL!$C$42, 28, 28))/1000000</f>
        <v>0.38986920000000003</v>
      </c>
      <c r="X170" s="38">
        <f>(28*0.1790888*100000/1000000)+(28*0.2374*100000/1000000)</f>
        <v>1.16616864</v>
      </c>
      <c r="Y170" s="38">
        <f>(1000*600*CHOOSE(CONTROL!$C$42, 1.7143, 1.7143)*CHOOSE(CONTROL!$C$42, 28, 28))/1000000</f>
        <v>28.800239999999999</v>
      </c>
      <c r="Z170" s="38"/>
      <c r="AA170" s="10"/>
      <c r="AB170" s="39"/>
      <c r="AC170" s="33">
        <f>(B170*122.58+C170*297.941+D170*89.177+E170*40.302+F170*40+G170*160+H170*0+I170*100+J170*300)/(122.58+297.941+89.177+40.302+0+40+160+100+300)</f>
        <v>7.4331639958260851</v>
      </c>
      <c r="AD170" s="27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7.3875287769784181</v>
      </c>
    </row>
    <row r="171" spans="1:30" ht="15" x14ac:dyDescent="0.2">
      <c r="A171" s="16">
        <v>46447</v>
      </c>
      <c r="B171" s="10">
        <f>CHOOSE(CONTROL!$C$42, 7.2238, 7.2238) * CHOOSE(CONTROL!$C$21, $C$9, 100%, $E$9)</f>
        <v>7.2237999999999998</v>
      </c>
      <c r="C171" s="10">
        <f>CHOOSE(CONTROL!$C$42, 7.2288, 7.2288) * CHOOSE(CONTROL!$C$21, $C$9, 100%, $E$9)</f>
        <v>7.2287999999999997</v>
      </c>
      <c r="D171" s="10">
        <f>CHOOSE(CONTROL!$C$42, 7.2532, 7.2532) * CHOOSE(CONTROL!$C$21, $C$9, 100%, $E$9)</f>
        <v>7.2531999999999996</v>
      </c>
      <c r="E171" s="10">
        <f>CHOOSE(CONTROL!$C$42, 7.287, 7.287) * CHOOSE(CONTROL!$C$21, $C$9, 100%, $E$9)</f>
        <v>7.2869999999999999</v>
      </c>
      <c r="F171" s="10">
        <f>CHOOSE(CONTROL!$C$42, 7.2045, 7.2045)*CHOOSE(CONTROL!$C$21, $C$9, 100%, $E$9)</f>
        <v>7.2045000000000003</v>
      </c>
      <c r="G171" s="10">
        <f>CHOOSE(CONTROL!$C$42, 7.2226, 7.2226)*CHOOSE(CONTROL!$C$21, $C$9, 100%, $E$9)</f>
        <v>7.2225999999999999</v>
      </c>
      <c r="H171" s="10">
        <f>CHOOSE(CONTROL!$C$42, 7.2762, 7.2762) * CHOOSE(CONTROL!$C$21, $C$9, 100%, $E$9)</f>
        <v>7.2762000000000002</v>
      </c>
      <c r="I171" s="10">
        <f>CHOOSE(CONTROL!$C$42, 7.2183, 7.2183)* CHOOSE(CONTROL!$C$21, $C$9, 100%, $E$9)</f>
        <v>7.2183000000000002</v>
      </c>
      <c r="J171" s="10">
        <f>CHOOSE(CONTROL!$C$42, 7.1975, 7.1975)* CHOOSE(CONTROL!$C$21, $C$9, 100%, $E$9)</f>
        <v>7.1974999999999998</v>
      </c>
      <c r="K171" s="10">
        <f>CHOOSE(CONTROL!$C$42, 7.1639, 7.1639) * CHOOSE(CONTROL!$C$21, $C$9, 100%, $E$9)</f>
        <v>7.1638999999999999</v>
      </c>
      <c r="L171" s="10">
        <f>CHOOSE(CONTROL!$C$42, 7.8632, 7.8632) * CHOOSE(CONTROL!$C$21, $C$9, 100%, $E$9)</f>
        <v>7.8632</v>
      </c>
      <c r="M171" s="10">
        <f>CHOOSE(CONTROL!$C$42, 7.1387, 7.1387) * CHOOSE(CONTROL!$C$21, $C$9, 100%, $E$9)</f>
        <v>7.1387</v>
      </c>
      <c r="N171" s="10">
        <f>CHOOSE(CONTROL!$C$42, 7.1566, 7.1566) * CHOOSE(CONTROL!$C$21, $C$9, 100%, $E$9)</f>
        <v>7.1566000000000001</v>
      </c>
      <c r="O171" s="10">
        <f>CHOOSE(CONTROL!$C$42, 7.2166, 7.2166) * CHOOSE(CONTROL!$C$21, $C$9, 100%, $E$9)</f>
        <v>7.2165999999999997</v>
      </c>
      <c r="P171" s="10">
        <f>CHOOSE(CONTROL!$C$42, 7.1593, 7.1593) * CHOOSE(CONTROL!$C$21, $C$9, 100%, $E$9)</f>
        <v>7.1593</v>
      </c>
      <c r="Q171" s="10">
        <f>CHOOSE(CONTROL!$C$42, 7.8119, 7.8119) * CHOOSE(CONTROL!$C$21, $C$9, 100%, $E$9)</f>
        <v>7.8118999999999996</v>
      </c>
      <c r="R171" s="10">
        <f>CHOOSE(CONTROL!$C$42, 8.4184, 8.4184) * CHOOSE(CONTROL!$C$21, $C$9, 100%, $E$9)</f>
        <v>8.4184000000000001</v>
      </c>
      <c r="S171" s="10">
        <f>CHOOSE(CONTROL!$C$42, 7.0129, 7.0129) * CHOOSE(CONTROL!$C$21, $C$9, 100%, $E$9)</f>
        <v>7.0129000000000001</v>
      </c>
      <c r="T1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38">
        <f>(1000*CHOOSE(CONTROL!$C$42, 695, 695)*CHOOSE(CONTROL!$C$42, 0.5599, 0.5599)*CHOOSE(CONTROL!$C$42, 31, 31))/1000000</f>
        <v>12.063045499999998</v>
      </c>
      <c r="V171" s="38">
        <f>(1000*CHOOSE(CONTROL!$C$42, 500, 500)*CHOOSE(CONTROL!$C$42, 0.275, 0.275)*CHOOSE(CONTROL!$C$42, 31, 31))/1000000</f>
        <v>4.2625000000000002</v>
      </c>
      <c r="W171" s="38">
        <f>(1000*CHOOSE(CONTROL!$C$42, 0.1146, 0.1146)*CHOOSE(CONTROL!$C$42, 121.5, 121.5)*CHOOSE(CONTROL!$C$42, 31, 31))/1000000</f>
        <v>0.43164089999999994</v>
      </c>
      <c r="X171" s="38">
        <f>(31*0.1790888*100000/1000000)+(31*0.2374*100000/1000000)</f>
        <v>1.2911152800000001</v>
      </c>
      <c r="Y171" s="38">
        <f>(1000*600*CHOOSE(CONTROL!$C$42, 1.7143, 1.7143)*CHOOSE(CONTROL!$C$42, 31, 31))/1000000</f>
        <v>31.88598</v>
      </c>
      <c r="Z171" s="38"/>
      <c r="AA171" s="10"/>
      <c r="AB171" s="39"/>
      <c r="AC171" s="33">
        <f>(B171*122.58+C171*297.941+D171*89.177+E171*40.302+F171*40+G171*160+H171*0+I171*100+J171*300)/(122.58+297.941+89.177+40.302+0+40+160+100+300)</f>
        <v>7.2214126914782604</v>
      </c>
      <c r="AD171" s="27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7.1780014388489208</v>
      </c>
    </row>
    <row r="172" spans="1:30" ht="15" x14ac:dyDescent="0.2">
      <c r="A172" s="16">
        <v>46478</v>
      </c>
      <c r="B172" s="10">
        <f>CHOOSE(CONTROL!$C$42, 7.203, 7.203) * CHOOSE(CONTROL!$C$21, $C$9, 100%, $E$9)</f>
        <v>7.2030000000000003</v>
      </c>
      <c r="C172" s="10">
        <f>CHOOSE(CONTROL!$C$42, 7.2074, 7.2074) * CHOOSE(CONTROL!$C$21, $C$9, 100%, $E$9)</f>
        <v>7.2073999999999998</v>
      </c>
      <c r="D172" s="10">
        <f>CHOOSE(CONTROL!$C$42, 7.3875, 7.3875) * CHOOSE(CONTROL!$C$21, $C$9, 100%, $E$9)</f>
        <v>7.3875000000000002</v>
      </c>
      <c r="E172" s="10">
        <f>CHOOSE(CONTROL!$C$42, 7.4193, 7.4193) * CHOOSE(CONTROL!$C$21, $C$9, 100%, $E$9)</f>
        <v>7.4192999999999998</v>
      </c>
      <c r="F172" s="10">
        <f>CHOOSE(CONTROL!$C$42, 7.1683, 7.1683)*CHOOSE(CONTROL!$C$21, $C$9, 100%, $E$9)</f>
        <v>7.1683000000000003</v>
      </c>
      <c r="G172" s="10">
        <f>CHOOSE(CONTROL!$C$42, 7.1846, 7.1846)*CHOOSE(CONTROL!$C$21, $C$9, 100%, $E$9)</f>
        <v>7.1845999999999997</v>
      </c>
      <c r="H172" s="10">
        <f>CHOOSE(CONTROL!$C$42, 7.409, 7.409) * CHOOSE(CONTROL!$C$21, $C$9, 100%, $E$9)</f>
        <v>7.4089999999999998</v>
      </c>
      <c r="I172" s="10">
        <f>CHOOSE(CONTROL!$C$42, 7.189, 7.189)* CHOOSE(CONTROL!$C$21, $C$9, 100%, $E$9)</f>
        <v>7.1890000000000001</v>
      </c>
      <c r="J172" s="10">
        <f>CHOOSE(CONTROL!$C$42, 7.1613, 7.1613)* CHOOSE(CONTROL!$C$21, $C$9, 100%, $E$9)</f>
        <v>7.1612999999999998</v>
      </c>
      <c r="K172" s="10">
        <f>CHOOSE(CONTROL!$C$42, 7.1204, 7.1204) * CHOOSE(CONTROL!$C$21, $C$9, 100%, $E$9)</f>
        <v>7.1204000000000001</v>
      </c>
      <c r="L172" s="10">
        <f>CHOOSE(CONTROL!$C$42, 7.996, 7.996) * CHOOSE(CONTROL!$C$21, $C$9, 100%, $E$9)</f>
        <v>7.9960000000000004</v>
      </c>
      <c r="M172" s="10">
        <f>CHOOSE(CONTROL!$C$42, 7.1029, 7.1029) * CHOOSE(CONTROL!$C$21, $C$9, 100%, $E$9)</f>
        <v>7.1029</v>
      </c>
      <c r="N172" s="10">
        <f>CHOOSE(CONTROL!$C$42, 7.119, 7.119) * CHOOSE(CONTROL!$C$21, $C$9, 100%, $E$9)</f>
        <v>7.1189999999999998</v>
      </c>
      <c r="O172" s="10">
        <f>CHOOSE(CONTROL!$C$42, 7.3481, 7.3481) * CHOOSE(CONTROL!$C$21, $C$9, 100%, $E$9)</f>
        <v>7.3480999999999996</v>
      </c>
      <c r="P172" s="10">
        <f>CHOOSE(CONTROL!$C$42, 7.1303, 7.1303) * CHOOSE(CONTROL!$C$21, $C$9, 100%, $E$9)</f>
        <v>7.1303000000000001</v>
      </c>
      <c r="Q172" s="10">
        <f>CHOOSE(CONTROL!$C$42, 7.9434, 7.9434) * CHOOSE(CONTROL!$C$21, $C$9, 100%, $E$9)</f>
        <v>7.9433999999999996</v>
      </c>
      <c r="R172" s="10">
        <f>CHOOSE(CONTROL!$C$42, 8.5503, 8.5503) * CHOOSE(CONTROL!$C$21, $C$9, 100%, $E$9)</f>
        <v>8.5503</v>
      </c>
      <c r="S172" s="10">
        <f>CHOOSE(CONTROL!$C$42, 6.9919, 6.9919) * CHOOSE(CONTROL!$C$21, $C$9, 100%, $E$9)</f>
        <v>6.9919000000000002</v>
      </c>
      <c r="T1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38">
        <f>(1000*CHOOSE(CONTROL!$C$42, 695, 695)*CHOOSE(CONTROL!$C$42, 0.5599, 0.5599)*CHOOSE(CONTROL!$C$42, 30, 30))/1000000</f>
        <v>11.673914999999997</v>
      </c>
      <c r="V172" s="38">
        <f>(1000*CHOOSE(CONTROL!$C$42, 500, 500)*CHOOSE(CONTROL!$C$42, 0.275, 0.275)*CHOOSE(CONTROL!$C$42, 30, 30))/1000000</f>
        <v>4.125</v>
      </c>
      <c r="W172" s="38">
        <f>(1000*CHOOSE(CONTROL!$C$42, 0.1146, 0.1146)*CHOOSE(CONTROL!$C$42, 121.5, 121.5)*CHOOSE(CONTROL!$C$42, 30, 30))/1000000</f>
        <v>0.417717</v>
      </c>
      <c r="X172" s="38">
        <f>(30*0.1790888*245000/1000000)+(30*0.2374*100000/1000000)</f>
        <v>2.0285026799999999</v>
      </c>
      <c r="Y172" s="38">
        <f>(1000*600*CHOOSE(CONTROL!$C$42, 1.7143, 1.7143)*CHOOSE(CONTROL!$C$42, 30, 30))/1000000</f>
        <v>30.857399999999998</v>
      </c>
      <c r="Z172" s="38"/>
      <c r="AA172" s="10"/>
      <c r="AB172" s="39"/>
      <c r="AC172" s="33">
        <f>(B172*141.293+C172*267.993+D172*115.016+E172*89.698+F172*40+G172*185+H172*0+I172*100+J172*300)/(141.293+267.993+115.016+89.698+0+40+185+100+300)</f>
        <v>7.2216435016949152</v>
      </c>
      <c r="AD172" s="27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7.1793460431654674</v>
      </c>
    </row>
    <row r="173" spans="1:30" ht="15" x14ac:dyDescent="0.2">
      <c r="A173" s="16">
        <v>46508</v>
      </c>
      <c r="B173" s="10">
        <f>CHOOSE(CONTROL!$C$42, 7.2683, 7.2683) * CHOOSE(CONTROL!$C$21, $C$9, 100%, $E$9)</f>
        <v>7.2683</v>
      </c>
      <c r="C173" s="10">
        <f>CHOOSE(CONTROL!$C$42, 7.2762, 7.2762) * CHOOSE(CONTROL!$C$21, $C$9, 100%, $E$9)</f>
        <v>7.2762000000000002</v>
      </c>
      <c r="D173" s="10">
        <f>CHOOSE(CONTROL!$C$42, 7.4532, 7.4532) * CHOOSE(CONTROL!$C$21, $C$9, 100%, $E$9)</f>
        <v>7.4531999999999998</v>
      </c>
      <c r="E173" s="10">
        <f>CHOOSE(CONTROL!$C$42, 7.4843, 7.4843) * CHOOSE(CONTROL!$C$21, $C$9, 100%, $E$9)</f>
        <v>7.4843000000000002</v>
      </c>
      <c r="F173" s="10">
        <f>CHOOSE(CONTROL!$C$42, 7.2317, 7.2317)*CHOOSE(CONTROL!$C$21, $C$9, 100%, $E$9)</f>
        <v>7.2317</v>
      </c>
      <c r="G173" s="10">
        <f>CHOOSE(CONTROL!$C$42, 7.2482, 7.2482)*CHOOSE(CONTROL!$C$21, $C$9, 100%, $E$9)</f>
        <v>7.2481999999999998</v>
      </c>
      <c r="H173" s="10">
        <f>CHOOSE(CONTROL!$C$42, 7.473, 7.473) * CHOOSE(CONTROL!$C$21, $C$9, 100%, $E$9)</f>
        <v>7.4729999999999999</v>
      </c>
      <c r="I173" s="10">
        <f>CHOOSE(CONTROL!$C$42, 7.2529, 7.2529)* CHOOSE(CONTROL!$C$21, $C$9, 100%, $E$9)</f>
        <v>7.2529000000000003</v>
      </c>
      <c r="J173" s="10">
        <f>CHOOSE(CONTROL!$C$42, 7.2247, 7.2247)* CHOOSE(CONTROL!$C$21, $C$9, 100%, $E$9)</f>
        <v>7.2247000000000003</v>
      </c>
      <c r="K173" s="10">
        <f>CHOOSE(CONTROL!$C$42, 7.1813, 7.1813) * CHOOSE(CONTROL!$C$21, $C$9, 100%, $E$9)</f>
        <v>7.1813000000000002</v>
      </c>
      <c r="L173" s="10">
        <f>CHOOSE(CONTROL!$C$42, 8.06, 8.06) * CHOOSE(CONTROL!$C$21, $C$9, 100%, $E$9)</f>
        <v>8.06</v>
      </c>
      <c r="M173" s="10">
        <f>CHOOSE(CONTROL!$C$42, 7.1656, 7.1656) * CHOOSE(CONTROL!$C$21, $C$9, 100%, $E$9)</f>
        <v>7.1656000000000004</v>
      </c>
      <c r="N173" s="10">
        <f>CHOOSE(CONTROL!$C$42, 7.1819, 7.1819) * CHOOSE(CONTROL!$C$21, $C$9, 100%, $E$9)</f>
        <v>7.1818999999999997</v>
      </c>
      <c r="O173" s="10">
        <f>CHOOSE(CONTROL!$C$42, 7.4114, 7.4114) * CHOOSE(CONTROL!$C$21, $C$9, 100%, $E$9)</f>
        <v>7.4114000000000004</v>
      </c>
      <c r="P173" s="10">
        <f>CHOOSE(CONTROL!$C$42, 7.1936, 7.1936) * CHOOSE(CONTROL!$C$21, $C$9, 100%, $E$9)</f>
        <v>7.1936</v>
      </c>
      <c r="Q173" s="10">
        <f>CHOOSE(CONTROL!$C$42, 8.0067, 8.0067) * CHOOSE(CONTROL!$C$21, $C$9, 100%, $E$9)</f>
        <v>8.0067000000000004</v>
      </c>
      <c r="R173" s="10">
        <f>CHOOSE(CONTROL!$C$42, 8.6137, 8.6137) * CHOOSE(CONTROL!$C$21, $C$9, 100%, $E$9)</f>
        <v>8.6136999999999997</v>
      </c>
      <c r="S173" s="10">
        <f>CHOOSE(CONTROL!$C$42, 7.054, 7.054) * CHOOSE(CONTROL!$C$21, $C$9, 100%, $E$9)</f>
        <v>7.0540000000000003</v>
      </c>
      <c r="T1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38">
        <f>(1000*CHOOSE(CONTROL!$C$42, 695, 695)*CHOOSE(CONTROL!$C$42, 0.5599, 0.5599)*CHOOSE(CONTROL!$C$42, 31, 31))/1000000</f>
        <v>12.063045499999998</v>
      </c>
      <c r="V173" s="38">
        <f>(1000*CHOOSE(CONTROL!$C$42, 500, 500)*CHOOSE(CONTROL!$C$42, 0.275, 0.275)*CHOOSE(CONTROL!$C$42, 31, 31))/1000000</f>
        <v>4.2625000000000002</v>
      </c>
      <c r="W173" s="38">
        <f>(1000*CHOOSE(CONTROL!$C$42, 0.1146, 0.1146)*CHOOSE(CONTROL!$C$42, 121.5, 121.5)*CHOOSE(CONTROL!$C$42, 31, 31))/1000000</f>
        <v>0.43164089999999994</v>
      </c>
      <c r="X173" s="38">
        <f>(31*0.1790888*245000/1000000)+(31*0.2374*100000/1000000)</f>
        <v>2.0961194359999999</v>
      </c>
      <c r="Y173" s="38">
        <f>(1000*600*CHOOSE(CONTROL!$C$42, 1.7143, 1.7143)*CHOOSE(CONTROL!$C$42, 31, 31))/1000000</f>
        <v>31.88598</v>
      </c>
      <c r="Z173" s="38"/>
      <c r="AA173" s="10"/>
      <c r="AB173" s="39"/>
      <c r="AC173" s="33">
        <f>(B173*194.205+C173*267.466+D173*133.845+E173*53.484+F173*40+G173*185+H173*0+I173*100+J173*300)/(194.205+267.466+133.845+53.484+0+40+185+100+300)</f>
        <v>7.2829082934850868</v>
      </c>
      <c r="AD173" s="27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7.2423467625899276</v>
      </c>
    </row>
    <row r="174" spans="1:30" ht="15" x14ac:dyDescent="0.2">
      <c r="A174" s="16">
        <v>46539</v>
      </c>
      <c r="B174" s="10">
        <f>CHOOSE(CONTROL!$C$42, 7.4743, 7.4743) * CHOOSE(CONTROL!$C$21, $C$9, 100%, $E$9)</f>
        <v>7.4743000000000004</v>
      </c>
      <c r="C174" s="10">
        <f>CHOOSE(CONTROL!$C$42, 7.4822, 7.4822) * CHOOSE(CONTROL!$C$21, $C$9, 100%, $E$9)</f>
        <v>7.4821999999999997</v>
      </c>
      <c r="D174" s="10">
        <f>CHOOSE(CONTROL!$C$42, 7.6592, 7.6592) * CHOOSE(CONTROL!$C$21, $C$9, 100%, $E$9)</f>
        <v>7.6592000000000002</v>
      </c>
      <c r="E174" s="10">
        <f>CHOOSE(CONTROL!$C$42, 7.6904, 7.6904) * CHOOSE(CONTROL!$C$21, $C$9, 100%, $E$9)</f>
        <v>7.6904000000000003</v>
      </c>
      <c r="F174" s="10">
        <f>CHOOSE(CONTROL!$C$42, 7.4379, 7.4379)*CHOOSE(CONTROL!$C$21, $C$9, 100%, $E$9)</f>
        <v>7.4379</v>
      </c>
      <c r="G174" s="10">
        <f>CHOOSE(CONTROL!$C$42, 7.4544, 7.4544)*CHOOSE(CONTROL!$C$21, $C$9, 100%, $E$9)</f>
        <v>7.4543999999999997</v>
      </c>
      <c r="H174" s="10">
        <f>CHOOSE(CONTROL!$C$42, 7.679, 7.679) * CHOOSE(CONTROL!$C$21, $C$9, 100%, $E$9)</f>
        <v>7.6790000000000003</v>
      </c>
      <c r="I174" s="10">
        <f>CHOOSE(CONTROL!$C$42, 7.4589, 7.4589)* CHOOSE(CONTROL!$C$21, $C$9, 100%, $E$9)</f>
        <v>7.4588999999999999</v>
      </c>
      <c r="J174" s="10">
        <f>CHOOSE(CONTROL!$C$42, 7.4309, 7.4309)* CHOOSE(CONTROL!$C$21, $C$9, 100%, $E$9)</f>
        <v>7.4309000000000003</v>
      </c>
      <c r="K174" s="10">
        <f>CHOOSE(CONTROL!$C$42, 7.3818, 7.3818) * CHOOSE(CONTROL!$C$21, $C$9, 100%, $E$9)</f>
        <v>7.3818000000000001</v>
      </c>
      <c r="L174" s="10">
        <f>CHOOSE(CONTROL!$C$42, 8.266, 8.266) * CHOOSE(CONTROL!$C$21, $C$9, 100%, $E$9)</f>
        <v>8.266</v>
      </c>
      <c r="M174" s="10">
        <f>CHOOSE(CONTROL!$C$42, 7.3697, 7.3697) * CHOOSE(CONTROL!$C$21, $C$9, 100%, $E$9)</f>
        <v>7.3696999999999999</v>
      </c>
      <c r="N174" s="10">
        <f>CHOOSE(CONTROL!$C$42, 7.3861, 7.3861) * CHOOSE(CONTROL!$C$21, $C$9, 100%, $E$9)</f>
        <v>7.3860999999999999</v>
      </c>
      <c r="O174" s="10">
        <f>CHOOSE(CONTROL!$C$42, 7.6153, 7.6153) * CHOOSE(CONTROL!$C$21, $C$9, 100%, $E$9)</f>
        <v>7.6153000000000004</v>
      </c>
      <c r="P174" s="10">
        <f>CHOOSE(CONTROL!$C$42, 7.3975, 7.3975) * CHOOSE(CONTROL!$C$21, $C$9, 100%, $E$9)</f>
        <v>7.3975</v>
      </c>
      <c r="Q174" s="10">
        <f>CHOOSE(CONTROL!$C$42, 8.2106, 8.2106) * CHOOSE(CONTROL!$C$21, $C$9, 100%, $E$9)</f>
        <v>8.2105999999999995</v>
      </c>
      <c r="R174" s="10">
        <f>CHOOSE(CONTROL!$C$42, 8.8182, 8.8182) * CHOOSE(CONTROL!$C$21, $C$9, 100%, $E$9)</f>
        <v>8.8181999999999992</v>
      </c>
      <c r="S174" s="10">
        <f>CHOOSE(CONTROL!$C$42, 7.2541, 7.2541) * CHOOSE(CONTROL!$C$21, $C$9, 100%, $E$9)</f>
        <v>7.2541000000000002</v>
      </c>
      <c r="T1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38">
        <f>(1000*CHOOSE(CONTROL!$C$42, 695, 695)*CHOOSE(CONTROL!$C$42, 0.5599, 0.5599)*CHOOSE(CONTROL!$C$42, 30, 30))/1000000</f>
        <v>11.673914999999997</v>
      </c>
      <c r="V174" s="38">
        <f>(1000*CHOOSE(CONTROL!$C$42, 500, 500)*CHOOSE(CONTROL!$C$42, 0.275, 0.275)*CHOOSE(CONTROL!$C$42, 30, 30))/1000000</f>
        <v>4.125</v>
      </c>
      <c r="W174" s="38">
        <f>(1000*CHOOSE(CONTROL!$C$42, 0.1146, 0.1146)*CHOOSE(CONTROL!$C$42, 121.5, 121.5)*CHOOSE(CONTROL!$C$42, 30, 30))/1000000</f>
        <v>0.417717</v>
      </c>
      <c r="X174" s="38">
        <f>(30*0.1790888*245000/1000000)+(30*0.2374*100000/1000000)</f>
        <v>2.0285026799999999</v>
      </c>
      <c r="Y174" s="38">
        <f>(1000*600*CHOOSE(CONTROL!$C$42, 1.7143, 1.7143)*CHOOSE(CONTROL!$C$42, 30, 30))/1000000</f>
        <v>30.857399999999998</v>
      </c>
      <c r="Z174" s="38"/>
      <c r="AA174" s="10"/>
      <c r="AB174" s="39"/>
      <c r="AC174" s="33">
        <f>(B174*194.205+C174*267.466+D174*133.845+E174*53.484+F174*40+G174*185+H174*0+I174*100+J174*300)/(194.205+267.466+133.845+53.484+0+40+185+100+300)</f>
        <v>7.4889949091836732</v>
      </c>
      <c r="AD174" s="27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7.4463848920863311</v>
      </c>
    </row>
    <row r="175" spans="1:30" ht="15" x14ac:dyDescent="0.2">
      <c r="A175" s="16">
        <v>46569</v>
      </c>
      <c r="B175" s="10">
        <f>CHOOSE(CONTROL!$C$42, 7.331, 7.331) * CHOOSE(CONTROL!$C$21, $C$9, 100%, $E$9)</f>
        <v>7.3310000000000004</v>
      </c>
      <c r="C175" s="10">
        <f>CHOOSE(CONTROL!$C$42, 7.339, 7.339) * CHOOSE(CONTROL!$C$21, $C$9, 100%, $E$9)</f>
        <v>7.3390000000000004</v>
      </c>
      <c r="D175" s="10">
        <f>CHOOSE(CONTROL!$C$42, 7.5159, 7.5159) * CHOOSE(CONTROL!$C$21, $C$9, 100%, $E$9)</f>
        <v>7.5159000000000002</v>
      </c>
      <c r="E175" s="10">
        <f>CHOOSE(CONTROL!$C$42, 7.5471, 7.5471) * CHOOSE(CONTROL!$C$21, $C$9, 100%, $E$9)</f>
        <v>7.5471000000000004</v>
      </c>
      <c r="F175" s="10">
        <f>CHOOSE(CONTROL!$C$42, 7.2948, 7.2948)*CHOOSE(CONTROL!$C$21, $C$9, 100%, $E$9)</f>
        <v>7.2948000000000004</v>
      </c>
      <c r="G175" s="10">
        <f>CHOOSE(CONTROL!$C$42, 7.3114, 7.3114)*CHOOSE(CONTROL!$C$21, $C$9, 100%, $E$9)</f>
        <v>7.3113999999999999</v>
      </c>
      <c r="H175" s="10">
        <f>CHOOSE(CONTROL!$C$42, 7.5357, 7.5357) * CHOOSE(CONTROL!$C$21, $C$9, 100%, $E$9)</f>
        <v>7.5357000000000003</v>
      </c>
      <c r="I175" s="10">
        <f>CHOOSE(CONTROL!$C$42, 7.3156, 7.3156)* CHOOSE(CONTROL!$C$21, $C$9, 100%, $E$9)</f>
        <v>7.3155999999999999</v>
      </c>
      <c r="J175" s="10">
        <f>CHOOSE(CONTROL!$C$42, 7.2878, 7.2878)* CHOOSE(CONTROL!$C$21, $C$9, 100%, $E$9)</f>
        <v>7.2877999999999998</v>
      </c>
      <c r="K175" s="10">
        <f>CHOOSE(CONTROL!$C$42, 7.2431, 7.2431) * CHOOSE(CONTROL!$C$21, $C$9, 100%, $E$9)</f>
        <v>7.2431000000000001</v>
      </c>
      <c r="L175" s="10">
        <f>CHOOSE(CONTROL!$C$42, 8.1227, 8.1227) * CHOOSE(CONTROL!$C$21, $C$9, 100%, $E$9)</f>
        <v>8.1227</v>
      </c>
      <c r="M175" s="10">
        <f>CHOOSE(CONTROL!$C$42, 7.2281, 7.2281) * CHOOSE(CONTROL!$C$21, $C$9, 100%, $E$9)</f>
        <v>7.2281000000000004</v>
      </c>
      <c r="N175" s="10">
        <f>CHOOSE(CONTROL!$C$42, 7.2445, 7.2445) * CHOOSE(CONTROL!$C$21, $C$9, 100%, $E$9)</f>
        <v>7.2445000000000004</v>
      </c>
      <c r="O175" s="10">
        <f>CHOOSE(CONTROL!$C$42, 7.4735, 7.4735) * CHOOSE(CONTROL!$C$21, $C$9, 100%, $E$9)</f>
        <v>7.4734999999999996</v>
      </c>
      <c r="P175" s="10">
        <f>CHOOSE(CONTROL!$C$42, 7.2557, 7.2557) * CHOOSE(CONTROL!$C$21, $C$9, 100%, $E$9)</f>
        <v>7.2557</v>
      </c>
      <c r="Q175" s="10">
        <f>CHOOSE(CONTROL!$C$42, 8.0688, 8.0688) * CHOOSE(CONTROL!$C$21, $C$9, 100%, $E$9)</f>
        <v>8.0687999999999995</v>
      </c>
      <c r="R175" s="10">
        <f>CHOOSE(CONTROL!$C$42, 8.676, 8.676) * CHOOSE(CONTROL!$C$21, $C$9, 100%, $E$9)</f>
        <v>8.6760000000000002</v>
      </c>
      <c r="S175" s="10">
        <f>CHOOSE(CONTROL!$C$42, 7.1149, 7.1149) * CHOOSE(CONTROL!$C$21, $C$9, 100%, $E$9)</f>
        <v>7.1148999999999996</v>
      </c>
      <c r="T1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38">
        <f>(1000*CHOOSE(CONTROL!$C$42, 695, 695)*CHOOSE(CONTROL!$C$42, 0.5599, 0.5599)*CHOOSE(CONTROL!$C$42, 31, 31))/1000000</f>
        <v>12.063045499999998</v>
      </c>
      <c r="V175" s="38">
        <f>(1000*CHOOSE(CONTROL!$C$42, 500, 500)*CHOOSE(CONTROL!$C$42, 0.275, 0.275)*CHOOSE(CONTROL!$C$42, 31, 31))/1000000</f>
        <v>4.2625000000000002</v>
      </c>
      <c r="W175" s="38">
        <f>(1000*CHOOSE(CONTROL!$C$42, 0.1146, 0.1146)*CHOOSE(CONTROL!$C$42, 121.5, 121.5)*CHOOSE(CONTROL!$C$42, 31, 31))/1000000</f>
        <v>0.43164089999999994</v>
      </c>
      <c r="X175" s="38">
        <f>(31*0.1790888*245000/1000000)+(31*0.2374*100000/1000000)</f>
        <v>2.0961194359999999</v>
      </c>
      <c r="Y175" s="38">
        <f>(1000*600*CHOOSE(CONTROL!$C$42, 1.7143, 1.7143)*CHOOSE(CONTROL!$C$42, 31, 31))/1000000</f>
        <v>31.88598</v>
      </c>
      <c r="Z175" s="38"/>
      <c r="AA175" s="10"/>
      <c r="AB175" s="39"/>
      <c r="AC175" s="33">
        <f>(B175*194.205+C175*267.466+D175*133.845+E175*53.484+F175*40+G175*185+H175*0+I175*100+J175*300)/(194.205+267.466+133.845+53.484+0+40+185+100+300)</f>
        <v>7.345812842150707</v>
      </c>
      <c r="AD175" s="27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7.3046999999999995</v>
      </c>
    </row>
    <row r="176" spans="1:30" ht="15" x14ac:dyDescent="0.2">
      <c r="A176" s="16">
        <v>46600</v>
      </c>
      <c r="B176" s="10">
        <f>CHOOSE(CONTROL!$C$42, 6.9692, 6.9692) * CHOOSE(CONTROL!$C$21, $C$9, 100%, $E$9)</f>
        <v>6.9691999999999998</v>
      </c>
      <c r="C176" s="10">
        <f>CHOOSE(CONTROL!$C$42, 6.9771, 6.9771) * CHOOSE(CONTROL!$C$21, $C$9, 100%, $E$9)</f>
        <v>6.9771000000000001</v>
      </c>
      <c r="D176" s="10">
        <f>CHOOSE(CONTROL!$C$42, 7.1541, 7.1541) * CHOOSE(CONTROL!$C$21, $C$9, 100%, $E$9)</f>
        <v>7.1540999999999997</v>
      </c>
      <c r="E176" s="10">
        <f>CHOOSE(CONTROL!$C$42, 7.1852, 7.1852) * CHOOSE(CONTROL!$C$21, $C$9, 100%, $E$9)</f>
        <v>7.1852</v>
      </c>
      <c r="F176" s="10">
        <f>CHOOSE(CONTROL!$C$42, 6.933, 6.933)*CHOOSE(CONTROL!$C$21, $C$9, 100%, $E$9)</f>
        <v>6.9329999999999998</v>
      </c>
      <c r="G176" s="10">
        <f>CHOOSE(CONTROL!$C$42, 6.9497, 6.9497)*CHOOSE(CONTROL!$C$21, $C$9, 100%, $E$9)</f>
        <v>6.9497</v>
      </c>
      <c r="H176" s="10">
        <f>CHOOSE(CONTROL!$C$42, 7.1739, 7.1739) * CHOOSE(CONTROL!$C$21, $C$9, 100%, $E$9)</f>
        <v>7.1738999999999997</v>
      </c>
      <c r="I176" s="10">
        <f>CHOOSE(CONTROL!$C$42, 6.9538, 6.9538)* CHOOSE(CONTROL!$C$21, $C$9, 100%, $E$9)</f>
        <v>6.9538000000000002</v>
      </c>
      <c r="J176" s="10">
        <f>CHOOSE(CONTROL!$C$42, 6.926, 6.926)* CHOOSE(CONTROL!$C$21, $C$9, 100%, $E$9)</f>
        <v>6.9260000000000002</v>
      </c>
      <c r="K176" s="10">
        <f>CHOOSE(CONTROL!$C$42, 6.8917, 6.8917) * CHOOSE(CONTROL!$C$21, $C$9, 100%, $E$9)</f>
        <v>6.8917000000000002</v>
      </c>
      <c r="L176" s="10">
        <f>CHOOSE(CONTROL!$C$42, 7.7609, 7.7609) * CHOOSE(CONTROL!$C$21, $C$9, 100%, $E$9)</f>
        <v>7.7609000000000004</v>
      </c>
      <c r="M176" s="10">
        <f>CHOOSE(CONTROL!$C$42, 6.87, 6.87) * CHOOSE(CONTROL!$C$21, $C$9, 100%, $E$9)</f>
        <v>6.87</v>
      </c>
      <c r="N176" s="10">
        <f>CHOOSE(CONTROL!$C$42, 6.8864, 6.8864) * CHOOSE(CONTROL!$C$21, $C$9, 100%, $E$9)</f>
        <v>6.8864000000000001</v>
      </c>
      <c r="O176" s="10">
        <f>CHOOSE(CONTROL!$C$42, 7.1153, 7.1153) * CHOOSE(CONTROL!$C$21, $C$9, 100%, $E$9)</f>
        <v>7.1153000000000004</v>
      </c>
      <c r="P176" s="10">
        <f>CHOOSE(CONTROL!$C$42, 6.8975, 6.8975) * CHOOSE(CONTROL!$C$21, $C$9, 100%, $E$9)</f>
        <v>6.8975</v>
      </c>
      <c r="Q176" s="10">
        <f>CHOOSE(CONTROL!$C$42, 7.7106, 7.7106) * CHOOSE(CONTROL!$C$21, $C$9, 100%, $E$9)</f>
        <v>7.7106000000000003</v>
      </c>
      <c r="R176" s="10">
        <f>CHOOSE(CONTROL!$C$42, 8.3169, 8.3169) * CHOOSE(CONTROL!$C$21, $C$9, 100%, $E$9)</f>
        <v>8.3169000000000004</v>
      </c>
      <c r="S176" s="10">
        <f>CHOOSE(CONTROL!$C$42, 6.7635, 6.7635) * CHOOSE(CONTROL!$C$21, $C$9, 100%, $E$9)</f>
        <v>6.7634999999999996</v>
      </c>
      <c r="T1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38">
        <f>(1000*CHOOSE(CONTROL!$C$42, 695, 695)*CHOOSE(CONTROL!$C$42, 0.5599, 0.5599)*CHOOSE(CONTROL!$C$42, 31, 31))/1000000</f>
        <v>12.063045499999998</v>
      </c>
      <c r="V176" s="38">
        <f>(1000*CHOOSE(CONTROL!$C$42, 500, 500)*CHOOSE(CONTROL!$C$42, 0.275, 0.275)*CHOOSE(CONTROL!$C$42, 31, 31))/1000000</f>
        <v>4.2625000000000002</v>
      </c>
      <c r="W176" s="38">
        <f>(1000*CHOOSE(CONTROL!$C$42, 0.1146, 0.1146)*CHOOSE(CONTROL!$C$42, 121.5, 121.5)*CHOOSE(CONTROL!$C$42, 31, 31))/1000000</f>
        <v>0.43164089999999994</v>
      </c>
      <c r="X176" s="38">
        <f>(31*0.1790888*245000/1000000)+(31*0.2374*100000/1000000)</f>
        <v>2.0961194359999999</v>
      </c>
      <c r="Y176" s="38">
        <f>(1000*600*CHOOSE(CONTROL!$C$42, 1.7143, 1.7143)*CHOOSE(CONTROL!$C$42, 31, 31))/1000000</f>
        <v>31.88598</v>
      </c>
      <c r="Z176" s="38"/>
      <c r="AA176" s="10"/>
      <c r="AB176" s="39"/>
      <c r="AC176" s="33">
        <f>(B176*194.205+C176*267.466+D176*133.845+E176*53.484+F176*40+G176*185+H176*0+I176*100+J176*300)/(194.205+267.466+133.845+53.484+0+40+185+100+300)</f>
        <v>6.9840021710361073</v>
      </c>
      <c r="AD176" s="27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6.9465575539568345</v>
      </c>
    </row>
    <row r="177" spans="1:30" ht="15" x14ac:dyDescent="0.2">
      <c r="A177" s="16">
        <v>46631</v>
      </c>
      <c r="B177" s="10">
        <f>CHOOSE(CONTROL!$C$42, 6.5271, 6.5271) * CHOOSE(CONTROL!$C$21, $C$9, 100%, $E$9)</f>
        <v>6.5270999999999999</v>
      </c>
      <c r="C177" s="10">
        <f>CHOOSE(CONTROL!$C$42, 6.535, 6.535) * CHOOSE(CONTROL!$C$21, $C$9, 100%, $E$9)</f>
        <v>6.5350000000000001</v>
      </c>
      <c r="D177" s="10">
        <f>CHOOSE(CONTROL!$C$42, 6.712, 6.712) * CHOOSE(CONTROL!$C$21, $C$9, 100%, $E$9)</f>
        <v>6.7119999999999997</v>
      </c>
      <c r="E177" s="10">
        <f>CHOOSE(CONTROL!$C$42, 6.7431, 6.7431) * CHOOSE(CONTROL!$C$21, $C$9, 100%, $E$9)</f>
        <v>6.7431000000000001</v>
      </c>
      <c r="F177" s="10">
        <f>CHOOSE(CONTROL!$C$42, 6.4907, 6.4907)*CHOOSE(CONTROL!$C$21, $C$9, 100%, $E$9)</f>
        <v>6.4907000000000004</v>
      </c>
      <c r="G177" s="10">
        <f>CHOOSE(CONTROL!$C$42, 6.5072, 6.5072)*CHOOSE(CONTROL!$C$21, $C$9, 100%, $E$9)</f>
        <v>6.5072000000000001</v>
      </c>
      <c r="H177" s="10">
        <f>CHOOSE(CONTROL!$C$42, 6.7318, 6.7318) * CHOOSE(CONTROL!$C$21, $C$9, 100%, $E$9)</f>
        <v>6.7317999999999998</v>
      </c>
      <c r="I177" s="10">
        <f>CHOOSE(CONTROL!$C$42, 6.5117, 6.5117)* CHOOSE(CONTROL!$C$21, $C$9, 100%, $E$9)</f>
        <v>6.5117000000000003</v>
      </c>
      <c r="J177" s="10">
        <f>CHOOSE(CONTROL!$C$42, 6.4837, 6.4837)* CHOOSE(CONTROL!$C$21, $C$9, 100%, $E$9)</f>
        <v>6.4836999999999998</v>
      </c>
      <c r="K177" s="10">
        <f>CHOOSE(CONTROL!$C$42, 6.4616, 6.4616) * CHOOSE(CONTROL!$C$21, $C$9, 100%, $E$9)</f>
        <v>6.4615999999999998</v>
      </c>
      <c r="L177" s="10">
        <f>CHOOSE(CONTROL!$C$42, 7.3188, 7.3188) * CHOOSE(CONTROL!$C$21, $C$9, 100%, $E$9)</f>
        <v>7.3188000000000004</v>
      </c>
      <c r="M177" s="10">
        <f>CHOOSE(CONTROL!$C$42, 6.4321, 6.4321) * CHOOSE(CONTROL!$C$21, $C$9, 100%, $E$9)</f>
        <v>6.4321000000000002</v>
      </c>
      <c r="N177" s="10">
        <f>CHOOSE(CONTROL!$C$42, 6.4485, 6.4485) * CHOOSE(CONTROL!$C$21, $C$9, 100%, $E$9)</f>
        <v>6.4485000000000001</v>
      </c>
      <c r="O177" s="10">
        <f>CHOOSE(CONTROL!$C$42, 6.6777, 6.6777) * CHOOSE(CONTROL!$C$21, $C$9, 100%, $E$9)</f>
        <v>6.6776999999999997</v>
      </c>
      <c r="P177" s="10">
        <f>CHOOSE(CONTROL!$C$42, 6.4598, 6.4598) * CHOOSE(CONTROL!$C$21, $C$9, 100%, $E$9)</f>
        <v>6.4598000000000004</v>
      </c>
      <c r="Q177" s="10">
        <f>CHOOSE(CONTROL!$C$42, 7.273, 7.273) * CHOOSE(CONTROL!$C$21, $C$9, 100%, $E$9)</f>
        <v>7.2729999999999997</v>
      </c>
      <c r="R177" s="10">
        <f>CHOOSE(CONTROL!$C$42, 7.8781, 7.8781) * CHOOSE(CONTROL!$C$21, $C$9, 100%, $E$9)</f>
        <v>7.8780999999999999</v>
      </c>
      <c r="S177" s="10">
        <f>CHOOSE(CONTROL!$C$42, 6.3342, 6.3342) * CHOOSE(CONTROL!$C$21, $C$9, 100%, $E$9)</f>
        <v>6.3342000000000001</v>
      </c>
      <c r="T1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38">
        <f>(1000*CHOOSE(CONTROL!$C$42, 695, 695)*CHOOSE(CONTROL!$C$42, 0.5599, 0.5599)*CHOOSE(CONTROL!$C$42, 30, 30))/1000000</f>
        <v>11.673914999999997</v>
      </c>
      <c r="V177" s="38">
        <f>(1000*CHOOSE(CONTROL!$C$42, 500, 500)*CHOOSE(CONTROL!$C$42, 0.275, 0.275)*CHOOSE(CONTROL!$C$42, 30, 30))/1000000</f>
        <v>4.125</v>
      </c>
      <c r="W177" s="38">
        <f>(1000*CHOOSE(CONTROL!$C$42, 0.1146, 0.1146)*CHOOSE(CONTROL!$C$42, 121.5, 121.5)*CHOOSE(CONTROL!$C$42, 30, 30))/1000000</f>
        <v>0.417717</v>
      </c>
      <c r="X177" s="38">
        <f>(30*0.1790888*245000/1000000)+(30*0.2374*100000/1000000)</f>
        <v>2.0285026799999999</v>
      </c>
      <c r="Y177" s="38">
        <f>(1000*600*CHOOSE(CONTROL!$C$42, 1.7143, 1.7143)*CHOOSE(CONTROL!$C$42, 30, 30))/1000000</f>
        <v>30.857399999999998</v>
      </c>
      <c r="Z177" s="38"/>
      <c r="AA177" s="10"/>
      <c r="AB177" s="39"/>
      <c r="AC177" s="33">
        <f>(B177*194.205+C177*267.466+D177*133.845+E177*53.484+F177*40+G177*185+H177*0+I177*100+J177*300)/(194.205+267.466+133.845+53.484+0+40+185+100+300)</f>
        <v>6.5417907110675033</v>
      </c>
      <c r="AD177" s="27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6.5087705035971215</v>
      </c>
    </row>
    <row r="178" spans="1:30" ht="15" x14ac:dyDescent="0.2">
      <c r="A178" s="16">
        <v>46661</v>
      </c>
      <c r="B178" s="10">
        <f>CHOOSE(CONTROL!$C$42, 6.3925, 6.3925) * CHOOSE(CONTROL!$C$21, $C$9, 100%, $E$9)</f>
        <v>6.3925000000000001</v>
      </c>
      <c r="C178" s="10">
        <f>CHOOSE(CONTROL!$C$42, 6.3977, 6.3977) * CHOOSE(CONTROL!$C$21, $C$9, 100%, $E$9)</f>
        <v>6.3977000000000004</v>
      </c>
      <c r="D178" s="10">
        <f>CHOOSE(CONTROL!$C$42, 6.5797, 6.5797) * CHOOSE(CONTROL!$C$21, $C$9, 100%, $E$9)</f>
        <v>6.5796999999999999</v>
      </c>
      <c r="E178" s="10">
        <f>CHOOSE(CONTROL!$C$42, 6.6085, 6.6085) * CHOOSE(CONTROL!$C$21, $C$9, 100%, $E$9)</f>
        <v>6.6085000000000003</v>
      </c>
      <c r="F178" s="10">
        <f>CHOOSE(CONTROL!$C$42, 6.3581, 6.3581)*CHOOSE(CONTROL!$C$21, $C$9, 100%, $E$9)</f>
        <v>6.3581000000000003</v>
      </c>
      <c r="G178" s="10">
        <f>CHOOSE(CONTROL!$C$42, 6.3744, 6.3744)*CHOOSE(CONTROL!$C$21, $C$9, 100%, $E$9)</f>
        <v>6.3743999999999996</v>
      </c>
      <c r="H178" s="10">
        <f>CHOOSE(CONTROL!$C$42, 6.599, 6.599) * CHOOSE(CONTROL!$C$21, $C$9, 100%, $E$9)</f>
        <v>6.5990000000000002</v>
      </c>
      <c r="I178" s="10">
        <f>CHOOSE(CONTROL!$C$42, 6.3789, 6.3789)* CHOOSE(CONTROL!$C$21, $C$9, 100%, $E$9)</f>
        <v>6.3788999999999998</v>
      </c>
      <c r="J178" s="10">
        <f>CHOOSE(CONTROL!$C$42, 6.3511, 6.3511)* CHOOSE(CONTROL!$C$21, $C$9, 100%, $E$9)</f>
        <v>6.3510999999999997</v>
      </c>
      <c r="K178" s="10">
        <f>CHOOSE(CONTROL!$C$42, 6.3331, 6.3331) * CHOOSE(CONTROL!$C$21, $C$9, 100%, $E$9)</f>
        <v>6.3331</v>
      </c>
      <c r="L178" s="10">
        <f>CHOOSE(CONTROL!$C$42, 7.186, 7.186) * CHOOSE(CONTROL!$C$21, $C$9, 100%, $E$9)</f>
        <v>7.1859999999999999</v>
      </c>
      <c r="M178" s="10">
        <f>CHOOSE(CONTROL!$C$42, 6.3009, 6.3009) * CHOOSE(CONTROL!$C$21, $C$9, 100%, $E$9)</f>
        <v>6.3009000000000004</v>
      </c>
      <c r="N178" s="10">
        <f>CHOOSE(CONTROL!$C$42, 6.3169, 6.3169) * CHOOSE(CONTROL!$C$21, $C$9, 100%, $E$9)</f>
        <v>6.3169000000000004</v>
      </c>
      <c r="O178" s="10">
        <f>CHOOSE(CONTROL!$C$42, 6.5462, 6.5462) * CHOOSE(CONTROL!$C$21, $C$9, 100%, $E$9)</f>
        <v>6.5461999999999998</v>
      </c>
      <c r="P178" s="10">
        <f>CHOOSE(CONTROL!$C$42, 6.3284, 6.3284) * CHOOSE(CONTROL!$C$21, $C$9, 100%, $E$9)</f>
        <v>6.3284000000000002</v>
      </c>
      <c r="Q178" s="10">
        <f>CHOOSE(CONTROL!$C$42, 7.1415, 7.1415) * CHOOSE(CONTROL!$C$21, $C$9, 100%, $E$9)</f>
        <v>7.1414999999999997</v>
      </c>
      <c r="R178" s="10">
        <f>CHOOSE(CONTROL!$C$42, 7.7463, 7.7463) * CHOOSE(CONTROL!$C$21, $C$9, 100%, $E$9)</f>
        <v>7.7462999999999997</v>
      </c>
      <c r="S178" s="10">
        <f>CHOOSE(CONTROL!$C$42, 6.2052, 6.2052) * CHOOSE(CONTROL!$C$21, $C$9, 100%, $E$9)</f>
        <v>6.2051999999999996</v>
      </c>
      <c r="T1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38">
        <f>(1000*CHOOSE(CONTROL!$C$42, 695, 695)*CHOOSE(CONTROL!$C$42, 0.5599, 0.5599)*CHOOSE(CONTROL!$C$42, 31, 31))/1000000</f>
        <v>12.063045499999998</v>
      </c>
      <c r="V178" s="38">
        <f>(1000*CHOOSE(CONTROL!$C$42, 500, 500)*CHOOSE(CONTROL!$C$42, 0.275, 0.275)*CHOOSE(CONTROL!$C$42, 31, 31))/1000000</f>
        <v>4.2625000000000002</v>
      </c>
      <c r="W178" s="38">
        <f>(1000*CHOOSE(CONTROL!$C$42, 0.1146, 0.1146)*CHOOSE(CONTROL!$C$42, 121.5, 121.5)*CHOOSE(CONTROL!$C$42, 31, 31))/1000000</f>
        <v>0.43164089999999994</v>
      </c>
      <c r="X178" s="38">
        <f>(31*0.1790888*245000/1000000)+(31*0.2374*100000/1000000)</f>
        <v>2.0961194359999999</v>
      </c>
      <c r="Y178" s="38">
        <f>(1000*600*CHOOSE(CONTROL!$C$42, 1.7143, 1.7143)*CHOOSE(CONTROL!$C$42, 31, 31))/1000000</f>
        <v>31.88598</v>
      </c>
      <c r="Z178" s="38"/>
      <c r="AA178" s="10"/>
      <c r="AB178" s="39"/>
      <c r="AC178" s="33">
        <f>(B178*131.881+C178*277.167+D178*79.08+E178*125.872+F178*40+G178*185+H178*0+I178*100+J178*300)/(131.881+277.167+79.08+125.872+0+40+185+100+300)</f>
        <v>6.4126201746569818</v>
      </c>
      <c r="AD178" s="27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6.3773654676259</v>
      </c>
    </row>
    <row r="179" spans="1:30" ht="15" x14ac:dyDescent="0.2">
      <c r="A179" s="16">
        <v>46692</v>
      </c>
      <c r="B179" s="10">
        <f>CHOOSE(CONTROL!$C$42, 6.5604, 6.5604) * CHOOSE(CONTROL!$C$21, $C$9, 100%, $E$9)</f>
        <v>6.5603999999999996</v>
      </c>
      <c r="C179" s="10">
        <f>CHOOSE(CONTROL!$C$42, 6.5654, 6.5654) * CHOOSE(CONTROL!$C$21, $C$9, 100%, $E$9)</f>
        <v>6.5654000000000003</v>
      </c>
      <c r="D179" s="10">
        <f>CHOOSE(CONTROL!$C$42, 6.5898, 6.5898) * CHOOSE(CONTROL!$C$21, $C$9, 100%, $E$9)</f>
        <v>6.5898000000000003</v>
      </c>
      <c r="E179" s="10">
        <f>CHOOSE(CONTROL!$C$42, 6.6236, 6.6236) * CHOOSE(CONTROL!$C$21, $C$9, 100%, $E$9)</f>
        <v>6.6235999999999997</v>
      </c>
      <c r="F179" s="10">
        <f>CHOOSE(CONTROL!$C$42, 6.5297, 6.5297)*CHOOSE(CONTROL!$C$21, $C$9, 100%, $E$9)</f>
        <v>6.5297000000000001</v>
      </c>
      <c r="G179" s="10">
        <f>CHOOSE(CONTROL!$C$42, 6.5462, 6.5462)*CHOOSE(CONTROL!$C$21, $C$9, 100%, $E$9)</f>
        <v>6.5461999999999998</v>
      </c>
      <c r="H179" s="10">
        <f>CHOOSE(CONTROL!$C$42, 6.6128, 6.6128) * CHOOSE(CONTROL!$C$21, $C$9, 100%, $E$9)</f>
        <v>6.6128</v>
      </c>
      <c r="I179" s="10">
        <f>CHOOSE(CONTROL!$C$42, 6.5472, 6.5472)* CHOOSE(CONTROL!$C$21, $C$9, 100%, $E$9)</f>
        <v>6.5472000000000001</v>
      </c>
      <c r="J179" s="10">
        <f>CHOOSE(CONTROL!$C$42, 6.5227, 6.5227)* CHOOSE(CONTROL!$C$21, $C$9, 100%, $E$9)</f>
        <v>6.5227000000000004</v>
      </c>
      <c r="K179" s="10">
        <f>CHOOSE(CONTROL!$C$42, 6.4982, 6.4982) * CHOOSE(CONTROL!$C$21, $C$9, 100%, $E$9)</f>
        <v>6.4981999999999998</v>
      </c>
      <c r="L179" s="10">
        <f>CHOOSE(CONTROL!$C$42, 7.1998, 7.1998) * CHOOSE(CONTROL!$C$21, $C$9, 100%, $E$9)</f>
        <v>7.1997999999999998</v>
      </c>
      <c r="M179" s="10">
        <f>CHOOSE(CONTROL!$C$42, 6.4707, 6.4707) * CHOOSE(CONTROL!$C$21, $C$9, 100%, $E$9)</f>
        <v>6.4706999999999999</v>
      </c>
      <c r="N179" s="10">
        <f>CHOOSE(CONTROL!$C$42, 6.487, 6.487) * CHOOSE(CONTROL!$C$21, $C$9, 100%, $E$9)</f>
        <v>6.4870000000000001</v>
      </c>
      <c r="O179" s="10">
        <f>CHOOSE(CONTROL!$C$42, 6.5599, 6.5599) * CHOOSE(CONTROL!$C$21, $C$9, 100%, $E$9)</f>
        <v>6.5598999999999998</v>
      </c>
      <c r="P179" s="10">
        <f>CHOOSE(CONTROL!$C$42, 6.495, 6.495) * CHOOSE(CONTROL!$C$21, $C$9, 100%, $E$9)</f>
        <v>6.4950000000000001</v>
      </c>
      <c r="Q179" s="10">
        <f>CHOOSE(CONTROL!$C$42, 7.1552, 7.1552) * CHOOSE(CONTROL!$C$21, $C$9, 100%, $E$9)</f>
        <v>7.1551999999999998</v>
      </c>
      <c r="R179" s="10">
        <f>CHOOSE(CONTROL!$C$42, 7.7601, 7.7601) * CHOOSE(CONTROL!$C$21, $C$9, 100%, $E$9)</f>
        <v>7.7601000000000004</v>
      </c>
      <c r="S179" s="10">
        <f>CHOOSE(CONTROL!$C$42, 6.3687, 6.3687) * CHOOSE(CONTROL!$C$21, $C$9, 100%, $E$9)</f>
        <v>6.3686999999999996</v>
      </c>
      <c r="T1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38">
        <f>(1000*CHOOSE(CONTROL!$C$42, 695, 695)*CHOOSE(CONTROL!$C$42, 0.5599, 0.5599)*CHOOSE(CONTROL!$C$42, 30, 30))/1000000</f>
        <v>11.673914999999997</v>
      </c>
      <c r="V179" s="38">
        <f>(1000*CHOOSE(CONTROL!$C$42, 500, 500)*CHOOSE(CONTROL!$C$42, 0.275, 0.275)*CHOOSE(CONTROL!$C$42, 30, 30))/1000000</f>
        <v>4.125</v>
      </c>
      <c r="W179" s="38">
        <f>(1000*CHOOSE(CONTROL!$C$42, 0.1146, 0.1146)*CHOOSE(CONTROL!$C$42, 121.5, 121.5)*CHOOSE(CONTROL!$C$42, 30, 30))/1000000</f>
        <v>0.417717</v>
      </c>
      <c r="X179" s="38">
        <f>(30*0.1790888*100000/1000000)+(30*0.2374*100000/1000000)</f>
        <v>1.2494664</v>
      </c>
      <c r="Y179" s="38">
        <f>(1000*600*CHOOSE(CONTROL!$C$42, 1.7143, 1.7143)*CHOOSE(CONTROL!$C$42, 30, 30))/1000000</f>
        <v>30.857399999999998</v>
      </c>
      <c r="Z179" s="38"/>
      <c r="AA179" s="10"/>
      <c r="AB179" s="39"/>
      <c r="AC179" s="33">
        <f>(B179*122.58+C179*297.941+D179*89.177+E179*40.302+F179*40+G179*160+H179*0+I179*100+J179*300)/(122.58+297.941+89.177+40.302+0+40+160+100+300)</f>
        <v>6.5521639958260876</v>
      </c>
      <c r="AD179" s="27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6.515563309352518</v>
      </c>
    </row>
    <row r="180" spans="1:30" ht="15" x14ac:dyDescent="0.2">
      <c r="A180" s="16">
        <v>46722</v>
      </c>
      <c r="B180" s="10">
        <f>CHOOSE(CONTROL!$C$42, 7.0075, 7.0075) * CHOOSE(CONTROL!$C$21, $C$9, 100%, $E$9)</f>
        <v>7.0075000000000003</v>
      </c>
      <c r="C180" s="10">
        <f>CHOOSE(CONTROL!$C$42, 7.0125, 7.0125) * CHOOSE(CONTROL!$C$21, $C$9, 100%, $E$9)</f>
        <v>7.0125000000000002</v>
      </c>
      <c r="D180" s="10">
        <f>CHOOSE(CONTROL!$C$42, 7.0369, 7.0369) * CHOOSE(CONTROL!$C$21, $C$9, 100%, $E$9)</f>
        <v>7.0369000000000002</v>
      </c>
      <c r="E180" s="10">
        <f>CHOOSE(CONTROL!$C$42, 7.0707, 7.0707) * CHOOSE(CONTROL!$C$21, $C$9, 100%, $E$9)</f>
        <v>7.0707000000000004</v>
      </c>
      <c r="F180" s="10">
        <f>CHOOSE(CONTROL!$C$42, 6.9791, 6.9791)*CHOOSE(CONTROL!$C$21, $C$9, 100%, $E$9)</f>
        <v>6.9790999999999999</v>
      </c>
      <c r="G180" s="10">
        <f>CHOOSE(CONTROL!$C$42, 6.9962, 6.9962)*CHOOSE(CONTROL!$C$21, $C$9, 100%, $E$9)</f>
        <v>6.9962</v>
      </c>
      <c r="H180" s="10">
        <f>CHOOSE(CONTROL!$C$42, 7.0599, 7.0599) * CHOOSE(CONTROL!$C$21, $C$9, 100%, $E$9)</f>
        <v>7.0598999999999998</v>
      </c>
      <c r="I180" s="10">
        <f>CHOOSE(CONTROL!$C$42, 6.9943, 6.9943)* CHOOSE(CONTROL!$C$21, $C$9, 100%, $E$9)</f>
        <v>6.9943</v>
      </c>
      <c r="J180" s="10">
        <f>CHOOSE(CONTROL!$C$42, 6.9721, 6.9721)* CHOOSE(CONTROL!$C$21, $C$9, 100%, $E$9)</f>
        <v>6.9721000000000002</v>
      </c>
      <c r="K180" s="10">
        <f>CHOOSE(CONTROL!$C$42, 6.9376, 6.9376) * CHOOSE(CONTROL!$C$21, $C$9, 100%, $E$9)</f>
        <v>6.9375999999999998</v>
      </c>
      <c r="L180" s="10">
        <f>CHOOSE(CONTROL!$C$42, 7.6469, 7.6469) * CHOOSE(CONTROL!$C$21, $C$9, 100%, $E$9)</f>
        <v>7.6468999999999996</v>
      </c>
      <c r="M180" s="10">
        <f>CHOOSE(CONTROL!$C$42, 6.9156, 6.9156) * CHOOSE(CONTROL!$C$21, $C$9, 100%, $E$9)</f>
        <v>6.9156000000000004</v>
      </c>
      <c r="N180" s="10">
        <f>CHOOSE(CONTROL!$C$42, 6.9325, 6.9325) * CHOOSE(CONTROL!$C$21, $C$9, 100%, $E$9)</f>
        <v>6.9325000000000001</v>
      </c>
      <c r="O180" s="10">
        <f>CHOOSE(CONTROL!$C$42, 7.0025, 7.0025) * CHOOSE(CONTROL!$C$21, $C$9, 100%, $E$9)</f>
        <v>7.0025000000000004</v>
      </c>
      <c r="P180" s="10">
        <f>CHOOSE(CONTROL!$C$42, 6.9376, 6.9376) * CHOOSE(CONTROL!$C$21, $C$9, 100%, $E$9)</f>
        <v>6.9375999999999998</v>
      </c>
      <c r="Q180" s="10">
        <f>CHOOSE(CONTROL!$C$42, 7.5978, 7.5978) * CHOOSE(CONTROL!$C$21, $C$9, 100%, $E$9)</f>
        <v>7.5978000000000003</v>
      </c>
      <c r="R180" s="10">
        <f>CHOOSE(CONTROL!$C$42, 8.2038, 8.2038) * CHOOSE(CONTROL!$C$21, $C$9, 100%, $E$9)</f>
        <v>8.2037999999999993</v>
      </c>
      <c r="S180" s="10">
        <f>CHOOSE(CONTROL!$C$42, 6.8029, 6.8029) * CHOOSE(CONTROL!$C$21, $C$9, 100%, $E$9)</f>
        <v>6.8029000000000002</v>
      </c>
      <c r="T1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38">
        <f>(1000*CHOOSE(CONTROL!$C$42, 695, 695)*CHOOSE(CONTROL!$C$42, 0.5599, 0.5599)*CHOOSE(CONTROL!$C$42, 31, 31))/1000000</f>
        <v>12.063045499999998</v>
      </c>
      <c r="V180" s="38">
        <f>(1000*CHOOSE(CONTROL!$C$42, 500, 500)*CHOOSE(CONTROL!$C$42, 0.275, 0.275)*CHOOSE(CONTROL!$C$42, 31, 31))/1000000</f>
        <v>4.2625000000000002</v>
      </c>
      <c r="W180" s="38">
        <f>(1000*CHOOSE(CONTROL!$C$42, 0.1146, 0.1146)*CHOOSE(CONTROL!$C$42, 121.5, 121.5)*CHOOSE(CONTROL!$C$42, 31, 31))/1000000</f>
        <v>0.43164089999999994</v>
      </c>
      <c r="X180" s="38">
        <f>(31*0.1790888*100000/1000000)+(31*0.2374*100000/1000000)</f>
        <v>1.2911152800000001</v>
      </c>
      <c r="Y180" s="38">
        <f>(1000*600*CHOOSE(CONTROL!$C$42, 1.7143, 1.7143)*CHOOSE(CONTROL!$C$42, 31, 31))/1000000</f>
        <v>31.88598</v>
      </c>
      <c r="Z180" s="38"/>
      <c r="AA180" s="10"/>
      <c r="AB180" s="39"/>
      <c r="AC180" s="33">
        <f>(B180*122.58+C180*297.941+D180*89.177+E180*40.302+F180*40+G180*160+H180*0+I180*100+J180*300)/(122.58+297.941+89.177+40.302+0+40+160+100+300)</f>
        <v>7.0003474740869569</v>
      </c>
      <c r="AD180" s="27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6.9591244604316556</v>
      </c>
    </row>
    <row r="181" spans="1:30" ht="15" x14ac:dyDescent="0.2">
      <c r="A181" s="16">
        <v>46753</v>
      </c>
      <c r="B181" s="10">
        <f>CHOOSE(CONTROL!$C$42, 7.5713, 7.5713) * CHOOSE(CONTROL!$C$21, $C$9, 100%, $E$9)</f>
        <v>7.5712999999999999</v>
      </c>
      <c r="C181" s="10">
        <f>CHOOSE(CONTROL!$C$42, 7.5763, 7.5763) * CHOOSE(CONTROL!$C$21, $C$9, 100%, $E$9)</f>
        <v>7.5762999999999998</v>
      </c>
      <c r="D181" s="10">
        <f>CHOOSE(CONTROL!$C$42, 7.6007, 7.6007) * CHOOSE(CONTROL!$C$21, $C$9, 100%, $E$9)</f>
        <v>7.6006999999999998</v>
      </c>
      <c r="E181" s="10">
        <f>CHOOSE(CONTROL!$C$42, 7.6345, 7.6345) * CHOOSE(CONTROL!$C$21, $C$9, 100%, $E$9)</f>
        <v>7.6345000000000001</v>
      </c>
      <c r="F181" s="10">
        <f>CHOOSE(CONTROL!$C$42, 7.5543, 7.5543)*CHOOSE(CONTROL!$C$21, $C$9, 100%, $E$9)</f>
        <v>7.5542999999999996</v>
      </c>
      <c r="G181" s="10">
        <f>CHOOSE(CONTROL!$C$42, 7.5729, 7.5729)*CHOOSE(CONTROL!$C$21, $C$9, 100%, $E$9)</f>
        <v>7.5728999999999997</v>
      </c>
      <c r="H181" s="10">
        <f>CHOOSE(CONTROL!$C$42, 7.6237, 7.6237) * CHOOSE(CONTROL!$C$21, $C$9, 100%, $E$9)</f>
        <v>7.6237000000000004</v>
      </c>
      <c r="I181" s="10">
        <f>CHOOSE(CONTROL!$C$42, 7.5658, 7.5658)* CHOOSE(CONTROL!$C$21, $C$9, 100%, $E$9)</f>
        <v>7.5658000000000003</v>
      </c>
      <c r="J181" s="10">
        <f>CHOOSE(CONTROL!$C$42, 7.5473, 7.5473)* CHOOSE(CONTROL!$C$21, $C$9, 100%, $E$9)</f>
        <v>7.5472999999999999</v>
      </c>
      <c r="K181" s="10">
        <f>CHOOSE(CONTROL!$C$42, 7.5063, 7.5063) * CHOOSE(CONTROL!$C$21, $C$9, 100%, $E$9)</f>
        <v>7.5063000000000004</v>
      </c>
      <c r="L181" s="10">
        <f>CHOOSE(CONTROL!$C$42, 8.2107, 8.2107) * CHOOSE(CONTROL!$C$21, $C$9, 100%, $E$9)</f>
        <v>8.2106999999999992</v>
      </c>
      <c r="M181" s="10">
        <f>CHOOSE(CONTROL!$C$42, 7.4849, 7.4849) * CHOOSE(CONTROL!$C$21, $C$9, 100%, $E$9)</f>
        <v>7.4848999999999997</v>
      </c>
      <c r="N181" s="10">
        <f>CHOOSE(CONTROL!$C$42, 7.5034, 7.5034) * CHOOSE(CONTROL!$C$21, $C$9, 100%, $E$9)</f>
        <v>7.5034000000000001</v>
      </c>
      <c r="O181" s="10">
        <f>CHOOSE(CONTROL!$C$42, 7.5606, 7.5606) * CHOOSE(CONTROL!$C$21, $C$9, 100%, $E$9)</f>
        <v>7.5606</v>
      </c>
      <c r="P181" s="10">
        <f>CHOOSE(CONTROL!$C$42, 7.5033, 7.5033) * CHOOSE(CONTROL!$C$21, $C$9, 100%, $E$9)</f>
        <v>7.5033000000000003</v>
      </c>
      <c r="Q181" s="10">
        <f>CHOOSE(CONTROL!$C$42, 8.1559, 8.1559) * CHOOSE(CONTROL!$C$21, $C$9, 100%, $E$9)</f>
        <v>8.1559000000000008</v>
      </c>
      <c r="R181" s="10">
        <f>CHOOSE(CONTROL!$C$42, 8.7633, 8.7633) * CHOOSE(CONTROL!$C$21, $C$9, 100%, $E$9)</f>
        <v>8.7632999999999992</v>
      </c>
      <c r="S181" s="10">
        <f>CHOOSE(CONTROL!$C$42, 7.3504, 7.3504) * CHOOSE(CONTROL!$C$21, $C$9, 100%, $E$9)</f>
        <v>7.3503999999999996</v>
      </c>
      <c r="T1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38">
        <f>(1000*CHOOSE(CONTROL!$C$42, 695, 695)*CHOOSE(CONTROL!$C$42, 0.5599, 0.5599)*CHOOSE(CONTROL!$C$42, 31, 31))/1000000</f>
        <v>12.063045499999998</v>
      </c>
      <c r="V181" s="38">
        <f>(1000*CHOOSE(CONTROL!$C$42, 500, 500)*CHOOSE(CONTROL!$C$42, 0.275, 0.275)*CHOOSE(CONTROL!$C$42, 31, 31))/1000000</f>
        <v>4.2625000000000002</v>
      </c>
      <c r="W181" s="38">
        <f>(1000*CHOOSE(CONTROL!$C$42, 0.1146, 0.1146)*CHOOSE(CONTROL!$C$42, 121.5, 121.5)*CHOOSE(CONTROL!$C$42, 31, 31))/1000000</f>
        <v>0.43164089999999994</v>
      </c>
      <c r="X181" s="38">
        <f>(31*0.1790888*100000/1000000)+(31*0.2374*100000/1000000)</f>
        <v>1.2911152800000001</v>
      </c>
      <c r="Y181" s="38">
        <f>(1000*600*CHOOSE(CONTROL!$C$42, 1.7044, 1.7044)*CHOOSE(CONTROL!$C$42, 31, 31))/1000000</f>
        <v>31.701840000000001</v>
      </c>
      <c r="Z181" s="38"/>
      <c r="AA181" s="10"/>
      <c r="AB181" s="39"/>
      <c r="AC181" s="33">
        <f>(B181*122.58+C181*297.941+D181*89.177+E181*40.302+F181*40+G181*160+H181*0+I181*100+J181*300)/(122.58+297.941+89.177+40.302+0+40+160+100+300)</f>
        <v>7.5699822566956509</v>
      </c>
      <c r="AD181" s="27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7.5229223021582738</v>
      </c>
    </row>
    <row r="182" spans="1:30" ht="15" x14ac:dyDescent="0.2">
      <c r="A182" s="16">
        <v>46784</v>
      </c>
      <c r="B182" s="10">
        <f>CHOOSE(CONTROL!$C$42, 7.706, 7.706) * CHOOSE(CONTROL!$C$21, $C$9, 100%, $E$9)</f>
        <v>7.7060000000000004</v>
      </c>
      <c r="C182" s="10">
        <f>CHOOSE(CONTROL!$C$42, 7.711, 7.711) * CHOOSE(CONTROL!$C$21, $C$9, 100%, $E$9)</f>
        <v>7.7110000000000003</v>
      </c>
      <c r="D182" s="10">
        <f>CHOOSE(CONTROL!$C$42, 7.7355, 7.7355) * CHOOSE(CONTROL!$C$21, $C$9, 100%, $E$9)</f>
        <v>7.7355</v>
      </c>
      <c r="E182" s="10">
        <f>CHOOSE(CONTROL!$C$42, 7.7692, 7.7692) * CHOOSE(CONTROL!$C$21, $C$9, 100%, $E$9)</f>
        <v>7.7691999999999997</v>
      </c>
      <c r="F182" s="10">
        <f>CHOOSE(CONTROL!$C$42, 7.6883, 7.6883)*CHOOSE(CONTROL!$C$21, $C$9, 100%, $E$9)</f>
        <v>7.6882999999999999</v>
      </c>
      <c r="G182" s="10">
        <f>CHOOSE(CONTROL!$C$42, 7.7068, 7.7068)*CHOOSE(CONTROL!$C$21, $C$9, 100%, $E$9)</f>
        <v>7.7068000000000003</v>
      </c>
      <c r="H182" s="10">
        <f>CHOOSE(CONTROL!$C$42, 7.7584, 7.7584) * CHOOSE(CONTROL!$C$21, $C$9, 100%, $E$9)</f>
        <v>7.7584</v>
      </c>
      <c r="I182" s="10">
        <f>CHOOSE(CONTROL!$C$42, 7.7005, 7.7005)* CHOOSE(CONTROL!$C$21, $C$9, 100%, $E$9)</f>
        <v>7.7004999999999999</v>
      </c>
      <c r="J182" s="10">
        <f>CHOOSE(CONTROL!$C$42, 7.6813, 7.6813)* CHOOSE(CONTROL!$C$21, $C$9, 100%, $E$9)</f>
        <v>7.6813000000000002</v>
      </c>
      <c r="K182" s="10">
        <f>CHOOSE(CONTROL!$C$42, 7.6358, 7.6358) * CHOOSE(CONTROL!$C$21, $C$9, 100%, $E$9)</f>
        <v>7.6357999999999997</v>
      </c>
      <c r="L182" s="10">
        <f>CHOOSE(CONTROL!$C$42, 8.3454, 8.3454) * CHOOSE(CONTROL!$C$21, $C$9, 100%, $E$9)</f>
        <v>8.3453999999999997</v>
      </c>
      <c r="M182" s="10">
        <f>CHOOSE(CONTROL!$C$42, 7.6176, 7.6176) * CHOOSE(CONTROL!$C$21, $C$9, 100%, $E$9)</f>
        <v>7.6176000000000004</v>
      </c>
      <c r="N182" s="10">
        <f>CHOOSE(CONTROL!$C$42, 7.6359, 7.6359) * CHOOSE(CONTROL!$C$21, $C$9, 100%, $E$9)</f>
        <v>7.6359000000000004</v>
      </c>
      <c r="O182" s="10">
        <f>CHOOSE(CONTROL!$C$42, 7.694, 7.694) * CHOOSE(CONTROL!$C$21, $C$9, 100%, $E$9)</f>
        <v>7.694</v>
      </c>
      <c r="P182" s="10">
        <f>CHOOSE(CONTROL!$C$42, 7.6367, 7.6367) * CHOOSE(CONTROL!$C$21, $C$9, 100%, $E$9)</f>
        <v>7.6367000000000003</v>
      </c>
      <c r="Q182" s="10">
        <f>CHOOSE(CONTROL!$C$42, 8.2893, 8.2893) * CHOOSE(CONTROL!$C$21, $C$9, 100%, $E$9)</f>
        <v>8.2893000000000008</v>
      </c>
      <c r="R182" s="10">
        <f>CHOOSE(CONTROL!$C$42, 8.897, 8.897) * CHOOSE(CONTROL!$C$21, $C$9, 100%, $E$9)</f>
        <v>8.8970000000000002</v>
      </c>
      <c r="S182" s="10">
        <f>CHOOSE(CONTROL!$C$42, 7.4812, 7.4812) * CHOOSE(CONTROL!$C$21, $C$9, 100%, $E$9)</f>
        <v>7.4812000000000003</v>
      </c>
      <c r="T18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82" s="38">
        <f>(1000*CHOOSE(CONTROL!$C$42, 695, 695)*CHOOSE(CONTROL!$C$42, 0.5599, 0.5599)*CHOOSE(CONTROL!$C$42, 29, 29))/1000000</f>
        <v>11.284784499999999</v>
      </c>
      <c r="V182" s="38">
        <f>(1000*CHOOSE(CONTROL!$C$42, 500, 500)*CHOOSE(CONTROL!$C$42, 0.275, 0.275)*CHOOSE(CONTROL!$C$42, 29, 29))/1000000</f>
        <v>3.9874999999999998</v>
      </c>
      <c r="W182" s="38">
        <f>(1000*CHOOSE(CONTROL!$C$42, 0.1146, 0.1146)*CHOOSE(CONTROL!$C$42, 121.5, 121.5)*CHOOSE(CONTROL!$C$42, 29, 29))/1000000</f>
        <v>0.40379309999999996</v>
      </c>
      <c r="X182" s="38">
        <f>(29*0.1790888*100000/1000000)+(29*0.2374*100000/1000000)</f>
        <v>1.2078175199999999</v>
      </c>
      <c r="Y182" s="38">
        <f>(1000*600*CHOOSE(CONTROL!$C$42, 1.7044, 1.7044)*CHOOSE(CONTROL!$C$42, 29, 29))/1000000</f>
        <v>29.656559999999999</v>
      </c>
      <c r="Z182" s="38"/>
      <c r="AA182" s="10"/>
      <c r="AB182" s="39"/>
      <c r="AC182" s="33">
        <f>(B182*122.58+C182*297.941+D182*89.177+E182*40.302+F182*40+G182*160+H182*0+I182*100+J182*300)/(122.58+297.941+89.177+40.302+0+40+160+100+300)</f>
        <v>7.7043717503478266</v>
      </c>
      <c r="AD182" s="27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7.6560287769784177</v>
      </c>
    </row>
    <row r="183" spans="1:30" ht="15" x14ac:dyDescent="0.2">
      <c r="A183" s="16">
        <v>46813</v>
      </c>
      <c r="B183" s="10">
        <f>CHOOSE(CONTROL!$C$42, 7.4874, 7.4874) * CHOOSE(CONTROL!$C$21, $C$9, 100%, $E$9)</f>
        <v>7.4874000000000001</v>
      </c>
      <c r="C183" s="10">
        <f>CHOOSE(CONTROL!$C$42, 7.4923, 7.4923) * CHOOSE(CONTROL!$C$21, $C$9, 100%, $E$9)</f>
        <v>7.4923000000000002</v>
      </c>
      <c r="D183" s="10">
        <f>CHOOSE(CONTROL!$C$42, 7.5168, 7.5168) * CHOOSE(CONTROL!$C$21, $C$9, 100%, $E$9)</f>
        <v>7.5167999999999999</v>
      </c>
      <c r="E183" s="10">
        <f>CHOOSE(CONTROL!$C$42, 7.5505, 7.5505) * CHOOSE(CONTROL!$C$21, $C$9, 100%, $E$9)</f>
        <v>7.5505000000000004</v>
      </c>
      <c r="F183" s="10">
        <f>CHOOSE(CONTROL!$C$42, 7.4681, 7.4681)*CHOOSE(CONTROL!$C$21, $C$9, 100%, $E$9)</f>
        <v>7.4680999999999997</v>
      </c>
      <c r="G183" s="10">
        <f>CHOOSE(CONTROL!$C$42, 7.4862, 7.4862)*CHOOSE(CONTROL!$C$21, $C$9, 100%, $E$9)</f>
        <v>7.4862000000000002</v>
      </c>
      <c r="H183" s="10">
        <f>CHOOSE(CONTROL!$C$42, 7.5397, 7.5397) * CHOOSE(CONTROL!$C$21, $C$9, 100%, $E$9)</f>
        <v>7.5396999999999998</v>
      </c>
      <c r="I183" s="10">
        <f>CHOOSE(CONTROL!$C$42, 7.4818, 7.4818)* CHOOSE(CONTROL!$C$21, $C$9, 100%, $E$9)</f>
        <v>7.4817999999999998</v>
      </c>
      <c r="J183" s="10">
        <f>CHOOSE(CONTROL!$C$42, 7.4611, 7.4611)* CHOOSE(CONTROL!$C$21, $C$9, 100%, $E$9)</f>
        <v>7.4611000000000001</v>
      </c>
      <c r="K183" s="10">
        <f>CHOOSE(CONTROL!$C$42, 7.4199, 7.4199) * CHOOSE(CONTROL!$C$21, $C$9, 100%, $E$9)</f>
        <v>7.4199000000000002</v>
      </c>
      <c r="L183" s="10">
        <f>CHOOSE(CONTROL!$C$42, 8.1267, 8.1267) * CHOOSE(CONTROL!$C$21, $C$9, 100%, $E$9)</f>
        <v>8.1266999999999996</v>
      </c>
      <c r="M183" s="10">
        <f>CHOOSE(CONTROL!$C$42, 7.3996, 7.3996) * CHOOSE(CONTROL!$C$21, $C$9, 100%, $E$9)</f>
        <v>7.3996000000000004</v>
      </c>
      <c r="N183" s="10">
        <f>CHOOSE(CONTROL!$C$42, 7.4175, 7.4175) * CHOOSE(CONTROL!$C$21, $C$9, 100%, $E$9)</f>
        <v>7.4175000000000004</v>
      </c>
      <c r="O183" s="10">
        <f>CHOOSE(CONTROL!$C$42, 7.4775, 7.4775) * CHOOSE(CONTROL!$C$21, $C$9, 100%, $E$9)</f>
        <v>7.4775</v>
      </c>
      <c r="P183" s="10">
        <f>CHOOSE(CONTROL!$C$42, 7.4202, 7.4202) * CHOOSE(CONTROL!$C$21, $C$9, 100%, $E$9)</f>
        <v>7.4202000000000004</v>
      </c>
      <c r="Q183" s="10">
        <f>CHOOSE(CONTROL!$C$42, 8.0728, 8.0728) * CHOOSE(CONTROL!$C$21, $C$9, 100%, $E$9)</f>
        <v>8.0728000000000009</v>
      </c>
      <c r="R183" s="10">
        <f>CHOOSE(CONTROL!$C$42, 8.68, 8.68) * CHOOSE(CONTROL!$C$21, $C$9, 100%, $E$9)</f>
        <v>8.68</v>
      </c>
      <c r="S183" s="10">
        <f>CHOOSE(CONTROL!$C$42, 7.2688, 7.2688) * CHOOSE(CONTROL!$C$21, $C$9, 100%, $E$9)</f>
        <v>7.2687999999999997</v>
      </c>
      <c r="T1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38">
        <f>(1000*CHOOSE(CONTROL!$C$42, 695, 695)*CHOOSE(CONTROL!$C$42, 0.5599, 0.5599)*CHOOSE(CONTROL!$C$42, 31, 31))/1000000</f>
        <v>12.063045499999998</v>
      </c>
      <c r="V183" s="38">
        <f>(1000*CHOOSE(CONTROL!$C$42, 500, 500)*CHOOSE(CONTROL!$C$42, 0.275, 0.275)*CHOOSE(CONTROL!$C$42, 31, 31))/1000000</f>
        <v>4.2625000000000002</v>
      </c>
      <c r="W183" s="38">
        <f>(1000*CHOOSE(CONTROL!$C$42, 0.1146, 0.1146)*CHOOSE(CONTROL!$C$42, 121.5, 121.5)*CHOOSE(CONTROL!$C$42, 31, 31))/1000000</f>
        <v>0.43164089999999994</v>
      </c>
      <c r="X183" s="38">
        <f>(31*0.1790888*100000/1000000)+(31*0.2374*100000/1000000)</f>
        <v>1.2911152800000001</v>
      </c>
      <c r="Y183" s="38">
        <f>(1000*600*CHOOSE(CONTROL!$C$42, 1.7044, 1.7044)*CHOOSE(CONTROL!$C$42, 31, 31))/1000000</f>
        <v>31.701840000000001</v>
      </c>
      <c r="Z183" s="38"/>
      <c r="AA183" s="10"/>
      <c r="AB183" s="39"/>
      <c r="AC183" s="33">
        <f>(B183*122.58+C183*297.941+D183*89.177+E183*40.302+F183*40+G183*160+H183*0+I183*100+J183*300)/(122.58+297.941+89.177+40.302+0+40+160+100+300)</f>
        <v>7.4849745833913035</v>
      </c>
      <c r="AD183" s="27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7.4389014388489212</v>
      </c>
    </row>
    <row r="184" spans="1:30" ht="15" x14ac:dyDescent="0.2">
      <c r="A184" s="16">
        <v>46844</v>
      </c>
      <c r="B184" s="10">
        <f>CHOOSE(CONTROL!$C$42, 7.4657, 7.4657) * CHOOSE(CONTROL!$C$21, $C$9, 100%, $E$9)</f>
        <v>7.4657</v>
      </c>
      <c r="C184" s="10">
        <f>CHOOSE(CONTROL!$C$42, 7.4701, 7.4701) * CHOOSE(CONTROL!$C$21, $C$9, 100%, $E$9)</f>
        <v>7.4701000000000004</v>
      </c>
      <c r="D184" s="10">
        <f>CHOOSE(CONTROL!$C$42, 7.6502, 7.6502) * CHOOSE(CONTROL!$C$21, $C$9, 100%, $E$9)</f>
        <v>7.6501999999999999</v>
      </c>
      <c r="E184" s="10">
        <f>CHOOSE(CONTROL!$C$42, 7.682, 7.682) * CHOOSE(CONTROL!$C$21, $C$9, 100%, $E$9)</f>
        <v>7.6820000000000004</v>
      </c>
      <c r="F184" s="10">
        <f>CHOOSE(CONTROL!$C$42, 7.431, 7.431)*CHOOSE(CONTROL!$C$21, $C$9, 100%, $E$9)</f>
        <v>7.431</v>
      </c>
      <c r="G184" s="10">
        <f>CHOOSE(CONTROL!$C$42, 7.4473, 7.4473)*CHOOSE(CONTROL!$C$21, $C$9, 100%, $E$9)</f>
        <v>7.4473000000000003</v>
      </c>
      <c r="H184" s="10">
        <f>CHOOSE(CONTROL!$C$42, 7.6718, 7.6718) * CHOOSE(CONTROL!$C$21, $C$9, 100%, $E$9)</f>
        <v>7.6718000000000002</v>
      </c>
      <c r="I184" s="10">
        <f>CHOOSE(CONTROL!$C$42, 7.4517, 7.4517)* CHOOSE(CONTROL!$C$21, $C$9, 100%, $E$9)</f>
        <v>7.4516999999999998</v>
      </c>
      <c r="J184" s="10">
        <f>CHOOSE(CONTROL!$C$42, 7.424, 7.424)* CHOOSE(CONTROL!$C$21, $C$9, 100%, $E$9)</f>
        <v>7.4240000000000004</v>
      </c>
      <c r="K184" s="10">
        <f>CHOOSE(CONTROL!$C$42, 7.3757, 7.3757) * CHOOSE(CONTROL!$C$21, $C$9, 100%, $E$9)</f>
        <v>7.3757000000000001</v>
      </c>
      <c r="L184" s="10">
        <f>CHOOSE(CONTROL!$C$42, 8.2588, 8.2588) * CHOOSE(CONTROL!$C$21, $C$9, 100%, $E$9)</f>
        <v>8.2588000000000008</v>
      </c>
      <c r="M184" s="10">
        <f>CHOOSE(CONTROL!$C$42, 7.363, 7.363) * CHOOSE(CONTROL!$C$21, $C$9, 100%, $E$9)</f>
        <v>7.3630000000000004</v>
      </c>
      <c r="N184" s="10">
        <f>CHOOSE(CONTROL!$C$42, 7.379, 7.379) * CHOOSE(CONTROL!$C$21, $C$9, 100%, $E$9)</f>
        <v>7.3789999999999996</v>
      </c>
      <c r="O184" s="10">
        <f>CHOOSE(CONTROL!$C$42, 7.6082, 7.6082) * CHOOSE(CONTROL!$C$21, $C$9, 100%, $E$9)</f>
        <v>7.6082000000000001</v>
      </c>
      <c r="P184" s="10">
        <f>CHOOSE(CONTROL!$C$42, 7.3904, 7.3904) * CHOOSE(CONTROL!$C$21, $C$9, 100%, $E$9)</f>
        <v>7.3903999999999996</v>
      </c>
      <c r="Q184" s="10">
        <f>CHOOSE(CONTROL!$C$42, 8.2035, 8.2035) * CHOOSE(CONTROL!$C$21, $C$9, 100%, $E$9)</f>
        <v>8.2035</v>
      </c>
      <c r="R184" s="10">
        <f>CHOOSE(CONTROL!$C$42, 8.811, 8.811) * CHOOSE(CONTROL!$C$21, $C$9, 100%, $E$9)</f>
        <v>8.8109999999999999</v>
      </c>
      <c r="S184" s="10">
        <f>CHOOSE(CONTROL!$C$42, 7.2471, 7.2471) * CHOOSE(CONTROL!$C$21, $C$9, 100%, $E$9)</f>
        <v>7.2470999999999997</v>
      </c>
      <c r="T1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38">
        <f>(1000*CHOOSE(CONTROL!$C$42, 695, 695)*CHOOSE(CONTROL!$C$42, 0.5599, 0.5599)*CHOOSE(CONTROL!$C$42, 30, 30))/1000000</f>
        <v>11.673914999999997</v>
      </c>
      <c r="V184" s="38">
        <f>(1000*CHOOSE(CONTROL!$C$42, 500, 500)*CHOOSE(CONTROL!$C$42, 0.275, 0.275)*CHOOSE(CONTROL!$C$42, 30, 30))/1000000</f>
        <v>4.125</v>
      </c>
      <c r="W184" s="38">
        <f>(1000*CHOOSE(CONTROL!$C$42, 0.1146, 0.1146)*CHOOSE(CONTROL!$C$42, 121.5, 121.5)*CHOOSE(CONTROL!$C$42, 30, 30))/1000000</f>
        <v>0.417717</v>
      </c>
      <c r="X184" s="38">
        <f>(30*0.1790888*245000/1000000)+(30*0.2374*100000/1000000)</f>
        <v>2.0285026799999999</v>
      </c>
      <c r="Y184" s="38">
        <f>(1000*600*CHOOSE(CONTROL!$C$42, 1.7044, 1.7044)*CHOOSE(CONTROL!$C$42, 30, 30))/1000000</f>
        <v>30.679200000000002</v>
      </c>
      <c r="Z184" s="38"/>
      <c r="AA184" s="10"/>
      <c r="AB184" s="39"/>
      <c r="AC184" s="33">
        <f>(B184*141.293+C184*267.993+D184*115.016+E184*89.698+F184*40+G184*185+H184*0+I184*100+J184*300)/(141.293+267.993+115.016+89.698+0+40+185+100+300)</f>
        <v>7.4843435016949158</v>
      </c>
      <c r="AD184" s="27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7.4394230215827344</v>
      </c>
    </row>
    <row r="185" spans="1:30" ht="15" x14ac:dyDescent="0.2">
      <c r="A185" s="16">
        <v>46874</v>
      </c>
      <c r="B185" s="10">
        <f>CHOOSE(CONTROL!$C$42, 7.5334, 7.5334) * CHOOSE(CONTROL!$C$21, $C$9, 100%, $E$9)</f>
        <v>7.5334000000000003</v>
      </c>
      <c r="C185" s="10">
        <f>CHOOSE(CONTROL!$C$42, 7.5413, 7.5413) * CHOOSE(CONTROL!$C$21, $C$9, 100%, $E$9)</f>
        <v>7.5412999999999997</v>
      </c>
      <c r="D185" s="10">
        <f>CHOOSE(CONTROL!$C$42, 7.7183, 7.7183) * CHOOSE(CONTROL!$C$21, $C$9, 100%, $E$9)</f>
        <v>7.7183000000000002</v>
      </c>
      <c r="E185" s="10">
        <f>CHOOSE(CONTROL!$C$42, 7.7494, 7.7494) * CHOOSE(CONTROL!$C$21, $C$9, 100%, $E$9)</f>
        <v>7.7493999999999996</v>
      </c>
      <c r="F185" s="10">
        <f>CHOOSE(CONTROL!$C$42, 7.4967, 7.4967)*CHOOSE(CONTROL!$C$21, $C$9, 100%, $E$9)</f>
        <v>7.4966999999999997</v>
      </c>
      <c r="G185" s="10">
        <f>CHOOSE(CONTROL!$C$42, 7.5132, 7.5132)*CHOOSE(CONTROL!$C$21, $C$9, 100%, $E$9)</f>
        <v>7.5132000000000003</v>
      </c>
      <c r="H185" s="10">
        <f>CHOOSE(CONTROL!$C$42, 7.738, 7.738) * CHOOSE(CONTROL!$C$21, $C$9, 100%, $E$9)</f>
        <v>7.7380000000000004</v>
      </c>
      <c r="I185" s="10">
        <f>CHOOSE(CONTROL!$C$42, 7.518, 7.518)* CHOOSE(CONTROL!$C$21, $C$9, 100%, $E$9)</f>
        <v>7.5179999999999998</v>
      </c>
      <c r="J185" s="10">
        <f>CHOOSE(CONTROL!$C$42, 7.4897, 7.4897)* CHOOSE(CONTROL!$C$21, $C$9, 100%, $E$9)</f>
        <v>7.4897</v>
      </c>
      <c r="K185" s="10">
        <f>CHOOSE(CONTROL!$C$42, 7.4388, 7.4388) * CHOOSE(CONTROL!$C$21, $C$9, 100%, $E$9)</f>
        <v>7.4387999999999996</v>
      </c>
      <c r="L185" s="10">
        <f>CHOOSE(CONTROL!$C$42, 8.325, 8.325) * CHOOSE(CONTROL!$C$21, $C$9, 100%, $E$9)</f>
        <v>8.3249999999999993</v>
      </c>
      <c r="M185" s="10">
        <f>CHOOSE(CONTROL!$C$42, 7.428, 7.428) * CHOOSE(CONTROL!$C$21, $C$9, 100%, $E$9)</f>
        <v>7.4279999999999999</v>
      </c>
      <c r="N185" s="10">
        <f>CHOOSE(CONTROL!$C$42, 7.4443, 7.4443) * CHOOSE(CONTROL!$C$21, $C$9, 100%, $E$9)</f>
        <v>7.4443000000000001</v>
      </c>
      <c r="O185" s="10">
        <f>CHOOSE(CONTROL!$C$42, 7.6738, 7.6738) * CHOOSE(CONTROL!$C$21, $C$9, 100%, $E$9)</f>
        <v>7.6738</v>
      </c>
      <c r="P185" s="10">
        <f>CHOOSE(CONTROL!$C$42, 7.456, 7.456) * CHOOSE(CONTROL!$C$21, $C$9, 100%, $E$9)</f>
        <v>7.4560000000000004</v>
      </c>
      <c r="Q185" s="10">
        <f>CHOOSE(CONTROL!$C$42, 8.2691, 8.2691) * CHOOSE(CONTROL!$C$21, $C$9, 100%, $E$9)</f>
        <v>8.2690999999999999</v>
      </c>
      <c r="R185" s="10">
        <f>CHOOSE(CONTROL!$C$42, 8.8768, 8.8768) * CHOOSE(CONTROL!$C$21, $C$9, 100%, $E$9)</f>
        <v>8.8767999999999994</v>
      </c>
      <c r="S185" s="10">
        <f>CHOOSE(CONTROL!$C$42, 7.3114, 7.3114) * CHOOSE(CONTROL!$C$21, $C$9, 100%, $E$9)</f>
        <v>7.3113999999999999</v>
      </c>
      <c r="T1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38">
        <f>(1000*CHOOSE(CONTROL!$C$42, 695, 695)*CHOOSE(CONTROL!$C$42, 0.5599, 0.5599)*CHOOSE(CONTROL!$C$42, 31, 31))/1000000</f>
        <v>12.063045499999998</v>
      </c>
      <c r="V185" s="38">
        <f>(1000*CHOOSE(CONTROL!$C$42, 500, 500)*CHOOSE(CONTROL!$C$42, 0.275, 0.275)*CHOOSE(CONTROL!$C$42, 31, 31))/1000000</f>
        <v>4.2625000000000002</v>
      </c>
      <c r="W185" s="38">
        <f>(1000*CHOOSE(CONTROL!$C$42, 0.1146, 0.1146)*CHOOSE(CONTROL!$C$42, 121.5, 121.5)*CHOOSE(CONTROL!$C$42, 31, 31))/1000000</f>
        <v>0.43164089999999994</v>
      </c>
      <c r="X185" s="38">
        <f>(31*0.1790888*245000/1000000)+(31*0.2374*100000/1000000)</f>
        <v>2.0961194359999999</v>
      </c>
      <c r="Y185" s="38">
        <f>(1000*600*CHOOSE(CONTROL!$C$42, 1.7044, 1.7044)*CHOOSE(CONTROL!$C$42, 31, 31))/1000000</f>
        <v>31.701840000000001</v>
      </c>
      <c r="Z185" s="38"/>
      <c r="AA185" s="10"/>
      <c r="AB185" s="39"/>
      <c r="AC185" s="33">
        <f>(B185*194.205+C185*267.466+D185*133.845+E185*53.484+F185*40+G185*185+H185*0+I185*100+J185*300)/(194.205+267.466+133.845+53.484+0+40+185+100+300)</f>
        <v>7.5479670846938776</v>
      </c>
      <c r="AD185" s="27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7.5047467625899289</v>
      </c>
    </row>
    <row r="186" spans="1:30" ht="15" x14ac:dyDescent="0.2">
      <c r="A186" s="16">
        <v>46905</v>
      </c>
      <c r="B186" s="10">
        <f>CHOOSE(CONTROL!$C$42, 7.7469, 7.7469) * CHOOSE(CONTROL!$C$21, $C$9, 100%, $E$9)</f>
        <v>7.7469000000000001</v>
      </c>
      <c r="C186" s="10">
        <f>CHOOSE(CONTROL!$C$42, 7.7548, 7.7548) * CHOOSE(CONTROL!$C$21, $C$9, 100%, $E$9)</f>
        <v>7.7548000000000004</v>
      </c>
      <c r="D186" s="10">
        <f>CHOOSE(CONTROL!$C$42, 7.9318, 7.9318) * CHOOSE(CONTROL!$C$21, $C$9, 100%, $E$9)</f>
        <v>7.9318</v>
      </c>
      <c r="E186" s="10">
        <f>CHOOSE(CONTROL!$C$42, 7.9629, 7.9629) * CHOOSE(CONTROL!$C$21, $C$9, 100%, $E$9)</f>
        <v>7.9629000000000003</v>
      </c>
      <c r="F186" s="10">
        <f>CHOOSE(CONTROL!$C$42, 7.7104, 7.7104)*CHOOSE(CONTROL!$C$21, $C$9, 100%, $E$9)</f>
        <v>7.7103999999999999</v>
      </c>
      <c r="G186" s="10">
        <f>CHOOSE(CONTROL!$C$42, 7.727, 7.727)*CHOOSE(CONTROL!$C$21, $C$9, 100%, $E$9)</f>
        <v>7.7270000000000003</v>
      </c>
      <c r="H186" s="10">
        <f>CHOOSE(CONTROL!$C$42, 7.9516, 7.9516) * CHOOSE(CONTROL!$C$21, $C$9, 100%, $E$9)</f>
        <v>7.9516</v>
      </c>
      <c r="I186" s="10">
        <f>CHOOSE(CONTROL!$C$42, 7.7315, 7.7315)* CHOOSE(CONTROL!$C$21, $C$9, 100%, $E$9)</f>
        <v>7.7314999999999996</v>
      </c>
      <c r="J186" s="10">
        <f>CHOOSE(CONTROL!$C$42, 7.7034, 7.7034)* CHOOSE(CONTROL!$C$21, $C$9, 100%, $E$9)</f>
        <v>7.7034000000000002</v>
      </c>
      <c r="K186" s="10">
        <f>CHOOSE(CONTROL!$C$42, 7.6466, 7.6466) * CHOOSE(CONTROL!$C$21, $C$9, 100%, $E$9)</f>
        <v>7.6466000000000003</v>
      </c>
      <c r="L186" s="10">
        <f>CHOOSE(CONTROL!$C$42, 8.5386, 8.5386) * CHOOSE(CONTROL!$C$21, $C$9, 100%, $E$9)</f>
        <v>8.5386000000000006</v>
      </c>
      <c r="M186" s="10">
        <f>CHOOSE(CONTROL!$C$42, 7.6395, 7.6395) * CHOOSE(CONTROL!$C$21, $C$9, 100%, $E$9)</f>
        <v>7.6395</v>
      </c>
      <c r="N186" s="10">
        <f>CHOOSE(CONTROL!$C$42, 7.6559, 7.6559) * CHOOSE(CONTROL!$C$21, $C$9, 100%, $E$9)</f>
        <v>7.6558999999999999</v>
      </c>
      <c r="O186" s="10">
        <f>CHOOSE(CONTROL!$C$42, 7.8852, 7.8852) * CHOOSE(CONTROL!$C$21, $C$9, 100%, $E$9)</f>
        <v>7.8852000000000002</v>
      </c>
      <c r="P186" s="10">
        <f>CHOOSE(CONTROL!$C$42, 7.6673, 7.6673) * CHOOSE(CONTROL!$C$21, $C$9, 100%, $E$9)</f>
        <v>7.6673</v>
      </c>
      <c r="Q186" s="10">
        <f>CHOOSE(CONTROL!$C$42, 8.4805, 8.4805) * CHOOSE(CONTROL!$C$21, $C$9, 100%, $E$9)</f>
        <v>8.4804999999999993</v>
      </c>
      <c r="R186" s="10">
        <f>CHOOSE(CONTROL!$C$42, 9.0887, 9.0887) * CHOOSE(CONTROL!$C$21, $C$9, 100%, $E$9)</f>
        <v>9.0886999999999993</v>
      </c>
      <c r="S186" s="10">
        <f>CHOOSE(CONTROL!$C$42, 7.5188, 7.5188) * CHOOSE(CONTROL!$C$21, $C$9, 100%, $E$9)</f>
        <v>7.5187999999999997</v>
      </c>
      <c r="T1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38">
        <f>(1000*CHOOSE(CONTROL!$C$42, 695, 695)*CHOOSE(CONTROL!$C$42, 0.5599, 0.5599)*CHOOSE(CONTROL!$C$42, 30, 30))/1000000</f>
        <v>11.673914999999997</v>
      </c>
      <c r="V186" s="38">
        <f>(1000*CHOOSE(CONTROL!$C$42, 500, 500)*CHOOSE(CONTROL!$C$42, 0.275, 0.275)*CHOOSE(CONTROL!$C$42, 30, 30))/1000000</f>
        <v>4.125</v>
      </c>
      <c r="W186" s="38">
        <f>(1000*CHOOSE(CONTROL!$C$42, 0.1146, 0.1146)*CHOOSE(CONTROL!$C$42, 121.5, 121.5)*CHOOSE(CONTROL!$C$42, 30, 30))/1000000</f>
        <v>0.417717</v>
      </c>
      <c r="X186" s="38">
        <f>(30*0.1790888*245000/1000000)+(30*0.2374*100000/1000000)</f>
        <v>2.0285026799999999</v>
      </c>
      <c r="Y186" s="38">
        <f>(1000*600*CHOOSE(CONTROL!$C$42, 1.7044, 1.7044)*CHOOSE(CONTROL!$C$42, 30, 30))/1000000</f>
        <v>30.679200000000002</v>
      </c>
      <c r="Z186" s="38"/>
      <c r="AA186" s="10"/>
      <c r="AB186" s="39"/>
      <c r="AC186" s="33">
        <f>(B186*194.205+C186*267.466+D186*133.845+E186*53.484+F186*40+G186*185+H186*0+I186*100+J186*300)/(194.205+267.466+133.845+53.484+0+40+185+100+300)</f>
        <v>7.7615640234693872</v>
      </c>
      <c r="AD186" s="27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7.7162129496402878</v>
      </c>
    </row>
    <row r="187" spans="1:30" ht="15" x14ac:dyDescent="0.2">
      <c r="A187" s="16">
        <v>46935</v>
      </c>
      <c r="B187" s="10">
        <f>CHOOSE(CONTROL!$C$42, 7.5984, 7.5984) * CHOOSE(CONTROL!$C$21, $C$9, 100%, $E$9)</f>
        <v>7.5983999999999998</v>
      </c>
      <c r="C187" s="10">
        <f>CHOOSE(CONTROL!$C$42, 7.6063, 7.6063) * CHOOSE(CONTROL!$C$21, $C$9, 100%, $E$9)</f>
        <v>7.6063000000000001</v>
      </c>
      <c r="D187" s="10">
        <f>CHOOSE(CONTROL!$C$42, 7.7833, 7.7833) * CHOOSE(CONTROL!$C$21, $C$9, 100%, $E$9)</f>
        <v>7.7832999999999997</v>
      </c>
      <c r="E187" s="10">
        <f>CHOOSE(CONTROL!$C$42, 7.8144, 7.8144) * CHOOSE(CONTROL!$C$21, $C$9, 100%, $E$9)</f>
        <v>7.8144</v>
      </c>
      <c r="F187" s="10">
        <f>CHOOSE(CONTROL!$C$42, 7.5622, 7.5622)*CHOOSE(CONTROL!$C$21, $C$9, 100%, $E$9)</f>
        <v>7.5621999999999998</v>
      </c>
      <c r="G187" s="10">
        <f>CHOOSE(CONTROL!$C$42, 7.5788, 7.5788)*CHOOSE(CONTROL!$C$21, $C$9, 100%, $E$9)</f>
        <v>7.5788000000000002</v>
      </c>
      <c r="H187" s="10">
        <f>CHOOSE(CONTROL!$C$42, 7.8031, 7.8031) * CHOOSE(CONTROL!$C$21, $C$9, 100%, $E$9)</f>
        <v>7.8030999999999997</v>
      </c>
      <c r="I187" s="10">
        <f>CHOOSE(CONTROL!$C$42, 7.583, 7.583)* CHOOSE(CONTROL!$C$21, $C$9, 100%, $E$9)</f>
        <v>7.5830000000000002</v>
      </c>
      <c r="J187" s="10">
        <f>CHOOSE(CONTROL!$C$42, 7.5552, 7.5552)* CHOOSE(CONTROL!$C$21, $C$9, 100%, $E$9)</f>
        <v>7.5552000000000001</v>
      </c>
      <c r="K187" s="10">
        <f>CHOOSE(CONTROL!$C$42, 7.5029, 7.5029) * CHOOSE(CONTROL!$C$21, $C$9, 100%, $E$9)</f>
        <v>7.5029000000000003</v>
      </c>
      <c r="L187" s="10">
        <f>CHOOSE(CONTROL!$C$42, 8.3901, 8.3901) * CHOOSE(CONTROL!$C$21, $C$9, 100%, $E$9)</f>
        <v>8.3901000000000003</v>
      </c>
      <c r="M187" s="10">
        <f>CHOOSE(CONTROL!$C$42, 7.4928, 7.4928) * CHOOSE(CONTROL!$C$21, $C$9, 100%, $E$9)</f>
        <v>7.4927999999999999</v>
      </c>
      <c r="N187" s="10">
        <f>CHOOSE(CONTROL!$C$42, 7.5092, 7.5092) * CHOOSE(CONTROL!$C$21, $C$9, 100%, $E$9)</f>
        <v>7.5091999999999999</v>
      </c>
      <c r="O187" s="10">
        <f>CHOOSE(CONTROL!$C$42, 7.7381, 7.7381) * CHOOSE(CONTROL!$C$21, $C$9, 100%, $E$9)</f>
        <v>7.7381000000000002</v>
      </c>
      <c r="P187" s="10">
        <f>CHOOSE(CONTROL!$C$42, 7.5203, 7.5203) * CHOOSE(CONTROL!$C$21, $C$9, 100%, $E$9)</f>
        <v>7.5202999999999998</v>
      </c>
      <c r="Q187" s="10">
        <f>CHOOSE(CONTROL!$C$42, 8.3334, 8.3334) * CHOOSE(CONTROL!$C$21, $C$9, 100%, $E$9)</f>
        <v>8.3333999999999993</v>
      </c>
      <c r="R187" s="10">
        <f>CHOOSE(CONTROL!$C$42, 8.9413, 8.9413) * CHOOSE(CONTROL!$C$21, $C$9, 100%, $E$9)</f>
        <v>8.9413</v>
      </c>
      <c r="S187" s="10">
        <f>CHOOSE(CONTROL!$C$42, 7.3745, 7.3745) * CHOOSE(CONTROL!$C$21, $C$9, 100%, $E$9)</f>
        <v>7.3745000000000003</v>
      </c>
      <c r="T1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38">
        <f>(1000*CHOOSE(CONTROL!$C$42, 695, 695)*CHOOSE(CONTROL!$C$42, 0.5599, 0.5599)*CHOOSE(CONTROL!$C$42, 31, 31))/1000000</f>
        <v>12.063045499999998</v>
      </c>
      <c r="V187" s="38">
        <f>(1000*CHOOSE(CONTROL!$C$42, 500, 500)*CHOOSE(CONTROL!$C$42, 0.275, 0.275)*CHOOSE(CONTROL!$C$42, 31, 31))/1000000</f>
        <v>4.2625000000000002</v>
      </c>
      <c r="W187" s="38">
        <f>(1000*CHOOSE(CONTROL!$C$42, 0.1146, 0.1146)*CHOOSE(CONTROL!$C$42, 121.5, 121.5)*CHOOSE(CONTROL!$C$42, 31, 31))/1000000</f>
        <v>0.43164089999999994</v>
      </c>
      <c r="X187" s="38">
        <f>(31*0.1790888*245000/1000000)+(31*0.2374*100000/1000000)</f>
        <v>2.0961194359999999</v>
      </c>
      <c r="Y187" s="38">
        <f>(1000*600*CHOOSE(CONTROL!$C$42, 1.7044, 1.7044)*CHOOSE(CONTROL!$C$42, 31, 31))/1000000</f>
        <v>31.701840000000001</v>
      </c>
      <c r="Z187" s="38"/>
      <c r="AA187" s="10"/>
      <c r="AB187" s="39"/>
      <c r="AC187" s="33">
        <f>(B187*194.205+C187*267.466+D187*133.845+E187*53.484+F187*40+G187*185+H187*0+I187*100+J187*300)/(194.205+267.466+133.845+53.484+0+40+185+100+300)</f>
        <v>7.6131876498430149</v>
      </c>
      <c r="AD187" s="27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7.5693575539568343</v>
      </c>
    </row>
    <row r="188" spans="1:30" ht="15" x14ac:dyDescent="0.2">
      <c r="A188" s="16">
        <v>46966</v>
      </c>
      <c r="B188" s="10">
        <f>CHOOSE(CONTROL!$C$42, 7.2233, 7.2233) * CHOOSE(CONTROL!$C$21, $C$9, 100%, $E$9)</f>
        <v>7.2233000000000001</v>
      </c>
      <c r="C188" s="10">
        <f>CHOOSE(CONTROL!$C$42, 7.2313, 7.2313) * CHOOSE(CONTROL!$C$21, $C$9, 100%, $E$9)</f>
        <v>7.2313000000000001</v>
      </c>
      <c r="D188" s="10">
        <f>CHOOSE(CONTROL!$C$42, 7.4082, 7.4082) * CHOOSE(CONTROL!$C$21, $C$9, 100%, $E$9)</f>
        <v>7.4081999999999999</v>
      </c>
      <c r="E188" s="10">
        <f>CHOOSE(CONTROL!$C$42, 7.4394, 7.4394) * CHOOSE(CONTROL!$C$21, $C$9, 100%, $E$9)</f>
        <v>7.4394</v>
      </c>
      <c r="F188" s="10">
        <f>CHOOSE(CONTROL!$C$42, 7.1872, 7.1872)*CHOOSE(CONTROL!$C$21, $C$9, 100%, $E$9)</f>
        <v>7.1871999999999998</v>
      </c>
      <c r="G188" s="10">
        <f>CHOOSE(CONTROL!$C$42, 7.2038, 7.2038)*CHOOSE(CONTROL!$C$21, $C$9, 100%, $E$9)</f>
        <v>7.2038000000000002</v>
      </c>
      <c r="H188" s="10">
        <f>CHOOSE(CONTROL!$C$42, 7.428, 7.428) * CHOOSE(CONTROL!$C$21, $C$9, 100%, $E$9)</f>
        <v>7.4279999999999999</v>
      </c>
      <c r="I188" s="10">
        <f>CHOOSE(CONTROL!$C$42, 7.2079, 7.2079)* CHOOSE(CONTROL!$C$21, $C$9, 100%, $E$9)</f>
        <v>7.2079000000000004</v>
      </c>
      <c r="J188" s="10">
        <f>CHOOSE(CONTROL!$C$42, 7.1802, 7.1802)* CHOOSE(CONTROL!$C$21, $C$9, 100%, $E$9)</f>
        <v>7.1802000000000001</v>
      </c>
      <c r="K188" s="10">
        <f>CHOOSE(CONTROL!$C$42, 7.1386, 7.1386) * CHOOSE(CONTROL!$C$21, $C$9, 100%, $E$9)</f>
        <v>7.1386000000000003</v>
      </c>
      <c r="L188" s="10">
        <f>CHOOSE(CONTROL!$C$42, 8.015, 8.015) * CHOOSE(CONTROL!$C$21, $C$9, 100%, $E$9)</f>
        <v>8.0150000000000006</v>
      </c>
      <c r="M188" s="10">
        <f>CHOOSE(CONTROL!$C$42, 7.1215, 7.1215) * CHOOSE(CONTROL!$C$21, $C$9, 100%, $E$9)</f>
        <v>7.1215000000000002</v>
      </c>
      <c r="N188" s="10">
        <f>CHOOSE(CONTROL!$C$42, 7.138, 7.138) * CHOOSE(CONTROL!$C$21, $C$9, 100%, $E$9)</f>
        <v>7.1379999999999999</v>
      </c>
      <c r="O188" s="10">
        <f>CHOOSE(CONTROL!$C$42, 7.3669, 7.3669) * CHOOSE(CONTROL!$C$21, $C$9, 100%, $E$9)</f>
        <v>7.3669000000000002</v>
      </c>
      <c r="P188" s="10">
        <f>CHOOSE(CONTROL!$C$42, 7.1491, 7.1491) * CHOOSE(CONTROL!$C$21, $C$9, 100%, $E$9)</f>
        <v>7.1490999999999998</v>
      </c>
      <c r="Q188" s="10">
        <f>CHOOSE(CONTROL!$C$42, 7.9622, 7.9622) * CHOOSE(CONTROL!$C$21, $C$9, 100%, $E$9)</f>
        <v>7.9622000000000002</v>
      </c>
      <c r="R188" s="10">
        <f>CHOOSE(CONTROL!$C$42, 8.5691, 8.5691) * CHOOSE(CONTROL!$C$21, $C$9, 100%, $E$9)</f>
        <v>8.5691000000000006</v>
      </c>
      <c r="S188" s="10">
        <f>CHOOSE(CONTROL!$C$42, 7.0103, 7.0103) * CHOOSE(CONTROL!$C$21, $C$9, 100%, $E$9)</f>
        <v>7.0103</v>
      </c>
      <c r="T1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38">
        <f>(1000*CHOOSE(CONTROL!$C$42, 695, 695)*CHOOSE(CONTROL!$C$42, 0.5599, 0.5599)*CHOOSE(CONTROL!$C$42, 31, 31))/1000000</f>
        <v>12.063045499999998</v>
      </c>
      <c r="V188" s="38">
        <f>(1000*CHOOSE(CONTROL!$C$42, 500, 500)*CHOOSE(CONTROL!$C$42, 0.275, 0.275)*CHOOSE(CONTROL!$C$42, 31, 31))/1000000</f>
        <v>4.2625000000000002</v>
      </c>
      <c r="W188" s="38">
        <f>(1000*CHOOSE(CONTROL!$C$42, 0.1146, 0.1146)*CHOOSE(CONTROL!$C$42, 121.5, 121.5)*CHOOSE(CONTROL!$C$42, 31, 31))/1000000</f>
        <v>0.43164089999999994</v>
      </c>
      <c r="X188" s="38">
        <f>(31*0.1790888*245000/1000000)+(31*0.2374*100000/1000000)</f>
        <v>2.0961194359999999</v>
      </c>
      <c r="Y188" s="38">
        <f>(1000*600*CHOOSE(CONTROL!$C$42, 1.7044, 1.7044)*CHOOSE(CONTROL!$C$42, 31, 31))/1000000</f>
        <v>31.701840000000001</v>
      </c>
      <c r="Z188" s="38"/>
      <c r="AA188" s="10"/>
      <c r="AB188" s="39"/>
      <c r="AC188" s="33">
        <f>(B188*194.205+C188*267.466+D188*133.845+E188*53.484+F188*40+G188*185+H188*0+I188*100+J188*300)/(194.205+267.466+133.845+53.484+0+40+185+100+300)</f>
        <v>7.2381540509419162</v>
      </c>
      <c r="AD188" s="27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7.1981230215827336</v>
      </c>
    </row>
    <row r="189" spans="1:30" ht="15" x14ac:dyDescent="0.2">
      <c r="A189" s="16">
        <v>46997</v>
      </c>
      <c r="B189" s="10">
        <f>CHOOSE(CONTROL!$C$42, 6.7651, 6.7651) * CHOOSE(CONTROL!$C$21, $C$9, 100%, $E$9)</f>
        <v>6.7651000000000003</v>
      </c>
      <c r="C189" s="10">
        <f>CHOOSE(CONTROL!$C$42, 6.773, 6.773) * CHOOSE(CONTROL!$C$21, $C$9, 100%, $E$9)</f>
        <v>6.7729999999999997</v>
      </c>
      <c r="D189" s="10">
        <f>CHOOSE(CONTROL!$C$42, 6.95, 6.95) * CHOOSE(CONTROL!$C$21, $C$9, 100%, $E$9)</f>
        <v>6.95</v>
      </c>
      <c r="E189" s="10">
        <f>CHOOSE(CONTROL!$C$42, 6.9811, 6.9811) * CHOOSE(CONTROL!$C$21, $C$9, 100%, $E$9)</f>
        <v>6.9810999999999996</v>
      </c>
      <c r="F189" s="10">
        <f>CHOOSE(CONTROL!$C$42, 6.7287, 6.7287)*CHOOSE(CONTROL!$C$21, $C$9, 100%, $E$9)</f>
        <v>6.7286999999999999</v>
      </c>
      <c r="G189" s="10">
        <f>CHOOSE(CONTROL!$C$42, 6.7452, 6.7452)*CHOOSE(CONTROL!$C$21, $C$9, 100%, $E$9)</f>
        <v>6.7451999999999996</v>
      </c>
      <c r="H189" s="10">
        <f>CHOOSE(CONTROL!$C$42, 6.9698, 6.9698) * CHOOSE(CONTROL!$C$21, $C$9, 100%, $E$9)</f>
        <v>6.9698000000000002</v>
      </c>
      <c r="I189" s="10">
        <f>CHOOSE(CONTROL!$C$42, 6.7497, 6.7497)* CHOOSE(CONTROL!$C$21, $C$9, 100%, $E$9)</f>
        <v>6.7496999999999998</v>
      </c>
      <c r="J189" s="10">
        <f>CHOOSE(CONTROL!$C$42, 6.7217, 6.7217)* CHOOSE(CONTROL!$C$21, $C$9, 100%, $E$9)</f>
        <v>6.7217000000000002</v>
      </c>
      <c r="K189" s="10">
        <f>CHOOSE(CONTROL!$C$42, 6.6929, 6.6929) * CHOOSE(CONTROL!$C$21, $C$9, 100%, $E$9)</f>
        <v>6.6928999999999998</v>
      </c>
      <c r="L189" s="10">
        <f>CHOOSE(CONTROL!$C$42, 7.5568, 7.5568) * CHOOSE(CONTROL!$C$21, $C$9, 100%, $E$9)</f>
        <v>7.5568</v>
      </c>
      <c r="M189" s="10">
        <f>CHOOSE(CONTROL!$C$42, 6.6677, 6.6677) * CHOOSE(CONTROL!$C$21, $C$9, 100%, $E$9)</f>
        <v>6.6677</v>
      </c>
      <c r="N189" s="10">
        <f>CHOOSE(CONTROL!$C$42, 6.6841, 6.6841) * CHOOSE(CONTROL!$C$21, $C$9, 100%, $E$9)</f>
        <v>6.6840999999999999</v>
      </c>
      <c r="O189" s="10">
        <f>CHOOSE(CONTROL!$C$42, 6.9133, 6.9133) * CHOOSE(CONTROL!$C$21, $C$9, 100%, $E$9)</f>
        <v>6.9132999999999996</v>
      </c>
      <c r="P189" s="10">
        <f>CHOOSE(CONTROL!$C$42, 6.6954, 6.6954) * CHOOSE(CONTROL!$C$21, $C$9, 100%, $E$9)</f>
        <v>6.6954000000000002</v>
      </c>
      <c r="Q189" s="10">
        <f>CHOOSE(CONTROL!$C$42, 7.5086, 7.5086) * CHOOSE(CONTROL!$C$21, $C$9, 100%, $E$9)</f>
        <v>7.5086000000000004</v>
      </c>
      <c r="R189" s="10">
        <f>CHOOSE(CONTROL!$C$42, 8.1143, 8.1143) * CHOOSE(CONTROL!$C$21, $C$9, 100%, $E$9)</f>
        <v>8.1143000000000001</v>
      </c>
      <c r="S189" s="10">
        <f>CHOOSE(CONTROL!$C$42, 6.5653, 6.5653) * CHOOSE(CONTROL!$C$21, $C$9, 100%, $E$9)</f>
        <v>6.5652999999999997</v>
      </c>
      <c r="T1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38">
        <f>(1000*CHOOSE(CONTROL!$C$42, 695, 695)*CHOOSE(CONTROL!$C$42, 0.5599, 0.5599)*CHOOSE(CONTROL!$C$42, 30, 30))/1000000</f>
        <v>11.673914999999997</v>
      </c>
      <c r="V189" s="38">
        <f>(1000*CHOOSE(CONTROL!$C$42, 500, 500)*CHOOSE(CONTROL!$C$42, 0.275, 0.275)*CHOOSE(CONTROL!$C$42, 30, 30))/1000000</f>
        <v>4.125</v>
      </c>
      <c r="W189" s="38">
        <f>(1000*CHOOSE(CONTROL!$C$42, 0.1146, 0.1146)*CHOOSE(CONTROL!$C$42, 121.5, 121.5)*CHOOSE(CONTROL!$C$42, 30, 30))/1000000</f>
        <v>0.417717</v>
      </c>
      <c r="X189" s="38">
        <f>(30*0.1790888*245000/1000000)+(30*0.2374*100000/1000000)</f>
        <v>2.0285026799999999</v>
      </c>
      <c r="Y189" s="38">
        <f>(1000*600*CHOOSE(CONTROL!$C$42, 1.7044, 1.7044)*CHOOSE(CONTROL!$C$42, 30, 30))/1000000</f>
        <v>30.679200000000002</v>
      </c>
      <c r="Z189" s="38"/>
      <c r="AA189" s="10"/>
      <c r="AB189" s="39"/>
      <c r="AC189" s="33">
        <f>(B189*194.205+C189*267.466+D189*133.845+E189*53.484+F189*40+G189*185+H189*0+I189*100+J189*300)/(194.205+267.466+133.845+53.484+0+40+185+100+300)</f>
        <v>6.7797907110675046</v>
      </c>
      <c r="AD189" s="27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6.7443705035971222</v>
      </c>
    </row>
    <row r="190" spans="1:30" ht="15" x14ac:dyDescent="0.2">
      <c r="A190" s="16">
        <v>47027</v>
      </c>
      <c r="B190" s="10">
        <f>CHOOSE(CONTROL!$C$42, 6.6257, 6.6257) * CHOOSE(CONTROL!$C$21, $C$9, 100%, $E$9)</f>
        <v>6.6257000000000001</v>
      </c>
      <c r="C190" s="10">
        <f>CHOOSE(CONTROL!$C$42, 6.6309, 6.6309) * CHOOSE(CONTROL!$C$21, $C$9, 100%, $E$9)</f>
        <v>6.6308999999999996</v>
      </c>
      <c r="D190" s="10">
        <f>CHOOSE(CONTROL!$C$42, 6.8129, 6.8129) * CHOOSE(CONTROL!$C$21, $C$9, 100%, $E$9)</f>
        <v>6.8129</v>
      </c>
      <c r="E190" s="10">
        <f>CHOOSE(CONTROL!$C$42, 6.8417, 6.8417) * CHOOSE(CONTROL!$C$21, $C$9, 100%, $E$9)</f>
        <v>6.8417000000000003</v>
      </c>
      <c r="F190" s="10">
        <f>CHOOSE(CONTROL!$C$42, 6.5913, 6.5913)*CHOOSE(CONTROL!$C$21, $C$9, 100%, $E$9)</f>
        <v>6.5913000000000004</v>
      </c>
      <c r="G190" s="10">
        <f>CHOOSE(CONTROL!$C$42, 6.6075, 6.6075)*CHOOSE(CONTROL!$C$21, $C$9, 100%, $E$9)</f>
        <v>6.6074999999999999</v>
      </c>
      <c r="H190" s="10">
        <f>CHOOSE(CONTROL!$C$42, 6.8321, 6.8321) * CHOOSE(CONTROL!$C$21, $C$9, 100%, $E$9)</f>
        <v>6.8320999999999996</v>
      </c>
      <c r="I190" s="10">
        <f>CHOOSE(CONTROL!$C$42, 6.6121, 6.6121)* CHOOSE(CONTROL!$C$21, $C$9, 100%, $E$9)</f>
        <v>6.6120999999999999</v>
      </c>
      <c r="J190" s="10">
        <f>CHOOSE(CONTROL!$C$42, 6.5843, 6.5843)* CHOOSE(CONTROL!$C$21, $C$9, 100%, $E$9)</f>
        <v>6.5842999999999998</v>
      </c>
      <c r="K190" s="10">
        <f>CHOOSE(CONTROL!$C$42, 6.5597, 6.5597) * CHOOSE(CONTROL!$C$21, $C$9, 100%, $E$9)</f>
        <v>6.5597000000000003</v>
      </c>
      <c r="L190" s="10">
        <f>CHOOSE(CONTROL!$C$42, 7.4191, 7.4191) * CHOOSE(CONTROL!$C$21, $C$9, 100%, $E$9)</f>
        <v>7.4191000000000003</v>
      </c>
      <c r="M190" s="10">
        <f>CHOOSE(CONTROL!$C$42, 6.5317, 6.5317) * CHOOSE(CONTROL!$C$21, $C$9, 100%, $E$9)</f>
        <v>6.5316999999999998</v>
      </c>
      <c r="N190" s="10">
        <f>CHOOSE(CONTROL!$C$42, 6.5478, 6.5478) * CHOOSE(CONTROL!$C$21, $C$9, 100%, $E$9)</f>
        <v>6.5477999999999996</v>
      </c>
      <c r="O190" s="10">
        <f>CHOOSE(CONTROL!$C$42, 6.777, 6.777) * CHOOSE(CONTROL!$C$21, $C$9, 100%, $E$9)</f>
        <v>6.7770000000000001</v>
      </c>
      <c r="P190" s="10">
        <f>CHOOSE(CONTROL!$C$42, 6.5592, 6.5592) * CHOOSE(CONTROL!$C$21, $C$9, 100%, $E$9)</f>
        <v>6.5591999999999997</v>
      </c>
      <c r="Q190" s="10">
        <f>CHOOSE(CONTROL!$C$42, 7.3723, 7.3723) * CHOOSE(CONTROL!$C$21, $C$9, 100%, $E$9)</f>
        <v>7.3723000000000001</v>
      </c>
      <c r="R190" s="10">
        <f>CHOOSE(CONTROL!$C$42, 7.9777, 7.9777) * CHOOSE(CONTROL!$C$21, $C$9, 100%, $E$9)</f>
        <v>7.9776999999999996</v>
      </c>
      <c r="S190" s="10">
        <f>CHOOSE(CONTROL!$C$42, 6.4317, 6.4317) * CHOOSE(CONTROL!$C$21, $C$9, 100%, $E$9)</f>
        <v>6.4317000000000002</v>
      </c>
      <c r="T1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38">
        <f>(1000*CHOOSE(CONTROL!$C$42, 695, 695)*CHOOSE(CONTROL!$C$42, 0.5599, 0.5599)*CHOOSE(CONTROL!$C$42, 31, 31))/1000000</f>
        <v>12.063045499999998</v>
      </c>
      <c r="V190" s="38">
        <f>(1000*CHOOSE(CONTROL!$C$42, 500, 500)*CHOOSE(CONTROL!$C$42, 0.275, 0.275)*CHOOSE(CONTROL!$C$42, 31, 31))/1000000</f>
        <v>4.2625000000000002</v>
      </c>
      <c r="W190" s="38">
        <f>(1000*CHOOSE(CONTROL!$C$42, 0.1146, 0.1146)*CHOOSE(CONTROL!$C$42, 121.5, 121.5)*CHOOSE(CONTROL!$C$42, 31, 31))/1000000</f>
        <v>0.43164089999999994</v>
      </c>
      <c r="X190" s="38">
        <f>(31*0.1790888*245000/1000000)+(31*0.2374*100000/1000000)</f>
        <v>2.0961194359999999</v>
      </c>
      <c r="Y190" s="38">
        <f>(1000*600*CHOOSE(CONTROL!$C$42, 1.7044, 1.7044)*CHOOSE(CONTROL!$C$42, 31, 31))/1000000</f>
        <v>31.701840000000001</v>
      </c>
      <c r="Z190" s="38"/>
      <c r="AA190" s="10"/>
      <c r="AB190" s="39"/>
      <c r="AC190" s="33">
        <f>(B190*131.881+C190*277.167+D190*79.08+E190*125.872+F190*40+G190*185+H190*0+I190*100+J190*300)/(131.881+277.167+79.08+125.872+0+40+185+100+300)</f>
        <v>6.6458052432606944</v>
      </c>
      <c r="AD190" s="27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6.6081884892086329</v>
      </c>
    </row>
    <row r="191" spans="1:30" ht="15" x14ac:dyDescent="0.2">
      <c r="A191" s="16">
        <v>47058</v>
      </c>
      <c r="B191" s="10">
        <f>CHOOSE(CONTROL!$C$42, 6.7997, 6.7997) * CHOOSE(CONTROL!$C$21, $C$9, 100%, $E$9)</f>
        <v>6.7996999999999996</v>
      </c>
      <c r="C191" s="10">
        <f>CHOOSE(CONTROL!$C$42, 6.8047, 6.8047) * CHOOSE(CONTROL!$C$21, $C$9, 100%, $E$9)</f>
        <v>6.8047000000000004</v>
      </c>
      <c r="D191" s="10">
        <f>CHOOSE(CONTROL!$C$42, 6.8292, 6.8292) * CHOOSE(CONTROL!$C$21, $C$9, 100%, $E$9)</f>
        <v>6.8292000000000002</v>
      </c>
      <c r="E191" s="10">
        <f>CHOOSE(CONTROL!$C$42, 6.8629, 6.8629) * CHOOSE(CONTROL!$C$21, $C$9, 100%, $E$9)</f>
        <v>6.8628999999999998</v>
      </c>
      <c r="F191" s="10">
        <f>CHOOSE(CONTROL!$C$42, 6.7691, 6.7691)*CHOOSE(CONTROL!$C$21, $C$9, 100%, $E$9)</f>
        <v>6.7690999999999999</v>
      </c>
      <c r="G191" s="10">
        <f>CHOOSE(CONTROL!$C$42, 6.7855, 6.7855)*CHOOSE(CONTROL!$C$21, $C$9, 100%, $E$9)</f>
        <v>6.7854999999999999</v>
      </c>
      <c r="H191" s="10">
        <f>CHOOSE(CONTROL!$C$42, 6.8521, 6.8521) * CHOOSE(CONTROL!$C$21, $C$9, 100%, $E$9)</f>
        <v>6.8521000000000001</v>
      </c>
      <c r="I191" s="10">
        <f>CHOOSE(CONTROL!$C$42, 6.7865, 6.7865)* CHOOSE(CONTROL!$C$21, $C$9, 100%, $E$9)</f>
        <v>6.7865000000000002</v>
      </c>
      <c r="J191" s="10">
        <f>CHOOSE(CONTROL!$C$42, 6.7621, 6.7621)* CHOOSE(CONTROL!$C$21, $C$9, 100%, $E$9)</f>
        <v>6.7621000000000002</v>
      </c>
      <c r="K191" s="10">
        <f>CHOOSE(CONTROL!$C$42, 6.7307, 6.7307) * CHOOSE(CONTROL!$C$21, $C$9, 100%, $E$9)</f>
        <v>6.7306999999999997</v>
      </c>
      <c r="L191" s="10">
        <f>CHOOSE(CONTROL!$C$42, 7.4391, 7.4391) * CHOOSE(CONTROL!$C$21, $C$9, 100%, $E$9)</f>
        <v>7.4390999999999998</v>
      </c>
      <c r="M191" s="10">
        <f>CHOOSE(CONTROL!$C$42, 6.7077, 6.7077) * CHOOSE(CONTROL!$C$21, $C$9, 100%, $E$9)</f>
        <v>6.7077</v>
      </c>
      <c r="N191" s="10">
        <f>CHOOSE(CONTROL!$C$42, 6.7239, 6.7239) * CHOOSE(CONTROL!$C$21, $C$9, 100%, $E$9)</f>
        <v>6.7239000000000004</v>
      </c>
      <c r="O191" s="10">
        <f>CHOOSE(CONTROL!$C$42, 6.7968, 6.7968) * CHOOSE(CONTROL!$C$21, $C$9, 100%, $E$9)</f>
        <v>6.7968000000000002</v>
      </c>
      <c r="P191" s="10">
        <f>CHOOSE(CONTROL!$C$42, 6.7319, 6.7319) * CHOOSE(CONTROL!$C$21, $C$9, 100%, $E$9)</f>
        <v>6.7319000000000004</v>
      </c>
      <c r="Q191" s="10">
        <f>CHOOSE(CONTROL!$C$42, 7.3921, 7.3921) * CHOOSE(CONTROL!$C$21, $C$9, 100%, $E$9)</f>
        <v>7.3921000000000001</v>
      </c>
      <c r="R191" s="10">
        <f>CHOOSE(CONTROL!$C$42, 7.9976, 7.9976) * CHOOSE(CONTROL!$C$21, $C$9, 100%, $E$9)</f>
        <v>7.9976000000000003</v>
      </c>
      <c r="S191" s="10">
        <f>CHOOSE(CONTROL!$C$42, 6.6011, 6.6011) * CHOOSE(CONTROL!$C$21, $C$9, 100%, $E$9)</f>
        <v>6.6010999999999997</v>
      </c>
      <c r="T1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38">
        <f>(1000*CHOOSE(CONTROL!$C$42, 695, 695)*CHOOSE(CONTROL!$C$42, 0.5599, 0.5599)*CHOOSE(CONTROL!$C$42, 30, 30))/1000000</f>
        <v>11.673914999999997</v>
      </c>
      <c r="V191" s="38">
        <f>(1000*CHOOSE(CONTROL!$C$42, 500, 500)*CHOOSE(CONTROL!$C$42, 0.275, 0.275)*CHOOSE(CONTROL!$C$42, 30, 30))/1000000</f>
        <v>4.125</v>
      </c>
      <c r="W191" s="38">
        <f>(1000*CHOOSE(CONTROL!$C$42, 0.1146, 0.1146)*CHOOSE(CONTROL!$C$42, 121.5, 121.5)*CHOOSE(CONTROL!$C$42, 30, 30))/1000000</f>
        <v>0.417717</v>
      </c>
      <c r="X191" s="38">
        <f>(30*0.1790888*100000/1000000)+(30*0.2374*100000/1000000)</f>
        <v>1.2494664</v>
      </c>
      <c r="Y191" s="38">
        <f>(1000*600*CHOOSE(CONTROL!$C$42, 1.7044, 1.7044)*CHOOSE(CONTROL!$C$42, 30, 30))/1000000</f>
        <v>30.679200000000002</v>
      </c>
      <c r="Z191" s="38"/>
      <c r="AA191" s="10"/>
      <c r="AB191" s="39"/>
      <c r="AC191" s="33">
        <f>(B191*122.58+C191*297.941+D191*89.177+E191*40.302+F191*40+G191*160+H191*0+I191*100+J191*300)/(122.58+297.941+89.177+40.302+0+40+160+100+300)</f>
        <v>6.7915013155652169</v>
      </c>
      <c r="AD191" s="27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6.7524978417266199</v>
      </c>
    </row>
    <row r="192" spans="1:30" ht="15" x14ac:dyDescent="0.2">
      <c r="A192" s="16">
        <v>47088</v>
      </c>
      <c r="B192" s="10">
        <f>CHOOSE(CONTROL!$C$42, 7.2631, 7.2631) * CHOOSE(CONTROL!$C$21, $C$9, 100%, $E$9)</f>
        <v>7.2630999999999997</v>
      </c>
      <c r="C192" s="10">
        <f>CHOOSE(CONTROL!$C$42, 7.2681, 7.2681) * CHOOSE(CONTROL!$C$21, $C$9, 100%, $E$9)</f>
        <v>7.2680999999999996</v>
      </c>
      <c r="D192" s="10">
        <f>CHOOSE(CONTROL!$C$42, 7.2926, 7.2926) * CHOOSE(CONTROL!$C$21, $C$9, 100%, $E$9)</f>
        <v>7.2926000000000002</v>
      </c>
      <c r="E192" s="10">
        <f>CHOOSE(CONTROL!$C$42, 7.3263, 7.3263) * CHOOSE(CONTROL!$C$21, $C$9, 100%, $E$9)</f>
        <v>7.3262999999999998</v>
      </c>
      <c r="F192" s="10">
        <f>CHOOSE(CONTROL!$C$42, 7.2348, 7.2348)*CHOOSE(CONTROL!$C$21, $C$9, 100%, $E$9)</f>
        <v>7.2347999999999999</v>
      </c>
      <c r="G192" s="10">
        <f>CHOOSE(CONTROL!$C$42, 7.2518, 7.2518)*CHOOSE(CONTROL!$C$21, $C$9, 100%, $E$9)</f>
        <v>7.2518000000000002</v>
      </c>
      <c r="H192" s="10">
        <f>CHOOSE(CONTROL!$C$42, 7.3155, 7.3155) * CHOOSE(CONTROL!$C$21, $C$9, 100%, $E$9)</f>
        <v>7.3155000000000001</v>
      </c>
      <c r="I192" s="10">
        <f>CHOOSE(CONTROL!$C$42, 7.2499, 7.2499)* CHOOSE(CONTROL!$C$21, $C$9, 100%, $E$9)</f>
        <v>7.2499000000000002</v>
      </c>
      <c r="J192" s="10">
        <f>CHOOSE(CONTROL!$C$42, 7.2278, 7.2278)* CHOOSE(CONTROL!$C$21, $C$9, 100%, $E$9)</f>
        <v>7.2278000000000002</v>
      </c>
      <c r="K192" s="10">
        <f>CHOOSE(CONTROL!$C$42, 7.186, 7.186) * CHOOSE(CONTROL!$C$21, $C$9, 100%, $E$9)</f>
        <v>7.1859999999999999</v>
      </c>
      <c r="L192" s="10">
        <f>CHOOSE(CONTROL!$C$42, 7.9025, 7.9025) * CHOOSE(CONTROL!$C$21, $C$9, 100%, $E$9)</f>
        <v>7.9024999999999999</v>
      </c>
      <c r="M192" s="10">
        <f>CHOOSE(CONTROL!$C$42, 7.1687, 7.1687) * CHOOSE(CONTROL!$C$21, $C$9, 100%, $E$9)</f>
        <v>7.1687000000000003</v>
      </c>
      <c r="N192" s="10">
        <f>CHOOSE(CONTROL!$C$42, 7.1855, 7.1855) * CHOOSE(CONTROL!$C$21, $C$9, 100%, $E$9)</f>
        <v>7.1855000000000002</v>
      </c>
      <c r="O192" s="10">
        <f>CHOOSE(CONTROL!$C$42, 7.2555, 7.2555) * CHOOSE(CONTROL!$C$21, $C$9, 100%, $E$9)</f>
        <v>7.2554999999999996</v>
      </c>
      <c r="P192" s="10">
        <f>CHOOSE(CONTROL!$C$42, 7.1906, 7.1906) * CHOOSE(CONTROL!$C$21, $C$9, 100%, $E$9)</f>
        <v>7.1905999999999999</v>
      </c>
      <c r="Q192" s="10">
        <f>CHOOSE(CONTROL!$C$42, 7.8508, 7.8508) * CHOOSE(CONTROL!$C$21, $C$9, 100%, $E$9)</f>
        <v>7.8507999999999996</v>
      </c>
      <c r="R192" s="10">
        <f>CHOOSE(CONTROL!$C$42, 8.4575, 8.4575) * CHOOSE(CONTROL!$C$21, $C$9, 100%, $E$9)</f>
        <v>8.4574999999999996</v>
      </c>
      <c r="S192" s="10">
        <f>CHOOSE(CONTROL!$C$42, 7.0511, 7.0511) * CHOOSE(CONTROL!$C$21, $C$9, 100%, $E$9)</f>
        <v>7.0510999999999999</v>
      </c>
      <c r="T1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38">
        <f>(1000*CHOOSE(CONTROL!$C$42, 695, 695)*CHOOSE(CONTROL!$C$42, 0.5599, 0.5599)*CHOOSE(CONTROL!$C$42, 31, 31))/1000000</f>
        <v>12.063045499999998</v>
      </c>
      <c r="V192" s="38">
        <f>(1000*CHOOSE(CONTROL!$C$42, 500, 500)*CHOOSE(CONTROL!$C$42, 0.275, 0.275)*CHOOSE(CONTROL!$C$42, 31, 31))/1000000</f>
        <v>4.2625000000000002</v>
      </c>
      <c r="W192" s="38">
        <f>(1000*CHOOSE(CONTROL!$C$42, 0.1146, 0.1146)*CHOOSE(CONTROL!$C$42, 121.5, 121.5)*CHOOSE(CONTROL!$C$42, 31, 31))/1000000</f>
        <v>0.43164089999999994</v>
      </c>
      <c r="X192" s="38">
        <f>(31*0.1790888*100000/1000000)+(31*0.2374*100000/1000000)</f>
        <v>1.2911152800000001</v>
      </c>
      <c r="Y192" s="38">
        <f>(1000*600*CHOOSE(CONTROL!$C$42, 1.7044, 1.7044)*CHOOSE(CONTROL!$C$42, 31, 31))/1000000</f>
        <v>31.701840000000001</v>
      </c>
      <c r="Z192" s="38"/>
      <c r="AA192" s="10"/>
      <c r="AB192" s="39"/>
      <c r="AC192" s="33">
        <f>(B192*122.58+C192*297.941+D192*89.177+E192*40.302+F192*40+G192*160+H192*0+I192*100+J192*300)/(122.58+297.941+89.177+40.302+0+40+160+100+300)</f>
        <v>7.2559847938260864</v>
      </c>
      <c r="AD192" s="27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7.2121589928057563</v>
      </c>
    </row>
    <row r="193" spans="1:30" ht="15" x14ac:dyDescent="0.2">
      <c r="A193" s="16">
        <v>47119</v>
      </c>
      <c r="B193" s="10">
        <f>CHOOSE(CONTROL!$C$42, 7.8911, 7.8911) * CHOOSE(CONTROL!$C$21, $C$9, 100%, $E$9)</f>
        <v>7.8910999999999998</v>
      </c>
      <c r="C193" s="10">
        <f>CHOOSE(CONTROL!$C$42, 7.8961, 7.8961) * CHOOSE(CONTROL!$C$21, $C$9, 100%, $E$9)</f>
        <v>7.8960999999999997</v>
      </c>
      <c r="D193" s="10">
        <f>CHOOSE(CONTROL!$C$42, 7.9205, 7.9205) * CHOOSE(CONTROL!$C$21, $C$9, 100%, $E$9)</f>
        <v>7.9204999999999997</v>
      </c>
      <c r="E193" s="10">
        <f>CHOOSE(CONTROL!$C$42, 7.9543, 7.9543) * CHOOSE(CONTROL!$C$21, $C$9, 100%, $E$9)</f>
        <v>7.9542999999999999</v>
      </c>
      <c r="F193" s="10">
        <f>CHOOSE(CONTROL!$C$42, 7.874, 7.874)*CHOOSE(CONTROL!$C$21, $C$9, 100%, $E$9)</f>
        <v>7.8739999999999997</v>
      </c>
      <c r="G193" s="10">
        <f>CHOOSE(CONTROL!$C$42, 7.8927, 7.8927)*CHOOSE(CONTROL!$C$21, $C$9, 100%, $E$9)</f>
        <v>7.8926999999999996</v>
      </c>
      <c r="H193" s="10">
        <f>CHOOSE(CONTROL!$C$42, 7.9435, 7.9435) * CHOOSE(CONTROL!$C$21, $C$9, 100%, $E$9)</f>
        <v>7.9435000000000002</v>
      </c>
      <c r="I193" s="10">
        <f>CHOOSE(CONTROL!$C$42, 7.8856, 7.8856)* CHOOSE(CONTROL!$C$21, $C$9, 100%, $E$9)</f>
        <v>7.8856000000000002</v>
      </c>
      <c r="J193" s="10">
        <f>CHOOSE(CONTROL!$C$42, 7.867, 7.867)* CHOOSE(CONTROL!$C$21, $C$9, 100%, $E$9)</f>
        <v>7.867</v>
      </c>
      <c r="K193" s="10">
        <f>CHOOSE(CONTROL!$C$42, 7.817, 7.817) * CHOOSE(CONTROL!$C$21, $C$9, 100%, $E$9)</f>
        <v>7.8170000000000002</v>
      </c>
      <c r="L193" s="10">
        <f>CHOOSE(CONTROL!$C$42, 8.5305, 8.5305) * CHOOSE(CONTROL!$C$21, $C$9, 100%, $E$9)</f>
        <v>8.5305</v>
      </c>
      <c r="M193" s="10">
        <f>CHOOSE(CONTROL!$C$42, 7.8015, 7.8015) * CHOOSE(CONTROL!$C$21, $C$9, 100%, $E$9)</f>
        <v>7.8014999999999999</v>
      </c>
      <c r="N193" s="10">
        <f>CHOOSE(CONTROL!$C$42, 7.8199, 7.8199) * CHOOSE(CONTROL!$C$21, $C$9, 100%, $E$9)</f>
        <v>7.8198999999999996</v>
      </c>
      <c r="O193" s="10">
        <f>CHOOSE(CONTROL!$C$42, 7.8772, 7.8772) * CHOOSE(CONTROL!$C$21, $C$9, 100%, $E$9)</f>
        <v>7.8772000000000002</v>
      </c>
      <c r="P193" s="10">
        <f>CHOOSE(CONTROL!$C$42, 7.8199, 7.8199) * CHOOSE(CONTROL!$C$21, $C$9, 100%, $E$9)</f>
        <v>7.8198999999999996</v>
      </c>
      <c r="Q193" s="10">
        <f>CHOOSE(CONTROL!$C$42, 8.4725, 8.4725) * CHOOSE(CONTROL!$C$21, $C$9, 100%, $E$9)</f>
        <v>8.4725000000000001</v>
      </c>
      <c r="R193" s="10">
        <f>CHOOSE(CONTROL!$C$42, 9.0806, 9.0806) * CHOOSE(CONTROL!$C$21, $C$9, 100%, $E$9)</f>
        <v>9.0806000000000004</v>
      </c>
      <c r="S193" s="10">
        <f>CHOOSE(CONTROL!$C$42, 7.6609, 7.6609) * CHOOSE(CONTROL!$C$21, $C$9, 100%, $E$9)</f>
        <v>7.6608999999999998</v>
      </c>
      <c r="T1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38">
        <f>(1000*CHOOSE(CONTROL!$C$42, 695, 695)*CHOOSE(CONTROL!$C$42, 0.5599, 0.5599)*CHOOSE(CONTROL!$C$42, 31, 31))/1000000</f>
        <v>12.063045499999998</v>
      </c>
      <c r="V193" s="38">
        <f>(1000*CHOOSE(CONTROL!$C$42, 500, 500)*CHOOSE(CONTROL!$C$42, 0.275, 0.275)*CHOOSE(CONTROL!$C$42, 31, 31))/1000000</f>
        <v>4.2625000000000002</v>
      </c>
      <c r="W193" s="38">
        <f>(1000*CHOOSE(CONTROL!$C$42, 0.1146, 0.1146)*CHOOSE(CONTROL!$C$42, 121.5, 121.5)*CHOOSE(CONTROL!$C$42, 31, 31))/1000000</f>
        <v>0.43164089999999994</v>
      </c>
      <c r="X193" s="38">
        <f>(31*0.1790888*100000/1000000)+(31*0.2374*100000/1000000)</f>
        <v>1.2911152800000001</v>
      </c>
      <c r="Y193" s="38">
        <f>(1000*600*CHOOSE(CONTROL!$C$42, 1.6945, 1.6945)*CHOOSE(CONTROL!$C$42, 31, 31))/1000000</f>
        <v>31.517699999999998</v>
      </c>
      <c r="Z193" s="38"/>
      <c r="AA193" s="10"/>
      <c r="AB193" s="39"/>
      <c r="AC193" s="33">
        <f>(B193*122.58+C193*297.941+D193*89.177+E193*40.302+F193*40+G193*160+H193*0+I193*100+J193*300)/(122.58+297.941+89.177+40.302+0+40+160+100+300)</f>
        <v>7.8897526914782601</v>
      </c>
      <c r="AD193" s="27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7.8395165467625896</v>
      </c>
    </row>
    <row r="194" spans="1:30" ht="15" x14ac:dyDescent="0.2">
      <c r="A194" s="16">
        <v>47150</v>
      </c>
      <c r="B194" s="10">
        <f>CHOOSE(CONTROL!$C$42, 8.0315, 8.0315) * CHOOSE(CONTROL!$C$21, $C$9, 100%, $E$9)</f>
        <v>8.0314999999999994</v>
      </c>
      <c r="C194" s="10">
        <f>CHOOSE(CONTROL!$C$42, 8.0365, 8.0365) * CHOOSE(CONTROL!$C$21, $C$9, 100%, $E$9)</f>
        <v>8.0365000000000002</v>
      </c>
      <c r="D194" s="10">
        <f>CHOOSE(CONTROL!$C$42, 8.0609, 8.0609) * CHOOSE(CONTROL!$C$21, $C$9, 100%, $E$9)</f>
        <v>8.0609000000000002</v>
      </c>
      <c r="E194" s="10">
        <f>CHOOSE(CONTROL!$C$42, 8.0947, 8.0947) * CHOOSE(CONTROL!$C$21, $C$9, 100%, $E$9)</f>
        <v>8.0946999999999996</v>
      </c>
      <c r="F194" s="10">
        <f>CHOOSE(CONTROL!$C$42, 8.0138, 8.0138)*CHOOSE(CONTROL!$C$21, $C$9, 100%, $E$9)</f>
        <v>8.0137999999999998</v>
      </c>
      <c r="G194" s="10">
        <f>CHOOSE(CONTROL!$C$42, 8.0323, 8.0323)*CHOOSE(CONTROL!$C$21, $C$9, 100%, $E$9)</f>
        <v>8.0322999999999993</v>
      </c>
      <c r="H194" s="10">
        <f>CHOOSE(CONTROL!$C$42, 8.0839, 8.0839) * CHOOSE(CONTROL!$C$21, $C$9, 100%, $E$9)</f>
        <v>8.0838999999999999</v>
      </c>
      <c r="I194" s="10">
        <f>CHOOSE(CONTROL!$C$42, 8.026, 8.026)* CHOOSE(CONTROL!$C$21, $C$9, 100%, $E$9)</f>
        <v>8.0259999999999998</v>
      </c>
      <c r="J194" s="10">
        <f>CHOOSE(CONTROL!$C$42, 8.0068, 8.0068)* CHOOSE(CONTROL!$C$21, $C$9, 100%, $E$9)</f>
        <v>8.0068000000000001</v>
      </c>
      <c r="K194" s="10">
        <f>CHOOSE(CONTROL!$C$42, 7.952, 7.952) * CHOOSE(CONTROL!$C$21, $C$9, 100%, $E$9)</f>
        <v>7.952</v>
      </c>
      <c r="L194" s="10">
        <f>CHOOSE(CONTROL!$C$42, 8.6709, 8.6709) * CHOOSE(CONTROL!$C$21, $C$9, 100%, $E$9)</f>
        <v>8.6708999999999996</v>
      </c>
      <c r="M194" s="10">
        <f>CHOOSE(CONTROL!$C$42, 7.9398, 7.9398) * CHOOSE(CONTROL!$C$21, $C$9, 100%, $E$9)</f>
        <v>7.9398</v>
      </c>
      <c r="N194" s="10">
        <f>CHOOSE(CONTROL!$C$42, 7.9581, 7.9581) * CHOOSE(CONTROL!$C$21, $C$9, 100%, $E$9)</f>
        <v>7.9581</v>
      </c>
      <c r="O194" s="10">
        <f>CHOOSE(CONTROL!$C$42, 8.0162, 8.0162) * CHOOSE(CONTROL!$C$21, $C$9, 100%, $E$9)</f>
        <v>8.0161999999999995</v>
      </c>
      <c r="P194" s="10">
        <f>CHOOSE(CONTROL!$C$42, 7.9589, 7.9589) * CHOOSE(CONTROL!$C$21, $C$9, 100%, $E$9)</f>
        <v>7.9588999999999999</v>
      </c>
      <c r="Q194" s="10">
        <f>CHOOSE(CONTROL!$C$42, 8.6115, 8.6115) * CHOOSE(CONTROL!$C$21, $C$9, 100%, $E$9)</f>
        <v>8.6114999999999995</v>
      </c>
      <c r="R194" s="10">
        <f>CHOOSE(CONTROL!$C$42, 9.22, 9.22) * CHOOSE(CONTROL!$C$21, $C$9, 100%, $E$9)</f>
        <v>9.2200000000000006</v>
      </c>
      <c r="S194" s="10">
        <f>CHOOSE(CONTROL!$C$42, 7.7973, 7.7973) * CHOOSE(CONTROL!$C$21, $C$9, 100%, $E$9)</f>
        <v>7.7972999999999999</v>
      </c>
      <c r="T1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94" s="38">
        <f>(1000*CHOOSE(CONTROL!$C$42, 695, 695)*CHOOSE(CONTROL!$C$42, 0.5599, 0.5599)*CHOOSE(CONTROL!$C$42, 28, 28))/1000000</f>
        <v>10.895653999999999</v>
      </c>
      <c r="V194" s="38">
        <f>(1000*CHOOSE(CONTROL!$C$42, 500, 500)*CHOOSE(CONTROL!$C$42, 0.275, 0.275)*CHOOSE(CONTROL!$C$42, 28, 28))/1000000</f>
        <v>3.85</v>
      </c>
      <c r="W194" s="38">
        <f>(1000*CHOOSE(CONTROL!$C$42, 0.1146, 0.1146)*CHOOSE(CONTROL!$C$42, 121.5, 121.5)*CHOOSE(CONTROL!$C$42, 28, 28))/1000000</f>
        <v>0.38986920000000003</v>
      </c>
      <c r="X194" s="38">
        <f>(28*0.1790888*100000/1000000)+(28*0.2374*100000/1000000)</f>
        <v>1.16616864</v>
      </c>
      <c r="Y194" s="38">
        <f>(1000*600*CHOOSE(CONTROL!$C$42, 1.6945, 1.6945)*CHOOSE(CONTROL!$C$42, 28, 28))/1000000</f>
        <v>28.467599999999997</v>
      </c>
      <c r="Z194" s="38"/>
      <c r="AA194" s="10"/>
      <c r="AB194" s="39"/>
      <c r="AC194" s="33">
        <f>(B194*122.58+C194*297.941+D194*89.177+E194*40.302+F194*40+G194*160+H194*0+I194*100+J194*300)/(122.58+297.941+89.177+40.302+0+40+160+100+300)</f>
        <v>8.0298639958260871</v>
      </c>
      <c r="AD194" s="27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7.9782287769784173</v>
      </c>
    </row>
    <row r="195" spans="1:30" ht="15" x14ac:dyDescent="0.2">
      <c r="A195" s="16">
        <v>47178</v>
      </c>
      <c r="B195" s="10">
        <f>CHOOSE(CONTROL!$C$42, 7.8036, 7.8036) * CHOOSE(CONTROL!$C$21, $C$9, 100%, $E$9)</f>
        <v>7.8036000000000003</v>
      </c>
      <c r="C195" s="10">
        <f>CHOOSE(CONTROL!$C$42, 7.8085, 7.8085) * CHOOSE(CONTROL!$C$21, $C$9, 100%, $E$9)</f>
        <v>7.8085000000000004</v>
      </c>
      <c r="D195" s="10">
        <f>CHOOSE(CONTROL!$C$42, 7.833, 7.833) * CHOOSE(CONTROL!$C$21, $C$9, 100%, $E$9)</f>
        <v>7.8330000000000002</v>
      </c>
      <c r="E195" s="10">
        <f>CHOOSE(CONTROL!$C$42, 7.8668, 7.8668) * CHOOSE(CONTROL!$C$21, $C$9, 100%, $E$9)</f>
        <v>7.8667999999999996</v>
      </c>
      <c r="F195" s="10">
        <f>CHOOSE(CONTROL!$C$42, 7.7843, 7.7843)*CHOOSE(CONTROL!$C$21, $C$9, 100%, $E$9)</f>
        <v>7.7843</v>
      </c>
      <c r="G195" s="10">
        <f>CHOOSE(CONTROL!$C$42, 7.8024, 7.8024)*CHOOSE(CONTROL!$C$21, $C$9, 100%, $E$9)</f>
        <v>7.8023999999999996</v>
      </c>
      <c r="H195" s="10">
        <f>CHOOSE(CONTROL!$C$42, 7.856, 7.856) * CHOOSE(CONTROL!$C$21, $C$9, 100%, $E$9)</f>
        <v>7.8559999999999999</v>
      </c>
      <c r="I195" s="10">
        <f>CHOOSE(CONTROL!$C$42, 7.7981, 7.7981)* CHOOSE(CONTROL!$C$21, $C$9, 100%, $E$9)</f>
        <v>7.7980999999999998</v>
      </c>
      <c r="J195" s="10">
        <f>CHOOSE(CONTROL!$C$42, 7.7773, 7.7773)* CHOOSE(CONTROL!$C$21, $C$9, 100%, $E$9)</f>
        <v>7.7773000000000003</v>
      </c>
      <c r="K195" s="10">
        <f>CHOOSE(CONTROL!$C$42, 7.7272, 7.7272) * CHOOSE(CONTROL!$C$21, $C$9, 100%, $E$9)</f>
        <v>7.7271999999999998</v>
      </c>
      <c r="L195" s="10">
        <f>CHOOSE(CONTROL!$C$42, 8.443, 8.443) * CHOOSE(CONTROL!$C$21, $C$9, 100%, $E$9)</f>
        <v>8.4429999999999996</v>
      </c>
      <c r="M195" s="10">
        <f>CHOOSE(CONTROL!$C$42, 7.7127, 7.7127) * CHOOSE(CONTROL!$C$21, $C$9, 100%, $E$9)</f>
        <v>7.7126999999999999</v>
      </c>
      <c r="N195" s="10">
        <f>CHOOSE(CONTROL!$C$42, 7.7305, 7.7305) * CHOOSE(CONTROL!$C$21, $C$9, 100%, $E$9)</f>
        <v>7.7305000000000001</v>
      </c>
      <c r="O195" s="10">
        <f>CHOOSE(CONTROL!$C$42, 7.7905, 7.7905) * CHOOSE(CONTROL!$C$21, $C$9, 100%, $E$9)</f>
        <v>7.7904999999999998</v>
      </c>
      <c r="P195" s="10">
        <f>CHOOSE(CONTROL!$C$42, 7.7333, 7.7333) * CHOOSE(CONTROL!$C$21, $C$9, 100%, $E$9)</f>
        <v>7.7332999999999998</v>
      </c>
      <c r="Q195" s="10">
        <f>CHOOSE(CONTROL!$C$42, 8.3858, 8.3858) * CHOOSE(CONTROL!$C$21, $C$9, 100%, $E$9)</f>
        <v>8.3857999999999997</v>
      </c>
      <c r="R195" s="10">
        <f>CHOOSE(CONTROL!$C$42, 8.9938, 8.9938) * CHOOSE(CONTROL!$C$21, $C$9, 100%, $E$9)</f>
        <v>8.9938000000000002</v>
      </c>
      <c r="S195" s="10">
        <f>CHOOSE(CONTROL!$C$42, 7.5759, 7.5759) * CHOOSE(CONTROL!$C$21, $C$9, 100%, $E$9)</f>
        <v>7.5758999999999999</v>
      </c>
      <c r="T1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38">
        <f>(1000*CHOOSE(CONTROL!$C$42, 695, 695)*CHOOSE(CONTROL!$C$42, 0.5599, 0.5599)*CHOOSE(CONTROL!$C$42, 31, 31))/1000000</f>
        <v>12.063045499999998</v>
      </c>
      <c r="V195" s="38">
        <f>(1000*CHOOSE(CONTROL!$C$42, 500, 500)*CHOOSE(CONTROL!$C$42, 0.275, 0.275)*CHOOSE(CONTROL!$C$42, 31, 31))/1000000</f>
        <v>4.2625000000000002</v>
      </c>
      <c r="W195" s="38">
        <f>(1000*CHOOSE(CONTROL!$C$42, 0.1146, 0.1146)*CHOOSE(CONTROL!$C$42, 121.5, 121.5)*CHOOSE(CONTROL!$C$42, 31, 31))/1000000</f>
        <v>0.43164089999999994</v>
      </c>
      <c r="X195" s="38">
        <f>(31*0.1790888*100000/1000000)+(31*0.2374*100000/1000000)</f>
        <v>1.2911152800000001</v>
      </c>
      <c r="Y195" s="38">
        <f>(1000*600*CHOOSE(CONTROL!$C$42, 1.6945, 1.6945)*CHOOSE(CONTROL!$C$42, 31, 31))/1000000</f>
        <v>31.517699999999998</v>
      </c>
      <c r="Z195" s="38"/>
      <c r="AA195" s="10"/>
      <c r="AB195" s="39"/>
      <c r="AC195" s="33">
        <f>(B195*122.58+C195*297.941+D195*89.177+E195*40.302+F195*40+G195*160+H195*0+I195*100+J195*300)/(122.58+297.941+89.177+40.302+0+40+160+100+300)</f>
        <v>7.8011867835652176</v>
      </c>
      <c r="AD195" s="27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7.7519503597122297</v>
      </c>
    </row>
    <row r="196" spans="1:30" ht="15" x14ac:dyDescent="0.2">
      <c r="A196" s="16">
        <v>47209</v>
      </c>
      <c r="B196" s="10">
        <f>CHOOSE(CONTROL!$C$42, 7.781, 7.781) * CHOOSE(CONTROL!$C$21, $C$9, 100%, $E$9)</f>
        <v>7.7809999999999997</v>
      </c>
      <c r="C196" s="10">
        <f>CHOOSE(CONTROL!$C$42, 7.7854, 7.7854) * CHOOSE(CONTROL!$C$21, $C$9, 100%, $E$9)</f>
        <v>7.7854000000000001</v>
      </c>
      <c r="D196" s="10">
        <f>CHOOSE(CONTROL!$C$42, 7.9655, 7.9655) * CHOOSE(CONTROL!$C$21, $C$9, 100%, $E$9)</f>
        <v>7.9654999999999996</v>
      </c>
      <c r="E196" s="10">
        <f>CHOOSE(CONTROL!$C$42, 7.9973, 7.9973) * CHOOSE(CONTROL!$C$21, $C$9, 100%, $E$9)</f>
        <v>7.9973000000000001</v>
      </c>
      <c r="F196" s="10">
        <f>CHOOSE(CONTROL!$C$42, 7.7463, 7.7463)*CHOOSE(CONTROL!$C$21, $C$9, 100%, $E$9)</f>
        <v>7.7462999999999997</v>
      </c>
      <c r="G196" s="10">
        <f>CHOOSE(CONTROL!$C$42, 7.7626, 7.7626)*CHOOSE(CONTROL!$C$21, $C$9, 100%, $E$9)</f>
        <v>7.7625999999999999</v>
      </c>
      <c r="H196" s="10">
        <f>CHOOSE(CONTROL!$C$42, 7.9871, 7.9871) * CHOOSE(CONTROL!$C$21, $C$9, 100%, $E$9)</f>
        <v>7.9870999999999999</v>
      </c>
      <c r="I196" s="10">
        <f>CHOOSE(CONTROL!$C$42, 7.767, 7.767)* CHOOSE(CONTROL!$C$21, $C$9, 100%, $E$9)</f>
        <v>7.7670000000000003</v>
      </c>
      <c r="J196" s="10">
        <f>CHOOSE(CONTROL!$C$42, 7.7393, 7.7393)* CHOOSE(CONTROL!$C$21, $C$9, 100%, $E$9)</f>
        <v>7.7393000000000001</v>
      </c>
      <c r="K196" s="10">
        <f>CHOOSE(CONTROL!$C$42, 7.682, 7.682) * CHOOSE(CONTROL!$C$21, $C$9, 100%, $E$9)</f>
        <v>7.6820000000000004</v>
      </c>
      <c r="L196" s="10">
        <f>CHOOSE(CONTROL!$C$42, 8.5741, 8.5741) * CHOOSE(CONTROL!$C$21, $C$9, 100%, $E$9)</f>
        <v>8.5740999999999996</v>
      </c>
      <c r="M196" s="10">
        <f>CHOOSE(CONTROL!$C$42, 7.6751, 7.6751) * CHOOSE(CONTROL!$C$21, $C$9, 100%, $E$9)</f>
        <v>7.6750999999999996</v>
      </c>
      <c r="N196" s="10">
        <f>CHOOSE(CONTROL!$C$42, 7.6912, 7.6912) * CHOOSE(CONTROL!$C$21, $C$9, 100%, $E$9)</f>
        <v>7.6912000000000003</v>
      </c>
      <c r="O196" s="10">
        <f>CHOOSE(CONTROL!$C$42, 7.9203, 7.9203) * CHOOSE(CONTROL!$C$21, $C$9, 100%, $E$9)</f>
        <v>7.9203000000000001</v>
      </c>
      <c r="P196" s="10">
        <f>CHOOSE(CONTROL!$C$42, 7.7025, 7.7025) * CHOOSE(CONTROL!$C$21, $C$9, 100%, $E$9)</f>
        <v>7.7024999999999997</v>
      </c>
      <c r="Q196" s="10">
        <f>CHOOSE(CONTROL!$C$42, 8.5156, 8.5156) * CHOOSE(CONTROL!$C$21, $C$9, 100%, $E$9)</f>
        <v>8.5155999999999992</v>
      </c>
      <c r="R196" s="10">
        <f>CHOOSE(CONTROL!$C$42, 9.1239, 9.1239) * CHOOSE(CONTROL!$C$21, $C$9, 100%, $E$9)</f>
        <v>9.1239000000000008</v>
      </c>
      <c r="S196" s="10">
        <f>CHOOSE(CONTROL!$C$42, 7.5532, 7.5532) * CHOOSE(CONTROL!$C$21, $C$9, 100%, $E$9)</f>
        <v>7.5532000000000004</v>
      </c>
      <c r="T1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38">
        <f>(1000*CHOOSE(CONTROL!$C$42, 695, 695)*CHOOSE(CONTROL!$C$42, 0.5599, 0.5599)*CHOOSE(CONTROL!$C$42, 30, 30))/1000000</f>
        <v>11.673914999999997</v>
      </c>
      <c r="V196" s="38">
        <f>(1000*CHOOSE(CONTROL!$C$42, 500, 500)*CHOOSE(CONTROL!$C$42, 0.275, 0.275)*CHOOSE(CONTROL!$C$42, 30, 30))/1000000</f>
        <v>4.125</v>
      </c>
      <c r="W196" s="38">
        <f>(1000*CHOOSE(CONTROL!$C$42, 0.1146, 0.1146)*CHOOSE(CONTROL!$C$42, 121.5, 121.5)*CHOOSE(CONTROL!$C$42, 30, 30))/1000000</f>
        <v>0.417717</v>
      </c>
      <c r="X196" s="38">
        <f>(30*0.1790888*245000/1000000)+(30*0.2374*100000/1000000)</f>
        <v>2.0285026799999999</v>
      </c>
      <c r="Y196" s="38">
        <f>(1000*600*CHOOSE(CONTROL!$C$42, 1.6945, 1.6945)*CHOOSE(CONTROL!$C$42, 30, 30))/1000000</f>
        <v>30.500999999999998</v>
      </c>
      <c r="Z196" s="38"/>
      <c r="AA196" s="10"/>
      <c r="AB196" s="39"/>
      <c r="AC196" s="33">
        <f>(B196*141.293+C196*267.993+D196*115.016+E196*89.698+F196*40+G196*185+H196*0+I196*100+J196*300)/(141.293+267.993+115.016+89.698+0+40+185+100+300)</f>
        <v>7.7996435016949155</v>
      </c>
      <c r="AD196" s="27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7.751546043165467</v>
      </c>
    </row>
    <row r="197" spans="1:30" ht="15" x14ac:dyDescent="0.2">
      <c r="A197" s="16">
        <v>47239</v>
      </c>
      <c r="B197" s="10">
        <f>CHOOSE(CONTROL!$C$42, 7.8514, 7.8514) * CHOOSE(CONTROL!$C$21, $C$9, 100%, $E$9)</f>
        <v>7.8513999999999999</v>
      </c>
      <c r="C197" s="10">
        <f>CHOOSE(CONTROL!$C$42, 7.8594, 7.8594) * CHOOSE(CONTROL!$C$21, $C$9, 100%, $E$9)</f>
        <v>7.8593999999999999</v>
      </c>
      <c r="D197" s="10">
        <f>CHOOSE(CONTROL!$C$42, 8.0363, 8.0363) * CHOOSE(CONTROL!$C$21, $C$9, 100%, $E$9)</f>
        <v>8.0363000000000007</v>
      </c>
      <c r="E197" s="10">
        <f>CHOOSE(CONTROL!$C$42, 8.0675, 8.0675) * CHOOSE(CONTROL!$C$21, $C$9, 100%, $E$9)</f>
        <v>8.0675000000000008</v>
      </c>
      <c r="F197" s="10">
        <f>CHOOSE(CONTROL!$C$42, 7.8148, 7.8148)*CHOOSE(CONTROL!$C$21, $C$9, 100%, $E$9)</f>
        <v>7.8148</v>
      </c>
      <c r="G197" s="10">
        <f>CHOOSE(CONTROL!$C$42, 7.8313, 7.8313)*CHOOSE(CONTROL!$C$21, $C$9, 100%, $E$9)</f>
        <v>7.8312999999999997</v>
      </c>
      <c r="H197" s="10">
        <f>CHOOSE(CONTROL!$C$42, 8.0561, 8.0561) * CHOOSE(CONTROL!$C$21, $C$9, 100%, $E$9)</f>
        <v>8.0561000000000007</v>
      </c>
      <c r="I197" s="10">
        <f>CHOOSE(CONTROL!$C$42, 7.836, 7.836)* CHOOSE(CONTROL!$C$21, $C$9, 100%, $E$9)</f>
        <v>7.8360000000000003</v>
      </c>
      <c r="J197" s="10">
        <f>CHOOSE(CONTROL!$C$42, 7.8078, 7.8078)* CHOOSE(CONTROL!$C$21, $C$9, 100%, $E$9)</f>
        <v>7.8078000000000003</v>
      </c>
      <c r="K197" s="10">
        <f>CHOOSE(CONTROL!$C$42, 7.7478, 7.7478) * CHOOSE(CONTROL!$C$21, $C$9, 100%, $E$9)</f>
        <v>7.7477999999999998</v>
      </c>
      <c r="L197" s="10">
        <f>CHOOSE(CONTROL!$C$42, 8.6431, 8.6431) * CHOOSE(CONTROL!$C$21, $C$9, 100%, $E$9)</f>
        <v>8.6431000000000004</v>
      </c>
      <c r="M197" s="10">
        <f>CHOOSE(CONTROL!$C$42, 7.7428, 7.7428) * CHOOSE(CONTROL!$C$21, $C$9, 100%, $E$9)</f>
        <v>7.7427999999999999</v>
      </c>
      <c r="N197" s="10">
        <f>CHOOSE(CONTROL!$C$42, 7.7592, 7.7592) * CHOOSE(CONTROL!$C$21, $C$9, 100%, $E$9)</f>
        <v>7.7591999999999999</v>
      </c>
      <c r="O197" s="10">
        <f>CHOOSE(CONTROL!$C$42, 7.9886, 7.9886) * CHOOSE(CONTROL!$C$21, $C$9, 100%, $E$9)</f>
        <v>7.9885999999999999</v>
      </c>
      <c r="P197" s="10">
        <f>CHOOSE(CONTROL!$C$42, 7.7708, 7.7708) * CHOOSE(CONTROL!$C$21, $C$9, 100%, $E$9)</f>
        <v>7.7708000000000004</v>
      </c>
      <c r="Q197" s="10">
        <f>CHOOSE(CONTROL!$C$42, 8.5839, 8.5839) * CHOOSE(CONTROL!$C$21, $C$9, 100%, $E$9)</f>
        <v>8.5838999999999999</v>
      </c>
      <c r="R197" s="10">
        <f>CHOOSE(CONTROL!$C$42, 9.1924, 9.1924) * CHOOSE(CONTROL!$C$21, $C$9, 100%, $E$9)</f>
        <v>9.1923999999999992</v>
      </c>
      <c r="S197" s="10">
        <f>CHOOSE(CONTROL!$C$42, 7.6203, 7.6203) * CHOOSE(CONTROL!$C$21, $C$9, 100%, $E$9)</f>
        <v>7.6203000000000003</v>
      </c>
      <c r="T1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38">
        <f>(1000*CHOOSE(CONTROL!$C$42, 695, 695)*CHOOSE(CONTROL!$C$42, 0.5599, 0.5599)*CHOOSE(CONTROL!$C$42, 31, 31))/1000000</f>
        <v>12.063045499999998</v>
      </c>
      <c r="V197" s="38">
        <f>(1000*CHOOSE(CONTROL!$C$42, 500, 500)*CHOOSE(CONTROL!$C$42, 0.275, 0.275)*CHOOSE(CONTROL!$C$42, 31, 31))/1000000</f>
        <v>4.2625000000000002</v>
      </c>
      <c r="W197" s="38">
        <f>(1000*CHOOSE(CONTROL!$C$42, 0.1146, 0.1146)*CHOOSE(CONTROL!$C$42, 121.5, 121.5)*CHOOSE(CONTROL!$C$42, 31, 31))/1000000</f>
        <v>0.43164089999999994</v>
      </c>
      <c r="X197" s="38">
        <f>(31*0.1790888*245000/1000000)+(31*0.2374*100000/1000000)</f>
        <v>2.0961194359999999</v>
      </c>
      <c r="Y197" s="38">
        <f>(1000*600*CHOOSE(CONTROL!$C$42, 1.6945, 1.6945)*CHOOSE(CONTROL!$C$42, 31, 31))/1000000</f>
        <v>31.517699999999998</v>
      </c>
      <c r="Z197" s="38"/>
      <c r="AA197" s="10"/>
      <c r="AB197" s="39"/>
      <c r="AC197" s="33">
        <f>(B197*194.205+C197*267.466+D197*133.845+E197*53.484+F197*40+G197*185+H197*0+I197*100+J197*300)/(194.205+267.466+133.845+53.484+0+40+185+100+300)</f>
        <v>7.8660334857927792</v>
      </c>
      <c r="AD197" s="27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7.8195697841726615</v>
      </c>
    </row>
    <row r="198" spans="1:30" ht="15" x14ac:dyDescent="0.2">
      <c r="A198" s="16">
        <v>47270</v>
      </c>
      <c r="B198" s="10">
        <f>CHOOSE(CONTROL!$C$42, 8.074, 8.074) * CHOOSE(CONTROL!$C$21, $C$9, 100%, $E$9)</f>
        <v>8.0739999999999998</v>
      </c>
      <c r="C198" s="10">
        <f>CHOOSE(CONTROL!$C$42, 8.0819, 8.0819) * CHOOSE(CONTROL!$C$21, $C$9, 100%, $E$9)</f>
        <v>8.0818999999999992</v>
      </c>
      <c r="D198" s="10">
        <f>CHOOSE(CONTROL!$C$42, 8.2589, 8.2589) * CHOOSE(CONTROL!$C$21, $C$9, 100%, $E$9)</f>
        <v>8.2589000000000006</v>
      </c>
      <c r="E198" s="10">
        <f>CHOOSE(CONTROL!$C$42, 8.29, 8.29) * CHOOSE(CONTROL!$C$21, $C$9, 100%, $E$9)</f>
        <v>8.2899999999999991</v>
      </c>
      <c r="F198" s="10">
        <f>CHOOSE(CONTROL!$C$42, 8.0375, 8.0375)*CHOOSE(CONTROL!$C$21, $C$9, 100%, $E$9)</f>
        <v>8.0374999999999996</v>
      </c>
      <c r="G198" s="10">
        <f>CHOOSE(CONTROL!$C$42, 8.0541, 8.0541)*CHOOSE(CONTROL!$C$21, $C$9, 100%, $E$9)</f>
        <v>8.0541</v>
      </c>
      <c r="H198" s="10">
        <f>CHOOSE(CONTROL!$C$42, 8.2787, 8.2787) * CHOOSE(CONTROL!$C$21, $C$9, 100%, $E$9)</f>
        <v>8.2787000000000006</v>
      </c>
      <c r="I198" s="10">
        <f>CHOOSE(CONTROL!$C$42, 8.0586, 8.0586)* CHOOSE(CONTROL!$C$21, $C$9, 100%, $E$9)</f>
        <v>8.0586000000000002</v>
      </c>
      <c r="J198" s="10">
        <f>CHOOSE(CONTROL!$C$42, 8.0305, 8.0305)* CHOOSE(CONTROL!$C$21, $C$9, 100%, $E$9)</f>
        <v>8.0305</v>
      </c>
      <c r="K198" s="10">
        <f>CHOOSE(CONTROL!$C$42, 7.9644, 7.9644) * CHOOSE(CONTROL!$C$21, $C$9, 100%, $E$9)</f>
        <v>7.9644000000000004</v>
      </c>
      <c r="L198" s="10">
        <f>CHOOSE(CONTROL!$C$42, 8.8657, 8.8657) * CHOOSE(CONTROL!$C$21, $C$9, 100%, $E$9)</f>
        <v>8.8657000000000004</v>
      </c>
      <c r="M198" s="10">
        <f>CHOOSE(CONTROL!$C$42, 7.9633, 7.9633) * CHOOSE(CONTROL!$C$21, $C$9, 100%, $E$9)</f>
        <v>7.9633000000000003</v>
      </c>
      <c r="N198" s="10">
        <f>CHOOSE(CONTROL!$C$42, 7.9797, 7.9797) * CHOOSE(CONTROL!$C$21, $C$9, 100%, $E$9)</f>
        <v>7.9797000000000002</v>
      </c>
      <c r="O198" s="10">
        <f>CHOOSE(CONTROL!$C$42, 8.209, 8.209) * CHOOSE(CONTROL!$C$21, $C$9, 100%, $E$9)</f>
        <v>8.2089999999999996</v>
      </c>
      <c r="P198" s="10">
        <f>CHOOSE(CONTROL!$C$42, 7.9911, 7.9911) * CHOOSE(CONTROL!$C$21, $C$9, 100%, $E$9)</f>
        <v>7.9911000000000003</v>
      </c>
      <c r="Q198" s="10">
        <f>CHOOSE(CONTROL!$C$42, 8.8043, 8.8043) * CHOOSE(CONTROL!$C$21, $C$9, 100%, $E$9)</f>
        <v>8.8042999999999996</v>
      </c>
      <c r="R198" s="10">
        <f>CHOOSE(CONTROL!$C$42, 9.4133, 9.4133) * CHOOSE(CONTROL!$C$21, $C$9, 100%, $E$9)</f>
        <v>9.4132999999999996</v>
      </c>
      <c r="S198" s="10">
        <f>CHOOSE(CONTROL!$C$42, 7.8364, 7.8364) * CHOOSE(CONTROL!$C$21, $C$9, 100%, $E$9)</f>
        <v>7.8364000000000003</v>
      </c>
      <c r="T1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38">
        <f>(1000*CHOOSE(CONTROL!$C$42, 695, 695)*CHOOSE(CONTROL!$C$42, 0.5599, 0.5599)*CHOOSE(CONTROL!$C$42, 30, 30))/1000000</f>
        <v>11.673914999999997</v>
      </c>
      <c r="V198" s="38">
        <f>(1000*CHOOSE(CONTROL!$C$42, 500, 500)*CHOOSE(CONTROL!$C$42, 0.275, 0.275)*CHOOSE(CONTROL!$C$42, 30, 30))/1000000</f>
        <v>4.125</v>
      </c>
      <c r="W198" s="38">
        <f>(1000*CHOOSE(CONTROL!$C$42, 0.1146, 0.1146)*CHOOSE(CONTROL!$C$42, 121.5, 121.5)*CHOOSE(CONTROL!$C$42, 30, 30))/1000000</f>
        <v>0.417717</v>
      </c>
      <c r="X198" s="38">
        <f>(30*0.1790888*245000/1000000)+(30*0.2374*100000/1000000)</f>
        <v>2.0285026799999999</v>
      </c>
      <c r="Y198" s="38">
        <f>(1000*600*CHOOSE(CONTROL!$C$42, 1.6945, 1.6945)*CHOOSE(CONTROL!$C$42, 30, 30))/1000000</f>
        <v>30.500999999999998</v>
      </c>
      <c r="Z198" s="38"/>
      <c r="AA198" s="10"/>
      <c r="AB198" s="39"/>
      <c r="AC198" s="33">
        <f>(B198*194.205+C198*267.466+D198*133.845+E198*53.484+F198*40+G198*185+H198*0+I198*100+J198*300)/(194.205+267.466+133.845+53.484+0+40+185+100+300)</f>
        <v>8.0886640234693878</v>
      </c>
      <c r="AD198" s="27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8.0400129496402872</v>
      </c>
    </row>
    <row r="199" spans="1:30" ht="15" x14ac:dyDescent="0.2">
      <c r="A199" s="16">
        <v>47300</v>
      </c>
      <c r="B199" s="10">
        <f>CHOOSE(CONTROL!$C$42, 7.9192, 7.9192) * CHOOSE(CONTROL!$C$21, $C$9, 100%, $E$9)</f>
        <v>7.9192</v>
      </c>
      <c r="C199" s="10">
        <f>CHOOSE(CONTROL!$C$42, 7.9271, 7.9271) * CHOOSE(CONTROL!$C$21, $C$9, 100%, $E$9)</f>
        <v>7.9271000000000003</v>
      </c>
      <c r="D199" s="10">
        <f>CHOOSE(CONTROL!$C$42, 8.1041, 8.1041) * CHOOSE(CONTROL!$C$21, $C$9, 100%, $E$9)</f>
        <v>8.1041000000000007</v>
      </c>
      <c r="E199" s="10">
        <f>CHOOSE(CONTROL!$C$42, 8.1353, 8.1353) * CHOOSE(CONTROL!$C$21, $C$9, 100%, $E$9)</f>
        <v>8.1353000000000009</v>
      </c>
      <c r="F199" s="10">
        <f>CHOOSE(CONTROL!$C$42, 7.883, 7.883)*CHOOSE(CONTROL!$C$21, $C$9, 100%, $E$9)</f>
        <v>7.883</v>
      </c>
      <c r="G199" s="10">
        <f>CHOOSE(CONTROL!$C$42, 7.8996, 7.8996)*CHOOSE(CONTROL!$C$21, $C$9, 100%, $E$9)</f>
        <v>7.8996000000000004</v>
      </c>
      <c r="H199" s="10">
        <f>CHOOSE(CONTROL!$C$42, 8.1239, 8.1239) * CHOOSE(CONTROL!$C$21, $C$9, 100%, $E$9)</f>
        <v>8.1239000000000008</v>
      </c>
      <c r="I199" s="10">
        <f>CHOOSE(CONTROL!$C$42, 7.9038, 7.9038)* CHOOSE(CONTROL!$C$21, $C$9, 100%, $E$9)</f>
        <v>7.9038000000000004</v>
      </c>
      <c r="J199" s="10">
        <f>CHOOSE(CONTROL!$C$42, 7.876, 7.876)* CHOOSE(CONTROL!$C$21, $C$9, 100%, $E$9)</f>
        <v>7.8760000000000003</v>
      </c>
      <c r="K199" s="10">
        <f>CHOOSE(CONTROL!$C$42, 7.8146, 7.8146) * CHOOSE(CONTROL!$C$21, $C$9, 100%, $E$9)</f>
        <v>7.8146000000000004</v>
      </c>
      <c r="L199" s="10">
        <f>CHOOSE(CONTROL!$C$42, 8.7109, 8.7109) * CHOOSE(CONTROL!$C$21, $C$9, 100%, $E$9)</f>
        <v>8.7109000000000005</v>
      </c>
      <c r="M199" s="10">
        <f>CHOOSE(CONTROL!$C$42, 7.8103, 7.8103) * CHOOSE(CONTROL!$C$21, $C$9, 100%, $E$9)</f>
        <v>7.8102999999999998</v>
      </c>
      <c r="N199" s="10">
        <f>CHOOSE(CONTROL!$C$42, 7.8268, 7.8268) * CHOOSE(CONTROL!$C$21, $C$9, 100%, $E$9)</f>
        <v>7.8268000000000004</v>
      </c>
      <c r="O199" s="10">
        <f>CHOOSE(CONTROL!$C$42, 8.0557, 8.0557) * CHOOSE(CONTROL!$C$21, $C$9, 100%, $E$9)</f>
        <v>8.0556999999999999</v>
      </c>
      <c r="P199" s="10">
        <f>CHOOSE(CONTROL!$C$42, 7.8379, 7.8379) * CHOOSE(CONTROL!$C$21, $C$9, 100%, $E$9)</f>
        <v>7.8379000000000003</v>
      </c>
      <c r="Q199" s="10">
        <f>CHOOSE(CONTROL!$C$42, 8.651, 8.651) * CHOOSE(CONTROL!$C$21, $C$9, 100%, $E$9)</f>
        <v>8.6509999999999998</v>
      </c>
      <c r="R199" s="10">
        <f>CHOOSE(CONTROL!$C$42, 9.2597, 9.2597) * CHOOSE(CONTROL!$C$21, $C$9, 100%, $E$9)</f>
        <v>9.2597000000000005</v>
      </c>
      <c r="S199" s="10">
        <f>CHOOSE(CONTROL!$C$42, 7.6861, 7.6861) * CHOOSE(CONTROL!$C$21, $C$9, 100%, $E$9)</f>
        <v>7.6860999999999997</v>
      </c>
      <c r="T1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38">
        <f>(1000*CHOOSE(CONTROL!$C$42, 695, 695)*CHOOSE(CONTROL!$C$42, 0.5599, 0.5599)*CHOOSE(CONTROL!$C$42, 31, 31))/1000000</f>
        <v>12.063045499999998</v>
      </c>
      <c r="V199" s="38">
        <f>(1000*CHOOSE(CONTROL!$C$42, 500, 500)*CHOOSE(CONTROL!$C$42, 0.275, 0.275)*CHOOSE(CONTROL!$C$42, 31, 31))/1000000</f>
        <v>4.2625000000000002</v>
      </c>
      <c r="W199" s="38">
        <f>(1000*CHOOSE(CONTROL!$C$42, 0.1146, 0.1146)*CHOOSE(CONTROL!$C$42, 121.5, 121.5)*CHOOSE(CONTROL!$C$42, 31, 31))/1000000</f>
        <v>0.43164089999999994</v>
      </c>
      <c r="X199" s="38">
        <f>(31*0.1790888*245000/1000000)+(31*0.2374*100000/1000000)</f>
        <v>2.0961194359999999</v>
      </c>
      <c r="Y199" s="38">
        <f>(1000*600*CHOOSE(CONTROL!$C$42, 1.6945, 1.6945)*CHOOSE(CONTROL!$C$42, 31, 31))/1000000</f>
        <v>31.517699999999998</v>
      </c>
      <c r="Z199" s="38"/>
      <c r="AA199" s="10"/>
      <c r="AB199" s="39"/>
      <c r="AC199" s="33">
        <f>(B199*194.205+C199*267.466+D199*133.845+E199*53.484+F199*40+G199*185+H199*0+I199*100+J199*300)/(194.205+267.466+133.845+53.484+0+40+185+100+300)</f>
        <v>7.9339918479591853</v>
      </c>
      <c r="AD199" s="27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7.8869230215827342</v>
      </c>
    </row>
    <row r="200" spans="1:30" ht="15" x14ac:dyDescent="0.2">
      <c r="A200" s="16">
        <v>47331</v>
      </c>
      <c r="B200" s="10">
        <f>CHOOSE(CONTROL!$C$42, 7.5283, 7.5283) * CHOOSE(CONTROL!$C$21, $C$9, 100%, $E$9)</f>
        <v>7.5282999999999998</v>
      </c>
      <c r="C200" s="10">
        <f>CHOOSE(CONTROL!$C$42, 7.5362, 7.5362) * CHOOSE(CONTROL!$C$21, $C$9, 100%, $E$9)</f>
        <v>7.5362</v>
      </c>
      <c r="D200" s="10">
        <f>CHOOSE(CONTROL!$C$42, 7.7132, 7.7132) * CHOOSE(CONTROL!$C$21, $C$9, 100%, $E$9)</f>
        <v>7.7131999999999996</v>
      </c>
      <c r="E200" s="10">
        <f>CHOOSE(CONTROL!$C$42, 7.7444, 7.7444) * CHOOSE(CONTROL!$C$21, $C$9, 100%, $E$9)</f>
        <v>7.7443999999999997</v>
      </c>
      <c r="F200" s="10">
        <f>CHOOSE(CONTROL!$C$42, 7.4922, 7.4922)*CHOOSE(CONTROL!$C$21, $C$9, 100%, $E$9)</f>
        <v>7.4922000000000004</v>
      </c>
      <c r="G200" s="10">
        <f>CHOOSE(CONTROL!$C$42, 7.5088, 7.5088)*CHOOSE(CONTROL!$C$21, $C$9, 100%, $E$9)</f>
        <v>7.5087999999999999</v>
      </c>
      <c r="H200" s="10">
        <f>CHOOSE(CONTROL!$C$42, 7.733, 7.733) * CHOOSE(CONTROL!$C$21, $C$9, 100%, $E$9)</f>
        <v>7.7329999999999997</v>
      </c>
      <c r="I200" s="10">
        <f>CHOOSE(CONTROL!$C$42, 7.5129, 7.5129)* CHOOSE(CONTROL!$C$21, $C$9, 100%, $E$9)</f>
        <v>7.5129000000000001</v>
      </c>
      <c r="J200" s="10">
        <f>CHOOSE(CONTROL!$C$42, 7.4852, 7.4852)* CHOOSE(CONTROL!$C$21, $C$9, 100%, $E$9)</f>
        <v>7.4851999999999999</v>
      </c>
      <c r="K200" s="10">
        <f>CHOOSE(CONTROL!$C$42, 7.4349, 7.4349) * CHOOSE(CONTROL!$C$21, $C$9, 100%, $E$9)</f>
        <v>7.4348999999999998</v>
      </c>
      <c r="L200" s="10">
        <f>CHOOSE(CONTROL!$C$42, 8.32, 8.32) * CHOOSE(CONTROL!$C$21, $C$9, 100%, $E$9)</f>
        <v>8.32</v>
      </c>
      <c r="M200" s="10">
        <f>CHOOSE(CONTROL!$C$42, 7.4234, 7.4234) * CHOOSE(CONTROL!$C$21, $C$9, 100%, $E$9)</f>
        <v>7.4234</v>
      </c>
      <c r="N200" s="10">
        <f>CHOOSE(CONTROL!$C$42, 7.4399, 7.4399) * CHOOSE(CONTROL!$C$21, $C$9, 100%, $E$9)</f>
        <v>7.4398999999999997</v>
      </c>
      <c r="O200" s="10">
        <f>CHOOSE(CONTROL!$C$42, 7.6688, 7.6688) * CHOOSE(CONTROL!$C$21, $C$9, 100%, $E$9)</f>
        <v>7.6688000000000001</v>
      </c>
      <c r="P200" s="10">
        <f>CHOOSE(CONTROL!$C$42, 7.451, 7.451) * CHOOSE(CONTROL!$C$21, $C$9, 100%, $E$9)</f>
        <v>7.4509999999999996</v>
      </c>
      <c r="Q200" s="10">
        <f>CHOOSE(CONTROL!$C$42, 8.2641, 8.2641) * CHOOSE(CONTROL!$C$21, $C$9, 100%, $E$9)</f>
        <v>8.2640999999999991</v>
      </c>
      <c r="R200" s="10">
        <f>CHOOSE(CONTROL!$C$42, 8.8717, 8.8717) * CHOOSE(CONTROL!$C$21, $C$9, 100%, $E$9)</f>
        <v>8.8717000000000006</v>
      </c>
      <c r="S200" s="10">
        <f>CHOOSE(CONTROL!$C$42, 7.3065, 7.3065) * CHOOSE(CONTROL!$C$21, $C$9, 100%, $E$9)</f>
        <v>7.3064999999999998</v>
      </c>
      <c r="T2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38">
        <f>(1000*CHOOSE(CONTROL!$C$42, 695, 695)*CHOOSE(CONTROL!$C$42, 0.5599, 0.5599)*CHOOSE(CONTROL!$C$42, 31, 31))/1000000</f>
        <v>12.063045499999998</v>
      </c>
      <c r="V200" s="38">
        <f>(1000*CHOOSE(CONTROL!$C$42, 500, 500)*CHOOSE(CONTROL!$C$42, 0.275, 0.275)*CHOOSE(CONTROL!$C$42, 31, 31))/1000000</f>
        <v>4.2625000000000002</v>
      </c>
      <c r="W200" s="38">
        <f>(1000*CHOOSE(CONTROL!$C$42, 0.1146, 0.1146)*CHOOSE(CONTROL!$C$42, 121.5, 121.5)*CHOOSE(CONTROL!$C$42, 31, 31))/1000000</f>
        <v>0.43164089999999994</v>
      </c>
      <c r="X200" s="38">
        <f>(31*0.1790888*245000/1000000)+(31*0.2374*100000/1000000)</f>
        <v>2.0961194359999999</v>
      </c>
      <c r="Y200" s="38">
        <f>(1000*600*CHOOSE(CONTROL!$C$42, 1.6945, 1.6945)*CHOOSE(CONTROL!$C$42, 31, 31))/1000000</f>
        <v>31.517699999999998</v>
      </c>
      <c r="Z200" s="38"/>
      <c r="AA200" s="10"/>
      <c r="AB200" s="39"/>
      <c r="AC200" s="33">
        <f>(B200*194.205+C200*267.466+D200*133.845+E200*53.484+F200*40+G200*185+H200*0+I200*100+J200*300)/(194.205+267.466+133.845+53.484+0+40+185+100+300)</f>
        <v>7.543133056750392</v>
      </c>
      <c r="AD200" s="27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7.5000230215827335</v>
      </c>
    </row>
    <row r="201" spans="1:30" ht="15" x14ac:dyDescent="0.2">
      <c r="A201" s="16">
        <v>47362</v>
      </c>
      <c r="B201" s="10">
        <f>CHOOSE(CONTROL!$C$42, 7.0507, 7.0507) * CHOOSE(CONTROL!$C$21, $C$9, 100%, $E$9)</f>
        <v>7.0507</v>
      </c>
      <c r="C201" s="10">
        <f>CHOOSE(CONTROL!$C$42, 7.0586, 7.0586) * CHOOSE(CONTROL!$C$21, $C$9, 100%, $E$9)</f>
        <v>7.0586000000000002</v>
      </c>
      <c r="D201" s="10">
        <f>CHOOSE(CONTROL!$C$42, 7.2356, 7.2356) * CHOOSE(CONTROL!$C$21, $C$9, 100%, $E$9)</f>
        <v>7.2355999999999998</v>
      </c>
      <c r="E201" s="10">
        <f>CHOOSE(CONTROL!$C$42, 7.2668, 7.2668) * CHOOSE(CONTROL!$C$21, $C$9, 100%, $E$9)</f>
        <v>7.2667999999999999</v>
      </c>
      <c r="F201" s="10">
        <f>CHOOSE(CONTROL!$C$42, 7.0143, 7.0143)*CHOOSE(CONTROL!$C$21, $C$9, 100%, $E$9)</f>
        <v>7.0143000000000004</v>
      </c>
      <c r="G201" s="10">
        <f>CHOOSE(CONTROL!$C$42, 7.0309, 7.0309)*CHOOSE(CONTROL!$C$21, $C$9, 100%, $E$9)</f>
        <v>7.0308999999999999</v>
      </c>
      <c r="H201" s="10">
        <f>CHOOSE(CONTROL!$C$42, 7.2554, 7.2554) * CHOOSE(CONTROL!$C$21, $C$9, 100%, $E$9)</f>
        <v>7.2553999999999998</v>
      </c>
      <c r="I201" s="10">
        <f>CHOOSE(CONTROL!$C$42, 7.0353, 7.0353)* CHOOSE(CONTROL!$C$21, $C$9, 100%, $E$9)</f>
        <v>7.0353000000000003</v>
      </c>
      <c r="J201" s="10">
        <f>CHOOSE(CONTROL!$C$42, 7.0073, 7.0073)* CHOOSE(CONTROL!$C$21, $C$9, 100%, $E$9)</f>
        <v>7.0072999999999999</v>
      </c>
      <c r="K201" s="10">
        <f>CHOOSE(CONTROL!$C$42, 6.9703, 6.9703) * CHOOSE(CONTROL!$C$21, $C$9, 100%, $E$9)</f>
        <v>6.9702999999999999</v>
      </c>
      <c r="L201" s="10">
        <f>CHOOSE(CONTROL!$C$42, 7.8424, 7.8424) * CHOOSE(CONTROL!$C$21, $C$9, 100%, $E$9)</f>
        <v>7.8423999999999996</v>
      </c>
      <c r="M201" s="10">
        <f>CHOOSE(CONTROL!$C$42, 6.9504, 6.9504) * CHOOSE(CONTROL!$C$21, $C$9, 100%, $E$9)</f>
        <v>6.9504000000000001</v>
      </c>
      <c r="N201" s="10">
        <f>CHOOSE(CONTROL!$C$42, 6.9668, 6.9668) * CHOOSE(CONTROL!$C$21, $C$9, 100%, $E$9)</f>
        <v>6.9668000000000001</v>
      </c>
      <c r="O201" s="10">
        <f>CHOOSE(CONTROL!$C$42, 7.196, 7.196) * CHOOSE(CONTROL!$C$21, $C$9, 100%, $E$9)</f>
        <v>7.1959999999999997</v>
      </c>
      <c r="P201" s="10">
        <f>CHOOSE(CONTROL!$C$42, 6.9782, 6.9782) * CHOOSE(CONTROL!$C$21, $C$9, 100%, $E$9)</f>
        <v>6.9782000000000002</v>
      </c>
      <c r="Q201" s="10">
        <f>CHOOSE(CONTROL!$C$42, 7.7913, 7.7913) * CHOOSE(CONTROL!$C$21, $C$9, 100%, $E$9)</f>
        <v>7.7912999999999997</v>
      </c>
      <c r="R201" s="10">
        <f>CHOOSE(CONTROL!$C$42, 8.3978, 8.3978) * CHOOSE(CONTROL!$C$21, $C$9, 100%, $E$9)</f>
        <v>8.3978000000000002</v>
      </c>
      <c r="S201" s="10">
        <f>CHOOSE(CONTROL!$C$42, 6.8427, 6.8427) * CHOOSE(CONTROL!$C$21, $C$9, 100%, $E$9)</f>
        <v>6.8426999999999998</v>
      </c>
      <c r="T2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38">
        <f>(1000*CHOOSE(CONTROL!$C$42, 695, 695)*CHOOSE(CONTROL!$C$42, 0.5599, 0.5599)*CHOOSE(CONTROL!$C$42, 30, 30))/1000000</f>
        <v>11.673914999999997</v>
      </c>
      <c r="V201" s="38">
        <f>(1000*CHOOSE(CONTROL!$C$42, 500, 500)*CHOOSE(CONTROL!$C$42, 0.275, 0.275)*CHOOSE(CONTROL!$C$42, 30, 30))/1000000</f>
        <v>4.125</v>
      </c>
      <c r="W201" s="38">
        <f>(1000*CHOOSE(CONTROL!$C$42, 0.1146, 0.1146)*CHOOSE(CONTROL!$C$42, 121.5, 121.5)*CHOOSE(CONTROL!$C$42, 30, 30))/1000000</f>
        <v>0.417717</v>
      </c>
      <c r="X201" s="38">
        <f>(30*0.1790888*245000/1000000)+(30*0.2374*100000/1000000)</f>
        <v>2.0285026799999999</v>
      </c>
      <c r="Y201" s="38">
        <f>(1000*600*CHOOSE(CONTROL!$C$42, 1.6945, 1.6945)*CHOOSE(CONTROL!$C$42, 30, 30))/1000000</f>
        <v>30.500999999999998</v>
      </c>
      <c r="Z201" s="38"/>
      <c r="AA201" s="10"/>
      <c r="AB201" s="39"/>
      <c r="AC201" s="33">
        <f>(B201*194.205+C201*267.466+D201*133.845+E201*53.484+F201*40+G201*185+H201*0+I201*100+J201*300)/(194.205+267.466+133.845+53.484+0+40+185+100+300)</f>
        <v>7.0654094303767652</v>
      </c>
      <c r="AD201" s="27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7.0270848920863305</v>
      </c>
    </row>
    <row r="202" spans="1:30" ht="15" x14ac:dyDescent="0.2">
      <c r="A202" s="16">
        <v>47392</v>
      </c>
      <c r="B202" s="10">
        <f>CHOOSE(CONTROL!$C$42, 6.9055, 6.9055) * CHOOSE(CONTROL!$C$21, $C$9, 100%, $E$9)</f>
        <v>6.9055</v>
      </c>
      <c r="C202" s="10">
        <f>CHOOSE(CONTROL!$C$42, 6.9107, 6.9107) * CHOOSE(CONTROL!$C$21, $C$9, 100%, $E$9)</f>
        <v>6.9107000000000003</v>
      </c>
      <c r="D202" s="10">
        <f>CHOOSE(CONTROL!$C$42, 7.0927, 7.0927) * CHOOSE(CONTROL!$C$21, $C$9, 100%, $E$9)</f>
        <v>7.0926999999999998</v>
      </c>
      <c r="E202" s="10">
        <f>CHOOSE(CONTROL!$C$42, 7.1215, 7.1215) * CHOOSE(CONTROL!$C$21, $C$9, 100%, $E$9)</f>
        <v>7.1215000000000002</v>
      </c>
      <c r="F202" s="10">
        <f>CHOOSE(CONTROL!$C$42, 6.8711, 6.8711)*CHOOSE(CONTROL!$C$21, $C$9, 100%, $E$9)</f>
        <v>6.8711000000000002</v>
      </c>
      <c r="G202" s="10">
        <f>CHOOSE(CONTROL!$C$42, 6.8874, 6.8874)*CHOOSE(CONTROL!$C$21, $C$9, 100%, $E$9)</f>
        <v>6.8874000000000004</v>
      </c>
      <c r="H202" s="10">
        <f>CHOOSE(CONTROL!$C$42, 7.112, 7.112) * CHOOSE(CONTROL!$C$21, $C$9, 100%, $E$9)</f>
        <v>7.1120000000000001</v>
      </c>
      <c r="I202" s="10">
        <f>CHOOSE(CONTROL!$C$42, 6.8919, 6.8919)* CHOOSE(CONTROL!$C$21, $C$9, 100%, $E$9)</f>
        <v>6.8918999999999997</v>
      </c>
      <c r="J202" s="10">
        <f>CHOOSE(CONTROL!$C$42, 6.8641, 6.8641)* CHOOSE(CONTROL!$C$21, $C$9, 100%, $E$9)</f>
        <v>6.8640999999999996</v>
      </c>
      <c r="K202" s="10">
        <f>CHOOSE(CONTROL!$C$42, 6.8316, 6.8316) * CHOOSE(CONTROL!$C$21, $C$9, 100%, $E$9)</f>
        <v>6.8315999999999999</v>
      </c>
      <c r="L202" s="10">
        <f>CHOOSE(CONTROL!$C$42, 7.699, 7.699) * CHOOSE(CONTROL!$C$21, $C$9, 100%, $E$9)</f>
        <v>7.6989999999999998</v>
      </c>
      <c r="M202" s="10">
        <f>CHOOSE(CONTROL!$C$42, 6.8087, 6.8087) * CHOOSE(CONTROL!$C$21, $C$9, 100%, $E$9)</f>
        <v>6.8087</v>
      </c>
      <c r="N202" s="10">
        <f>CHOOSE(CONTROL!$C$42, 6.8248, 6.8248) * CHOOSE(CONTROL!$C$21, $C$9, 100%, $E$9)</f>
        <v>6.8247999999999998</v>
      </c>
      <c r="O202" s="10">
        <f>CHOOSE(CONTROL!$C$42, 7.054, 7.054) * CHOOSE(CONTROL!$C$21, $C$9, 100%, $E$9)</f>
        <v>7.0540000000000003</v>
      </c>
      <c r="P202" s="10">
        <f>CHOOSE(CONTROL!$C$42, 6.8362, 6.8362) * CHOOSE(CONTROL!$C$21, $C$9, 100%, $E$9)</f>
        <v>6.8361999999999998</v>
      </c>
      <c r="Q202" s="10">
        <f>CHOOSE(CONTROL!$C$42, 7.6493, 7.6493) * CHOOSE(CONTROL!$C$21, $C$9, 100%, $E$9)</f>
        <v>7.6493000000000002</v>
      </c>
      <c r="R202" s="10">
        <f>CHOOSE(CONTROL!$C$42, 8.2554, 8.2554) * CHOOSE(CONTROL!$C$21, $C$9, 100%, $E$9)</f>
        <v>8.2553999999999998</v>
      </c>
      <c r="S202" s="10">
        <f>CHOOSE(CONTROL!$C$42, 6.7034, 6.7034) * CHOOSE(CONTROL!$C$21, $C$9, 100%, $E$9)</f>
        <v>6.7034000000000002</v>
      </c>
      <c r="T2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38">
        <f>(1000*CHOOSE(CONTROL!$C$42, 695, 695)*CHOOSE(CONTROL!$C$42, 0.5599, 0.5599)*CHOOSE(CONTROL!$C$42, 31, 31))/1000000</f>
        <v>12.063045499999998</v>
      </c>
      <c r="V202" s="38">
        <f>(1000*CHOOSE(CONTROL!$C$42, 500, 500)*CHOOSE(CONTROL!$C$42, 0.275, 0.275)*CHOOSE(CONTROL!$C$42, 31, 31))/1000000</f>
        <v>4.2625000000000002</v>
      </c>
      <c r="W202" s="38">
        <f>(1000*CHOOSE(CONTROL!$C$42, 0.1146, 0.1146)*CHOOSE(CONTROL!$C$42, 121.5, 121.5)*CHOOSE(CONTROL!$C$42, 31, 31))/1000000</f>
        <v>0.43164089999999994</v>
      </c>
      <c r="X202" s="38">
        <f>(31*0.1790888*245000/1000000)+(31*0.2374*100000/1000000)</f>
        <v>2.0961194359999999</v>
      </c>
      <c r="Y202" s="38">
        <f>(1000*600*CHOOSE(CONTROL!$C$42, 1.6945, 1.6945)*CHOOSE(CONTROL!$C$42, 31, 31))/1000000</f>
        <v>31.517699999999998</v>
      </c>
      <c r="Z202" s="38"/>
      <c r="AA202" s="10"/>
      <c r="AB202" s="39"/>
      <c r="AC202" s="33">
        <f>(B202*131.881+C202*277.167+D202*79.08+E202*125.872+F202*40+G202*185+H202*0+I202*100+J202*300)/(131.881+277.167+79.08+125.872+0+40+185+100+300)</f>
        <v>6.9256201746569808</v>
      </c>
      <c r="AD202" s="27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6.8851884892086321</v>
      </c>
    </row>
    <row r="203" spans="1:30" ht="15" x14ac:dyDescent="0.2">
      <c r="A203" s="16">
        <v>47423</v>
      </c>
      <c r="B203" s="10">
        <f>CHOOSE(CONTROL!$C$42, 7.0869, 7.0869) * CHOOSE(CONTROL!$C$21, $C$9, 100%, $E$9)</f>
        <v>7.0869</v>
      </c>
      <c r="C203" s="10">
        <f>CHOOSE(CONTROL!$C$42, 7.0919, 7.0919) * CHOOSE(CONTROL!$C$21, $C$9, 100%, $E$9)</f>
        <v>7.0918999999999999</v>
      </c>
      <c r="D203" s="10">
        <f>CHOOSE(CONTROL!$C$42, 7.1163, 7.1163) * CHOOSE(CONTROL!$C$21, $C$9, 100%, $E$9)</f>
        <v>7.1162999999999998</v>
      </c>
      <c r="E203" s="10">
        <f>CHOOSE(CONTROL!$C$42, 7.1501, 7.1501) * CHOOSE(CONTROL!$C$21, $C$9, 100%, $E$9)</f>
        <v>7.1501000000000001</v>
      </c>
      <c r="F203" s="10">
        <f>CHOOSE(CONTROL!$C$42, 7.0563, 7.0563)*CHOOSE(CONTROL!$C$21, $C$9, 100%, $E$9)</f>
        <v>7.0563000000000002</v>
      </c>
      <c r="G203" s="10">
        <f>CHOOSE(CONTROL!$C$42, 7.0727, 7.0727)*CHOOSE(CONTROL!$C$21, $C$9, 100%, $E$9)</f>
        <v>7.0727000000000002</v>
      </c>
      <c r="H203" s="10">
        <f>CHOOSE(CONTROL!$C$42, 7.1393, 7.1393) * CHOOSE(CONTROL!$C$21, $C$9, 100%, $E$9)</f>
        <v>7.1393000000000004</v>
      </c>
      <c r="I203" s="10">
        <f>CHOOSE(CONTROL!$C$42, 7.0737, 7.0737)* CHOOSE(CONTROL!$C$21, $C$9, 100%, $E$9)</f>
        <v>7.0736999999999997</v>
      </c>
      <c r="J203" s="10">
        <f>CHOOSE(CONTROL!$C$42, 7.0493, 7.0493)* CHOOSE(CONTROL!$C$21, $C$9, 100%, $E$9)</f>
        <v>7.0492999999999997</v>
      </c>
      <c r="K203" s="10">
        <f>CHOOSE(CONTROL!$C$42, 7.0097, 7.0097) * CHOOSE(CONTROL!$C$21, $C$9, 100%, $E$9)</f>
        <v>7.0096999999999996</v>
      </c>
      <c r="L203" s="10">
        <f>CHOOSE(CONTROL!$C$42, 7.7263, 7.7263) * CHOOSE(CONTROL!$C$21, $C$9, 100%, $E$9)</f>
        <v>7.7263000000000002</v>
      </c>
      <c r="M203" s="10">
        <f>CHOOSE(CONTROL!$C$42, 6.9919, 6.9919) * CHOOSE(CONTROL!$C$21, $C$9, 100%, $E$9)</f>
        <v>6.9919000000000002</v>
      </c>
      <c r="N203" s="10">
        <f>CHOOSE(CONTROL!$C$42, 7.0082, 7.0082) * CHOOSE(CONTROL!$C$21, $C$9, 100%, $E$9)</f>
        <v>7.0082000000000004</v>
      </c>
      <c r="O203" s="10">
        <f>CHOOSE(CONTROL!$C$42, 7.0811, 7.0811) * CHOOSE(CONTROL!$C$21, $C$9, 100%, $E$9)</f>
        <v>7.0811000000000002</v>
      </c>
      <c r="P203" s="10">
        <f>CHOOSE(CONTROL!$C$42, 7.0162, 7.0162) * CHOOSE(CONTROL!$C$21, $C$9, 100%, $E$9)</f>
        <v>7.0162000000000004</v>
      </c>
      <c r="Q203" s="10">
        <f>CHOOSE(CONTROL!$C$42, 7.6764, 7.6764) * CHOOSE(CONTROL!$C$21, $C$9, 100%, $E$9)</f>
        <v>7.6764000000000001</v>
      </c>
      <c r="R203" s="10">
        <f>CHOOSE(CONTROL!$C$42, 8.2826, 8.2826) * CHOOSE(CONTROL!$C$21, $C$9, 100%, $E$9)</f>
        <v>8.2826000000000004</v>
      </c>
      <c r="S203" s="10">
        <f>CHOOSE(CONTROL!$C$42, 6.88, 6.88) * CHOOSE(CONTROL!$C$21, $C$9, 100%, $E$9)</f>
        <v>6.88</v>
      </c>
      <c r="T2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38">
        <f>(1000*CHOOSE(CONTROL!$C$42, 695, 695)*CHOOSE(CONTROL!$C$42, 0.5599, 0.5599)*CHOOSE(CONTROL!$C$42, 30, 30))/1000000</f>
        <v>11.673914999999997</v>
      </c>
      <c r="V203" s="38">
        <f>(1000*CHOOSE(CONTROL!$C$42, 500, 500)*CHOOSE(CONTROL!$C$42, 0.275, 0.275)*CHOOSE(CONTROL!$C$42, 30, 30))/1000000</f>
        <v>4.125</v>
      </c>
      <c r="W203" s="38">
        <f>(1000*CHOOSE(CONTROL!$C$42, 0.1146, 0.1146)*CHOOSE(CONTROL!$C$42, 121.5, 121.5)*CHOOSE(CONTROL!$C$42, 30, 30))/1000000</f>
        <v>0.417717</v>
      </c>
      <c r="X203" s="38">
        <f>(30*0.1790888*100000/1000000)+(30*0.2374*100000/1000000)</f>
        <v>1.2494664</v>
      </c>
      <c r="Y203" s="38">
        <f>(1000*600*CHOOSE(CONTROL!$C$42, 1.6945, 1.6945)*CHOOSE(CONTROL!$C$42, 30, 30))/1000000</f>
        <v>30.500999999999998</v>
      </c>
      <c r="Z203" s="38"/>
      <c r="AA203" s="10"/>
      <c r="AB203" s="39"/>
      <c r="AC203" s="33">
        <f>(B203*122.58+C203*297.941+D203*89.177+E203*40.302+F203*40+G203*160+H203*0+I203*100+J203*300)/(122.58+297.941+89.177+40.302+0+40+160+100+300)</f>
        <v>7.0786935610434787</v>
      </c>
      <c r="AD203" s="27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7.0367633093525184</v>
      </c>
    </row>
    <row r="204" spans="1:30" ht="15" x14ac:dyDescent="0.2">
      <c r="A204" s="16">
        <v>47453</v>
      </c>
      <c r="B204" s="10">
        <f>CHOOSE(CONTROL!$C$42, 7.5699, 7.5699) * CHOOSE(CONTROL!$C$21, $C$9, 100%, $E$9)</f>
        <v>7.5698999999999996</v>
      </c>
      <c r="C204" s="10">
        <f>CHOOSE(CONTROL!$C$42, 7.5749, 7.5749) * CHOOSE(CONTROL!$C$21, $C$9, 100%, $E$9)</f>
        <v>7.5749000000000004</v>
      </c>
      <c r="D204" s="10">
        <f>CHOOSE(CONTROL!$C$42, 7.5993, 7.5993) * CHOOSE(CONTROL!$C$21, $C$9, 100%, $E$9)</f>
        <v>7.5993000000000004</v>
      </c>
      <c r="E204" s="10">
        <f>CHOOSE(CONTROL!$C$42, 7.6331, 7.6331) * CHOOSE(CONTROL!$C$21, $C$9, 100%, $E$9)</f>
        <v>7.6330999999999998</v>
      </c>
      <c r="F204" s="10">
        <f>CHOOSE(CONTROL!$C$42, 7.5415, 7.5415)*CHOOSE(CONTROL!$C$21, $C$9, 100%, $E$9)</f>
        <v>7.5415000000000001</v>
      </c>
      <c r="G204" s="10">
        <f>CHOOSE(CONTROL!$C$42, 7.5586, 7.5586)*CHOOSE(CONTROL!$C$21, $C$9, 100%, $E$9)</f>
        <v>7.5586000000000002</v>
      </c>
      <c r="H204" s="10">
        <f>CHOOSE(CONTROL!$C$42, 7.6223, 7.6223) * CHOOSE(CONTROL!$C$21, $C$9, 100%, $E$9)</f>
        <v>7.6223000000000001</v>
      </c>
      <c r="I204" s="10">
        <f>CHOOSE(CONTROL!$C$42, 7.5567, 7.5567)* CHOOSE(CONTROL!$C$21, $C$9, 100%, $E$9)</f>
        <v>7.5567000000000002</v>
      </c>
      <c r="J204" s="10">
        <f>CHOOSE(CONTROL!$C$42, 7.5345, 7.5345)* CHOOSE(CONTROL!$C$21, $C$9, 100%, $E$9)</f>
        <v>7.5345000000000004</v>
      </c>
      <c r="K204" s="10">
        <f>CHOOSE(CONTROL!$C$42, 7.484, 7.484) * CHOOSE(CONTROL!$C$21, $C$9, 100%, $E$9)</f>
        <v>7.484</v>
      </c>
      <c r="L204" s="10">
        <f>CHOOSE(CONTROL!$C$42, 8.2093, 8.2093) * CHOOSE(CONTROL!$C$21, $C$9, 100%, $E$9)</f>
        <v>8.2093000000000007</v>
      </c>
      <c r="M204" s="10">
        <f>CHOOSE(CONTROL!$C$42, 7.4723, 7.4723) * CHOOSE(CONTROL!$C$21, $C$9, 100%, $E$9)</f>
        <v>7.4722999999999997</v>
      </c>
      <c r="N204" s="10">
        <f>CHOOSE(CONTROL!$C$42, 7.4892, 7.4892) * CHOOSE(CONTROL!$C$21, $C$9, 100%, $E$9)</f>
        <v>7.4892000000000003</v>
      </c>
      <c r="O204" s="10">
        <f>CHOOSE(CONTROL!$C$42, 7.5592, 7.5592) * CHOOSE(CONTROL!$C$21, $C$9, 100%, $E$9)</f>
        <v>7.5591999999999997</v>
      </c>
      <c r="P204" s="10">
        <f>CHOOSE(CONTROL!$C$42, 7.4943, 7.4943) * CHOOSE(CONTROL!$C$21, $C$9, 100%, $E$9)</f>
        <v>7.4943</v>
      </c>
      <c r="Q204" s="10">
        <f>CHOOSE(CONTROL!$C$42, 8.1545, 8.1545) * CHOOSE(CONTROL!$C$21, $C$9, 100%, $E$9)</f>
        <v>8.1545000000000005</v>
      </c>
      <c r="R204" s="10">
        <f>CHOOSE(CONTROL!$C$42, 8.7619, 8.7619) * CHOOSE(CONTROL!$C$21, $C$9, 100%, $E$9)</f>
        <v>8.7619000000000007</v>
      </c>
      <c r="S204" s="10">
        <f>CHOOSE(CONTROL!$C$42, 7.349, 7.349) * CHOOSE(CONTROL!$C$21, $C$9, 100%, $E$9)</f>
        <v>7.3490000000000002</v>
      </c>
      <c r="T2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38">
        <f>(1000*CHOOSE(CONTROL!$C$42, 695, 695)*CHOOSE(CONTROL!$C$42, 0.5599, 0.5599)*CHOOSE(CONTROL!$C$42, 31, 31))/1000000</f>
        <v>12.063045499999998</v>
      </c>
      <c r="V204" s="38">
        <f>(1000*CHOOSE(CONTROL!$C$42, 500, 500)*CHOOSE(CONTROL!$C$42, 0.275, 0.275)*CHOOSE(CONTROL!$C$42, 31, 31))/1000000</f>
        <v>4.2625000000000002</v>
      </c>
      <c r="W204" s="38">
        <f>(1000*CHOOSE(CONTROL!$C$42, 0.1146, 0.1146)*CHOOSE(CONTROL!$C$42, 121.5, 121.5)*CHOOSE(CONTROL!$C$42, 31, 31))/1000000</f>
        <v>0.43164089999999994</v>
      </c>
      <c r="X204" s="38">
        <f>(31*0.1790888*100000/1000000)+(31*0.2374*100000/1000000)</f>
        <v>1.2911152800000001</v>
      </c>
      <c r="Y204" s="38">
        <f>(1000*600*CHOOSE(CONTROL!$C$42, 1.6945, 1.6945)*CHOOSE(CONTROL!$C$42, 31, 31))/1000000</f>
        <v>31.517699999999998</v>
      </c>
      <c r="Z204" s="38"/>
      <c r="AA204" s="10"/>
      <c r="AB204" s="39"/>
      <c r="AC204" s="33">
        <f>(B204*122.58+C204*297.941+D204*89.177+E204*40.302+F204*40+G204*160+H204*0+I204*100+J204*300)/(122.58+297.941+89.177+40.302+0+40+160+100+300)</f>
        <v>7.5627474740869554</v>
      </c>
      <c r="AD204" s="27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7.515824460431654</v>
      </c>
    </row>
    <row r="205" spans="1:30" ht="15" x14ac:dyDescent="0.2">
      <c r="A205" s="16">
        <v>47484</v>
      </c>
      <c r="B205" s="10">
        <f>CHOOSE(CONTROL!$C$42, 8.2109, 8.2109) * CHOOSE(CONTROL!$C$21, $C$9, 100%, $E$9)</f>
        <v>8.2109000000000005</v>
      </c>
      <c r="C205" s="10">
        <f>CHOOSE(CONTROL!$C$42, 8.2158, 8.2158) * CHOOSE(CONTROL!$C$21, $C$9, 100%, $E$9)</f>
        <v>8.2157999999999998</v>
      </c>
      <c r="D205" s="10">
        <f>CHOOSE(CONTROL!$C$42, 8.2403, 8.2403) * CHOOSE(CONTROL!$C$21, $C$9, 100%, $E$9)</f>
        <v>8.2402999999999995</v>
      </c>
      <c r="E205" s="10">
        <f>CHOOSE(CONTROL!$C$42, 8.2741, 8.2741) * CHOOSE(CONTROL!$C$21, $C$9, 100%, $E$9)</f>
        <v>8.2741000000000007</v>
      </c>
      <c r="F205" s="10">
        <f>CHOOSE(CONTROL!$C$42, 8.1938, 8.1938)*CHOOSE(CONTROL!$C$21, $C$9, 100%, $E$9)</f>
        <v>8.1937999999999995</v>
      </c>
      <c r="G205" s="10">
        <f>CHOOSE(CONTROL!$C$42, 8.2125, 8.2125)*CHOOSE(CONTROL!$C$21, $C$9, 100%, $E$9)</f>
        <v>8.2125000000000004</v>
      </c>
      <c r="H205" s="10">
        <f>CHOOSE(CONTROL!$C$42, 8.2633, 8.2633) * CHOOSE(CONTROL!$C$21, $C$9, 100%, $E$9)</f>
        <v>8.2632999999999992</v>
      </c>
      <c r="I205" s="10">
        <f>CHOOSE(CONTROL!$C$42, 8.2054, 8.2054)* CHOOSE(CONTROL!$C$21, $C$9, 100%, $E$9)</f>
        <v>8.2053999999999991</v>
      </c>
      <c r="J205" s="10">
        <f>CHOOSE(CONTROL!$C$42, 8.1868, 8.1868)* CHOOSE(CONTROL!$C$21, $C$9, 100%, $E$9)</f>
        <v>8.1867999999999999</v>
      </c>
      <c r="K205" s="10">
        <f>CHOOSE(CONTROL!$C$42, 8.1277, 8.1277) * CHOOSE(CONTROL!$C$21, $C$9, 100%, $E$9)</f>
        <v>8.1277000000000008</v>
      </c>
      <c r="L205" s="10">
        <f>CHOOSE(CONTROL!$C$42, 8.8503, 8.8503) * CHOOSE(CONTROL!$C$21, $C$9, 100%, $E$9)</f>
        <v>8.8503000000000007</v>
      </c>
      <c r="M205" s="10">
        <f>CHOOSE(CONTROL!$C$42, 8.118, 8.118) * CHOOSE(CONTROL!$C$21, $C$9, 100%, $E$9)</f>
        <v>8.1180000000000003</v>
      </c>
      <c r="N205" s="10">
        <f>CHOOSE(CONTROL!$C$42, 8.1365, 8.1365) * CHOOSE(CONTROL!$C$21, $C$9, 100%, $E$9)</f>
        <v>8.1364999999999998</v>
      </c>
      <c r="O205" s="10">
        <f>CHOOSE(CONTROL!$C$42, 8.1937, 8.1937) * CHOOSE(CONTROL!$C$21, $C$9, 100%, $E$9)</f>
        <v>8.1936999999999998</v>
      </c>
      <c r="P205" s="10">
        <f>CHOOSE(CONTROL!$C$42, 8.1364, 8.1364) * CHOOSE(CONTROL!$C$21, $C$9, 100%, $E$9)</f>
        <v>8.1364000000000001</v>
      </c>
      <c r="Q205" s="10">
        <f>CHOOSE(CONTROL!$C$42, 8.789, 8.789) * CHOOSE(CONTROL!$C$21, $C$9, 100%, $E$9)</f>
        <v>8.7889999999999997</v>
      </c>
      <c r="R205" s="10">
        <f>CHOOSE(CONTROL!$C$42, 9.398, 9.398) * CHOOSE(CONTROL!$C$21, $C$9, 100%, $E$9)</f>
        <v>9.3979999999999997</v>
      </c>
      <c r="S205" s="10">
        <f>CHOOSE(CONTROL!$C$42, 7.9715, 7.9715) * CHOOSE(CONTROL!$C$21, $C$9, 100%, $E$9)</f>
        <v>7.9714999999999998</v>
      </c>
      <c r="T2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38">
        <f>(1000*CHOOSE(CONTROL!$C$42, 695, 695)*CHOOSE(CONTROL!$C$42, 0.5599, 0.5599)*CHOOSE(CONTROL!$C$42, 31, 31))/1000000</f>
        <v>12.063045499999998</v>
      </c>
      <c r="V205" s="38">
        <f>(1000*CHOOSE(CONTROL!$C$42, 500, 500)*CHOOSE(CONTROL!$C$42, 0.275, 0.275)*CHOOSE(CONTROL!$C$42, 31, 31))/1000000</f>
        <v>4.2625000000000002</v>
      </c>
      <c r="W205" s="38">
        <f>(1000*CHOOSE(CONTROL!$C$42, 0.1146, 0.1146)*CHOOSE(CONTROL!$C$42, 121.5, 121.5)*CHOOSE(CONTROL!$C$42, 31, 31))/1000000</f>
        <v>0.43164089999999994</v>
      </c>
      <c r="X205" s="38">
        <f>(31*0.1790888*100000/1000000)+(31*0.2374*100000/1000000)</f>
        <v>1.2911152800000001</v>
      </c>
      <c r="Y205" s="38">
        <f>(1000*600*CHOOSE(CONTROL!$C$42, 1.6846, 1.6846)*CHOOSE(CONTROL!$C$42, 31, 31))/1000000</f>
        <v>31.333560000000002</v>
      </c>
      <c r="Z205" s="38"/>
      <c r="AA205" s="10"/>
      <c r="AB205" s="39"/>
      <c r="AC205" s="33">
        <f>(B205*122.58+C205*297.941+D205*89.177+E205*40.302+F205*40+G205*160+H205*0+I205*100+J205*300)/(122.58+297.941+89.177+40.302+0+40+160+100+300)</f>
        <v>8.2095267835652166</v>
      </c>
      <c r="AD205" s="27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8.1560223021582736</v>
      </c>
    </row>
    <row r="206" spans="1:30" ht="15" x14ac:dyDescent="0.2">
      <c r="A206" s="16">
        <v>47515</v>
      </c>
      <c r="B206" s="10">
        <f>CHOOSE(CONTROL!$C$42, 8.357, 8.357) * CHOOSE(CONTROL!$C$21, $C$9, 100%, $E$9)</f>
        <v>8.3569999999999993</v>
      </c>
      <c r="C206" s="10">
        <f>CHOOSE(CONTROL!$C$42, 8.362, 8.362) * CHOOSE(CONTROL!$C$21, $C$9, 100%, $E$9)</f>
        <v>8.3620000000000001</v>
      </c>
      <c r="D206" s="10">
        <f>CHOOSE(CONTROL!$C$42, 8.3864, 8.3864) * CHOOSE(CONTROL!$C$21, $C$9, 100%, $E$9)</f>
        <v>8.3864000000000001</v>
      </c>
      <c r="E206" s="10">
        <f>CHOOSE(CONTROL!$C$42, 8.4202, 8.4202) * CHOOSE(CONTROL!$C$21, $C$9, 100%, $E$9)</f>
        <v>8.4201999999999995</v>
      </c>
      <c r="F206" s="10">
        <f>CHOOSE(CONTROL!$C$42, 8.3393, 8.3393)*CHOOSE(CONTROL!$C$21, $C$9, 100%, $E$9)</f>
        <v>8.3392999999999997</v>
      </c>
      <c r="G206" s="10">
        <f>CHOOSE(CONTROL!$C$42, 8.3577, 8.3577)*CHOOSE(CONTROL!$C$21, $C$9, 100%, $E$9)</f>
        <v>8.3576999999999995</v>
      </c>
      <c r="H206" s="10">
        <f>CHOOSE(CONTROL!$C$42, 8.4094, 8.4094) * CHOOSE(CONTROL!$C$21, $C$9, 100%, $E$9)</f>
        <v>8.4093999999999998</v>
      </c>
      <c r="I206" s="10">
        <f>CHOOSE(CONTROL!$C$42, 8.3515, 8.3515)* CHOOSE(CONTROL!$C$21, $C$9, 100%, $E$9)</f>
        <v>8.3514999999999997</v>
      </c>
      <c r="J206" s="10">
        <f>CHOOSE(CONTROL!$C$42, 8.3323, 8.3323)* CHOOSE(CONTROL!$C$21, $C$9, 100%, $E$9)</f>
        <v>8.3323</v>
      </c>
      <c r="K206" s="10">
        <f>CHOOSE(CONTROL!$C$42, 8.2682, 8.2682) * CHOOSE(CONTROL!$C$21, $C$9, 100%, $E$9)</f>
        <v>8.2682000000000002</v>
      </c>
      <c r="L206" s="10">
        <f>CHOOSE(CONTROL!$C$42, 8.9964, 8.9964) * CHOOSE(CONTROL!$C$21, $C$9, 100%, $E$9)</f>
        <v>8.9963999999999995</v>
      </c>
      <c r="M206" s="10">
        <f>CHOOSE(CONTROL!$C$42, 8.262, 8.262) * CHOOSE(CONTROL!$C$21, $C$9, 100%, $E$9)</f>
        <v>8.2620000000000005</v>
      </c>
      <c r="N206" s="10">
        <f>CHOOSE(CONTROL!$C$42, 8.2803, 8.2803) * CHOOSE(CONTROL!$C$21, $C$9, 100%, $E$9)</f>
        <v>8.2803000000000004</v>
      </c>
      <c r="O206" s="10">
        <f>CHOOSE(CONTROL!$C$42, 8.3384, 8.3384) * CHOOSE(CONTROL!$C$21, $C$9, 100%, $E$9)</f>
        <v>8.3384</v>
      </c>
      <c r="P206" s="10">
        <f>CHOOSE(CONTROL!$C$42, 8.2811, 8.2811) * CHOOSE(CONTROL!$C$21, $C$9, 100%, $E$9)</f>
        <v>8.2811000000000003</v>
      </c>
      <c r="Q206" s="10">
        <f>CHOOSE(CONTROL!$C$42, 8.9337, 8.9337) * CHOOSE(CONTROL!$C$21, $C$9, 100%, $E$9)</f>
        <v>8.9337</v>
      </c>
      <c r="R206" s="10">
        <f>CHOOSE(CONTROL!$C$42, 9.543, 9.543) * CHOOSE(CONTROL!$C$21, $C$9, 100%, $E$9)</f>
        <v>9.5429999999999993</v>
      </c>
      <c r="S206" s="10">
        <f>CHOOSE(CONTROL!$C$42, 8.1134, 8.1134) * CHOOSE(CONTROL!$C$21, $C$9, 100%, $E$9)</f>
        <v>8.1134000000000004</v>
      </c>
      <c r="T2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38">
        <f>(1000*CHOOSE(CONTROL!$C$42, 695, 695)*CHOOSE(CONTROL!$C$42, 0.5599, 0.5599)*CHOOSE(CONTROL!$C$42, 28, 28))/1000000</f>
        <v>10.895653999999999</v>
      </c>
      <c r="V206" s="38">
        <f>(1000*CHOOSE(CONTROL!$C$42, 500, 500)*CHOOSE(CONTROL!$C$42, 0.275, 0.275)*CHOOSE(CONTROL!$C$42, 28, 28))/1000000</f>
        <v>3.85</v>
      </c>
      <c r="W206" s="38">
        <f>(1000*CHOOSE(CONTROL!$C$42, 0.1146, 0.1146)*CHOOSE(CONTROL!$C$42, 121.5, 121.5)*CHOOSE(CONTROL!$C$42, 28, 28))/1000000</f>
        <v>0.38986920000000003</v>
      </c>
      <c r="X206" s="38">
        <f>(28*0.1790888*100000/1000000)+(28*0.2374*100000/1000000)</f>
        <v>1.16616864</v>
      </c>
      <c r="Y206" s="38">
        <f>(1000*600*CHOOSE(CONTROL!$C$42, 1.6846, 1.6846)*CHOOSE(CONTROL!$C$42, 28, 28))/1000000</f>
        <v>28.301280000000002</v>
      </c>
      <c r="Z206" s="38"/>
      <c r="AA206" s="10"/>
      <c r="AB206" s="39"/>
      <c r="AC206" s="33">
        <f>(B206*122.58+C206*297.941+D206*89.177+E206*40.302+F206*40+G206*160+H206*0+I206*100+J206*300)/(122.58+297.941+89.177+40.302+0+40+160+100+300)</f>
        <v>8.3553500827826088</v>
      </c>
      <c r="AD206" s="27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8.3004287769784177</v>
      </c>
    </row>
    <row r="207" spans="1:30" ht="15" x14ac:dyDescent="0.2">
      <c r="A207" s="16">
        <v>47543</v>
      </c>
      <c r="B207" s="10">
        <f>CHOOSE(CONTROL!$C$42, 8.1198, 8.1198) * CHOOSE(CONTROL!$C$21, $C$9, 100%, $E$9)</f>
        <v>8.1197999999999997</v>
      </c>
      <c r="C207" s="10">
        <f>CHOOSE(CONTROL!$C$42, 8.1248, 8.1248) * CHOOSE(CONTROL!$C$21, $C$9, 100%, $E$9)</f>
        <v>8.1248000000000005</v>
      </c>
      <c r="D207" s="10">
        <f>CHOOSE(CONTROL!$C$42, 8.1492, 8.1492) * CHOOSE(CONTROL!$C$21, $C$9, 100%, $E$9)</f>
        <v>8.1492000000000004</v>
      </c>
      <c r="E207" s="10">
        <f>CHOOSE(CONTROL!$C$42, 8.183, 8.183) * CHOOSE(CONTROL!$C$21, $C$9, 100%, $E$9)</f>
        <v>8.1829999999999998</v>
      </c>
      <c r="F207" s="10">
        <f>CHOOSE(CONTROL!$C$42, 8.1006, 8.1006)*CHOOSE(CONTROL!$C$21, $C$9, 100%, $E$9)</f>
        <v>8.1006</v>
      </c>
      <c r="G207" s="10">
        <f>CHOOSE(CONTROL!$C$42, 8.1186, 8.1186)*CHOOSE(CONTROL!$C$21, $C$9, 100%, $E$9)</f>
        <v>8.1186000000000007</v>
      </c>
      <c r="H207" s="10">
        <f>CHOOSE(CONTROL!$C$42, 8.1722, 8.1722) * CHOOSE(CONTROL!$C$21, $C$9, 100%, $E$9)</f>
        <v>8.1722000000000001</v>
      </c>
      <c r="I207" s="10">
        <f>CHOOSE(CONTROL!$C$42, 8.1143, 8.1143)* CHOOSE(CONTROL!$C$21, $C$9, 100%, $E$9)</f>
        <v>8.1143000000000001</v>
      </c>
      <c r="J207" s="10">
        <f>CHOOSE(CONTROL!$C$42, 8.0936, 8.0936)* CHOOSE(CONTROL!$C$21, $C$9, 100%, $E$9)</f>
        <v>8.0936000000000003</v>
      </c>
      <c r="K207" s="10">
        <f>CHOOSE(CONTROL!$C$42, 8.0345, 8.0345) * CHOOSE(CONTROL!$C$21, $C$9, 100%, $E$9)</f>
        <v>8.0344999999999995</v>
      </c>
      <c r="L207" s="10">
        <f>CHOOSE(CONTROL!$C$42, 8.7592, 8.7592) * CHOOSE(CONTROL!$C$21, $C$9, 100%, $E$9)</f>
        <v>8.7591999999999999</v>
      </c>
      <c r="M207" s="10">
        <f>CHOOSE(CONTROL!$C$42, 8.0257, 8.0257) * CHOOSE(CONTROL!$C$21, $C$9, 100%, $E$9)</f>
        <v>8.0257000000000005</v>
      </c>
      <c r="N207" s="10">
        <f>CHOOSE(CONTROL!$C$42, 8.0436, 8.0436) * CHOOSE(CONTROL!$C$21, $C$9, 100%, $E$9)</f>
        <v>8.0435999999999996</v>
      </c>
      <c r="O207" s="10">
        <f>CHOOSE(CONTROL!$C$42, 8.1036, 8.1036) * CHOOSE(CONTROL!$C$21, $C$9, 100%, $E$9)</f>
        <v>8.1036000000000001</v>
      </c>
      <c r="P207" s="10">
        <f>CHOOSE(CONTROL!$C$42, 8.0463, 8.0463) * CHOOSE(CONTROL!$C$21, $C$9, 100%, $E$9)</f>
        <v>8.0463000000000005</v>
      </c>
      <c r="Q207" s="10">
        <f>CHOOSE(CONTROL!$C$42, 8.6989, 8.6989) * CHOOSE(CONTROL!$C$21, $C$9, 100%, $E$9)</f>
        <v>8.6989000000000001</v>
      </c>
      <c r="R207" s="10">
        <f>CHOOSE(CONTROL!$C$42, 9.3076, 9.3076) * CHOOSE(CONTROL!$C$21, $C$9, 100%, $E$9)</f>
        <v>9.3076000000000008</v>
      </c>
      <c r="S207" s="10">
        <f>CHOOSE(CONTROL!$C$42, 7.883, 7.883) * CHOOSE(CONTROL!$C$21, $C$9, 100%, $E$9)</f>
        <v>7.883</v>
      </c>
      <c r="T2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38">
        <f>(1000*CHOOSE(CONTROL!$C$42, 695, 695)*CHOOSE(CONTROL!$C$42, 0.5599, 0.5599)*CHOOSE(CONTROL!$C$42, 31, 31))/1000000</f>
        <v>12.063045499999998</v>
      </c>
      <c r="V207" s="38">
        <f>(1000*CHOOSE(CONTROL!$C$42, 500, 500)*CHOOSE(CONTROL!$C$42, 0.275, 0.275)*CHOOSE(CONTROL!$C$42, 31, 31))/1000000</f>
        <v>4.2625000000000002</v>
      </c>
      <c r="W207" s="38">
        <f>(1000*CHOOSE(CONTROL!$C$42, 0.1146, 0.1146)*CHOOSE(CONTROL!$C$42, 121.5, 121.5)*CHOOSE(CONTROL!$C$42, 31, 31))/1000000</f>
        <v>0.43164089999999994</v>
      </c>
      <c r="X207" s="38">
        <f>(31*0.1790888*100000/1000000)+(31*0.2374*100000/1000000)</f>
        <v>1.2911152800000001</v>
      </c>
      <c r="Y207" s="38">
        <f>(1000*600*CHOOSE(CONTROL!$C$42, 1.6846, 1.6846)*CHOOSE(CONTROL!$C$42, 31, 31))/1000000</f>
        <v>31.333560000000002</v>
      </c>
      <c r="Z207" s="38"/>
      <c r="AA207" s="10"/>
      <c r="AB207" s="39"/>
      <c r="AC207" s="33">
        <f>(B207*122.58+C207*297.941+D207*89.177+E207*40.302+F207*40+G207*160+H207*0+I207*100+J207*300)/(122.58+297.941+89.177+40.302+0+40+160+100+300)</f>
        <v>8.1174422566956519</v>
      </c>
      <c r="AD207" s="27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8.0650014388489222</v>
      </c>
    </row>
    <row r="208" spans="1:30" ht="15" x14ac:dyDescent="0.2">
      <c r="A208" s="16">
        <v>47574</v>
      </c>
      <c r="B208" s="10">
        <f>CHOOSE(CONTROL!$C$42, 8.0963, 8.0963) * CHOOSE(CONTROL!$C$21, $C$9, 100%, $E$9)</f>
        <v>8.0962999999999994</v>
      </c>
      <c r="C208" s="10">
        <f>CHOOSE(CONTROL!$C$42, 8.1007, 8.1007) * CHOOSE(CONTROL!$C$21, $C$9, 100%, $E$9)</f>
        <v>8.1006999999999998</v>
      </c>
      <c r="D208" s="10">
        <f>CHOOSE(CONTROL!$C$42, 8.2808, 8.2808) * CHOOSE(CONTROL!$C$21, $C$9, 100%, $E$9)</f>
        <v>8.2807999999999993</v>
      </c>
      <c r="E208" s="10">
        <f>CHOOSE(CONTROL!$C$42, 8.3126, 8.3126) * CHOOSE(CONTROL!$C$21, $C$9, 100%, $E$9)</f>
        <v>8.3125999999999998</v>
      </c>
      <c r="F208" s="10">
        <f>CHOOSE(CONTROL!$C$42, 8.0616, 8.0616)*CHOOSE(CONTROL!$C$21, $C$9, 100%, $E$9)</f>
        <v>8.0616000000000003</v>
      </c>
      <c r="G208" s="10">
        <f>CHOOSE(CONTROL!$C$42, 8.0779, 8.0779)*CHOOSE(CONTROL!$C$21, $C$9, 100%, $E$9)</f>
        <v>8.0778999999999996</v>
      </c>
      <c r="H208" s="10">
        <f>CHOOSE(CONTROL!$C$42, 8.3024, 8.3024) * CHOOSE(CONTROL!$C$21, $C$9, 100%, $E$9)</f>
        <v>8.3024000000000004</v>
      </c>
      <c r="I208" s="10">
        <f>CHOOSE(CONTROL!$C$42, 8.0823, 8.0823)* CHOOSE(CONTROL!$C$21, $C$9, 100%, $E$9)</f>
        <v>8.0823</v>
      </c>
      <c r="J208" s="10">
        <f>CHOOSE(CONTROL!$C$42, 8.0546, 8.0546)* CHOOSE(CONTROL!$C$21, $C$9, 100%, $E$9)</f>
        <v>8.0546000000000006</v>
      </c>
      <c r="K208" s="10">
        <f>CHOOSE(CONTROL!$C$42, 7.9883, 7.9883) * CHOOSE(CONTROL!$C$21, $C$9, 100%, $E$9)</f>
        <v>7.9882999999999997</v>
      </c>
      <c r="L208" s="10">
        <f>CHOOSE(CONTROL!$C$42, 8.8894, 8.8894) * CHOOSE(CONTROL!$C$21, $C$9, 100%, $E$9)</f>
        <v>8.8894000000000002</v>
      </c>
      <c r="M208" s="10">
        <f>CHOOSE(CONTROL!$C$42, 7.9872, 7.9872) * CHOOSE(CONTROL!$C$21, $C$9, 100%, $E$9)</f>
        <v>7.9871999999999996</v>
      </c>
      <c r="N208" s="10">
        <f>CHOOSE(CONTROL!$C$42, 8.0033, 8.0033) * CHOOSE(CONTROL!$C$21, $C$9, 100%, $E$9)</f>
        <v>8.0032999999999994</v>
      </c>
      <c r="O208" s="10">
        <f>CHOOSE(CONTROL!$C$42, 8.2324, 8.2324) * CHOOSE(CONTROL!$C$21, $C$9, 100%, $E$9)</f>
        <v>8.2324000000000002</v>
      </c>
      <c r="P208" s="10">
        <f>CHOOSE(CONTROL!$C$42, 8.0146, 8.0146) * CHOOSE(CONTROL!$C$21, $C$9, 100%, $E$9)</f>
        <v>8.0145999999999997</v>
      </c>
      <c r="Q208" s="10">
        <f>CHOOSE(CONTROL!$C$42, 8.8277, 8.8277) * CHOOSE(CONTROL!$C$21, $C$9, 100%, $E$9)</f>
        <v>8.8277000000000001</v>
      </c>
      <c r="R208" s="10">
        <f>CHOOSE(CONTROL!$C$42, 9.4368, 9.4368) * CHOOSE(CONTROL!$C$21, $C$9, 100%, $E$9)</f>
        <v>9.4367999999999999</v>
      </c>
      <c r="S208" s="10">
        <f>CHOOSE(CONTROL!$C$42, 7.8594, 7.8594) * CHOOSE(CONTROL!$C$21, $C$9, 100%, $E$9)</f>
        <v>7.8593999999999999</v>
      </c>
      <c r="T2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38">
        <f>(1000*CHOOSE(CONTROL!$C$42, 695, 695)*CHOOSE(CONTROL!$C$42, 0.5599, 0.5599)*CHOOSE(CONTROL!$C$42, 30, 30))/1000000</f>
        <v>11.673914999999997</v>
      </c>
      <c r="V208" s="38">
        <f>(1000*CHOOSE(CONTROL!$C$42, 500, 500)*CHOOSE(CONTROL!$C$42, 0.275, 0.275)*CHOOSE(CONTROL!$C$42, 30, 30))/1000000</f>
        <v>4.125</v>
      </c>
      <c r="W208" s="38">
        <f>(1000*CHOOSE(CONTROL!$C$42, 0.1146, 0.1146)*CHOOSE(CONTROL!$C$42, 121.5, 121.5)*CHOOSE(CONTROL!$C$42, 30, 30))/1000000</f>
        <v>0.417717</v>
      </c>
      <c r="X208" s="38">
        <f>(30*0.1790888*245000/1000000)+(30*0.2374*100000/1000000)</f>
        <v>2.0285026799999999</v>
      </c>
      <c r="Y208" s="38">
        <f>(1000*600*CHOOSE(CONTROL!$C$42, 1.6846, 1.6846)*CHOOSE(CONTROL!$C$42, 30, 30))/1000000</f>
        <v>30.322800000000004</v>
      </c>
      <c r="Z208" s="38"/>
      <c r="AA208" s="10"/>
      <c r="AB208" s="39"/>
      <c r="AC208" s="33">
        <f>(B208*141.293+C208*267.993+D208*115.016+E208*89.698+F208*40+G208*185+H208*0+I208*100+J208*300)/(141.293+267.993+115.016+89.698+0+40+185+100+300)</f>
        <v>8.114943501694917</v>
      </c>
      <c r="AD208" s="27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8.0636460431654662</v>
      </c>
    </row>
    <row r="209" spans="1:30" ht="15" x14ac:dyDescent="0.2">
      <c r="A209" s="16">
        <v>47604</v>
      </c>
      <c r="B209" s="10">
        <f>CHOOSE(CONTROL!$C$42, 8.1695, 8.1695) * CHOOSE(CONTROL!$C$21, $C$9, 100%, $E$9)</f>
        <v>8.1694999999999993</v>
      </c>
      <c r="C209" s="10">
        <f>CHOOSE(CONTROL!$C$42, 8.1774, 8.1774) * CHOOSE(CONTROL!$C$21, $C$9, 100%, $E$9)</f>
        <v>8.1774000000000004</v>
      </c>
      <c r="D209" s="10">
        <f>CHOOSE(CONTROL!$C$42, 8.3544, 8.3544) * CHOOSE(CONTROL!$C$21, $C$9, 100%, $E$9)</f>
        <v>8.3544</v>
      </c>
      <c r="E209" s="10">
        <f>CHOOSE(CONTROL!$C$42, 8.3856, 8.3856) * CHOOSE(CONTROL!$C$21, $C$9, 100%, $E$9)</f>
        <v>8.3856000000000002</v>
      </c>
      <c r="F209" s="10">
        <f>CHOOSE(CONTROL!$C$42, 8.1329, 8.1329)*CHOOSE(CONTROL!$C$21, $C$9, 100%, $E$9)</f>
        <v>8.1328999999999994</v>
      </c>
      <c r="G209" s="10">
        <f>CHOOSE(CONTROL!$C$42, 8.1494, 8.1494)*CHOOSE(CONTROL!$C$21, $C$9, 100%, $E$9)</f>
        <v>8.1494</v>
      </c>
      <c r="H209" s="10">
        <f>CHOOSE(CONTROL!$C$42, 8.3742, 8.3742) * CHOOSE(CONTROL!$C$21, $C$9, 100%, $E$9)</f>
        <v>8.3742000000000001</v>
      </c>
      <c r="I209" s="10">
        <f>CHOOSE(CONTROL!$C$42, 8.1541, 8.1541)* CHOOSE(CONTROL!$C$21, $C$9, 100%, $E$9)</f>
        <v>8.1540999999999997</v>
      </c>
      <c r="J209" s="10">
        <f>CHOOSE(CONTROL!$C$42, 8.1259, 8.1259)* CHOOSE(CONTROL!$C$21, $C$9, 100%, $E$9)</f>
        <v>8.1258999999999997</v>
      </c>
      <c r="K209" s="10">
        <f>CHOOSE(CONTROL!$C$42, 8.0569, 8.0569) * CHOOSE(CONTROL!$C$21, $C$9, 100%, $E$9)</f>
        <v>8.0569000000000006</v>
      </c>
      <c r="L209" s="10">
        <f>CHOOSE(CONTROL!$C$42, 8.9612, 8.9612) * CHOOSE(CONTROL!$C$21, $C$9, 100%, $E$9)</f>
        <v>8.9611999999999998</v>
      </c>
      <c r="M209" s="10">
        <f>CHOOSE(CONTROL!$C$42, 8.0577, 8.0577) * CHOOSE(CONTROL!$C$21, $C$9, 100%, $E$9)</f>
        <v>8.0577000000000005</v>
      </c>
      <c r="N209" s="10">
        <f>CHOOSE(CONTROL!$C$42, 8.074, 8.074) * CHOOSE(CONTROL!$C$21, $C$9, 100%, $E$9)</f>
        <v>8.0739999999999998</v>
      </c>
      <c r="O209" s="10">
        <f>CHOOSE(CONTROL!$C$42, 8.3035, 8.3035) * CHOOSE(CONTROL!$C$21, $C$9, 100%, $E$9)</f>
        <v>8.3034999999999997</v>
      </c>
      <c r="P209" s="10">
        <f>CHOOSE(CONTROL!$C$42, 8.0857, 8.0857) * CHOOSE(CONTROL!$C$21, $C$9, 100%, $E$9)</f>
        <v>8.0856999999999992</v>
      </c>
      <c r="Q209" s="10">
        <f>CHOOSE(CONTROL!$C$42, 8.8988, 8.8988) * CHOOSE(CONTROL!$C$21, $C$9, 100%, $E$9)</f>
        <v>8.8987999999999996</v>
      </c>
      <c r="R209" s="10">
        <f>CHOOSE(CONTROL!$C$42, 9.5081, 9.5081) * CHOOSE(CONTROL!$C$21, $C$9, 100%, $E$9)</f>
        <v>9.5081000000000007</v>
      </c>
      <c r="S209" s="10">
        <f>CHOOSE(CONTROL!$C$42, 7.9292, 7.9292) * CHOOSE(CONTROL!$C$21, $C$9, 100%, $E$9)</f>
        <v>7.9291999999999998</v>
      </c>
      <c r="T2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38">
        <f>(1000*CHOOSE(CONTROL!$C$42, 695, 695)*CHOOSE(CONTROL!$C$42, 0.5599, 0.5599)*CHOOSE(CONTROL!$C$42, 31, 31))/1000000</f>
        <v>12.063045499999998</v>
      </c>
      <c r="V209" s="38">
        <f>(1000*CHOOSE(CONTROL!$C$42, 500, 500)*CHOOSE(CONTROL!$C$42, 0.275, 0.275)*CHOOSE(CONTROL!$C$42, 31, 31))/1000000</f>
        <v>4.2625000000000002</v>
      </c>
      <c r="W209" s="38">
        <f>(1000*CHOOSE(CONTROL!$C$42, 0.1146, 0.1146)*CHOOSE(CONTROL!$C$42, 121.5, 121.5)*CHOOSE(CONTROL!$C$42, 31, 31))/1000000</f>
        <v>0.43164089999999994</v>
      </c>
      <c r="X209" s="38">
        <f>(31*0.1790888*245000/1000000)+(31*0.2374*100000/1000000)</f>
        <v>2.0961194359999999</v>
      </c>
      <c r="Y209" s="38">
        <f>(1000*600*CHOOSE(CONTROL!$C$42, 1.6846, 1.6846)*CHOOSE(CONTROL!$C$42, 31, 31))/1000000</f>
        <v>31.333560000000002</v>
      </c>
      <c r="Z209" s="38"/>
      <c r="AA209" s="10"/>
      <c r="AB209" s="39"/>
      <c r="AC209" s="33">
        <f>(B209*194.205+C209*267.466+D209*133.845+E209*53.484+F209*40+G209*185+H209*0+I209*100+J209*300)/(194.205+267.466+133.845+53.484+0+40+185+100+300)</f>
        <v>8.1841124916012564</v>
      </c>
      <c r="AD209" s="27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8.1344467625899277</v>
      </c>
    </row>
    <row r="210" spans="1:30" ht="15" x14ac:dyDescent="0.2">
      <c r="A210" s="16">
        <v>47635</v>
      </c>
      <c r="B210" s="10">
        <f>CHOOSE(CONTROL!$C$42, 8.4011, 8.4011) * CHOOSE(CONTROL!$C$21, $C$9, 100%, $E$9)</f>
        <v>8.4010999999999996</v>
      </c>
      <c r="C210" s="10">
        <f>CHOOSE(CONTROL!$C$42, 8.409, 8.409) * CHOOSE(CONTROL!$C$21, $C$9, 100%, $E$9)</f>
        <v>8.4090000000000007</v>
      </c>
      <c r="D210" s="10">
        <f>CHOOSE(CONTROL!$C$42, 8.586, 8.586) * CHOOSE(CONTROL!$C$21, $C$9, 100%, $E$9)</f>
        <v>8.5860000000000003</v>
      </c>
      <c r="E210" s="10">
        <f>CHOOSE(CONTROL!$C$42, 8.6171, 8.6171) * CHOOSE(CONTROL!$C$21, $C$9, 100%, $E$9)</f>
        <v>8.6171000000000006</v>
      </c>
      <c r="F210" s="10">
        <f>CHOOSE(CONTROL!$C$42, 8.3646, 8.3646)*CHOOSE(CONTROL!$C$21, $C$9, 100%, $E$9)</f>
        <v>8.3645999999999994</v>
      </c>
      <c r="G210" s="10">
        <f>CHOOSE(CONTROL!$C$42, 8.3812, 8.3812)*CHOOSE(CONTROL!$C$21, $C$9, 100%, $E$9)</f>
        <v>8.3811999999999998</v>
      </c>
      <c r="H210" s="10">
        <f>CHOOSE(CONTROL!$C$42, 8.6058, 8.6058) * CHOOSE(CONTROL!$C$21, $C$9, 100%, $E$9)</f>
        <v>8.6058000000000003</v>
      </c>
      <c r="I210" s="10">
        <f>CHOOSE(CONTROL!$C$42, 8.3857, 8.3857)* CHOOSE(CONTROL!$C$21, $C$9, 100%, $E$9)</f>
        <v>8.3856999999999999</v>
      </c>
      <c r="J210" s="10">
        <f>CHOOSE(CONTROL!$C$42, 8.3576, 8.3576)* CHOOSE(CONTROL!$C$21, $C$9, 100%, $E$9)</f>
        <v>8.3575999999999997</v>
      </c>
      <c r="K210" s="10">
        <f>CHOOSE(CONTROL!$C$42, 8.2823, 8.2823) * CHOOSE(CONTROL!$C$21, $C$9, 100%, $E$9)</f>
        <v>8.2822999999999993</v>
      </c>
      <c r="L210" s="10">
        <f>CHOOSE(CONTROL!$C$42, 9.1928, 9.1928) * CHOOSE(CONTROL!$C$21, $C$9, 100%, $E$9)</f>
        <v>9.1928000000000001</v>
      </c>
      <c r="M210" s="10">
        <f>CHOOSE(CONTROL!$C$42, 8.2871, 8.2871) * CHOOSE(CONTROL!$C$21, $C$9, 100%, $E$9)</f>
        <v>8.2871000000000006</v>
      </c>
      <c r="N210" s="10">
        <f>CHOOSE(CONTROL!$C$42, 8.3035, 8.3035) * CHOOSE(CONTROL!$C$21, $C$9, 100%, $E$9)</f>
        <v>8.3034999999999997</v>
      </c>
      <c r="O210" s="10">
        <f>CHOOSE(CONTROL!$C$42, 8.5328, 8.5328) * CHOOSE(CONTROL!$C$21, $C$9, 100%, $E$9)</f>
        <v>8.5327999999999999</v>
      </c>
      <c r="P210" s="10">
        <f>CHOOSE(CONTROL!$C$42, 8.3149, 8.3149) * CHOOSE(CONTROL!$C$21, $C$9, 100%, $E$9)</f>
        <v>8.3148999999999997</v>
      </c>
      <c r="Q210" s="10">
        <f>CHOOSE(CONTROL!$C$42, 9.1281, 9.1281) * CHOOSE(CONTROL!$C$21, $C$9, 100%, $E$9)</f>
        <v>9.1280999999999999</v>
      </c>
      <c r="R210" s="10">
        <f>CHOOSE(CONTROL!$C$42, 9.7379, 9.7379) * CHOOSE(CONTROL!$C$21, $C$9, 100%, $E$9)</f>
        <v>9.7378999999999998</v>
      </c>
      <c r="S210" s="10">
        <f>CHOOSE(CONTROL!$C$42, 8.1541, 8.1541) * CHOOSE(CONTROL!$C$21, $C$9, 100%, $E$9)</f>
        <v>8.1540999999999997</v>
      </c>
      <c r="T2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38">
        <f>(1000*CHOOSE(CONTROL!$C$42, 695, 695)*CHOOSE(CONTROL!$C$42, 0.5599, 0.5599)*CHOOSE(CONTROL!$C$42, 30, 30))/1000000</f>
        <v>11.673914999999997</v>
      </c>
      <c r="V210" s="38">
        <f>(1000*CHOOSE(CONTROL!$C$42, 500, 500)*CHOOSE(CONTROL!$C$42, 0.275, 0.275)*CHOOSE(CONTROL!$C$42, 30, 30))/1000000</f>
        <v>4.125</v>
      </c>
      <c r="W210" s="38">
        <f>(1000*CHOOSE(CONTROL!$C$42, 0.1146, 0.1146)*CHOOSE(CONTROL!$C$42, 121.5, 121.5)*CHOOSE(CONTROL!$C$42, 30, 30))/1000000</f>
        <v>0.417717</v>
      </c>
      <c r="X210" s="38">
        <f>(30*0.1790888*245000/1000000)+(30*0.2374*100000/1000000)</f>
        <v>2.0285026799999999</v>
      </c>
      <c r="Y210" s="38">
        <f>(1000*600*CHOOSE(CONTROL!$C$42, 1.6846, 1.6846)*CHOOSE(CONTROL!$C$42, 30, 30))/1000000</f>
        <v>30.322800000000004</v>
      </c>
      <c r="Z210" s="38"/>
      <c r="AA210" s="10"/>
      <c r="AB210" s="39"/>
      <c r="AC210" s="33">
        <f>(B210*194.205+C210*267.466+D210*133.845+E210*53.484+F210*40+G210*185+H210*0+I210*100+J210*300)/(194.205+267.466+133.845+53.484+0+40+185+100+300)</f>
        <v>8.4157640234693876</v>
      </c>
      <c r="AD210" s="27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8.3638129496402875</v>
      </c>
    </row>
    <row r="211" spans="1:30" ht="15" x14ac:dyDescent="0.2">
      <c r="A211" s="16">
        <v>47665</v>
      </c>
      <c r="B211" s="10">
        <f>CHOOSE(CONTROL!$C$42, 8.24, 8.24) * CHOOSE(CONTROL!$C$21, $C$9, 100%, $E$9)</f>
        <v>8.24</v>
      </c>
      <c r="C211" s="10">
        <f>CHOOSE(CONTROL!$C$42, 8.248, 8.248) * CHOOSE(CONTROL!$C$21, $C$9, 100%, $E$9)</f>
        <v>8.2479999999999993</v>
      </c>
      <c r="D211" s="10">
        <f>CHOOSE(CONTROL!$C$42, 8.4249, 8.4249) * CHOOSE(CONTROL!$C$21, $C$9, 100%, $E$9)</f>
        <v>8.4248999999999992</v>
      </c>
      <c r="E211" s="10">
        <f>CHOOSE(CONTROL!$C$42, 8.4561, 8.4561) * CHOOSE(CONTROL!$C$21, $C$9, 100%, $E$9)</f>
        <v>8.4560999999999993</v>
      </c>
      <c r="F211" s="10">
        <f>CHOOSE(CONTROL!$C$42, 8.2038, 8.2038)*CHOOSE(CONTROL!$C$21, $C$9, 100%, $E$9)</f>
        <v>8.2037999999999993</v>
      </c>
      <c r="G211" s="10">
        <f>CHOOSE(CONTROL!$C$42, 8.2204, 8.2204)*CHOOSE(CONTROL!$C$21, $C$9, 100%, $E$9)</f>
        <v>8.2203999999999997</v>
      </c>
      <c r="H211" s="10">
        <f>CHOOSE(CONTROL!$C$42, 8.4447, 8.4447) * CHOOSE(CONTROL!$C$21, $C$9, 100%, $E$9)</f>
        <v>8.4446999999999992</v>
      </c>
      <c r="I211" s="10">
        <f>CHOOSE(CONTROL!$C$42, 8.2246, 8.2246)* CHOOSE(CONTROL!$C$21, $C$9, 100%, $E$9)</f>
        <v>8.2246000000000006</v>
      </c>
      <c r="J211" s="10">
        <f>CHOOSE(CONTROL!$C$42, 8.1968, 8.1968)* CHOOSE(CONTROL!$C$21, $C$9, 100%, $E$9)</f>
        <v>8.1967999999999996</v>
      </c>
      <c r="K211" s="10">
        <f>CHOOSE(CONTROL!$C$42, 8.1263, 8.1263) * CHOOSE(CONTROL!$C$21, $C$9, 100%, $E$9)</f>
        <v>8.1263000000000005</v>
      </c>
      <c r="L211" s="10">
        <f>CHOOSE(CONTROL!$C$42, 9.0317, 9.0317) * CHOOSE(CONTROL!$C$21, $C$9, 100%, $E$9)</f>
        <v>9.0317000000000007</v>
      </c>
      <c r="M211" s="10">
        <f>CHOOSE(CONTROL!$C$42, 8.1279, 8.1279) * CHOOSE(CONTROL!$C$21, $C$9, 100%, $E$9)</f>
        <v>8.1279000000000003</v>
      </c>
      <c r="N211" s="10">
        <f>CHOOSE(CONTROL!$C$42, 8.1444, 8.1444) * CHOOSE(CONTROL!$C$21, $C$9, 100%, $E$9)</f>
        <v>8.1443999999999992</v>
      </c>
      <c r="O211" s="10">
        <f>CHOOSE(CONTROL!$C$42, 8.3733, 8.3733) * CHOOSE(CONTROL!$C$21, $C$9, 100%, $E$9)</f>
        <v>8.3733000000000004</v>
      </c>
      <c r="P211" s="10">
        <f>CHOOSE(CONTROL!$C$42, 8.1555, 8.1555) * CHOOSE(CONTROL!$C$21, $C$9, 100%, $E$9)</f>
        <v>8.1555</v>
      </c>
      <c r="Q211" s="10">
        <f>CHOOSE(CONTROL!$C$42, 8.9686, 8.9686) * CHOOSE(CONTROL!$C$21, $C$9, 100%, $E$9)</f>
        <v>8.9686000000000003</v>
      </c>
      <c r="R211" s="10">
        <f>CHOOSE(CONTROL!$C$42, 9.578, 9.578) * CHOOSE(CONTROL!$C$21, $C$9, 100%, $E$9)</f>
        <v>9.5779999999999994</v>
      </c>
      <c r="S211" s="10">
        <f>CHOOSE(CONTROL!$C$42, 7.9976, 7.9976) * CHOOSE(CONTROL!$C$21, $C$9, 100%, $E$9)</f>
        <v>7.9976000000000003</v>
      </c>
      <c r="T2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38">
        <f>(1000*CHOOSE(CONTROL!$C$42, 695, 695)*CHOOSE(CONTROL!$C$42, 0.5599, 0.5599)*CHOOSE(CONTROL!$C$42, 31, 31))/1000000</f>
        <v>12.063045499999998</v>
      </c>
      <c r="V211" s="38">
        <f>(1000*CHOOSE(CONTROL!$C$42, 500, 500)*CHOOSE(CONTROL!$C$42, 0.275, 0.275)*CHOOSE(CONTROL!$C$42, 31, 31))/1000000</f>
        <v>4.2625000000000002</v>
      </c>
      <c r="W211" s="38">
        <f>(1000*CHOOSE(CONTROL!$C$42, 0.1146, 0.1146)*CHOOSE(CONTROL!$C$42, 121.5, 121.5)*CHOOSE(CONTROL!$C$42, 31, 31))/1000000</f>
        <v>0.43164089999999994</v>
      </c>
      <c r="X211" s="38">
        <f>(31*0.1790888*245000/1000000)+(31*0.2374*100000/1000000)</f>
        <v>2.0961194359999999</v>
      </c>
      <c r="Y211" s="38">
        <f>(1000*600*CHOOSE(CONTROL!$C$42, 1.6846, 1.6846)*CHOOSE(CONTROL!$C$42, 31, 31))/1000000</f>
        <v>31.333560000000002</v>
      </c>
      <c r="Z211" s="38"/>
      <c r="AA211" s="10"/>
      <c r="AB211" s="39"/>
      <c r="AC211" s="33">
        <f>(B211*194.205+C211*267.466+D211*133.845+E211*53.484+F211*40+G211*185+H211*0+I211*100+J211*300)/(194.205+267.466+133.845+53.484+0+40+185+100+300)</f>
        <v>8.2548128421507059</v>
      </c>
      <c r="AD211" s="27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8.2045230215827338</v>
      </c>
    </row>
    <row r="212" spans="1:30" ht="15" x14ac:dyDescent="0.2">
      <c r="A212" s="16">
        <v>47696</v>
      </c>
      <c r="B212" s="10">
        <f>CHOOSE(CONTROL!$C$42, 7.8333, 7.8333) * CHOOSE(CONTROL!$C$21, $C$9, 100%, $E$9)</f>
        <v>7.8333000000000004</v>
      </c>
      <c r="C212" s="10">
        <f>CHOOSE(CONTROL!$C$42, 7.8412, 7.8412) * CHOOSE(CONTROL!$C$21, $C$9, 100%, $E$9)</f>
        <v>7.8411999999999997</v>
      </c>
      <c r="D212" s="10">
        <f>CHOOSE(CONTROL!$C$42, 8.0182, 8.0182) * CHOOSE(CONTROL!$C$21, $C$9, 100%, $E$9)</f>
        <v>8.0182000000000002</v>
      </c>
      <c r="E212" s="10">
        <f>CHOOSE(CONTROL!$C$42, 8.0493, 8.0493) * CHOOSE(CONTROL!$C$21, $C$9, 100%, $E$9)</f>
        <v>8.0493000000000006</v>
      </c>
      <c r="F212" s="10">
        <f>CHOOSE(CONTROL!$C$42, 7.7971, 7.7971)*CHOOSE(CONTROL!$C$21, $C$9, 100%, $E$9)</f>
        <v>7.7971000000000004</v>
      </c>
      <c r="G212" s="10">
        <f>CHOOSE(CONTROL!$C$42, 7.8138, 7.8138)*CHOOSE(CONTROL!$C$21, $C$9, 100%, $E$9)</f>
        <v>7.8137999999999996</v>
      </c>
      <c r="H212" s="10">
        <f>CHOOSE(CONTROL!$C$42, 8.038, 8.038) * CHOOSE(CONTROL!$C$21, $C$9, 100%, $E$9)</f>
        <v>8.0380000000000003</v>
      </c>
      <c r="I212" s="10">
        <f>CHOOSE(CONTROL!$C$42, 7.8179, 7.8179)* CHOOSE(CONTROL!$C$21, $C$9, 100%, $E$9)</f>
        <v>7.8178999999999998</v>
      </c>
      <c r="J212" s="10">
        <f>CHOOSE(CONTROL!$C$42, 7.7901, 7.7901)* CHOOSE(CONTROL!$C$21, $C$9, 100%, $E$9)</f>
        <v>7.7900999999999998</v>
      </c>
      <c r="K212" s="10">
        <f>CHOOSE(CONTROL!$C$42, 7.7312, 7.7312) * CHOOSE(CONTROL!$C$21, $C$9, 100%, $E$9)</f>
        <v>7.7312000000000003</v>
      </c>
      <c r="L212" s="10">
        <f>CHOOSE(CONTROL!$C$42, 8.625, 8.625) * CHOOSE(CONTROL!$C$21, $C$9, 100%, $E$9)</f>
        <v>8.625</v>
      </c>
      <c r="M212" s="10">
        <f>CHOOSE(CONTROL!$C$42, 7.7253, 7.7253) * CHOOSE(CONTROL!$C$21, $C$9, 100%, $E$9)</f>
        <v>7.7252999999999998</v>
      </c>
      <c r="N212" s="10">
        <f>CHOOSE(CONTROL!$C$42, 7.7418, 7.7418) * CHOOSE(CONTROL!$C$21, $C$9, 100%, $E$9)</f>
        <v>7.7417999999999996</v>
      </c>
      <c r="O212" s="10">
        <f>CHOOSE(CONTROL!$C$42, 7.9707, 7.9707) * CHOOSE(CONTROL!$C$21, $C$9, 100%, $E$9)</f>
        <v>7.9706999999999999</v>
      </c>
      <c r="P212" s="10">
        <f>CHOOSE(CONTROL!$C$42, 7.7529, 7.7529) * CHOOSE(CONTROL!$C$21, $C$9, 100%, $E$9)</f>
        <v>7.7529000000000003</v>
      </c>
      <c r="Q212" s="10">
        <f>CHOOSE(CONTROL!$C$42, 8.566, 8.566) * CHOOSE(CONTROL!$C$21, $C$9, 100%, $E$9)</f>
        <v>8.5660000000000007</v>
      </c>
      <c r="R212" s="10">
        <f>CHOOSE(CONTROL!$C$42, 9.1744, 9.1744) * CHOOSE(CONTROL!$C$21, $C$9, 100%, $E$9)</f>
        <v>9.1744000000000003</v>
      </c>
      <c r="S212" s="10">
        <f>CHOOSE(CONTROL!$C$42, 7.6027, 7.6027) * CHOOSE(CONTROL!$C$21, $C$9, 100%, $E$9)</f>
        <v>7.6026999999999996</v>
      </c>
      <c r="T2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38">
        <f>(1000*CHOOSE(CONTROL!$C$42, 695, 695)*CHOOSE(CONTROL!$C$42, 0.5599, 0.5599)*CHOOSE(CONTROL!$C$42, 31, 31))/1000000</f>
        <v>12.063045499999998</v>
      </c>
      <c r="V212" s="38">
        <f>(1000*CHOOSE(CONTROL!$C$42, 500, 500)*CHOOSE(CONTROL!$C$42, 0.275, 0.275)*CHOOSE(CONTROL!$C$42, 31, 31))/1000000</f>
        <v>4.2625000000000002</v>
      </c>
      <c r="W212" s="38">
        <f>(1000*CHOOSE(CONTROL!$C$42, 0.1146, 0.1146)*CHOOSE(CONTROL!$C$42, 121.5, 121.5)*CHOOSE(CONTROL!$C$42, 31, 31))/1000000</f>
        <v>0.43164089999999994</v>
      </c>
      <c r="X212" s="38">
        <f>(31*0.1790888*245000/1000000)+(31*0.2374*100000/1000000)</f>
        <v>2.0961194359999999</v>
      </c>
      <c r="Y212" s="38">
        <f>(1000*600*CHOOSE(CONTROL!$C$42, 1.6846, 1.6846)*CHOOSE(CONTROL!$C$42, 31, 31))/1000000</f>
        <v>31.333560000000002</v>
      </c>
      <c r="Z212" s="38"/>
      <c r="AA212" s="10"/>
      <c r="AB212" s="39"/>
      <c r="AC212" s="33">
        <f>(B212*194.205+C212*267.466+D212*133.845+E212*53.484+F212*40+G212*185+H212*0+I212*100+J212*300)/(194.205+267.466+133.845+53.484+0+40+185+100+300)</f>
        <v>7.848102171036107</v>
      </c>
      <c r="AD212" s="27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7.8019230215827333</v>
      </c>
    </row>
    <row r="213" spans="1:30" ht="15" x14ac:dyDescent="0.2">
      <c r="A213" s="16">
        <v>47727</v>
      </c>
      <c r="B213" s="10">
        <f>CHOOSE(CONTROL!$C$42, 7.3363, 7.3363) * CHOOSE(CONTROL!$C$21, $C$9, 100%, $E$9)</f>
        <v>7.3362999999999996</v>
      </c>
      <c r="C213" s="10">
        <f>CHOOSE(CONTROL!$C$42, 7.3442, 7.3442) * CHOOSE(CONTROL!$C$21, $C$9, 100%, $E$9)</f>
        <v>7.3441999999999998</v>
      </c>
      <c r="D213" s="10">
        <f>CHOOSE(CONTROL!$C$42, 7.5212, 7.5212) * CHOOSE(CONTROL!$C$21, $C$9, 100%, $E$9)</f>
        <v>7.5212000000000003</v>
      </c>
      <c r="E213" s="10">
        <f>CHOOSE(CONTROL!$C$42, 7.5524, 7.5524) * CHOOSE(CONTROL!$C$21, $C$9, 100%, $E$9)</f>
        <v>7.5523999999999996</v>
      </c>
      <c r="F213" s="10">
        <f>CHOOSE(CONTROL!$C$42, 7.2999, 7.2999)*CHOOSE(CONTROL!$C$21, $C$9, 100%, $E$9)</f>
        <v>7.2999000000000001</v>
      </c>
      <c r="G213" s="10">
        <f>CHOOSE(CONTROL!$C$42, 7.3165, 7.3165)*CHOOSE(CONTROL!$C$21, $C$9, 100%, $E$9)</f>
        <v>7.3164999999999996</v>
      </c>
      <c r="H213" s="10">
        <f>CHOOSE(CONTROL!$C$42, 7.541, 7.541) * CHOOSE(CONTROL!$C$21, $C$9, 100%, $E$9)</f>
        <v>7.5410000000000004</v>
      </c>
      <c r="I213" s="10">
        <f>CHOOSE(CONTROL!$C$42, 7.3209, 7.3209)* CHOOSE(CONTROL!$C$21, $C$9, 100%, $E$9)</f>
        <v>7.3209</v>
      </c>
      <c r="J213" s="10">
        <f>CHOOSE(CONTROL!$C$42, 7.2929, 7.2929)* CHOOSE(CONTROL!$C$21, $C$9, 100%, $E$9)</f>
        <v>7.2929000000000004</v>
      </c>
      <c r="K213" s="10">
        <f>CHOOSE(CONTROL!$C$42, 7.2478, 7.2478) * CHOOSE(CONTROL!$C$21, $C$9, 100%, $E$9)</f>
        <v>7.2477999999999998</v>
      </c>
      <c r="L213" s="10">
        <f>CHOOSE(CONTROL!$C$42, 8.128, 8.128) * CHOOSE(CONTROL!$C$21, $C$9, 100%, $E$9)</f>
        <v>8.1280000000000001</v>
      </c>
      <c r="M213" s="10">
        <f>CHOOSE(CONTROL!$C$42, 7.2331, 7.2331) * CHOOSE(CONTROL!$C$21, $C$9, 100%, $E$9)</f>
        <v>7.2331000000000003</v>
      </c>
      <c r="N213" s="10">
        <f>CHOOSE(CONTROL!$C$42, 7.2495, 7.2495) * CHOOSE(CONTROL!$C$21, $C$9, 100%, $E$9)</f>
        <v>7.2495000000000003</v>
      </c>
      <c r="O213" s="10">
        <f>CHOOSE(CONTROL!$C$42, 7.4787, 7.4787) * CHOOSE(CONTROL!$C$21, $C$9, 100%, $E$9)</f>
        <v>7.4786999999999999</v>
      </c>
      <c r="P213" s="10">
        <f>CHOOSE(CONTROL!$C$42, 7.2609, 7.2609) * CHOOSE(CONTROL!$C$21, $C$9, 100%, $E$9)</f>
        <v>7.2609000000000004</v>
      </c>
      <c r="Q213" s="10">
        <f>CHOOSE(CONTROL!$C$42, 8.074, 8.074) * CHOOSE(CONTROL!$C$21, $C$9, 100%, $E$9)</f>
        <v>8.0739999999999998</v>
      </c>
      <c r="R213" s="10">
        <f>CHOOSE(CONTROL!$C$42, 8.6812, 8.6812) * CHOOSE(CONTROL!$C$21, $C$9, 100%, $E$9)</f>
        <v>8.6812000000000005</v>
      </c>
      <c r="S213" s="10">
        <f>CHOOSE(CONTROL!$C$42, 7.1201, 7.1201) * CHOOSE(CONTROL!$C$21, $C$9, 100%, $E$9)</f>
        <v>7.1200999999999999</v>
      </c>
      <c r="T2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38">
        <f>(1000*CHOOSE(CONTROL!$C$42, 695, 695)*CHOOSE(CONTROL!$C$42, 0.5599, 0.5599)*CHOOSE(CONTROL!$C$42, 30, 30))/1000000</f>
        <v>11.673914999999997</v>
      </c>
      <c r="V213" s="38">
        <f>(1000*CHOOSE(CONTROL!$C$42, 500, 500)*CHOOSE(CONTROL!$C$42, 0.275, 0.275)*CHOOSE(CONTROL!$C$42, 30, 30))/1000000</f>
        <v>4.125</v>
      </c>
      <c r="W213" s="38">
        <f>(1000*CHOOSE(CONTROL!$C$42, 0.1146, 0.1146)*CHOOSE(CONTROL!$C$42, 121.5, 121.5)*CHOOSE(CONTROL!$C$42, 30, 30))/1000000</f>
        <v>0.417717</v>
      </c>
      <c r="X213" s="38">
        <f>(30*0.1790888*245000/1000000)+(30*0.2374*100000/1000000)</f>
        <v>2.0285026799999999</v>
      </c>
      <c r="Y213" s="38">
        <f>(1000*600*CHOOSE(CONTROL!$C$42, 1.6846, 1.6846)*CHOOSE(CONTROL!$C$42, 30, 30))/1000000</f>
        <v>30.322800000000004</v>
      </c>
      <c r="Z213" s="38"/>
      <c r="AA213" s="10"/>
      <c r="AB213" s="39"/>
      <c r="AC213" s="33">
        <f>(B213*194.205+C213*267.466+D213*133.845+E213*53.484+F213*40+G213*185+H213*0+I213*100+J213*300)/(194.205+267.466+133.845+53.484+0+40+185+100+300)</f>
        <v>7.3510094303767657</v>
      </c>
      <c r="AD213" s="27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7.3097848920863315</v>
      </c>
    </row>
    <row r="214" spans="1:30" ht="15" x14ac:dyDescent="0.2">
      <c r="A214" s="16">
        <v>47757</v>
      </c>
      <c r="B214" s="10">
        <f>CHOOSE(CONTROL!$C$42, 7.1853, 7.1853) * CHOOSE(CONTROL!$C$21, $C$9, 100%, $E$9)</f>
        <v>7.1852999999999998</v>
      </c>
      <c r="C214" s="10">
        <f>CHOOSE(CONTROL!$C$42, 7.1905, 7.1905) * CHOOSE(CONTROL!$C$21, $C$9, 100%, $E$9)</f>
        <v>7.1905000000000001</v>
      </c>
      <c r="D214" s="10">
        <f>CHOOSE(CONTROL!$C$42, 7.3725, 7.3725) * CHOOSE(CONTROL!$C$21, $C$9, 100%, $E$9)</f>
        <v>7.3724999999999996</v>
      </c>
      <c r="E214" s="10">
        <f>CHOOSE(CONTROL!$C$42, 7.4013, 7.4013) * CHOOSE(CONTROL!$C$21, $C$9, 100%, $E$9)</f>
        <v>7.4013</v>
      </c>
      <c r="F214" s="10">
        <f>CHOOSE(CONTROL!$C$42, 7.1509, 7.1509)*CHOOSE(CONTROL!$C$21, $C$9, 100%, $E$9)</f>
        <v>7.1509</v>
      </c>
      <c r="G214" s="10">
        <f>CHOOSE(CONTROL!$C$42, 7.1672, 7.1672)*CHOOSE(CONTROL!$C$21, $C$9, 100%, $E$9)</f>
        <v>7.1672000000000002</v>
      </c>
      <c r="H214" s="10">
        <f>CHOOSE(CONTROL!$C$42, 7.3918, 7.3918) * CHOOSE(CONTROL!$C$21, $C$9, 100%, $E$9)</f>
        <v>7.3917999999999999</v>
      </c>
      <c r="I214" s="10">
        <f>CHOOSE(CONTROL!$C$42, 7.1717, 7.1717)* CHOOSE(CONTROL!$C$21, $C$9, 100%, $E$9)</f>
        <v>7.1717000000000004</v>
      </c>
      <c r="J214" s="10">
        <f>CHOOSE(CONTROL!$C$42, 7.1439, 7.1439)* CHOOSE(CONTROL!$C$21, $C$9, 100%, $E$9)</f>
        <v>7.1439000000000004</v>
      </c>
      <c r="K214" s="10">
        <f>CHOOSE(CONTROL!$C$42, 7.1034, 7.1034) * CHOOSE(CONTROL!$C$21, $C$9, 100%, $E$9)</f>
        <v>7.1033999999999997</v>
      </c>
      <c r="L214" s="10">
        <f>CHOOSE(CONTROL!$C$42, 7.9788, 7.9788) * CHOOSE(CONTROL!$C$21, $C$9, 100%, $E$9)</f>
        <v>7.9787999999999997</v>
      </c>
      <c r="M214" s="10">
        <f>CHOOSE(CONTROL!$C$42, 7.0857, 7.0857) * CHOOSE(CONTROL!$C$21, $C$9, 100%, $E$9)</f>
        <v>7.0857000000000001</v>
      </c>
      <c r="N214" s="10">
        <f>CHOOSE(CONTROL!$C$42, 7.1017, 7.1017) * CHOOSE(CONTROL!$C$21, $C$9, 100%, $E$9)</f>
        <v>7.1017000000000001</v>
      </c>
      <c r="O214" s="10">
        <f>CHOOSE(CONTROL!$C$42, 7.331, 7.331) * CHOOSE(CONTROL!$C$21, $C$9, 100%, $E$9)</f>
        <v>7.3310000000000004</v>
      </c>
      <c r="P214" s="10">
        <f>CHOOSE(CONTROL!$C$42, 7.1132, 7.1132) * CHOOSE(CONTROL!$C$21, $C$9, 100%, $E$9)</f>
        <v>7.1132</v>
      </c>
      <c r="Q214" s="10">
        <f>CHOOSE(CONTROL!$C$42, 7.9263, 7.9263) * CHOOSE(CONTROL!$C$21, $C$9, 100%, $E$9)</f>
        <v>7.9263000000000003</v>
      </c>
      <c r="R214" s="10">
        <f>CHOOSE(CONTROL!$C$42, 8.5331, 8.5331) * CHOOSE(CONTROL!$C$21, $C$9, 100%, $E$9)</f>
        <v>8.5330999999999992</v>
      </c>
      <c r="S214" s="10">
        <f>CHOOSE(CONTROL!$C$42, 6.9751, 6.9751) * CHOOSE(CONTROL!$C$21, $C$9, 100%, $E$9)</f>
        <v>6.9751000000000003</v>
      </c>
      <c r="T2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38">
        <f>(1000*CHOOSE(CONTROL!$C$42, 695, 695)*CHOOSE(CONTROL!$C$42, 0.5599, 0.5599)*CHOOSE(CONTROL!$C$42, 31, 31))/1000000</f>
        <v>12.063045499999998</v>
      </c>
      <c r="V214" s="38">
        <f>(1000*CHOOSE(CONTROL!$C$42, 500, 500)*CHOOSE(CONTROL!$C$42, 0.275, 0.275)*CHOOSE(CONTROL!$C$42, 31, 31))/1000000</f>
        <v>4.2625000000000002</v>
      </c>
      <c r="W214" s="38">
        <f>(1000*CHOOSE(CONTROL!$C$42, 0.1146, 0.1146)*CHOOSE(CONTROL!$C$42, 121.5, 121.5)*CHOOSE(CONTROL!$C$42, 31, 31))/1000000</f>
        <v>0.43164089999999994</v>
      </c>
      <c r="X214" s="38">
        <f>(31*0.1790888*245000/1000000)+(31*0.2374*100000/1000000)</f>
        <v>2.0961194359999999</v>
      </c>
      <c r="Y214" s="38">
        <f>(1000*600*CHOOSE(CONTROL!$C$42, 1.6846, 1.6846)*CHOOSE(CONTROL!$C$42, 31, 31))/1000000</f>
        <v>31.333560000000002</v>
      </c>
      <c r="Z214" s="38"/>
      <c r="AA214" s="10"/>
      <c r="AB214" s="39"/>
      <c r="AC214" s="33">
        <f>(B214*131.881+C214*277.167+D214*79.08+E214*125.872+F214*40+G214*185+H214*0+I214*100+J214*300)/(131.881+277.167+79.08+125.872+0+40+185+100+300)</f>
        <v>7.2054201746569815</v>
      </c>
      <c r="AD214" s="27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7.1621654676258988</v>
      </c>
    </row>
    <row r="215" spans="1:30" ht="15" x14ac:dyDescent="0.2">
      <c r="A215" s="16">
        <v>47788</v>
      </c>
      <c r="B215" s="10">
        <f>CHOOSE(CONTROL!$C$42, 7.3741, 7.3741) * CHOOSE(CONTROL!$C$21, $C$9, 100%, $E$9)</f>
        <v>7.3741000000000003</v>
      </c>
      <c r="C215" s="10">
        <f>CHOOSE(CONTROL!$C$42, 7.3791, 7.3791) * CHOOSE(CONTROL!$C$21, $C$9, 100%, $E$9)</f>
        <v>7.3791000000000002</v>
      </c>
      <c r="D215" s="10">
        <f>CHOOSE(CONTROL!$C$42, 7.4035, 7.4035) * CHOOSE(CONTROL!$C$21, $C$9, 100%, $E$9)</f>
        <v>7.4035000000000002</v>
      </c>
      <c r="E215" s="10">
        <f>CHOOSE(CONTROL!$C$42, 7.4373, 7.4373) * CHOOSE(CONTROL!$C$21, $C$9, 100%, $E$9)</f>
        <v>7.4372999999999996</v>
      </c>
      <c r="F215" s="10">
        <f>CHOOSE(CONTROL!$C$42, 7.3434, 7.3434)*CHOOSE(CONTROL!$C$21, $C$9, 100%, $E$9)</f>
        <v>7.3433999999999999</v>
      </c>
      <c r="G215" s="10">
        <f>CHOOSE(CONTROL!$C$42, 7.3599, 7.3599)*CHOOSE(CONTROL!$C$21, $C$9, 100%, $E$9)</f>
        <v>7.3598999999999997</v>
      </c>
      <c r="H215" s="10">
        <f>CHOOSE(CONTROL!$C$42, 7.4265, 7.4265) * CHOOSE(CONTROL!$C$21, $C$9, 100%, $E$9)</f>
        <v>7.4264999999999999</v>
      </c>
      <c r="I215" s="10">
        <f>CHOOSE(CONTROL!$C$42, 7.3609, 7.3609)* CHOOSE(CONTROL!$C$21, $C$9, 100%, $E$9)</f>
        <v>7.3609</v>
      </c>
      <c r="J215" s="10">
        <f>CHOOSE(CONTROL!$C$42, 7.3364, 7.3364)* CHOOSE(CONTROL!$C$21, $C$9, 100%, $E$9)</f>
        <v>7.3364000000000003</v>
      </c>
      <c r="K215" s="10">
        <f>CHOOSE(CONTROL!$C$42, 7.2888, 7.2888) * CHOOSE(CONTROL!$C$21, $C$9, 100%, $E$9)</f>
        <v>7.2888000000000002</v>
      </c>
      <c r="L215" s="10">
        <f>CHOOSE(CONTROL!$C$42, 8.0135, 8.0135) * CHOOSE(CONTROL!$C$21, $C$9, 100%, $E$9)</f>
        <v>8.0135000000000005</v>
      </c>
      <c r="M215" s="10">
        <f>CHOOSE(CONTROL!$C$42, 7.2762, 7.2762) * CHOOSE(CONTROL!$C$21, $C$9, 100%, $E$9)</f>
        <v>7.2762000000000002</v>
      </c>
      <c r="N215" s="10">
        <f>CHOOSE(CONTROL!$C$42, 7.2925, 7.2925) * CHOOSE(CONTROL!$C$21, $C$9, 100%, $E$9)</f>
        <v>7.2925000000000004</v>
      </c>
      <c r="O215" s="10">
        <f>CHOOSE(CONTROL!$C$42, 7.3654, 7.3654) * CHOOSE(CONTROL!$C$21, $C$9, 100%, $E$9)</f>
        <v>7.3654000000000002</v>
      </c>
      <c r="P215" s="10">
        <f>CHOOSE(CONTROL!$C$42, 7.3005, 7.3005) * CHOOSE(CONTROL!$C$21, $C$9, 100%, $E$9)</f>
        <v>7.3005000000000004</v>
      </c>
      <c r="Q215" s="10">
        <f>CHOOSE(CONTROL!$C$42, 7.9607, 7.9607) * CHOOSE(CONTROL!$C$21, $C$9, 100%, $E$9)</f>
        <v>7.9607000000000001</v>
      </c>
      <c r="R215" s="10">
        <f>CHOOSE(CONTROL!$C$42, 8.5676, 8.5676) * CHOOSE(CONTROL!$C$21, $C$9, 100%, $E$9)</f>
        <v>8.5676000000000005</v>
      </c>
      <c r="S215" s="10">
        <f>CHOOSE(CONTROL!$C$42, 7.1589, 7.1589) * CHOOSE(CONTROL!$C$21, $C$9, 100%, $E$9)</f>
        <v>7.1589</v>
      </c>
      <c r="T2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38">
        <f>(1000*CHOOSE(CONTROL!$C$42, 695, 695)*CHOOSE(CONTROL!$C$42, 0.5599, 0.5599)*CHOOSE(CONTROL!$C$42, 30, 30))/1000000</f>
        <v>11.673914999999997</v>
      </c>
      <c r="V215" s="38">
        <f>(1000*CHOOSE(CONTROL!$C$42, 500, 500)*CHOOSE(CONTROL!$C$42, 0.275, 0.275)*CHOOSE(CONTROL!$C$42, 30, 30))/1000000</f>
        <v>4.125</v>
      </c>
      <c r="W215" s="38">
        <f>(1000*CHOOSE(CONTROL!$C$42, 0.1146, 0.1146)*CHOOSE(CONTROL!$C$42, 121.5, 121.5)*CHOOSE(CONTROL!$C$42, 30, 30))/1000000</f>
        <v>0.417717</v>
      </c>
      <c r="X215" s="38">
        <f>(30*0.1790888*100000/1000000)+(30*0.2374*100000/1000000)</f>
        <v>1.2494664</v>
      </c>
      <c r="Y215" s="38">
        <f>(1000*600*CHOOSE(CONTROL!$C$42, 1.6846, 1.6846)*CHOOSE(CONTROL!$C$42, 30, 30))/1000000</f>
        <v>30.322800000000004</v>
      </c>
      <c r="Z215" s="38"/>
      <c r="AA215" s="10"/>
      <c r="AB215" s="39"/>
      <c r="AC215" s="33">
        <f>(B215*122.58+C215*297.941+D215*89.177+E215*40.302+F215*40+G215*160+H215*0+I215*100+J215*300)/(122.58+297.941+89.177+40.302+0+40+160+100+300)</f>
        <v>7.3658639958260883</v>
      </c>
      <c r="AD215" s="27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7.3210633093525184</v>
      </c>
    </row>
    <row r="216" spans="1:30" ht="15" x14ac:dyDescent="0.2">
      <c r="A216" s="16">
        <v>47818</v>
      </c>
      <c r="B216" s="10">
        <f>CHOOSE(CONTROL!$C$42, 7.8767, 7.8767) * CHOOSE(CONTROL!$C$21, $C$9, 100%, $E$9)</f>
        <v>7.8766999999999996</v>
      </c>
      <c r="C216" s="10">
        <f>CHOOSE(CONTROL!$C$42, 7.8816, 7.8816) * CHOOSE(CONTROL!$C$21, $C$9, 100%, $E$9)</f>
        <v>7.8815999999999997</v>
      </c>
      <c r="D216" s="10">
        <f>CHOOSE(CONTROL!$C$42, 7.9061, 7.9061) * CHOOSE(CONTROL!$C$21, $C$9, 100%, $E$9)</f>
        <v>7.9061000000000003</v>
      </c>
      <c r="E216" s="10">
        <f>CHOOSE(CONTROL!$C$42, 7.9399, 7.9399) * CHOOSE(CONTROL!$C$21, $C$9, 100%, $E$9)</f>
        <v>7.9398999999999997</v>
      </c>
      <c r="F216" s="10">
        <f>CHOOSE(CONTROL!$C$42, 7.8483, 7.8483)*CHOOSE(CONTROL!$C$21, $C$9, 100%, $E$9)</f>
        <v>7.8483000000000001</v>
      </c>
      <c r="G216" s="10">
        <f>CHOOSE(CONTROL!$C$42, 7.8653, 7.8653)*CHOOSE(CONTROL!$C$21, $C$9, 100%, $E$9)</f>
        <v>7.8653000000000004</v>
      </c>
      <c r="H216" s="10">
        <f>CHOOSE(CONTROL!$C$42, 7.9291, 7.9291) * CHOOSE(CONTROL!$C$21, $C$9, 100%, $E$9)</f>
        <v>7.9291</v>
      </c>
      <c r="I216" s="10">
        <f>CHOOSE(CONTROL!$C$42, 7.8634, 7.8634)* CHOOSE(CONTROL!$C$21, $C$9, 100%, $E$9)</f>
        <v>7.8634000000000004</v>
      </c>
      <c r="J216" s="10">
        <f>CHOOSE(CONTROL!$C$42, 7.8413, 7.8413)* CHOOSE(CONTROL!$C$21, $C$9, 100%, $E$9)</f>
        <v>7.8413000000000004</v>
      </c>
      <c r="K216" s="10">
        <f>CHOOSE(CONTROL!$C$42, 7.782, 7.782) * CHOOSE(CONTROL!$C$21, $C$9, 100%, $E$9)</f>
        <v>7.782</v>
      </c>
      <c r="L216" s="10">
        <f>CHOOSE(CONTROL!$C$42, 8.5161, 8.5161) * CHOOSE(CONTROL!$C$21, $C$9, 100%, $E$9)</f>
        <v>8.5160999999999998</v>
      </c>
      <c r="M216" s="10">
        <f>CHOOSE(CONTROL!$C$42, 7.776, 7.776) * CHOOSE(CONTROL!$C$21, $C$9, 100%, $E$9)</f>
        <v>7.7759999999999998</v>
      </c>
      <c r="N216" s="10">
        <f>CHOOSE(CONTROL!$C$42, 7.7929, 7.7929) * CHOOSE(CONTROL!$C$21, $C$9, 100%, $E$9)</f>
        <v>7.7929000000000004</v>
      </c>
      <c r="O216" s="10">
        <f>CHOOSE(CONTROL!$C$42, 7.8629, 7.8629) * CHOOSE(CONTROL!$C$21, $C$9, 100%, $E$9)</f>
        <v>7.8628999999999998</v>
      </c>
      <c r="P216" s="10">
        <f>CHOOSE(CONTROL!$C$42, 7.798, 7.798) * CHOOSE(CONTROL!$C$21, $C$9, 100%, $E$9)</f>
        <v>7.798</v>
      </c>
      <c r="Q216" s="10">
        <f>CHOOSE(CONTROL!$C$42, 8.4582, 8.4582) * CHOOSE(CONTROL!$C$21, $C$9, 100%, $E$9)</f>
        <v>8.4581999999999997</v>
      </c>
      <c r="R216" s="10">
        <f>CHOOSE(CONTROL!$C$42, 9.0663, 9.0663) * CHOOSE(CONTROL!$C$21, $C$9, 100%, $E$9)</f>
        <v>9.0663</v>
      </c>
      <c r="S216" s="10">
        <f>CHOOSE(CONTROL!$C$42, 7.6469, 7.6469) * CHOOSE(CONTROL!$C$21, $C$9, 100%, $E$9)</f>
        <v>7.6468999999999996</v>
      </c>
      <c r="T2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38">
        <f>(1000*CHOOSE(CONTROL!$C$42, 695, 695)*CHOOSE(CONTROL!$C$42, 0.5599, 0.5599)*CHOOSE(CONTROL!$C$42, 31, 31))/1000000</f>
        <v>12.063045499999998</v>
      </c>
      <c r="V216" s="38">
        <f>(1000*CHOOSE(CONTROL!$C$42, 500, 500)*CHOOSE(CONTROL!$C$42, 0.275, 0.275)*CHOOSE(CONTROL!$C$42, 31, 31))/1000000</f>
        <v>4.2625000000000002</v>
      </c>
      <c r="W216" s="38">
        <f>(1000*CHOOSE(CONTROL!$C$42, 0.1146, 0.1146)*CHOOSE(CONTROL!$C$42, 121.5, 121.5)*CHOOSE(CONTROL!$C$42, 31, 31))/1000000</f>
        <v>0.43164089999999994</v>
      </c>
      <c r="X216" s="38">
        <f>(31*0.1790888*100000/1000000)+(31*0.2374*100000/1000000)</f>
        <v>1.2911152800000001</v>
      </c>
      <c r="Y216" s="38">
        <f>(1000*600*CHOOSE(CONTROL!$C$42, 1.6846, 1.6846)*CHOOSE(CONTROL!$C$42, 31, 31))/1000000</f>
        <v>31.333560000000002</v>
      </c>
      <c r="Z216" s="38"/>
      <c r="AA216" s="10"/>
      <c r="AB216" s="39"/>
      <c r="AC216" s="33">
        <f>(B216*122.58+C216*297.941+D216*89.177+E216*40.302+F216*40+G216*160+H216*0+I216*100+J216*300)/(122.58+297.941+89.177+40.302+0+40+160+100+300)</f>
        <v>7.8694989574782603</v>
      </c>
      <c r="AD216" s="27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7.8195244604316558</v>
      </c>
    </row>
    <row r="217" spans="1:30" ht="15" x14ac:dyDescent="0.2">
      <c r="A217" s="16">
        <v>47849</v>
      </c>
      <c r="B217" s="10">
        <f>CHOOSE(CONTROL!$C$42, 8.4081, 8.4081) * CHOOSE(CONTROL!$C$21, $C$9, 100%, $E$9)</f>
        <v>8.4080999999999992</v>
      </c>
      <c r="C217" s="10">
        <f>CHOOSE(CONTROL!$C$42, 8.4131, 8.4131) * CHOOSE(CONTROL!$C$21, $C$9, 100%, $E$9)</f>
        <v>8.4131</v>
      </c>
      <c r="D217" s="10">
        <f>CHOOSE(CONTROL!$C$42, 8.4375, 8.4375) * CHOOSE(CONTROL!$C$21, $C$9, 100%, $E$9)</f>
        <v>8.4375</v>
      </c>
      <c r="E217" s="10">
        <f>CHOOSE(CONTROL!$C$42, 8.4713, 8.4713) * CHOOSE(CONTROL!$C$21, $C$9, 100%, $E$9)</f>
        <v>8.4712999999999994</v>
      </c>
      <c r="F217" s="10">
        <f>CHOOSE(CONTROL!$C$42, 8.391, 8.391)*CHOOSE(CONTROL!$C$21, $C$9, 100%, $E$9)</f>
        <v>8.391</v>
      </c>
      <c r="G217" s="10">
        <f>CHOOSE(CONTROL!$C$42, 8.4097, 8.4097)*CHOOSE(CONTROL!$C$21, $C$9, 100%, $E$9)</f>
        <v>8.4097000000000008</v>
      </c>
      <c r="H217" s="10">
        <f>CHOOSE(CONTROL!$C$42, 8.4605, 8.4605) * CHOOSE(CONTROL!$C$21, $C$9, 100%, $E$9)</f>
        <v>8.4604999999999997</v>
      </c>
      <c r="I217" s="10">
        <f>CHOOSE(CONTROL!$C$42, 8.4026, 8.4026)* CHOOSE(CONTROL!$C$21, $C$9, 100%, $E$9)</f>
        <v>8.4025999999999996</v>
      </c>
      <c r="J217" s="10">
        <f>CHOOSE(CONTROL!$C$42, 8.384, 8.384)* CHOOSE(CONTROL!$C$21, $C$9, 100%, $E$9)</f>
        <v>8.3840000000000003</v>
      </c>
      <c r="K217" s="10">
        <f>CHOOSE(CONTROL!$C$42, 8.3194, 8.3194) * CHOOSE(CONTROL!$C$21, $C$9, 100%, $E$9)</f>
        <v>8.3193999999999999</v>
      </c>
      <c r="L217" s="10">
        <f>CHOOSE(CONTROL!$C$42, 9.0475, 9.0475) * CHOOSE(CONTROL!$C$21, $C$9, 100%, $E$9)</f>
        <v>9.0474999999999994</v>
      </c>
      <c r="M217" s="10">
        <f>CHOOSE(CONTROL!$C$42, 8.3133, 8.3133) * CHOOSE(CONTROL!$C$21, $C$9, 100%, $E$9)</f>
        <v>8.3132999999999999</v>
      </c>
      <c r="N217" s="10">
        <f>CHOOSE(CONTROL!$C$42, 8.3317, 8.3317) * CHOOSE(CONTROL!$C$21, $C$9, 100%, $E$9)</f>
        <v>8.3316999999999997</v>
      </c>
      <c r="O217" s="10">
        <f>CHOOSE(CONTROL!$C$42, 8.3889, 8.3889) * CHOOSE(CONTROL!$C$21, $C$9, 100%, $E$9)</f>
        <v>8.3888999999999996</v>
      </c>
      <c r="P217" s="10">
        <f>CHOOSE(CONTROL!$C$42, 8.3317, 8.3317) * CHOOSE(CONTROL!$C$21, $C$9, 100%, $E$9)</f>
        <v>8.3316999999999997</v>
      </c>
      <c r="Q217" s="10">
        <f>CHOOSE(CONTROL!$C$42, 8.9842, 8.9842) * CHOOSE(CONTROL!$C$21, $C$9, 100%, $E$9)</f>
        <v>8.9841999999999995</v>
      </c>
      <c r="R217" s="10">
        <f>CHOOSE(CONTROL!$C$42, 9.5937, 9.5937) * CHOOSE(CONTROL!$C$21, $C$9, 100%, $E$9)</f>
        <v>9.5937000000000001</v>
      </c>
      <c r="S217" s="10">
        <f>CHOOSE(CONTROL!$C$42, 8.163, 8.163) * CHOOSE(CONTROL!$C$21, $C$9, 100%, $E$9)</f>
        <v>8.1630000000000003</v>
      </c>
      <c r="T2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38">
        <f>(1000*CHOOSE(CONTROL!$C$42, 695, 695)*CHOOSE(CONTROL!$C$42, 0.5599, 0.5599)*CHOOSE(CONTROL!$C$42, 31, 31))/1000000</f>
        <v>12.063045499999998</v>
      </c>
      <c r="V217" s="38">
        <f>(1000*CHOOSE(CONTROL!$C$42, 500, 500)*CHOOSE(CONTROL!$C$42, 0.275, 0.275)*CHOOSE(CONTROL!$C$42, 31, 31))/1000000</f>
        <v>4.2625000000000002</v>
      </c>
      <c r="W217" s="38">
        <f>(1000*CHOOSE(CONTROL!$C$42, 0.1146, 0.1146)*CHOOSE(CONTROL!$C$42, 121.5, 121.5)*CHOOSE(CONTROL!$C$42, 31, 31))/1000000</f>
        <v>0.43164089999999994</v>
      </c>
      <c r="X217" s="38">
        <f>(31*0.1790888*100000/1000000)+(31*0.2374*100000/1000000)</f>
        <v>1.2911152800000001</v>
      </c>
      <c r="Y217" s="38">
        <f>(1000*600*CHOOSE(CONTROL!$C$42, 1.6681, 1.6681)*CHOOSE(CONTROL!$C$42, 31, 31))/1000000</f>
        <v>31.02666</v>
      </c>
      <c r="Z217" s="38"/>
      <c r="AA217" s="10"/>
      <c r="AB217" s="39"/>
      <c r="AC217" s="33">
        <f>(B217*122.58+C217*297.941+D217*89.177+E217*40.302+F217*40+G217*160+H217*0+I217*100+J217*300)/(122.58+297.941+89.177+40.302+0+40+160+100+300)</f>
        <v>8.4067526914782622</v>
      </c>
      <c r="AD217" s="27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8.3512712230215822</v>
      </c>
    </row>
    <row r="218" spans="1:30" ht="15" x14ac:dyDescent="0.2">
      <c r="A218" s="16">
        <v>47880</v>
      </c>
      <c r="B218" s="10">
        <f>CHOOSE(CONTROL!$C$42, 8.5577, 8.5577) * CHOOSE(CONTROL!$C$21, $C$9, 100%, $E$9)</f>
        <v>8.5577000000000005</v>
      </c>
      <c r="C218" s="10">
        <f>CHOOSE(CONTROL!$C$42, 8.5627, 8.5627) * CHOOSE(CONTROL!$C$21, $C$9, 100%, $E$9)</f>
        <v>8.5626999999999995</v>
      </c>
      <c r="D218" s="10">
        <f>CHOOSE(CONTROL!$C$42, 8.5871, 8.5871) * CHOOSE(CONTROL!$C$21, $C$9, 100%, $E$9)</f>
        <v>8.5870999999999995</v>
      </c>
      <c r="E218" s="10">
        <f>CHOOSE(CONTROL!$C$42, 8.6209, 8.6209) * CHOOSE(CONTROL!$C$21, $C$9, 100%, $E$9)</f>
        <v>8.6209000000000007</v>
      </c>
      <c r="F218" s="10">
        <f>CHOOSE(CONTROL!$C$42, 8.54, 8.54)*CHOOSE(CONTROL!$C$21, $C$9, 100%, $E$9)</f>
        <v>8.5399999999999991</v>
      </c>
      <c r="G218" s="10">
        <f>CHOOSE(CONTROL!$C$42, 8.5585, 8.5585)*CHOOSE(CONTROL!$C$21, $C$9, 100%, $E$9)</f>
        <v>8.5585000000000004</v>
      </c>
      <c r="H218" s="10">
        <f>CHOOSE(CONTROL!$C$42, 8.6101, 8.6101) * CHOOSE(CONTROL!$C$21, $C$9, 100%, $E$9)</f>
        <v>8.6100999999999992</v>
      </c>
      <c r="I218" s="10">
        <f>CHOOSE(CONTROL!$C$42, 8.5522, 8.5522)* CHOOSE(CONTROL!$C$21, $C$9, 100%, $E$9)</f>
        <v>8.5521999999999991</v>
      </c>
      <c r="J218" s="10">
        <f>CHOOSE(CONTROL!$C$42, 8.533, 8.533)* CHOOSE(CONTROL!$C$21, $C$9, 100%, $E$9)</f>
        <v>8.5329999999999995</v>
      </c>
      <c r="K218" s="10">
        <f>CHOOSE(CONTROL!$C$42, 8.4633, 8.4633) * CHOOSE(CONTROL!$C$21, $C$9, 100%, $E$9)</f>
        <v>8.4633000000000003</v>
      </c>
      <c r="L218" s="10">
        <f>CHOOSE(CONTROL!$C$42, 9.1971, 9.1971) * CHOOSE(CONTROL!$C$21, $C$9, 100%, $E$9)</f>
        <v>9.1971000000000007</v>
      </c>
      <c r="M218" s="10">
        <f>CHOOSE(CONTROL!$C$42, 8.4607, 8.4607) * CHOOSE(CONTROL!$C$21, $C$9, 100%, $E$9)</f>
        <v>8.4606999999999992</v>
      </c>
      <c r="N218" s="10">
        <f>CHOOSE(CONTROL!$C$42, 8.479, 8.479) * CHOOSE(CONTROL!$C$21, $C$9, 100%, $E$9)</f>
        <v>8.4789999999999992</v>
      </c>
      <c r="O218" s="10">
        <f>CHOOSE(CONTROL!$C$42, 8.5371, 8.5371) * CHOOSE(CONTROL!$C$21, $C$9, 100%, $E$9)</f>
        <v>8.5371000000000006</v>
      </c>
      <c r="P218" s="10">
        <f>CHOOSE(CONTROL!$C$42, 8.4798, 8.4798) * CHOOSE(CONTROL!$C$21, $C$9, 100%, $E$9)</f>
        <v>8.4797999999999991</v>
      </c>
      <c r="Q218" s="10">
        <f>CHOOSE(CONTROL!$C$42, 9.1324, 9.1324) * CHOOSE(CONTROL!$C$21, $C$9, 100%, $E$9)</f>
        <v>9.1324000000000005</v>
      </c>
      <c r="R218" s="10">
        <f>CHOOSE(CONTROL!$C$42, 9.7422, 9.7422) * CHOOSE(CONTROL!$C$21, $C$9, 100%, $E$9)</f>
        <v>9.7422000000000004</v>
      </c>
      <c r="S218" s="10">
        <f>CHOOSE(CONTROL!$C$42, 8.3083, 8.3083) * CHOOSE(CONTROL!$C$21, $C$9, 100%, $E$9)</f>
        <v>8.3082999999999991</v>
      </c>
      <c r="T2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38">
        <f>(1000*CHOOSE(CONTROL!$C$42, 695, 695)*CHOOSE(CONTROL!$C$42, 0.5599, 0.5599)*CHOOSE(CONTROL!$C$42, 28, 28))/1000000</f>
        <v>10.895653999999999</v>
      </c>
      <c r="V218" s="38">
        <f>(1000*CHOOSE(CONTROL!$C$42, 500, 500)*CHOOSE(CONTROL!$C$42, 0.275, 0.275)*CHOOSE(CONTROL!$C$42, 28, 28))/1000000</f>
        <v>3.85</v>
      </c>
      <c r="W218" s="38">
        <f>(1000*CHOOSE(CONTROL!$C$42, 0.1146, 0.1146)*CHOOSE(CONTROL!$C$42, 121.5, 121.5)*CHOOSE(CONTROL!$C$42, 28, 28))/1000000</f>
        <v>0.38986920000000003</v>
      </c>
      <c r="X218" s="38">
        <f>(28*0.1790888*100000/1000000)+(28*0.2374*100000/1000000)</f>
        <v>1.16616864</v>
      </c>
      <c r="Y218" s="38">
        <f>(1000*600*CHOOSE(CONTROL!$C$42, 1.6681, 1.6681)*CHOOSE(CONTROL!$C$42, 28, 28))/1000000</f>
        <v>28.024080000000001</v>
      </c>
      <c r="Z218" s="38"/>
      <c r="AA218" s="10"/>
      <c r="AB218" s="39"/>
      <c r="AC218" s="33">
        <f>(B218*122.58+C218*297.941+D218*89.177+E218*40.302+F218*40+G218*160+H218*0+I218*100+J218*300)/(122.58+297.941+89.177+40.302+0+40+160+100+300)</f>
        <v>8.5560639958260882</v>
      </c>
      <c r="AD218" s="27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8.4991287769784165</v>
      </c>
    </row>
    <row r="219" spans="1:30" ht="15" x14ac:dyDescent="0.2">
      <c r="A219" s="16">
        <v>47908</v>
      </c>
      <c r="B219" s="10">
        <f>CHOOSE(CONTROL!$C$42, 8.3149, 8.3149) * CHOOSE(CONTROL!$C$21, $C$9, 100%, $E$9)</f>
        <v>8.3148999999999997</v>
      </c>
      <c r="C219" s="10">
        <f>CHOOSE(CONTROL!$C$42, 8.3198, 8.3198) * CHOOSE(CONTROL!$C$21, $C$9, 100%, $E$9)</f>
        <v>8.3198000000000008</v>
      </c>
      <c r="D219" s="10">
        <f>CHOOSE(CONTROL!$C$42, 8.3443, 8.3443) * CHOOSE(CONTROL!$C$21, $C$9, 100%, $E$9)</f>
        <v>8.3443000000000005</v>
      </c>
      <c r="E219" s="10">
        <f>CHOOSE(CONTROL!$C$42, 8.378, 8.378) * CHOOSE(CONTROL!$C$21, $C$9, 100%, $E$9)</f>
        <v>8.3780000000000001</v>
      </c>
      <c r="F219" s="10">
        <f>CHOOSE(CONTROL!$C$42, 8.2956, 8.2956)*CHOOSE(CONTROL!$C$21, $C$9, 100%, $E$9)</f>
        <v>8.2956000000000003</v>
      </c>
      <c r="G219" s="10">
        <f>CHOOSE(CONTROL!$C$42, 8.3137, 8.3137)*CHOOSE(CONTROL!$C$21, $C$9, 100%, $E$9)</f>
        <v>8.3137000000000008</v>
      </c>
      <c r="H219" s="10">
        <f>CHOOSE(CONTROL!$C$42, 8.3672, 8.3672) * CHOOSE(CONTROL!$C$21, $C$9, 100%, $E$9)</f>
        <v>8.3672000000000004</v>
      </c>
      <c r="I219" s="10">
        <f>CHOOSE(CONTROL!$C$42, 8.3093, 8.3093)* CHOOSE(CONTROL!$C$21, $C$9, 100%, $E$9)</f>
        <v>8.3093000000000004</v>
      </c>
      <c r="J219" s="10">
        <f>CHOOSE(CONTROL!$C$42, 8.2886, 8.2886)* CHOOSE(CONTROL!$C$21, $C$9, 100%, $E$9)</f>
        <v>8.2886000000000006</v>
      </c>
      <c r="K219" s="10">
        <f>CHOOSE(CONTROL!$C$42, 8.2239, 8.2239) * CHOOSE(CONTROL!$C$21, $C$9, 100%, $E$9)</f>
        <v>8.2239000000000004</v>
      </c>
      <c r="L219" s="10">
        <f>CHOOSE(CONTROL!$C$42, 8.9542, 8.9542) * CHOOSE(CONTROL!$C$21, $C$9, 100%, $E$9)</f>
        <v>8.9542000000000002</v>
      </c>
      <c r="M219" s="10">
        <f>CHOOSE(CONTROL!$C$42, 8.2188, 8.2188) * CHOOSE(CONTROL!$C$21, $C$9, 100%, $E$9)</f>
        <v>8.2187999999999999</v>
      </c>
      <c r="N219" s="10">
        <f>CHOOSE(CONTROL!$C$42, 8.2367, 8.2367) * CHOOSE(CONTROL!$C$21, $C$9, 100%, $E$9)</f>
        <v>8.2367000000000008</v>
      </c>
      <c r="O219" s="10">
        <f>CHOOSE(CONTROL!$C$42, 8.2966, 8.2966) * CHOOSE(CONTROL!$C$21, $C$9, 100%, $E$9)</f>
        <v>8.2965999999999998</v>
      </c>
      <c r="P219" s="10">
        <f>CHOOSE(CONTROL!$C$42, 8.2394, 8.2394) * CHOOSE(CONTROL!$C$21, $C$9, 100%, $E$9)</f>
        <v>8.2393999999999998</v>
      </c>
      <c r="Q219" s="10">
        <f>CHOOSE(CONTROL!$C$42, 8.8919, 8.8919) * CHOOSE(CONTROL!$C$21, $C$9, 100%, $E$9)</f>
        <v>8.8918999999999997</v>
      </c>
      <c r="R219" s="10">
        <f>CHOOSE(CONTROL!$C$42, 9.5012, 9.5012) * CHOOSE(CONTROL!$C$21, $C$9, 100%, $E$9)</f>
        <v>9.5012000000000008</v>
      </c>
      <c r="S219" s="10">
        <f>CHOOSE(CONTROL!$C$42, 8.0724, 8.0724) * CHOOSE(CONTROL!$C$21, $C$9, 100%, $E$9)</f>
        <v>8.0724</v>
      </c>
      <c r="T2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38">
        <f>(1000*CHOOSE(CONTROL!$C$42, 695, 695)*CHOOSE(CONTROL!$C$42, 0.5599, 0.5599)*CHOOSE(CONTROL!$C$42, 31, 31))/1000000</f>
        <v>12.063045499999998</v>
      </c>
      <c r="V219" s="38">
        <f>(1000*CHOOSE(CONTROL!$C$42, 500, 500)*CHOOSE(CONTROL!$C$42, 0.275, 0.275)*CHOOSE(CONTROL!$C$42, 31, 31))/1000000</f>
        <v>4.2625000000000002</v>
      </c>
      <c r="W219" s="38">
        <f>(1000*CHOOSE(CONTROL!$C$42, 0.1146, 0.1146)*CHOOSE(CONTROL!$C$42, 121.5, 121.5)*CHOOSE(CONTROL!$C$42, 31, 31))/1000000</f>
        <v>0.43164089999999994</v>
      </c>
      <c r="X219" s="38">
        <f>(31*0.1790888*100000/1000000)+(31*0.2374*100000/1000000)</f>
        <v>1.2911152800000001</v>
      </c>
      <c r="Y219" s="38">
        <f>(1000*600*CHOOSE(CONTROL!$C$42, 1.6681, 1.6681)*CHOOSE(CONTROL!$C$42, 31, 31))/1000000</f>
        <v>31.02666</v>
      </c>
      <c r="Z219" s="38"/>
      <c r="AA219" s="10"/>
      <c r="AB219" s="39"/>
      <c r="AC219" s="33">
        <f>(B219*122.58+C219*297.941+D219*89.177+E219*40.302+F219*40+G219*160+H219*0+I219*100+J219*300)/(122.58+297.941+89.177+40.302+0+40+160+100+300)</f>
        <v>8.3124745833913032</v>
      </c>
      <c r="AD219" s="27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8.2580561151079124</v>
      </c>
    </row>
    <row r="220" spans="1:30" ht="15" x14ac:dyDescent="0.2">
      <c r="A220" s="16">
        <v>47939</v>
      </c>
      <c r="B220" s="10">
        <f>CHOOSE(CONTROL!$C$42, 8.2907, 8.2907) * CHOOSE(CONTROL!$C$21, $C$9, 100%, $E$9)</f>
        <v>8.2906999999999993</v>
      </c>
      <c r="C220" s="10">
        <f>CHOOSE(CONTROL!$C$42, 8.2951, 8.2951) * CHOOSE(CONTROL!$C$21, $C$9, 100%, $E$9)</f>
        <v>8.2950999999999997</v>
      </c>
      <c r="D220" s="10">
        <f>CHOOSE(CONTROL!$C$42, 8.4753, 8.4753) * CHOOSE(CONTROL!$C$21, $C$9, 100%, $E$9)</f>
        <v>8.4753000000000007</v>
      </c>
      <c r="E220" s="10">
        <f>CHOOSE(CONTROL!$C$42, 8.507, 8.507) * CHOOSE(CONTROL!$C$21, $C$9, 100%, $E$9)</f>
        <v>8.5069999999999997</v>
      </c>
      <c r="F220" s="10">
        <f>CHOOSE(CONTROL!$C$42, 8.2561, 8.2561)*CHOOSE(CONTROL!$C$21, $C$9, 100%, $E$9)</f>
        <v>8.2561</v>
      </c>
      <c r="G220" s="10">
        <f>CHOOSE(CONTROL!$C$42, 8.2723, 8.2723)*CHOOSE(CONTROL!$C$21, $C$9, 100%, $E$9)</f>
        <v>8.2722999999999995</v>
      </c>
      <c r="H220" s="10">
        <f>CHOOSE(CONTROL!$C$42, 8.4968, 8.4968) * CHOOSE(CONTROL!$C$21, $C$9, 100%, $E$9)</f>
        <v>8.4968000000000004</v>
      </c>
      <c r="I220" s="10">
        <f>CHOOSE(CONTROL!$C$42, 8.2767, 8.2767)* CHOOSE(CONTROL!$C$21, $C$9, 100%, $E$9)</f>
        <v>8.2766999999999999</v>
      </c>
      <c r="J220" s="10">
        <f>CHOOSE(CONTROL!$C$42, 8.2491, 8.2491)* CHOOSE(CONTROL!$C$21, $C$9, 100%, $E$9)</f>
        <v>8.2491000000000003</v>
      </c>
      <c r="K220" s="10">
        <f>CHOOSE(CONTROL!$C$42, 8.1773, 8.1773) * CHOOSE(CONTROL!$C$21, $C$9, 100%, $E$9)</f>
        <v>8.1773000000000007</v>
      </c>
      <c r="L220" s="10">
        <f>CHOOSE(CONTROL!$C$42, 9.0838, 9.0838) * CHOOSE(CONTROL!$C$21, $C$9, 100%, $E$9)</f>
        <v>9.0838000000000001</v>
      </c>
      <c r="M220" s="10">
        <f>CHOOSE(CONTROL!$C$42, 8.1797, 8.1797) * CHOOSE(CONTROL!$C$21, $C$9, 100%, $E$9)</f>
        <v>8.1797000000000004</v>
      </c>
      <c r="N220" s="10">
        <f>CHOOSE(CONTROL!$C$42, 8.1957, 8.1957) * CHOOSE(CONTROL!$C$21, $C$9, 100%, $E$9)</f>
        <v>8.1957000000000004</v>
      </c>
      <c r="O220" s="10">
        <f>CHOOSE(CONTROL!$C$42, 8.4249, 8.4249) * CHOOSE(CONTROL!$C$21, $C$9, 100%, $E$9)</f>
        <v>8.4248999999999992</v>
      </c>
      <c r="P220" s="10">
        <f>CHOOSE(CONTROL!$C$42, 8.2071, 8.2071) * CHOOSE(CONTROL!$C$21, $C$9, 100%, $E$9)</f>
        <v>8.2071000000000005</v>
      </c>
      <c r="Q220" s="10">
        <f>CHOOSE(CONTROL!$C$42, 9.0202, 9.0202) * CHOOSE(CONTROL!$C$21, $C$9, 100%, $E$9)</f>
        <v>9.0202000000000009</v>
      </c>
      <c r="R220" s="10">
        <f>CHOOSE(CONTROL!$C$42, 9.6297, 9.6297) * CHOOSE(CONTROL!$C$21, $C$9, 100%, $E$9)</f>
        <v>9.6296999999999997</v>
      </c>
      <c r="S220" s="10">
        <f>CHOOSE(CONTROL!$C$42, 8.0483, 8.0483) * CHOOSE(CONTROL!$C$21, $C$9, 100%, $E$9)</f>
        <v>8.0482999999999993</v>
      </c>
      <c r="T2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38">
        <f>(1000*CHOOSE(CONTROL!$C$42, 695, 695)*CHOOSE(CONTROL!$C$42, 0.5599, 0.5599)*CHOOSE(CONTROL!$C$42, 30, 30))/1000000</f>
        <v>11.673914999999997</v>
      </c>
      <c r="V220" s="38">
        <f>(1000*CHOOSE(CONTROL!$C$42, 500, 500)*CHOOSE(CONTROL!$C$42, 0.275, 0.275)*CHOOSE(CONTROL!$C$42, 30, 30))/1000000</f>
        <v>4.125</v>
      </c>
      <c r="W220" s="38">
        <f>(1000*CHOOSE(CONTROL!$C$42, 0.1146, 0.1146)*CHOOSE(CONTROL!$C$42, 121.5, 121.5)*CHOOSE(CONTROL!$C$42, 30, 30))/1000000</f>
        <v>0.417717</v>
      </c>
      <c r="X220" s="38">
        <f>(30*0.1790888*245000/1000000)+(30*0.2374*100000/1000000)</f>
        <v>2.0285026799999999</v>
      </c>
      <c r="Y220" s="38">
        <f>(1000*600*CHOOSE(CONTROL!$C$42, 1.6681, 1.6681)*CHOOSE(CONTROL!$C$42, 30, 30))/1000000</f>
        <v>30.0258</v>
      </c>
      <c r="Z220" s="38"/>
      <c r="AA220" s="10"/>
      <c r="AB220" s="39"/>
      <c r="AC220" s="33">
        <f>(B220*141.293+C220*267.993+D220*115.016+E220*89.698+F220*40+G220*185+H220*0+I220*100+J220*300)/(141.293+267.993+115.016+89.698+0+40+185+100+300)</f>
        <v>8.3093802261501217</v>
      </c>
      <c r="AD220" s="27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8.2561230215827344</v>
      </c>
    </row>
    <row r="221" spans="1:30" ht="15" x14ac:dyDescent="0.2">
      <c r="A221" s="16">
        <v>47969</v>
      </c>
      <c r="B221" s="10">
        <f>CHOOSE(CONTROL!$C$42, 8.3657, 8.3657) * CHOOSE(CONTROL!$C$21, $C$9, 100%, $E$9)</f>
        <v>8.3657000000000004</v>
      </c>
      <c r="C221" s="10">
        <f>CHOOSE(CONTROL!$C$42, 8.3736, 8.3736) * CHOOSE(CONTROL!$C$21, $C$9, 100%, $E$9)</f>
        <v>8.3735999999999997</v>
      </c>
      <c r="D221" s="10">
        <f>CHOOSE(CONTROL!$C$42, 8.5506, 8.5506) * CHOOSE(CONTROL!$C$21, $C$9, 100%, $E$9)</f>
        <v>8.5505999999999993</v>
      </c>
      <c r="E221" s="10">
        <f>CHOOSE(CONTROL!$C$42, 8.5817, 8.5817) * CHOOSE(CONTROL!$C$21, $C$9, 100%, $E$9)</f>
        <v>8.5816999999999997</v>
      </c>
      <c r="F221" s="10">
        <f>CHOOSE(CONTROL!$C$42, 8.329, 8.329)*CHOOSE(CONTROL!$C$21, $C$9, 100%, $E$9)</f>
        <v>8.3290000000000006</v>
      </c>
      <c r="G221" s="10">
        <f>CHOOSE(CONTROL!$C$42, 8.3455, 8.3455)*CHOOSE(CONTROL!$C$21, $C$9, 100%, $E$9)</f>
        <v>8.3454999999999995</v>
      </c>
      <c r="H221" s="10">
        <f>CHOOSE(CONTROL!$C$42, 8.5704, 8.5704) * CHOOSE(CONTROL!$C$21, $C$9, 100%, $E$9)</f>
        <v>8.5703999999999994</v>
      </c>
      <c r="I221" s="10">
        <f>CHOOSE(CONTROL!$C$42, 8.3503, 8.3503)* CHOOSE(CONTROL!$C$21, $C$9, 100%, $E$9)</f>
        <v>8.3503000000000007</v>
      </c>
      <c r="J221" s="10">
        <f>CHOOSE(CONTROL!$C$42, 8.322, 8.322)* CHOOSE(CONTROL!$C$21, $C$9, 100%, $E$9)</f>
        <v>8.3219999999999992</v>
      </c>
      <c r="K221" s="10">
        <f>CHOOSE(CONTROL!$C$42, 8.2475, 8.2475) * CHOOSE(CONTROL!$C$21, $C$9, 100%, $E$9)</f>
        <v>8.2475000000000005</v>
      </c>
      <c r="L221" s="10">
        <f>CHOOSE(CONTROL!$C$42, 9.1574, 9.1574) * CHOOSE(CONTROL!$C$21, $C$9, 100%, $E$9)</f>
        <v>9.1574000000000009</v>
      </c>
      <c r="M221" s="10">
        <f>CHOOSE(CONTROL!$C$42, 8.2519, 8.2519) * CHOOSE(CONTROL!$C$21, $C$9, 100%, $E$9)</f>
        <v>8.2518999999999991</v>
      </c>
      <c r="N221" s="10">
        <f>CHOOSE(CONTROL!$C$42, 8.2682, 8.2682) * CHOOSE(CONTROL!$C$21, $C$9, 100%, $E$9)</f>
        <v>8.2682000000000002</v>
      </c>
      <c r="O221" s="10">
        <f>CHOOSE(CONTROL!$C$42, 8.4977, 8.4977) * CHOOSE(CONTROL!$C$21, $C$9, 100%, $E$9)</f>
        <v>8.4977</v>
      </c>
      <c r="P221" s="10">
        <f>CHOOSE(CONTROL!$C$42, 8.2799, 8.2799) * CHOOSE(CONTROL!$C$21, $C$9, 100%, $E$9)</f>
        <v>8.2798999999999996</v>
      </c>
      <c r="Q221" s="10">
        <f>CHOOSE(CONTROL!$C$42, 9.093, 9.093) * CHOOSE(CONTROL!$C$21, $C$9, 100%, $E$9)</f>
        <v>9.093</v>
      </c>
      <c r="R221" s="10">
        <f>CHOOSE(CONTROL!$C$42, 9.7027, 9.7027) * CHOOSE(CONTROL!$C$21, $C$9, 100%, $E$9)</f>
        <v>9.7027000000000001</v>
      </c>
      <c r="S221" s="10">
        <f>CHOOSE(CONTROL!$C$42, 8.1197, 8.1197) * CHOOSE(CONTROL!$C$21, $C$9, 100%, $E$9)</f>
        <v>8.1196999999999999</v>
      </c>
      <c r="T2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38">
        <f>(1000*CHOOSE(CONTROL!$C$42, 695, 695)*CHOOSE(CONTROL!$C$42, 0.5599, 0.5599)*CHOOSE(CONTROL!$C$42, 31, 31))/1000000</f>
        <v>12.063045499999998</v>
      </c>
      <c r="V221" s="38">
        <f>(1000*CHOOSE(CONTROL!$C$42, 500, 500)*CHOOSE(CONTROL!$C$42, 0.275, 0.275)*CHOOSE(CONTROL!$C$42, 31, 31))/1000000</f>
        <v>4.2625000000000002</v>
      </c>
      <c r="W221" s="38">
        <f>(1000*CHOOSE(CONTROL!$C$42, 0.1146, 0.1146)*CHOOSE(CONTROL!$C$42, 121.5, 121.5)*CHOOSE(CONTROL!$C$42, 31, 31))/1000000</f>
        <v>0.43164089999999994</v>
      </c>
      <c r="X221" s="38">
        <f>(31*0.1790888*245000/1000000)+(31*0.2374*100000/1000000)</f>
        <v>2.0961194359999999</v>
      </c>
      <c r="Y221" s="38">
        <f>(1000*600*CHOOSE(CONTROL!$C$42, 1.6681, 1.6681)*CHOOSE(CONTROL!$C$42, 31, 31))/1000000</f>
        <v>31.02666</v>
      </c>
      <c r="Z221" s="38"/>
      <c r="AA221" s="10"/>
      <c r="AB221" s="39"/>
      <c r="AC221" s="33">
        <f>(B221*194.205+C221*267.466+D221*133.845+E221*53.484+F221*40+G221*185+H221*0+I221*100+J221*300)/(194.205+267.466+133.845+53.484+0+40+185+100+300)</f>
        <v>8.3802670846938767</v>
      </c>
      <c r="AD221" s="27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8.3286467625899281</v>
      </c>
    </row>
    <row r="222" spans="1:30" ht="15" x14ac:dyDescent="0.2">
      <c r="A222" s="16">
        <v>48000</v>
      </c>
      <c r="B222" s="10">
        <f>CHOOSE(CONTROL!$C$42, 8.6028, 8.6028) * CHOOSE(CONTROL!$C$21, $C$9, 100%, $E$9)</f>
        <v>8.6028000000000002</v>
      </c>
      <c r="C222" s="10">
        <f>CHOOSE(CONTROL!$C$42, 8.6107, 8.6107) * CHOOSE(CONTROL!$C$21, $C$9, 100%, $E$9)</f>
        <v>8.6106999999999996</v>
      </c>
      <c r="D222" s="10">
        <f>CHOOSE(CONTROL!$C$42, 8.7877, 8.7877) * CHOOSE(CONTROL!$C$21, $C$9, 100%, $E$9)</f>
        <v>8.7876999999999992</v>
      </c>
      <c r="E222" s="10">
        <f>CHOOSE(CONTROL!$C$42, 8.8189, 8.8189) * CHOOSE(CONTROL!$C$21, $C$9, 100%, $E$9)</f>
        <v>8.8188999999999993</v>
      </c>
      <c r="F222" s="10">
        <f>CHOOSE(CONTROL!$C$42, 8.5664, 8.5664)*CHOOSE(CONTROL!$C$21, $C$9, 100%, $E$9)</f>
        <v>8.5663999999999998</v>
      </c>
      <c r="G222" s="10">
        <f>CHOOSE(CONTROL!$C$42, 8.5829, 8.5829)*CHOOSE(CONTROL!$C$21, $C$9, 100%, $E$9)</f>
        <v>8.5829000000000004</v>
      </c>
      <c r="H222" s="10">
        <f>CHOOSE(CONTROL!$C$42, 8.8075, 8.8075) * CHOOSE(CONTROL!$C$21, $C$9, 100%, $E$9)</f>
        <v>8.8074999999999992</v>
      </c>
      <c r="I222" s="10">
        <f>CHOOSE(CONTROL!$C$42, 8.5874, 8.5874)* CHOOSE(CONTROL!$C$21, $C$9, 100%, $E$9)</f>
        <v>8.5874000000000006</v>
      </c>
      <c r="J222" s="10">
        <f>CHOOSE(CONTROL!$C$42, 8.5594, 8.5594)* CHOOSE(CONTROL!$C$21, $C$9, 100%, $E$9)</f>
        <v>8.5594000000000001</v>
      </c>
      <c r="K222" s="10">
        <f>CHOOSE(CONTROL!$C$42, 8.4782, 8.4782) * CHOOSE(CONTROL!$C$21, $C$9, 100%, $E$9)</f>
        <v>8.4781999999999993</v>
      </c>
      <c r="L222" s="10">
        <f>CHOOSE(CONTROL!$C$42, 9.3945, 9.3945) * CHOOSE(CONTROL!$C$21, $C$9, 100%, $E$9)</f>
        <v>9.3945000000000007</v>
      </c>
      <c r="M222" s="10">
        <f>CHOOSE(CONTROL!$C$42, 8.4868, 8.4868) * CHOOSE(CONTROL!$C$21, $C$9, 100%, $E$9)</f>
        <v>8.4868000000000006</v>
      </c>
      <c r="N222" s="10">
        <f>CHOOSE(CONTROL!$C$42, 8.5032, 8.5032) * CHOOSE(CONTROL!$C$21, $C$9, 100%, $E$9)</f>
        <v>8.5031999999999996</v>
      </c>
      <c r="O222" s="10">
        <f>CHOOSE(CONTROL!$C$42, 8.7324, 8.7324) * CHOOSE(CONTROL!$C$21, $C$9, 100%, $E$9)</f>
        <v>8.7324000000000002</v>
      </c>
      <c r="P222" s="10">
        <f>CHOOSE(CONTROL!$C$42, 8.5146, 8.5146) * CHOOSE(CONTROL!$C$21, $C$9, 100%, $E$9)</f>
        <v>8.5145999999999997</v>
      </c>
      <c r="Q222" s="10">
        <f>CHOOSE(CONTROL!$C$42, 9.3277, 9.3277) * CHOOSE(CONTROL!$C$21, $C$9, 100%, $E$9)</f>
        <v>9.3277000000000001</v>
      </c>
      <c r="R222" s="10">
        <f>CHOOSE(CONTROL!$C$42, 9.9381, 9.9381) * CHOOSE(CONTROL!$C$21, $C$9, 100%, $E$9)</f>
        <v>9.9381000000000004</v>
      </c>
      <c r="S222" s="10">
        <f>CHOOSE(CONTROL!$C$42, 8.35, 8.35) * CHOOSE(CONTROL!$C$21, $C$9, 100%, $E$9)</f>
        <v>8.35</v>
      </c>
      <c r="T2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38">
        <f>(1000*CHOOSE(CONTROL!$C$42, 695, 695)*CHOOSE(CONTROL!$C$42, 0.5599, 0.5599)*CHOOSE(CONTROL!$C$42, 30, 30))/1000000</f>
        <v>11.673914999999997</v>
      </c>
      <c r="V222" s="38">
        <f>(1000*CHOOSE(CONTROL!$C$42, 500, 500)*CHOOSE(CONTROL!$C$42, 0.275, 0.275)*CHOOSE(CONTROL!$C$42, 30, 30))/1000000</f>
        <v>4.125</v>
      </c>
      <c r="W222" s="38">
        <f>(1000*CHOOSE(CONTROL!$C$42, 0.1146, 0.1146)*CHOOSE(CONTROL!$C$42, 121.5, 121.5)*CHOOSE(CONTROL!$C$42, 30, 30))/1000000</f>
        <v>0.417717</v>
      </c>
      <c r="X222" s="38">
        <f>(30*0.1790888*245000/1000000)+(30*0.2374*100000/1000000)</f>
        <v>2.0285026799999999</v>
      </c>
      <c r="Y222" s="38">
        <f>(1000*600*CHOOSE(CONTROL!$C$42, 1.6681, 1.6681)*CHOOSE(CONTROL!$C$42, 30, 30))/1000000</f>
        <v>30.0258</v>
      </c>
      <c r="Z222" s="38"/>
      <c r="AA222" s="10"/>
      <c r="AB222" s="39"/>
      <c r="AC222" s="33">
        <f>(B222*194.205+C222*267.466+D222*133.845+E222*53.484+F222*40+G222*185+H222*0+I222*100+J222*300)/(194.205+267.466+133.845+53.484+0+40+185+100+300)</f>
        <v>8.617494909183673</v>
      </c>
      <c r="AD222" s="27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8.5634848920863309</v>
      </c>
    </row>
    <row r="223" spans="1:30" ht="15" x14ac:dyDescent="0.2">
      <c r="A223" s="16">
        <v>48030</v>
      </c>
      <c r="B223" s="10">
        <f>CHOOSE(CONTROL!$C$42, 8.4379, 8.4379) * CHOOSE(CONTROL!$C$21, $C$9, 100%, $E$9)</f>
        <v>8.4379000000000008</v>
      </c>
      <c r="C223" s="10">
        <f>CHOOSE(CONTROL!$C$42, 8.4458, 8.4458) * CHOOSE(CONTROL!$C$21, $C$9, 100%, $E$9)</f>
        <v>8.4458000000000002</v>
      </c>
      <c r="D223" s="10">
        <f>CHOOSE(CONTROL!$C$42, 8.6228, 8.6228) * CHOOSE(CONTROL!$C$21, $C$9, 100%, $E$9)</f>
        <v>8.6227999999999998</v>
      </c>
      <c r="E223" s="10">
        <f>CHOOSE(CONTROL!$C$42, 8.6539, 8.6539) * CHOOSE(CONTROL!$C$21, $C$9, 100%, $E$9)</f>
        <v>8.6539000000000001</v>
      </c>
      <c r="F223" s="10">
        <f>CHOOSE(CONTROL!$C$42, 8.4017, 8.4017)*CHOOSE(CONTROL!$C$21, $C$9, 100%, $E$9)</f>
        <v>8.4016999999999999</v>
      </c>
      <c r="G223" s="10">
        <f>CHOOSE(CONTROL!$C$42, 8.4183, 8.4183)*CHOOSE(CONTROL!$C$21, $C$9, 100%, $E$9)</f>
        <v>8.4183000000000003</v>
      </c>
      <c r="H223" s="10">
        <f>CHOOSE(CONTROL!$C$42, 8.6426, 8.6426) * CHOOSE(CONTROL!$C$21, $C$9, 100%, $E$9)</f>
        <v>8.6425999999999998</v>
      </c>
      <c r="I223" s="10">
        <f>CHOOSE(CONTROL!$C$42, 8.4225, 8.4225)* CHOOSE(CONTROL!$C$21, $C$9, 100%, $E$9)</f>
        <v>8.4224999999999994</v>
      </c>
      <c r="J223" s="10">
        <f>CHOOSE(CONTROL!$C$42, 8.3947, 8.3947)* CHOOSE(CONTROL!$C$21, $C$9, 100%, $E$9)</f>
        <v>8.3947000000000003</v>
      </c>
      <c r="K223" s="10">
        <f>CHOOSE(CONTROL!$C$42, 8.3185, 8.3185) * CHOOSE(CONTROL!$C$21, $C$9, 100%, $E$9)</f>
        <v>8.3185000000000002</v>
      </c>
      <c r="L223" s="10">
        <f>CHOOSE(CONTROL!$C$42, 9.2296, 9.2296) * CHOOSE(CONTROL!$C$21, $C$9, 100%, $E$9)</f>
        <v>9.2295999999999996</v>
      </c>
      <c r="M223" s="10">
        <f>CHOOSE(CONTROL!$C$42, 8.3238, 8.3238) * CHOOSE(CONTROL!$C$21, $C$9, 100%, $E$9)</f>
        <v>8.3238000000000003</v>
      </c>
      <c r="N223" s="10">
        <f>CHOOSE(CONTROL!$C$42, 8.3402, 8.3402) * CHOOSE(CONTROL!$C$21, $C$9, 100%, $E$9)</f>
        <v>8.3401999999999994</v>
      </c>
      <c r="O223" s="10">
        <f>CHOOSE(CONTROL!$C$42, 8.5692, 8.5692) * CHOOSE(CONTROL!$C$21, $C$9, 100%, $E$9)</f>
        <v>8.5692000000000004</v>
      </c>
      <c r="P223" s="10">
        <f>CHOOSE(CONTROL!$C$42, 8.3513, 8.3513) * CHOOSE(CONTROL!$C$21, $C$9, 100%, $E$9)</f>
        <v>8.3513000000000002</v>
      </c>
      <c r="Q223" s="10">
        <f>CHOOSE(CONTROL!$C$42, 9.1645, 9.1645) * CHOOSE(CONTROL!$C$21, $C$9, 100%, $E$9)</f>
        <v>9.1645000000000003</v>
      </c>
      <c r="R223" s="10">
        <f>CHOOSE(CONTROL!$C$42, 9.7744, 9.7744) * CHOOSE(CONTROL!$C$21, $C$9, 100%, $E$9)</f>
        <v>9.7744</v>
      </c>
      <c r="S223" s="10">
        <f>CHOOSE(CONTROL!$C$42, 8.1898, 8.1898) * CHOOSE(CONTROL!$C$21, $C$9, 100%, $E$9)</f>
        <v>8.1898</v>
      </c>
      <c r="T2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38">
        <f>(1000*CHOOSE(CONTROL!$C$42, 695, 695)*CHOOSE(CONTROL!$C$42, 0.5599, 0.5599)*CHOOSE(CONTROL!$C$42, 31, 31))/1000000</f>
        <v>12.063045499999998</v>
      </c>
      <c r="V223" s="38">
        <f>(1000*CHOOSE(CONTROL!$C$42, 500, 500)*CHOOSE(CONTROL!$C$42, 0.275, 0.275)*CHOOSE(CONTROL!$C$42, 31, 31))/1000000</f>
        <v>4.2625000000000002</v>
      </c>
      <c r="W223" s="38">
        <f>(1000*CHOOSE(CONTROL!$C$42, 0.1146, 0.1146)*CHOOSE(CONTROL!$C$42, 121.5, 121.5)*CHOOSE(CONTROL!$C$42, 31, 31))/1000000</f>
        <v>0.43164089999999994</v>
      </c>
      <c r="X223" s="38">
        <f>(31*0.1790888*245000/1000000)+(31*0.2374*100000/1000000)</f>
        <v>2.0961194359999999</v>
      </c>
      <c r="Y223" s="38">
        <f>(1000*600*CHOOSE(CONTROL!$C$42, 1.6681, 1.6681)*CHOOSE(CONTROL!$C$42, 31, 31))/1000000</f>
        <v>31.02666</v>
      </c>
      <c r="Z223" s="38"/>
      <c r="AA223" s="10"/>
      <c r="AB223" s="39"/>
      <c r="AC223" s="33">
        <f>(B223*194.205+C223*267.466+D223*133.845+E223*53.484+F223*40+G223*185+H223*0+I223*100+J223*300)/(194.205+267.466+133.845+53.484+0+40+185+100+300)</f>
        <v>8.4526876498430159</v>
      </c>
      <c r="AD223" s="27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8.4003856115107922</v>
      </c>
    </row>
    <row r="224" spans="1:30" ht="15" x14ac:dyDescent="0.2">
      <c r="A224" s="16">
        <v>48061</v>
      </c>
      <c r="B224" s="10">
        <f>CHOOSE(CONTROL!$C$42, 8.0214, 8.0214) * CHOOSE(CONTROL!$C$21, $C$9, 100%, $E$9)</f>
        <v>8.0213999999999999</v>
      </c>
      <c r="C224" s="10">
        <f>CHOOSE(CONTROL!$C$42, 8.0293, 8.0293) * CHOOSE(CONTROL!$C$21, $C$9, 100%, $E$9)</f>
        <v>8.0292999999999992</v>
      </c>
      <c r="D224" s="10">
        <f>CHOOSE(CONTROL!$C$42, 8.2063, 8.2063) * CHOOSE(CONTROL!$C$21, $C$9, 100%, $E$9)</f>
        <v>8.2063000000000006</v>
      </c>
      <c r="E224" s="10">
        <f>CHOOSE(CONTROL!$C$42, 8.2374, 8.2374) * CHOOSE(CONTROL!$C$21, $C$9, 100%, $E$9)</f>
        <v>8.2373999999999992</v>
      </c>
      <c r="F224" s="10">
        <f>CHOOSE(CONTROL!$C$42, 7.9852, 7.9852)*CHOOSE(CONTROL!$C$21, $C$9, 100%, $E$9)</f>
        <v>7.9851999999999999</v>
      </c>
      <c r="G224" s="10">
        <f>CHOOSE(CONTROL!$C$42, 8.0018, 8.0018)*CHOOSE(CONTROL!$C$21, $C$9, 100%, $E$9)</f>
        <v>8.0017999999999994</v>
      </c>
      <c r="H224" s="10">
        <f>CHOOSE(CONTROL!$C$42, 8.226, 8.226) * CHOOSE(CONTROL!$C$21, $C$9, 100%, $E$9)</f>
        <v>8.2260000000000009</v>
      </c>
      <c r="I224" s="10">
        <f>CHOOSE(CONTROL!$C$42, 8.006, 8.006)* CHOOSE(CONTROL!$C$21, $C$9, 100%, $E$9)</f>
        <v>8.0060000000000002</v>
      </c>
      <c r="J224" s="10">
        <f>CHOOSE(CONTROL!$C$42, 7.9782, 7.9782)* CHOOSE(CONTROL!$C$21, $C$9, 100%, $E$9)</f>
        <v>7.9782000000000002</v>
      </c>
      <c r="K224" s="10">
        <f>CHOOSE(CONTROL!$C$42, 7.914, 7.914) * CHOOSE(CONTROL!$C$21, $C$9, 100%, $E$9)</f>
        <v>7.9139999999999997</v>
      </c>
      <c r="L224" s="10">
        <f>CHOOSE(CONTROL!$C$42, 8.813, 8.813) * CHOOSE(CONTROL!$C$21, $C$9, 100%, $E$9)</f>
        <v>8.8130000000000006</v>
      </c>
      <c r="M224" s="10">
        <f>CHOOSE(CONTROL!$C$42, 7.9115, 7.9115) * CHOOSE(CONTROL!$C$21, $C$9, 100%, $E$9)</f>
        <v>7.9115000000000002</v>
      </c>
      <c r="N224" s="10">
        <f>CHOOSE(CONTROL!$C$42, 7.928, 7.928) * CHOOSE(CONTROL!$C$21, $C$9, 100%, $E$9)</f>
        <v>7.9279999999999999</v>
      </c>
      <c r="O224" s="10">
        <f>CHOOSE(CONTROL!$C$42, 8.1569, 8.1569) * CHOOSE(CONTROL!$C$21, $C$9, 100%, $E$9)</f>
        <v>8.1569000000000003</v>
      </c>
      <c r="P224" s="10">
        <f>CHOOSE(CONTROL!$C$42, 7.939, 7.939) * CHOOSE(CONTROL!$C$21, $C$9, 100%, $E$9)</f>
        <v>7.9390000000000001</v>
      </c>
      <c r="Q224" s="10">
        <f>CHOOSE(CONTROL!$C$42, 8.7522, 8.7522) * CHOOSE(CONTROL!$C$21, $C$9, 100%, $E$9)</f>
        <v>8.7522000000000002</v>
      </c>
      <c r="R224" s="10">
        <f>CHOOSE(CONTROL!$C$42, 9.361, 9.361) * CHOOSE(CONTROL!$C$21, $C$9, 100%, $E$9)</f>
        <v>9.3610000000000007</v>
      </c>
      <c r="S224" s="10">
        <f>CHOOSE(CONTROL!$C$42, 7.7853, 7.7853) * CHOOSE(CONTROL!$C$21, $C$9, 100%, $E$9)</f>
        <v>7.7853000000000003</v>
      </c>
      <c r="T2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38">
        <f>(1000*CHOOSE(CONTROL!$C$42, 695, 695)*CHOOSE(CONTROL!$C$42, 0.5599, 0.5599)*CHOOSE(CONTROL!$C$42, 31, 31))/1000000</f>
        <v>12.063045499999998</v>
      </c>
      <c r="V224" s="38">
        <f>(1000*CHOOSE(CONTROL!$C$42, 500, 500)*CHOOSE(CONTROL!$C$42, 0.275, 0.275)*CHOOSE(CONTROL!$C$42, 31, 31))/1000000</f>
        <v>4.2625000000000002</v>
      </c>
      <c r="W224" s="38">
        <f>(1000*CHOOSE(CONTROL!$C$42, 0.1146, 0.1146)*CHOOSE(CONTROL!$C$42, 121.5, 121.5)*CHOOSE(CONTROL!$C$42, 31, 31))/1000000</f>
        <v>0.43164089999999994</v>
      </c>
      <c r="X224" s="38">
        <f>(31*0.1790888*245000/1000000)+(31*0.2374*100000/1000000)</f>
        <v>2.0961194359999999</v>
      </c>
      <c r="Y224" s="38">
        <f>(1000*600*CHOOSE(CONTROL!$C$42, 1.6681, 1.6681)*CHOOSE(CONTROL!$C$42, 31, 31))/1000000</f>
        <v>31.02666</v>
      </c>
      <c r="Z224" s="38"/>
      <c r="AA224" s="10"/>
      <c r="AB224" s="39"/>
      <c r="AC224" s="33">
        <f>(B224*194.205+C224*267.466+D224*133.845+E224*53.484+F224*40+G224*185+H224*0+I224*100+J224*300)/(194.205+267.466+133.845+53.484+0+40+185+100+300)</f>
        <v>8.0361876498430131</v>
      </c>
      <c r="AD224" s="27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7.9881086330935247</v>
      </c>
    </row>
    <row r="225" spans="1:30" ht="15" x14ac:dyDescent="0.2">
      <c r="A225" s="16">
        <v>48092</v>
      </c>
      <c r="B225" s="10">
        <f>CHOOSE(CONTROL!$C$42, 7.5125, 7.5125) * CHOOSE(CONTROL!$C$21, $C$9, 100%, $E$9)</f>
        <v>7.5125000000000002</v>
      </c>
      <c r="C225" s="10">
        <f>CHOOSE(CONTROL!$C$42, 7.5204, 7.5204) * CHOOSE(CONTROL!$C$21, $C$9, 100%, $E$9)</f>
        <v>7.5204000000000004</v>
      </c>
      <c r="D225" s="10">
        <f>CHOOSE(CONTROL!$C$42, 7.6974, 7.6974) * CHOOSE(CONTROL!$C$21, $C$9, 100%, $E$9)</f>
        <v>7.6974</v>
      </c>
      <c r="E225" s="10">
        <f>CHOOSE(CONTROL!$C$42, 7.7285, 7.7285) * CHOOSE(CONTROL!$C$21, $C$9, 100%, $E$9)</f>
        <v>7.7285000000000004</v>
      </c>
      <c r="F225" s="10">
        <f>CHOOSE(CONTROL!$C$42, 7.476, 7.476)*CHOOSE(CONTROL!$C$21, $C$9, 100%, $E$9)</f>
        <v>7.476</v>
      </c>
      <c r="G225" s="10">
        <f>CHOOSE(CONTROL!$C$42, 7.4926, 7.4926)*CHOOSE(CONTROL!$C$21, $C$9, 100%, $E$9)</f>
        <v>7.4926000000000004</v>
      </c>
      <c r="H225" s="10">
        <f>CHOOSE(CONTROL!$C$42, 7.7171, 7.7171) * CHOOSE(CONTROL!$C$21, $C$9, 100%, $E$9)</f>
        <v>7.7171000000000003</v>
      </c>
      <c r="I225" s="10">
        <f>CHOOSE(CONTROL!$C$42, 7.4971, 7.4971)* CHOOSE(CONTROL!$C$21, $C$9, 100%, $E$9)</f>
        <v>7.4970999999999997</v>
      </c>
      <c r="J225" s="10">
        <f>CHOOSE(CONTROL!$C$42, 7.469, 7.469)* CHOOSE(CONTROL!$C$21, $C$9, 100%, $E$9)</f>
        <v>7.4690000000000003</v>
      </c>
      <c r="K225" s="10">
        <f>CHOOSE(CONTROL!$C$42, 7.419, 7.419) * CHOOSE(CONTROL!$C$21, $C$9, 100%, $E$9)</f>
        <v>7.4189999999999996</v>
      </c>
      <c r="L225" s="10">
        <f>CHOOSE(CONTROL!$C$42, 8.3041, 8.3041) * CHOOSE(CONTROL!$C$21, $C$9, 100%, $E$9)</f>
        <v>8.3041</v>
      </c>
      <c r="M225" s="10">
        <f>CHOOSE(CONTROL!$C$42, 7.4075, 7.4075) * CHOOSE(CONTROL!$C$21, $C$9, 100%, $E$9)</f>
        <v>7.4074999999999998</v>
      </c>
      <c r="N225" s="10">
        <f>CHOOSE(CONTROL!$C$42, 7.4239, 7.4239) * CHOOSE(CONTROL!$C$21, $C$9, 100%, $E$9)</f>
        <v>7.4238999999999997</v>
      </c>
      <c r="O225" s="10">
        <f>CHOOSE(CONTROL!$C$42, 7.6531, 7.6531) * CHOOSE(CONTROL!$C$21, $C$9, 100%, $E$9)</f>
        <v>7.6531000000000002</v>
      </c>
      <c r="P225" s="10">
        <f>CHOOSE(CONTROL!$C$42, 7.4353, 7.4353) * CHOOSE(CONTROL!$C$21, $C$9, 100%, $E$9)</f>
        <v>7.4352999999999998</v>
      </c>
      <c r="Q225" s="10">
        <f>CHOOSE(CONTROL!$C$42, 8.2484, 8.2484) * CHOOSE(CONTROL!$C$21, $C$9, 100%, $E$9)</f>
        <v>8.2484000000000002</v>
      </c>
      <c r="R225" s="10">
        <f>CHOOSE(CONTROL!$C$42, 8.856, 8.856) * CHOOSE(CONTROL!$C$21, $C$9, 100%, $E$9)</f>
        <v>8.8559999999999999</v>
      </c>
      <c r="S225" s="10">
        <f>CHOOSE(CONTROL!$C$42, 7.2911, 7.2911) * CHOOSE(CONTROL!$C$21, $C$9, 100%, $E$9)</f>
        <v>7.2911000000000001</v>
      </c>
      <c r="T2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38">
        <f>(1000*CHOOSE(CONTROL!$C$42, 695, 695)*CHOOSE(CONTROL!$C$42, 0.5599, 0.5599)*CHOOSE(CONTROL!$C$42, 30, 30))/1000000</f>
        <v>11.673914999999997</v>
      </c>
      <c r="V225" s="38">
        <f>(1000*CHOOSE(CONTROL!$C$42, 500, 500)*CHOOSE(CONTROL!$C$42, 0.275, 0.275)*CHOOSE(CONTROL!$C$42, 30, 30))/1000000</f>
        <v>4.125</v>
      </c>
      <c r="W225" s="38">
        <f>(1000*CHOOSE(CONTROL!$C$42, 0.1146, 0.1146)*CHOOSE(CONTROL!$C$42, 121.5, 121.5)*CHOOSE(CONTROL!$C$42, 30, 30))/1000000</f>
        <v>0.417717</v>
      </c>
      <c r="X225" s="38">
        <f>(30*0.1790888*245000/1000000)+(30*0.2374*100000/1000000)</f>
        <v>2.0285026799999999</v>
      </c>
      <c r="Y225" s="38">
        <f>(1000*600*CHOOSE(CONTROL!$C$42, 1.6681, 1.6681)*CHOOSE(CONTROL!$C$42, 30, 30))/1000000</f>
        <v>30.0258</v>
      </c>
      <c r="Z225" s="38"/>
      <c r="AA225" s="10"/>
      <c r="AB225" s="39"/>
      <c r="AC225" s="33">
        <f>(B225*194.205+C225*267.466+D225*133.845+E225*53.484+F225*40+G225*185+H225*0+I225*100+J225*300)/(194.205+267.466+133.845+53.484+0+40+185+100+300)</f>
        <v>7.5271640234693882</v>
      </c>
      <c r="AD225" s="27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7.484184892086331</v>
      </c>
    </row>
    <row r="226" spans="1:30" ht="15" x14ac:dyDescent="0.2">
      <c r="A226" s="16">
        <v>48122</v>
      </c>
      <c r="B226" s="10">
        <f>CHOOSE(CONTROL!$C$42, 7.3579, 7.3579) * CHOOSE(CONTROL!$C$21, $C$9, 100%, $E$9)</f>
        <v>7.3578999999999999</v>
      </c>
      <c r="C226" s="10">
        <f>CHOOSE(CONTROL!$C$42, 7.3631, 7.3631) * CHOOSE(CONTROL!$C$21, $C$9, 100%, $E$9)</f>
        <v>7.3631000000000002</v>
      </c>
      <c r="D226" s="10">
        <f>CHOOSE(CONTROL!$C$42, 7.5451, 7.5451) * CHOOSE(CONTROL!$C$21, $C$9, 100%, $E$9)</f>
        <v>7.5450999999999997</v>
      </c>
      <c r="E226" s="10">
        <f>CHOOSE(CONTROL!$C$42, 7.5739, 7.5739) * CHOOSE(CONTROL!$C$21, $C$9, 100%, $E$9)</f>
        <v>7.5739000000000001</v>
      </c>
      <c r="F226" s="10">
        <f>CHOOSE(CONTROL!$C$42, 7.3235, 7.3235)*CHOOSE(CONTROL!$C$21, $C$9, 100%, $E$9)</f>
        <v>7.3235000000000001</v>
      </c>
      <c r="G226" s="10">
        <f>CHOOSE(CONTROL!$C$42, 7.3397, 7.3397)*CHOOSE(CONTROL!$C$21, $C$9, 100%, $E$9)</f>
        <v>7.3396999999999997</v>
      </c>
      <c r="H226" s="10">
        <f>CHOOSE(CONTROL!$C$42, 7.5643, 7.5643) * CHOOSE(CONTROL!$C$21, $C$9, 100%, $E$9)</f>
        <v>7.5643000000000002</v>
      </c>
      <c r="I226" s="10">
        <f>CHOOSE(CONTROL!$C$42, 7.3442, 7.3442)* CHOOSE(CONTROL!$C$21, $C$9, 100%, $E$9)</f>
        <v>7.3441999999999998</v>
      </c>
      <c r="J226" s="10">
        <f>CHOOSE(CONTROL!$C$42, 7.3165, 7.3165)* CHOOSE(CONTROL!$C$21, $C$9, 100%, $E$9)</f>
        <v>7.3164999999999996</v>
      </c>
      <c r="K226" s="10">
        <f>CHOOSE(CONTROL!$C$42, 7.2711, 7.2711) * CHOOSE(CONTROL!$C$21, $C$9, 100%, $E$9)</f>
        <v>7.2710999999999997</v>
      </c>
      <c r="L226" s="10">
        <f>CHOOSE(CONTROL!$C$42, 8.1513, 8.1513) * CHOOSE(CONTROL!$C$21, $C$9, 100%, $E$9)</f>
        <v>8.1513000000000009</v>
      </c>
      <c r="M226" s="10">
        <f>CHOOSE(CONTROL!$C$42, 7.2565, 7.2565) * CHOOSE(CONTROL!$C$21, $C$9, 100%, $E$9)</f>
        <v>7.2565</v>
      </c>
      <c r="N226" s="10">
        <f>CHOOSE(CONTROL!$C$42, 7.2726, 7.2726) * CHOOSE(CONTROL!$C$21, $C$9, 100%, $E$9)</f>
        <v>7.2725999999999997</v>
      </c>
      <c r="O226" s="10">
        <f>CHOOSE(CONTROL!$C$42, 7.5018, 7.5018) * CHOOSE(CONTROL!$C$21, $C$9, 100%, $E$9)</f>
        <v>7.5018000000000002</v>
      </c>
      <c r="P226" s="10">
        <f>CHOOSE(CONTROL!$C$42, 7.284, 7.284) * CHOOSE(CONTROL!$C$21, $C$9, 100%, $E$9)</f>
        <v>7.2839999999999998</v>
      </c>
      <c r="Q226" s="10">
        <f>CHOOSE(CONTROL!$C$42, 8.0971, 8.0971) * CHOOSE(CONTROL!$C$21, $C$9, 100%, $E$9)</f>
        <v>8.0970999999999993</v>
      </c>
      <c r="R226" s="10">
        <f>CHOOSE(CONTROL!$C$42, 8.7044, 8.7044) * CHOOSE(CONTROL!$C$21, $C$9, 100%, $E$9)</f>
        <v>8.7043999999999997</v>
      </c>
      <c r="S226" s="10">
        <f>CHOOSE(CONTROL!$C$42, 7.1427, 7.1427) * CHOOSE(CONTROL!$C$21, $C$9, 100%, $E$9)</f>
        <v>7.1426999999999996</v>
      </c>
      <c r="T2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38">
        <f>(1000*CHOOSE(CONTROL!$C$42, 695, 695)*CHOOSE(CONTROL!$C$42, 0.5599, 0.5599)*CHOOSE(CONTROL!$C$42, 31, 31))/1000000</f>
        <v>12.063045499999998</v>
      </c>
      <c r="V226" s="38">
        <f>(1000*CHOOSE(CONTROL!$C$42, 500, 500)*CHOOSE(CONTROL!$C$42, 0.275, 0.275)*CHOOSE(CONTROL!$C$42, 31, 31))/1000000</f>
        <v>4.2625000000000002</v>
      </c>
      <c r="W226" s="38">
        <f>(1000*CHOOSE(CONTROL!$C$42, 0.1146, 0.1146)*CHOOSE(CONTROL!$C$42, 121.5, 121.5)*CHOOSE(CONTROL!$C$42, 31, 31))/1000000</f>
        <v>0.43164089999999994</v>
      </c>
      <c r="X226" s="38">
        <f>(31*0.1790888*245000/1000000)+(31*0.2374*100000/1000000)</f>
        <v>2.0961194359999999</v>
      </c>
      <c r="Y226" s="38">
        <f>(1000*600*CHOOSE(CONTROL!$C$42, 1.6681, 1.6681)*CHOOSE(CONTROL!$C$42, 31, 31))/1000000</f>
        <v>31.02666</v>
      </c>
      <c r="Z226" s="38"/>
      <c r="AA226" s="10"/>
      <c r="AB226" s="39"/>
      <c r="AC226" s="33">
        <f>(B226*131.881+C226*277.167+D226*79.08+E226*125.872+F226*40+G226*185+H226*0+I226*100+J226*300)/(131.881+277.167+79.08+125.872+0+40+185+100+300)</f>
        <v>7.3779971722356734</v>
      </c>
      <c r="AD226" s="27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7.332988489208633</v>
      </c>
    </row>
    <row r="227" spans="1:30" ht="15" x14ac:dyDescent="0.2">
      <c r="A227" s="16">
        <v>48153</v>
      </c>
      <c r="B227" s="10">
        <f>CHOOSE(CONTROL!$C$42, 7.5512, 7.5512) * CHOOSE(CONTROL!$C$21, $C$9, 100%, $E$9)</f>
        <v>7.5511999999999997</v>
      </c>
      <c r="C227" s="10">
        <f>CHOOSE(CONTROL!$C$42, 7.5562, 7.5562) * CHOOSE(CONTROL!$C$21, $C$9, 100%, $E$9)</f>
        <v>7.5561999999999996</v>
      </c>
      <c r="D227" s="10">
        <f>CHOOSE(CONTROL!$C$42, 7.5806, 7.5806) * CHOOSE(CONTROL!$C$21, $C$9, 100%, $E$9)</f>
        <v>7.5805999999999996</v>
      </c>
      <c r="E227" s="10">
        <f>CHOOSE(CONTROL!$C$42, 7.6144, 7.6144) * CHOOSE(CONTROL!$C$21, $C$9, 100%, $E$9)</f>
        <v>7.6143999999999998</v>
      </c>
      <c r="F227" s="10">
        <f>CHOOSE(CONTROL!$C$42, 7.5206, 7.5206)*CHOOSE(CONTROL!$C$21, $C$9, 100%, $E$9)</f>
        <v>7.5206</v>
      </c>
      <c r="G227" s="10">
        <f>CHOOSE(CONTROL!$C$42, 7.537, 7.537)*CHOOSE(CONTROL!$C$21, $C$9, 100%, $E$9)</f>
        <v>7.5369999999999999</v>
      </c>
      <c r="H227" s="10">
        <f>CHOOSE(CONTROL!$C$42, 7.6036, 7.6036) * CHOOSE(CONTROL!$C$21, $C$9, 100%, $E$9)</f>
        <v>7.6036000000000001</v>
      </c>
      <c r="I227" s="10">
        <f>CHOOSE(CONTROL!$C$42, 7.538, 7.538)* CHOOSE(CONTROL!$C$21, $C$9, 100%, $E$9)</f>
        <v>7.5380000000000003</v>
      </c>
      <c r="J227" s="10">
        <f>CHOOSE(CONTROL!$C$42, 7.5136, 7.5136)* CHOOSE(CONTROL!$C$21, $C$9, 100%, $E$9)</f>
        <v>7.5136000000000003</v>
      </c>
      <c r="K227" s="10">
        <f>CHOOSE(CONTROL!$C$42, 7.4608, 7.4608) * CHOOSE(CONTROL!$C$21, $C$9, 100%, $E$9)</f>
        <v>7.4607999999999999</v>
      </c>
      <c r="L227" s="10">
        <f>CHOOSE(CONTROL!$C$42, 8.1906, 8.1906) * CHOOSE(CONTROL!$C$21, $C$9, 100%, $E$9)</f>
        <v>8.1905999999999999</v>
      </c>
      <c r="M227" s="10">
        <f>CHOOSE(CONTROL!$C$42, 7.4516, 7.4516) * CHOOSE(CONTROL!$C$21, $C$9, 100%, $E$9)</f>
        <v>7.4516</v>
      </c>
      <c r="N227" s="10">
        <f>CHOOSE(CONTROL!$C$42, 7.4678, 7.4678) * CHOOSE(CONTROL!$C$21, $C$9, 100%, $E$9)</f>
        <v>7.4678000000000004</v>
      </c>
      <c r="O227" s="10">
        <f>CHOOSE(CONTROL!$C$42, 7.5407, 7.5407) * CHOOSE(CONTROL!$C$21, $C$9, 100%, $E$9)</f>
        <v>7.5407000000000002</v>
      </c>
      <c r="P227" s="10">
        <f>CHOOSE(CONTROL!$C$42, 7.4758, 7.4758) * CHOOSE(CONTROL!$C$21, $C$9, 100%, $E$9)</f>
        <v>7.4757999999999996</v>
      </c>
      <c r="Q227" s="10">
        <f>CHOOSE(CONTROL!$C$42, 8.136, 8.136) * CHOOSE(CONTROL!$C$21, $C$9, 100%, $E$9)</f>
        <v>8.1359999999999992</v>
      </c>
      <c r="R227" s="10">
        <f>CHOOSE(CONTROL!$C$42, 8.7433, 8.7433) * CHOOSE(CONTROL!$C$21, $C$9, 100%, $E$9)</f>
        <v>8.7432999999999996</v>
      </c>
      <c r="S227" s="10">
        <f>CHOOSE(CONTROL!$C$42, 7.3309, 7.3309) * CHOOSE(CONTROL!$C$21, $C$9, 100%, $E$9)</f>
        <v>7.3308999999999997</v>
      </c>
      <c r="T2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38">
        <f>(1000*CHOOSE(CONTROL!$C$42, 695, 695)*CHOOSE(CONTROL!$C$42, 0.5599, 0.5599)*CHOOSE(CONTROL!$C$42, 30, 30))/1000000</f>
        <v>11.673914999999997</v>
      </c>
      <c r="V227" s="38">
        <f>(1000*CHOOSE(CONTROL!$C$42, 500, 500)*CHOOSE(CONTROL!$C$42, 0.275, 0.275)*CHOOSE(CONTROL!$C$42, 30, 30))/1000000</f>
        <v>4.125</v>
      </c>
      <c r="W227" s="38">
        <f>(1000*CHOOSE(CONTROL!$C$42, 0.1146, 0.1146)*CHOOSE(CONTROL!$C$42, 121.5, 121.5)*CHOOSE(CONTROL!$C$42, 30, 30))/1000000</f>
        <v>0.417717</v>
      </c>
      <c r="X227" s="38">
        <f>(30*0.1790888*100000/1000000)+(30*0.2374*100000/1000000)</f>
        <v>1.2494664</v>
      </c>
      <c r="Y227" s="38">
        <f>(1000*600*CHOOSE(CONTROL!$C$42, 1.6681, 1.6681)*CHOOSE(CONTROL!$C$42, 30, 30))/1000000</f>
        <v>30.0258</v>
      </c>
      <c r="Z227" s="38"/>
      <c r="AA227" s="10"/>
      <c r="AB227" s="39"/>
      <c r="AC227" s="33">
        <f>(B227*122.58+C227*297.941+D227*89.177+E227*40.302+F227*40+G227*160+H227*0+I227*100+J227*300)/(122.58+297.941+89.177+40.302+0+40+160+100+300)</f>
        <v>7.5429935610434766</v>
      </c>
      <c r="AD227" s="27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7.496397841726619</v>
      </c>
    </row>
    <row r="228" spans="1:30" ht="15" x14ac:dyDescent="0.2">
      <c r="A228" s="16">
        <v>48183</v>
      </c>
      <c r="B228" s="10">
        <f>CHOOSE(CONTROL!$C$42, 8.0659, 8.0659) * CHOOSE(CONTROL!$C$21, $C$9, 100%, $E$9)</f>
        <v>8.0658999999999992</v>
      </c>
      <c r="C228" s="10">
        <f>CHOOSE(CONTROL!$C$42, 8.0708, 8.0708) * CHOOSE(CONTROL!$C$21, $C$9, 100%, $E$9)</f>
        <v>8.0708000000000002</v>
      </c>
      <c r="D228" s="10">
        <f>CHOOSE(CONTROL!$C$42, 8.0953, 8.0953) * CHOOSE(CONTROL!$C$21, $C$9, 100%, $E$9)</f>
        <v>8.0952999999999999</v>
      </c>
      <c r="E228" s="10">
        <f>CHOOSE(CONTROL!$C$42, 8.1291, 8.1291) * CHOOSE(CONTROL!$C$21, $C$9, 100%, $E$9)</f>
        <v>8.1290999999999993</v>
      </c>
      <c r="F228" s="10">
        <f>CHOOSE(CONTROL!$C$42, 8.0375, 8.0375)*CHOOSE(CONTROL!$C$21, $C$9, 100%, $E$9)</f>
        <v>8.0374999999999996</v>
      </c>
      <c r="G228" s="10">
        <f>CHOOSE(CONTROL!$C$42, 8.0545, 8.0545)*CHOOSE(CONTROL!$C$21, $C$9, 100%, $E$9)</f>
        <v>8.0545000000000009</v>
      </c>
      <c r="H228" s="10">
        <f>CHOOSE(CONTROL!$C$42, 8.1182, 8.1182) * CHOOSE(CONTROL!$C$21, $C$9, 100%, $E$9)</f>
        <v>8.1181999999999999</v>
      </c>
      <c r="I228" s="10">
        <f>CHOOSE(CONTROL!$C$42, 8.0526, 8.0526)* CHOOSE(CONTROL!$C$21, $C$9, 100%, $E$9)</f>
        <v>8.0526</v>
      </c>
      <c r="J228" s="10">
        <f>CHOOSE(CONTROL!$C$42, 8.0305, 8.0305)* CHOOSE(CONTROL!$C$21, $C$9, 100%, $E$9)</f>
        <v>8.0305</v>
      </c>
      <c r="K228" s="10">
        <f>CHOOSE(CONTROL!$C$42, 7.9659, 7.9659) * CHOOSE(CONTROL!$C$21, $C$9, 100%, $E$9)</f>
        <v>7.9659000000000004</v>
      </c>
      <c r="L228" s="10">
        <f>CHOOSE(CONTROL!$C$42, 8.7052, 8.7052) * CHOOSE(CONTROL!$C$21, $C$9, 100%, $E$9)</f>
        <v>8.7051999999999996</v>
      </c>
      <c r="M228" s="10">
        <f>CHOOSE(CONTROL!$C$42, 7.9633, 7.9633) * CHOOSE(CONTROL!$C$21, $C$9, 100%, $E$9)</f>
        <v>7.9633000000000003</v>
      </c>
      <c r="N228" s="10">
        <f>CHOOSE(CONTROL!$C$42, 7.9801, 7.9801) * CHOOSE(CONTROL!$C$21, $C$9, 100%, $E$9)</f>
        <v>7.9801000000000002</v>
      </c>
      <c r="O228" s="10">
        <f>CHOOSE(CONTROL!$C$42, 8.0501, 8.0501) * CHOOSE(CONTROL!$C$21, $C$9, 100%, $E$9)</f>
        <v>8.0501000000000005</v>
      </c>
      <c r="P228" s="10">
        <f>CHOOSE(CONTROL!$C$42, 7.9852, 7.9852) * CHOOSE(CONTROL!$C$21, $C$9, 100%, $E$9)</f>
        <v>7.9851999999999999</v>
      </c>
      <c r="Q228" s="10">
        <f>CHOOSE(CONTROL!$C$42, 8.6454, 8.6454) * CHOOSE(CONTROL!$C$21, $C$9, 100%, $E$9)</f>
        <v>8.6454000000000004</v>
      </c>
      <c r="R228" s="10">
        <f>CHOOSE(CONTROL!$C$42, 9.2541, 9.2541) * CHOOSE(CONTROL!$C$21, $C$9, 100%, $E$9)</f>
        <v>9.2540999999999993</v>
      </c>
      <c r="S228" s="10">
        <f>CHOOSE(CONTROL!$C$42, 7.8306, 7.8306) * CHOOSE(CONTROL!$C$21, $C$9, 100%, $E$9)</f>
        <v>7.8305999999999996</v>
      </c>
      <c r="T2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38">
        <f>(1000*CHOOSE(CONTROL!$C$42, 695, 695)*CHOOSE(CONTROL!$C$42, 0.5599, 0.5599)*CHOOSE(CONTROL!$C$42, 31, 31))/1000000</f>
        <v>12.063045499999998</v>
      </c>
      <c r="V228" s="38">
        <f>(1000*CHOOSE(CONTROL!$C$42, 500, 500)*CHOOSE(CONTROL!$C$42, 0.275, 0.275)*CHOOSE(CONTROL!$C$42, 31, 31))/1000000</f>
        <v>4.2625000000000002</v>
      </c>
      <c r="W228" s="38">
        <f>(1000*CHOOSE(CONTROL!$C$42, 0.1146, 0.1146)*CHOOSE(CONTROL!$C$42, 121.5, 121.5)*CHOOSE(CONTROL!$C$42, 31, 31))/1000000</f>
        <v>0.43164089999999994</v>
      </c>
      <c r="X228" s="38">
        <f>(31*0.1790888*100000/1000000)+(31*0.2374*100000/1000000)</f>
        <v>1.2911152800000001</v>
      </c>
      <c r="Y228" s="38">
        <f>(1000*600*CHOOSE(CONTROL!$C$42, 1.6681, 1.6681)*CHOOSE(CONTROL!$C$42, 31, 31))/1000000</f>
        <v>31.02666</v>
      </c>
      <c r="Z228" s="38"/>
      <c r="AA228" s="10"/>
      <c r="AB228" s="39"/>
      <c r="AC228" s="33">
        <f>(B228*122.58+C228*297.941+D228*89.177+E228*40.302+F228*40+G228*160+H228*0+I228*100+J228*300)/(122.58+297.941+89.177+40.302+0+40+160+100+300)</f>
        <v>8.0586989574782599</v>
      </c>
      <c r="AD228" s="27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8.0067589928057554</v>
      </c>
    </row>
    <row r="229" spans="1:30" ht="15" x14ac:dyDescent="0.2">
      <c r="A229" s="16">
        <v>48214</v>
      </c>
      <c r="B229" s="10">
        <f>CHOOSE(CONTROL!$C$42, 8.6101, 8.6101) * CHOOSE(CONTROL!$C$21, $C$9, 100%, $E$9)</f>
        <v>8.6100999999999992</v>
      </c>
      <c r="C229" s="10">
        <f>CHOOSE(CONTROL!$C$42, 8.615, 8.615) * CHOOSE(CONTROL!$C$21, $C$9, 100%, $E$9)</f>
        <v>8.6150000000000002</v>
      </c>
      <c r="D229" s="10">
        <f>CHOOSE(CONTROL!$C$42, 8.6395, 8.6395) * CHOOSE(CONTROL!$C$21, $C$9, 100%, $E$9)</f>
        <v>8.6395</v>
      </c>
      <c r="E229" s="10">
        <f>CHOOSE(CONTROL!$C$42, 8.6733, 8.6733) * CHOOSE(CONTROL!$C$21, $C$9, 100%, $E$9)</f>
        <v>8.6732999999999993</v>
      </c>
      <c r="F229" s="10">
        <f>CHOOSE(CONTROL!$C$42, 8.593, 8.593)*CHOOSE(CONTROL!$C$21, $C$9, 100%, $E$9)</f>
        <v>8.593</v>
      </c>
      <c r="G229" s="10">
        <f>CHOOSE(CONTROL!$C$42, 8.6117, 8.6117)*CHOOSE(CONTROL!$C$21, $C$9, 100%, $E$9)</f>
        <v>8.6117000000000008</v>
      </c>
      <c r="H229" s="10">
        <f>CHOOSE(CONTROL!$C$42, 8.6624, 8.6624) * CHOOSE(CONTROL!$C$21, $C$9, 100%, $E$9)</f>
        <v>8.6623999999999999</v>
      </c>
      <c r="I229" s="10">
        <f>CHOOSE(CONTROL!$C$42, 8.6046, 8.6046)* CHOOSE(CONTROL!$C$21, $C$9, 100%, $E$9)</f>
        <v>8.6045999999999996</v>
      </c>
      <c r="J229" s="10">
        <f>CHOOSE(CONTROL!$C$42, 8.586, 8.586)* CHOOSE(CONTROL!$C$21, $C$9, 100%, $E$9)</f>
        <v>8.5860000000000003</v>
      </c>
      <c r="K229" s="10">
        <f>CHOOSE(CONTROL!$C$42, 8.5156, 8.5156) * CHOOSE(CONTROL!$C$21, $C$9, 100%, $E$9)</f>
        <v>8.5155999999999992</v>
      </c>
      <c r="L229" s="10">
        <f>CHOOSE(CONTROL!$C$42, 9.2494, 9.2494) * CHOOSE(CONTROL!$C$21, $C$9, 100%, $E$9)</f>
        <v>9.2493999999999996</v>
      </c>
      <c r="M229" s="10">
        <f>CHOOSE(CONTROL!$C$42, 8.5132, 8.5132) * CHOOSE(CONTROL!$C$21, $C$9, 100%, $E$9)</f>
        <v>8.5131999999999994</v>
      </c>
      <c r="N229" s="10">
        <f>CHOOSE(CONTROL!$C$42, 8.5316, 8.5316) * CHOOSE(CONTROL!$C$21, $C$9, 100%, $E$9)</f>
        <v>8.5315999999999992</v>
      </c>
      <c r="O229" s="10">
        <f>CHOOSE(CONTROL!$C$42, 8.5889, 8.5889) * CHOOSE(CONTROL!$C$21, $C$9, 100%, $E$9)</f>
        <v>8.5889000000000006</v>
      </c>
      <c r="P229" s="10">
        <f>CHOOSE(CONTROL!$C$42, 8.5316, 8.5316) * CHOOSE(CONTROL!$C$21, $C$9, 100%, $E$9)</f>
        <v>8.5315999999999992</v>
      </c>
      <c r="Q229" s="10">
        <f>CHOOSE(CONTROL!$C$42, 9.1842, 9.1842) * CHOOSE(CONTROL!$C$21, $C$9, 100%, $E$9)</f>
        <v>9.1842000000000006</v>
      </c>
      <c r="R229" s="10">
        <f>CHOOSE(CONTROL!$C$42, 9.7941, 9.7941) * CHOOSE(CONTROL!$C$21, $C$9, 100%, $E$9)</f>
        <v>9.7941000000000003</v>
      </c>
      <c r="S229" s="10">
        <f>CHOOSE(CONTROL!$C$42, 8.3591, 8.3591) * CHOOSE(CONTROL!$C$21, $C$9, 100%, $E$9)</f>
        <v>8.3590999999999998</v>
      </c>
      <c r="T2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38">
        <f>(1000*CHOOSE(CONTROL!$C$42, 695, 695)*CHOOSE(CONTROL!$C$42, 0.5599, 0.5599)*CHOOSE(CONTROL!$C$42, 31, 31))/1000000</f>
        <v>12.063045499999998</v>
      </c>
      <c r="V229" s="38">
        <f>(1000*CHOOSE(CONTROL!$C$42, 500, 500)*CHOOSE(CONTROL!$C$42, 0.275, 0.275)*CHOOSE(CONTROL!$C$42, 31, 31))/1000000</f>
        <v>4.2625000000000002</v>
      </c>
      <c r="W229" s="38">
        <f>(1000*CHOOSE(CONTROL!$C$42, 0.1146, 0.1146)*CHOOSE(CONTROL!$C$42, 121.5, 121.5)*CHOOSE(CONTROL!$C$42, 31, 31))/1000000</f>
        <v>0.43164089999999994</v>
      </c>
      <c r="X229" s="38">
        <f>(31*0.1790888*100000/1000000)+(31*0.2374*100000/1000000)</f>
        <v>1.2911152800000001</v>
      </c>
      <c r="Y229" s="38">
        <f>(1000*600*CHOOSE(CONTROL!$C$42, 1.6597, 1.6597)*CHOOSE(CONTROL!$C$42, 31, 31))/1000000</f>
        <v>30.870419999999999</v>
      </c>
      <c r="Z229" s="38"/>
      <c r="AA229" s="10"/>
      <c r="AB229" s="39"/>
      <c r="AC229" s="33">
        <f>(B229*122.58+C229*297.941+D229*89.177+E229*40.302+F229*40+G229*160+H229*0+I229*100+J229*300)/(122.58+297.941+89.177+40.302+0+40+160+100+300)</f>
        <v>8.608726783565217</v>
      </c>
      <c r="AD229" s="27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8.5512165467625891</v>
      </c>
    </row>
    <row r="230" spans="1:30" ht="15" x14ac:dyDescent="0.2">
      <c r="A230" s="16">
        <v>48245</v>
      </c>
      <c r="B230" s="10">
        <f>CHOOSE(CONTROL!$C$42, 8.7633, 8.7633) * CHOOSE(CONTROL!$C$21, $C$9, 100%, $E$9)</f>
        <v>8.7632999999999992</v>
      </c>
      <c r="C230" s="10">
        <f>CHOOSE(CONTROL!$C$42, 8.7682, 8.7682) * CHOOSE(CONTROL!$C$21, $C$9, 100%, $E$9)</f>
        <v>8.7682000000000002</v>
      </c>
      <c r="D230" s="10">
        <f>CHOOSE(CONTROL!$C$42, 8.7927, 8.7927) * CHOOSE(CONTROL!$C$21, $C$9, 100%, $E$9)</f>
        <v>8.7927</v>
      </c>
      <c r="E230" s="10">
        <f>CHOOSE(CONTROL!$C$42, 8.8265, 8.8265) * CHOOSE(CONTROL!$C$21, $C$9, 100%, $E$9)</f>
        <v>8.8264999999999993</v>
      </c>
      <c r="F230" s="10">
        <f>CHOOSE(CONTROL!$C$42, 8.7455, 8.7455)*CHOOSE(CONTROL!$C$21, $C$9, 100%, $E$9)</f>
        <v>8.7454999999999998</v>
      </c>
      <c r="G230" s="10">
        <f>CHOOSE(CONTROL!$C$42, 8.764, 8.764)*CHOOSE(CONTROL!$C$21, $C$9, 100%, $E$9)</f>
        <v>8.7639999999999993</v>
      </c>
      <c r="H230" s="10">
        <f>CHOOSE(CONTROL!$C$42, 8.8157, 8.8157) * CHOOSE(CONTROL!$C$21, $C$9, 100%, $E$9)</f>
        <v>8.8156999999999996</v>
      </c>
      <c r="I230" s="10">
        <f>CHOOSE(CONTROL!$C$42, 8.7578, 8.7578)* CHOOSE(CONTROL!$C$21, $C$9, 100%, $E$9)</f>
        <v>8.7577999999999996</v>
      </c>
      <c r="J230" s="10">
        <f>CHOOSE(CONTROL!$C$42, 8.7385, 8.7385)* CHOOSE(CONTROL!$C$21, $C$9, 100%, $E$9)</f>
        <v>8.7385000000000002</v>
      </c>
      <c r="K230" s="10">
        <f>CHOOSE(CONTROL!$C$42, 8.663, 8.663) * CHOOSE(CONTROL!$C$21, $C$9, 100%, $E$9)</f>
        <v>8.6630000000000003</v>
      </c>
      <c r="L230" s="10">
        <f>CHOOSE(CONTROL!$C$42, 9.4027, 9.4027) * CHOOSE(CONTROL!$C$21, $C$9, 100%, $E$9)</f>
        <v>9.4026999999999994</v>
      </c>
      <c r="M230" s="10">
        <f>CHOOSE(CONTROL!$C$42, 8.6642, 8.6642) * CHOOSE(CONTROL!$C$21, $C$9, 100%, $E$9)</f>
        <v>8.6641999999999992</v>
      </c>
      <c r="N230" s="10">
        <f>CHOOSE(CONTROL!$C$42, 8.6825, 8.6825) * CHOOSE(CONTROL!$C$21, $C$9, 100%, $E$9)</f>
        <v>8.6824999999999992</v>
      </c>
      <c r="O230" s="10">
        <f>CHOOSE(CONTROL!$C$42, 8.7405, 8.7405) * CHOOSE(CONTROL!$C$21, $C$9, 100%, $E$9)</f>
        <v>8.7405000000000008</v>
      </c>
      <c r="P230" s="10">
        <f>CHOOSE(CONTROL!$C$42, 8.6833, 8.6833) * CHOOSE(CONTROL!$C$21, $C$9, 100%, $E$9)</f>
        <v>8.6832999999999991</v>
      </c>
      <c r="Q230" s="10">
        <f>CHOOSE(CONTROL!$C$42, 9.3358, 9.3358) * CHOOSE(CONTROL!$C$21, $C$9, 100%, $E$9)</f>
        <v>9.3358000000000008</v>
      </c>
      <c r="R230" s="10">
        <f>CHOOSE(CONTROL!$C$42, 9.9462, 9.9462) * CHOOSE(CONTROL!$C$21, $C$9, 100%, $E$9)</f>
        <v>9.9461999999999993</v>
      </c>
      <c r="S230" s="10">
        <f>CHOOSE(CONTROL!$C$42, 8.5079, 8.5079) * CHOOSE(CONTROL!$C$21, $C$9, 100%, $E$9)</f>
        <v>8.5078999999999994</v>
      </c>
      <c r="T23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30" s="38">
        <f>(1000*CHOOSE(CONTROL!$C$42, 695, 695)*CHOOSE(CONTROL!$C$42, 0.5599, 0.5599)*CHOOSE(CONTROL!$C$42, 29, 29))/1000000</f>
        <v>11.284784499999999</v>
      </c>
      <c r="V230" s="38">
        <f>(1000*CHOOSE(CONTROL!$C$42, 500, 500)*CHOOSE(CONTROL!$C$42, 0.275, 0.275)*CHOOSE(CONTROL!$C$42, 29, 29))/1000000</f>
        <v>3.9874999999999998</v>
      </c>
      <c r="W230" s="38">
        <f>(1000*CHOOSE(CONTROL!$C$42, 0.1146, 0.1146)*CHOOSE(CONTROL!$C$42, 121.5, 121.5)*CHOOSE(CONTROL!$C$42, 29, 29))/1000000</f>
        <v>0.40379309999999996</v>
      </c>
      <c r="X230" s="38">
        <f>(29*0.1790888*100000/1000000)+(29*0.2374*100000/1000000)</f>
        <v>1.2078175199999999</v>
      </c>
      <c r="Y230" s="38">
        <f>(1000*600*CHOOSE(CONTROL!$C$42, 1.6597, 1.6597)*CHOOSE(CONTROL!$C$42, 29, 29))/1000000</f>
        <v>28.878779999999999</v>
      </c>
      <c r="Z230" s="38"/>
      <c r="AA230" s="10"/>
      <c r="AB230" s="39"/>
      <c r="AC230" s="33">
        <f>(B230*122.58+C230*297.941+D230*89.177+E230*40.302+F230*40+G230*160+H230*0+I230*100+J230*300)/(122.58+297.941+89.177+40.302+0+40+160+100+300)</f>
        <v>8.7615946096521728</v>
      </c>
      <c r="AD230" s="27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8.7025834532374109</v>
      </c>
    </row>
    <row r="231" spans="1:30" ht="15" x14ac:dyDescent="0.2">
      <c r="A231" s="16">
        <v>48274</v>
      </c>
      <c r="B231" s="10">
        <f>CHOOSE(CONTROL!$C$42, 8.5146, 8.5146) * CHOOSE(CONTROL!$C$21, $C$9, 100%, $E$9)</f>
        <v>8.5145999999999997</v>
      </c>
      <c r="C231" s="10">
        <f>CHOOSE(CONTROL!$C$42, 8.5195, 8.5195) * CHOOSE(CONTROL!$C$21, $C$9, 100%, $E$9)</f>
        <v>8.5195000000000007</v>
      </c>
      <c r="D231" s="10">
        <f>CHOOSE(CONTROL!$C$42, 8.544, 8.544) * CHOOSE(CONTROL!$C$21, $C$9, 100%, $E$9)</f>
        <v>8.5440000000000005</v>
      </c>
      <c r="E231" s="10">
        <f>CHOOSE(CONTROL!$C$42, 8.5778, 8.5778) * CHOOSE(CONTROL!$C$21, $C$9, 100%, $E$9)</f>
        <v>8.5777999999999999</v>
      </c>
      <c r="F231" s="10">
        <f>CHOOSE(CONTROL!$C$42, 8.4953, 8.4953)*CHOOSE(CONTROL!$C$21, $C$9, 100%, $E$9)</f>
        <v>8.4953000000000003</v>
      </c>
      <c r="G231" s="10">
        <f>CHOOSE(CONTROL!$C$42, 8.5134, 8.5134)*CHOOSE(CONTROL!$C$21, $C$9, 100%, $E$9)</f>
        <v>8.5134000000000007</v>
      </c>
      <c r="H231" s="10">
        <f>CHOOSE(CONTROL!$C$42, 8.567, 8.567) * CHOOSE(CONTROL!$C$21, $C$9, 100%, $E$9)</f>
        <v>8.5670000000000002</v>
      </c>
      <c r="I231" s="10">
        <f>CHOOSE(CONTROL!$C$42, 8.5091, 8.5091)* CHOOSE(CONTROL!$C$21, $C$9, 100%, $E$9)</f>
        <v>8.5091000000000001</v>
      </c>
      <c r="J231" s="10">
        <f>CHOOSE(CONTROL!$C$42, 8.4883, 8.4883)* CHOOSE(CONTROL!$C$21, $C$9, 100%, $E$9)</f>
        <v>8.4883000000000006</v>
      </c>
      <c r="K231" s="10">
        <f>CHOOSE(CONTROL!$C$42, 8.418, 8.418) * CHOOSE(CONTROL!$C$21, $C$9, 100%, $E$9)</f>
        <v>8.4179999999999993</v>
      </c>
      <c r="L231" s="10">
        <f>CHOOSE(CONTROL!$C$42, 9.154, 9.154) * CHOOSE(CONTROL!$C$21, $C$9, 100%, $E$9)</f>
        <v>9.1539999999999999</v>
      </c>
      <c r="M231" s="10">
        <f>CHOOSE(CONTROL!$C$42, 8.4165, 8.4165) * CHOOSE(CONTROL!$C$21, $C$9, 100%, $E$9)</f>
        <v>8.4164999999999992</v>
      </c>
      <c r="N231" s="10">
        <f>CHOOSE(CONTROL!$C$42, 8.4344, 8.4344) * CHOOSE(CONTROL!$C$21, $C$9, 100%, $E$9)</f>
        <v>8.4344000000000001</v>
      </c>
      <c r="O231" s="10">
        <f>CHOOSE(CONTROL!$C$42, 8.4943, 8.4943) * CHOOSE(CONTROL!$C$21, $C$9, 100%, $E$9)</f>
        <v>8.4943000000000008</v>
      </c>
      <c r="P231" s="10">
        <f>CHOOSE(CONTROL!$C$42, 8.4371, 8.4371) * CHOOSE(CONTROL!$C$21, $C$9, 100%, $E$9)</f>
        <v>8.4370999999999992</v>
      </c>
      <c r="Q231" s="10">
        <f>CHOOSE(CONTROL!$C$42, 9.0896, 9.0896) * CHOOSE(CONTROL!$C$21, $C$9, 100%, $E$9)</f>
        <v>9.0896000000000008</v>
      </c>
      <c r="R231" s="10">
        <f>CHOOSE(CONTROL!$C$42, 9.6994, 9.6994) * CHOOSE(CONTROL!$C$21, $C$9, 100%, $E$9)</f>
        <v>9.6994000000000007</v>
      </c>
      <c r="S231" s="10">
        <f>CHOOSE(CONTROL!$C$42, 8.2664, 8.2664) * CHOOSE(CONTROL!$C$21, $C$9, 100%, $E$9)</f>
        <v>8.2664000000000009</v>
      </c>
      <c r="T2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38">
        <f>(1000*CHOOSE(CONTROL!$C$42, 695, 695)*CHOOSE(CONTROL!$C$42, 0.5599, 0.5599)*CHOOSE(CONTROL!$C$42, 31, 31))/1000000</f>
        <v>12.063045499999998</v>
      </c>
      <c r="V231" s="38">
        <f>(1000*CHOOSE(CONTROL!$C$42, 500, 500)*CHOOSE(CONTROL!$C$42, 0.275, 0.275)*CHOOSE(CONTROL!$C$42, 31, 31))/1000000</f>
        <v>4.2625000000000002</v>
      </c>
      <c r="W231" s="38">
        <f>(1000*CHOOSE(CONTROL!$C$42, 0.1146, 0.1146)*CHOOSE(CONTROL!$C$42, 121.5, 121.5)*CHOOSE(CONTROL!$C$42, 31, 31))/1000000</f>
        <v>0.43164089999999994</v>
      </c>
      <c r="X231" s="38">
        <f>(31*0.1790888*100000/1000000)+(31*0.2374*100000/1000000)</f>
        <v>1.2911152800000001</v>
      </c>
      <c r="Y231" s="38">
        <f>(1000*600*CHOOSE(CONTROL!$C$42, 1.6597, 1.6597)*CHOOSE(CONTROL!$C$42, 31, 31))/1000000</f>
        <v>30.870419999999999</v>
      </c>
      <c r="Z231" s="38"/>
      <c r="AA231" s="10"/>
      <c r="AB231" s="39"/>
      <c r="AC231" s="33">
        <f>(B231*122.58+C231*297.941+D231*89.177+E231*40.302+F231*40+G231*160+H231*0+I231*100+J231*300)/(122.58+297.941+89.177+40.302+0+40+160+100+300)</f>
        <v>8.5121867835652179</v>
      </c>
      <c r="AD231" s="27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8.4557561151079135</v>
      </c>
    </row>
    <row r="232" spans="1:30" ht="15" x14ac:dyDescent="0.2">
      <c r="A232" s="16">
        <v>48305</v>
      </c>
      <c r="B232" s="10">
        <f>CHOOSE(CONTROL!$C$42, 8.4899, 8.4899) * CHOOSE(CONTROL!$C$21, $C$9, 100%, $E$9)</f>
        <v>8.4899000000000004</v>
      </c>
      <c r="C232" s="10">
        <f>CHOOSE(CONTROL!$C$42, 8.4942, 8.4942) * CHOOSE(CONTROL!$C$21, $C$9, 100%, $E$9)</f>
        <v>8.4941999999999993</v>
      </c>
      <c r="D232" s="10">
        <f>CHOOSE(CONTROL!$C$42, 8.6744, 8.6744) * CHOOSE(CONTROL!$C$21, $C$9, 100%, $E$9)</f>
        <v>8.6744000000000003</v>
      </c>
      <c r="E232" s="10">
        <f>CHOOSE(CONTROL!$C$42, 8.7061, 8.7061) * CHOOSE(CONTROL!$C$21, $C$9, 100%, $E$9)</f>
        <v>8.7060999999999993</v>
      </c>
      <c r="F232" s="10">
        <f>CHOOSE(CONTROL!$C$42, 8.4552, 8.4552)*CHOOSE(CONTROL!$C$21, $C$9, 100%, $E$9)</f>
        <v>8.4551999999999996</v>
      </c>
      <c r="G232" s="10">
        <f>CHOOSE(CONTROL!$C$42, 8.4714, 8.4714)*CHOOSE(CONTROL!$C$21, $C$9, 100%, $E$9)</f>
        <v>8.4713999999999992</v>
      </c>
      <c r="H232" s="10">
        <f>CHOOSE(CONTROL!$C$42, 8.6959, 8.6959) * CHOOSE(CONTROL!$C$21, $C$9, 100%, $E$9)</f>
        <v>8.6959</v>
      </c>
      <c r="I232" s="10">
        <f>CHOOSE(CONTROL!$C$42, 8.4759, 8.4759)* CHOOSE(CONTROL!$C$21, $C$9, 100%, $E$9)</f>
        <v>8.4758999999999993</v>
      </c>
      <c r="J232" s="10">
        <f>CHOOSE(CONTROL!$C$42, 8.4482, 8.4482)* CHOOSE(CONTROL!$C$21, $C$9, 100%, $E$9)</f>
        <v>8.4481999999999999</v>
      </c>
      <c r="K232" s="10">
        <f>CHOOSE(CONTROL!$C$42, 8.3707, 8.3707) * CHOOSE(CONTROL!$C$21, $C$9, 100%, $E$9)</f>
        <v>8.3706999999999994</v>
      </c>
      <c r="L232" s="10">
        <f>CHOOSE(CONTROL!$C$42, 9.2829, 9.2829) * CHOOSE(CONTROL!$C$21, $C$9, 100%, $E$9)</f>
        <v>9.2828999999999997</v>
      </c>
      <c r="M232" s="10">
        <f>CHOOSE(CONTROL!$C$42, 8.3768, 8.3768) * CHOOSE(CONTROL!$C$21, $C$9, 100%, $E$9)</f>
        <v>8.3767999999999994</v>
      </c>
      <c r="N232" s="10">
        <f>CHOOSE(CONTROL!$C$42, 8.3929, 8.3929) * CHOOSE(CONTROL!$C$21, $C$9, 100%, $E$9)</f>
        <v>8.3928999999999991</v>
      </c>
      <c r="O232" s="10">
        <f>CHOOSE(CONTROL!$C$42, 8.622, 8.622) * CHOOSE(CONTROL!$C$21, $C$9, 100%, $E$9)</f>
        <v>8.6219999999999999</v>
      </c>
      <c r="P232" s="10">
        <f>CHOOSE(CONTROL!$C$42, 8.4042, 8.4042) * CHOOSE(CONTROL!$C$21, $C$9, 100%, $E$9)</f>
        <v>8.4041999999999994</v>
      </c>
      <c r="Q232" s="10">
        <f>CHOOSE(CONTROL!$C$42, 9.2173, 9.2173) * CHOOSE(CONTROL!$C$21, $C$9, 100%, $E$9)</f>
        <v>9.2172999999999998</v>
      </c>
      <c r="R232" s="10">
        <f>CHOOSE(CONTROL!$C$42, 9.8273, 9.8273) * CHOOSE(CONTROL!$C$21, $C$9, 100%, $E$9)</f>
        <v>9.8272999999999993</v>
      </c>
      <c r="S232" s="10">
        <f>CHOOSE(CONTROL!$C$42, 8.2416, 8.2416) * CHOOSE(CONTROL!$C$21, $C$9, 100%, $E$9)</f>
        <v>8.2416</v>
      </c>
      <c r="T2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38">
        <f>(1000*CHOOSE(CONTROL!$C$42, 695, 695)*CHOOSE(CONTROL!$C$42, 0.5599, 0.5599)*CHOOSE(CONTROL!$C$42, 30, 30))/1000000</f>
        <v>11.673914999999997</v>
      </c>
      <c r="V232" s="38">
        <f>(1000*CHOOSE(CONTROL!$C$42, 500, 500)*CHOOSE(CONTROL!$C$42, 0.275, 0.275)*CHOOSE(CONTROL!$C$42, 30, 30))/1000000</f>
        <v>4.125</v>
      </c>
      <c r="W232" s="38">
        <f>(1000*CHOOSE(CONTROL!$C$42, 0.1146, 0.1146)*CHOOSE(CONTROL!$C$42, 121.5, 121.5)*CHOOSE(CONTROL!$C$42, 30, 30))/1000000</f>
        <v>0.417717</v>
      </c>
      <c r="X232" s="38">
        <f>(30*0.1790888*245000/1000000)+(30*0.2374*100000/1000000)</f>
        <v>2.0285026799999999</v>
      </c>
      <c r="Y232" s="38">
        <f>(1000*600*CHOOSE(CONTROL!$C$42, 1.6597, 1.6597)*CHOOSE(CONTROL!$C$42, 30, 30))/1000000</f>
        <v>29.874600000000001</v>
      </c>
      <c r="Z232" s="38"/>
      <c r="AA232" s="10"/>
      <c r="AB232" s="39"/>
      <c r="AC232" s="33">
        <f>(B232*141.293+C232*267.993+D232*115.016+E232*89.698+F232*40+G232*185+H232*0+I232*100+J232*300)/(141.293+267.993+115.016+89.698+0+40+185+100+300)</f>
        <v>8.5084997009685228</v>
      </c>
      <c r="AD232" s="27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8.4532460431654659</v>
      </c>
    </row>
    <row r="233" spans="1:30" ht="15" x14ac:dyDescent="0.2">
      <c r="A233" s="16">
        <v>48335</v>
      </c>
      <c r="B233" s="10">
        <f>CHOOSE(CONTROL!$C$42, 8.5666, 8.5666) * CHOOSE(CONTROL!$C$21, $C$9, 100%, $E$9)</f>
        <v>8.5665999999999993</v>
      </c>
      <c r="C233" s="10">
        <f>CHOOSE(CONTROL!$C$42, 8.5745, 8.5745) * CHOOSE(CONTROL!$C$21, $C$9, 100%, $E$9)</f>
        <v>8.5745000000000005</v>
      </c>
      <c r="D233" s="10">
        <f>CHOOSE(CONTROL!$C$42, 8.7515, 8.7515) * CHOOSE(CONTROL!$C$21, $C$9, 100%, $E$9)</f>
        <v>8.7515000000000001</v>
      </c>
      <c r="E233" s="10">
        <f>CHOOSE(CONTROL!$C$42, 8.7826, 8.7826) * CHOOSE(CONTROL!$C$21, $C$9, 100%, $E$9)</f>
        <v>8.7826000000000004</v>
      </c>
      <c r="F233" s="10">
        <f>CHOOSE(CONTROL!$C$42, 8.5299, 8.5299)*CHOOSE(CONTROL!$C$21, $C$9, 100%, $E$9)</f>
        <v>8.5298999999999996</v>
      </c>
      <c r="G233" s="10">
        <f>CHOOSE(CONTROL!$C$42, 8.5464, 8.5464)*CHOOSE(CONTROL!$C$21, $C$9, 100%, $E$9)</f>
        <v>8.5464000000000002</v>
      </c>
      <c r="H233" s="10">
        <f>CHOOSE(CONTROL!$C$42, 8.7712, 8.7712) * CHOOSE(CONTROL!$C$21, $C$9, 100%, $E$9)</f>
        <v>8.7712000000000003</v>
      </c>
      <c r="I233" s="10">
        <f>CHOOSE(CONTROL!$C$42, 8.5511, 8.5511)* CHOOSE(CONTROL!$C$21, $C$9, 100%, $E$9)</f>
        <v>8.5510999999999999</v>
      </c>
      <c r="J233" s="10">
        <f>CHOOSE(CONTROL!$C$42, 8.5229, 8.5229)* CHOOSE(CONTROL!$C$21, $C$9, 100%, $E$9)</f>
        <v>8.5228999999999999</v>
      </c>
      <c r="K233" s="10">
        <f>CHOOSE(CONTROL!$C$42, 8.4426, 8.4426) * CHOOSE(CONTROL!$C$21, $C$9, 100%, $E$9)</f>
        <v>8.4426000000000005</v>
      </c>
      <c r="L233" s="10">
        <f>CHOOSE(CONTROL!$C$42, 9.3582, 9.3582) * CHOOSE(CONTROL!$C$21, $C$9, 100%, $E$9)</f>
        <v>9.3582000000000001</v>
      </c>
      <c r="M233" s="10">
        <f>CHOOSE(CONTROL!$C$42, 8.4507, 8.4507) * CHOOSE(CONTROL!$C$21, $C$9, 100%, $E$9)</f>
        <v>8.4506999999999994</v>
      </c>
      <c r="N233" s="10">
        <f>CHOOSE(CONTROL!$C$42, 8.4671, 8.4671) * CHOOSE(CONTROL!$C$21, $C$9, 100%, $E$9)</f>
        <v>8.4671000000000003</v>
      </c>
      <c r="O233" s="10">
        <f>CHOOSE(CONTROL!$C$42, 8.6965, 8.6965) * CHOOSE(CONTROL!$C$21, $C$9, 100%, $E$9)</f>
        <v>8.6965000000000003</v>
      </c>
      <c r="P233" s="10">
        <f>CHOOSE(CONTROL!$C$42, 8.4787, 8.4787) * CHOOSE(CONTROL!$C$21, $C$9, 100%, $E$9)</f>
        <v>8.4786999999999999</v>
      </c>
      <c r="Q233" s="10">
        <f>CHOOSE(CONTROL!$C$42, 9.2918, 9.2918) * CHOOSE(CONTROL!$C$21, $C$9, 100%, $E$9)</f>
        <v>9.2918000000000003</v>
      </c>
      <c r="R233" s="10">
        <f>CHOOSE(CONTROL!$C$42, 9.9021, 9.9021) * CHOOSE(CONTROL!$C$21, $C$9, 100%, $E$9)</f>
        <v>9.9021000000000008</v>
      </c>
      <c r="S233" s="10">
        <f>CHOOSE(CONTROL!$C$42, 8.3147, 8.3147) * CHOOSE(CONTROL!$C$21, $C$9, 100%, $E$9)</f>
        <v>8.3147000000000002</v>
      </c>
      <c r="T2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38">
        <f>(1000*CHOOSE(CONTROL!$C$42, 695, 695)*CHOOSE(CONTROL!$C$42, 0.5599, 0.5599)*CHOOSE(CONTROL!$C$42, 31, 31))/1000000</f>
        <v>12.063045499999998</v>
      </c>
      <c r="V233" s="38">
        <f>(1000*CHOOSE(CONTROL!$C$42, 500, 500)*CHOOSE(CONTROL!$C$42, 0.275, 0.275)*CHOOSE(CONTROL!$C$42, 31, 31))/1000000</f>
        <v>4.2625000000000002</v>
      </c>
      <c r="W233" s="38">
        <f>(1000*CHOOSE(CONTROL!$C$42, 0.1146, 0.1146)*CHOOSE(CONTROL!$C$42, 121.5, 121.5)*CHOOSE(CONTROL!$C$42, 31, 31))/1000000</f>
        <v>0.43164089999999994</v>
      </c>
      <c r="X233" s="38">
        <f>(31*0.1790888*245000/1000000)+(31*0.2374*100000/1000000)</f>
        <v>2.0961194359999999</v>
      </c>
      <c r="Y233" s="38">
        <f>(1000*600*CHOOSE(CONTROL!$C$42, 1.6597, 1.6597)*CHOOSE(CONTROL!$C$42, 31, 31))/1000000</f>
        <v>30.870419999999999</v>
      </c>
      <c r="Z233" s="38"/>
      <c r="AA233" s="10"/>
      <c r="AB233" s="39"/>
      <c r="AC233" s="33">
        <f>(B233*194.205+C233*267.466+D233*133.845+E233*53.484+F233*40+G233*185+H233*0+I233*100+J233*300)/(194.205+267.466+133.845+53.484+0+40+185+100+300)</f>
        <v>8.5811592354003121</v>
      </c>
      <c r="AD233" s="27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8.527469784172661</v>
      </c>
    </row>
    <row r="234" spans="1:30" ht="15" x14ac:dyDescent="0.2">
      <c r="A234" s="16">
        <v>48366</v>
      </c>
      <c r="B234" s="10">
        <f>CHOOSE(CONTROL!$C$42, 8.8094, 8.8094) * CHOOSE(CONTROL!$C$21, $C$9, 100%, $E$9)</f>
        <v>8.8094000000000001</v>
      </c>
      <c r="C234" s="10">
        <f>CHOOSE(CONTROL!$C$42, 8.8173, 8.8173) * CHOOSE(CONTROL!$C$21, $C$9, 100%, $E$9)</f>
        <v>8.8172999999999995</v>
      </c>
      <c r="D234" s="10">
        <f>CHOOSE(CONTROL!$C$42, 8.9943, 8.9943) * CHOOSE(CONTROL!$C$21, $C$9, 100%, $E$9)</f>
        <v>8.9943000000000008</v>
      </c>
      <c r="E234" s="10">
        <f>CHOOSE(CONTROL!$C$42, 9.0254, 9.0254) * CHOOSE(CONTROL!$C$21, $C$9, 100%, $E$9)</f>
        <v>9.0253999999999994</v>
      </c>
      <c r="F234" s="10">
        <f>CHOOSE(CONTROL!$C$42, 8.7729, 8.7729)*CHOOSE(CONTROL!$C$21, $C$9, 100%, $E$9)</f>
        <v>8.7728999999999999</v>
      </c>
      <c r="G234" s="10">
        <f>CHOOSE(CONTROL!$C$42, 8.7895, 8.7895)*CHOOSE(CONTROL!$C$21, $C$9, 100%, $E$9)</f>
        <v>8.7895000000000003</v>
      </c>
      <c r="H234" s="10">
        <f>CHOOSE(CONTROL!$C$42, 9.0141, 9.0141) * CHOOSE(CONTROL!$C$21, $C$9, 100%, $E$9)</f>
        <v>9.0140999999999991</v>
      </c>
      <c r="I234" s="10">
        <f>CHOOSE(CONTROL!$C$42, 8.794, 8.794)* CHOOSE(CONTROL!$C$21, $C$9, 100%, $E$9)</f>
        <v>8.7940000000000005</v>
      </c>
      <c r="J234" s="10">
        <f>CHOOSE(CONTROL!$C$42, 8.7659, 8.7659)* CHOOSE(CONTROL!$C$21, $C$9, 100%, $E$9)</f>
        <v>8.7659000000000002</v>
      </c>
      <c r="K234" s="10">
        <f>CHOOSE(CONTROL!$C$42, 8.6789, 8.6789) * CHOOSE(CONTROL!$C$21, $C$9, 100%, $E$9)</f>
        <v>8.6789000000000005</v>
      </c>
      <c r="L234" s="10">
        <f>CHOOSE(CONTROL!$C$42, 9.6011, 9.6011) * CHOOSE(CONTROL!$C$21, $C$9, 100%, $E$9)</f>
        <v>9.6011000000000006</v>
      </c>
      <c r="M234" s="10">
        <f>CHOOSE(CONTROL!$C$42, 8.6913, 8.6913) * CHOOSE(CONTROL!$C$21, $C$9, 100%, $E$9)</f>
        <v>8.6913</v>
      </c>
      <c r="N234" s="10">
        <f>CHOOSE(CONTROL!$C$42, 8.7077, 8.7077) * CHOOSE(CONTROL!$C$21, $C$9, 100%, $E$9)</f>
        <v>8.7077000000000009</v>
      </c>
      <c r="O234" s="10">
        <f>CHOOSE(CONTROL!$C$42, 8.9369, 8.9369) * CHOOSE(CONTROL!$C$21, $C$9, 100%, $E$9)</f>
        <v>8.9368999999999996</v>
      </c>
      <c r="P234" s="10">
        <f>CHOOSE(CONTROL!$C$42, 8.7191, 8.7191) * CHOOSE(CONTROL!$C$21, $C$9, 100%, $E$9)</f>
        <v>8.7190999999999992</v>
      </c>
      <c r="Q234" s="10">
        <f>CHOOSE(CONTROL!$C$42, 9.5322, 9.5322) * CHOOSE(CONTROL!$C$21, $C$9, 100%, $E$9)</f>
        <v>9.5321999999999996</v>
      </c>
      <c r="R234" s="10">
        <f>CHOOSE(CONTROL!$C$42, 10.1431, 10.1431) * CHOOSE(CONTROL!$C$21, $C$9, 100%, $E$9)</f>
        <v>10.1431</v>
      </c>
      <c r="S234" s="10">
        <f>CHOOSE(CONTROL!$C$42, 8.5506, 8.5506) * CHOOSE(CONTROL!$C$21, $C$9, 100%, $E$9)</f>
        <v>8.5505999999999993</v>
      </c>
      <c r="T2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38">
        <f>(1000*CHOOSE(CONTROL!$C$42, 695, 695)*CHOOSE(CONTROL!$C$42, 0.5599, 0.5599)*CHOOSE(CONTROL!$C$42, 30, 30))/1000000</f>
        <v>11.673914999999997</v>
      </c>
      <c r="V234" s="38">
        <f>(1000*CHOOSE(CONTROL!$C$42, 500, 500)*CHOOSE(CONTROL!$C$42, 0.275, 0.275)*CHOOSE(CONTROL!$C$42, 30, 30))/1000000</f>
        <v>4.125</v>
      </c>
      <c r="W234" s="38">
        <f>(1000*CHOOSE(CONTROL!$C$42, 0.1146, 0.1146)*CHOOSE(CONTROL!$C$42, 121.5, 121.5)*CHOOSE(CONTROL!$C$42, 30, 30))/1000000</f>
        <v>0.417717</v>
      </c>
      <c r="X234" s="38">
        <f>(30*0.1790888*245000/1000000)+(30*0.2374*100000/1000000)</f>
        <v>2.0285026799999999</v>
      </c>
      <c r="Y234" s="38">
        <f>(1000*600*CHOOSE(CONTROL!$C$42, 1.6597, 1.6597)*CHOOSE(CONTROL!$C$42, 30, 30))/1000000</f>
        <v>29.874600000000001</v>
      </c>
      <c r="Z234" s="38"/>
      <c r="AA234" s="10"/>
      <c r="AB234" s="39"/>
      <c r="AC234" s="33">
        <f>(B234*194.205+C234*267.466+D234*133.845+E234*53.484+F234*40+G234*185+H234*0+I234*100+J234*300)/(194.205+267.466+133.845+53.484+0+40+185+100+300)</f>
        <v>8.8240640234693899</v>
      </c>
      <c r="AD234" s="27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8.7679848920863304</v>
      </c>
    </row>
    <row r="235" spans="1:30" ht="15" x14ac:dyDescent="0.2">
      <c r="A235" s="16">
        <v>48396</v>
      </c>
      <c r="B235" s="10">
        <f>CHOOSE(CONTROL!$C$42, 8.6405, 8.6405) * CHOOSE(CONTROL!$C$21, $C$9, 100%, $E$9)</f>
        <v>8.6404999999999994</v>
      </c>
      <c r="C235" s="10">
        <f>CHOOSE(CONTROL!$C$42, 8.6484, 8.6484) * CHOOSE(CONTROL!$C$21, $C$9, 100%, $E$9)</f>
        <v>8.6484000000000005</v>
      </c>
      <c r="D235" s="10">
        <f>CHOOSE(CONTROL!$C$42, 8.8254, 8.8254) * CHOOSE(CONTROL!$C$21, $C$9, 100%, $E$9)</f>
        <v>8.8254000000000001</v>
      </c>
      <c r="E235" s="10">
        <f>CHOOSE(CONTROL!$C$42, 8.8565, 8.8565) * CHOOSE(CONTROL!$C$21, $C$9, 100%, $E$9)</f>
        <v>8.8565000000000005</v>
      </c>
      <c r="F235" s="10">
        <f>CHOOSE(CONTROL!$C$42, 8.6043, 8.6043)*CHOOSE(CONTROL!$C$21, $C$9, 100%, $E$9)</f>
        <v>8.6043000000000003</v>
      </c>
      <c r="G235" s="10">
        <f>CHOOSE(CONTROL!$C$42, 8.6209, 8.6209)*CHOOSE(CONTROL!$C$21, $C$9, 100%, $E$9)</f>
        <v>8.6209000000000007</v>
      </c>
      <c r="H235" s="10">
        <f>CHOOSE(CONTROL!$C$42, 8.8452, 8.8452) * CHOOSE(CONTROL!$C$21, $C$9, 100%, $E$9)</f>
        <v>8.8452000000000002</v>
      </c>
      <c r="I235" s="10">
        <f>CHOOSE(CONTROL!$C$42, 8.6251, 8.6251)* CHOOSE(CONTROL!$C$21, $C$9, 100%, $E$9)</f>
        <v>8.6250999999999998</v>
      </c>
      <c r="J235" s="10">
        <f>CHOOSE(CONTROL!$C$42, 8.5973, 8.5973)* CHOOSE(CONTROL!$C$21, $C$9, 100%, $E$9)</f>
        <v>8.5973000000000006</v>
      </c>
      <c r="K235" s="10">
        <f>CHOOSE(CONTROL!$C$42, 8.5154, 8.5154) * CHOOSE(CONTROL!$C$21, $C$9, 100%, $E$9)</f>
        <v>8.5153999999999996</v>
      </c>
      <c r="L235" s="10">
        <f>CHOOSE(CONTROL!$C$42, 9.4322, 9.4322) * CHOOSE(CONTROL!$C$21, $C$9, 100%, $E$9)</f>
        <v>9.4321999999999999</v>
      </c>
      <c r="M235" s="10">
        <f>CHOOSE(CONTROL!$C$42, 8.5243, 8.5243) * CHOOSE(CONTROL!$C$21, $C$9, 100%, $E$9)</f>
        <v>8.5243000000000002</v>
      </c>
      <c r="N235" s="10">
        <f>CHOOSE(CONTROL!$C$42, 8.5408, 8.5408) * CHOOSE(CONTROL!$C$21, $C$9, 100%, $E$9)</f>
        <v>8.5408000000000008</v>
      </c>
      <c r="O235" s="10">
        <f>CHOOSE(CONTROL!$C$42, 8.7697, 8.7697) * CHOOSE(CONTROL!$C$21, $C$9, 100%, $E$9)</f>
        <v>8.7697000000000003</v>
      </c>
      <c r="P235" s="10">
        <f>CHOOSE(CONTROL!$C$42, 8.5519, 8.5519) * CHOOSE(CONTROL!$C$21, $C$9, 100%, $E$9)</f>
        <v>8.5518999999999998</v>
      </c>
      <c r="Q235" s="10">
        <f>CHOOSE(CONTROL!$C$42, 9.365, 9.365) * CHOOSE(CONTROL!$C$21, $C$9, 100%, $E$9)</f>
        <v>9.3650000000000002</v>
      </c>
      <c r="R235" s="10">
        <f>CHOOSE(CONTROL!$C$42, 9.9754, 9.9754) * CHOOSE(CONTROL!$C$21, $C$9, 100%, $E$9)</f>
        <v>9.9754000000000005</v>
      </c>
      <c r="S235" s="10">
        <f>CHOOSE(CONTROL!$C$42, 8.3865, 8.3865) * CHOOSE(CONTROL!$C$21, $C$9, 100%, $E$9)</f>
        <v>8.3864999999999998</v>
      </c>
      <c r="T2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38">
        <f>(1000*CHOOSE(CONTROL!$C$42, 695, 695)*CHOOSE(CONTROL!$C$42, 0.5599, 0.5599)*CHOOSE(CONTROL!$C$42, 31, 31))/1000000</f>
        <v>12.063045499999998</v>
      </c>
      <c r="V235" s="38">
        <f>(1000*CHOOSE(CONTROL!$C$42, 500, 500)*CHOOSE(CONTROL!$C$42, 0.275, 0.275)*CHOOSE(CONTROL!$C$42, 31, 31))/1000000</f>
        <v>4.2625000000000002</v>
      </c>
      <c r="W235" s="38">
        <f>(1000*CHOOSE(CONTROL!$C$42, 0.1146, 0.1146)*CHOOSE(CONTROL!$C$42, 121.5, 121.5)*CHOOSE(CONTROL!$C$42, 31, 31))/1000000</f>
        <v>0.43164089999999994</v>
      </c>
      <c r="X235" s="38">
        <f>(31*0.1790888*245000/1000000)+(31*0.2374*100000/1000000)</f>
        <v>2.0961194359999999</v>
      </c>
      <c r="Y235" s="38">
        <f>(1000*600*CHOOSE(CONTROL!$C$42, 1.6597, 1.6597)*CHOOSE(CONTROL!$C$42, 31, 31))/1000000</f>
        <v>30.870419999999999</v>
      </c>
      <c r="Z235" s="38"/>
      <c r="AA235" s="10"/>
      <c r="AB235" s="39"/>
      <c r="AC235" s="33">
        <f>(B235*194.205+C235*267.466+D235*133.845+E235*53.484+F235*40+G235*185+H235*0+I235*100+J235*300)/(194.205+267.466+133.845+53.484+0+40+185+100+300)</f>
        <v>8.6552876498430145</v>
      </c>
      <c r="AD235" s="27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8.6009230215827355</v>
      </c>
    </row>
    <row r="236" spans="1:30" ht="15" x14ac:dyDescent="0.2">
      <c r="A236" s="16">
        <v>48427</v>
      </c>
      <c r="B236" s="10">
        <f>CHOOSE(CONTROL!$C$42, 8.214, 8.214) * CHOOSE(CONTROL!$C$21, $C$9, 100%, $E$9)</f>
        <v>8.2140000000000004</v>
      </c>
      <c r="C236" s="10">
        <f>CHOOSE(CONTROL!$C$42, 8.2219, 8.2219) * CHOOSE(CONTROL!$C$21, $C$9, 100%, $E$9)</f>
        <v>8.2218999999999998</v>
      </c>
      <c r="D236" s="10">
        <f>CHOOSE(CONTROL!$C$42, 8.3989, 8.3989) * CHOOSE(CONTROL!$C$21, $C$9, 100%, $E$9)</f>
        <v>8.3988999999999994</v>
      </c>
      <c r="E236" s="10">
        <f>CHOOSE(CONTROL!$C$42, 8.43, 8.43) * CHOOSE(CONTROL!$C$21, $C$9, 100%, $E$9)</f>
        <v>8.43</v>
      </c>
      <c r="F236" s="10">
        <f>CHOOSE(CONTROL!$C$42, 8.1778, 8.1778)*CHOOSE(CONTROL!$C$21, $C$9, 100%, $E$9)</f>
        <v>8.1777999999999995</v>
      </c>
      <c r="G236" s="10">
        <f>CHOOSE(CONTROL!$C$42, 8.1944, 8.1944)*CHOOSE(CONTROL!$C$21, $C$9, 100%, $E$9)</f>
        <v>8.1943999999999999</v>
      </c>
      <c r="H236" s="10">
        <f>CHOOSE(CONTROL!$C$42, 8.4186, 8.4186) * CHOOSE(CONTROL!$C$21, $C$9, 100%, $E$9)</f>
        <v>8.4185999999999996</v>
      </c>
      <c r="I236" s="10">
        <f>CHOOSE(CONTROL!$C$42, 8.1986, 8.1986)* CHOOSE(CONTROL!$C$21, $C$9, 100%, $E$9)</f>
        <v>8.1986000000000008</v>
      </c>
      <c r="J236" s="10">
        <f>CHOOSE(CONTROL!$C$42, 8.1708, 8.1708)* CHOOSE(CONTROL!$C$21, $C$9, 100%, $E$9)</f>
        <v>8.1707999999999998</v>
      </c>
      <c r="K236" s="10">
        <f>CHOOSE(CONTROL!$C$42, 8.1011, 8.1011) * CHOOSE(CONTROL!$C$21, $C$9, 100%, $E$9)</f>
        <v>8.1011000000000006</v>
      </c>
      <c r="L236" s="10">
        <f>CHOOSE(CONTROL!$C$42, 9.0056, 9.0056) * CHOOSE(CONTROL!$C$21, $C$9, 100%, $E$9)</f>
        <v>9.0055999999999994</v>
      </c>
      <c r="M236" s="10">
        <f>CHOOSE(CONTROL!$C$42, 8.1022, 8.1022) * CHOOSE(CONTROL!$C$21, $C$9, 100%, $E$9)</f>
        <v>8.1021999999999998</v>
      </c>
      <c r="N236" s="10">
        <f>CHOOSE(CONTROL!$C$42, 8.1186, 8.1186) * CHOOSE(CONTROL!$C$21, $C$9, 100%, $E$9)</f>
        <v>8.1186000000000007</v>
      </c>
      <c r="O236" s="10">
        <f>CHOOSE(CONTROL!$C$42, 8.3475, 8.3475) * CHOOSE(CONTROL!$C$21, $C$9, 100%, $E$9)</f>
        <v>8.3475000000000001</v>
      </c>
      <c r="P236" s="10">
        <f>CHOOSE(CONTROL!$C$42, 8.1297, 8.1297) * CHOOSE(CONTROL!$C$21, $C$9, 100%, $E$9)</f>
        <v>8.1296999999999997</v>
      </c>
      <c r="Q236" s="10">
        <f>CHOOSE(CONTROL!$C$42, 8.9428, 8.9428) * CHOOSE(CONTROL!$C$21, $C$9, 100%, $E$9)</f>
        <v>8.9428000000000001</v>
      </c>
      <c r="R236" s="10">
        <f>CHOOSE(CONTROL!$C$42, 9.5522, 9.5522) * CHOOSE(CONTROL!$C$21, $C$9, 100%, $E$9)</f>
        <v>9.5521999999999991</v>
      </c>
      <c r="S236" s="10">
        <f>CHOOSE(CONTROL!$C$42, 7.9723, 7.9723) * CHOOSE(CONTROL!$C$21, $C$9, 100%, $E$9)</f>
        <v>7.9722999999999997</v>
      </c>
      <c r="T2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38">
        <f>(1000*CHOOSE(CONTROL!$C$42, 695, 695)*CHOOSE(CONTROL!$C$42, 0.5599, 0.5599)*CHOOSE(CONTROL!$C$42, 31, 31))/1000000</f>
        <v>12.063045499999998</v>
      </c>
      <c r="V236" s="38">
        <f>(1000*CHOOSE(CONTROL!$C$42, 500, 500)*CHOOSE(CONTROL!$C$42, 0.275, 0.275)*CHOOSE(CONTROL!$C$42, 31, 31))/1000000</f>
        <v>4.2625000000000002</v>
      </c>
      <c r="W236" s="38">
        <f>(1000*CHOOSE(CONTROL!$C$42, 0.1146, 0.1146)*CHOOSE(CONTROL!$C$42, 121.5, 121.5)*CHOOSE(CONTROL!$C$42, 31, 31))/1000000</f>
        <v>0.43164089999999994</v>
      </c>
      <c r="X236" s="38">
        <f>(31*0.1790888*245000/1000000)+(31*0.2374*100000/1000000)</f>
        <v>2.0961194359999999</v>
      </c>
      <c r="Y236" s="38">
        <f>(1000*600*CHOOSE(CONTROL!$C$42, 1.6597, 1.6597)*CHOOSE(CONTROL!$C$42, 31, 31))/1000000</f>
        <v>30.870419999999999</v>
      </c>
      <c r="Z236" s="38"/>
      <c r="AA236" s="10"/>
      <c r="AB236" s="39"/>
      <c r="AC236" s="33">
        <f>(B236*194.205+C236*267.466+D236*133.845+E236*53.484+F236*40+G236*185+H236*0+I236*100+J236*300)/(194.205+267.466+133.845+53.484+0+40+185+100+300)</f>
        <v>8.2287876498430137</v>
      </c>
      <c r="AD236" s="27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8.1787575539568351</v>
      </c>
    </row>
    <row r="237" spans="1:30" ht="15" x14ac:dyDescent="0.2">
      <c r="A237" s="16">
        <v>48458</v>
      </c>
      <c r="B237" s="10">
        <f>CHOOSE(CONTROL!$C$42, 7.6928, 7.6928) * CHOOSE(CONTROL!$C$21, $C$9, 100%, $E$9)</f>
        <v>7.6928000000000001</v>
      </c>
      <c r="C237" s="10">
        <f>CHOOSE(CONTROL!$C$42, 7.7008, 7.7008) * CHOOSE(CONTROL!$C$21, $C$9, 100%, $E$9)</f>
        <v>7.7008000000000001</v>
      </c>
      <c r="D237" s="10">
        <f>CHOOSE(CONTROL!$C$42, 7.8777, 7.8777) * CHOOSE(CONTROL!$C$21, $C$9, 100%, $E$9)</f>
        <v>7.8776999999999999</v>
      </c>
      <c r="E237" s="10">
        <f>CHOOSE(CONTROL!$C$42, 7.9089, 7.9089) * CHOOSE(CONTROL!$C$21, $C$9, 100%, $E$9)</f>
        <v>7.9089</v>
      </c>
      <c r="F237" s="10">
        <f>CHOOSE(CONTROL!$C$42, 7.6564, 7.6564)*CHOOSE(CONTROL!$C$21, $C$9, 100%, $E$9)</f>
        <v>7.6563999999999997</v>
      </c>
      <c r="G237" s="10">
        <f>CHOOSE(CONTROL!$C$42, 7.673, 7.673)*CHOOSE(CONTROL!$C$21, $C$9, 100%, $E$9)</f>
        <v>7.673</v>
      </c>
      <c r="H237" s="10">
        <f>CHOOSE(CONTROL!$C$42, 7.8975, 7.8975) * CHOOSE(CONTROL!$C$21, $C$9, 100%, $E$9)</f>
        <v>7.8975</v>
      </c>
      <c r="I237" s="10">
        <f>CHOOSE(CONTROL!$C$42, 7.6774, 7.6774)* CHOOSE(CONTROL!$C$21, $C$9, 100%, $E$9)</f>
        <v>7.6773999999999996</v>
      </c>
      <c r="J237" s="10">
        <f>CHOOSE(CONTROL!$C$42, 7.6494, 7.6494)* CHOOSE(CONTROL!$C$21, $C$9, 100%, $E$9)</f>
        <v>7.6494</v>
      </c>
      <c r="K237" s="10">
        <f>CHOOSE(CONTROL!$C$42, 7.5942, 7.5942) * CHOOSE(CONTROL!$C$21, $C$9, 100%, $E$9)</f>
        <v>7.5941999999999998</v>
      </c>
      <c r="L237" s="10">
        <f>CHOOSE(CONTROL!$C$42, 8.4845, 8.4845) * CHOOSE(CONTROL!$C$21, $C$9, 100%, $E$9)</f>
        <v>8.4845000000000006</v>
      </c>
      <c r="M237" s="10">
        <f>CHOOSE(CONTROL!$C$42, 7.5861, 7.5861) * CHOOSE(CONTROL!$C$21, $C$9, 100%, $E$9)</f>
        <v>7.5861000000000001</v>
      </c>
      <c r="N237" s="10">
        <f>CHOOSE(CONTROL!$C$42, 7.6024, 7.6024) * CHOOSE(CONTROL!$C$21, $C$9, 100%, $E$9)</f>
        <v>7.6024000000000003</v>
      </c>
      <c r="O237" s="10">
        <f>CHOOSE(CONTROL!$C$42, 7.8316, 7.8316) * CHOOSE(CONTROL!$C$21, $C$9, 100%, $E$9)</f>
        <v>7.8315999999999999</v>
      </c>
      <c r="P237" s="10">
        <f>CHOOSE(CONTROL!$C$42, 7.6138, 7.6138) * CHOOSE(CONTROL!$C$21, $C$9, 100%, $E$9)</f>
        <v>7.6138000000000003</v>
      </c>
      <c r="Q237" s="10">
        <f>CHOOSE(CONTROL!$C$42, 8.4269, 8.4269) * CHOOSE(CONTROL!$C$21, $C$9, 100%, $E$9)</f>
        <v>8.4268999999999998</v>
      </c>
      <c r="R237" s="10">
        <f>CHOOSE(CONTROL!$C$42, 9.035, 9.035) * CHOOSE(CONTROL!$C$21, $C$9, 100%, $E$9)</f>
        <v>9.0350000000000001</v>
      </c>
      <c r="S237" s="10">
        <f>CHOOSE(CONTROL!$C$42, 7.4663, 7.4663) * CHOOSE(CONTROL!$C$21, $C$9, 100%, $E$9)</f>
        <v>7.4663000000000004</v>
      </c>
      <c r="T2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38">
        <f>(1000*CHOOSE(CONTROL!$C$42, 695, 695)*CHOOSE(CONTROL!$C$42, 0.5599, 0.5599)*CHOOSE(CONTROL!$C$42, 30, 30))/1000000</f>
        <v>11.673914999999997</v>
      </c>
      <c r="V237" s="38">
        <f>(1000*CHOOSE(CONTROL!$C$42, 500, 500)*CHOOSE(CONTROL!$C$42, 0.275, 0.275)*CHOOSE(CONTROL!$C$42, 30, 30))/1000000</f>
        <v>4.125</v>
      </c>
      <c r="W237" s="38">
        <f>(1000*CHOOSE(CONTROL!$C$42, 0.1146, 0.1146)*CHOOSE(CONTROL!$C$42, 121.5, 121.5)*CHOOSE(CONTROL!$C$42, 30, 30))/1000000</f>
        <v>0.417717</v>
      </c>
      <c r="X237" s="38">
        <f>(30*0.1790888*245000/1000000)+(30*0.2374*100000/1000000)</f>
        <v>2.0285026799999999</v>
      </c>
      <c r="Y237" s="38">
        <f>(1000*600*CHOOSE(CONTROL!$C$42, 1.6597, 1.6597)*CHOOSE(CONTROL!$C$42, 30, 30))/1000000</f>
        <v>29.874600000000001</v>
      </c>
      <c r="Z237" s="38"/>
      <c r="AA237" s="10"/>
      <c r="AB237" s="39"/>
      <c r="AC237" s="33">
        <f>(B237*194.205+C237*267.466+D237*133.845+E237*53.484+F237*40+G237*185+H237*0+I237*100+J237*300)/(194.205+267.466+133.845+53.484+0+40+185+100+300)</f>
        <v>7.7075304245682892</v>
      </c>
      <c r="AD237" s="27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7.6627194244604322</v>
      </c>
    </row>
    <row r="238" spans="1:30" ht="15" x14ac:dyDescent="0.2">
      <c r="A238" s="16">
        <v>48488</v>
      </c>
      <c r="B238" s="10">
        <f>CHOOSE(CONTROL!$C$42, 7.5346, 7.5346) * CHOOSE(CONTROL!$C$21, $C$9, 100%, $E$9)</f>
        <v>7.5346000000000002</v>
      </c>
      <c r="C238" s="10">
        <f>CHOOSE(CONTROL!$C$42, 7.5398, 7.5398) * CHOOSE(CONTROL!$C$21, $C$9, 100%, $E$9)</f>
        <v>7.5397999999999996</v>
      </c>
      <c r="D238" s="10">
        <f>CHOOSE(CONTROL!$C$42, 7.7218, 7.7218) * CHOOSE(CONTROL!$C$21, $C$9, 100%, $E$9)</f>
        <v>7.7218</v>
      </c>
      <c r="E238" s="10">
        <f>CHOOSE(CONTROL!$C$42, 7.7506, 7.7506) * CHOOSE(CONTROL!$C$21, $C$9, 100%, $E$9)</f>
        <v>7.7506000000000004</v>
      </c>
      <c r="F238" s="10">
        <f>CHOOSE(CONTROL!$C$42, 7.5002, 7.5002)*CHOOSE(CONTROL!$C$21, $C$9, 100%, $E$9)</f>
        <v>7.5002000000000004</v>
      </c>
      <c r="G238" s="10">
        <f>CHOOSE(CONTROL!$C$42, 7.5164, 7.5164)*CHOOSE(CONTROL!$C$21, $C$9, 100%, $E$9)</f>
        <v>7.5164</v>
      </c>
      <c r="H238" s="10">
        <f>CHOOSE(CONTROL!$C$42, 7.741, 7.741) * CHOOSE(CONTROL!$C$21, $C$9, 100%, $E$9)</f>
        <v>7.7409999999999997</v>
      </c>
      <c r="I238" s="10">
        <f>CHOOSE(CONTROL!$C$42, 7.521, 7.521)* CHOOSE(CONTROL!$C$21, $C$9, 100%, $E$9)</f>
        <v>7.5209999999999999</v>
      </c>
      <c r="J238" s="10">
        <f>CHOOSE(CONTROL!$C$42, 7.4932, 7.4932)* CHOOSE(CONTROL!$C$21, $C$9, 100%, $E$9)</f>
        <v>7.4931999999999999</v>
      </c>
      <c r="K238" s="10">
        <f>CHOOSE(CONTROL!$C$42, 7.4428, 7.4428) * CHOOSE(CONTROL!$C$21, $C$9, 100%, $E$9)</f>
        <v>7.4428000000000001</v>
      </c>
      <c r="L238" s="10">
        <f>CHOOSE(CONTROL!$C$42, 8.328, 8.328) * CHOOSE(CONTROL!$C$21, $C$9, 100%, $E$9)</f>
        <v>8.3279999999999994</v>
      </c>
      <c r="M238" s="10">
        <f>CHOOSE(CONTROL!$C$42, 7.4314, 7.4314) * CHOOSE(CONTROL!$C$21, $C$9, 100%, $E$9)</f>
        <v>7.4314</v>
      </c>
      <c r="N238" s="10">
        <f>CHOOSE(CONTROL!$C$42, 7.4475, 7.4475) * CHOOSE(CONTROL!$C$21, $C$9, 100%, $E$9)</f>
        <v>7.4474999999999998</v>
      </c>
      <c r="O238" s="10">
        <f>CHOOSE(CONTROL!$C$42, 7.6767, 7.6767) * CHOOSE(CONTROL!$C$21, $C$9, 100%, $E$9)</f>
        <v>7.6767000000000003</v>
      </c>
      <c r="P238" s="10">
        <f>CHOOSE(CONTROL!$C$42, 7.4589, 7.4589) * CHOOSE(CONTROL!$C$21, $C$9, 100%, $E$9)</f>
        <v>7.4588999999999999</v>
      </c>
      <c r="Q238" s="10">
        <f>CHOOSE(CONTROL!$C$42, 8.272, 8.272) * CHOOSE(CONTROL!$C$21, $C$9, 100%, $E$9)</f>
        <v>8.2720000000000002</v>
      </c>
      <c r="R238" s="10">
        <f>CHOOSE(CONTROL!$C$42, 8.8797, 8.8797) * CHOOSE(CONTROL!$C$21, $C$9, 100%, $E$9)</f>
        <v>8.8796999999999997</v>
      </c>
      <c r="S238" s="10">
        <f>CHOOSE(CONTROL!$C$42, 7.3143, 7.3143) * CHOOSE(CONTROL!$C$21, $C$9, 100%, $E$9)</f>
        <v>7.3143000000000002</v>
      </c>
      <c r="T2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38">
        <f>(1000*CHOOSE(CONTROL!$C$42, 695, 695)*CHOOSE(CONTROL!$C$42, 0.5599, 0.5599)*CHOOSE(CONTROL!$C$42, 31, 31))/1000000</f>
        <v>12.063045499999998</v>
      </c>
      <c r="V238" s="38">
        <f>(1000*CHOOSE(CONTROL!$C$42, 500, 500)*CHOOSE(CONTROL!$C$42, 0.275, 0.275)*CHOOSE(CONTROL!$C$42, 31, 31))/1000000</f>
        <v>4.2625000000000002</v>
      </c>
      <c r="W238" s="38">
        <f>(1000*CHOOSE(CONTROL!$C$42, 0.1146, 0.1146)*CHOOSE(CONTROL!$C$42, 121.5, 121.5)*CHOOSE(CONTROL!$C$42, 31, 31))/1000000</f>
        <v>0.43164089999999994</v>
      </c>
      <c r="X238" s="38">
        <f>(31*0.1790888*245000/1000000)+(31*0.2374*100000/1000000)</f>
        <v>2.0961194359999999</v>
      </c>
      <c r="Y238" s="38">
        <f>(1000*600*CHOOSE(CONTROL!$C$42, 1.6597, 1.6597)*CHOOSE(CONTROL!$C$42, 31, 31))/1000000</f>
        <v>30.870419999999999</v>
      </c>
      <c r="Z238" s="38"/>
      <c r="AA238" s="10"/>
      <c r="AB238" s="39"/>
      <c r="AC238" s="33">
        <f>(B238*131.881+C238*277.167+D238*79.08+E238*125.872+F238*40+G238*185+H238*0+I238*100+J238*300)/(131.881+277.167+79.08+125.872+0+40+185+100+300)</f>
        <v>7.5547052432606954</v>
      </c>
      <c r="AD238" s="27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7.5078884892086331</v>
      </c>
    </row>
    <row r="239" spans="1:30" ht="15" x14ac:dyDescent="0.2">
      <c r="A239" s="16">
        <v>48519</v>
      </c>
      <c r="B239" s="10">
        <f>CHOOSE(CONTROL!$C$42, 7.7326, 7.7326) * CHOOSE(CONTROL!$C$21, $C$9, 100%, $E$9)</f>
        <v>7.7325999999999997</v>
      </c>
      <c r="C239" s="10">
        <f>CHOOSE(CONTROL!$C$42, 7.7375, 7.7375) * CHOOSE(CONTROL!$C$21, $C$9, 100%, $E$9)</f>
        <v>7.7374999999999998</v>
      </c>
      <c r="D239" s="10">
        <f>CHOOSE(CONTROL!$C$42, 7.762, 7.762) * CHOOSE(CONTROL!$C$21, $C$9, 100%, $E$9)</f>
        <v>7.7619999999999996</v>
      </c>
      <c r="E239" s="10">
        <f>CHOOSE(CONTROL!$C$42, 7.7958, 7.7958) * CHOOSE(CONTROL!$C$21, $C$9, 100%, $E$9)</f>
        <v>7.7957999999999998</v>
      </c>
      <c r="F239" s="10">
        <f>CHOOSE(CONTROL!$C$42, 7.7019, 7.7019)*CHOOSE(CONTROL!$C$21, $C$9, 100%, $E$9)</f>
        <v>7.7019000000000002</v>
      </c>
      <c r="G239" s="10">
        <f>CHOOSE(CONTROL!$C$42, 7.7183, 7.7183)*CHOOSE(CONTROL!$C$21, $C$9, 100%, $E$9)</f>
        <v>7.7183000000000002</v>
      </c>
      <c r="H239" s="10">
        <f>CHOOSE(CONTROL!$C$42, 7.785, 7.785) * CHOOSE(CONTROL!$C$21, $C$9, 100%, $E$9)</f>
        <v>7.7850000000000001</v>
      </c>
      <c r="I239" s="10">
        <f>CHOOSE(CONTROL!$C$42, 7.7194, 7.7194)* CHOOSE(CONTROL!$C$21, $C$9, 100%, $E$9)</f>
        <v>7.7194000000000003</v>
      </c>
      <c r="J239" s="10">
        <f>CHOOSE(CONTROL!$C$42, 7.6949, 7.6949)* CHOOSE(CONTROL!$C$21, $C$9, 100%, $E$9)</f>
        <v>7.6948999999999996</v>
      </c>
      <c r="K239" s="10">
        <f>CHOOSE(CONTROL!$C$42, 7.637, 7.637) * CHOOSE(CONTROL!$C$21, $C$9, 100%, $E$9)</f>
        <v>7.6369999999999996</v>
      </c>
      <c r="L239" s="10">
        <f>CHOOSE(CONTROL!$C$42, 8.372, 8.372) * CHOOSE(CONTROL!$C$21, $C$9, 100%, $E$9)</f>
        <v>8.3719999999999999</v>
      </c>
      <c r="M239" s="10">
        <f>CHOOSE(CONTROL!$C$42, 7.6311, 7.6311) * CHOOSE(CONTROL!$C$21, $C$9, 100%, $E$9)</f>
        <v>7.6311</v>
      </c>
      <c r="N239" s="10">
        <f>CHOOSE(CONTROL!$C$42, 7.6473, 7.6473) * CHOOSE(CONTROL!$C$21, $C$9, 100%, $E$9)</f>
        <v>7.6473000000000004</v>
      </c>
      <c r="O239" s="10">
        <f>CHOOSE(CONTROL!$C$42, 7.7202, 7.7202) * CHOOSE(CONTROL!$C$21, $C$9, 100%, $E$9)</f>
        <v>7.7202000000000002</v>
      </c>
      <c r="P239" s="10">
        <f>CHOOSE(CONTROL!$C$42, 7.6553, 7.6553) * CHOOSE(CONTROL!$C$21, $C$9, 100%, $E$9)</f>
        <v>7.6553000000000004</v>
      </c>
      <c r="Q239" s="10">
        <f>CHOOSE(CONTROL!$C$42, 8.3155, 8.3155) * CHOOSE(CONTROL!$C$21, $C$9, 100%, $E$9)</f>
        <v>8.3155000000000001</v>
      </c>
      <c r="R239" s="10">
        <f>CHOOSE(CONTROL!$C$42, 8.9233, 8.9233) * CHOOSE(CONTROL!$C$21, $C$9, 100%, $E$9)</f>
        <v>8.9232999999999993</v>
      </c>
      <c r="S239" s="10">
        <f>CHOOSE(CONTROL!$C$42, 7.507, 7.507) * CHOOSE(CONTROL!$C$21, $C$9, 100%, $E$9)</f>
        <v>7.5069999999999997</v>
      </c>
      <c r="T2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38">
        <f>(1000*CHOOSE(CONTROL!$C$42, 695, 695)*CHOOSE(CONTROL!$C$42, 0.5599, 0.5599)*CHOOSE(CONTROL!$C$42, 30, 30))/1000000</f>
        <v>11.673914999999997</v>
      </c>
      <c r="V239" s="38">
        <f>(1000*CHOOSE(CONTROL!$C$42, 500, 500)*CHOOSE(CONTROL!$C$42, 0.275, 0.275)*CHOOSE(CONTROL!$C$42, 30, 30))/1000000</f>
        <v>4.125</v>
      </c>
      <c r="W239" s="38">
        <f>(1000*CHOOSE(CONTROL!$C$42, 0.1146, 0.1146)*CHOOSE(CONTROL!$C$42, 121.5, 121.5)*CHOOSE(CONTROL!$C$42, 30, 30))/1000000</f>
        <v>0.417717</v>
      </c>
      <c r="X239" s="38">
        <f>(30*0.1790888*100000/1000000)+(30*0.2374*100000/1000000)</f>
        <v>1.2494664</v>
      </c>
      <c r="Y239" s="38">
        <f>(1000*600*CHOOSE(CONTROL!$C$42, 1.6597, 1.6597)*CHOOSE(CONTROL!$C$42, 30, 30))/1000000</f>
        <v>29.874600000000001</v>
      </c>
      <c r="Z239" s="38"/>
      <c r="AA239" s="10"/>
      <c r="AB239" s="39"/>
      <c r="AC239" s="33">
        <f>(B239*122.58+C239*297.941+D239*89.177+E239*40.302+F239*40+G239*160+H239*0+I239*100+J239*300)/(122.58+297.941+89.177+40.302+0+40+160+100+300)</f>
        <v>7.7243241748695644</v>
      </c>
      <c r="AD239" s="27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7.6758978417266173</v>
      </c>
    </row>
    <row r="240" spans="1:30" ht="15" x14ac:dyDescent="0.2">
      <c r="A240" s="16">
        <v>48549</v>
      </c>
      <c r="B240" s="10">
        <f>CHOOSE(CONTROL!$C$42, 8.2596, 8.2596) * CHOOSE(CONTROL!$C$21, $C$9, 100%, $E$9)</f>
        <v>8.2596000000000007</v>
      </c>
      <c r="C240" s="10">
        <f>CHOOSE(CONTROL!$C$42, 8.2645, 8.2645) * CHOOSE(CONTROL!$C$21, $C$9, 100%, $E$9)</f>
        <v>8.2645</v>
      </c>
      <c r="D240" s="10">
        <f>CHOOSE(CONTROL!$C$42, 8.289, 8.289) * CHOOSE(CONTROL!$C$21, $C$9, 100%, $E$9)</f>
        <v>8.2889999999999997</v>
      </c>
      <c r="E240" s="10">
        <f>CHOOSE(CONTROL!$C$42, 8.3228, 8.3228) * CHOOSE(CONTROL!$C$21, $C$9, 100%, $E$9)</f>
        <v>8.3228000000000009</v>
      </c>
      <c r="F240" s="10">
        <f>CHOOSE(CONTROL!$C$42, 8.2312, 8.2312)*CHOOSE(CONTROL!$C$21, $C$9, 100%, $E$9)</f>
        <v>8.2311999999999994</v>
      </c>
      <c r="G240" s="10">
        <f>CHOOSE(CONTROL!$C$42, 8.2483, 8.2483)*CHOOSE(CONTROL!$C$21, $C$9, 100%, $E$9)</f>
        <v>8.2483000000000004</v>
      </c>
      <c r="H240" s="10">
        <f>CHOOSE(CONTROL!$C$42, 8.312, 8.312) * CHOOSE(CONTROL!$C$21, $C$9, 100%, $E$9)</f>
        <v>8.3119999999999994</v>
      </c>
      <c r="I240" s="10">
        <f>CHOOSE(CONTROL!$C$42, 8.2464, 8.2464)* CHOOSE(CONTROL!$C$21, $C$9, 100%, $E$9)</f>
        <v>8.2463999999999995</v>
      </c>
      <c r="J240" s="10">
        <f>CHOOSE(CONTROL!$C$42, 8.2242, 8.2242)* CHOOSE(CONTROL!$C$21, $C$9, 100%, $E$9)</f>
        <v>8.2241999999999997</v>
      </c>
      <c r="K240" s="10">
        <f>CHOOSE(CONTROL!$C$42, 8.1541, 8.1541) * CHOOSE(CONTROL!$C$21, $C$9, 100%, $E$9)</f>
        <v>8.1540999999999997</v>
      </c>
      <c r="L240" s="10">
        <f>CHOOSE(CONTROL!$C$42, 8.899, 8.899) * CHOOSE(CONTROL!$C$21, $C$9, 100%, $E$9)</f>
        <v>8.8989999999999991</v>
      </c>
      <c r="M240" s="10">
        <f>CHOOSE(CONTROL!$C$42, 8.155, 8.155) * CHOOSE(CONTROL!$C$21, $C$9, 100%, $E$9)</f>
        <v>8.1549999999999994</v>
      </c>
      <c r="N240" s="10">
        <f>CHOOSE(CONTROL!$C$42, 8.1719, 8.1719) * CHOOSE(CONTROL!$C$21, $C$9, 100%, $E$9)</f>
        <v>8.1719000000000008</v>
      </c>
      <c r="O240" s="10">
        <f>CHOOSE(CONTROL!$C$42, 8.2419, 8.2419) * CHOOSE(CONTROL!$C$21, $C$9, 100%, $E$9)</f>
        <v>8.2418999999999993</v>
      </c>
      <c r="P240" s="10">
        <f>CHOOSE(CONTROL!$C$42, 8.177, 8.177) * CHOOSE(CONTROL!$C$21, $C$9, 100%, $E$9)</f>
        <v>8.1769999999999996</v>
      </c>
      <c r="Q240" s="10">
        <f>CHOOSE(CONTROL!$C$42, 8.8372, 8.8372) * CHOOSE(CONTROL!$C$21, $C$9, 100%, $E$9)</f>
        <v>8.8371999999999993</v>
      </c>
      <c r="R240" s="10">
        <f>CHOOSE(CONTROL!$C$42, 9.4463, 9.4463) * CHOOSE(CONTROL!$C$21, $C$9, 100%, $E$9)</f>
        <v>9.4463000000000008</v>
      </c>
      <c r="S240" s="10">
        <f>CHOOSE(CONTROL!$C$42, 8.0188, 8.0188) * CHOOSE(CONTROL!$C$21, $C$9, 100%, $E$9)</f>
        <v>8.0188000000000006</v>
      </c>
      <c r="T2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38">
        <f>(1000*CHOOSE(CONTROL!$C$42, 695, 695)*CHOOSE(CONTROL!$C$42, 0.5599, 0.5599)*CHOOSE(CONTROL!$C$42, 31, 31))/1000000</f>
        <v>12.063045499999998</v>
      </c>
      <c r="V240" s="38">
        <f>(1000*CHOOSE(CONTROL!$C$42, 500, 500)*CHOOSE(CONTROL!$C$42, 0.275, 0.275)*CHOOSE(CONTROL!$C$42, 31, 31))/1000000</f>
        <v>4.2625000000000002</v>
      </c>
      <c r="W240" s="38">
        <f>(1000*CHOOSE(CONTROL!$C$42, 0.1146, 0.1146)*CHOOSE(CONTROL!$C$42, 121.5, 121.5)*CHOOSE(CONTROL!$C$42, 31, 31))/1000000</f>
        <v>0.43164089999999994</v>
      </c>
      <c r="X240" s="38">
        <f>(31*0.1790888*100000/1000000)+(31*0.2374*100000/1000000)</f>
        <v>1.2911152800000001</v>
      </c>
      <c r="Y240" s="38">
        <f>(1000*600*CHOOSE(CONTROL!$C$42, 1.6597, 1.6597)*CHOOSE(CONTROL!$C$42, 31, 31))/1000000</f>
        <v>30.870419999999999</v>
      </c>
      <c r="Z240" s="38"/>
      <c r="AA240" s="10"/>
      <c r="AB240" s="39"/>
      <c r="AC240" s="33">
        <f>(B240*122.58+C240*297.941+D240*89.177+E240*40.302+F240*40+G240*160+H240*0+I240*100+J240*300)/(122.58+297.941+89.177+40.302+0+40+160+100+300)</f>
        <v>8.2524215661739113</v>
      </c>
      <c r="AD240" s="27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8.1985244604316545</v>
      </c>
    </row>
    <row r="241" spans="1:30" ht="15" x14ac:dyDescent="0.2">
      <c r="A241" s="16">
        <v>48580</v>
      </c>
      <c r="B241" s="10">
        <f>CHOOSE(CONTROL!$C$42, 8.8169, 8.8169) * CHOOSE(CONTROL!$C$21, $C$9, 100%, $E$9)</f>
        <v>8.8169000000000004</v>
      </c>
      <c r="C241" s="10">
        <f>CHOOSE(CONTROL!$C$42, 8.8218, 8.8218) * CHOOSE(CONTROL!$C$21, $C$9, 100%, $E$9)</f>
        <v>8.8217999999999996</v>
      </c>
      <c r="D241" s="10">
        <f>CHOOSE(CONTROL!$C$42, 8.8463, 8.8463) * CHOOSE(CONTROL!$C$21, $C$9, 100%, $E$9)</f>
        <v>8.8462999999999994</v>
      </c>
      <c r="E241" s="10">
        <f>CHOOSE(CONTROL!$C$42, 8.8801, 8.8801) * CHOOSE(CONTROL!$C$21, $C$9, 100%, $E$9)</f>
        <v>8.8801000000000005</v>
      </c>
      <c r="F241" s="10">
        <f>CHOOSE(CONTROL!$C$42, 8.7998, 8.7998)*CHOOSE(CONTROL!$C$21, $C$9, 100%, $E$9)</f>
        <v>8.7997999999999994</v>
      </c>
      <c r="G241" s="10">
        <f>CHOOSE(CONTROL!$C$42, 8.8185, 8.8185)*CHOOSE(CONTROL!$C$21, $C$9, 100%, $E$9)</f>
        <v>8.8185000000000002</v>
      </c>
      <c r="H241" s="10">
        <f>CHOOSE(CONTROL!$C$42, 8.8693, 8.8693) * CHOOSE(CONTROL!$C$21, $C$9, 100%, $E$9)</f>
        <v>8.8693000000000008</v>
      </c>
      <c r="I241" s="10">
        <f>CHOOSE(CONTROL!$C$42, 8.8114, 8.8114)* CHOOSE(CONTROL!$C$21, $C$9, 100%, $E$9)</f>
        <v>8.8114000000000008</v>
      </c>
      <c r="J241" s="10">
        <f>CHOOSE(CONTROL!$C$42, 8.7928, 8.7928)* CHOOSE(CONTROL!$C$21, $C$9, 100%, $E$9)</f>
        <v>8.7927999999999997</v>
      </c>
      <c r="K241" s="10">
        <f>CHOOSE(CONTROL!$C$42, 8.7165, 8.7165) * CHOOSE(CONTROL!$C$21, $C$9, 100%, $E$9)</f>
        <v>8.7164999999999999</v>
      </c>
      <c r="L241" s="10">
        <f>CHOOSE(CONTROL!$C$42, 9.4563, 9.4563) * CHOOSE(CONTROL!$C$21, $C$9, 100%, $E$9)</f>
        <v>9.4563000000000006</v>
      </c>
      <c r="M241" s="10">
        <f>CHOOSE(CONTROL!$C$42, 8.7179, 8.7179) * CHOOSE(CONTROL!$C$21, $C$9, 100%, $E$9)</f>
        <v>8.7179000000000002</v>
      </c>
      <c r="N241" s="10">
        <f>CHOOSE(CONTROL!$C$42, 8.7364, 8.7364) * CHOOSE(CONTROL!$C$21, $C$9, 100%, $E$9)</f>
        <v>8.7363999999999997</v>
      </c>
      <c r="O241" s="10">
        <f>CHOOSE(CONTROL!$C$42, 8.7936, 8.7936) * CHOOSE(CONTROL!$C$21, $C$9, 100%, $E$9)</f>
        <v>8.7935999999999996</v>
      </c>
      <c r="P241" s="10">
        <f>CHOOSE(CONTROL!$C$42, 8.7363, 8.7363) * CHOOSE(CONTROL!$C$21, $C$9, 100%, $E$9)</f>
        <v>8.7363</v>
      </c>
      <c r="Q241" s="10">
        <f>CHOOSE(CONTROL!$C$42, 9.3889, 9.3889) * CHOOSE(CONTROL!$C$21, $C$9, 100%, $E$9)</f>
        <v>9.3888999999999996</v>
      </c>
      <c r="R241" s="10">
        <f>CHOOSE(CONTROL!$C$42, 9.9993, 9.9993) * CHOOSE(CONTROL!$C$21, $C$9, 100%, $E$9)</f>
        <v>9.9992999999999999</v>
      </c>
      <c r="S241" s="10">
        <f>CHOOSE(CONTROL!$C$42, 8.5599, 8.5599) * CHOOSE(CONTROL!$C$21, $C$9, 100%, $E$9)</f>
        <v>8.5599000000000007</v>
      </c>
      <c r="T2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38">
        <f>(1000*CHOOSE(CONTROL!$C$42, 695, 695)*CHOOSE(CONTROL!$C$42, 0.5599, 0.5599)*CHOOSE(CONTROL!$C$42, 31, 31))/1000000</f>
        <v>12.063045499999998</v>
      </c>
      <c r="V241" s="38">
        <f>(1000*CHOOSE(CONTROL!$C$42, 500, 500)*CHOOSE(CONTROL!$C$42, 0.275, 0.275)*CHOOSE(CONTROL!$C$42, 31, 31))/1000000</f>
        <v>4.2625000000000002</v>
      </c>
      <c r="W241" s="38">
        <f>(1000*CHOOSE(CONTROL!$C$42, 0.1146, 0.1146)*CHOOSE(CONTROL!$C$42, 121.5, 121.5)*CHOOSE(CONTROL!$C$42, 31, 31))/1000000</f>
        <v>0.43164089999999994</v>
      </c>
      <c r="X241" s="38">
        <f>(31*0.1790888*100000/1000000)+(31*0.2374*100000/1000000)</f>
        <v>1.2911152800000001</v>
      </c>
      <c r="Y241" s="38">
        <f>(1000*600*CHOOSE(CONTROL!$C$42, 1.6545, 1.6545)*CHOOSE(CONTROL!$C$42, 31, 31))/1000000</f>
        <v>30.773700000000002</v>
      </c>
      <c r="Z241" s="38"/>
      <c r="AA241" s="10"/>
      <c r="AB241" s="39"/>
      <c r="AC241" s="33">
        <f>(B241*122.58+C241*297.941+D241*89.177+E241*40.302+F241*40+G241*160+H241*0+I241*100+J241*300)/(122.58+297.941+89.177+40.302+0+40+160+100+300)</f>
        <v>8.8155267835652182</v>
      </c>
      <c r="AD241" s="27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8.7559223021582753</v>
      </c>
    </row>
    <row r="242" spans="1:30" ht="15" x14ac:dyDescent="0.2">
      <c r="A242" s="16">
        <v>48611</v>
      </c>
      <c r="B242" s="10">
        <f>CHOOSE(CONTROL!$C$42, 8.9738, 8.9738) * CHOOSE(CONTROL!$C$21, $C$9, 100%, $E$9)</f>
        <v>8.9738000000000007</v>
      </c>
      <c r="C242" s="10">
        <f>CHOOSE(CONTROL!$C$42, 8.9787, 8.9787) * CHOOSE(CONTROL!$C$21, $C$9, 100%, $E$9)</f>
        <v>8.9786999999999999</v>
      </c>
      <c r="D242" s="10">
        <f>CHOOSE(CONTROL!$C$42, 9.0032, 9.0032) * CHOOSE(CONTROL!$C$21, $C$9, 100%, $E$9)</f>
        <v>9.0031999999999996</v>
      </c>
      <c r="E242" s="10">
        <f>CHOOSE(CONTROL!$C$42, 9.037, 9.037) * CHOOSE(CONTROL!$C$21, $C$9, 100%, $E$9)</f>
        <v>9.0370000000000008</v>
      </c>
      <c r="F242" s="10">
        <f>CHOOSE(CONTROL!$C$42, 8.956, 8.956)*CHOOSE(CONTROL!$C$21, $C$9, 100%, $E$9)</f>
        <v>8.9559999999999995</v>
      </c>
      <c r="G242" s="10">
        <f>CHOOSE(CONTROL!$C$42, 8.9745, 8.9745)*CHOOSE(CONTROL!$C$21, $C$9, 100%, $E$9)</f>
        <v>8.9745000000000008</v>
      </c>
      <c r="H242" s="10">
        <f>CHOOSE(CONTROL!$C$42, 9.0262, 9.0262) * CHOOSE(CONTROL!$C$21, $C$9, 100%, $E$9)</f>
        <v>9.0261999999999993</v>
      </c>
      <c r="I242" s="10">
        <f>CHOOSE(CONTROL!$C$42, 8.9683, 8.9683)* CHOOSE(CONTROL!$C$21, $C$9, 100%, $E$9)</f>
        <v>8.9682999999999993</v>
      </c>
      <c r="J242" s="10">
        <f>CHOOSE(CONTROL!$C$42, 8.949, 8.949)* CHOOSE(CONTROL!$C$21, $C$9, 100%, $E$9)</f>
        <v>8.9489999999999998</v>
      </c>
      <c r="K242" s="10">
        <f>CHOOSE(CONTROL!$C$42, 8.8675, 8.8675) * CHOOSE(CONTROL!$C$21, $C$9, 100%, $E$9)</f>
        <v>8.8674999999999997</v>
      </c>
      <c r="L242" s="10">
        <f>CHOOSE(CONTROL!$C$42, 9.6132, 9.6132) * CHOOSE(CONTROL!$C$21, $C$9, 100%, $E$9)</f>
        <v>9.6132000000000009</v>
      </c>
      <c r="M242" s="10">
        <f>CHOOSE(CONTROL!$C$42, 8.8725, 8.8725) * CHOOSE(CONTROL!$C$21, $C$9, 100%, $E$9)</f>
        <v>8.8725000000000005</v>
      </c>
      <c r="N242" s="10">
        <f>CHOOSE(CONTROL!$C$42, 8.8908, 8.8908) * CHOOSE(CONTROL!$C$21, $C$9, 100%, $E$9)</f>
        <v>8.8908000000000005</v>
      </c>
      <c r="O242" s="10">
        <f>CHOOSE(CONTROL!$C$42, 8.9489, 8.9489) * CHOOSE(CONTROL!$C$21, $C$9, 100%, $E$9)</f>
        <v>8.9489000000000001</v>
      </c>
      <c r="P242" s="10">
        <f>CHOOSE(CONTROL!$C$42, 8.8916, 8.8916) * CHOOSE(CONTROL!$C$21, $C$9, 100%, $E$9)</f>
        <v>8.8916000000000004</v>
      </c>
      <c r="Q242" s="10">
        <f>CHOOSE(CONTROL!$C$42, 9.5442, 9.5442) * CHOOSE(CONTROL!$C$21, $C$9, 100%, $E$9)</f>
        <v>9.5442</v>
      </c>
      <c r="R242" s="10">
        <f>CHOOSE(CONTROL!$C$42, 10.1551, 10.1551) * CHOOSE(CONTROL!$C$21, $C$9, 100%, $E$9)</f>
        <v>10.155099999999999</v>
      </c>
      <c r="S242" s="10">
        <f>CHOOSE(CONTROL!$C$42, 8.7123, 8.7123) * CHOOSE(CONTROL!$C$21, $C$9, 100%, $E$9)</f>
        <v>8.7123000000000008</v>
      </c>
      <c r="T2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42" s="38">
        <f>(1000*CHOOSE(CONTROL!$C$42, 695, 695)*CHOOSE(CONTROL!$C$42, 0.5599, 0.5599)*CHOOSE(CONTROL!$C$42, 28, 28))/1000000</f>
        <v>10.895653999999999</v>
      </c>
      <c r="V242" s="38">
        <f>(1000*CHOOSE(CONTROL!$C$42, 500, 500)*CHOOSE(CONTROL!$C$42, 0.275, 0.275)*CHOOSE(CONTROL!$C$42, 28, 28))/1000000</f>
        <v>3.85</v>
      </c>
      <c r="W242" s="38">
        <f>(1000*CHOOSE(CONTROL!$C$42, 0.1146, 0.1146)*CHOOSE(CONTROL!$C$42, 121.5, 121.5)*CHOOSE(CONTROL!$C$42, 28, 28))/1000000</f>
        <v>0.38986920000000003</v>
      </c>
      <c r="X242" s="38">
        <f>(28*0.1790888*100000/1000000)+(28*0.2374*100000/1000000)</f>
        <v>1.16616864</v>
      </c>
      <c r="Y242" s="38">
        <f>(1000*600*CHOOSE(CONTROL!$C$42, 1.6545, 1.6545)*CHOOSE(CONTROL!$C$42, 28, 28))/1000000</f>
        <v>27.7956</v>
      </c>
      <c r="Z242" s="38"/>
      <c r="AA242" s="10"/>
      <c r="AB242" s="39"/>
      <c r="AC242" s="33">
        <f>(B242*122.58+C242*297.941+D242*89.177+E242*40.302+F242*40+G242*160+H242*0+I242*100+J242*300)/(122.58+297.941+89.177+40.302+0+40+160+100+300)</f>
        <v>8.9720946096521725</v>
      </c>
      <c r="AD242" s="27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8.910928776978416</v>
      </c>
    </row>
    <row r="243" spans="1:30" ht="15" x14ac:dyDescent="0.2">
      <c r="A243" s="16">
        <v>48639</v>
      </c>
      <c r="B243" s="10">
        <f>CHOOSE(CONTROL!$C$42, 8.7191, 8.7191) * CHOOSE(CONTROL!$C$21, $C$9, 100%, $E$9)</f>
        <v>8.7190999999999992</v>
      </c>
      <c r="C243" s="10">
        <f>CHOOSE(CONTROL!$C$42, 8.724, 8.724) * CHOOSE(CONTROL!$C$21, $C$9, 100%, $E$9)</f>
        <v>8.7240000000000002</v>
      </c>
      <c r="D243" s="10">
        <f>CHOOSE(CONTROL!$C$42, 8.7485, 8.7485) * CHOOSE(CONTROL!$C$21, $C$9, 100%, $E$9)</f>
        <v>8.7484999999999999</v>
      </c>
      <c r="E243" s="10">
        <f>CHOOSE(CONTROL!$C$42, 8.7823, 8.7823) * CHOOSE(CONTROL!$C$21, $C$9, 100%, $E$9)</f>
        <v>8.7822999999999993</v>
      </c>
      <c r="F243" s="10">
        <f>CHOOSE(CONTROL!$C$42, 8.6998, 8.6998)*CHOOSE(CONTROL!$C$21, $C$9, 100%, $E$9)</f>
        <v>8.6997999999999998</v>
      </c>
      <c r="G243" s="10">
        <f>CHOOSE(CONTROL!$C$42, 8.7179, 8.7179)*CHOOSE(CONTROL!$C$21, $C$9, 100%, $E$9)</f>
        <v>8.7179000000000002</v>
      </c>
      <c r="H243" s="10">
        <f>CHOOSE(CONTROL!$C$42, 8.7715, 8.7715) * CHOOSE(CONTROL!$C$21, $C$9, 100%, $E$9)</f>
        <v>8.7714999999999996</v>
      </c>
      <c r="I243" s="10">
        <f>CHOOSE(CONTROL!$C$42, 8.7136, 8.7136)* CHOOSE(CONTROL!$C$21, $C$9, 100%, $E$9)</f>
        <v>8.7135999999999996</v>
      </c>
      <c r="J243" s="10">
        <f>CHOOSE(CONTROL!$C$42, 8.6928, 8.6928)* CHOOSE(CONTROL!$C$21, $C$9, 100%, $E$9)</f>
        <v>8.6928000000000001</v>
      </c>
      <c r="K243" s="10">
        <f>CHOOSE(CONTROL!$C$42, 8.6167, 8.6167) * CHOOSE(CONTROL!$C$21, $C$9, 100%, $E$9)</f>
        <v>8.6166999999999998</v>
      </c>
      <c r="L243" s="10">
        <f>CHOOSE(CONTROL!$C$42, 9.3585, 9.3585) * CHOOSE(CONTROL!$C$21, $C$9, 100%, $E$9)</f>
        <v>9.3584999999999994</v>
      </c>
      <c r="M243" s="10">
        <f>CHOOSE(CONTROL!$C$42, 8.6189, 8.6189) * CHOOSE(CONTROL!$C$21, $C$9, 100%, $E$9)</f>
        <v>8.6189</v>
      </c>
      <c r="N243" s="10">
        <f>CHOOSE(CONTROL!$C$42, 8.6368, 8.6368) * CHOOSE(CONTROL!$C$21, $C$9, 100%, $E$9)</f>
        <v>8.6367999999999991</v>
      </c>
      <c r="O243" s="10">
        <f>CHOOSE(CONTROL!$C$42, 8.6968, 8.6968) * CHOOSE(CONTROL!$C$21, $C$9, 100%, $E$9)</f>
        <v>8.6967999999999996</v>
      </c>
      <c r="P243" s="10">
        <f>CHOOSE(CONTROL!$C$42, 8.6395, 8.6395) * CHOOSE(CONTROL!$C$21, $C$9, 100%, $E$9)</f>
        <v>8.6395</v>
      </c>
      <c r="Q243" s="10">
        <f>CHOOSE(CONTROL!$C$42, 9.2921, 9.2921) * CHOOSE(CONTROL!$C$21, $C$9, 100%, $E$9)</f>
        <v>9.2920999999999996</v>
      </c>
      <c r="R243" s="10">
        <f>CHOOSE(CONTROL!$C$42, 9.9023, 9.9023) * CHOOSE(CONTROL!$C$21, $C$9, 100%, $E$9)</f>
        <v>9.9023000000000003</v>
      </c>
      <c r="S243" s="10">
        <f>CHOOSE(CONTROL!$C$42, 8.465, 8.465) * CHOOSE(CONTROL!$C$21, $C$9, 100%, $E$9)</f>
        <v>8.4649999999999999</v>
      </c>
      <c r="T2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38">
        <f>(1000*CHOOSE(CONTROL!$C$42, 695, 695)*CHOOSE(CONTROL!$C$42, 0.5599, 0.5599)*CHOOSE(CONTROL!$C$42, 31, 31))/1000000</f>
        <v>12.063045499999998</v>
      </c>
      <c r="V243" s="38">
        <f>(1000*CHOOSE(CONTROL!$C$42, 500, 500)*CHOOSE(CONTROL!$C$42, 0.275, 0.275)*CHOOSE(CONTROL!$C$42, 31, 31))/1000000</f>
        <v>4.2625000000000002</v>
      </c>
      <c r="W243" s="38">
        <f>(1000*CHOOSE(CONTROL!$C$42, 0.1146, 0.1146)*CHOOSE(CONTROL!$C$42, 121.5, 121.5)*CHOOSE(CONTROL!$C$42, 31, 31))/1000000</f>
        <v>0.43164089999999994</v>
      </c>
      <c r="X243" s="38">
        <f>(31*0.1790888*100000/1000000)+(31*0.2374*100000/1000000)</f>
        <v>1.2911152800000001</v>
      </c>
      <c r="Y243" s="38">
        <f>(1000*600*CHOOSE(CONTROL!$C$42, 1.6545, 1.6545)*CHOOSE(CONTROL!$C$42, 31, 31))/1000000</f>
        <v>30.773700000000002</v>
      </c>
      <c r="Z243" s="38"/>
      <c r="AA243" s="10"/>
      <c r="AB243" s="39"/>
      <c r="AC243" s="33">
        <f>(B243*122.58+C243*297.941+D243*89.177+E243*40.302+F243*40+G243*160+H243*0+I243*100+J243*300)/(122.58+297.941+89.177+40.302+0+40+160+100+300)</f>
        <v>8.7166867835652191</v>
      </c>
      <c r="AD243" s="27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8.6582014388489199</v>
      </c>
    </row>
    <row r="244" spans="1:30" ht="15" x14ac:dyDescent="0.2">
      <c r="A244" s="16">
        <v>48670</v>
      </c>
      <c r="B244" s="10">
        <f>CHOOSE(CONTROL!$C$42, 8.6938, 8.6938) * CHOOSE(CONTROL!$C$21, $C$9, 100%, $E$9)</f>
        <v>8.6937999999999995</v>
      </c>
      <c r="C244" s="10">
        <f>CHOOSE(CONTROL!$C$42, 8.6981, 8.6981) * CHOOSE(CONTROL!$C$21, $C$9, 100%, $E$9)</f>
        <v>8.6981000000000002</v>
      </c>
      <c r="D244" s="10">
        <f>CHOOSE(CONTROL!$C$42, 8.8783, 8.8783) * CHOOSE(CONTROL!$C$21, $C$9, 100%, $E$9)</f>
        <v>8.8782999999999994</v>
      </c>
      <c r="E244" s="10">
        <f>CHOOSE(CONTROL!$C$42, 8.91, 8.91) * CHOOSE(CONTROL!$C$21, $C$9, 100%, $E$9)</f>
        <v>8.91</v>
      </c>
      <c r="F244" s="10">
        <f>CHOOSE(CONTROL!$C$42, 8.6591, 8.6591)*CHOOSE(CONTROL!$C$21, $C$9, 100%, $E$9)</f>
        <v>8.6591000000000005</v>
      </c>
      <c r="G244" s="10">
        <f>CHOOSE(CONTROL!$C$42, 8.6753, 8.6753)*CHOOSE(CONTROL!$C$21, $C$9, 100%, $E$9)</f>
        <v>8.6753</v>
      </c>
      <c r="H244" s="10">
        <f>CHOOSE(CONTROL!$C$42, 8.8998, 8.8998) * CHOOSE(CONTROL!$C$21, $C$9, 100%, $E$9)</f>
        <v>8.8998000000000008</v>
      </c>
      <c r="I244" s="10">
        <f>CHOOSE(CONTROL!$C$42, 8.6797, 8.6797)* CHOOSE(CONTROL!$C$21, $C$9, 100%, $E$9)</f>
        <v>8.6797000000000004</v>
      </c>
      <c r="J244" s="10">
        <f>CHOOSE(CONTROL!$C$42, 8.6521, 8.6521)* CHOOSE(CONTROL!$C$21, $C$9, 100%, $E$9)</f>
        <v>8.6521000000000008</v>
      </c>
      <c r="K244" s="10">
        <f>CHOOSE(CONTROL!$C$42, 8.5688, 8.5688) * CHOOSE(CONTROL!$C$21, $C$9, 100%, $E$9)</f>
        <v>8.5687999999999995</v>
      </c>
      <c r="L244" s="10">
        <f>CHOOSE(CONTROL!$C$42, 9.4868, 9.4868) * CHOOSE(CONTROL!$C$21, $C$9, 100%, $E$9)</f>
        <v>9.4868000000000006</v>
      </c>
      <c r="M244" s="10">
        <f>CHOOSE(CONTROL!$C$42, 8.5786, 8.5786) * CHOOSE(CONTROL!$C$21, $C$9, 100%, $E$9)</f>
        <v>8.5785999999999998</v>
      </c>
      <c r="N244" s="10">
        <f>CHOOSE(CONTROL!$C$42, 8.5947, 8.5947) * CHOOSE(CONTROL!$C$21, $C$9, 100%, $E$9)</f>
        <v>8.5946999999999996</v>
      </c>
      <c r="O244" s="10">
        <f>CHOOSE(CONTROL!$C$42, 8.8238, 8.8238) * CHOOSE(CONTROL!$C$21, $C$9, 100%, $E$9)</f>
        <v>8.8238000000000003</v>
      </c>
      <c r="P244" s="10">
        <f>CHOOSE(CONTROL!$C$42, 8.606, 8.606) * CHOOSE(CONTROL!$C$21, $C$9, 100%, $E$9)</f>
        <v>8.6059999999999999</v>
      </c>
      <c r="Q244" s="10">
        <f>CHOOSE(CONTROL!$C$42, 9.4191, 9.4191) * CHOOSE(CONTROL!$C$21, $C$9, 100%, $E$9)</f>
        <v>9.4191000000000003</v>
      </c>
      <c r="R244" s="10">
        <f>CHOOSE(CONTROL!$C$42, 10.0297, 10.0297) * CHOOSE(CONTROL!$C$21, $C$9, 100%, $E$9)</f>
        <v>10.0297</v>
      </c>
      <c r="S244" s="10">
        <f>CHOOSE(CONTROL!$C$42, 8.4396, 8.4396) * CHOOSE(CONTROL!$C$21, $C$9, 100%, $E$9)</f>
        <v>8.4396000000000004</v>
      </c>
      <c r="T2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38">
        <f>(1000*CHOOSE(CONTROL!$C$42, 695, 695)*CHOOSE(CONTROL!$C$42, 0.5599, 0.5599)*CHOOSE(CONTROL!$C$42, 30, 30))/1000000</f>
        <v>11.673914999999997</v>
      </c>
      <c r="V244" s="38">
        <f>(1000*CHOOSE(CONTROL!$C$42, 500, 500)*CHOOSE(CONTROL!$C$42, 0.275, 0.275)*CHOOSE(CONTROL!$C$42, 30, 30))/1000000</f>
        <v>4.125</v>
      </c>
      <c r="W244" s="38">
        <f>(1000*CHOOSE(CONTROL!$C$42, 0.1146, 0.1146)*CHOOSE(CONTROL!$C$42, 121.5, 121.5)*CHOOSE(CONTROL!$C$42, 30, 30))/1000000</f>
        <v>0.417717</v>
      </c>
      <c r="X244" s="38">
        <f>(30*0.1790888*245000/1000000)+(30*0.2374*100000/1000000)</f>
        <v>2.0285026799999999</v>
      </c>
      <c r="Y244" s="38">
        <f>(1000*600*CHOOSE(CONTROL!$C$42, 1.6545, 1.6545)*CHOOSE(CONTROL!$C$42, 30, 30))/1000000</f>
        <v>29.780999999999999</v>
      </c>
      <c r="Z244" s="38"/>
      <c r="AA244" s="10"/>
      <c r="AB244" s="39"/>
      <c r="AC244" s="33">
        <f>(B244*141.293+C244*267.993+D244*115.016+E244*89.698+F244*40+G244*185+H244*0+I244*100+J244*300)/(141.293+267.993+115.016+89.698+0+40+185+100+300)</f>
        <v>8.712391629943502</v>
      </c>
      <c r="AD244" s="27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8.6550460431654681</v>
      </c>
    </row>
    <row r="245" spans="1:30" ht="15" x14ac:dyDescent="0.2">
      <c r="A245" s="16">
        <v>48700</v>
      </c>
      <c r="B245" s="10">
        <f>CHOOSE(CONTROL!$C$42, 8.7722, 8.7722) * CHOOSE(CONTROL!$C$21, $C$9, 100%, $E$9)</f>
        <v>8.7721999999999998</v>
      </c>
      <c r="C245" s="10">
        <f>CHOOSE(CONTROL!$C$42, 8.7802, 8.7802) * CHOOSE(CONTROL!$C$21, $C$9, 100%, $E$9)</f>
        <v>8.7802000000000007</v>
      </c>
      <c r="D245" s="10">
        <f>CHOOSE(CONTROL!$C$42, 8.9572, 8.9572) * CHOOSE(CONTROL!$C$21, $C$9, 100%, $E$9)</f>
        <v>8.9572000000000003</v>
      </c>
      <c r="E245" s="10">
        <f>CHOOSE(CONTROL!$C$42, 8.9883, 8.9883) * CHOOSE(CONTROL!$C$21, $C$9, 100%, $E$9)</f>
        <v>8.9883000000000006</v>
      </c>
      <c r="F245" s="10">
        <f>CHOOSE(CONTROL!$C$42, 8.7356, 8.7356)*CHOOSE(CONTROL!$C$21, $C$9, 100%, $E$9)</f>
        <v>8.7355999999999998</v>
      </c>
      <c r="G245" s="10">
        <f>CHOOSE(CONTROL!$C$42, 8.7521, 8.7521)*CHOOSE(CONTROL!$C$21, $C$9, 100%, $E$9)</f>
        <v>8.7521000000000004</v>
      </c>
      <c r="H245" s="10">
        <f>CHOOSE(CONTROL!$C$42, 8.9769, 8.9769) * CHOOSE(CONTROL!$C$21, $C$9, 100%, $E$9)</f>
        <v>8.9769000000000005</v>
      </c>
      <c r="I245" s="10">
        <f>CHOOSE(CONTROL!$C$42, 8.7568, 8.7568)* CHOOSE(CONTROL!$C$21, $C$9, 100%, $E$9)</f>
        <v>8.7568000000000001</v>
      </c>
      <c r="J245" s="10">
        <f>CHOOSE(CONTROL!$C$42, 8.7286, 8.7286)* CHOOSE(CONTROL!$C$21, $C$9, 100%, $E$9)</f>
        <v>8.7286000000000001</v>
      </c>
      <c r="K245" s="10">
        <f>CHOOSE(CONTROL!$C$42, 8.6425, 8.6425) * CHOOSE(CONTROL!$C$21, $C$9, 100%, $E$9)</f>
        <v>8.6425000000000001</v>
      </c>
      <c r="L245" s="10">
        <f>CHOOSE(CONTROL!$C$42, 9.5639, 9.5639) * CHOOSE(CONTROL!$C$21, $C$9, 100%, $E$9)</f>
        <v>9.5639000000000003</v>
      </c>
      <c r="M245" s="10">
        <f>CHOOSE(CONTROL!$C$42, 8.6543, 8.6543) * CHOOSE(CONTROL!$C$21, $C$9, 100%, $E$9)</f>
        <v>8.6542999999999992</v>
      </c>
      <c r="N245" s="10">
        <f>CHOOSE(CONTROL!$C$42, 8.6707, 8.6707) * CHOOSE(CONTROL!$C$21, $C$9, 100%, $E$9)</f>
        <v>8.6707000000000001</v>
      </c>
      <c r="O245" s="10">
        <f>CHOOSE(CONTROL!$C$42, 8.9002, 8.9002) * CHOOSE(CONTROL!$C$21, $C$9, 100%, $E$9)</f>
        <v>8.9001999999999999</v>
      </c>
      <c r="P245" s="10">
        <f>CHOOSE(CONTROL!$C$42, 8.6823, 8.6823) * CHOOSE(CONTROL!$C$21, $C$9, 100%, $E$9)</f>
        <v>8.6822999999999997</v>
      </c>
      <c r="Q245" s="10">
        <f>CHOOSE(CONTROL!$C$42, 9.4955, 9.4955) * CHOOSE(CONTROL!$C$21, $C$9, 100%, $E$9)</f>
        <v>9.4954999999999998</v>
      </c>
      <c r="R245" s="10">
        <f>CHOOSE(CONTROL!$C$42, 10.1062, 10.1062) * CHOOSE(CONTROL!$C$21, $C$9, 100%, $E$9)</f>
        <v>10.106199999999999</v>
      </c>
      <c r="S245" s="10">
        <f>CHOOSE(CONTROL!$C$42, 8.5145, 8.5145) * CHOOSE(CONTROL!$C$21, $C$9, 100%, $E$9)</f>
        <v>8.5145</v>
      </c>
      <c r="T2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38">
        <f>(1000*CHOOSE(CONTROL!$C$42, 695, 695)*CHOOSE(CONTROL!$C$42, 0.5599, 0.5599)*CHOOSE(CONTROL!$C$42, 31, 31))/1000000</f>
        <v>12.063045499999998</v>
      </c>
      <c r="V245" s="38">
        <f>(1000*CHOOSE(CONTROL!$C$42, 500, 500)*CHOOSE(CONTROL!$C$42, 0.275, 0.275)*CHOOSE(CONTROL!$C$42, 31, 31))/1000000</f>
        <v>4.2625000000000002</v>
      </c>
      <c r="W245" s="38">
        <f>(1000*CHOOSE(CONTROL!$C$42, 0.1146, 0.1146)*CHOOSE(CONTROL!$C$42, 121.5, 121.5)*CHOOSE(CONTROL!$C$42, 31, 31))/1000000</f>
        <v>0.43164089999999994</v>
      </c>
      <c r="X245" s="38">
        <f>(31*0.1790888*245000/1000000)+(31*0.2374*100000/1000000)</f>
        <v>2.0961194359999999</v>
      </c>
      <c r="Y245" s="38">
        <f>(1000*600*CHOOSE(CONTROL!$C$42, 1.6545, 1.6545)*CHOOSE(CONTROL!$C$42, 31, 31))/1000000</f>
        <v>30.773700000000002</v>
      </c>
      <c r="Z245" s="38"/>
      <c r="AA245" s="10"/>
      <c r="AB245" s="39"/>
      <c r="AC245" s="33">
        <f>(B245*194.205+C245*267.466+D245*133.845+E245*53.484+F245*40+G245*185+H245*0+I245*100+J245*300)/(194.205+267.466+133.845+53.484+0+40+185+100+300)</f>
        <v>8.7868439916797492</v>
      </c>
      <c r="AD245" s="27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8.7310978417266174</v>
      </c>
    </row>
    <row r="246" spans="1:30" ht="15" x14ac:dyDescent="0.2">
      <c r="A246" s="16">
        <v>48731</v>
      </c>
      <c r="B246" s="10">
        <f>CHOOSE(CONTROL!$C$42, 9.0209, 9.0209) * CHOOSE(CONTROL!$C$21, $C$9, 100%, $E$9)</f>
        <v>9.0208999999999993</v>
      </c>
      <c r="C246" s="10">
        <f>CHOOSE(CONTROL!$C$42, 9.0288, 9.0288) * CHOOSE(CONTROL!$C$21, $C$9, 100%, $E$9)</f>
        <v>9.0288000000000004</v>
      </c>
      <c r="D246" s="10">
        <f>CHOOSE(CONTROL!$C$42, 9.2058, 9.2058) * CHOOSE(CONTROL!$C$21, $C$9, 100%, $E$9)</f>
        <v>9.2058</v>
      </c>
      <c r="E246" s="10">
        <f>CHOOSE(CONTROL!$C$42, 9.237, 9.237) * CHOOSE(CONTROL!$C$21, $C$9, 100%, $E$9)</f>
        <v>9.2370000000000001</v>
      </c>
      <c r="F246" s="10">
        <f>CHOOSE(CONTROL!$C$42, 8.9845, 8.9845)*CHOOSE(CONTROL!$C$21, $C$9, 100%, $E$9)</f>
        <v>8.9845000000000006</v>
      </c>
      <c r="G246" s="10">
        <f>CHOOSE(CONTROL!$C$42, 9.001, 9.001)*CHOOSE(CONTROL!$C$21, $C$9, 100%, $E$9)</f>
        <v>9.0009999999999994</v>
      </c>
      <c r="H246" s="10">
        <f>CHOOSE(CONTROL!$C$42, 9.2256, 9.2256) * CHOOSE(CONTROL!$C$21, $C$9, 100%, $E$9)</f>
        <v>9.2256</v>
      </c>
      <c r="I246" s="10">
        <f>CHOOSE(CONTROL!$C$42, 9.0055, 9.0055)* CHOOSE(CONTROL!$C$21, $C$9, 100%, $E$9)</f>
        <v>9.0054999999999996</v>
      </c>
      <c r="J246" s="10">
        <f>CHOOSE(CONTROL!$C$42, 8.9775, 8.9775)* CHOOSE(CONTROL!$C$21, $C$9, 100%, $E$9)</f>
        <v>8.9774999999999991</v>
      </c>
      <c r="K246" s="10">
        <f>CHOOSE(CONTROL!$C$42, 8.8845, 8.8845) * CHOOSE(CONTROL!$C$21, $C$9, 100%, $E$9)</f>
        <v>8.8844999999999992</v>
      </c>
      <c r="L246" s="10">
        <f>CHOOSE(CONTROL!$C$42, 9.8126, 9.8126) * CHOOSE(CONTROL!$C$21, $C$9, 100%, $E$9)</f>
        <v>9.8125999999999998</v>
      </c>
      <c r="M246" s="10">
        <f>CHOOSE(CONTROL!$C$42, 8.9007, 8.9007) * CHOOSE(CONTROL!$C$21, $C$9, 100%, $E$9)</f>
        <v>8.9007000000000005</v>
      </c>
      <c r="N246" s="10">
        <f>CHOOSE(CONTROL!$C$42, 8.9171, 8.9171) * CHOOSE(CONTROL!$C$21, $C$9, 100%, $E$9)</f>
        <v>8.9170999999999996</v>
      </c>
      <c r="O246" s="10">
        <f>CHOOSE(CONTROL!$C$42, 9.1463, 9.1463) * CHOOSE(CONTROL!$C$21, $C$9, 100%, $E$9)</f>
        <v>9.1463000000000001</v>
      </c>
      <c r="P246" s="10">
        <f>CHOOSE(CONTROL!$C$42, 8.9285, 8.9285) * CHOOSE(CONTROL!$C$21, $C$9, 100%, $E$9)</f>
        <v>8.9284999999999997</v>
      </c>
      <c r="Q246" s="10">
        <f>CHOOSE(CONTROL!$C$42, 9.7416, 9.7416) * CHOOSE(CONTROL!$C$21, $C$9, 100%, $E$9)</f>
        <v>9.7416</v>
      </c>
      <c r="R246" s="10">
        <f>CHOOSE(CONTROL!$C$42, 10.353, 10.353) * CHOOSE(CONTROL!$C$21, $C$9, 100%, $E$9)</f>
        <v>10.353</v>
      </c>
      <c r="S246" s="10">
        <f>CHOOSE(CONTROL!$C$42, 8.756, 8.756) * CHOOSE(CONTROL!$C$21, $C$9, 100%, $E$9)</f>
        <v>8.7560000000000002</v>
      </c>
      <c r="T2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38">
        <f>(1000*CHOOSE(CONTROL!$C$42, 695, 695)*CHOOSE(CONTROL!$C$42, 0.5599, 0.5599)*CHOOSE(CONTROL!$C$42, 30, 30))/1000000</f>
        <v>11.673914999999997</v>
      </c>
      <c r="V246" s="38">
        <f>(1000*CHOOSE(CONTROL!$C$42, 500, 500)*CHOOSE(CONTROL!$C$42, 0.275, 0.275)*CHOOSE(CONTROL!$C$42, 30, 30))/1000000</f>
        <v>4.125</v>
      </c>
      <c r="W246" s="38">
        <f>(1000*CHOOSE(CONTROL!$C$42, 0.1146, 0.1146)*CHOOSE(CONTROL!$C$42, 121.5, 121.5)*CHOOSE(CONTROL!$C$42, 30, 30))/1000000</f>
        <v>0.417717</v>
      </c>
      <c r="X246" s="38">
        <f>(30*0.1790888*245000/1000000)+(30*0.2374*100000/1000000)</f>
        <v>2.0285026799999999</v>
      </c>
      <c r="Y246" s="38">
        <f>(1000*600*CHOOSE(CONTROL!$C$42, 1.6545, 1.6545)*CHOOSE(CONTROL!$C$42, 30, 30))/1000000</f>
        <v>29.780999999999999</v>
      </c>
      <c r="Z246" s="38"/>
      <c r="AA246" s="10"/>
      <c r="AB246" s="39"/>
      <c r="AC246" s="33">
        <f>(B246*194.205+C246*267.466+D246*133.845+E246*53.484+F246*40+G246*185+H246*0+I246*100+J246*300)/(194.205+267.466+133.845+53.484+0+40+185+100+300)</f>
        <v>9.0355949091836738</v>
      </c>
      <c r="AD246" s="27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8.9773848920863308</v>
      </c>
    </row>
    <row r="247" spans="1:30" ht="15" x14ac:dyDescent="0.2">
      <c r="A247" s="16">
        <v>48761</v>
      </c>
      <c r="B247" s="10">
        <f>CHOOSE(CONTROL!$C$42, 8.848, 8.848) * CHOOSE(CONTROL!$C$21, $C$9, 100%, $E$9)</f>
        <v>8.8480000000000008</v>
      </c>
      <c r="C247" s="10">
        <f>CHOOSE(CONTROL!$C$42, 8.8559, 8.8559) * CHOOSE(CONTROL!$C$21, $C$9, 100%, $E$9)</f>
        <v>8.8559000000000001</v>
      </c>
      <c r="D247" s="10">
        <f>CHOOSE(CONTROL!$C$42, 9.0329, 9.0329) * CHOOSE(CONTROL!$C$21, $C$9, 100%, $E$9)</f>
        <v>9.0328999999999997</v>
      </c>
      <c r="E247" s="10">
        <f>CHOOSE(CONTROL!$C$42, 9.064, 9.064) * CHOOSE(CONTROL!$C$21, $C$9, 100%, $E$9)</f>
        <v>9.0640000000000001</v>
      </c>
      <c r="F247" s="10">
        <f>CHOOSE(CONTROL!$C$42, 8.8118, 8.8118)*CHOOSE(CONTROL!$C$21, $C$9, 100%, $E$9)</f>
        <v>8.8117999999999999</v>
      </c>
      <c r="G247" s="10">
        <f>CHOOSE(CONTROL!$C$42, 8.8284, 8.8284)*CHOOSE(CONTROL!$C$21, $C$9, 100%, $E$9)</f>
        <v>8.8284000000000002</v>
      </c>
      <c r="H247" s="10">
        <f>CHOOSE(CONTROL!$C$42, 9.0526, 9.0526) * CHOOSE(CONTROL!$C$21, $C$9, 100%, $E$9)</f>
        <v>9.0526</v>
      </c>
      <c r="I247" s="10">
        <f>CHOOSE(CONTROL!$C$42, 8.8326, 8.8326)* CHOOSE(CONTROL!$C$21, $C$9, 100%, $E$9)</f>
        <v>8.8325999999999993</v>
      </c>
      <c r="J247" s="10">
        <f>CHOOSE(CONTROL!$C$42, 8.8048, 8.8048)* CHOOSE(CONTROL!$C$21, $C$9, 100%, $E$9)</f>
        <v>8.8048000000000002</v>
      </c>
      <c r="K247" s="10">
        <f>CHOOSE(CONTROL!$C$42, 8.717, 8.717) * CHOOSE(CONTROL!$C$21, $C$9, 100%, $E$9)</f>
        <v>8.7170000000000005</v>
      </c>
      <c r="L247" s="10">
        <f>CHOOSE(CONTROL!$C$42, 9.6396, 9.6396) * CHOOSE(CONTROL!$C$21, $C$9, 100%, $E$9)</f>
        <v>9.6395999999999997</v>
      </c>
      <c r="M247" s="10">
        <f>CHOOSE(CONTROL!$C$42, 8.7297, 8.7297) * CHOOSE(CONTROL!$C$21, $C$9, 100%, $E$9)</f>
        <v>8.7296999999999993</v>
      </c>
      <c r="N247" s="10">
        <f>CHOOSE(CONTROL!$C$42, 8.7462, 8.7462) * CHOOSE(CONTROL!$C$21, $C$9, 100%, $E$9)</f>
        <v>8.7462</v>
      </c>
      <c r="O247" s="10">
        <f>CHOOSE(CONTROL!$C$42, 8.9751, 8.9751) * CHOOSE(CONTROL!$C$21, $C$9, 100%, $E$9)</f>
        <v>8.9750999999999994</v>
      </c>
      <c r="P247" s="10">
        <f>CHOOSE(CONTROL!$C$42, 8.7573, 8.7573) * CHOOSE(CONTROL!$C$21, $C$9, 100%, $E$9)</f>
        <v>8.7573000000000008</v>
      </c>
      <c r="Q247" s="10">
        <f>CHOOSE(CONTROL!$C$42, 9.5704, 9.5704) * CHOOSE(CONTROL!$C$21, $C$9, 100%, $E$9)</f>
        <v>9.5703999999999994</v>
      </c>
      <c r="R247" s="10">
        <f>CHOOSE(CONTROL!$C$42, 10.1813, 10.1813) * CHOOSE(CONTROL!$C$21, $C$9, 100%, $E$9)</f>
        <v>10.1813</v>
      </c>
      <c r="S247" s="10">
        <f>CHOOSE(CONTROL!$C$42, 8.588, 8.588) * CHOOSE(CONTROL!$C$21, $C$9, 100%, $E$9)</f>
        <v>8.5879999999999992</v>
      </c>
      <c r="T2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38">
        <f>(1000*CHOOSE(CONTROL!$C$42, 695, 695)*CHOOSE(CONTROL!$C$42, 0.5599, 0.5599)*CHOOSE(CONTROL!$C$42, 31, 31))/1000000</f>
        <v>12.063045499999998</v>
      </c>
      <c r="V247" s="38">
        <f>(1000*CHOOSE(CONTROL!$C$42, 500, 500)*CHOOSE(CONTROL!$C$42, 0.275, 0.275)*CHOOSE(CONTROL!$C$42, 31, 31))/1000000</f>
        <v>4.2625000000000002</v>
      </c>
      <c r="W247" s="38">
        <f>(1000*CHOOSE(CONTROL!$C$42, 0.1146, 0.1146)*CHOOSE(CONTROL!$C$42, 121.5, 121.5)*CHOOSE(CONTROL!$C$42, 31, 31))/1000000</f>
        <v>0.43164089999999994</v>
      </c>
      <c r="X247" s="38">
        <f>(31*0.1790888*245000/1000000)+(31*0.2374*100000/1000000)</f>
        <v>2.0961194359999999</v>
      </c>
      <c r="Y247" s="38">
        <f>(1000*600*CHOOSE(CONTROL!$C$42, 1.6545, 1.6545)*CHOOSE(CONTROL!$C$42, 31, 31))/1000000</f>
        <v>30.773700000000002</v>
      </c>
      <c r="Z247" s="38"/>
      <c r="AA247" s="10"/>
      <c r="AB247" s="39"/>
      <c r="AC247" s="33">
        <f>(B247*194.205+C247*267.466+D247*133.845+E247*53.484+F247*40+G247*185+H247*0+I247*100+J247*300)/(194.205+267.466+133.845+53.484+0+40+185+100+300)</f>
        <v>8.862787649843014</v>
      </c>
      <c r="AD247" s="27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8.8063230215827311</v>
      </c>
    </row>
    <row r="248" spans="1:30" ht="15" x14ac:dyDescent="0.2">
      <c r="A248" s="16">
        <v>48792</v>
      </c>
      <c r="B248" s="10">
        <f>CHOOSE(CONTROL!$C$42, 8.4112, 8.4112) * CHOOSE(CONTROL!$C$21, $C$9, 100%, $E$9)</f>
        <v>8.4111999999999991</v>
      </c>
      <c r="C248" s="10">
        <f>CHOOSE(CONTROL!$C$42, 8.4191, 8.4191) * CHOOSE(CONTROL!$C$21, $C$9, 100%, $E$9)</f>
        <v>8.4191000000000003</v>
      </c>
      <c r="D248" s="10">
        <f>CHOOSE(CONTROL!$C$42, 8.5961, 8.5961) * CHOOSE(CONTROL!$C$21, $C$9, 100%, $E$9)</f>
        <v>8.5960999999999999</v>
      </c>
      <c r="E248" s="10">
        <f>CHOOSE(CONTROL!$C$42, 8.6272, 8.6272) * CHOOSE(CONTROL!$C$21, $C$9, 100%, $E$9)</f>
        <v>8.6272000000000002</v>
      </c>
      <c r="F248" s="10">
        <f>CHOOSE(CONTROL!$C$42, 8.375, 8.375)*CHOOSE(CONTROL!$C$21, $C$9, 100%, $E$9)</f>
        <v>8.375</v>
      </c>
      <c r="G248" s="10">
        <f>CHOOSE(CONTROL!$C$42, 8.3917, 8.3917)*CHOOSE(CONTROL!$C$21, $C$9, 100%, $E$9)</f>
        <v>8.3917000000000002</v>
      </c>
      <c r="H248" s="10">
        <f>CHOOSE(CONTROL!$C$42, 8.6159, 8.6159) * CHOOSE(CONTROL!$C$21, $C$9, 100%, $E$9)</f>
        <v>8.6158999999999999</v>
      </c>
      <c r="I248" s="10">
        <f>CHOOSE(CONTROL!$C$42, 8.3958, 8.3958)* CHOOSE(CONTROL!$C$21, $C$9, 100%, $E$9)</f>
        <v>8.3957999999999995</v>
      </c>
      <c r="J248" s="10">
        <f>CHOOSE(CONTROL!$C$42, 8.368, 8.368)* CHOOSE(CONTROL!$C$21, $C$9, 100%, $E$9)</f>
        <v>8.3680000000000003</v>
      </c>
      <c r="K248" s="10">
        <f>CHOOSE(CONTROL!$C$42, 8.2927, 8.2927) * CHOOSE(CONTROL!$C$21, $C$9, 100%, $E$9)</f>
        <v>8.2927</v>
      </c>
      <c r="L248" s="10">
        <f>CHOOSE(CONTROL!$C$42, 9.2029, 9.2029) * CHOOSE(CONTROL!$C$21, $C$9, 100%, $E$9)</f>
        <v>9.2028999999999996</v>
      </c>
      <c r="M248" s="10">
        <f>CHOOSE(CONTROL!$C$42, 8.2974, 8.2974) * CHOOSE(CONTROL!$C$21, $C$9, 100%, $E$9)</f>
        <v>8.2973999999999997</v>
      </c>
      <c r="N248" s="10">
        <f>CHOOSE(CONTROL!$C$42, 8.3139, 8.3139) * CHOOSE(CONTROL!$C$21, $C$9, 100%, $E$9)</f>
        <v>8.3139000000000003</v>
      </c>
      <c r="O248" s="10">
        <f>CHOOSE(CONTROL!$C$42, 8.5427, 8.5427) * CHOOSE(CONTROL!$C$21, $C$9, 100%, $E$9)</f>
        <v>8.5427</v>
      </c>
      <c r="P248" s="10">
        <f>CHOOSE(CONTROL!$C$42, 8.3249, 8.3249) * CHOOSE(CONTROL!$C$21, $C$9, 100%, $E$9)</f>
        <v>8.3248999999999995</v>
      </c>
      <c r="Q248" s="10">
        <f>CHOOSE(CONTROL!$C$42, 9.138, 9.138) * CHOOSE(CONTROL!$C$21, $C$9, 100%, $E$9)</f>
        <v>9.1379999999999999</v>
      </c>
      <c r="R248" s="10">
        <f>CHOOSE(CONTROL!$C$42, 9.7479, 9.7479) * CHOOSE(CONTROL!$C$21, $C$9, 100%, $E$9)</f>
        <v>9.7478999999999996</v>
      </c>
      <c r="S248" s="10">
        <f>CHOOSE(CONTROL!$C$42, 8.1639, 8.1639) * CHOOSE(CONTROL!$C$21, $C$9, 100%, $E$9)</f>
        <v>8.1638999999999999</v>
      </c>
      <c r="T2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38">
        <f>(1000*CHOOSE(CONTROL!$C$42, 695, 695)*CHOOSE(CONTROL!$C$42, 0.5599, 0.5599)*CHOOSE(CONTROL!$C$42, 31, 31))/1000000</f>
        <v>12.063045499999998</v>
      </c>
      <c r="V248" s="38">
        <f>(1000*CHOOSE(CONTROL!$C$42, 500, 500)*CHOOSE(CONTROL!$C$42, 0.275, 0.275)*CHOOSE(CONTROL!$C$42, 31, 31))/1000000</f>
        <v>4.2625000000000002</v>
      </c>
      <c r="W248" s="38">
        <f>(1000*CHOOSE(CONTROL!$C$42, 0.1146, 0.1146)*CHOOSE(CONTROL!$C$42, 121.5, 121.5)*CHOOSE(CONTROL!$C$42, 31, 31))/1000000</f>
        <v>0.43164089999999994</v>
      </c>
      <c r="X248" s="38">
        <f>(31*0.1790888*245000/1000000)+(31*0.2374*100000/1000000)</f>
        <v>2.0961194359999999</v>
      </c>
      <c r="Y248" s="38">
        <f>(1000*600*CHOOSE(CONTROL!$C$42, 1.6545, 1.6545)*CHOOSE(CONTROL!$C$42, 31, 31))/1000000</f>
        <v>30.773700000000002</v>
      </c>
      <c r="Z248" s="38"/>
      <c r="AA248" s="10"/>
      <c r="AB248" s="39"/>
      <c r="AC248" s="33">
        <f>(B248*194.205+C248*267.466+D248*133.845+E248*53.484+F248*40+G248*185+H248*0+I248*100+J248*300)/(194.205+267.466+133.845+53.484+0+40+185+100+300)</f>
        <v>8.4260021710361066</v>
      </c>
      <c r="AD248" s="27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8.3739805755395693</v>
      </c>
    </row>
    <row r="249" spans="1:30" ht="15" x14ac:dyDescent="0.2">
      <c r="A249" s="16">
        <v>48823</v>
      </c>
      <c r="B249" s="10">
        <f>CHOOSE(CONTROL!$C$42, 7.8775, 7.8775) * CHOOSE(CONTROL!$C$21, $C$9, 100%, $E$9)</f>
        <v>7.8775000000000004</v>
      </c>
      <c r="C249" s="10">
        <f>CHOOSE(CONTROL!$C$42, 7.8855, 7.8855) * CHOOSE(CONTROL!$C$21, $C$9, 100%, $E$9)</f>
        <v>7.8855000000000004</v>
      </c>
      <c r="D249" s="10">
        <f>CHOOSE(CONTROL!$C$42, 8.0624, 8.0624) * CHOOSE(CONTROL!$C$21, $C$9, 100%, $E$9)</f>
        <v>8.0624000000000002</v>
      </c>
      <c r="E249" s="10">
        <f>CHOOSE(CONTROL!$C$42, 8.0936, 8.0936) * CHOOSE(CONTROL!$C$21, $C$9, 100%, $E$9)</f>
        <v>8.0936000000000003</v>
      </c>
      <c r="F249" s="10">
        <f>CHOOSE(CONTROL!$C$42, 7.8411, 7.8411)*CHOOSE(CONTROL!$C$21, $C$9, 100%, $E$9)</f>
        <v>7.8411</v>
      </c>
      <c r="G249" s="10">
        <f>CHOOSE(CONTROL!$C$42, 7.8577, 7.8577)*CHOOSE(CONTROL!$C$21, $C$9, 100%, $E$9)</f>
        <v>7.8577000000000004</v>
      </c>
      <c r="H249" s="10">
        <f>CHOOSE(CONTROL!$C$42, 8.0822, 8.0822) * CHOOSE(CONTROL!$C$21, $C$9, 100%, $E$9)</f>
        <v>8.0822000000000003</v>
      </c>
      <c r="I249" s="10">
        <f>CHOOSE(CONTROL!$C$42, 7.8621, 7.8621)* CHOOSE(CONTROL!$C$21, $C$9, 100%, $E$9)</f>
        <v>7.8620999999999999</v>
      </c>
      <c r="J249" s="10">
        <f>CHOOSE(CONTROL!$C$42, 7.8341, 7.8341)* CHOOSE(CONTROL!$C$21, $C$9, 100%, $E$9)</f>
        <v>7.8341000000000003</v>
      </c>
      <c r="K249" s="10">
        <f>CHOOSE(CONTROL!$C$42, 7.7737, 7.7737) * CHOOSE(CONTROL!$C$21, $C$9, 100%, $E$9)</f>
        <v>7.7736999999999998</v>
      </c>
      <c r="L249" s="10">
        <f>CHOOSE(CONTROL!$C$42, 8.6692, 8.6692) * CHOOSE(CONTROL!$C$21, $C$9, 100%, $E$9)</f>
        <v>8.6692</v>
      </c>
      <c r="M249" s="10">
        <f>CHOOSE(CONTROL!$C$42, 7.7689, 7.7689) * CHOOSE(CONTROL!$C$21, $C$9, 100%, $E$9)</f>
        <v>7.7689000000000004</v>
      </c>
      <c r="N249" s="10">
        <f>CHOOSE(CONTROL!$C$42, 7.7853, 7.7853) * CHOOSE(CONTROL!$C$21, $C$9, 100%, $E$9)</f>
        <v>7.7853000000000003</v>
      </c>
      <c r="O249" s="10">
        <f>CHOOSE(CONTROL!$C$42, 8.0145, 8.0145) * CHOOSE(CONTROL!$C$21, $C$9, 100%, $E$9)</f>
        <v>8.0145</v>
      </c>
      <c r="P249" s="10">
        <f>CHOOSE(CONTROL!$C$42, 7.7967, 7.7967) * CHOOSE(CONTROL!$C$21, $C$9, 100%, $E$9)</f>
        <v>7.7967000000000004</v>
      </c>
      <c r="Q249" s="10">
        <f>CHOOSE(CONTROL!$C$42, 8.6098, 8.6098) * CHOOSE(CONTROL!$C$21, $C$9, 100%, $E$9)</f>
        <v>8.6097999999999999</v>
      </c>
      <c r="R249" s="10">
        <f>CHOOSE(CONTROL!$C$42, 9.2183, 9.2183) * CHOOSE(CONTROL!$C$21, $C$9, 100%, $E$9)</f>
        <v>9.2182999999999993</v>
      </c>
      <c r="S249" s="10">
        <f>CHOOSE(CONTROL!$C$42, 7.6456, 7.6456) * CHOOSE(CONTROL!$C$21, $C$9, 100%, $E$9)</f>
        <v>7.6456</v>
      </c>
      <c r="T2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38">
        <f>(1000*CHOOSE(CONTROL!$C$42, 695, 695)*CHOOSE(CONTROL!$C$42, 0.5599, 0.5599)*CHOOSE(CONTROL!$C$42, 30, 30))/1000000</f>
        <v>11.673914999999997</v>
      </c>
      <c r="V249" s="38">
        <f>(1000*CHOOSE(CONTROL!$C$42, 500, 500)*CHOOSE(CONTROL!$C$42, 0.275, 0.275)*CHOOSE(CONTROL!$C$42, 30, 30))/1000000</f>
        <v>4.125</v>
      </c>
      <c r="W249" s="38">
        <f>(1000*CHOOSE(CONTROL!$C$42, 0.1146, 0.1146)*CHOOSE(CONTROL!$C$42, 121.5, 121.5)*CHOOSE(CONTROL!$C$42, 30, 30))/1000000</f>
        <v>0.417717</v>
      </c>
      <c r="X249" s="38">
        <f>(30*0.1790888*245000/1000000)+(30*0.2374*100000/1000000)</f>
        <v>2.0285026799999999</v>
      </c>
      <c r="Y249" s="38">
        <f>(1000*600*CHOOSE(CONTROL!$C$42, 1.6545, 1.6545)*CHOOSE(CONTROL!$C$42, 30, 30))/1000000</f>
        <v>29.780999999999999</v>
      </c>
      <c r="Z249" s="38"/>
      <c r="AA249" s="10"/>
      <c r="AB249" s="39"/>
      <c r="AC249" s="33">
        <f>(B249*194.205+C249*267.466+D249*133.845+E249*53.484+F249*40+G249*185+H249*0+I249*100+J249*300)/(194.205+267.466+133.845+53.484+0+40+185+100+300)</f>
        <v>7.8922304245682895</v>
      </c>
      <c r="AD249" s="27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7.8455848920863316</v>
      </c>
    </row>
    <row r="250" spans="1:30" ht="15" x14ac:dyDescent="0.2">
      <c r="A250" s="16">
        <v>48853</v>
      </c>
      <c r="B250" s="10">
        <f>CHOOSE(CONTROL!$C$42, 7.7156, 7.7156) * CHOOSE(CONTROL!$C$21, $C$9, 100%, $E$9)</f>
        <v>7.7156000000000002</v>
      </c>
      <c r="C250" s="10">
        <f>CHOOSE(CONTROL!$C$42, 7.7208, 7.7208) * CHOOSE(CONTROL!$C$21, $C$9, 100%, $E$9)</f>
        <v>7.7207999999999997</v>
      </c>
      <c r="D250" s="10">
        <f>CHOOSE(CONTROL!$C$42, 7.9027, 7.9027) * CHOOSE(CONTROL!$C$21, $C$9, 100%, $E$9)</f>
        <v>7.9027000000000003</v>
      </c>
      <c r="E250" s="10">
        <f>CHOOSE(CONTROL!$C$42, 7.9315, 7.9315) * CHOOSE(CONTROL!$C$21, $C$9, 100%, $E$9)</f>
        <v>7.9314999999999998</v>
      </c>
      <c r="F250" s="10">
        <f>CHOOSE(CONTROL!$C$42, 7.6812, 7.6812)*CHOOSE(CONTROL!$C$21, $C$9, 100%, $E$9)</f>
        <v>7.6811999999999996</v>
      </c>
      <c r="G250" s="10">
        <f>CHOOSE(CONTROL!$C$42, 7.6974, 7.6974)*CHOOSE(CONTROL!$C$21, $C$9, 100%, $E$9)</f>
        <v>7.6974</v>
      </c>
      <c r="H250" s="10">
        <f>CHOOSE(CONTROL!$C$42, 7.922, 7.922) * CHOOSE(CONTROL!$C$21, $C$9, 100%, $E$9)</f>
        <v>7.9219999999999997</v>
      </c>
      <c r="I250" s="10">
        <f>CHOOSE(CONTROL!$C$42, 7.7019, 7.7019)* CHOOSE(CONTROL!$C$21, $C$9, 100%, $E$9)</f>
        <v>7.7019000000000002</v>
      </c>
      <c r="J250" s="10">
        <f>CHOOSE(CONTROL!$C$42, 7.6742, 7.6742)* CHOOSE(CONTROL!$C$21, $C$9, 100%, $E$9)</f>
        <v>7.6741999999999999</v>
      </c>
      <c r="K250" s="10">
        <f>CHOOSE(CONTROL!$C$42, 7.6186, 7.6186) * CHOOSE(CONTROL!$C$21, $C$9, 100%, $E$9)</f>
        <v>7.6185999999999998</v>
      </c>
      <c r="L250" s="10">
        <f>CHOOSE(CONTROL!$C$42, 8.509, 8.509) * CHOOSE(CONTROL!$C$21, $C$9, 100%, $E$9)</f>
        <v>8.5090000000000003</v>
      </c>
      <c r="M250" s="10">
        <f>CHOOSE(CONTROL!$C$42, 7.6105, 7.6105) * CHOOSE(CONTROL!$C$21, $C$9, 100%, $E$9)</f>
        <v>7.6105</v>
      </c>
      <c r="N250" s="10">
        <f>CHOOSE(CONTROL!$C$42, 7.6266, 7.6266) * CHOOSE(CONTROL!$C$21, $C$9, 100%, $E$9)</f>
        <v>7.6265999999999998</v>
      </c>
      <c r="O250" s="10">
        <f>CHOOSE(CONTROL!$C$42, 7.8559, 7.8559) * CHOOSE(CONTROL!$C$21, $C$9, 100%, $E$9)</f>
        <v>7.8559000000000001</v>
      </c>
      <c r="P250" s="10">
        <f>CHOOSE(CONTROL!$C$42, 7.638, 7.638) * CHOOSE(CONTROL!$C$21, $C$9, 100%, $E$9)</f>
        <v>7.6379999999999999</v>
      </c>
      <c r="Q250" s="10">
        <f>CHOOSE(CONTROL!$C$42, 8.4512, 8.4512) * CHOOSE(CONTROL!$C$21, $C$9, 100%, $E$9)</f>
        <v>8.4512</v>
      </c>
      <c r="R250" s="10">
        <f>CHOOSE(CONTROL!$C$42, 9.0593, 9.0593) * CHOOSE(CONTROL!$C$21, $C$9, 100%, $E$9)</f>
        <v>9.0593000000000004</v>
      </c>
      <c r="S250" s="10">
        <f>CHOOSE(CONTROL!$C$42, 7.49, 7.49) * CHOOSE(CONTROL!$C$21, $C$9, 100%, $E$9)</f>
        <v>7.49</v>
      </c>
      <c r="T2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38">
        <f>(1000*CHOOSE(CONTROL!$C$42, 695, 695)*CHOOSE(CONTROL!$C$42, 0.5599, 0.5599)*CHOOSE(CONTROL!$C$42, 31, 31))/1000000</f>
        <v>12.063045499999998</v>
      </c>
      <c r="V250" s="38">
        <f>(1000*CHOOSE(CONTROL!$C$42, 500, 500)*CHOOSE(CONTROL!$C$42, 0.275, 0.275)*CHOOSE(CONTROL!$C$42, 31, 31))/1000000</f>
        <v>4.2625000000000002</v>
      </c>
      <c r="W250" s="38">
        <f>(1000*CHOOSE(CONTROL!$C$42, 0.1146, 0.1146)*CHOOSE(CONTROL!$C$42, 121.5, 121.5)*CHOOSE(CONTROL!$C$42, 31, 31))/1000000</f>
        <v>0.43164089999999994</v>
      </c>
      <c r="X250" s="38">
        <f>(31*0.1790888*245000/1000000)+(31*0.2374*100000/1000000)</f>
        <v>2.0961194359999999</v>
      </c>
      <c r="Y250" s="38">
        <f>(1000*600*CHOOSE(CONTROL!$C$42, 1.6545, 1.6545)*CHOOSE(CONTROL!$C$42, 31, 31))/1000000</f>
        <v>30.773700000000002</v>
      </c>
      <c r="Z250" s="38"/>
      <c r="AA250" s="10"/>
      <c r="AB250" s="39"/>
      <c r="AC250" s="33">
        <f>(B250*131.881+C250*277.167+D250*79.08+E250*125.872+F250*40+G250*185+H250*0+I250*100+J250*300)/(131.881+277.167+79.08+125.872+0+40+185+100+300)</f>
        <v>7.7356806305084742</v>
      </c>
      <c r="AD250" s="27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7.6870165467625897</v>
      </c>
    </row>
    <row r="251" spans="1:30" ht="15" x14ac:dyDescent="0.2">
      <c r="A251" s="16">
        <v>48884</v>
      </c>
      <c r="B251" s="10">
        <f>CHOOSE(CONTROL!$C$42, 7.9183, 7.9183) * CHOOSE(CONTROL!$C$21, $C$9, 100%, $E$9)</f>
        <v>7.9183000000000003</v>
      </c>
      <c r="C251" s="10">
        <f>CHOOSE(CONTROL!$C$42, 7.9233, 7.9233) * CHOOSE(CONTROL!$C$21, $C$9, 100%, $E$9)</f>
        <v>7.9233000000000002</v>
      </c>
      <c r="D251" s="10">
        <f>CHOOSE(CONTROL!$C$42, 7.9477, 7.9477) * CHOOSE(CONTROL!$C$21, $C$9, 100%, $E$9)</f>
        <v>7.9477000000000002</v>
      </c>
      <c r="E251" s="10">
        <f>CHOOSE(CONTROL!$C$42, 7.9815, 7.9815) * CHOOSE(CONTROL!$C$21, $C$9, 100%, $E$9)</f>
        <v>7.9814999999999996</v>
      </c>
      <c r="F251" s="10">
        <f>CHOOSE(CONTROL!$C$42, 7.8876, 7.8876)*CHOOSE(CONTROL!$C$21, $C$9, 100%, $E$9)</f>
        <v>7.8875999999999999</v>
      </c>
      <c r="G251" s="10">
        <f>CHOOSE(CONTROL!$C$42, 7.9041, 7.9041)*CHOOSE(CONTROL!$C$21, $C$9, 100%, $E$9)</f>
        <v>7.9040999999999997</v>
      </c>
      <c r="H251" s="10">
        <f>CHOOSE(CONTROL!$C$42, 7.9707, 7.9707) * CHOOSE(CONTROL!$C$21, $C$9, 100%, $E$9)</f>
        <v>7.9706999999999999</v>
      </c>
      <c r="I251" s="10">
        <f>CHOOSE(CONTROL!$C$42, 7.9051, 7.9051)* CHOOSE(CONTROL!$C$21, $C$9, 100%, $E$9)</f>
        <v>7.9051</v>
      </c>
      <c r="J251" s="10">
        <f>CHOOSE(CONTROL!$C$42, 7.8806, 7.8806)* CHOOSE(CONTROL!$C$21, $C$9, 100%, $E$9)</f>
        <v>7.8806000000000003</v>
      </c>
      <c r="K251" s="10">
        <f>CHOOSE(CONTROL!$C$42, 7.8175, 7.8175) * CHOOSE(CONTROL!$C$21, $C$9, 100%, $E$9)</f>
        <v>7.8174999999999999</v>
      </c>
      <c r="L251" s="10">
        <f>CHOOSE(CONTROL!$C$42, 8.5577, 8.5577) * CHOOSE(CONTROL!$C$21, $C$9, 100%, $E$9)</f>
        <v>8.5577000000000005</v>
      </c>
      <c r="M251" s="10">
        <f>CHOOSE(CONTROL!$C$42, 7.8149, 7.8149) * CHOOSE(CONTROL!$C$21, $C$9, 100%, $E$9)</f>
        <v>7.8148999999999997</v>
      </c>
      <c r="N251" s="10">
        <f>CHOOSE(CONTROL!$C$42, 7.8312, 7.8312) * CHOOSE(CONTROL!$C$21, $C$9, 100%, $E$9)</f>
        <v>7.8311999999999999</v>
      </c>
      <c r="O251" s="10">
        <f>CHOOSE(CONTROL!$C$42, 7.9041, 7.9041) * CHOOSE(CONTROL!$C$21, $C$9, 100%, $E$9)</f>
        <v>7.9040999999999997</v>
      </c>
      <c r="P251" s="10">
        <f>CHOOSE(CONTROL!$C$42, 7.8392, 7.8392) * CHOOSE(CONTROL!$C$21, $C$9, 100%, $E$9)</f>
        <v>7.8391999999999999</v>
      </c>
      <c r="Q251" s="10">
        <f>CHOOSE(CONTROL!$C$42, 8.4994, 8.4994) * CHOOSE(CONTROL!$C$21, $C$9, 100%, $E$9)</f>
        <v>8.4993999999999996</v>
      </c>
      <c r="R251" s="10">
        <f>CHOOSE(CONTROL!$C$42, 9.1076, 9.1076) * CHOOSE(CONTROL!$C$21, $C$9, 100%, $E$9)</f>
        <v>9.1075999999999997</v>
      </c>
      <c r="S251" s="10">
        <f>CHOOSE(CONTROL!$C$42, 7.6873, 7.6873) * CHOOSE(CONTROL!$C$21, $C$9, 100%, $E$9)</f>
        <v>7.6872999999999996</v>
      </c>
      <c r="T2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38">
        <f>(1000*CHOOSE(CONTROL!$C$42, 695, 695)*CHOOSE(CONTROL!$C$42, 0.5599, 0.5599)*CHOOSE(CONTROL!$C$42, 30, 30))/1000000</f>
        <v>11.673914999999997</v>
      </c>
      <c r="V251" s="38">
        <f>(1000*CHOOSE(CONTROL!$C$42, 500, 500)*CHOOSE(CONTROL!$C$42, 0.275, 0.275)*CHOOSE(CONTROL!$C$42, 30, 30))/1000000</f>
        <v>4.125</v>
      </c>
      <c r="W251" s="38">
        <f>(1000*CHOOSE(CONTROL!$C$42, 0.1146, 0.1146)*CHOOSE(CONTROL!$C$42, 121.5, 121.5)*CHOOSE(CONTROL!$C$42, 30, 30))/1000000</f>
        <v>0.417717</v>
      </c>
      <c r="X251" s="38">
        <f>(30*0.1790888*100000/1000000)+(30*0.2374*100000/1000000)</f>
        <v>1.2494664</v>
      </c>
      <c r="Y251" s="38">
        <f>(1000*600*CHOOSE(CONTROL!$C$42, 1.6545, 1.6545)*CHOOSE(CONTROL!$C$42, 30, 30))/1000000</f>
        <v>29.780999999999999</v>
      </c>
      <c r="Z251" s="38"/>
      <c r="AA251" s="10"/>
      <c r="AB251" s="39"/>
      <c r="AC251" s="33">
        <f>(B251*122.58+C251*297.941+D251*89.177+E251*40.302+F251*40+G251*160+H251*0+I251*100+J251*300)/(122.58+297.941+89.177+40.302+0+40+160+100+300)</f>
        <v>7.9100639958260865</v>
      </c>
      <c r="AD251" s="27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7.8597633093525179</v>
      </c>
    </row>
    <row r="252" spans="1:30" ht="15" x14ac:dyDescent="0.2">
      <c r="A252" s="16">
        <v>48914</v>
      </c>
      <c r="B252" s="10">
        <f>CHOOSE(CONTROL!$C$42, 8.458, 8.458) * CHOOSE(CONTROL!$C$21, $C$9, 100%, $E$9)</f>
        <v>8.4580000000000002</v>
      </c>
      <c r="C252" s="10">
        <f>CHOOSE(CONTROL!$C$42, 8.4629, 8.4629) * CHOOSE(CONTROL!$C$21, $C$9, 100%, $E$9)</f>
        <v>8.4628999999999994</v>
      </c>
      <c r="D252" s="10">
        <f>CHOOSE(CONTROL!$C$42, 8.4874, 8.4874) * CHOOSE(CONTROL!$C$21, $C$9, 100%, $E$9)</f>
        <v>8.4873999999999992</v>
      </c>
      <c r="E252" s="10">
        <f>CHOOSE(CONTROL!$C$42, 8.5212, 8.5212) * CHOOSE(CONTROL!$C$21, $C$9, 100%, $E$9)</f>
        <v>8.5212000000000003</v>
      </c>
      <c r="F252" s="10">
        <f>CHOOSE(CONTROL!$C$42, 8.4296, 8.4296)*CHOOSE(CONTROL!$C$21, $C$9, 100%, $E$9)</f>
        <v>8.4296000000000006</v>
      </c>
      <c r="G252" s="10">
        <f>CHOOSE(CONTROL!$C$42, 8.4466, 8.4466)*CHOOSE(CONTROL!$C$21, $C$9, 100%, $E$9)</f>
        <v>8.4466000000000001</v>
      </c>
      <c r="H252" s="10">
        <f>CHOOSE(CONTROL!$C$42, 8.5104, 8.5104) * CHOOSE(CONTROL!$C$21, $C$9, 100%, $E$9)</f>
        <v>8.5104000000000006</v>
      </c>
      <c r="I252" s="10">
        <f>CHOOSE(CONTROL!$C$42, 8.4447, 8.4447)* CHOOSE(CONTROL!$C$21, $C$9, 100%, $E$9)</f>
        <v>8.4446999999999992</v>
      </c>
      <c r="J252" s="10">
        <f>CHOOSE(CONTROL!$C$42, 8.4226, 8.4226)* CHOOSE(CONTROL!$C$21, $C$9, 100%, $E$9)</f>
        <v>8.4225999999999992</v>
      </c>
      <c r="K252" s="10">
        <f>CHOOSE(CONTROL!$C$42, 8.3468, 8.3468) * CHOOSE(CONTROL!$C$21, $C$9, 100%, $E$9)</f>
        <v>8.3468</v>
      </c>
      <c r="L252" s="10">
        <f>CHOOSE(CONTROL!$C$42, 9.0974, 9.0974) * CHOOSE(CONTROL!$C$21, $C$9, 100%, $E$9)</f>
        <v>9.0974000000000004</v>
      </c>
      <c r="M252" s="10">
        <f>CHOOSE(CONTROL!$C$42, 8.3514, 8.3514) * CHOOSE(CONTROL!$C$21, $C$9, 100%, $E$9)</f>
        <v>8.3513999999999999</v>
      </c>
      <c r="N252" s="10">
        <f>CHOOSE(CONTROL!$C$42, 8.3683, 8.3683) * CHOOSE(CONTROL!$C$21, $C$9, 100%, $E$9)</f>
        <v>8.3682999999999996</v>
      </c>
      <c r="O252" s="10">
        <f>CHOOSE(CONTROL!$C$42, 8.4383, 8.4383) * CHOOSE(CONTROL!$C$21, $C$9, 100%, $E$9)</f>
        <v>8.4382999999999999</v>
      </c>
      <c r="P252" s="10">
        <f>CHOOSE(CONTROL!$C$42, 8.3734, 8.3734) * CHOOSE(CONTROL!$C$21, $C$9, 100%, $E$9)</f>
        <v>8.3734000000000002</v>
      </c>
      <c r="Q252" s="10">
        <f>CHOOSE(CONTROL!$C$42, 9.0336, 9.0336) * CHOOSE(CONTROL!$C$21, $C$9, 100%, $E$9)</f>
        <v>9.0335999999999999</v>
      </c>
      <c r="R252" s="10">
        <f>CHOOSE(CONTROL!$C$42, 9.6432, 9.6432) * CHOOSE(CONTROL!$C$21, $C$9, 100%, $E$9)</f>
        <v>9.6432000000000002</v>
      </c>
      <c r="S252" s="10">
        <f>CHOOSE(CONTROL!$C$42, 8.2114, 8.2114) * CHOOSE(CONTROL!$C$21, $C$9, 100%, $E$9)</f>
        <v>8.2113999999999994</v>
      </c>
      <c r="T2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38">
        <f>(1000*CHOOSE(CONTROL!$C$42, 695, 695)*CHOOSE(CONTROL!$C$42, 0.5599, 0.5599)*CHOOSE(CONTROL!$C$42, 31, 31))/1000000</f>
        <v>12.063045499999998</v>
      </c>
      <c r="V252" s="38">
        <f>(1000*CHOOSE(CONTROL!$C$42, 500, 500)*CHOOSE(CONTROL!$C$42, 0.275, 0.275)*CHOOSE(CONTROL!$C$42, 31, 31))/1000000</f>
        <v>4.2625000000000002</v>
      </c>
      <c r="W252" s="38">
        <f>(1000*CHOOSE(CONTROL!$C$42, 0.1146, 0.1146)*CHOOSE(CONTROL!$C$42, 121.5, 121.5)*CHOOSE(CONTROL!$C$42, 31, 31))/1000000</f>
        <v>0.43164089999999994</v>
      </c>
      <c r="X252" s="38">
        <f>(31*0.1790888*100000/1000000)+(31*0.2374*100000/1000000)</f>
        <v>1.2911152800000001</v>
      </c>
      <c r="Y252" s="38">
        <f>(1000*600*CHOOSE(CONTROL!$C$42, 1.6545, 1.6545)*CHOOSE(CONTROL!$C$42, 31, 31))/1000000</f>
        <v>30.773700000000002</v>
      </c>
      <c r="Z252" s="38"/>
      <c r="AA252" s="10"/>
      <c r="AB252" s="39"/>
      <c r="AC252" s="33">
        <f>(B252*122.58+C252*297.941+D252*89.177+E252*40.302+F252*40+G252*160+H252*0+I252*100+J252*300)/(122.58+297.941+89.177+40.302+0+40+160+100+300)</f>
        <v>8.4507989574782609</v>
      </c>
      <c r="AD252" s="27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8.3949244604316551</v>
      </c>
    </row>
    <row r="253" spans="1:30" ht="15" x14ac:dyDescent="0.2">
      <c r="A253" s="16">
        <v>48945</v>
      </c>
      <c r="B253" s="10">
        <f>CHOOSE(CONTROL!$C$42, 9.0286, 9.0286) * CHOOSE(CONTROL!$C$21, $C$9, 100%, $E$9)</f>
        <v>9.0286000000000008</v>
      </c>
      <c r="C253" s="10">
        <f>CHOOSE(CONTROL!$C$42, 9.0336, 9.0336) * CHOOSE(CONTROL!$C$21, $C$9, 100%, $E$9)</f>
        <v>9.0335999999999999</v>
      </c>
      <c r="D253" s="10">
        <f>CHOOSE(CONTROL!$C$42, 9.0581, 9.0581) * CHOOSE(CONTROL!$C$21, $C$9, 100%, $E$9)</f>
        <v>9.0580999999999996</v>
      </c>
      <c r="E253" s="10">
        <f>CHOOSE(CONTROL!$C$42, 9.0918, 9.0918) * CHOOSE(CONTROL!$C$21, $C$9, 100%, $E$9)</f>
        <v>9.0917999999999992</v>
      </c>
      <c r="F253" s="10">
        <f>CHOOSE(CONTROL!$C$42, 9.0116, 9.0116)*CHOOSE(CONTROL!$C$21, $C$9, 100%, $E$9)</f>
        <v>9.0115999999999996</v>
      </c>
      <c r="G253" s="10">
        <f>CHOOSE(CONTROL!$C$42, 9.0302, 9.0302)*CHOOSE(CONTROL!$C$21, $C$9, 100%, $E$9)</f>
        <v>9.0302000000000007</v>
      </c>
      <c r="H253" s="10">
        <f>CHOOSE(CONTROL!$C$42, 9.081, 9.081) * CHOOSE(CONTROL!$C$21, $C$9, 100%, $E$9)</f>
        <v>9.0809999999999995</v>
      </c>
      <c r="I253" s="10">
        <f>CHOOSE(CONTROL!$C$42, 9.0231, 9.0231)* CHOOSE(CONTROL!$C$21, $C$9, 100%, $E$9)</f>
        <v>9.0230999999999995</v>
      </c>
      <c r="J253" s="10">
        <f>CHOOSE(CONTROL!$C$42, 9.0046, 9.0046)* CHOOSE(CONTROL!$C$21, $C$9, 100%, $E$9)</f>
        <v>9.0045999999999999</v>
      </c>
      <c r="K253" s="10">
        <f>CHOOSE(CONTROL!$C$42, 8.9223, 8.9223) * CHOOSE(CONTROL!$C$21, $C$9, 100%, $E$9)</f>
        <v>8.9222999999999999</v>
      </c>
      <c r="L253" s="10">
        <f>CHOOSE(CONTROL!$C$42, 9.668, 9.668) * CHOOSE(CONTROL!$C$21, $C$9, 100%, $E$9)</f>
        <v>9.6679999999999993</v>
      </c>
      <c r="M253" s="10">
        <f>CHOOSE(CONTROL!$C$42, 8.9275, 8.9275) * CHOOSE(CONTROL!$C$21, $C$9, 100%, $E$9)</f>
        <v>8.9275000000000002</v>
      </c>
      <c r="N253" s="10">
        <f>CHOOSE(CONTROL!$C$42, 8.946, 8.946) * CHOOSE(CONTROL!$C$21, $C$9, 100%, $E$9)</f>
        <v>8.9459999999999997</v>
      </c>
      <c r="O253" s="10">
        <f>CHOOSE(CONTROL!$C$42, 9.0032, 9.0032) * CHOOSE(CONTROL!$C$21, $C$9, 100%, $E$9)</f>
        <v>9.0031999999999996</v>
      </c>
      <c r="P253" s="10">
        <f>CHOOSE(CONTROL!$C$42, 8.9459, 8.9459) * CHOOSE(CONTROL!$C$21, $C$9, 100%, $E$9)</f>
        <v>8.9459</v>
      </c>
      <c r="Q253" s="10">
        <f>CHOOSE(CONTROL!$C$42, 9.5985, 9.5985) * CHOOSE(CONTROL!$C$21, $C$9, 100%, $E$9)</f>
        <v>9.5984999999999996</v>
      </c>
      <c r="R253" s="10">
        <f>CHOOSE(CONTROL!$C$42, 10.2095, 10.2095) * CHOOSE(CONTROL!$C$21, $C$9, 100%, $E$9)</f>
        <v>10.2095</v>
      </c>
      <c r="S253" s="10">
        <f>CHOOSE(CONTROL!$C$42, 8.7656, 8.7656) * CHOOSE(CONTROL!$C$21, $C$9, 100%, $E$9)</f>
        <v>8.7655999999999992</v>
      </c>
      <c r="T2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38">
        <f>(1000*CHOOSE(CONTROL!$C$42, 695, 695)*CHOOSE(CONTROL!$C$42, 0.5599, 0.5599)*CHOOSE(CONTROL!$C$42, 31, 31))/1000000</f>
        <v>12.063045499999998</v>
      </c>
      <c r="V253" s="38">
        <f>(1000*CHOOSE(CONTROL!$C$42, 500, 500)*CHOOSE(CONTROL!$C$42, 0.275, 0.275)*CHOOSE(CONTROL!$C$42, 31, 31))/1000000</f>
        <v>4.2625000000000002</v>
      </c>
      <c r="W253" s="38">
        <f>(1000*CHOOSE(CONTROL!$C$42, 0.1146, 0.1146)*CHOOSE(CONTROL!$C$42, 121.5, 121.5)*CHOOSE(CONTROL!$C$42, 31, 31))/1000000</f>
        <v>0.43164089999999994</v>
      </c>
      <c r="X253" s="38">
        <f>(31*0.1790888*100000/1000000)+(31*0.2374*100000/1000000)</f>
        <v>1.2911152800000001</v>
      </c>
      <c r="Y253" s="38">
        <f>(1000*600*CHOOSE(CONTROL!$C$42, 1.6511, 1.6511)*CHOOSE(CONTROL!$C$42, 31, 31))/1000000</f>
        <v>30.710460000000001</v>
      </c>
      <c r="Z253" s="38"/>
      <c r="AA253" s="10"/>
      <c r="AB253" s="39"/>
      <c r="AC253" s="33">
        <f>(B253*122.58+C253*297.941+D253*89.177+E253*40.302+F253*40+G253*160+H253*0+I253*100+J253*300)/(122.58+297.941+89.177+40.302+0+40+160+100+300)</f>
        <v>9.0272900112173904</v>
      </c>
      <c r="AD253" s="27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8.9655223021582735</v>
      </c>
    </row>
    <row r="254" spans="1:30" ht="15" x14ac:dyDescent="0.2">
      <c r="A254" s="16">
        <v>48976</v>
      </c>
      <c r="B254" s="10">
        <f>CHOOSE(CONTROL!$C$42, 9.1893, 9.1893) * CHOOSE(CONTROL!$C$21, $C$9, 100%, $E$9)</f>
        <v>9.1892999999999994</v>
      </c>
      <c r="C254" s="10">
        <f>CHOOSE(CONTROL!$C$42, 9.1943, 9.1943) * CHOOSE(CONTROL!$C$21, $C$9, 100%, $E$9)</f>
        <v>9.1943000000000001</v>
      </c>
      <c r="D254" s="10">
        <f>CHOOSE(CONTROL!$C$42, 9.2187, 9.2187) * CHOOSE(CONTROL!$C$21, $C$9, 100%, $E$9)</f>
        <v>9.2187000000000001</v>
      </c>
      <c r="E254" s="10">
        <f>CHOOSE(CONTROL!$C$42, 9.2525, 9.2525) * CHOOSE(CONTROL!$C$21, $C$9, 100%, $E$9)</f>
        <v>9.2524999999999995</v>
      </c>
      <c r="F254" s="10">
        <f>CHOOSE(CONTROL!$C$42, 9.1716, 9.1716)*CHOOSE(CONTROL!$C$21, $C$9, 100%, $E$9)</f>
        <v>9.1715999999999998</v>
      </c>
      <c r="G254" s="10">
        <f>CHOOSE(CONTROL!$C$42, 9.1901, 9.1901)*CHOOSE(CONTROL!$C$21, $C$9, 100%, $E$9)</f>
        <v>9.1900999999999993</v>
      </c>
      <c r="H254" s="10">
        <f>CHOOSE(CONTROL!$C$42, 9.2417, 9.2417) * CHOOSE(CONTROL!$C$21, $C$9, 100%, $E$9)</f>
        <v>9.2416999999999998</v>
      </c>
      <c r="I254" s="10">
        <f>CHOOSE(CONTROL!$C$42, 9.1838, 9.1838)* CHOOSE(CONTROL!$C$21, $C$9, 100%, $E$9)</f>
        <v>9.1837999999999997</v>
      </c>
      <c r="J254" s="10">
        <f>CHOOSE(CONTROL!$C$42, 9.1646, 9.1646)* CHOOSE(CONTROL!$C$21, $C$9, 100%, $E$9)</f>
        <v>9.1646000000000001</v>
      </c>
      <c r="K254" s="10">
        <f>CHOOSE(CONTROL!$C$42, 9.0769, 9.0769) * CHOOSE(CONTROL!$C$21, $C$9, 100%, $E$9)</f>
        <v>9.0769000000000002</v>
      </c>
      <c r="L254" s="10">
        <f>CHOOSE(CONTROL!$C$42, 9.8287, 9.8287) * CHOOSE(CONTROL!$C$21, $C$9, 100%, $E$9)</f>
        <v>9.8286999999999995</v>
      </c>
      <c r="M254" s="10">
        <f>CHOOSE(CONTROL!$C$42, 9.0859, 9.0859) * CHOOSE(CONTROL!$C$21, $C$9, 100%, $E$9)</f>
        <v>9.0859000000000005</v>
      </c>
      <c r="N254" s="10">
        <f>CHOOSE(CONTROL!$C$42, 9.1042, 9.1042) * CHOOSE(CONTROL!$C$21, $C$9, 100%, $E$9)</f>
        <v>9.1042000000000005</v>
      </c>
      <c r="O254" s="10">
        <f>CHOOSE(CONTROL!$C$42, 9.1623, 9.1623) * CHOOSE(CONTROL!$C$21, $C$9, 100%, $E$9)</f>
        <v>9.1623000000000001</v>
      </c>
      <c r="P254" s="10">
        <f>CHOOSE(CONTROL!$C$42, 9.105, 9.105) * CHOOSE(CONTROL!$C$21, $C$9, 100%, $E$9)</f>
        <v>9.1050000000000004</v>
      </c>
      <c r="Q254" s="10">
        <f>CHOOSE(CONTROL!$C$42, 9.7576, 9.7576) * CHOOSE(CONTROL!$C$21, $C$9, 100%, $E$9)</f>
        <v>9.7576000000000001</v>
      </c>
      <c r="R254" s="10">
        <f>CHOOSE(CONTROL!$C$42, 10.369, 10.369) * CHOOSE(CONTROL!$C$21, $C$9, 100%, $E$9)</f>
        <v>10.369</v>
      </c>
      <c r="S254" s="10">
        <f>CHOOSE(CONTROL!$C$42, 8.9216, 8.9216) * CHOOSE(CONTROL!$C$21, $C$9, 100%, $E$9)</f>
        <v>8.9215999999999998</v>
      </c>
      <c r="T2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38">
        <f>(1000*CHOOSE(CONTROL!$C$42, 695, 695)*CHOOSE(CONTROL!$C$42, 0.5599, 0.5599)*CHOOSE(CONTROL!$C$42, 28, 28))/1000000</f>
        <v>10.895653999999999</v>
      </c>
      <c r="V254" s="38">
        <f>(1000*CHOOSE(CONTROL!$C$42, 500, 500)*CHOOSE(CONTROL!$C$42, 0.275, 0.275)*CHOOSE(CONTROL!$C$42, 28, 28))/1000000</f>
        <v>3.85</v>
      </c>
      <c r="W254" s="38">
        <f>(1000*CHOOSE(CONTROL!$C$42, 0.1146, 0.1146)*CHOOSE(CONTROL!$C$42, 121.5, 121.5)*CHOOSE(CONTROL!$C$42, 28, 28))/1000000</f>
        <v>0.38986920000000003</v>
      </c>
      <c r="X254" s="38">
        <f>(28*0.1790888*100000/1000000)+(28*0.2374*100000/1000000)</f>
        <v>1.16616864</v>
      </c>
      <c r="Y254" s="38">
        <f>(1000*600*CHOOSE(CONTROL!$C$42, 1.6511, 1.6511)*CHOOSE(CONTROL!$C$42, 28, 28))/1000000</f>
        <v>27.738479999999999</v>
      </c>
      <c r="Z254" s="38"/>
      <c r="AA254" s="10"/>
      <c r="AB254" s="39"/>
      <c r="AC254" s="33">
        <f>(B254*122.58+C254*297.941+D254*89.177+E254*40.302+F254*40+G254*160+H254*0+I254*100+J254*300)/(122.58+297.941+89.177+40.302+0+40+160+100+300)</f>
        <v>9.1876639958260888</v>
      </c>
      <c r="AD254" s="27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9.124328776978416</v>
      </c>
    </row>
    <row r="255" spans="1:30" ht="15" x14ac:dyDescent="0.2">
      <c r="A255" s="16">
        <v>49004</v>
      </c>
      <c r="B255" s="10">
        <f>CHOOSE(CONTROL!$C$42, 8.9285, 8.9285) * CHOOSE(CONTROL!$C$21, $C$9, 100%, $E$9)</f>
        <v>8.9284999999999997</v>
      </c>
      <c r="C255" s="10">
        <f>CHOOSE(CONTROL!$C$42, 8.9335, 8.9335) * CHOOSE(CONTROL!$C$21, $C$9, 100%, $E$9)</f>
        <v>8.9335000000000004</v>
      </c>
      <c r="D255" s="10">
        <f>CHOOSE(CONTROL!$C$42, 8.9579, 8.9579) * CHOOSE(CONTROL!$C$21, $C$9, 100%, $E$9)</f>
        <v>8.9579000000000004</v>
      </c>
      <c r="E255" s="10">
        <f>CHOOSE(CONTROL!$C$42, 8.9917, 8.9917) * CHOOSE(CONTROL!$C$21, $C$9, 100%, $E$9)</f>
        <v>8.9916999999999998</v>
      </c>
      <c r="F255" s="10">
        <f>CHOOSE(CONTROL!$C$42, 8.9092, 8.9092)*CHOOSE(CONTROL!$C$21, $C$9, 100%, $E$9)</f>
        <v>8.9092000000000002</v>
      </c>
      <c r="G255" s="10">
        <f>CHOOSE(CONTROL!$C$42, 8.9273, 8.9273)*CHOOSE(CONTROL!$C$21, $C$9, 100%, $E$9)</f>
        <v>8.9273000000000007</v>
      </c>
      <c r="H255" s="10">
        <f>CHOOSE(CONTROL!$C$42, 8.9809, 8.9809) * CHOOSE(CONTROL!$C$21, $C$9, 100%, $E$9)</f>
        <v>8.9809000000000001</v>
      </c>
      <c r="I255" s="10">
        <f>CHOOSE(CONTROL!$C$42, 8.923, 8.923)* CHOOSE(CONTROL!$C$21, $C$9, 100%, $E$9)</f>
        <v>8.923</v>
      </c>
      <c r="J255" s="10">
        <f>CHOOSE(CONTROL!$C$42, 8.9022, 8.9022)* CHOOSE(CONTROL!$C$21, $C$9, 100%, $E$9)</f>
        <v>8.9022000000000006</v>
      </c>
      <c r="K255" s="10">
        <f>CHOOSE(CONTROL!$C$42, 8.8202, 8.8202) * CHOOSE(CONTROL!$C$21, $C$9, 100%, $E$9)</f>
        <v>8.8201999999999998</v>
      </c>
      <c r="L255" s="10">
        <f>CHOOSE(CONTROL!$C$42, 9.5679, 9.5679) * CHOOSE(CONTROL!$C$21, $C$9, 100%, $E$9)</f>
        <v>9.5678999999999998</v>
      </c>
      <c r="M255" s="10">
        <f>CHOOSE(CONTROL!$C$42, 8.8262, 8.8262) * CHOOSE(CONTROL!$C$21, $C$9, 100%, $E$9)</f>
        <v>8.8262</v>
      </c>
      <c r="N255" s="10">
        <f>CHOOSE(CONTROL!$C$42, 8.8441, 8.8441) * CHOOSE(CONTROL!$C$21, $C$9, 100%, $E$9)</f>
        <v>8.8440999999999992</v>
      </c>
      <c r="O255" s="10">
        <f>CHOOSE(CONTROL!$C$42, 8.9041, 8.9041) * CHOOSE(CONTROL!$C$21, $C$9, 100%, $E$9)</f>
        <v>8.9040999999999997</v>
      </c>
      <c r="P255" s="10">
        <f>CHOOSE(CONTROL!$C$42, 8.8468, 8.8468) * CHOOSE(CONTROL!$C$21, $C$9, 100%, $E$9)</f>
        <v>8.8468</v>
      </c>
      <c r="Q255" s="10">
        <f>CHOOSE(CONTROL!$C$42, 9.4994, 9.4994) * CHOOSE(CONTROL!$C$21, $C$9, 100%, $E$9)</f>
        <v>9.4993999999999996</v>
      </c>
      <c r="R255" s="10">
        <f>CHOOSE(CONTROL!$C$42, 10.1101, 10.1101) * CHOOSE(CONTROL!$C$21, $C$9, 100%, $E$9)</f>
        <v>10.110099999999999</v>
      </c>
      <c r="S255" s="10">
        <f>CHOOSE(CONTROL!$C$42, 8.6683, 8.6683) * CHOOSE(CONTROL!$C$21, $C$9, 100%, $E$9)</f>
        <v>8.6683000000000003</v>
      </c>
      <c r="T2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38">
        <f>(1000*CHOOSE(CONTROL!$C$42, 695, 695)*CHOOSE(CONTROL!$C$42, 0.5599, 0.5599)*CHOOSE(CONTROL!$C$42, 31, 31))/1000000</f>
        <v>12.063045499999998</v>
      </c>
      <c r="V255" s="38">
        <f>(1000*CHOOSE(CONTROL!$C$42, 500, 500)*CHOOSE(CONTROL!$C$42, 0.275, 0.275)*CHOOSE(CONTROL!$C$42, 31, 31))/1000000</f>
        <v>4.2625000000000002</v>
      </c>
      <c r="W255" s="38">
        <f>(1000*CHOOSE(CONTROL!$C$42, 0.1146, 0.1146)*CHOOSE(CONTROL!$C$42, 121.5, 121.5)*CHOOSE(CONTROL!$C$42, 31, 31))/1000000</f>
        <v>0.43164089999999994</v>
      </c>
      <c r="X255" s="38">
        <f>(31*0.1790888*100000/1000000)+(31*0.2374*100000/1000000)</f>
        <v>1.2911152800000001</v>
      </c>
      <c r="Y255" s="38">
        <f>(1000*600*CHOOSE(CONTROL!$C$42, 1.6511, 1.6511)*CHOOSE(CONTROL!$C$42, 31, 31))/1000000</f>
        <v>30.710460000000001</v>
      </c>
      <c r="Z255" s="38"/>
      <c r="AA255" s="10"/>
      <c r="AB255" s="39"/>
      <c r="AC255" s="33">
        <f>(B255*122.58+C255*297.941+D255*89.177+E255*40.302+F255*40+G255*160+H255*0+I255*100+J255*300)/(122.58+297.941+89.177+40.302+0+40+160+100+300)</f>
        <v>8.9261126914782629</v>
      </c>
      <c r="AD255" s="27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8.8655014388489217</v>
      </c>
    </row>
    <row r="256" spans="1:30" ht="15" x14ac:dyDescent="0.2">
      <c r="A256" s="16">
        <v>49035</v>
      </c>
      <c r="B256" s="10">
        <f>CHOOSE(CONTROL!$C$42, 8.9026, 8.9026) * CHOOSE(CONTROL!$C$21, $C$9, 100%, $E$9)</f>
        <v>8.9025999999999996</v>
      </c>
      <c r="C256" s="10">
        <f>CHOOSE(CONTROL!$C$42, 8.9069, 8.9069) * CHOOSE(CONTROL!$C$21, $C$9, 100%, $E$9)</f>
        <v>8.9069000000000003</v>
      </c>
      <c r="D256" s="10">
        <f>CHOOSE(CONTROL!$C$42, 9.0871, 9.0871) * CHOOSE(CONTROL!$C$21, $C$9, 100%, $E$9)</f>
        <v>9.0870999999999995</v>
      </c>
      <c r="E256" s="10">
        <f>CHOOSE(CONTROL!$C$42, 9.1188, 9.1188) * CHOOSE(CONTROL!$C$21, $C$9, 100%, $E$9)</f>
        <v>9.1188000000000002</v>
      </c>
      <c r="F256" s="10">
        <f>CHOOSE(CONTROL!$C$42, 8.8679, 8.8679)*CHOOSE(CONTROL!$C$21, $C$9, 100%, $E$9)</f>
        <v>8.8679000000000006</v>
      </c>
      <c r="G256" s="10">
        <f>CHOOSE(CONTROL!$C$42, 8.8841, 8.8841)*CHOOSE(CONTROL!$C$21, $C$9, 100%, $E$9)</f>
        <v>8.8841000000000001</v>
      </c>
      <c r="H256" s="10">
        <f>CHOOSE(CONTROL!$C$42, 9.1086, 9.1086) * CHOOSE(CONTROL!$C$21, $C$9, 100%, $E$9)</f>
        <v>9.1085999999999991</v>
      </c>
      <c r="I256" s="10">
        <f>CHOOSE(CONTROL!$C$42, 8.8885, 8.8885)* CHOOSE(CONTROL!$C$21, $C$9, 100%, $E$9)</f>
        <v>8.8885000000000005</v>
      </c>
      <c r="J256" s="10">
        <f>CHOOSE(CONTROL!$C$42, 8.8609, 8.8609)* CHOOSE(CONTROL!$C$21, $C$9, 100%, $E$9)</f>
        <v>8.8609000000000009</v>
      </c>
      <c r="K256" s="10">
        <f>CHOOSE(CONTROL!$C$42, 8.7717, 8.7717) * CHOOSE(CONTROL!$C$21, $C$9, 100%, $E$9)</f>
        <v>8.7716999999999992</v>
      </c>
      <c r="L256" s="10">
        <f>CHOOSE(CONTROL!$C$42, 9.6956, 9.6956) * CHOOSE(CONTROL!$C$21, $C$9, 100%, $E$9)</f>
        <v>9.6956000000000007</v>
      </c>
      <c r="M256" s="10">
        <f>CHOOSE(CONTROL!$C$42, 8.7853, 8.7853) * CHOOSE(CONTROL!$C$21, $C$9, 100%, $E$9)</f>
        <v>8.7852999999999994</v>
      </c>
      <c r="N256" s="10">
        <f>CHOOSE(CONTROL!$C$42, 8.8014, 8.8014) * CHOOSE(CONTROL!$C$21, $C$9, 100%, $E$9)</f>
        <v>8.8013999999999992</v>
      </c>
      <c r="O256" s="10">
        <f>CHOOSE(CONTROL!$C$42, 9.0305, 9.0305) * CHOOSE(CONTROL!$C$21, $C$9, 100%, $E$9)</f>
        <v>9.0305</v>
      </c>
      <c r="P256" s="10">
        <f>CHOOSE(CONTROL!$C$42, 8.8127, 8.8127) * CHOOSE(CONTROL!$C$21, $C$9, 100%, $E$9)</f>
        <v>8.8126999999999995</v>
      </c>
      <c r="Q256" s="10">
        <f>CHOOSE(CONTROL!$C$42, 9.6258, 9.6258) * CHOOSE(CONTROL!$C$21, $C$9, 100%, $E$9)</f>
        <v>9.6257999999999999</v>
      </c>
      <c r="R256" s="10">
        <f>CHOOSE(CONTROL!$C$42, 10.2369, 10.2369) * CHOOSE(CONTROL!$C$21, $C$9, 100%, $E$9)</f>
        <v>10.2369</v>
      </c>
      <c r="S256" s="10">
        <f>CHOOSE(CONTROL!$C$42, 8.6424, 8.6424) * CHOOSE(CONTROL!$C$21, $C$9, 100%, $E$9)</f>
        <v>8.6424000000000003</v>
      </c>
      <c r="T2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38">
        <f>(1000*CHOOSE(CONTROL!$C$42, 695, 695)*CHOOSE(CONTROL!$C$42, 0.5599, 0.5599)*CHOOSE(CONTROL!$C$42, 30, 30))/1000000</f>
        <v>11.673914999999997</v>
      </c>
      <c r="V256" s="38">
        <f>(1000*CHOOSE(CONTROL!$C$42, 500, 500)*CHOOSE(CONTROL!$C$42, 0.275, 0.275)*CHOOSE(CONTROL!$C$42, 30, 30))/1000000</f>
        <v>4.125</v>
      </c>
      <c r="W256" s="38">
        <f>(1000*CHOOSE(CONTROL!$C$42, 0.1146, 0.1146)*CHOOSE(CONTROL!$C$42, 121.5, 121.5)*CHOOSE(CONTROL!$C$42, 30, 30))/1000000</f>
        <v>0.417717</v>
      </c>
      <c r="X256" s="38">
        <f>(30*0.1790888*245000/1000000)+(30*0.2374*100000/1000000)</f>
        <v>2.0285026799999999</v>
      </c>
      <c r="Y256" s="38">
        <f>(1000*600*CHOOSE(CONTROL!$C$42, 1.6511, 1.6511)*CHOOSE(CONTROL!$C$42, 30, 30))/1000000</f>
        <v>29.719799999999999</v>
      </c>
      <c r="Z256" s="38"/>
      <c r="AA256" s="10"/>
      <c r="AB256" s="39"/>
      <c r="AC256" s="33">
        <f>(B256*141.293+C256*267.993+D256*115.016+E256*89.698+F256*40+G256*185+H256*0+I256*100+J256*300)/(141.293+267.993+115.016+89.698+0+40+185+100+300)</f>
        <v>8.9211916299435039</v>
      </c>
      <c r="AD256" s="27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8.8617460431654678</v>
      </c>
    </row>
    <row r="257" spans="1:30" ht="15" x14ac:dyDescent="0.2">
      <c r="A257" s="16">
        <v>49065</v>
      </c>
      <c r="B257" s="10">
        <f>CHOOSE(CONTROL!$C$42, 8.9829, 8.9829) * CHOOSE(CONTROL!$C$21, $C$9, 100%, $E$9)</f>
        <v>8.9829000000000008</v>
      </c>
      <c r="C257" s="10">
        <f>CHOOSE(CONTROL!$C$42, 8.9908, 8.9908) * CHOOSE(CONTROL!$C$21, $C$9, 100%, $E$9)</f>
        <v>8.9908000000000001</v>
      </c>
      <c r="D257" s="10">
        <f>CHOOSE(CONTROL!$C$42, 9.1678, 9.1678) * CHOOSE(CONTROL!$C$21, $C$9, 100%, $E$9)</f>
        <v>9.1677999999999997</v>
      </c>
      <c r="E257" s="10">
        <f>CHOOSE(CONTROL!$C$42, 9.1989, 9.1989) * CHOOSE(CONTROL!$C$21, $C$9, 100%, $E$9)</f>
        <v>9.1989000000000001</v>
      </c>
      <c r="F257" s="10">
        <f>CHOOSE(CONTROL!$C$42, 8.9462, 8.9462)*CHOOSE(CONTROL!$C$21, $C$9, 100%, $E$9)</f>
        <v>8.9461999999999993</v>
      </c>
      <c r="G257" s="10">
        <f>CHOOSE(CONTROL!$C$42, 8.9627, 8.9627)*CHOOSE(CONTROL!$C$21, $C$9, 100%, $E$9)</f>
        <v>8.9626999999999999</v>
      </c>
      <c r="H257" s="10">
        <f>CHOOSE(CONTROL!$C$42, 9.1876, 9.1876) * CHOOSE(CONTROL!$C$21, $C$9, 100%, $E$9)</f>
        <v>9.1875999999999998</v>
      </c>
      <c r="I257" s="10">
        <f>CHOOSE(CONTROL!$C$42, 8.9675, 8.9675)* CHOOSE(CONTROL!$C$21, $C$9, 100%, $E$9)</f>
        <v>8.9674999999999994</v>
      </c>
      <c r="J257" s="10">
        <f>CHOOSE(CONTROL!$C$42, 8.9392, 8.9392)* CHOOSE(CONTROL!$C$21, $C$9, 100%, $E$9)</f>
        <v>8.9391999999999996</v>
      </c>
      <c r="K257" s="10">
        <f>CHOOSE(CONTROL!$C$42, 8.8471, 8.8471) * CHOOSE(CONTROL!$C$21, $C$9, 100%, $E$9)</f>
        <v>8.8470999999999993</v>
      </c>
      <c r="L257" s="10">
        <f>CHOOSE(CONTROL!$C$42, 9.7746, 9.7746) * CHOOSE(CONTROL!$C$21, $C$9, 100%, $E$9)</f>
        <v>9.7745999999999995</v>
      </c>
      <c r="M257" s="10">
        <f>CHOOSE(CONTROL!$C$42, 8.8629, 8.8629) * CHOOSE(CONTROL!$C$21, $C$9, 100%, $E$9)</f>
        <v>8.8628999999999998</v>
      </c>
      <c r="N257" s="10">
        <f>CHOOSE(CONTROL!$C$42, 8.8792, 8.8792) * CHOOSE(CONTROL!$C$21, $C$9, 100%, $E$9)</f>
        <v>8.8792000000000009</v>
      </c>
      <c r="O257" s="10">
        <f>CHOOSE(CONTROL!$C$42, 9.1087, 9.1087) * CHOOSE(CONTROL!$C$21, $C$9, 100%, $E$9)</f>
        <v>9.1087000000000007</v>
      </c>
      <c r="P257" s="10">
        <f>CHOOSE(CONTROL!$C$42, 8.8908, 8.8908) * CHOOSE(CONTROL!$C$21, $C$9, 100%, $E$9)</f>
        <v>8.8908000000000005</v>
      </c>
      <c r="Q257" s="10">
        <f>CHOOSE(CONTROL!$C$42, 9.704, 9.704) * CHOOSE(CONTROL!$C$21, $C$9, 100%, $E$9)</f>
        <v>9.7040000000000006</v>
      </c>
      <c r="R257" s="10">
        <f>CHOOSE(CONTROL!$C$42, 10.3152, 10.3152) * CHOOSE(CONTROL!$C$21, $C$9, 100%, $E$9)</f>
        <v>10.315200000000001</v>
      </c>
      <c r="S257" s="10">
        <f>CHOOSE(CONTROL!$C$42, 8.719, 8.719) * CHOOSE(CONTROL!$C$21, $C$9, 100%, $E$9)</f>
        <v>8.7189999999999994</v>
      </c>
      <c r="T2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38">
        <f>(1000*CHOOSE(CONTROL!$C$42, 695, 695)*CHOOSE(CONTROL!$C$42, 0.5599, 0.5599)*CHOOSE(CONTROL!$C$42, 31, 31))/1000000</f>
        <v>12.063045499999998</v>
      </c>
      <c r="V257" s="38">
        <f>(1000*CHOOSE(CONTROL!$C$42, 500, 500)*CHOOSE(CONTROL!$C$42, 0.275, 0.275)*CHOOSE(CONTROL!$C$42, 31, 31))/1000000</f>
        <v>4.2625000000000002</v>
      </c>
      <c r="W257" s="38">
        <f>(1000*CHOOSE(CONTROL!$C$42, 0.1146, 0.1146)*CHOOSE(CONTROL!$C$42, 121.5, 121.5)*CHOOSE(CONTROL!$C$42, 31, 31))/1000000</f>
        <v>0.43164089999999994</v>
      </c>
      <c r="X257" s="38">
        <f>(31*0.1790888*245000/1000000)+(31*0.2374*100000/1000000)</f>
        <v>2.0961194359999999</v>
      </c>
      <c r="Y257" s="38">
        <f>(1000*600*CHOOSE(CONTROL!$C$42, 1.6511, 1.6511)*CHOOSE(CONTROL!$C$42, 31, 31))/1000000</f>
        <v>30.710460000000001</v>
      </c>
      <c r="Z257" s="38"/>
      <c r="AA257" s="10"/>
      <c r="AB257" s="39"/>
      <c r="AC257" s="33">
        <f>(B257*194.205+C257*267.466+D257*133.845+E257*53.484+F257*40+G257*185+H257*0+I257*100+J257*300)/(194.205+267.466+133.845+53.484+0+40+185+100+300)</f>
        <v>8.9974670846938789</v>
      </c>
      <c r="AD257" s="27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8.9396323741007198</v>
      </c>
    </row>
    <row r="258" spans="1:30" ht="15" x14ac:dyDescent="0.2">
      <c r="A258" s="16">
        <v>49096</v>
      </c>
      <c r="B258" s="10">
        <f>CHOOSE(CONTROL!$C$42, 9.2375, 9.2375) * CHOOSE(CONTROL!$C$21, $C$9, 100%, $E$9)</f>
        <v>9.2375000000000007</v>
      </c>
      <c r="C258" s="10">
        <f>CHOOSE(CONTROL!$C$42, 9.2455, 9.2455) * CHOOSE(CONTROL!$C$21, $C$9, 100%, $E$9)</f>
        <v>9.2454999999999998</v>
      </c>
      <c r="D258" s="10">
        <f>CHOOSE(CONTROL!$C$42, 9.4224, 9.4224) * CHOOSE(CONTROL!$C$21, $C$9, 100%, $E$9)</f>
        <v>9.4223999999999997</v>
      </c>
      <c r="E258" s="10">
        <f>CHOOSE(CONTROL!$C$42, 9.4536, 9.4536) * CHOOSE(CONTROL!$C$21, $C$9, 100%, $E$9)</f>
        <v>9.4535999999999998</v>
      </c>
      <c r="F258" s="10">
        <f>CHOOSE(CONTROL!$C$42, 9.2011, 9.2011)*CHOOSE(CONTROL!$C$21, $C$9, 100%, $E$9)</f>
        <v>9.2011000000000003</v>
      </c>
      <c r="G258" s="10">
        <f>CHOOSE(CONTROL!$C$42, 9.2176, 9.2176)*CHOOSE(CONTROL!$C$21, $C$9, 100%, $E$9)</f>
        <v>9.2175999999999991</v>
      </c>
      <c r="H258" s="10">
        <f>CHOOSE(CONTROL!$C$42, 9.4422, 9.4422) * CHOOSE(CONTROL!$C$21, $C$9, 100%, $E$9)</f>
        <v>9.4421999999999997</v>
      </c>
      <c r="I258" s="10">
        <f>CHOOSE(CONTROL!$C$42, 9.2221, 9.2221)* CHOOSE(CONTROL!$C$21, $C$9, 100%, $E$9)</f>
        <v>9.2220999999999993</v>
      </c>
      <c r="J258" s="10">
        <f>CHOOSE(CONTROL!$C$42, 9.1941, 9.1941)* CHOOSE(CONTROL!$C$21, $C$9, 100%, $E$9)</f>
        <v>9.1941000000000006</v>
      </c>
      <c r="K258" s="10">
        <f>CHOOSE(CONTROL!$C$42, 9.0949, 9.0949) * CHOOSE(CONTROL!$C$21, $C$9, 100%, $E$9)</f>
        <v>9.0949000000000009</v>
      </c>
      <c r="L258" s="10">
        <f>CHOOSE(CONTROL!$C$42, 10.0292, 10.0292) * CHOOSE(CONTROL!$C$21, $C$9, 100%, $E$9)</f>
        <v>10.029199999999999</v>
      </c>
      <c r="M258" s="10">
        <f>CHOOSE(CONTROL!$C$42, 9.1151, 9.1151) * CHOOSE(CONTROL!$C$21, $C$9, 100%, $E$9)</f>
        <v>9.1151</v>
      </c>
      <c r="N258" s="10">
        <f>CHOOSE(CONTROL!$C$42, 9.1315, 9.1315) * CHOOSE(CONTROL!$C$21, $C$9, 100%, $E$9)</f>
        <v>9.1315000000000008</v>
      </c>
      <c r="O258" s="10">
        <f>CHOOSE(CONTROL!$C$42, 9.3608, 9.3608) * CHOOSE(CONTROL!$C$21, $C$9, 100%, $E$9)</f>
        <v>9.3607999999999993</v>
      </c>
      <c r="P258" s="10">
        <f>CHOOSE(CONTROL!$C$42, 9.1429, 9.1429) * CHOOSE(CONTROL!$C$21, $C$9, 100%, $E$9)</f>
        <v>9.1428999999999991</v>
      </c>
      <c r="Q258" s="10">
        <f>CHOOSE(CONTROL!$C$42, 9.9561, 9.9561) * CHOOSE(CONTROL!$C$21, $C$9, 100%, $E$9)</f>
        <v>9.9560999999999993</v>
      </c>
      <c r="R258" s="10">
        <f>CHOOSE(CONTROL!$C$42, 10.5679, 10.5679) * CHOOSE(CONTROL!$C$21, $C$9, 100%, $E$9)</f>
        <v>10.5679</v>
      </c>
      <c r="S258" s="10">
        <f>CHOOSE(CONTROL!$C$42, 8.9663, 8.9663) * CHOOSE(CONTROL!$C$21, $C$9, 100%, $E$9)</f>
        <v>8.9663000000000004</v>
      </c>
      <c r="T2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38">
        <f>(1000*CHOOSE(CONTROL!$C$42, 695, 695)*CHOOSE(CONTROL!$C$42, 0.5599, 0.5599)*CHOOSE(CONTROL!$C$42, 30, 30))/1000000</f>
        <v>11.673914999999997</v>
      </c>
      <c r="V258" s="38">
        <f>(1000*CHOOSE(CONTROL!$C$42, 500, 500)*CHOOSE(CONTROL!$C$42, 0.275, 0.275)*CHOOSE(CONTROL!$C$42, 30, 30))/1000000</f>
        <v>4.125</v>
      </c>
      <c r="W258" s="38">
        <f>(1000*CHOOSE(CONTROL!$C$42, 0.1146, 0.1146)*CHOOSE(CONTROL!$C$42, 121.5, 121.5)*CHOOSE(CONTROL!$C$42, 30, 30))/1000000</f>
        <v>0.417717</v>
      </c>
      <c r="X258" s="38">
        <f>(30*0.1790888*245000/1000000)+(30*0.2374*100000/1000000)</f>
        <v>2.0285026799999999</v>
      </c>
      <c r="Y258" s="38">
        <f>(1000*600*CHOOSE(CONTROL!$C$42, 1.6511, 1.6511)*CHOOSE(CONTROL!$C$42, 30, 30))/1000000</f>
        <v>29.719799999999999</v>
      </c>
      <c r="Z258" s="38"/>
      <c r="AA258" s="10"/>
      <c r="AB258" s="39"/>
      <c r="AC258" s="33">
        <f>(B258*194.205+C258*267.466+D258*133.845+E258*53.484+F258*40+G258*185+H258*0+I258*100+J258*300)/(194.205+267.466+133.845+53.484+0+40+185+100+300)</f>
        <v>9.2522159033751947</v>
      </c>
      <c r="AD258" s="27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9.1918129496402869</v>
      </c>
    </row>
    <row r="259" spans="1:30" ht="15" x14ac:dyDescent="0.2">
      <c r="A259" s="16">
        <v>49126</v>
      </c>
      <c r="B259" s="10">
        <f>CHOOSE(CONTROL!$C$42, 9.0604, 9.0604) * CHOOSE(CONTROL!$C$21, $C$9, 100%, $E$9)</f>
        <v>9.0603999999999996</v>
      </c>
      <c r="C259" s="10">
        <f>CHOOSE(CONTROL!$C$42, 9.0683, 9.0683) * CHOOSE(CONTROL!$C$21, $C$9, 100%, $E$9)</f>
        <v>9.0683000000000007</v>
      </c>
      <c r="D259" s="10">
        <f>CHOOSE(CONTROL!$C$42, 9.2453, 9.2453) * CHOOSE(CONTROL!$C$21, $C$9, 100%, $E$9)</f>
        <v>9.2453000000000003</v>
      </c>
      <c r="E259" s="10">
        <f>CHOOSE(CONTROL!$C$42, 9.2765, 9.2765) * CHOOSE(CONTROL!$C$21, $C$9, 100%, $E$9)</f>
        <v>9.2765000000000004</v>
      </c>
      <c r="F259" s="10">
        <f>CHOOSE(CONTROL!$C$42, 9.0242, 9.0242)*CHOOSE(CONTROL!$C$21, $C$9, 100%, $E$9)</f>
        <v>9.0242000000000004</v>
      </c>
      <c r="G259" s="10">
        <f>CHOOSE(CONTROL!$C$42, 9.0408, 9.0408)*CHOOSE(CONTROL!$C$21, $C$9, 100%, $E$9)</f>
        <v>9.0408000000000008</v>
      </c>
      <c r="H259" s="10">
        <f>CHOOSE(CONTROL!$C$42, 9.2651, 9.2651) * CHOOSE(CONTROL!$C$21, $C$9, 100%, $E$9)</f>
        <v>9.2651000000000003</v>
      </c>
      <c r="I259" s="10">
        <f>CHOOSE(CONTROL!$C$42, 9.045, 9.045)* CHOOSE(CONTROL!$C$21, $C$9, 100%, $E$9)</f>
        <v>9.0449999999999999</v>
      </c>
      <c r="J259" s="10">
        <f>CHOOSE(CONTROL!$C$42, 9.0172, 9.0172)* CHOOSE(CONTROL!$C$21, $C$9, 100%, $E$9)</f>
        <v>9.0172000000000008</v>
      </c>
      <c r="K259" s="10">
        <f>CHOOSE(CONTROL!$C$42, 8.9234, 8.9234) * CHOOSE(CONTROL!$C$21, $C$9, 100%, $E$9)</f>
        <v>8.9234000000000009</v>
      </c>
      <c r="L259" s="10">
        <f>CHOOSE(CONTROL!$C$42, 9.8521, 9.8521) * CHOOSE(CONTROL!$C$21, $C$9, 100%, $E$9)</f>
        <v>9.8521000000000001</v>
      </c>
      <c r="M259" s="10">
        <f>CHOOSE(CONTROL!$C$42, 8.94, 8.94) * CHOOSE(CONTROL!$C$21, $C$9, 100%, $E$9)</f>
        <v>8.94</v>
      </c>
      <c r="N259" s="10">
        <f>CHOOSE(CONTROL!$C$42, 8.9565, 8.9565) * CHOOSE(CONTROL!$C$21, $C$9, 100%, $E$9)</f>
        <v>8.9565000000000001</v>
      </c>
      <c r="O259" s="10">
        <f>CHOOSE(CONTROL!$C$42, 9.1854, 9.1854) * CHOOSE(CONTROL!$C$21, $C$9, 100%, $E$9)</f>
        <v>9.1853999999999996</v>
      </c>
      <c r="P259" s="10">
        <f>CHOOSE(CONTROL!$C$42, 8.9676, 8.9676) * CHOOSE(CONTROL!$C$21, $C$9, 100%, $E$9)</f>
        <v>8.9675999999999991</v>
      </c>
      <c r="Q259" s="10">
        <f>CHOOSE(CONTROL!$C$42, 9.7807, 9.7807) * CHOOSE(CONTROL!$C$21, $C$9, 100%, $E$9)</f>
        <v>9.7806999999999995</v>
      </c>
      <c r="R259" s="10">
        <f>CHOOSE(CONTROL!$C$42, 10.3922, 10.3922) * CHOOSE(CONTROL!$C$21, $C$9, 100%, $E$9)</f>
        <v>10.392200000000001</v>
      </c>
      <c r="S259" s="10">
        <f>CHOOSE(CONTROL!$C$42, 8.7943, 8.7943) * CHOOSE(CONTROL!$C$21, $C$9, 100%, $E$9)</f>
        <v>8.7942999999999998</v>
      </c>
      <c r="T2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38">
        <f>(1000*CHOOSE(CONTROL!$C$42, 695, 695)*CHOOSE(CONTROL!$C$42, 0.5599, 0.5599)*CHOOSE(CONTROL!$C$42, 31, 31))/1000000</f>
        <v>12.063045499999998</v>
      </c>
      <c r="V259" s="38">
        <f>(1000*CHOOSE(CONTROL!$C$42, 500, 500)*CHOOSE(CONTROL!$C$42, 0.275, 0.275)*CHOOSE(CONTROL!$C$42, 31, 31))/1000000</f>
        <v>4.2625000000000002</v>
      </c>
      <c r="W259" s="38">
        <f>(1000*CHOOSE(CONTROL!$C$42, 0.1146, 0.1146)*CHOOSE(CONTROL!$C$42, 121.5, 121.5)*CHOOSE(CONTROL!$C$42, 31, 31))/1000000</f>
        <v>0.43164089999999994</v>
      </c>
      <c r="X259" s="38">
        <f>(31*0.1790888*245000/1000000)+(31*0.2374*100000/1000000)</f>
        <v>2.0961194359999999</v>
      </c>
      <c r="Y259" s="38">
        <f>(1000*600*CHOOSE(CONTROL!$C$42, 1.6511, 1.6511)*CHOOSE(CONTROL!$C$42, 31, 31))/1000000</f>
        <v>30.710460000000001</v>
      </c>
      <c r="Z259" s="38"/>
      <c r="AA259" s="10"/>
      <c r="AB259" s="39"/>
      <c r="AC259" s="33">
        <f>(B259*194.205+C259*267.466+D259*133.845+E259*53.484+F259*40+G259*185+H259*0+I259*100+J259*300)/(194.205+267.466+133.845+53.484+0+40+185+100+300)</f>
        <v>9.075191847959184</v>
      </c>
      <c r="AD259" s="27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9.016623021582733</v>
      </c>
    </row>
    <row r="260" spans="1:30" ht="15" x14ac:dyDescent="0.2">
      <c r="A260" s="16">
        <v>49157</v>
      </c>
      <c r="B260" s="10">
        <f>CHOOSE(CONTROL!$C$42, 8.6132, 8.6132) * CHOOSE(CONTROL!$C$21, $C$9, 100%, $E$9)</f>
        <v>8.6132000000000009</v>
      </c>
      <c r="C260" s="10">
        <f>CHOOSE(CONTROL!$C$42, 8.6211, 8.6211) * CHOOSE(CONTROL!$C$21, $C$9, 100%, $E$9)</f>
        <v>8.6211000000000002</v>
      </c>
      <c r="D260" s="10">
        <f>CHOOSE(CONTROL!$C$42, 8.7981, 8.7981) * CHOOSE(CONTROL!$C$21, $C$9, 100%, $E$9)</f>
        <v>8.7980999999999998</v>
      </c>
      <c r="E260" s="10">
        <f>CHOOSE(CONTROL!$C$42, 8.8292, 8.8292) * CHOOSE(CONTROL!$C$21, $C$9, 100%, $E$9)</f>
        <v>8.8292000000000002</v>
      </c>
      <c r="F260" s="10">
        <f>CHOOSE(CONTROL!$C$42, 8.577, 8.577)*CHOOSE(CONTROL!$C$21, $C$9, 100%, $E$9)</f>
        <v>8.577</v>
      </c>
      <c r="G260" s="10">
        <f>CHOOSE(CONTROL!$C$42, 8.5936, 8.5936)*CHOOSE(CONTROL!$C$21, $C$9, 100%, $E$9)</f>
        <v>8.5936000000000003</v>
      </c>
      <c r="H260" s="10">
        <f>CHOOSE(CONTROL!$C$42, 8.8178, 8.8178) * CHOOSE(CONTROL!$C$21, $C$9, 100%, $E$9)</f>
        <v>8.8178000000000001</v>
      </c>
      <c r="I260" s="10">
        <f>CHOOSE(CONTROL!$C$42, 8.5978, 8.5978)* CHOOSE(CONTROL!$C$21, $C$9, 100%, $E$9)</f>
        <v>8.5977999999999994</v>
      </c>
      <c r="J260" s="10">
        <f>CHOOSE(CONTROL!$C$42, 8.57, 8.57)* CHOOSE(CONTROL!$C$21, $C$9, 100%, $E$9)</f>
        <v>8.57</v>
      </c>
      <c r="K260" s="10">
        <f>CHOOSE(CONTROL!$C$42, 8.4889, 8.4889) * CHOOSE(CONTROL!$C$21, $C$9, 100%, $E$9)</f>
        <v>8.4888999999999992</v>
      </c>
      <c r="L260" s="10">
        <f>CHOOSE(CONTROL!$C$42, 9.4048, 9.4048) * CHOOSE(CONTROL!$C$21, $C$9, 100%, $E$9)</f>
        <v>9.4047999999999998</v>
      </c>
      <c r="M260" s="10">
        <f>CHOOSE(CONTROL!$C$42, 8.4973, 8.4973) * CHOOSE(CONTROL!$C$21, $C$9, 100%, $E$9)</f>
        <v>8.4972999999999992</v>
      </c>
      <c r="N260" s="10">
        <f>CHOOSE(CONTROL!$C$42, 8.5138, 8.5138) * CHOOSE(CONTROL!$C$21, $C$9, 100%, $E$9)</f>
        <v>8.5137999999999998</v>
      </c>
      <c r="O260" s="10">
        <f>CHOOSE(CONTROL!$C$42, 8.7427, 8.7427) * CHOOSE(CONTROL!$C$21, $C$9, 100%, $E$9)</f>
        <v>8.7426999999999992</v>
      </c>
      <c r="P260" s="10">
        <f>CHOOSE(CONTROL!$C$42, 8.5249, 8.5249) * CHOOSE(CONTROL!$C$21, $C$9, 100%, $E$9)</f>
        <v>8.5249000000000006</v>
      </c>
      <c r="Q260" s="10">
        <f>CHOOSE(CONTROL!$C$42, 9.338, 9.338) * CHOOSE(CONTROL!$C$21, $C$9, 100%, $E$9)</f>
        <v>9.3379999999999992</v>
      </c>
      <c r="R260" s="10">
        <f>CHOOSE(CONTROL!$C$42, 9.9483, 9.9483) * CHOOSE(CONTROL!$C$21, $C$9, 100%, $E$9)</f>
        <v>9.9482999999999997</v>
      </c>
      <c r="S260" s="10">
        <f>CHOOSE(CONTROL!$C$42, 8.36, 8.36) * CHOOSE(CONTROL!$C$21, $C$9, 100%, $E$9)</f>
        <v>8.36</v>
      </c>
      <c r="T2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38">
        <f>(1000*CHOOSE(CONTROL!$C$42, 695, 695)*CHOOSE(CONTROL!$C$42, 0.5599, 0.5599)*CHOOSE(CONTROL!$C$42, 31, 31))/1000000</f>
        <v>12.063045499999998</v>
      </c>
      <c r="V260" s="38">
        <f>(1000*CHOOSE(CONTROL!$C$42, 500, 500)*CHOOSE(CONTROL!$C$42, 0.275, 0.275)*CHOOSE(CONTROL!$C$42, 31, 31))/1000000</f>
        <v>4.2625000000000002</v>
      </c>
      <c r="W260" s="38">
        <f>(1000*CHOOSE(CONTROL!$C$42, 0.1146, 0.1146)*CHOOSE(CONTROL!$C$42, 121.5, 121.5)*CHOOSE(CONTROL!$C$42, 31, 31))/1000000</f>
        <v>0.43164089999999994</v>
      </c>
      <c r="X260" s="38">
        <f>(31*0.1790888*245000/1000000)+(31*0.2374*100000/1000000)</f>
        <v>2.0961194359999999</v>
      </c>
      <c r="Y260" s="38">
        <f>(1000*600*CHOOSE(CONTROL!$C$42, 1.6511, 1.6511)*CHOOSE(CONTROL!$C$42, 31, 31))/1000000</f>
        <v>30.710460000000001</v>
      </c>
      <c r="Z260" s="38"/>
      <c r="AA260" s="10"/>
      <c r="AB260" s="39"/>
      <c r="AC260" s="33">
        <f>(B260*194.205+C260*267.466+D260*133.845+E260*53.484+F260*40+G260*185+H260*0+I260*100+J260*300)/(194.205+267.466+133.845+53.484+0+40+185+100+300)</f>
        <v>8.6279876498430141</v>
      </c>
      <c r="AD260" s="27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8.5739230215827327</v>
      </c>
    </row>
    <row r="261" spans="1:30" ht="15" x14ac:dyDescent="0.2">
      <c r="A261" s="16">
        <v>49188</v>
      </c>
      <c r="B261" s="10">
        <f>CHOOSE(CONTROL!$C$42, 8.0667, 8.0667) * CHOOSE(CONTROL!$C$21, $C$9, 100%, $E$9)</f>
        <v>8.0667000000000009</v>
      </c>
      <c r="C261" s="10">
        <f>CHOOSE(CONTROL!$C$42, 8.0746, 8.0746) * CHOOSE(CONTROL!$C$21, $C$9, 100%, $E$9)</f>
        <v>8.0746000000000002</v>
      </c>
      <c r="D261" s="10">
        <f>CHOOSE(CONTROL!$C$42, 8.2516, 8.2516) * CHOOSE(CONTROL!$C$21, $C$9, 100%, $E$9)</f>
        <v>8.2515999999999998</v>
      </c>
      <c r="E261" s="10">
        <f>CHOOSE(CONTROL!$C$42, 8.2827, 8.2827) * CHOOSE(CONTROL!$C$21, $C$9, 100%, $E$9)</f>
        <v>8.2827000000000002</v>
      </c>
      <c r="F261" s="10">
        <f>CHOOSE(CONTROL!$C$42, 8.0303, 8.0303)*CHOOSE(CONTROL!$C$21, $C$9, 100%, $E$9)</f>
        <v>8.0303000000000004</v>
      </c>
      <c r="G261" s="10">
        <f>CHOOSE(CONTROL!$C$42, 8.0468, 8.0468)*CHOOSE(CONTROL!$C$21, $C$9, 100%, $E$9)</f>
        <v>8.0467999999999993</v>
      </c>
      <c r="H261" s="10">
        <f>CHOOSE(CONTROL!$C$42, 8.2714, 8.2714) * CHOOSE(CONTROL!$C$21, $C$9, 100%, $E$9)</f>
        <v>8.2713999999999999</v>
      </c>
      <c r="I261" s="10">
        <f>CHOOSE(CONTROL!$C$42, 8.0513, 8.0513)* CHOOSE(CONTROL!$C$21, $C$9, 100%, $E$9)</f>
        <v>8.0512999999999995</v>
      </c>
      <c r="J261" s="10">
        <f>CHOOSE(CONTROL!$C$42, 8.0233, 8.0233)* CHOOSE(CONTROL!$C$21, $C$9, 100%, $E$9)</f>
        <v>8.0233000000000008</v>
      </c>
      <c r="K261" s="10">
        <f>CHOOSE(CONTROL!$C$42, 7.9575, 7.9575) * CHOOSE(CONTROL!$C$21, $C$9, 100%, $E$9)</f>
        <v>7.9574999999999996</v>
      </c>
      <c r="L261" s="10">
        <f>CHOOSE(CONTROL!$C$42, 8.8584, 8.8584) * CHOOSE(CONTROL!$C$21, $C$9, 100%, $E$9)</f>
        <v>8.8583999999999996</v>
      </c>
      <c r="M261" s="10">
        <f>CHOOSE(CONTROL!$C$42, 7.9561, 7.9561) * CHOOSE(CONTROL!$C$21, $C$9, 100%, $E$9)</f>
        <v>7.9561000000000002</v>
      </c>
      <c r="N261" s="10">
        <f>CHOOSE(CONTROL!$C$42, 7.9725, 7.9725) * CHOOSE(CONTROL!$C$21, $C$9, 100%, $E$9)</f>
        <v>7.9725000000000001</v>
      </c>
      <c r="O261" s="10">
        <f>CHOOSE(CONTROL!$C$42, 8.2017, 8.2017) * CHOOSE(CONTROL!$C$21, $C$9, 100%, $E$9)</f>
        <v>8.2017000000000007</v>
      </c>
      <c r="P261" s="10">
        <f>CHOOSE(CONTROL!$C$42, 7.9839, 7.9839) * CHOOSE(CONTROL!$C$21, $C$9, 100%, $E$9)</f>
        <v>7.9839000000000002</v>
      </c>
      <c r="Q261" s="10">
        <f>CHOOSE(CONTROL!$C$42, 8.797, 8.797) * CHOOSE(CONTROL!$C$21, $C$9, 100%, $E$9)</f>
        <v>8.7970000000000006</v>
      </c>
      <c r="R261" s="10">
        <f>CHOOSE(CONTROL!$C$42, 9.406, 9.406) * CHOOSE(CONTROL!$C$21, $C$9, 100%, $E$9)</f>
        <v>9.4060000000000006</v>
      </c>
      <c r="S261" s="10">
        <f>CHOOSE(CONTROL!$C$42, 7.8293, 7.8293) * CHOOSE(CONTROL!$C$21, $C$9, 100%, $E$9)</f>
        <v>7.8292999999999999</v>
      </c>
      <c r="T2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38">
        <f>(1000*CHOOSE(CONTROL!$C$42, 695, 695)*CHOOSE(CONTROL!$C$42, 0.5599, 0.5599)*CHOOSE(CONTROL!$C$42, 30, 30))/1000000</f>
        <v>11.673914999999997</v>
      </c>
      <c r="V261" s="38">
        <f>(1000*CHOOSE(CONTROL!$C$42, 500, 500)*CHOOSE(CONTROL!$C$42, 0.275, 0.275)*CHOOSE(CONTROL!$C$42, 30, 30))/1000000</f>
        <v>4.125</v>
      </c>
      <c r="W261" s="38">
        <f>(1000*CHOOSE(CONTROL!$C$42, 0.1146, 0.1146)*CHOOSE(CONTROL!$C$42, 121.5, 121.5)*CHOOSE(CONTROL!$C$42, 30, 30))/1000000</f>
        <v>0.417717</v>
      </c>
      <c r="X261" s="38">
        <f>(30*0.1790888*245000/1000000)+(30*0.2374*100000/1000000)</f>
        <v>2.0285026799999999</v>
      </c>
      <c r="Y261" s="38">
        <f>(1000*600*CHOOSE(CONTROL!$C$42, 1.6511, 1.6511)*CHOOSE(CONTROL!$C$42, 30, 30))/1000000</f>
        <v>29.719799999999999</v>
      </c>
      <c r="Z261" s="38"/>
      <c r="AA261" s="10"/>
      <c r="AB261" s="39"/>
      <c r="AC261" s="33">
        <f>(B261*194.205+C261*267.466+D261*133.845+E261*53.484+F261*40+G261*185+H261*0+I261*100+J261*300)/(194.205+267.466+133.845+53.484+0+40+185+100+300)</f>
        <v>8.0813907110675043</v>
      </c>
      <c r="AD261" s="27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8.0327848920863314</v>
      </c>
    </row>
    <row r="262" spans="1:30" ht="15" x14ac:dyDescent="0.2">
      <c r="A262" s="16">
        <v>49218</v>
      </c>
      <c r="B262" s="10">
        <f>CHOOSE(CONTROL!$C$42, 7.9009, 7.9009) * CHOOSE(CONTROL!$C$21, $C$9, 100%, $E$9)</f>
        <v>7.9009</v>
      </c>
      <c r="C262" s="10">
        <f>CHOOSE(CONTROL!$C$42, 7.9061, 7.9061) * CHOOSE(CONTROL!$C$21, $C$9, 100%, $E$9)</f>
        <v>7.9061000000000003</v>
      </c>
      <c r="D262" s="10">
        <f>CHOOSE(CONTROL!$C$42, 8.088, 8.088) * CHOOSE(CONTROL!$C$21, $C$9, 100%, $E$9)</f>
        <v>8.0879999999999992</v>
      </c>
      <c r="E262" s="10">
        <f>CHOOSE(CONTROL!$C$42, 8.1168, 8.1168) * CHOOSE(CONTROL!$C$21, $C$9, 100%, $E$9)</f>
        <v>8.1167999999999996</v>
      </c>
      <c r="F262" s="10">
        <f>CHOOSE(CONTROL!$C$42, 7.8665, 7.8665)*CHOOSE(CONTROL!$C$21, $C$9, 100%, $E$9)</f>
        <v>7.8665000000000003</v>
      </c>
      <c r="G262" s="10">
        <f>CHOOSE(CONTROL!$C$42, 7.8827, 7.8827)*CHOOSE(CONTROL!$C$21, $C$9, 100%, $E$9)</f>
        <v>7.8826999999999998</v>
      </c>
      <c r="H262" s="10">
        <f>CHOOSE(CONTROL!$C$42, 8.1073, 8.1073) * CHOOSE(CONTROL!$C$21, $C$9, 100%, $E$9)</f>
        <v>8.1073000000000004</v>
      </c>
      <c r="I262" s="10">
        <f>CHOOSE(CONTROL!$C$42, 7.8872, 7.8872)* CHOOSE(CONTROL!$C$21, $C$9, 100%, $E$9)</f>
        <v>7.8872</v>
      </c>
      <c r="J262" s="10">
        <f>CHOOSE(CONTROL!$C$42, 7.8595, 7.8595)* CHOOSE(CONTROL!$C$21, $C$9, 100%, $E$9)</f>
        <v>7.8594999999999997</v>
      </c>
      <c r="K262" s="10">
        <f>CHOOSE(CONTROL!$C$42, 7.7986, 7.7986) * CHOOSE(CONTROL!$C$21, $C$9, 100%, $E$9)</f>
        <v>7.7986000000000004</v>
      </c>
      <c r="L262" s="10">
        <f>CHOOSE(CONTROL!$C$42, 8.6943, 8.6943) * CHOOSE(CONTROL!$C$21, $C$9, 100%, $E$9)</f>
        <v>8.6943000000000001</v>
      </c>
      <c r="M262" s="10">
        <f>CHOOSE(CONTROL!$C$42, 7.794, 7.794) * CHOOSE(CONTROL!$C$21, $C$9, 100%, $E$9)</f>
        <v>7.7939999999999996</v>
      </c>
      <c r="N262" s="10">
        <f>CHOOSE(CONTROL!$C$42, 7.8101, 7.8101) * CHOOSE(CONTROL!$C$21, $C$9, 100%, $E$9)</f>
        <v>7.8101000000000003</v>
      </c>
      <c r="O262" s="10">
        <f>CHOOSE(CONTROL!$C$42, 8.0393, 8.0393) * CHOOSE(CONTROL!$C$21, $C$9, 100%, $E$9)</f>
        <v>8.0393000000000008</v>
      </c>
      <c r="P262" s="10">
        <f>CHOOSE(CONTROL!$C$42, 7.8215, 7.8215) * CHOOSE(CONTROL!$C$21, $C$9, 100%, $E$9)</f>
        <v>7.8215000000000003</v>
      </c>
      <c r="Q262" s="10">
        <f>CHOOSE(CONTROL!$C$42, 8.6346, 8.6346) * CHOOSE(CONTROL!$C$21, $C$9, 100%, $E$9)</f>
        <v>8.6346000000000007</v>
      </c>
      <c r="R262" s="10">
        <f>CHOOSE(CONTROL!$C$42, 9.2432, 9.2432) * CHOOSE(CONTROL!$C$21, $C$9, 100%, $E$9)</f>
        <v>9.2431999999999999</v>
      </c>
      <c r="S262" s="10">
        <f>CHOOSE(CONTROL!$C$42, 7.67, 7.67) * CHOOSE(CONTROL!$C$21, $C$9, 100%, $E$9)</f>
        <v>7.67</v>
      </c>
      <c r="T2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38">
        <f>(1000*CHOOSE(CONTROL!$C$42, 695, 695)*CHOOSE(CONTROL!$C$42, 0.5599, 0.5599)*CHOOSE(CONTROL!$C$42, 31, 31))/1000000</f>
        <v>12.063045499999998</v>
      </c>
      <c r="V262" s="38">
        <f>(1000*CHOOSE(CONTROL!$C$42, 500, 500)*CHOOSE(CONTROL!$C$42, 0.275, 0.275)*CHOOSE(CONTROL!$C$42, 31, 31))/1000000</f>
        <v>4.2625000000000002</v>
      </c>
      <c r="W262" s="38">
        <f>(1000*CHOOSE(CONTROL!$C$42, 0.1146, 0.1146)*CHOOSE(CONTROL!$C$42, 121.5, 121.5)*CHOOSE(CONTROL!$C$42, 31, 31))/1000000</f>
        <v>0.43164089999999994</v>
      </c>
      <c r="X262" s="38">
        <f>(31*0.1790888*245000/1000000)+(31*0.2374*100000/1000000)</f>
        <v>2.0961194359999999</v>
      </c>
      <c r="Y262" s="38">
        <f>(1000*600*CHOOSE(CONTROL!$C$42, 1.6511, 1.6511)*CHOOSE(CONTROL!$C$42, 31, 31))/1000000</f>
        <v>30.710460000000001</v>
      </c>
      <c r="Z262" s="38"/>
      <c r="AA262" s="10"/>
      <c r="AB262" s="39"/>
      <c r="AC262" s="33">
        <f>(B262*131.881+C262*277.167+D262*79.08+E262*125.872+F262*40+G262*185+H262*0+I262*100+J262*300)/(131.881+277.167+79.08+125.872+0+40+185+100+300)</f>
        <v>7.920980630508474</v>
      </c>
      <c r="AD262" s="27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7.8704884892086326</v>
      </c>
    </row>
    <row r="263" spans="1:30" ht="15" x14ac:dyDescent="0.2">
      <c r="A263" s="16">
        <v>49249</v>
      </c>
      <c r="B263" s="10">
        <f>CHOOSE(CONTROL!$C$42, 8.1085, 8.1085) * CHOOSE(CONTROL!$C$21, $C$9, 100%, $E$9)</f>
        <v>8.1084999999999994</v>
      </c>
      <c r="C263" s="10">
        <f>CHOOSE(CONTROL!$C$42, 8.1135, 8.1135) * CHOOSE(CONTROL!$C$21, $C$9, 100%, $E$9)</f>
        <v>8.1135000000000002</v>
      </c>
      <c r="D263" s="10">
        <f>CHOOSE(CONTROL!$C$42, 8.1379, 8.1379) * CHOOSE(CONTROL!$C$21, $C$9, 100%, $E$9)</f>
        <v>8.1379000000000001</v>
      </c>
      <c r="E263" s="10">
        <f>CHOOSE(CONTROL!$C$42, 8.1717, 8.1717) * CHOOSE(CONTROL!$C$21, $C$9, 100%, $E$9)</f>
        <v>8.1716999999999995</v>
      </c>
      <c r="F263" s="10">
        <f>CHOOSE(CONTROL!$C$42, 8.0778, 8.0778)*CHOOSE(CONTROL!$C$21, $C$9, 100%, $E$9)</f>
        <v>8.0777999999999999</v>
      </c>
      <c r="G263" s="10">
        <f>CHOOSE(CONTROL!$C$42, 8.0942, 8.0942)*CHOOSE(CONTROL!$C$21, $C$9, 100%, $E$9)</f>
        <v>8.0942000000000007</v>
      </c>
      <c r="H263" s="10">
        <f>CHOOSE(CONTROL!$C$42, 8.1609, 8.1609) * CHOOSE(CONTROL!$C$21, $C$9, 100%, $E$9)</f>
        <v>8.1608999999999998</v>
      </c>
      <c r="I263" s="10">
        <f>CHOOSE(CONTROL!$C$42, 8.0953, 8.0953)* CHOOSE(CONTROL!$C$21, $C$9, 100%, $E$9)</f>
        <v>8.0952999999999999</v>
      </c>
      <c r="J263" s="10">
        <f>CHOOSE(CONTROL!$C$42, 8.0708, 8.0708)* CHOOSE(CONTROL!$C$21, $C$9, 100%, $E$9)</f>
        <v>8.0708000000000002</v>
      </c>
      <c r="K263" s="10">
        <f>CHOOSE(CONTROL!$C$42, 8.0023, 8.0023) * CHOOSE(CONTROL!$C$21, $C$9, 100%, $E$9)</f>
        <v>8.0023</v>
      </c>
      <c r="L263" s="10">
        <f>CHOOSE(CONTROL!$C$42, 8.7479, 8.7479) * CHOOSE(CONTROL!$C$21, $C$9, 100%, $E$9)</f>
        <v>8.7478999999999996</v>
      </c>
      <c r="M263" s="10">
        <f>CHOOSE(CONTROL!$C$42, 8.0032, 8.0032) * CHOOSE(CONTROL!$C$21, $C$9, 100%, $E$9)</f>
        <v>8.0031999999999996</v>
      </c>
      <c r="N263" s="10">
        <f>CHOOSE(CONTROL!$C$42, 8.0195, 8.0195) * CHOOSE(CONTROL!$C$21, $C$9, 100%, $E$9)</f>
        <v>8.0195000000000007</v>
      </c>
      <c r="O263" s="10">
        <f>CHOOSE(CONTROL!$C$42, 8.0924, 8.0924) * CHOOSE(CONTROL!$C$21, $C$9, 100%, $E$9)</f>
        <v>8.0923999999999996</v>
      </c>
      <c r="P263" s="10">
        <f>CHOOSE(CONTROL!$C$42, 8.0274, 8.0274) * CHOOSE(CONTROL!$C$21, $C$9, 100%, $E$9)</f>
        <v>8.0274000000000001</v>
      </c>
      <c r="Q263" s="10">
        <f>CHOOSE(CONTROL!$C$42, 8.6877, 8.6877) * CHOOSE(CONTROL!$C$21, $C$9, 100%, $E$9)</f>
        <v>8.6876999999999995</v>
      </c>
      <c r="R263" s="10">
        <f>CHOOSE(CONTROL!$C$42, 9.2964, 9.2964) * CHOOSE(CONTROL!$C$21, $C$9, 100%, $E$9)</f>
        <v>9.2964000000000002</v>
      </c>
      <c r="S263" s="10">
        <f>CHOOSE(CONTROL!$C$42, 7.872, 7.872) * CHOOSE(CONTROL!$C$21, $C$9, 100%, $E$9)</f>
        <v>7.8719999999999999</v>
      </c>
      <c r="T2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38">
        <f>(1000*CHOOSE(CONTROL!$C$42, 695, 695)*CHOOSE(CONTROL!$C$42, 0.5599, 0.5599)*CHOOSE(CONTROL!$C$42, 30, 30))/1000000</f>
        <v>11.673914999999997</v>
      </c>
      <c r="V263" s="38">
        <f>(1000*CHOOSE(CONTROL!$C$42, 500, 500)*CHOOSE(CONTROL!$C$42, 0.275, 0.275)*CHOOSE(CONTROL!$C$42, 30, 30))/1000000</f>
        <v>4.125</v>
      </c>
      <c r="W263" s="38">
        <f>(1000*CHOOSE(CONTROL!$C$42, 0.1146, 0.1146)*CHOOSE(CONTROL!$C$42, 121.5, 121.5)*CHOOSE(CONTROL!$C$42, 30, 30))/1000000</f>
        <v>0.417717</v>
      </c>
      <c r="X263" s="38">
        <f>(30*0.1790888*100000/1000000)+(30*0.2374*100000/1000000)</f>
        <v>1.2494664</v>
      </c>
      <c r="Y263" s="38">
        <f>(1000*600*CHOOSE(CONTROL!$C$42, 1.6511, 1.6511)*CHOOSE(CONTROL!$C$42, 30, 30))/1000000</f>
        <v>29.719799999999999</v>
      </c>
      <c r="Z263" s="38"/>
      <c r="AA263" s="10"/>
      <c r="AB263" s="39"/>
      <c r="AC263" s="33">
        <f>(B263*122.58+C263*297.941+D263*89.177+E263*40.302+F263*40+G263*160+H263*0+I263*100+J263*300)/(122.58+297.941+89.177+40.302+0+40+160+100+300)</f>
        <v>8.1002500827826083</v>
      </c>
      <c r="AD263" s="27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8.0480489208633088</v>
      </c>
    </row>
    <row r="264" spans="1:30" ht="15" x14ac:dyDescent="0.2">
      <c r="A264" s="16">
        <v>49279</v>
      </c>
      <c r="B264" s="10">
        <f>CHOOSE(CONTROL!$C$42, 8.6611, 8.6611) * CHOOSE(CONTROL!$C$21, $C$9, 100%, $E$9)</f>
        <v>8.6610999999999994</v>
      </c>
      <c r="C264" s="10">
        <f>CHOOSE(CONTROL!$C$42, 8.6661, 8.6661) * CHOOSE(CONTROL!$C$21, $C$9, 100%, $E$9)</f>
        <v>8.6661000000000001</v>
      </c>
      <c r="D264" s="10">
        <f>CHOOSE(CONTROL!$C$42, 8.6905, 8.6905) * CHOOSE(CONTROL!$C$21, $C$9, 100%, $E$9)</f>
        <v>8.6905000000000001</v>
      </c>
      <c r="E264" s="10">
        <f>CHOOSE(CONTROL!$C$42, 8.7243, 8.7243) * CHOOSE(CONTROL!$C$21, $C$9, 100%, $E$9)</f>
        <v>8.7242999999999995</v>
      </c>
      <c r="F264" s="10">
        <f>CHOOSE(CONTROL!$C$42, 8.6328, 8.6328)*CHOOSE(CONTROL!$C$21, $C$9, 100%, $E$9)</f>
        <v>8.6327999999999996</v>
      </c>
      <c r="G264" s="10">
        <f>CHOOSE(CONTROL!$C$42, 8.6498, 8.6498)*CHOOSE(CONTROL!$C$21, $C$9, 100%, $E$9)</f>
        <v>8.6498000000000008</v>
      </c>
      <c r="H264" s="10">
        <f>CHOOSE(CONTROL!$C$42, 8.7135, 8.7135) * CHOOSE(CONTROL!$C$21, $C$9, 100%, $E$9)</f>
        <v>8.7134999999999998</v>
      </c>
      <c r="I264" s="10">
        <f>CHOOSE(CONTROL!$C$42, 8.6479, 8.6479)* CHOOSE(CONTROL!$C$21, $C$9, 100%, $E$9)</f>
        <v>8.6478999999999999</v>
      </c>
      <c r="J264" s="10">
        <f>CHOOSE(CONTROL!$C$42, 8.6258, 8.6258)* CHOOSE(CONTROL!$C$21, $C$9, 100%, $E$9)</f>
        <v>8.6257999999999999</v>
      </c>
      <c r="K264" s="10">
        <f>CHOOSE(CONTROL!$C$42, 8.5442, 8.5442) * CHOOSE(CONTROL!$C$21, $C$9, 100%, $E$9)</f>
        <v>8.5442</v>
      </c>
      <c r="L264" s="10">
        <f>CHOOSE(CONTROL!$C$42, 9.3005, 9.3005) * CHOOSE(CONTROL!$C$21, $C$9, 100%, $E$9)</f>
        <v>9.3004999999999995</v>
      </c>
      <c r="M264" s="10">
        <f>CHOOSE(CONTROL!$C$42, 8.5525, 8.5525) * CHOOSE(CONTROL!$C$21, $C$9, 100%, $E$9)</f>
        <v>8.5525000000000002</v>
      </c>
      <c r="N264" s="10">
        <f>CHOOSE(CONTROL!$C$42, 8.5694, 8.5694) * CHOOSE(CONTROL!$C$21, $C$9, 100%, $E$9)</f>
        <v>8.5693999999999999</v>
      </c>
      <c r="O264" s="10">
        <f>CHOOSE(CONTROL!$C$42, 8.6394, 8.6394) * CHOOSE(CONTROL!$C$21, $C$9, 100%, $E$9)</f>
        <v>8.6394000000000002</v>
      </c>
      <c r="P264" s="10">
        <f>CHOOSE(CONTROL!$C$42, 8.5745, 8.5745) * CHOOSE(CONTROL!$C$21, $C$9, 100%, $E$9)</f>
        <v>8.5745000000000005</v>
      </c>
      <c r="Q264" s="10">
        <f>CHOOSE(CONTROL!$C$42, 9.2347, 9.2347) * CHOOSE(CONTROL!$C$21, $C$9, 100%, $E$9)</f>
        <v>9.2347000000000001</v>
      </c>
      <c r="R264" s="10">
        <f>CHOOSE(CONTROL!$C$42, 9.8448, 9.8448) * CHOOSE(CONTROL!$C$21, $C$9, 100%, $E$9)</f>
        <v>9.8447999999999993</v>
      </c>
      <c r="S264" s="10">
        <f>CHOOSE(CONTROL!$C$42, 8.4087, 8.4087) * CHOOSE(CONTROL!$C$21, $C$9, 100%, $E$9)</f>
        <v>8.4086999999999996</v>
      </c>
      <c r="T2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38">
        <f>(1000*CHOOSE(CONTROL!$C$42, 695, 695)*CHOOSE(CONTROL!$C$42, 0.5599, 0.5599)*CHOOSE(CONTROL!$C$42, 31, 31))/1000000</f>
        <v>12.063045499999998</v>
      </c>
      <c r="V264" s="38">
        <f>(1000*CHOOSE(CONTROL!$C$42, 500, 500)*CHOOSE(CONTROL!$C$42, 0.275, 0.275)*CHOOSE(CONTROL!$C$42, 31, 31))/1000000</f>
        <v>4.2625000000000002</v>
      </c>
      <c r="W264" s="38">
        <f>(1000*CHOOSE(CONTROL!$C$42, 0.1146, 0.1146)*CHOOSE(CONTROL!$C$42, 121.5, 121.5)*CHOOSE(CONTROL!$C$42, 31, 31))/1000000</f>
        <v>0.43164089999999994</v>
      </c>
      <c r="X264" s="38">
        <f>(31*0.1790888*100000/1000000)+(31*0.2374*100000/1000000)</f>
        <v>1.2911152800000001</v>
      </c>
      <c r="Y264" s="38">
        <f>(1000*600*CHOOSE(CONTROL!$C$42, 1.6511, 1.6511)*CHOOSE(CONTROL!$C$42, 31, 31))/1000000</f>
        <v>30.710460000000001</v>
      </c>
      <c r="Z264" s="38"/>
      <c r="AA264" s="10"/>
      <c r="AB264" s="39"/>
      <c r="AC264" s="33">
        <f>(B264*122.58+C264*297.941+D264*89.177+E264*40.302+F264*40+G264*160+H264*0+I264*100+J264*300)/(122.58+297.941+89.177+40.302+0+40+160+100+300)</f>
        <v>8.6539770393043476</v>
      </c>
      <c r="AD264" s="27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8.5960244604316554</v>
      </c>
    </row>
    <row r="265" spans="1:30" ht="15" x14ac:dyDescent="0.2">
      <c r="A265" s="16">
        <v>49310</v>
      </c>
      <c r="B265" s="10">
        <f>CHOOSE(CONTROL!$C$42, 9.2455, 9.2455) * CHOOSE(CONTROL!$C$21, $C$9, 100%, $E$9)</f>
        <v>9.2454999999999998</v>
      </c>
      <c r="C265" s="10">
        <f>CHOOSE(CONTROL!$C$42, 9.2505, 9.2505) * CHOOSE(CONTROL!$C$21, $C$9, 100%, $E$9)</f>
        <v>9.2505000000000006</v>
      </c>
      <c r="D265" s="10">
        <f>CHOOSE(CONTROL!$C$42, 9.2749, 9.2749) * CHOOSE(CONTROL!$C$21, $C$9, 100%, $E$9)</f>
        <v>9.2749000000000006</v>
      </c>
      <c r="E265" s="10">
        <f>CHOOSE(CONTROL!$C$42, 9.3087, 9.3087) * CHOOSE(CONTROL!$C$21, $C$9, 100%, $E$9)</f>
        <v>9.3087</v>
      </c>
      <c r="F265" s="10">
        <f>CHOOSE(CONTROL!$C$42, 9.2284, 9.2284)*CHOOSE(CONTROL!$C$21, $C$9, 100%, $E$9)</f>
        <v>9.2284000000000006</v>
      </c>
      <c r="G265" s="10">
        <f>CHOOSE(CONTROL!$C$42, 9.2471, 9.2471)*CHOOSE(CONTROL!$C$21, $C$9, 100%, $E$9)</f>
        <v>9.2470999999999997</v>
      </c>
      <c r="H265" s="10">
        <f>CHOOSE(CONTROL!$C$42, 9.2979, 9.2979) * CHOOSE(CONTROL!$C$21, $C$9, 100%, $E$9)</f>
        <v>9.2979000000000003</v>
      </c>
      <c r="I265" s="10">
        <f>CHOOSE(CONTROL!$C$42, 9.24, 9.24)* CHOOSE(CONTROL!$C$21, $C$9, 100%, $E$9)</f>
        <v>9.24</v>
      </c>
      <c r="J265" s="10">
        <f>CHOOSE(CONTROL!$C$42, 9.2214, 9.2214)* CHOOSE(CONTROL!$C$21, $C$9, 100%, $E$9)</f>
        <v>9.2213999999999992</v>
      </c>
      <c r="K265" s="10">
        <f>CHOOSE(CONTROL!$C$42, 9.133, 9.133) * CHOOSE(CONTROL!$C$21, $C$9, 100%, $E$9)</f>
        <v>9.1329999999999991</v>
      </c>
      <c r="L265" s="10">
        <f>CHOOSE(CONTROL!$C$42, 9.8849, 9.8849) * CHOOSE(CONTROL!$C$21, $C$9, 100%, $E$9)</f>
        <v>9.8849</v>
      </c>
      <c r="M265" s="10">
        <f>CHOOSE(CONTROL!$C$42, 9.1422, 9.1422) * CHOOSE(CONTROL!$C$21, $C$9, 100%, $E$9)</f>
        <v>9.1422000000000008</v>
      </c>
      <c r="N265" s="10">
        <f>CHOOSE(CONTROL!$C$42, 9.1607, 9.1607) * CHOOSE(CONTROL!$C$21, $C$9, 100%, $E$9)</f>
        <v>9.1607000000000003</v>
      </c>
      <c r="O265" s="10">
        <f>CHOOSE(CONTROL!$C$42, 9.2179, 9.2179) * CHOOSE(CONTROL!$C$21, $C$9, 100%, $E$9)</f>
        <v>9.2179000000000002</v>
      </c>
      <c r="P265" s="10">
        <f>CHOOSE(CONTROL!$C$42, 9.1606, 9.1606) * CHOOSE(CONTROL!$C$21, $C$9, 100%, $E$9)</f>
        <v>9.1606000000000005</v>
      </c>
      <c r="Q265" s="10">
        <f>CHOOSE(CONTROL!$C$42, 9.8132, 9.8132) * CHOOSE(CONTROL!$C$21, $C$9, 100%, $E$9)</f>
        <v>9.8132000000000001</v>
      </c>
      <c r="R265" s="10">
        <f>CHOOSE(CONTROL!$C$42, 10.4247, 10.4247) * CHOOSE(CONTROL!$C$21, $C$9, 100%, $E$9)</f>
        <v>10.4247</v>
      </c>
      <c r="S265" s="10">
        <f>CHOOSE(CONTROL!$C$42, 8.9762, 8.9762) * CHOOSE(CONTROL!$C$21, $C$9, 100%, $E$9)</f>
        <v>8.9762000000000004</v>
      </c>
      <c r="T2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38">
        <f>(1000*CHOOSE(CONTROL!$C$42, 695, 695)*CHOOSE(CONTROL!$C$42, 0.5599, 0.5599)*CHOOSE(CONTROL!$C$42, 31, 31))/1000000</f>
        <v>12.063045499999998</v>
      </c>
      <c r="V265" s="38">
        <f>(1000*CHOOSE(CONTROL!$C$42, 500, 500)*CHOOSE(CONTROL!$C$42, 0.275, 0.275)*CHOOSE(CONTROL!$C$42, 31, 31))/1000000</f>
        <v>4.2625000000000002</v>
      </c>
      <c r="W265" s="38">
        <f>(1000*CHOOSE(CONTROL!$C$42, 0.1146, 0.1146)*CHOOSE(CONTROL!$C$42, 121.5, 121.5)*CHOOSE(CONTROL!$C$42, 31, 31))/1000000</f>
        <v>0.43164089999999994</v>
      </c>
      <c r="X265" s="38">
        <f>(31*0.1790888*100000/1000000)+(31*0.2374*100000/1000000)</f>
        <v>1.2911152800000001</v>
      </c>
      <c r="Y265" s="38">
        <f>(1000*600*CHOOSE(CONTROL!$C$42, 1.6476, 1.6476)*CHOOSE(CONTROL!$C$42, 31, 31))/1000000</f>
        <v>30.64536</v>
      </c>
      <c r="Z265" s="38"/>
      <c r="AA265" s="10"/>
      <c r="AB265" s="39"/>
      <c r="AC265" s="33">
        <f>(B265*122.58+C265*297.941+D265*89.177+E265*40.302+F265*40+G265*160+H265*0+I265*100+J265*300)/(122.58+297.941+89.177+40.302+0+40+160+100+300)</f>
        <v>9.244152691478261</v>
      </c>
      <c r="AD265" s="27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9.1802223021582741</v>
      </c>
    </row>
    <row r="266" spans="1:30" ht="15" x14ac:dyDescent="0.2">
      <c r="A266" s="16">
        <v>49341</v>
      </c>
      <c r="B266" s="10">
        <f>CHOOSE(CONTROL!$C$42, 9.41, 9.41) * CHOOSE(CONTROL!$C$21, $C$9, 100%, $E$9)</f>
        <v>9.41</v>
      </c>
      <c r="C266" s="10">
        <f>CHOOSE(CONTROL!$C$42, 9.415, 9.415) * CHOOSE(CONTROL!$C$21, $C$9, 100%, $E$9)</f>
        <v>9.4149999999999991</v>
      </c>
      <c r="D266" s="10">
        <f>CHOOSE(CONTROL!$C$42, 9.4394, 9.4394) * CHOOSE(CONTROL!$C$21, $C$9, 100%, $E$9)</f>
        <v>9.4393999999999991</v>
      </c>
      <c r="E266" s="10">
        <f>CHOOSE(CONTROL!$C$42, 9.4732, 9.4732) * CHOOSE(CONTROL!$C$21, $C$9, 100%, $E$9)</f>
        <v>9.4732000000000003</v>
      </c>
      <c r="F266" s="10">
        <f>CHOOSE(CONTROL!$C$42, 9.3923, 9.3923)*CHOOSE(CONTROL!$C$21, $C$9, 100%, $E$9)</f>
        <v>9.3923000000000005</v>
      </c>
      <c r="G266" s="10">
        <f>CHOOSE(CONTROL!$C$42, 9.4108, 9.4108)*CHOOSE(CONTROL!$C$21, $C$9, 100%, $E$9)</f>
        <v>9.4108000000000001</v>
      </c>
      <c r="H266" s="10">
        <f>CHOOSE(CONTROL!$C$42, 9.4624, 9.4624) * CHOOSE(CONTROL!$C$21, $C$9, 100%, $E$9)</f>
        <v>9.4624000000000006</v>
      </c>
      <c r="I266" s="10">
        <f>CHOOSE(CONTROL!$C$42, 9.4045, 9.4045)* CHOOSE(CONTROL!$C$21, $C$9, 100%, $E$9)</f>
        <v>9.4045000000000005</v>
      </c>
      <c r="J266" s="10">
        <f>CHOOSE(CONTROL!$C$42, 9.3853, 9.3853)* CHOOSE(CONTROL!$C$21, $C$9, 100%, $E$9)</f>
        <v>9.3853000000000009</v>
      </c>
      <c r="K266" s="10">
        <f>CHOOSE(CONTROL!$C$42, 9.2913, 9.2913) * CHOOSE(CONTROL!$C$21, $C$9, 100%, $E$9)</f>
        <v>9.2912999999999997</v>
      </c>
      <c r="L266" s="10">
        <f>CHOOSE(CONTROL!$C$42, 10.0494, 10.0494) * CHOOSE(CONTROL!$C$21, $C$9, 100%, $E$9)</f>
        <v>10.0494</v>
      </c>
      <c r="M266" s="10">
        <f>CHOOSE(CONTROL!$C$42, 9.3044, 9.3044) * CHOOSE(CONTROL!$C$21, $C$9, 100%, $E$9)</f>
        <v>9.3043999999999993</v>
      </c>
      <c r="N266" s="10">
        <f>CHOOSE(CONTROL!$C$42, 9.3227, 9.3227) * CHOOSE(CONTROL!$C$21, $C$9, 100%, $E$9)</f>
        <v>9.3226999999999993</v>
      </c>
      <c r="O266" s="10">
        <f>CHOOSE(CONTROL!$C$42, 9.3808, 9.3808) * CHOOSE(CONTROL!$C$21, $C$9, 100%, $E$9)</f>
        <v>9.3808000000000007</v>
      </c>
      <c r="P266" s="10">
        <f>CHOOSE(CONTROL!$C$42, 9.3235, 9.3235) * CHOOSE(CONTROL!$C$21, $C$9, 100%, $E$9)</f>
        <v>9.3234999999999992</v>
      </c>
      <c r="Q266" s="10">
        <f>CHOOSE(CONTROL!$C$42, 9.9761, 9.9761) * CHOOSE(CONTROL!$C$21, $C$9, 100%, $E$9)</f>
        <v>9.9761000000000006</v>
      </c>
      <c r="R266" s="10">
        <f>CHOOSE(CONTROL!$C$42, 10.588, 10.588) * CHOOSE(CONTROL!$C$21, $C$9, 100%, $E$9)</f>
        <v>10.587999999999999</v>
      </c>
      <c r="S266" s="10">
        <f>CHOOSE(CONTROL!$C$42, 9.1359, 9.1359) * CHOOSE(CONTROL!$C$21, $C$9, 100%, $E$9)</f>
        <v>9.1358999999999995</v>
      </c>
      <c r="T2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38">
        <f>(1000*CHOOSE(CONTROL!$C$42, 695, 695)*CHOOSE(CONTROL!$C$42, 0.5599, 0.5599)*CHOOSE(CONTROL!$C$42, 28, 28))/1000000</f>
        <v>10.895653999999999</v>
      </c>
      <c r="V266" s="38">
        <f>(1000*CHOOSE(CONTROL!$C$42, 500, 500)*CHOOSE(CONTROL!$C$42, 0.275, 0.275)*CHOOSE(CONTROL!$C$42, 28, 28))/1000000</f>
        <v>3.85</v>
      </c>
      <c r="W266" s="38">
        <f>(1000*CHOOSE(CONTROL!$C$42, 0.1146, 0.1146)*CHOOSE(CONTROL!$C$42, 121.5, 121.5)*CHOOSE(CONTROL!$C$42, 28, 28))/1000000</f>
        <v>0.38986920000000003</v>
      </c>
      <c r="X266" s="38">
        <f>(28*0.1790888*100000/1000000)+(28*0.2374*100000/1000000)</f>
        <v>1.16616864</v>
      </c>
      <c r="Y266" s="38">
        <f>(1000*600*CHOOSE(CONTROL!$C$42, 1.6476, 1.6476)*CHOOSE(CONTROL!$C$42, 28, 28))/1000000</f>
        <v>27.679680000000001</v>
      </c>
      <c r="Z266" s="38"/>
      <c r="AA266" s="10"/>
      <c r="AB266" s="39"/>
      <c r="AC266" s="33">
        <f>(B266*122.58+C266*297.941+D266*89.177+E266*40.302+F266*40+G266*160+H266*0+I266*100+J266*300)/(122.58+297.941+89.177+40.302+0+40+160+100+300)</f>
        <v>9.4083639958260843</v>
      </c>
      <c r="AD266" s="27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9.3428287769784166</v>
      </c>
    </row>
    <row r="267" spans="1:30" ht="15" x14ac:dyDescent="0.2">
      <c r="A267" s="16">
        <v>49369</v>
      </c>
      <c r="B267" s="10">
        <f>CHOOSE(CONTROL!$C$42, 9.143, 9.143) * CHOOSE(CONTROL!$C$21, $C$9, 100%, $E$9)</f>
        <v>9.1430000000000007</v>
      </c>
      <c r="C267" s="10">
        <f>CHOOSE(CONTROL!$C$42, 9.1479, 9.1479) * CHOOSE(CONTROL!$C$21, $C$9, 100%, $E$9)</f>
        <v>9.1478999999999999</v>
      </c>
      <c r="D267" s="10">
        <f>CHOOSE(CONTROL!$C$42, 9.1724, 9.1724) * CHOOSE(CONTROL!$C$21, $C$9, 100%, $E$9)</f>
        <v>9.1723999999999997</v>
      </c>
      <c r="E267" s="10">
        <f>CHOOSE(CONTROL!$C$42, 9.2062, 9.2062) * CHOOSE(CONTROL!$C$21, $C$9, 100%, $E$9)</f>
        <v>9.2062000000000008</v>
      </c>
      <c r="F267" s="10">
        <f>CHOOSE(CONTROL!$C$42, 9.1237, 9.1237)*CHOOSE(CONTROL!$C$21, $C$9, 100%, $E$9)</f>
        <v>9.1236999999999995</v>
      </c>
      <c r="G267" s="10">
        <f>CHOOSE(CONTROL!$C$42, 9.1418, 9.1418)*CHOOSE(CONTROL!$C$21, $C$9, 100%, $E$9)</f>
        <v>9.1417999999999999</v>
      </c>
      <c r="H267" s="10">
        <f>CHOOSE(CONTROL!$C$42, 9.1953, 9.1953) * CHOOSE(CONTROL!$C$21, $C$9, 100%, $E$9)</f>
        <v>9.1952999999999996</v>
      </c>
      <c r="I267" s="10">
        <f>CHOOSE(CONTROL!$C$42, 9.1375, 9.1375)* CHOOSE(CONTROL!$C$21, $C$9, 100%, $E$9)</f>
        <v>9.1374999999999993</v>
      </c>
      <c r="J267" s="10">
        <f>CHOOSE(CONTROL!$C$42, 9.1167, 9.1167)* CHOOSE(CONTROL!$C$21, $C$9, 100%, $E$9)</f>
        <v>9.1166999999999998</v>
      </c>
      <c r="K267" s="10">
        <f>CHOOSE(CONTROL!$C$42, 9.0285, 9.0285) * CHOOSE(CONTROL!$C$21, $C$9, 100%, $E$9)</f>
        <v>9.0284999999999993</v>
      </c>
      <c r="L267" s="10">
        <f>CHOOSE(CONTROL!$C$42, 9.7823, 9.7823) * CHOOSE(CONTROL!$C$21, $C$9, 100%, $E$9)</f>
        <v>9.7822999999999993</v>
      </c>
      <c r="M267" s="10">
        <f>CHOOSE(CONTROL!$C$42, 9.0385, 9.0385) * CHOOSE(CONTROL!$C$21, $C$9, 100%, $E$9)</f>
        <v>9.0385000000000009</v>
      </c>
      <c r="N267" s="10">
        <f>CHOOSE(CONTROL!$C$42, 9.0564, 9.0564) * CHOOSE(CONTROL!$C$21, $C$9, 100%, $E$9)</f>
        <v>9.0564</v>
      </c>
      <c r="O267" s="10">
        <f>CHOOSE(CONTROL!$C$42, 9.1164, 9.1164) * CHOOSE(CONTROL!$C$21, $C$9, 100%, $E$9)</f>
        <v>9.1164000000000005</v>
      </c>
      <c r="P267" s="10">
        <f>CHOOSE(CONTROL!$C$42, 9.0591, 9.0591) * CHOOSE(CONTROL!$C$21, $C$9, 100%, $E$9)</f>
        <v>9.0591000000000008</v>
      </c>
      <c r="Q267" s="10">
        <f>CHOOSE(CONTROL!$C$42, 9.7117, 9.7117) * CHOOSE(CONTROL!$C$21, $C$9, 100%, $E$9)</f>
        <v>9.7117000000000004</v>
      </c>
      <c r="R267" s="10">
        <f>CHOOSE(CONTROL!$C$42, 10.323, 10.323) * CHOOSE(CONTROL!$C$21, $C$9, 100%, $E$9)</f>
        <v>10.323</v>
      </c>
      <c r="S267" s="10">
        <f>CHOOSE(CONTROL!$C$42, 8.8766, 8.8766) * CHOOSE(CONTROL!$C$21, $C$9, 100%, $E$9)</f>
        <v>8.8765999999999998</v>
      </c>
      <c r="T2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38">
        <f>(1000*CHOOSE(CONTROL!$C$42, 695, 695)*CHOOSE(CONTROL!$C$42, 0.5599, 0.5599)*CHOOSE(CONTROL!$C$42, 31, 31))/1000000</f>
        <v>12.063045499999998</v>
      </c>
      <c r="V267" s="38">
        <f>(1000*CHOOSE(CONTROL!$C$42, 500, 500)*CHOOSE(CONTROL!$C$42, 0.275, 0.275)*CHOOSE(CONTROL!$C$42, 31, 31))/1000000</f>
        <v>4.2625000000000002</v>
      </c>
      <c r="W267" s="38">
        <f>(1000*CHOOSE(CONTROL!$C$42, 0.1146, 0.1146)*CHOOSE(CONTROL!$C$42, 121.5, 121.5)*CHOOSE(CONTROL!$C$42, 31, 31))/1000000</f>
        <v>0.43164089999999994</v>
      </c>
      <c r="X267" s="38">
        <f>(31*0.1790888*100000/1000000)+(31*0.2374*100000/1000000)</f>
        <v>1.2911152800000001</v>
      </c>
      <c r="Y267" s="38">
        <f>(1000*600*CHOOSE(CONTROL!$C$42, 1.6476, 1.6476)*CHOOSE(CONTROL!$C$42, 31, 31))/1000000</f>
        <v>30.64536</v>
      </c>
      <c r="Z267" s="38"/>
      <c r="AA267" s="10"/>
      <c r="AB267" s="39"/>
      <c r="AC267" s="33">
        <f>(B267*122.58+C267*297.941+D267*89.177+E267*40.302+F267*40+G267*160+H267*0+I267*100+J267*300)/(122.58+297.941+89.177+40.302+0+40+160+100+300)</f>
        <v>9.140586783565217</v>
      </c>
      <c r="AD267" s="27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9.0778014388489208</v>
      </c>
    </row>
    <row r="268" spans="1:30" ht="15" x14ac:dyDescent="0.2">
      <c r="A268" s="16">
        <v>49400</v>
      </c>
      <c r="B268" s="10">
        <f>CHOOSE(CONTROL!$C$42, 9.1164, 9.1164) * CHOOSE(CONTROL!$C$21, $C$9, 100%, $E$9)</f>
        <v>9.1164000000000005</v>
      </c>
      <c r="C268" s="10">
        <f>CHOOSE(CONTROL!$C$42, 9.1207, 9.1207) * CHOOSE(CONTROL!$C$21, $C$9, 100%, $E$9)</f>
        <v>9.1206999999999994</v>
      </c>
      <c r="D268" s="10">
        <f>CHOOSE(CONTROL!$C$42, 9.3009, 9.3009) * CHOOSE(CONTROL!$C$21, $C$9, 100%, $E$9)</f>
        <v>9.3009000000000004</v>
      </c>
      <c r="E268" s="10">
        <f>CHOOSE(CONTROL!$C$42, 9.3327, 9.3327) * CHOOSE(CONTROL!$C$21, $C$9, 100%, $E$9)</f>
        <v>9.3327000000000009</v>
      </c>
      <c r="F268" s="10">
        <f>CHOOSE(CONTROL!$C$42, 9.0817, 9.0817)*CHOOSE(CONTROL!$C$21, $C$9, 100%, $E$9)</f>
        <v>9.0816999999999997</v>
      </c>
      <c r="G268" s="10">
        <f>CHOOSE(CONTROL!$C$42, 9.098, 9.098)*CHOOSE(CONTROL!$C$21, $C$9, 100%, $E$9)</f>
        <v>9.0980000000000008</v>
      </c>
      <c r="H268" s="10">
        <f>CHOOSE(CONTROL!$C$42, 9.3224, 9.3224) * CHOOSE(CONTROL!$C$21, $C$9, 100%, $E$9)</f>
        <v>9.3224</v>
      </c>
      <c r="I268" s="10">
        <f>CHOOSE(CONTROL!$C$42, 9.1024, 9.1024)* CHOOSE(CONTROL!$C$21, $C$9, 100%, $E$9)</f>
        <v>9.1023999999999994</v>
      </c>
      <c r="J268" s="10">
        <f>CHOOSE(CONTROL!$C$42, 9.0747, 9.0747)* CHOOSE(CONTROL!$C$21, $C$9, 100%, $E$9)</f>
        <v>9.0747</v>
      </c>
      <c r="K268" s="10">
        <f>CHOOSE(CONTROL!$C$42, 8.9794, 8.9794) * CHOOSE(CONTROL!$C$21, $C$9, 100%, $E$9)</f>
        <v>8.9794</v>
      </c>
      <c r="L268" s="10">
        <f>CHOOSE(CONTROL!$C$42, 9.9094, 9.9094) * CHOOSE(CONTROL!$C$21, $C$9, 100%, $E$9)</f>
        <v>9.9093999999999998</v>
      </c>
      <c r="M268" s="10">
        <f>CHOOSE(CONTROL!$C$42, 8.9969, 8.9969) * CHOOSE(CONTROL!$C$21, $C$9, 100%, $E$9)</f>
        <v>8.9969000000000001</v>
      </c>
      <c r="N268" s="10">
        <f>CHOOSE(CONTROL!$C$42, 9.013, 9.013) * CHOOSE(CONTROL!$C$21, $C$9, 100%, $E$9)</f>
        <v>9.0129999999999999</v>
      </c>
      <c r="O268" s="10">
        <f>CHOOSE(CONTROL!$C$42, 9.2422, 9.2422) * CHOOSE(CONTROL!$C$21, $C$9, 100%, $E$9)</f>
        <v>9.2422000000000004</v>
      </c>
      <c r="P268" s="10">
        <f>CHOOSE(CONTROL!$C$42, 9.0244, 9.0244) * CHOOSE(CONTROL!$C$21, $C$9, 100%, $E$9)</f>
        <v>9.0244</v>
      </c>
      <c r="Q268" s="10">
        <f>CHOOSE(CONTROL!$C$42, 9.8375, 9.8375) * CHOOSE(CONTROL!$C$21, $C$9, 100%, $E$9)</f>
        <v>9.8375000000000004</v>
      </c>
      <c r="R268" s="10">
        <f>CHOOSE(CONTROL!$C$42, 10.4491, 10.4491) * CHOOSE(CONTROL!$C$21, $C$9, 100%, $E$9)</f>
        <v>10.4491</v>
      </c>
      <c r="S268" s="10">
        <f>CHOOSE(CONTROL!$C$42, 8.85, 8.85) * CHOOSE(CONTROL!$C$21, $C$9, 100%, $E$9)</f>
        <v>8.85</v>
      </c>
      <c r="T2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38">
        <f>(1000*CHOOSE(CONTROL!$C$42, 695, 695)*CHOOSE(CONTROL!$C$42, 0.5599, 0.5599)*CHOOSE(CONTROL!$C$42, 30, 30))/1000000</f>
        <v>11.673914999999997</v>
      </c>
      <c r="V268" s="38">
        <f>(1000*CHOOSE(CONTROL!$C$42, 500, 500)*CHOOSE(CONTROL!$C$42, 0.275, 0.275)*CHOOSE(CONTROL!$C$42, 30, 30))/1000000</f>
        <v>4.125</v>
      </c>
      <c r="W268" s="38">
        <f>(1000*CHOOSE(CONTROL!$C$42, 0.1146, 0.1146)*CHOOSE(CONTROL!$C$42, 121.5, 121.5)*CHOOSE(CONTROL!$C$42, 30, 30))/1000000</f>
        <v>0.417717</v>
      </c>
      <c r="X268" s="38">
        <f>(30*0.1790888*245000/1000000)+(30*0.2374*100000/1000000)</f>
        <v>2.0285026799999999</v>
      </c>
      <c r="Y268" s="38">
        <f>(1000*600*CHOOSE(CONTROL!$C$42, 1.6476, 1.6476)*CHOOSE(CONTROL!$C$42, 30, 30))/1000000</f>
        <v>29.6568</v>
      </c>
      <c r="Z268" s="38"/>
      <c r="AA268" s="10"/>
      <c r="AB268" s="39"/>
      <c r="AC268" s="33">
        <f>(B268*141.293+C268*267.993+D268*115.016+E268*89.698+F268*40+G268*185+H268*0+I268*100+J268*300)/(141.293+267.993+115.016+89.698+0+40+185+100+300)</f>
        <v>9.1350218719128335</v>
      </c>
      <c r="AD268" s="27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9.0733884892086323</v>
      </c>
    </row>
    <row r="269" spans="1:30" ht="15" x14ac:dyDescent="0.2">
      <c r="A269" s="16">
        <v>49430</v>
      </c>
      <c r="B269" s="10">
        <f>CHOOSE(CONTROL!$C$42, 9.1986, 9.1986) * CHOOSE(CONTROL!$C$21, $C$9, 100%, $E$9)</f>
        <v>9.1986000000000008</v>
      </c>
      <c r="C269" s="10">
        <f>CHOOSE(CONTROL!$C$42, 9.2065, 9.2065) * CHOOSE(CONTROL!$C$21, $C$9, 100%, $E$9)</f>
        <v>9.2065000000000001</v>
      </c>
      <c r="D269" s="10">
        <f>CHOOSE(CONTROL!$C$42, 9.3835, 9.3835) * CHOOSE(CONTROL!$C$21, $C$9, 100%, $E$9)</f>
        <v>9.3834999999999997</v>
      </c>
      <c r="E269" s="10">
        <f>CHOOSE(CONTROL!$C$42, 9.4146, 9.4146) * CHOOSE(CONTROL!$C$21, $C$9, 100%, $E$9)</f>
        <v>9.4146000000000001</v>
      </c>
      <c r="F269" s="10">
        <f>CHOOSE(CONTROL!$C$42, 9.1619, 9.1619)*CHOOSE(CONTROL!$C$21, $C$9, 100%, $E$9)</f>
        <v>9.1618999999999993</v>
      </c>
      <c r="G269" s="10">
        <f>CHOOSE(CONTROL!$C$42, 9.1784, 9.1784)*CHOOSE(CONTROL!$C$21, $C$9, 100%, $E$9)</f>
        <v>9.1783999999999999</v>
      </c>
      <c r="H269" s="10">
        <f>CHOOSE(CONTROL!$C$42, 9.4033, 9.4033) * CHOOSE(CONTROL!$C$21, $C$9, 100%, $E$9)</f>
        <v>9.4032999999999998</v>
      </c>
      <c r="I269" s="10">
        <f>CHOOSE(CONTROL!$C$42, 9.1832, 9.1832)* CHOOSE(CONTROL!$C$21, $C$9, 100%, $E$9)</f>
        <v>9.1831999999999994</v>
      </c>
      <c r="J269" s="10">
        <f>CHOOSE(CONTROL!$C$42, 9.1549, 9.1549)* CHOOSE(CONTROL!$C$21, $C$9, 100%, $E$9)</f>
        <v>9.1548999999999996</v>
      </c>
      <c r="K269" s="10">
        <f>CHOOSE(CONTROL!$C$42, 9.0567, 9.0567) * CHOOSE(CONTROL!$C$21, $C$9, 100%, $E$9)</f>
        <v>9.0566999999999993</v>
      </c>
      <c r="L269" s="10">
        <f>CHOOSE(CONTROL!$C$42, 9.9903, 9.9903) * CHOOSE(CONTROL!$C$21, $C$9, 100%, $E$9)</f>
        <v>9.9902999999999995</v>
      </c>
      <c r="M269" s="10">
        <f>CHOOSE(CONTROL!$C$42, 9.0764, 9.0764) * CHOOSE(CONTROL!$C$21, $C$9, 100%, $E$9)</f>
        <v>9.0763999999999996</v>
      </c>
      <c r="N269" s="10">
        <f>CHOOSE(CONTROL!$C$42, 9.0927, 9.0927) * CHOOSE(CONTROL!$C$21, $C$9, 100%, $E$9)</f>
        <v>9.0927000000000007</v>
      </c>
      <c r="O269" s="10">
        <f>CHOOSE(CONTROL!$C$42, 9.3222, 9.3222) * CHOOSE(CONTROL!$C$21, $C$9, 100%, $E$9)</f>
        <v>9.3222000000000005</v>
      </c>
      <c r="P269" s="10">
        <f>CHOOSE(CONTROL!$C$42, 9.1044, 9.1044) * CHOOSE(CONTROL!$C$21, $C$9, 100%, $E$9)</f>
        <v>9.1044</v>
      </c>
      <c r="Q269" s="10">
        <f>CHOOSE(CONTROL!$C$42, 9.9175, 9.9175) * CHOOSE(CONTROL!$C$21, $C$9, 100%, $E$9)</f>
        <v>9.9175000000000004</v>
      </c>
      <c r="R269" s="10">
        <f>CHOOSE(CONTROL!$C$42, 10.5293, 10.5293) * CHOOSE(CONTROL!$C$21, $C$9, 100%, $E$9)</f>
        <v>10.529299999999999</v>
      </c>
      <c r="S269" s="10">
        <f>CHOOSE(CONTROL!$C$42, 8.9285, 8.9285) * CHOOSE(CONTROL!$C$21, $C$9, 100%, $E$9)</f>
        <v>8.9284999999999997</v>
      </c>
      <c r="T2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38">
        <f>(1000*CHOOSE(CONTROL!$C$42, 695, 695)*CHOOSE(CONTROL!$C$42, 0.5599, 0.5599)*CHOOSE(CONTROL!$C$42, 31, 31))/1000000</f>
        <v>12.063045499999998</v>
      </c>
      <c r="V269" s="38">
        <f>(1000*CHOOSE(CONTROL!$C$42, 500, 500)*CHOOSE(CONTROL!$C$42, 0.275, 0.275)*CHOOSE(CONTROL!$C$42, 31, 31))/1000000</f>
        <v>4.2625000000000002</v>
      </c>
      <c r="W269" s="38">
        <f>(1000*CHOOSE(CONTROL!$C$42, 0.1146, 0.1146)*CHOOSE(CONTROL!$C$42, 121.5, 121.5)*CHOOSE(CONTROL!$C$42, 31, 31))/1000000</f>
        <v>0.43164089999999994</v>
      </c>
      <c r="X269" s="38">
        <f>(31*0.1790888*245000/1000000)+(31*0.2374*100000/1000000)</f>
        <v>2.0961194359999999</v>
      </c>
      <c r="Y269" s="38">
        <f>(1000*600*CHOOSE(CONTROL!$C$42, 1.6476, 1.6476)*CHOOSE(CONTROL!$C$42, 31, 31))/1000000</f>
        <v>30.64536</v>
      </c>
      <c r="Z269" s="38"/>
      <c r="AA269" s="10"/>
      <c r="AB269" s="39"/>
      <c r="AC269" s="33">
        <f>(B269*194.205+C269*267.466+D269*133.845+E269*53.484+F269*40+G269*185+H269*0+I269*100+J269*300)/(194.205+267.466+133.845+53.484+0+40+185+100+300)</f>
        <v>9.2131670846938754</v>
      </c>
      <c r="AD269" s="27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9.1531467625899285</v>
      </c>
    </row>
    <row r="270" spans="1:30" ht="15" x14ac:dyDescent="0.2">
      <c r="A270" s="15">
        <v>49461</v>
      </c>
      <c r="B270" s="10">
        <f>CHOOSE(CONTROL!$C$42, 9.4594, 9.4594) * CHOOSE(CONTROL!$C$21, $C$9, 100%, $E$9)</f>
        <v>9.4594000000000005</v>
      </c>
      <c r="C270" s="10">
        <f>CHOOSE(CONTROL!$C$42, 9.4673, 9.4673) * CHOOSE(CONTROL!$C$21, $C$9, 100%, $E$9)</f>
        <v>9.4672999999999998</v>
      </c>
      <c r="D270" s="10">
        <f>CHOOSE(CONTROL!$C$42, 9.6443, 9.6443) * CHOOSE(CONTROL!$C$21, $C$9, 100%, $E$9)</f>
        <v>9.6442999999999994</v>
      </c>
      <c r="E270" s="10">
        <f>CHOOSE(CONTROL!$C$42, 9.6754, 9.6754) * CHOOSE(CONTROL!$C$21, $C$9, 100%, $E$9)</f>
        <v>9.6753999999999998</v>
      </c>
      <c r="F270" s="10">
        <f>CHOOSE(CONTROL!$C$42, 9.4229, 9.4229)*CHOOSE(CONTROL!$C$21, $C$9, 100%, $E$9)</f>
        <v>9.4229000000000003</v>
      </c>
      <c r="G270" s="10">
        <f>CHOOSE(CONTROL!$C$42, 9.4394, 9.4394)*CHOOSE(CONTROL!$C$21, $C$9, 100%, $E$9)</f>
        <v>9.4393999999999991</v>
      </c>
      <c r="H270" s="10">
        <f>CHOOSE(CONTROL!$C$42, 9.664, 9.664) * CHOOSE(CONTROL!$C$21, $C$9, 100%, $E$9)</f>
        <v>9.6639999999999997</v>
      </c>
      <c r="I270" s="10">
        <f>CHOOSE(CONTROL!$C$42, 9.444, 9.444)* CHOOSE(CONTROL!$C$21, $C$9, 100%, $E$9)</f>
        <v>9.4440000000000008</v>
      </c>
      <c r="J270" s="10">
        <f>CHOOSE(CONTROL!$C$42, 9.4159, 9.4159)* CHOOSE(CONTROL!$C$21, $C$9, 100%, $E$9)</f>
        <v>9.4159000000000006</v>
      </c>
      <c r="K270" s="10">
        <f>CHOOSE(CONTROL!$C$42, 9.3104, 9.3104) * CHOOSE(CONTROL!$C$21, $C$9, 100%, $E$9)</f>
        <v>9.3103999999999996</v>
      </c>
      <c r="L270" s="10">
        <f>CHOOSE(CONTROL!$C$42, 10.251, 10.251) * CHOOSE(CONTROL!$C$21, $C$9, 100%, $E$9)</f>
        <v>10.250999999999999</v>
      </c>
      <c r="M270" s="10">
        <f>CHOOSE(CONTROL!$C$42, 9.3347, 9.3347) * CHOOSE(CONTROL!$C$21, $C$9, 100%, $E$9)</f>
        <v>9.3346999999999998</v>
      </c>
      <c r="N270" s="10">
        <f>CHOOSE(CONTROL!$C$42, 9.3511, 9.3511) * CHOOSE(CONTROL!$C$21, $C$9, 100%, $E$9)</f>
        <v>9.3511000000000006</v>
      </c>
      <c r="O270" s="10">
        <f>CHOOSE(CONTROL!$C$42, 9.5803, 9.5803) * CHOOSE(CONTROL!$C$21, $C$9, 100%, $E$9)</f>
        <v>9.5802999999999994</v>
      </c>
      <c r="P270" s="10">
        <f>CHOOSE(CONTROL!$C$42, 9.3625, 9.3625) * CHOOSE(CONTROL!$C$21, $C$9, 100%, $E$9)</f>
        <v>9.3625000000000007</v>
      </c>
      <c r="Q270" s="10">
        <f>CHOOSE(CONTROL!$C$42, 10.1756, 10.1756) * CHOOSE(CONTROL!$C$21, $C$9, 100%, $E$9)</f>
        <v>10.175599999999999</v>
      </c>
      <c r="R270" s="10">
        <f>CHOOSE(CONTROL!$C$42, 10.7881, 10.7881) * CHOOSE(CONTROL!$C$21, $C$9, 100%, $E$9)</f>
        <v>10.7881</v>
      </c>
      <c r="S270" s="10">
        <f>CHOOSE(CONTROL!$C$42, 9.1817, 9.1817) * CHOOSE(CONTROL!$C$21, $C$9, 100%, $E$9)</f>
        <v>9.1816999999999993</v>
      </c>
      <c r="T2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38">
        <f>(1000*CHOOSE(CONTROL!$C$42, 695, 695)*CHOOSE(CONTROL!$C$42, 0.5599, 0.5599)*CHOOSE(CONTROL!$C$42, 30, 30))/1000000</f>
        <v>11.673914999999997</v>
      </c>
      <c r="V270" s="38">
        <f>(1000*CHOOSE(CONTROL!$C$42, 500, 500)*CHOOSE(CONTROL!$C$42, 0.275, 0.275)*CHOOSE(CONTROL!$C$42, 30, 30))/1000000</f>
        <v>4.125</v>
      </c>
      <c r="W270" s="38">
        <f>(1000*CHOOSE(CONTROL!$C$42, 0.1146, 0.1146)*CHOOSE(CONTROL!$C$42, 121.5, 121.5)*CHOOSE(CONTROL!$C$42, 30, 30))/1000000</f>
        <v>0.417717</v>
      </c>
      <c r="X270" s="38">
        <f>(30*0.1790888*245000/1000000)+(30*0.2374*100000/1000000)</f>
        <v>2.0285026799999999</v>
      </c>
      <c r="Y270" s="38">
        <f>(1000*600*CHOOSE(CONTROL!$C$42, 1.6476, 1.6476)*CHOOSE(CONTROL!$C$42, 30, 30))/1000000</f>
        <v>29.6568</v>
      </c>
      <c r="Z270" s="38"/>
      <c r="AA270" s="10"/>
      <c r="AB270" s="39"/>
      <c r="AC270" s="33">
        <f>(B270*194.205+C270*267.466+D270*133.845+E270*53.484+F270*40+G270*185+H270*0+I270*100+J270*300)/(194.205+267.466+133.845+53.484+0+40+185+100+300)</f>
        <v>9.4740495022762961</v>
      </c>
      <c r="AD270" s="27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9.4113848920863301</v>
      </c>
    </row>
    <row r="271" spans="1:30" ht="15" x14ac:dyDescent="0.2">
      <c r="A271" s="15">
        <v>49491</v>
      </c>
      <c r="B271" s="10">
        <f>CHOOSE(CONTROL!$C$42, 9.278, 9.278) * CHOOSE(CONTROL!$C$21, $C$9, 100%, $E$9)</f>
        <v>9.2780000000000005</v>
      </c>
      <c r="C271" s="10">
        <f>CHOOSE(CONTROL!$C$42, 9.2859, 9.2859) * CHOOSE(CONTROL!$C$21, $C$9, 100%, $E$9)</f>
        <v>9.2858999999999998</v>
      </c>
      <c r="D271" s="10">
        <f>CHOOSE(CONTROL!$C$42, 9.4629, 9.4629) * CHOOSE(CONTROL!$C$21, $C$9, 100%, $E$9)</f>
        <v>9.4628999999999994</v>
      </c>
      <c r="E271" s="10">
        <f>CHOOSE(CONTROL!$C$42, 9.494, 9.494) * CHOOSE(CONTROL!$C$21, $C$9, 100%, $E$9)</f>
        <v>9.4939999999999998</v>
      </c>
      <c r="F271" s="10">
        <f>CHOOSE(CONTROL!$C$42, 9.2418, 9.2418)*CHOOSE(CONTROL!$C$21, $C$9, 100%, $E$9)</f>
        <v>9.2417999999999996</v>
      </c>
      <c r="G271" s="10">
        <f>CHOOSE(CONTROL!$C$42, 9.2584, 9.2584)*CHOOSE(CONTROL!$C$21, $C$9, 100%, $E$9)</f>
        <v>9.2584</v>
      </c>
      <c r="H271" s="10">
        <f>CHOOSE(CONTROL!$C$42, 9.4827, 9.4827) * CHOOSE(CONTROL!$C$21, $C$9, 100%, $E$9)</f>
        <v>9.4826999999999995</v>
      </c>
      <c r="I271" s="10">
        <f>CHOOSE(CONTROL!$C$42, 9.2626, 9.2626)* CHOOSE(CONTROL!$C$21, $C$9, 100%, $E$9)</f>
        <v>9.2626000000000008</v>
      </c>
      <c r="J271" s="10">
        <f>CHOOSE(CONTROL!$C$42, 9.2348, 9.2348)* CHOOSE(CONTROL!$C$21, $C$9, 100%, $E$9)</f>
        <v>9.2347999999999999</v>
      </c>
      <c r="K271" s="10">
        <f>CHOOSE(CONTROL!$C$42, 9.1348, 9.1348) * CHOOSE(CONTROL!$C$21, $C$9, 100%, $E$9)</f>
        <v>9.1348000000000003</v>
      </c>
      <c r="L271" s="10">
        <f>CHOOSE(CONTROL!$C$42, 10.0697, 10.0697) * CHOOSE(CONTROL!$C$21, $C$9, 100%, $E$9)</f>
        <v>10.069699999999999</v>
      </c>
      <c r="M271" s="10">
        <f>CHOOSE(CONTROL!$C$42, 9.1554, 9.1554) * CHOOSE(CONTROL!$C$21, $C$9, 100%, $E$9)</f>
        <v>9.1554000000000002</v>
      </c>
      <c r="N271" s="10">
        <f>CHOOSE(CONTROL!$C$42, 9.1719, 9.1719) * CHOOSE(CONTROL!$C$21, $C$9, 100%, $E$9)</f>
        <v>9.1719000000000008</v>
      </c>
      <c r="O271" s="10">
        <f>CHOOSE(CONTROL!$C$42, 9.4008, 9.4008) * CHOOSE(CONTROL!$C$21, $C$9, 100%, $E$9)</f>
        <v>9.4008000000000003</v>
      </c>
      <c r="P271" s="10">
        <f>CHOOSE(CONTROL!$C$42, 9.183, 9.183) * CHOOSE(CONTROL!$C$21, $C$9, 100%, $E$9)</f>
        <v>9.1829999999999998</v>
      </c>
      <c r="Q271" s="10">
        <f>CHOOSE(CONTROL!$C$42, 9.9961, 9.9961) * CHOOSE(CONTROL!$C$21, $C$9, 100%, $E$9)</f>
        <v>9.9961000000000002</v>
      </c>
      <c r="R271" s="10">
        <f>CHOOSE(CONTROL!$C$42, 10.6081, 10.6081) * CHOOSE(CONTROL!$C$21, $C$9, 100%, $E$9)</f>
        <v>10.6081</v>
      </c>
      <c r="S271" s="10">
        <f>CHOOSE(CONTROL!$C$42, 9.0056, 9.0056) * CHOOSE(CONTROL!$C$21, $C$9, 100%, $E$9)</f>
        <v>9.0055999999999994</v>
      </c>
      <c r="T2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38">
        <f>(1000*CHOOSE(CONTROL!$C$42, 695, 695)*CHOOSE(CONTROL!$C$42, 0.5599, 0.5599)*CHOOSE(CONTROL!$C$42, 31, 31))/1000000</f>
        <v>12.063045499999998</v>
      </c>
      <c r="V271" s="38">
        <f>(1000*CHOOSE(CONTROL!$C$42, 500, 500)*CHOOSE(CONTROL!$C$42, 0.275, 0.275)*CHOOSE(CONTROL!$C$42, 31, 31))/1000000</f>
        <v>4.2625000000000002</v>
      </c>
      <c r="W271" s="38">
        <f>(1000*CHOOSE(CONTROL!$C$42, 0.1146, 0.1146)*CHOOSE(CONTROL!$C$42, 121.5, 121.5)*CHOOSE(CONTROL!$C$42, 31, 31))/1000000</f>
        <v>0.43164089999999994</v>
      </c>
      <c r="X271" s="38">
        <f>(31*0.1790888*245000/1000000)+(31*0.2374*100000/1000000)</f>
        <v>2.0961194359999999</v>
      </c>
      <c r="Y271" s="38">
        <f>(1000*600*CHOOSE(CONTROL!$C$42, 1.6476, 1.6476)*CHOOSE(CONTROL!$C$42, 31, 31))/1000000</f>
        <v>30.64536</v>
      </c>
      <c r="Z271" s="38"/>
      <c r="AA271" s="10"/>
      <c r="AB271" s="39"/>
      <c r="AC271" s="33">
        <f>(B271*194.205+C271*267.466+D271*133.845+E271*53.484+F271*40+G271*185+H271*0+I271*100+J271*300)/(194.205+267.466+133.845+53.484+0+40+185+100+300)</f>
        <v>9.2927876498430155</v>
      </c>
      <c r="AD271" s="27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9.2320230215827337</v>
      </c>
    </row>
    <row r="272" spans="1:30" ht="15" x14ac:dyDescent="0.2">
      <c r="A272" s="15">
        <v>49522</v>
      </c>
      <c r="B272" s="10">
        <f>CHOOSE(CONTROL!$C$42, 8.82, 8.82) * CHOOSE(CONTROL!$C$21, $C$9, 100%, $E$9)</f>
        <v>8.82</v>
      </c>
      <c r="C272" s="10">
        <f>CHOOSE(CONTROL!$C$42, 8.8279, 8.8279) * CHOOSE(CONTROL!$C$21, $C$9, 100%, $E$9)</f>
        <v>8.8278999999999996</v>
      </c>
      <c r="D272" s="10">
        <f>CHOOSE(CONTROL!$C$42, 9.0049, 9.0049) * CHOOSE(CONTROL!$C$21, $C$9, 100%, $E$9)</f>
        <v>9.0048999999999992</v>
      </c>
      <c r="E272" s="10">
        <f>CHOOSE(CONTROL!$C$42, 9.036, 9.036) * CHOOSE(CONTROL!$C$21, $C$9, 100%, $E$9)</f>
        <v>9.0359999999999996</v>
      </c>
      <c r="F272" s="10">
        <f>CHOOSE(CONTROL!$C$42, 8.7838, 8.7838)*CHOOSE(CONTROL!$C$21, $C$9, 100%, $E$9)</f>
        <v>8.7837999999999994</v>
      </c>
      <c r="G272" s="10">
        <f>CHOOSE(CONTROL!$C$42, 8.8004, 8.8004)*CHOOSE(CONTROL!$C$21, $C$9, 100%, $E$9)</f>
        <v>8.8003999999999998</v>
      </c>
      <c r="H272" s="10">
        <f>CHOOSE(CONTROL!$C$42, 9.0247, 9.0247) * CHOOSE(CONTROL!$C$21, $C$9, 100%, $E$9)</f>
        <v>9.0246999999999993</v>
      </c>
      <c r="I272" s="10">
        <f>CHOOSE(CONTROL!$C$42, 8.8046, 8.8046)* CHOOSE(CONTROL!$C$21, $C$9, 100%, $E$9)</f>
        <v>8.8046000000000006</v>
      </c>
      <c r="J272" s="10">
        <f>CHOOSE(CONTROL!$C$42, 8.7768, 8.7768)* CHOOSE(CONTROL!$C$21, $C$9, 100%, $E$9)</f>
        <v>8.7767999999999997</v>
      </c>
      <c r="K272" s="10">
        <f>CHOOSE(CONTROL!$C$42, 8.6899, 8.6899) * CHOOSE(CONTROL!$C$21, $C$9, 100%, $E$9)</f>
        <v>8.6898999999999997</v>
      </c>
      <c r="L272" s="10">
        <f>CHOOSE(CONTROL!$C$42, 9.6117, 9.6117) * CHOOSE(CONTROL!$C$21, $C$9, 100%, $E$9)</f>
        <v>9.6117000000000008</v>
      </c>
      <c r="M272" s="10">
        <f>CHOOSE(CONTROL!$C$42, 8.7021, 8.7021) * CHOOSE(CONTROL!$C$21, $C$9, 100%, $E$9)</f>
        <v>8.7020999999999997</v>
      </c>
      <c r="N272" s="10">
        <f>CHOOSE(CONTROL!$C$42, 8.7185, 8.7185) * CHOOSE(CONTROL!$C$21, $C$9, 100%, $E$9)</f>
        <v>8.7185000000000006</v>
      </c>
      <c r="O272" s="10">
        <f>CHOOSE(CONTROL!$C$42, 8.9474, 8.9474) * CHOOSE(CONTROL!$C$21, $C$9, 100%, $E$9)</f>
        <v>8.9474</v>
      </c>
      <c r="P272" s="10">
        <f>CHOOSE(CONTROL!$C$42, 8.7296, 8.7296) * CHOOSE(CONTROL!$C$21, $C$9, 100%, $E$9)</f>
        <v>8.7295999999999996</v>
      </c>
      <c r="Q272" s="10">
        <f>CHOOSE(CONTROL!$C$42, 9.5427, 9.5427) * CHOOSE(CONTROL!$C$21, $C$9, 100%, $E$9)</f>
        <v>9.5427</v>
      </c>
      <c r="R272" s="10">
        <f>CHOOSE(CONTROL!$C$42, 10.1536, 10.1536) * CHOOSE(CONTROL!$C$21, $C$9, 100%, $E$9)</f>
        <v>10.153600000000001</v>
      </c>
      <c r="S272" s="10">
        <f>CHOOSE(CONTROL!$C$42, 8.5608, 8.5608) * CHOOSE(CONTROL!$C$21, $C$9, 100%, $E$9)</f>
        <v>8.5608000000000004</v>
      </c>
      <c r="T2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38">
        <f>(1000*CHOOSE(CONTROL!$C$42, 695, 695)*CHOOSE(CONTROL!$C$42, 0.5599, 0.5599)*CHOOSE(CONTROL!$C$42, 31, 31))/1000000</f>
        <v>12.063045499999998</v>
      </c>
      <c r="V272" s="38">
        <f>(1000*CHOOSE(CONTROL!$C$42, 500, 500)*CHOOSE(CONTROL!$C$42, 0.275, 0.275)*CHOOSE(CONTROL!$C$42, 31, 31))/1000000</f>
        <v>4.2625000000000002</v>
      </c>
      <c r="W272" s="38">
        <f>(1000*CHOOSE(CONTROL!$C$42, 0.1146, 0.1146)*CHOOSE(CONTROL!$C$42, 121.5, 121.5)*CHOOSE(CONTROL!$C$42, 31, 31))/1000000</f>
        <v>0.43164089999999994</v>
      </c>
      <c r="X272" s="38">
        <f>(31*0.1790888*245000/1000000)+(31*0.2374*100000/1000000)</f>
        <v>2.0961194359999999</v>
      </c>
      <c r="Y272" s="38">
        <f>(1000*600*CHOOSE(CONTROL!$C$42, 1.6476, 1.6476)*CHOOSE(CONTROL!$C$42, 31, 31))/1000000</f>
        <v>30.64536</v>
      </c>
      <c r="Z272" s="38"/>
      <c r="AA272" s="10"/>
      <c r="AB272" s="39"/>
      <c r="AC272" s="33">
        <f>(B272*194.205+C272*267.466+D272*133.845+E272*53.484+F272*40+G272*185+H272*0+I272*100+J272*300)/(194.205+267.466+133.845+53.484+0+40+185+100+300)</f>
        <v>8.8347876498430153</v>
      </c>
      <c r="AD272" s="27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8.778657553956835</v>
      </c>
    </row>
    <row r="273" spans="1:30" ht="15" x14ac:dyDescent="0.2">
      <c r="A273" s="15">
        <v>49553</v>
      </c>
      <c r="B273" s="10">
        <f>CHOOSE(CONTROL!$C$42, 8.2604, 8.2604) * CHOOSE(CONTROL!$C$21, $C$9, 100%, $E$9)</f>
        <v>8.2604000000000006</v>
      </c>
      <c r="C273" s="10">
        <f>CHOOSE(CONTROL!$C$42, 8.2683, 8.2683) * CHOOSE(CONTROL!$C$21, $C$9, 100%, $E$9)</f>
        <v>8.2683</v>
      </c>
      <c r="D273" s="10">
        <f>CHOOSE(CONTROL!$C$42, 8.4453, 8.4453) * CHOOSE(CONTROL!$C$21, $C$9, 100%, $E$9)</f>
        <v>8.4452999999999996</v>
      </c>
      <c r="E273" s="10">
        <f>CHOOSE(CONTROL!$C$42, 8.4764, 8.4764) * CHOOSE(CONTROL!$C$21, $C$9, 100%, $E$9)</f>
        <v>8.4763999999999999</v>
      </c>
      <c r="F273" s="10">
        <f>CHOOSE(CONTROL!$C$42, 8.224, 8.224)*CHOOSE(CONTROL!$C$21, $C$9, 100%, $E$9)</f>
        <v>8.2240000000000002</v>
      </c>
      <c r="G273" s="10">
        <f>CHOOSE(CONTROL!$C$42, 8.2405, 8.2405)*CHOOSE(CONTROL!$C$21, $C$9, 100%, $E$9)</f>
        <v>8.2405000000000008</v>
      </c>
      <c r="H273" s="10">
        <f>CHOOSE(CONTROL!$C$42, 8.465, 8.465) * CHOOSE(CONTROL!$C$21, $C$9, 100%, $E$9)</f>
        <v>8.4649999999999999</v>
      </c>
      <c r="I273" s="10">
        <f>CHOOSE(CONTROL!$C$42, 8.245, 8.245)* CHOOSE(CONTROL!$C$21, $C$9, 100%, $E$9)</f>
        <v>8.2449999999999992</v>
      </c>
      <c r="J273" s="10">
        <f>CHOOSE(CONTROL!$C$42, 8.217, 8.217)* CHOOSE(CONTROL!$C$21, $C$9, 100%, $E$9)</f>
        <v>8.2170000000000005</v>
      </c>
      <c r="K273" s="10">
        <f>CHOOSE(CONTROL!$C$42, 8.1456, 8.1456) * CHOOSE(CONTROL!$C$21, $C$9, 100%, $E$9)</f>
        <v>8.1456</v>
      </c>
      <c r="L273" s="10">
        <f>CHOOSE(CONTROL!$C$42, 9.052, 9.052) * CHOOSE(CONTROL!$C$21, $C$9, 100%, $E$9)</f>
        <v>9.0519999999999996</v>
      </c>
      <c r="M273" s="10">
        <f>CHOOSE(CONTROL!$C$42, 8.1479, 8.1479) * CHOOSE(CONTROL!$C$21, $C$9, 100%, $E$9)</f>
        <v>8.1478999999999999</v>
      </c>
      <c r="N273" s="10">
        <f>CHOOSE(CONTROL!$C$42, 8.1642, 8.1642) * CHOOSE(CONTROL!$C$21, $C$9, 100%, $E$9)</f>
        <v>8.1641999999999992</v>
      </c>
      <c r="O273" s="10">
        <f>CHOOSE(CONTROL!$C$42, 8.3934, 8.3934) * CHOOSE(CONTROL!$C$21, $C$9, 100%, $E$9)</f>
        <v>8.3933999999999997</v>
      </c>
      <c r="P273" s="10">
        <f>CHOOSE(CONTROL!$C$42, 8.1756, 8.1756) * CHOOSE(CONTROL!$C$21, $C$9, 100%, $E$9)</f>
        <v>8.1755999999999993</v>
      </c>
      <c r="Q273" s="10">
        <f>CHOOSE(CONTROL!$C$42, 8.9887, 8.9887) * CHOOSE(CONTROL!$C$21, $C$9, 100%, $E$9)</f>
        <v>8.9886999999999997</v>
      </c>
      <c r="R273" s="10">
        <f>CHOOSE(CONTROL!$C$42, 9.5982, 9.5982) * CHOOSE(CONTROL!$C$21, $C$9, 100%, $E$9)</f>
        <v>9.5982000000000003</v>
      </c>
      <c r="S273" s="10">
        <f>CHOOSE(CONTROL!$C$42, 8.0174, 8.0174) * CHOOSE(CONTROL!$C$21, $C$9, 100%, $E$9)</f>
        <v>8.0174000000000003</v>
      </c>
      <c r="T2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38">
        <f>(1000*CHOOSE(CONTROL!$C$42, 695, 695)*CHOOSE(CONTROL!$C$42, 0.5599, 0.5599)*CHOOSE(CONTROL!$C$42, 30, 30))/1000000</f>
        <v>11.673914999999997</v>
      </c>
      <c r="V273" s="38">
        <f>(1000*CHOOSE(CONTROL!$C$42, 500, 500)*CHOOSE(CONTROL!$C$42, 0.275, 0.275)*CHOOSE(CONTROL!$C$42, 30, 30))/1000000</f>
        <v>4.125</v>
      </c>
      <c r="W273" s="38">
        <f>(1000*CHOOSE(CONTROL!$C$42, 0.1146, 0.1146)*CHOOSE(CONTROL!$C$42, 121.5, 121.5)*CHOOSE(CONTROL!$C$42, 30, 30))/1000000</f>
        <v>0.417717</v>
      </c>
      <c r="X273" s="38">
        <f>(30*0.1790888*245000/1000000)+(30*0.2374*100000/1000000)</f>
        <v>2.0285026799999999</v>
      </c>
      <c r="Y273" s="38">
        <f>(1000*600*CHOOSE(CONTROL!$C$42, 1.6476, 1.6476)*CHOOSE(CONTROL!$C$42, 30, 30))/1000000</f>
        <v>29.6568</v>
      </c>
      <c r="Z273" s="38"/>
      <c r="AA273" s="10"/>
      <c r="AB273" s="39"/>
      <c r="AC273" s="33">
        <f>(B273*194.205+C273*267.466+D273*133.845+E273*53.484+F273*40+G273*185+H273*0+I273*100+J273*300)/(194.205+267.466+133.845+53.484+0+40+185+100+300)</f>
        <v>8.275090711067504</v>
      </c>
      <c r="AD273" s="27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8.2245194244604303</v>
      </c>
    </row>
    <row r="274" spans="1:30" ht="15" x14ac:dyDescent="0.2">
      <c r="A274" s="15">
        <v>49583</v>
      </c>
      <c r="B274" s="10">
        <f>CHOOSE(CONTROL!$C$42, 8.0906, 8.0906) * CHOOSE(CONTROL!$C$21, $C$9, 100%, $E$9)</f>
        <v>8.0906000000000002</v>
      </c>
      <c r="C274" s="10">
        <f>CHOOSE(CONTROL!$C$42, 8.0958, 8.0958) * CHOOSE(CONTROL!$C$21, $C$9, 100%, $E$9)</f>
        <v>8.0958000000000006</v>
      </c>
      <c r="D274" s="10">
        <f>CHOOSE(CONTROL!$C$42, 8.2778, 8.2778) * CHOOSE(CONTROL!$C$21, $C$9, 100%, $E$9)</f>
        <v>8.2777999999999992</v>
      </c>
      <c r="E274" s="10">
        <f>CHOOSE(CONTROL!$C$42, 8.3066, 8.3066) * CHOOSE(CONTROL!$C$21, $C$9, 100%, $E$9)</f>
        <v>8.3065999999999995</v>
      </c>
      <c r="F274" s="10">
        <f>CHOOSE(CONTROL!$C$42, 8.0562, 8.0562)*CHOOSE(CONTROL!$C$21, $C$9, 100%, $E$9)</f>
        <v>8.0562000000000005</v>
      </c>
      <c r="G274" s="10">
        <f>CHOOSE(CONTROL!$C$42, 8.0725, 8.0725)*CHOOSE(CONTROL!$C$21, $C$9, 100%, $E$9)</f>
        <v>8.0724999999999998</v>
      </c>
      <c r="H274" s="10">
        <f>CHOOSE(CONTROL!$C$42, 8.297, 8.297) * CHOOSE(CONTROL!$C$21, $C$9, 100%, $E$9)</f>
        <v>8.2970000000000006</v>
      </c>
      <c r="I274" s="10">
        <f>CHOOSE(CONTROL!$C$42, 8.077, 8.077)* CHOOSE(CONTROL!$C$21, $C$9, 100%, $E$9)</f>
        <v>8.077</v>
      </c>
      <c r="J274" s="10">
        <f>CHOOSE(CONTROL!$C$42, 8.0492, 8.0492)* CHOOSE(CONTROL!$C$21, $C$9, 100%, $E$9)</f>
        <v>8.0492000000000008</v>
      </c>
      <c r="K274" s="10">
        <f>CHOOSE(CONTROL!$C$42, 7.983, 7.983) * CHOOSE(CONTROL!$C$21, $C$9, 100%, $E$9)</f>
        <v>7.9829999999999997</v>
      </c>
      <c r="L274" s="10">
        <f>CHOOSE(CONTROL!$C$42, 8.884, 8.884) * CHOOSE(CONTROL!$C$21, $C$9, 100%, $E$9)</f>
        <v>8.8840000000000003</v>
      </c>
      <c r="M274" s="10">
        <f>CHOOSE(CONTROL!$C$42, 7.9818, 7.9818) * CHOOSE(CONTROL!$C$21, $C$9, 100%, $E$9)</f>
        <v>7.9817999999999998</v>
      </c>
      <c r="N274" s="10">
        <f>CHOOSE(CONTROL!$C$42, 7.9979, 7.9979) * CHOOSE(CONTROL!$C$21, $C$9, 100%, $E$9)</f>
        <v>7.9978999999999996</v>
      </c>
      <c r="O274" s="10">
        <f>CHOOSE(CONTROL!$C$42, 8.2271, 8.2271) * CHOOSE(CONTROL!$C$21, $C$9, 100%, $E$9)</f>
        <v>8.2271000000000001</v>
      </c>
      <c r="P274" s="10">
        <f>CHOOSE(CONTROL!$C$42, 8.0093, 8.0093) * CHOOSE(CONTROL!$C$21, $C$9, 100%, $E$9)</f>
        <v>8.0092999999999996</v>
      </c>
      <c r="Q274" s="10">
        <f>CHOOSE(CONTROL!$C$42, 8.8224, 8.8224) * CHOOSE(CONTROL!$C$21, $C$9, 100%, $E$9)</f>
        <v>8.8224</v>
      </c>
      <c r="R274" s="10">
        <f>CHOOSE(CONTROL!$C$42, 9.4315, 9.4315) * CHOOSE(CONTROL!$C$21, $C$9, 100%, $E$9)</f>
        <v>9.4314999999999998</v>
      </c>
      <c r="S274" s="10">
        <f>CHOOSE(CONTROL!$C$42, 7.8543, 7.8543) * CHOOSE(CONTROL!$C$21, $C$9, 100%, $E$9)</f>
        <v>7.8543000000000003</v>
      </c>
      <c r="T2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38">
        <f>(1000*CHOOSE(CONTROL!$C$42, 695, 695)*CHOOSE(CONTROL!$C$42, 0.5599, 0.5599)*CHOOSE(CONTROL!$C$42, 31, 31))/1000000</f>
        <v>12.063045499999998</v>
      </c>
      <c r="V274" s="38">
        <f>(1000*CHOOSE(CONTROL!$C$42, 500, 500)*CHOOSE(CONTROL!$C$42, 0.275, 0.275)*CHOOSE(CONTROL!$C$42, 31, 31))/1000000</f>
        <v>4.2625000000000002</v>
      </c>
      <c r="W274" s="38">
        <f>(1000*CHOOSE(CONTROL!$C$42, 0.1146, 0.1146)*CHOOSE(CONTROL!$C$42, 121.5, 121.5)*CHOOSE(CONTROL!$C$42, 31, 31))/1000000</f>
        <v>0.43164089999999994</v>
      </c>
      <c r="X274" s="38">
        <f>(31*0.1790888*245000/1000000)+(31*0.2374*100000/1000000)</f>
        <v>2.0961194359999999</v>
      </c>
      <c r="Y274" s="38">
        <f>(1000*600*CHOOSE(CONTROL!$C$42, 1.6476, 1.6476)*CHOOSE(CONTROL!$C$42, 31, 31))/1000000</f>
        <v>30.64536</v>
      </c>
      <c r="Z274" s="38"/>
      <c r="AA274" s="10"/>
      <c r="AB274" s="39"/>
      <c r="AC274" s="33">
        <f>(B274*131.881+C274*277.167+D274*79.08+E274*125.872+F274*40+G274*185+H274*0+I274*100+J274*300)/(131.881+277.167+79.08+125.872+0+40+185+100+300)</f>
        <v>8.1107201746569828</v>
      </c>
      <c r="AD274" s="27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8.0582884892086337</v>
      </c>
    </row>
    <row r="275" spans="1:30" ht="15" x14ac:dyDescent="0.2">
      <c r="A275" s="15">
        <v>49614</v>
      </c>
      <c r="B275" s="10">
        <f>CHOOSE(CONTROL!$C$42, 8.3033, 8.3033) * CHOOSE(CONTROL!$C$21, $C$9, 100%, $E$9)</f>
        <v>8.3033000000000001</v>
      </c>
      <c r="C275" s="10">
        <f>CHOOSE(CONTROL!$C$42, 8.3082, 8.3082) * CHOOSE(CONTROL!$C$21, $C$9, 100%, $E$9)</f>
        <v>8.3081999999999994</v>
      </c>
      <c r="D275" s="10">
        <f>CHOOSE(CONTROL!$C$42, 8.3327, 8.3327) * CHOOSE(CONTROL!$C$21, $C$9, 100%, $E$9)</f>
        <v>8.3327000000000009</v>
      </c>
      <c r="E275" s="10">
        <f>CHOOSE(CONTROL!$C$42, 8.3664, 8.3664) * CHOOSE(CONTROL!$C$21, $C$9, 100%, $E$9)</f>
        <v>8.3664000000000005</v>
      </c>
      <c r="F275" s="10">
        <f>CHOOSE(CONTROL!$C$42, 8.2726, 8.2726)*CHOOSE(CONTROL!$C$21, $C$9, 100%, $E$9)</f>
        <v>8.2726000000000006</v>
      </c>
      <c r="G275" s="10">
        <f>CHOOSE(CONTROL!$C$42, 8.289, 8.289)*CHOOSE(CONTROL!$C$21, $C$9, 100%, $E$9)</f>
        <v>8.2889999999999997</v>
      </c>
      <c r="H275" s="10">
        <f>CHOOSE(CONTROL!$C$42, 8.3556, 8.3556) * CHOOSE(CONTROL!$C$21, $C$9, 100%, $E$9)</f>
        <v>8.3556000000000008</v>
      </c>
      <c r="I275" s="10">
        <f>CHOOSE(CONTROL!$C$42, 8.29, 8.29)* CHOOSE(CONTROL!$C$21, $C$9, 100%, $E$9)</f>
        <v>8.2899999999999991</v>
      </c>
      <c r="J275" s="10">
        <f>CHOOSE(CONTROL!$C$42, 8.2656, 8.2656)* CHOOSE(CONTROL!$C$21, $C$9, 100%, $E$9)</f>
        <v>8.2655999999999992</v>
      </c>
      <c r="K275" s="10">
        <f>CHOOSE(CONTROL!$C$42, 8.1915, 8.1915) * CHOOSE(CONTROL!$C$21, $C$9, 100%, $E$9)</f>
        <v>8.1914999999999996</v>
      </c>
      <c r="L275" s="10">
        <f>CHOOSE(CONTROL!$C$42, 8.9426, 8.9426) * CHOOSE(CONTROL!$C$21, $C$9, 100%, $E$9)</f>
        <v>8.9426000000000005</v>
      </c>
      <c r="M275" s="10">
        <f>CHOOSE(CONTROL!$C$42, 8.196, 8.196) * CHOOSE(CONTROL!$C$21, $C$9, 100%, $E$9)</f>
        <v>8.1959999999999997</v>
      </c>
      <c r="N275" s="10">
        <f>CHOOSE(CONTROL!$C$42, 8.2122, 8.2122) * CHOOSE(CONTROL!$C$21, $C$9, 100%, $E$9)</f>
        <v>8.2121999999999993</v>
      </c>
      <c r="O275" s="10">
        <f>CHOOSE(CONTROL!$C$42, 8.2851, 8.2851) * CHOOSE(CONTROL!$C$21, $C$9, 100%, $E$9)</f>
        <v>8.2850999999999999</v>
      </c>
      <c r="P275" s="10">
        <f>CHOOSE(CONTROL!$C$42, 8.2202, 8.2202) * CHOOSE(CONTROL!$C$21, $C$9, 100%, $E$9)</f>
        <v>8.2202000000000002</v>
      </c>
      <c r="Q275" s="10">
        <f>CHOOSE(CONTROL!$C$42, 8.8804, 8.8804) * CHOOSE(CONTROL!$C$21, $C$9, 100%, $E$9)</f>
        <v>8.8803999999999998</v>
      </c>
      <c r="R275" s="10">
        <f>CHOOSE(CONTROL!$C$42, 9.4896, 9.4896) * CHOOSE(CONTROL!$C$21, $C$9, 100%, $E$9)</f>
        <v>9.4895999999999994</v>
      </c>
      <c r="S275" s="10">
        <f>CHOOSE(CONTROL!$C$42, 8.0612, 8.0612) * CHOOSE(CONTROL!$C$21, $C$9, 100%, $E$9)</f>
        <v>8.0611999999999995</v>
      </c>
      <c r="T2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38">
        <f>(1000*CHOOSE(CONTROL!$C$42, 695, 695)*CHOOSE(CONTROL!$C$42, 0.5599, 0.5599)*CHOOSE(CONTROL!$C$42, 30, 30))/1000000</f>
        <v>11.673914999999997</v>
      </c>
      <c r="V275" s="38">
        <f>(1000*CHOOSE(CONTROL!$C$42, 500, 500)*CHOOSE(CONTROL!$C$42, 0.275, 0.275)*CHOOSE(CONTROL!$C$42, 30, 30))/1000000</f>
        <v>4.125</v>
      </c>
      <c r="W275" s="38">
        <f>(1000*CHOOSE(CONTROL!$C$42, 0.1146, 0.1146)*CHOOSE(CONTROL!$C$42, 121.5, 121.5)*CHOOSE(CONTROL!$C$42, 30, 30))/1000000</f>
        <v>0.417717</v>
      </c>
      <c r="X275" s="38">
        <f>(30*0.1790888*100000/1000000)+(30*0.2374*100000/1000000)</f>
        <v>1.2494664</v>
      </c>
      <c r="Y275" s="38">
        <f>(1000*600*CHOOSE(CONTROL!$C$42, 1.6476, 1.6476)*CHOOSE(CONTROL!$C$42, 30, 30))/1000000</f>
        <v>29.6568</v>
      </c>
      <c r="Z275" s="38"/>
      <c r="AA275" s="10"/>
      <c r="AB275" s="39"/>
      <c r="AC275" s="33">
        <f>(B275*122.58+C275*297.941+D275*89.177+E275*40.302+F275*40+G275*160+H275*0+I275*100+J275*300)/(122.58+297.941+89.177+40.302+0+40+160+100+300)</f>
        <v>8.2950119746956528</v>
      </c>
      <c r="AD275" s="27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8.2407978417266179</v>
      </c>
    </row>
    <row r="276" spans="1:30" ht="15" x14ac:dyDescent="0.2">
      <c r="A276" s="15">
        <v>49644</v>
      </c>
      <c r="B276" s="10">
        <f>CHOOSE(CONTROL!$C$42, 8.8692, 8.8692) * CHOOSE(CONTROL!$C$21, $C$9, 100%, $E$9)</f>
        <v>8.8691999999999993</v>
      </c>
      <c r="C276" s="10">
        <f>CHOOSE(CONTROL!$C$42, 8.8741, 8.8741) * CHOOSE(CONTROL!$C$21, $C$9, 100%, $E$9)</f>
        <v>8.8741000000000003</v>
      </c>
      <c r="D276" s="10">
        <f>CHOOSE(CONTROL!$C$42, 8.8986, 8.8986) * CHOOSE(CONTROL!$C$21, $C$9, 100%, $E$9)</f>
        <v>8.8986000000000001</v>
      </c>
      <c r="E276" s="10">
        <f>CHOOSE(CONTROL!$C$42, 8.9324, 8.9324) * CHOOSE(CONTROL!$C$21, $C$9, 100%, $E$9)</f>
        <v>8.9323999999999995</v>
      </c>
      <c r="F276" s="10">
        <f>CHOOSE(CONTROL!$C$42, 8.8408, 8.8408)*CHOOSE(CONTROL!$C$21, $C$9, 100%, $E$9)</f>
        <v>8.8407999999999998</v>
      </c>
      <c r="G276" s="10">
        <f>CHOOSE(CONTROL!$C$42, 8.8578, 8.8578)*CHOOSE(CONTROL!$C$21, $C$9, 100%, $E$9)</f>
        <v>8.8577999999999992</v>
      </c>
      <c r="H276" s="10">
        <f>CHOOSE(CONTROL!$C$42, 8.9215, 8.9215) * CHOOSE(CONTROL!$C$21, $C$9, 100%, $E$9)</f>
        <v>8.9215</v>
      </c>
      <c r="I276" s="10">
        <f>CHOOSE(CONTROL!$C$42, 8.8559, 8.8559)* CHOOSE(CONTROL!$C$21, $C$9, 100%, $E$9)</f>
        <v>8.8559000000000001</v>
      </c>
      <c r="J276" s="10">
        <f>CHOOSE(CONTROL!$C$42, 8.8338, 8.8338)* CHOOSE(CONTROL!$C$21, $C$9, 100%, $E$9)</f>
        <v>8.8338000000000001</v>
      </c>
      <c r="K276" s="10">
        <f>CHOOSE(CONTROL!$C$42, 8.7463, 8.7463) * CHOOSE(CONTROL!$C$21, $C$9, 100%, $E$9)</f>
        <v>8.7462999999999997</v>
      </c>
      <c r="L276" s="10">
        <f>CHOOSE(CONTROL!$C$42, 9.5085, 9.5085) * CHOOSE(CONTROL!$C$21, $C$9, 100%, $E$9)</f>
        <v>9.5084999999999997</v>
      </c>
      <c r="M276" s="10">
        <f>CHOOSE(CONTROL!$C$42, 8.7585, 8.7585) * CHOOSE(CONTROL!$C$21, $C$9, 100%, $E$9)</f>
        <v>8.7584999999999997</v>
      </c>
      <c r="N276" s="10">
        <f>CHOOSE(CONTROL!$C$42, 8.7753, 8.7753) * CHOOSE(CONTROL!$C$21, $C$9, 100%, $E$9)</f>
        <v>8.7752999999999997</v>
      </c>
      <c r="O276" s="10">
        <f>CHOOSE(CONTROL!$C$42, 8.8453, 8.8453) * CHOOSE(CONTROL!$C$21, $C$9, 100%, $E$9)</f>
        <v>8.8452999999999999</v>
      </c>
      <c r="P276" s="10">
        <f>CHOOSE(CONTROL!$C$42, 8.7804, 8.7804) * CHOOSE(CONTROL!$C$21, $C$9, 100%, $E$9)</f>
        <v>8.7804000000000002</v>
      </c>
      <c r="Q276" s="10">
        <f>CHOOSE(CONTROL!$C$42, 9.4406, 9.4406) * CHOOSE(CONTROL!$C$21, $C$9, 100%, $E$9)</f>
        <v>9.4405999999999999</v>
      </c>
      <c r="R276" s="10">
        <f>CHOOSE(CONTROL!$C$42, 10.0512, 10.0512) * CHOOSE(CONTROL!$C$21, $C$9, 100%, $E$9)</f>
        <v>10.0512</v>
      </c>
      <c r="S276" s="10">
        <f>CHOOSE(CONTROL!$C$42, 8.6107, 8.6107) * CHOOSE(CONTROL!$C$21, $C$9, 100%, $E$9)</f>
        <v>8.6106999999999996</v>
      </c>
      <c r="T2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38">
        <f>(1000*CHOOSE(CONTROL!$C$42, 695, 695)*CHOOSE(CONTROL!$C$42, 0.5599, 0.5599)*CHOOSE(CONTROL!$C$42, 31, 31))/1000000</f>
        <v>12.063045499999998</v>
      </c>
      <c r="V276" s="38">
        <f>(1000*CHOOSE(CONTROL!$C$42, 500, 500)*CHOOSE(CONTROL!$C$42, 0.275, 0.275)*CHOOSE(CONTROL!$C$42, 31, 31))/1000000</f>
        <v>4.2625000000000002</v>
      </c>
      <c r="W276" s="38">
        <f>(1000*CHOOSE(CONTROL!$C$42, 0.1146, 0.1146)*CHOOSE(CONTROL!$C$42, 121.5, 121.5)*CHOOSE(CONTROL!$C$42, 31, 31))/1000000</f>
        <v>0.43164089999999994</v>
      </c>
      <c r="X276" s="38">
        <f>(31*0.1790888*100000/1000000)+(31*0.2374*100000/1000000)</f>
        <v>1.2911152800000001</v>
      </c>
      <c r="Y276" s="38">
        <f>(1000*600*CHOOSE(CONTROL!$C$42, 1.6476, 1.6476)*CHOOSE(CONTROL!$C$42, 31, 31))/1000000</f>
        <v>30.64536</v>
      </c>
      <c r="Z276" s="38"/>
      <c r="AA276" s="10"/>
      <c r="AB276" s="39"/>
      <c r="AC276" s="33">
        <f>(B276*122.58+C276*297.941+D276*89.177+E276*40.302+F276*40+G276*160+H276*0+I276*100+J276*300)/(122.58+297.941+89.177+40.302+0+40+160+100+300)</f>
        <v>8.8619989574782583</v>
      </c>
      <c r="AD276" s="27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8.8019589928057549</v>
      </c>
    </row>
    <row r="277" spans="1:30" ht="15" x14ac:dyDescent="0.2">
      <c r="A277" s="15">
        <v>49675</v>
      </c>
      <c r="B277" s="10">
        <f>CHOOSE(CONTROL!$C$42, 9.4676, 9.4676) * CHOOSE(CONTROL!$C$21, $C$9, 100%, $E$9)</f>
        <v>9.4675999999999991</v>
      </c>
      <c r="C277" s="10">
        <f>CHOOSE(CONTROL!$C$42, 9.4725, 9.4725) * CHOOSE(CONTROL!$C$21, $C$9, 100%, $E$9)</f>
        <v>9.4725000000000001</v>
      </c>
      <c r="D277" s="10">
        <f>CHOOSE(CONTROL!$C$42, 9.497, 9.497) * CHOOSE(CONTROL!$C$21, $C$9, 100%, $E$9)</f>
        <v>9.4969999999999999</v>
      </c>
      <c r="E277" s="10">
        <f>CHOOSE(CONTROL!$C$42, 9.5308, 9.5308) * CHOOSE(CONTROL!$C$21, $C$9, 100%, $E$9)</f>
        <v>9.5307999999999993</v>
      </c>
      <c r="F277" s="10">
        <f>CHOOSE(CONTROL!$C$42, 9.4505, 9.4505)*CHOOSE(CONTROL!$C$21, $C$9, 100%, $E$9)</f>
        <v>9.4504999999999999</v>
      </c>
      <c r="G277" s="10">
        <f>CHOOSE(CONTROL!$C$42, 9.4692, 9.4692)*CHOOSE(CONTROL!$C$21, $C$9, 100%, $E$9)</f>
        <v>9.4692000000000007</v>
      </c>
      <c r="H277" s="10">
        <f>CHOOSE(CONTROL!$C$42, 9.52, 9.52) * CHOOSE(CONTROL!$C$21, $C$9, 100%, $E$9)</f>
        <v>9.52</v>
      </c>
      <c r="I277" s="10">
        <f>CHOOSE(CONTROL!$C$42, 9.4621, 9.4621)* CHOOSE(CONTROL!$C$21, $C$9, 100%, $E$9)</f>
        <v>9.4620999999999995</v>
      </c>
      <c r="J277" s="10">
        <f>CHOOSE(CONTROL!$C$42, 9.4435, 9.4435)* CHOOSE(CONTROL!$C$21, $C$9, 100%, $E$9)</f>
        <v>9.4435000000000002</v>
      </c>
      <c r="K277" s="10">
        <f>CHOOSE(CONTROL!$C$42, 9.3487, 9.3487) * CHOOSE(CONTROL!$C$21, $C$9, 100%, $E$9)</f>
        <v>9.3486999999999991</v>
      </c>
      <c r="L277" s="10">
        <f>CHOOSE(CONTROL!$C$42, 10.107, 10.107) * CHOOSE(CONTROL!$C$21, $C$9, 100%, $E$9)</f>
        <v>10.106999999999999</v>
      </c>
      <c r="M277" s="10">
        <f>CHOOSE(CONTROL!$C$42, 9.362, 9.362) * CHOOSE(CONTROL!$C$21, $C$9, 100%, $E$9)</f>
        <v>9.3620000000000001</v>
      </c>
      <c r="N277" s="10">
        <f>CHOOSE(CONTROL!$C$42, 9.3805, 9.3805) * CHOOSE(CONTROL!$C$21, $C$9, 100%, $E$9)</f>
        <v>9.3804999999999996</v>
      </c>
      <c r="O277" s="10">
        <f>CHOOSE(CONTROL!$C$42, 9.4377, 9.4377) * CHOOSE(CONTROL!$C$21, $C$9, 100%, $E$9)</f>
        <v>9.4376999999999995</v>
      </c>
      <c r="P277" s="10">
        <f>CHOOSE(CONTROL!$C$42, 9.3804, 9.3804) * CHOOSE(CONTROL!$C$21, $C$9, 100%, $E$9)</f>
        <v>9.3803999999999998</v>
      </c>
      <c r="Q277" s="10">
        <f>CHOOSE(CONTROL!$C$42, 10.033, 10.033) * CHOOSE(CONTROL!$C$21, $C$9, 100%, $E$9)</f>
        <v>10.032999999999999</v>
      </c>
      <c r="R277" s="10">
        <f>CHOOSE(CONTROL!$C$42, 10.6451, 10.6451) * CHOOSE(CONTROL!$C$21, $C$9, 100%, $E$9)</f>
        <v>10.645099999999999</v>
      </c>
      <c r="S277" s="10">
        <f>CHOOSE(CONTROL!$C$42, 9.1918, 9.1918) * CHOOSE(CONTROL!$C$21, $C$9, 100%, $E$9)</f>
        <v>9.1918000000000006</v>
      </c>
      <c r="T2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38">
        <f>(1000*CHOOSE(CONTROL!$C$42, 695, 695)*CHOOSE(CONTROL!$C$42, 0.5599, 0.5599)*CHOOSE(CONTROL!$C$42, 31, 31))/1000000</f>
        <v>12.063045499999998</v>
      </c>
      <c r="V277" s="38">
        <f>(1000*CHOOSE(CONTROL!$C$42, 500, 500)*CHOOSE(CONTROL!$C$42, 0.275, 0.275)*CHOOSE(CONTROL!$C$42, 31, 31))/1000000</f>
        <v>4.2625000000000002</v>
      </c>
      <c r="W277" s="38">
        <f>(1000*CHOOSE(CONTROL!$C$42, 0.1146, 0.1146)*CHOOSE(CONTROL!$C$42, 121.5, 121.5)*CHOOSE(CONTROL!$C$42, 31, 31))/1000000</f>
        <v>0.43164089999999994</v>
      </c>
      <c r="X277" s="38">
        <f>(31*0.1790888*100000/1000000)+(31*0.2374*100000/1000000)</f>
        <v>1.2911152800000001</v>
      </c>
      <c r="Y277" s="38">
        <f>(1000*600*CHOOSE(CONTROL!$C$42, 1.6441, 1.6441)*CHOOSE(CONTROL!$C$42, 31, 31))/1000000</f>
        <v>30.580259999999996</v>
      </c>
      <c r="Z277" s="38"/>
      <c r="AA277" s="10"/>
      <c r="AB277" s="39"/>
      <c r="AC277" s="33">
        <f>(B277*122.58+C277*297.941+D277*89.177+E277*40.302+F277*40+G277*160+H277*0+I277*100+J277*300)/(122.58+297.941+89.177+40.302+0+40+160+100+300)</f>
        <v>9.466226783565217</v>
      </c>
      <c r="AD277" s="27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9.4000223021582734</v>
      </c>
    </row>
    <row r="278" spans="1:30" ht="15" x14ac:dyDescent="0.2">
      <c r="A278" s="15">
        <v>49706</v>
      </c>
      <c r="B278" s="10">
        <f>CHOOSE(CONTROL!$C$42, 9.6361, 9.6361) * CHOOSE(CONTROL!$C$21, $C$9, 100%, $E$9)</f>
        <v>9.6361000000000008</v>
      </c>
      <c r="C278" s="10">
        <f>CHOOSE(CONTROL!$C$42, 9.641, 9.641) * CHOOSE(CONTROL!$C$21, $C$9, 100%, $E$9)</f>
        <v>9.641</v>
      </c>
      <c r="D278" s="10">
        <f>CHOOSE(CONTROL!$C$42, 9.6655, 9.6655) * CHOOSE(CONTROL!$C$21, $C$9, 100%, $E$9)</f>
        <v>9.6654999999999998</v>
      </c>
      <c r="E278" s="10">
        <f>CHOOSE(CONTROL!$C$42, 9.6992, 9.6992) * CHOOSE(CONTROL!$C$21, $C$9, 100%, $E$9)</f>
        <v>9.6991999999999994</v>
      </c>
      <c r="F278" s="10">
        <f>CHOOSE(CONTROL!$C$42, 9.6183, 9.6183)*CHOOSE(CONTROL!$C$21, $C$9, 100%, $E$9)</f>
        <v>9.6182999999999996</v>
      </c>
      <c r="G278" s="10">
        <f>CHOOSE(CONTROL!$C$42, 9.6368, 9.6368)*CHOOSE(CONTROL!$C$21, $C$9, 100%, $E$9)</f>
        <v>9.6367999999999991</v>
      </c>
      <c r="H278" s="10">
        <f>CHOOSE(CONTROL!$C$42, 9.6884, 9.6884) * CHOOSE(CONTROL!$C$21, $C$9, 100%, $E$9)</f>
        <v>9.6883999999999997</v>
      </c>
      <c r="I278" s="10">
        <f>CHOOSE(CONTROL!$C$42, 9.6306, 9.6306)* CHOOSE(CONTROL!$C$21, $C$9, 100%, $E$9)</f>
        <v>9.6305999999999994</v>
      </c>
      <c r="J278" s="10">
        <f>CHOOSE(CONTROL!$C$42, 9.6113, 9.6113)* CHOOSE(CONTROL!$C$21, $C$9, 100%, $E$9)</f>
        <v>9.6113</v>
      </c>
      <c r="K278" s="10">
        <f>CHOOSE(CONTROL!$C$42, 9.5109, 9.5109) * CHOOSE(CONTROL!$C$21, $C$9, 100%, $E$9)</f>
        <v>9.5108999999999995</v>
      </c>
      <c r="L278" s="10">
        <f>CHOOSE(CONTROL!$C$42, 10.2754, 10.2754) * CHOOSE(CONTROL!$C$21, $C$9, 100%, $E$9)</f>
        <v>10.275399999999999</v>
      </c>
      <c r="M278" s="10">
        <f>CHOOSE(CONTROL!$C$42, 9.5282, 9.5282) * CHOOSE(CONTROL!$C$21, $C$9, 100%, $E$9)</f>
        <v>9.5282</v>
      </c>
      <c r="N278" s="10">
        <f>CHOOSE(CONTROL!$C$42, 9.5464, 9.5464) * CHOOSE(CONTROL!$C$21, $C$9, 100%, $E$9)</f>
        <v>9.5464000000000002</v>
      </c>
      <c r="O278" s="10">
        <f>CHOOSE(CONTROL!$C$42, 9.6045, 9.6045) * CHOOSE(CONTROL!$C$21, $C$9, 100%, $E$9)</f>
        <v>9.6044999999999998</v>
      </c>
      <c r="P278" s="10">
        <f>CHOOSE(CONTROL!$C$42, 9.5472, 9.5472) * CHOOSE(CONTROL!$C$21, $C$9, 100%, $E$9)</f>
        <v>9.5472000000000001</v>
      </c>
      <c r="Q278" s="10">
        <f>CHOOSE(CONTROL!$C$42, 10.1998, 10.1998) * CHOOSE(CONTROL!$C$21, $C$9, 100%, $E$9)</f>
        <v>10.1998</v>
      </c>
      <c r="R278" s="10">
        <f>CHOOSE(CONTROL!$C$42, 10.8123, 10.8123) * CHOOSE(CONTROL!$C$21, $C$9, 100%, $E$9)</f>
        <v>10.8123</v>
      </c>
      <c r="S278" s="10">
        <f>CHOOSE(CONTROL!$C$42, 9.3554, 9.3554) * CHOOSE(CONTROL!$C$21, $C$9, 100%, $E$9)</f>
        <v>9.3553999999999995</v>
      </c>
      <c r="T27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78" s="38">
        <f>(1000*CHOOSE(CONTROL!$C$42, 695, 695)*CHOOSE(CONTROL!$C$42, 0.5599, 0.5599)*CHOOSE(CONTROL!$C$42, 29, 29))/1000000</f>
        <v>11.284784499999999</v>
      </c>
      <c r="V278" s="38">
        <f>(1000*CHOOSE(CONTROL!$C$42, 500, 500)*CHOOSE(CONTROL!$C$42, 0.275, 0.275)*CHOOSE(CONTROL!$C$42, 29, 29))/1000000</f>
        <v>3.9874999999999998</v>
      </c>
      <c r="W278" s="38">
        <f>(1000*CHOOSE(CONTROL!$C$42, 0.1146, 0.1146)*CHOOSE(CONTROL!$C$42, 121.5, 121.5)*CHOOSE(CONTROL!$C$42, 29, 29))/1000000</f>
        <v>0.40379309999999996</v>
      </c>
      <c r="X278" s="38">
        <f>(29*0.1790888*100000/1000000)+(29*0.2374*100000/1000000)</f>
        <v>1.2078175199999999</v>
      </c>
      <c r="Y278" s="38">
        <f>(1000*600*CHOOSE(CONTROL!$C$42, 1.6441, 1.6441)*CHOOSE(CONTROL!$C$42, 29, 29))/1000000</f>
        <v>28.607339999999997</v>
      </c>
      <c r="Z278" s="38"/>
      <c r="AA278" s="10"/>
      <c r="AB278" s="39"/>
      <c r="AC278" s="33">
        <f>(B278*122.58+C278*297.941+D278*89.177+E278*40.302+F278*40+G278*160+H278*0+I278*100+J278*300)/(122.58+297.941+89.177+40.302+0+40+160+100+300)</f>
        <v>9.634391105130435</v>
      </c>
      <c r="AD278" s="27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9.5665633093525173</v>
      </c>
    </row>
    <row r="279" spans="1:30" ht="15" x14ac:dyDescent="0.2">
      <c r="A279" s="15">
        <v>49735</v>
      </c>
      <c r="B279" s="10">
        <f>CHOOSE(CONTROL!$C$42, 9.3626, 9.3626) * CHOOSE(CONTROL!$C$21, $C$9, 100%, $E$9)</f>
        <v>9.3626000000000005</v>
      </c>
      <c r="C279" s="10">
        <f>CHOOSE(CONTROL!$C$42, 9.3675, 9.3675) * CHOOSE(CONTROL!$C$21, $C$9, 100%, $E$9)</f>
        <v>9.3674999999999997</v>
      </c>
      <c r="D279" s="10">
        <f>CHOOSE(CONTROL!$C$42, 9.392, 9.392) * CHOOSE(CONTROL!$C$21, $C$9, 100%, $E$9)</f>
        <v>9.3919999999999995</v>
      </c>
      <c r="E279" s="10">
        <f>CHOOSE(CONTROL!$C$42, 9.4258, 9.4258) * CHOOSE(CONTROL!$C$21, $C$9, 100%, $E$9)</f>
        <v>9.4258000000000006</v>
      </c>
      <c r="F279" s="10">
        <f>CHOOSE(CONTROL!$C$42, 9.3433, 9.3433)*CHOOSE(CONTROL!$C$21, $C$9, 100%, $E$9)</f>
        <v>9.3432999999999993</v>
      </c>
      <c r="G279" s="10">
        <f>CHOOSE(CONTROL!$C$42, 9.3614, 9.3614)*CHOOSE(CONTROL!$C$21, $C$9, 100%, $E$9)</f>
        <v>9.3613999999999997</v>
      </c>
      <c r="H279" s="10">
        <f>CHOOSE(CONTROL!$C$42, 9.415, 9.415) * CHOOSE(CONTROL!$C$21, $C$9, 100%, $E$9)</f>
        <v>9.4149999999999991</v>
      </c>
      <c r="I279" s="10">
        <f>CHOOSE(CONTROL!$C$42, 9.3571, 9.3571)* CHOOSE(CONTROL!$C$21, $C$9, 100%, $E$9)</f>
        <v>9.3571000000000009</v>
      </c>
      <c r="J279" s="10">
        <f>CHOOSE(CONTROL!$C$42, 9.3363, 9.3363)* CHOOSE(CONTROL!$C$21, $C$9, 100%, $E$9)</f>
        <v>9.3362999999999996</v>
      </c>
      <c r="K279" s="10">
        <f>CHOOSE(CONTROL!$C$42, 9.2419, 9.2419) * CHOOSE(CONTROL!$C$21, $C$9, 100%, $E$9)</f>
        <v>9.2418999999999993</v>
      </c>
      <c r="L279" s="10">
        <f>CHOOSE(CONTROL!$C$42, 10.002, 10.002) * CHOOSE(CONTROL!$C$21, $C$9, 100%, $E$9)</f>
        <v>10.002000000000001</v>
      </c>
      <c r="M279" s="10">
        <f>CHOOSE(CONTROL!$C$42, 9.2559, 9.2559) * CHOOSE(CONTROL!$C$21, $C$9, 100%, $E$9)</f>
        <v>9.2559000000000005</v>
      </c>
      <c r="N279" s="10">
        <f>CHOOSE(CONTROL!$C$42, 9.2738, 9.2738) * CHOOSE(CONTROL!$C$21, $C$9, 100%, $E$9)</f>
        <v>9.2737999999999996</v>
      </c>
      <c r="O279" s="10">
        <f>CHOOSE(CONTROL!$C$42, 9.3338, 9.3338) * CHOOSE(CONTROL!$C$21, $C$9, 100%, $E$9)</f>
        <v>9.3338000000000001</v>
      </c>
      <c r="P279" s="10">
        <f>CHOOSE(CONTROL!$C$42, 9.2765, 9.2765) * CHOOSE(CONTROL!$C$21, $C$9, 100%, $E$9)</f>
        <v>9.2765000000000004</v>
      </c>
      <c r="Q279" s="10">
        <f>CHOOSE(CONTROL!$C$42, 9.9291, 9.9291) * CHOOSE(CONTROL!$C$21, $C$9, 100%, $E$9)</f>
        <v>9.9291</v>
      </c>
      <c r="R279" s="10">
        <f>CHOOSE(CONTROL!$C$42, 10.5409, 10.5409) * CHOOSE(CONTROL!$C$21, $C$9, 100%, $E$9)</f>
        <v>10.540900000000001</v>
      </c>
      <c r="S279" s="10">
        <f>CHOOSE(CONTROL!$C$42, 9.0899, 9.0899) * CHOOSE(CONTROL!$C$21, $C$9, 100%, $E$9)</f>
        <v>9.0899000000000001</v>
      </c>
      <c r="T2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38">
        <f>(1000*CHOOSE(CONTROL!$C$42, 695, 695)*CHOOSE(CONTROL!$C$42, 0.5599, 0.5599)*CHOOSE(CONTROL!$C$42, 31, 31))/1000000</f>
        <v>12.063045499999998</v>
      </c>
      <c r="V279" s="38">
        <f>(1000*CHOOSE(CONTROL!$C$42, 500, 500)*CHOOSE(CONTROL!$C$42, 0.275, 0.275)*CHOOSE(CONTROL!$C$42, 31, 31))/1000000</f>
        <v>4.2625000000000002</v>
      </c>
      <c r="W279" s="38">
        <f>(1000*CHOOSE(CONTROL!$C$42, 0.1146, 0.1146)*CHOOSE(CONTROL!$C$42, 121.5, 121.5)*CHOOSE(CONTROL!$C$42, 31, 31))/1000000</f>
        <v>0.43164089999999994</v>
      </c>
      <c r="X279" s="38">
        <f>(31*0.1790888*100000/1000000)+(31*0.2374*100000/1000000)</f>
        <v>1.2911152800000001</v>
      </c>
      <c r="Y279" s="38">
        <f>(1000*600*CHOOSE(CONTROL!$C$42, 1.6441, 1.6441)*CHOOSE(CONTROL!$C$42, 31, 31))/1000000</f>
        <v>30.580259999999996</v>
      </c>
      <c r="Z279" s="38"/>
      <c r="AA279" s="10"/>
      <c r="AB279" s="39"/>
      <c r="AC279" s="33">
        <f>(B279*122.58+C279*297.941+D279*89.177+E279*40.302+F279*40+G279*160+H279*0+I279*100+J279*300)/(122.58+297.941+89.177+40.302+0+40+160+100+300)</f>
        <v>9.3601867835652168</v>
      </c>
      <c r="AD279" s="27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9.2952014388489221</v>
      </c>
    </row>
    <row r="280" spans="1:30" ht="15" x14ac:dyDescent="0.2">
      <c r="A280" s="15">
        <v>49766</v>
      </c>
      <c r="B280" s="10">
        <f>CHOOSE(CONTROL!$C$42, 9.3353, 9.3353) * CHOOSE(CONTROL!$C$21, $C$9, 100%, $E$9)</f>
        <v>9.3353000000000002</v>
      </c>
      <c r="C280" s="10">
        <f>CHOOSE(CONTROL!$C$42, 9.3397, 9.3397) * CHOOSE(CONTROL!$C$21, $C$9, 100%, $E$9)</f>
        <v>9.3397000000000006</v>
      </c>
      <c r="D280" s="10">
        <f>CHOOSE(CONTROL!$C$42, 9.5198, 9.5198) * CHOOSE(CONTROL!$C$21, $C$9, 100%, $E$9)</f>
        <v>9.5198</v>
      </c>
      <c r="E280" s="10">
        <f>CHOOSE(CONTROL!$C$42, 9.5516, 9.5516) * CHOOSE(CONTROL!$C$21, $C$9, 100%, $E$9)</f>
        <v>9.5516000000000005</v>
      </c>
      <c r="F280" s="10">
        <f>CHOOSE(CONTROL!$C$42, 9.3007, 9.3007)*CHOOSE(CONTROL!$C$21, $C$9, 100%, $E$9)</f>
        <v>9.3007000000000009</v>
      </c>
      <c r="G280" s="10">
        <f>CHOOSE(CONTROL!$C$42, 9.3169, 9.3169)*CHOOSE(CONTROL!$C$21, $C$9, 100%, $E$9)</f>
        <v>9.3169000000000004</v>
      </c>
      <c r="H280" s="10">
        <f>CHOOSE(CONTROL!$C$42, 9.5414, 9.5414) * CHOOSE(CONTROL!$C$21, $C$9, 100%, $E$9)</f>
        <v>9.5413999999999994</v>
      </c>
      <c r="I280" s="10">
        <f>CHOOSE(CONTROL!$C$42, 9.3213, 9.3213)* CHOOSE(CONTROL!$C$21, $C$9, 100%, $E$9)</f>
        <v>9.3213000000000008</v>
      </c>
      <c r="J280" s="10">
        <f>CHOOSE(CONTROL!$C$42, 9.2937, 9.2937)* CHOOSE(CONTROL!$C$21, $C$9, 100%, $E$9)</f>
        <v>9.2936999999999994</v>
      </c>
      <c r="K280" s="10">
        <f>CHOOSE(CONTROL!$C$42, 9.1922, 9.1922) * CHOOSE(CONTROL!$C$21, $C$9, 100%, $E$9)</f>
        <v>9.1921999999999997</v>
      </c>
      <c r="L280" s="10">
        <f>CHOOSE(CONTROL!$C$42, 10.1284, 10.1284) * CHOOSE(CONTROL!$C$21, $C$9, 100%, $E$9)</f>
        <v>10.128399999999999</v>
      </c>
      <c r="M280" s="10">
        <f>CHOOSE(CONTROL!$C$42, 9.2137, 9.2137) * CHOOSE(CONTROL!$C$21, $C$9, 100%, $E$9)</f>
        <v>9.2136999999999993</v>
      </c>
      <c r="N280" s="10">
        <f>CHOOSE(CONTROL!$C$42, 9.2298, 9.2298) * CHOOSE(CONTROL!$C$21, $C$9, 100%, $E$9)</f>
        <v>9.2297999999999991</v>
      </c>
      <c r="O280" s="10">
        <f>CHOOSE(CONTROL!$C$42, 9.4589, 9.4589) * CHOOSE(CONTROL!$C$21, $C$9, 100%, $E$9)</f>
        <v>9.4588999999999999</v>
      </c>
      <c r="P280" s="10">
        <f>CHOOSE(CONTROL!$C$42, 9.2411, 9.2411) * CHOOSE(CONTROL!$C$21, $C$9, 100%, $E$9)</f>
        <v>9.2410999999999994</v>
      </c>
      <c r="Q280" s="10">
        <f>CHOOSE(CONTROL!$C$42, 10.0542, 10.0542) * CHOOSE(CONTROL!$C$21, $C$9, 100%, $E$9)</f>
        <v>10.0542</v>
      </c>
      <c r="R280" s="10">
        <f>CHOOSE(CONTROL!$C$42, 10.6664, 10.6664) * CHOOSE(CONTROL!$C$21, $C$9, 100%, $E$9)</f>
        <v>10.666399999999999</v>
      </c>
      <c r="S280" s="10">
        <f>CHOOSE(CONTROL!$C$42, 9.0626, 9.0626) * CHOOSE(CONTROL!$C$21, $C$9, 100%, $E$9)</f>
        <v>9.0625999999999998</v>
      </c>
      <c r="T2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38">
        <f>(1000*CHOOSE(CONTROL!$C$42, 695, 695)*CHOOSE(CONTROL!$C$42, 0.5599, 0.5599)*CHOOSE(CONTROL!$C$42, 30, 30))/1000000</f>
        <v>11.673914999999997</v>
      </c>
      <c r="V280" s="38">
        <f>(1000*CHOOSE(CONTROL!$C$42, 500, 500)*CHOOSE(CONTROL!$C$42, 0.275, 0.275)*CHOOSE(CONTROL!$C$42, 30, 30))/1000000</f>
        <v>4.125</v>
      </c>
      <c r="W280" s="38">
        <f>(1000*CHOOSE(CONTROL!$C$42, 0.1146, 0.1146)*CHOOSE(CONTROL!$C$42, 121.5, 121.5)*CHOOSE(CONTROL!$C$42, 30, 30))/1000000</f>
        <v>0.417717</v>
      </c>
      <c r="X280" s="38">
        <f>(30*0.1790888*245000/1000000)+(30*0.2374*100000/1000000)</f>
        <v>2.0285026799999999</v>
      </c>
      <c r="Y280" s="38">
        <f>(1000*600*CHOOSE(CONTROL!$C$42, 1.6441, 1.6441)*CHOOSE(CONTROL!$C$42, 30, 30))/1000000</f>
        <v>29.593799999999995</v>
      </c>
      <c r="Z280" s="38"/>
      <c r="AA280" s="10"/>
      <c r="AB280" s="39"/>
      <c r="AC280" s="33">
        <f>(B280*141.293+C280*267.993+D280*115.016+E280*89.698+F280*40+G280*185+H280*0+I280*100+J280*300)/(141.293+267.993+115.016+89.698+0+40+185+100+300)</f>
        <v>9.3539709431799842</v>
      </c>
      <c r="AD280" s="27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9.2901460431654659</v>
      </c>
    </row>
    <row r="281" spans="1:30" ht="15" x14ac:dyDescent="0.2">
      <c r="A281" s="15">
        <v>49796</v>
      </c>
      <c r="B281" s="10">
        <f>CHOOSE(CONTROL!$C$42, 9.4195, 9.4195) * CHOOSE(CONTROL!$C$21, $C$9, 100%, $E$9)</f>
        <v>9.4194999999999993</v>
      </c>
      <c r="C281" s="10">
        <f>CHOOSE(CONTROL!$C$42, 9.4274, 9.4274) * CHOOSE(CONTROL!$C$21, $C$9, 100%, $E$9)</f>
        <v>9.4274000000000004</v>
      </c>
      <c r="D281" s="10">
        <f>CHOOSE(CONTROL!$C$42, 9.6044, 9.6044) * CHOOSE(CONTROL!$C$21, $C$9, 100%, $E$9)</f>
        <v>9.6044</v>
      </c>
      <c r="E281" s="10">
        <f>CHOOSE(CONTROL!$C$42, 9.6355, 9.6355) * CHOOSE(CONTROL!$C$21, $C$9, 100%, $E$9)</f>
        <v>9.6355000000000004</v>
      </c>
      <c r="F281" s="10">
        <f>CHOOSE(CONTROL!$C$42, 9.3828, 9.3828)*CHOOSE(CONTROL!$C$21, $C$9, 100%, $E$9)</f>
        <v>9.3827999999999996</v>
      </c>
      <c r="G281" s="10">
        <f>CHOOSE(CONTROL!$C$42, 9.3993, 9.3993)*CHOOSE(CONTROL!$C$21, $C$9, 100%, $E$9)</f>
        <v>9.3993000000000002</v>
      </c>
      <c r="H281" s="10">
        <f>CHOOSE(CONTROL!$C$42, 9.6241, 9.6241) * CHOOSE(CONTROL!$C$21, $C$9, 100%, $E$9)</f>
        <v>9.6241000000000003</v>
      </c>
      <c r="I281" s="10">
        <f>CHOOSE(CONTROL!$C$42, 9.4041, 9.4041)* CHOOSE(CONTROL!$C$21, $C$9, 100%, $E$9)</f>
        <v>9.4040999999999997</v>
      </c>
      <c r="J281" s="10">
        <f>CHOOSE(CONTROL!$C$42, 9.3758, 9.3758)* CHOOSE(CONTROL!$C$21, $C$9, 100%, $E$9)</f>
        <v>9.3757999999999999</v>
      </c>
      <c r="K281" s="10">
        <f>CHOOSE(CONTROL!$C$42, 9.2713, 9.2713) * CHOOSE(CONTROL!$C$21, $C$9, 100%, $E$9)</f>
        <v>9.2713000000000001</v>
      </c>
      <c r="L281" s="10">
        <f>CHOOSE(CONTROL!$C$42, 10.2111, 10.2111) * CHOOSE(CONTROL!$C$21, $C$9, 100%, $E$9)</f>
        <v>10.2111</v>
      </c>
      <c r="M281" s="10">
        <f>CHOOSE(CONTROL!$C$42, 9.295, 9.295) * CHOOSE(CONTROL!$C$21, $C$9, 100%, $E$9)</f>
        <v>9.2949999999999999</v>
      </c>
      <c r="N281" s="10">
        <f>CHOOSE(CONTROL!$C$42, 9.3114, 9.3114) * CHOOSE(CONTROL!$C$21, $C$9, 100%, $E$9)</f>
        <v>9.3114000000000008</v>
      </c>
      <c r="O281" s="10">
        <f>CHOOSE(CONTROL!$C$42, 9.5409, 9.5409) * CHOOSE(CONTROL!$C$21, $C$9, 100%, $E$9)</f>
        <v>9.5409000000000006</v>
      </c>
      <c r="P281" s="10">
        <f>CHOOSE(CONTROL!$C$42, 9.323, 9.323) * CHOOSE(CONTROL!$C$21, $C$9, 100%, $E$9)</f>
        <v>9.3230000000000004</v>
      </c>
      <c r="Q281" s="10">
        <f>CHOOSE(CONTROL!$C$42, 10.1362, 10.1362) * CHOOSE(CONTROL!$C$21, $C$9, 100%, $E$9)</f>
        <v>10.136200000000001</v>
      </c>
      <c r="R281" s="10">
        <f>CHOOSE(CONTROL!$C$42, 10.7485, 10.7485) * CHOOSE(CONTROL!$C$21, $C$9, 100%, $E$9)</f>
        <v>10.7485</v>
      </c>
      <c r="S281" s="10">
        <f>CHOOSE(CONTROL!$C$42, 9.143, 9.143) * CHOOSE(CONTROL!$C$21, $C$9, 100%, $E$9)</f>
        <v>9.1430000000000007</v>
      </c>
      <c r="T2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38">
        <f>(1000*CHOOSE(CONTROL!$C$42, 695, 695)*CHOOSE(CONTROL!$C$42, 0.5599, 0.5599)*CHOOSE(CONTROL!$C$42, 31, 31))/1000000</f>
        <v>12.063045499999998</v>
      </c>
      <c r="V281" s="38">
        <f>(1000*CHOOSE(CONTROL!$C$42, 500, 500)*CHOOSE(CONTROL!$C$42, 0.275, 0.275)*CHOOSE(CONTROL!$C$42, 31, 31))/1000000</f>
        <v>4.2625000000000002</v>
      </c>
      <c r="W281" s="38">
        <f>(1000*CHOOSE(CONTROL!$C$42, 0.1146, 0.1146)*CHOOSE(CONTROL!$C$42, 121.5, 121.5)*CHOOSE(CONTROL!$C$42, 31, 31))/1000000</f>
        <v>0.43164089999999994</v>
      </c>
      <c r="X281" s="38">
        <f>(31*0.1790888*245000/1000000)+(31*0.2374*100000/1000000)</f>
        <v>2.0961194359999999</v>
      </c>
      <c r="Y281" s="38">
        <f>(1000*600*CHOOSE(CONTROL!$C$42, 1.6441, 1.6441)*CHOOSE(CONTROL!$C$42, 31, 31))/1000000</f>
        <v>30.580259999999996</v>
      </c>
      <c r="Z281" s="38"/>
      <c r="AA281" s="10"/>
      <c r="AB281" s="39"/>
      <c r="AC281" s="33">
        <f>(B281*194.205+C281*267.466+D281*133.845+E281*53.484+F281*40+G281*185+H281*0+I281*100+J281*300)/(194.205+267.466+133.845+53.484+0+40+185+100+300)</f>
        <v>9.4340670846938774</v>
      </c>
      <c r="AD281" s="27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9.3717978417266199</v>
      </c>
    </row>
    <row r="282" spans="1:30" ht="15" x14ac:dyDescent="0.2">
      <c r="A282" s="15">
        <v>49827</v>
      </c>
      <c r="B282" s="10">
        <f>CHOOSE(CONTROL!$C$42, 9.6865, 9.6865) * CHOOSE(CONTROL!$C$21, $C$9, 100%, $E$9)</f>
        <v>9.6865000000000006</v>
      </c>
      <c r="C282" s="10">
        <f>CHOOSE(CONTROL!$C$42, 9.6944, 9.6944) * CHOOSE(CONTROL!$C$21, $C$9, 100%, $E$9)</f>
        <v>9.6943999999999999</v>
      </c>
      <c r="D282" s="10">
        <f>CHOOSE(CONTROL!$C$42, 9.8714, 9.8714) * CHOOSE(CONTROL!$C$21, $C$9, 100%, $E$9)</f>
        <v>9.8713999999999995</v>
      </c>
      <c r="E282" s="10">
        <f>CHOOSE(CONTROL!$C$42, 9.9026, 9.9026) * CHOOSE(CONTROL!$C$21, $C$9, 100%, $E$9)</f>
        <v>9.9025999999999996</v>
      </c>
      <c r="F282" s="10">
        <f>CHOOSE(CONTROL!$C$42, 9.65, 9.65)*CHOOSE(CONTROL!$C$21, $C$9, 100%, $E$9)</f>
        <v>9.65</v>
      </c>
      <c r="G282" s="10">
        <f>CHOOSE(CONTROL!$C$42, 9.6666, 9.6666)*CHOOSE(CONTROL!$C$21, $C$9, 100%, $E$9)</f>
        <v>9.6666000000000007</v>
      </c>
      <c r="H282" s="10">
        <f>CHOOSE(CONTROL!$C$42, 9.8912, 9.8912) * CHOOSE(CONTROL!$C$21, $C$9, 100%, $E$9)</f>
        <v>9.8911999999999995</v>
      </c>
      <c r="I282" s="10">
        <f>CHOOSE(CONTROL!$C$42, 9.6711, 9.6711)* CHOOSE(CONTROL!$C$21, $C$9, 100%, $E$9)</f>
        <v>9.6710999999999991</v>
      </c>
      <c r="J282" s="10">
        <f>CHOOSE(CONTROL!$C$42, 9.643, 9.643)* CHOOSE(CONTROL!$C$21, $C$9, 100%, $E$9)</f>
        <v>9.6430000000000007</v>
      </c>
      <c r="K282" s="10">
        <f>CHOOSE(CONTROL!$C$42, 9.5311, 9.5311) * CHOOSE(CONTROL!$C$21, $C$9, 100%, $E$9)</f>
        <v>9.5311000000000003</v>
      </c>
      <c r="L282" s="10">
        <f>CHOOSE(CONTROL!$C$42, 10.4782, 10.4782) * CHOOSE(CONTROL!$C$21, $C$9, 100%, $E$9)</f>
        <v>10.478199999999999</v>
      </c>
      <c r="M282" s="10">
        <f>CHOOSE(CONTROL!$C$42, 9.5596, 9.5596) * CHOOSE(CONTROL!$C$21, $C$9, 100%, $E$9)</f>
        <v>9.5595999999999997</v>
      </c>
      <c r="N282" s="10">
        <f>CHOOSE(CONTROL!$C$42, 9.5759, 9.5759) * CHOOSE(CONTROL!$C$21, $C$9, 100%, $E$9)</f>
        <v>9.5759000000000007</v>
      </c>
      <c r="O282" s="10">
        <f>CHOOSE(CONTROL!$C$42, 9.8052, 9.8052) * CHOOSE(CONTROL!$C$21, $C$9, 100%, $E$9)</f>
        <v>9.8051999999999992</v>
      </c>
      <c r="P282" s="10">
        <f>CHOOSE(CONTROL!$C$42, 9.5874, 9.5874) * CHOOSE(CONTROL!$C$21, $C$9, 100%, $E$9)</f>
        <v>9.5874000000000006</v>
      </c>
      <c r="Q282" s="10">
        <f>CHOOSE(CONTROL!$C$42, 10.4005, 10.4005) * CHOOSE(CONTROL!$C$21, $C$9, 100%, $E$9)</f>
        <v>10.400499999999999</v>
      </c>
      <c r="R282" s="10">
        <f>CHOOSE(CONTROL!$C$42, 11.0135, 11.0135) * CHOOSE(CONTROL!$C$21, $C$9, 100%, $E$9)</f>
        <v>11.013500000000001</v>
      </c>
      <c r="S282" s="10">
        <f>CHOOSE(CONTROL!$C$42, 9.4023, 9.4023) * CHOOSE(CONTROL!$C$21, $C$9, 100%, $E$9)</f>
        <v>9.4023000000000003</v>
      </c>
      <c r="T2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38">
        <f>(1000*CHOOSE(CONTROL!$C$42, 695, 695)*CHOOSE(CONTROL!$C$42, 0.5599, 0.5599)*CHOOSE(CONTROL!$C$42, 30, 30))/1000000</f>
        <v>11.673914999999997</v>
      </c>
      <c r="V282" s="38">
        <f>(1000*CHOOSE(CONTROL!$C$42, 500, 500)*CHOOSE(CONTROL!$C$42, 0.275, 0.275)*CHOOSE(CONTROL!$C$42, 30, 30))/1000000</f>
        <v>4.125</v>
      </c>
      <c r="W282" s="38">
        <f>(1000*CHOOSE(CONTROL!$C$42, 0.1146, 0.1146)*CHOOSE(CONTROL!$C$42, 121.5, 121.5)*CHOOSE(CONTROL!$C$42, 30, 30))/1000000</f>
        <v>0.417717</v>
      </c>
      <c r="X282" s="38">
        <f>(30*0.1790888*245000/1000000)+(30*0.2374*100000/1000000)</f>
        <v>2.0285026799999999</v>
      </c>
      <c r="Y282" s="38">
        <f>(1000*600*CHOOSE(CONTROL!$C$42, 1.6441, 1.6441)*CHOOSE(CONTROL!$C$42, 30, 30))/1000000</f>
        <v>29.593799999999995</v>
      </c>
      <c r="Z282" s="38"/>
      <c r="AA282" s="10"/>
      <c r="AB282" s="39"/>
      <c r="AC282" s="33">
        <f>(B282*194.205+C282*267.466+D282*133.845+E282*53.484+F282*40+G282*185+H282*0+I282*100+J282*300)/(194.205+267.466+133.845+53.484+0+40+185+100+300)</f>
        <v>9.7011682215855579</v>
      </c>
      <c r="AD282" s="27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9.6362618705035974</v>
      </c>
    </row>
    <row r="283" spans="1:30" ht="15" x14ac:dyDescent="0.2">
      <c r="A283" s="15">
        <v>49857</v>
      </c>
      <c r="B283" s="10">
        <f>CHOOSE(CONTROL!$C$42, 9.5008, 9.5008) * CHOOSE(CONTROL!$C$21, $C$9, 100%, $E$9)</f>
        <v>9.5007999999999999</v>
      </c>
      <c r="C283" s="10">
        <f>CHOOSE(CONTROL!$C$42, 9.5087, 9.5087) * CHOOSE(CONTROL!$C$21, $C$9, 100%, $E$9)</f>
        <v>9.5086999999999993</v>
      </c>
      <c r="D283" s="10">
        <f>CHOOSE(CONTROL!$C$42, 9.6857, 9.6857) * CHOOSE(CONTROL!$C$21, $C$9, 100%, $E$9)</f>
        <v>9.6857000000000006</v>
      </c>
      <c r="E283" s="10">
        <f>CHOOSE(CONTROL!$C$42, 9.7168, 9.7168) * CHOOSE(CONTROL!$C$21, $C$9, 100%, $E$9)</f>
        <v>9.7167999999999992</v>
      </c>
      <c r="F283" s="10">
        <f>CHOOSE(CONTROL!$C$42, 9.4646, 9.4646)*CHOOSE(CONTROL!$C$21, $C$9, 100%, $E$9)</f>
        <v>9.4646000000000008</v>
      </c>
      <c r="G283" s="10">
        <f>CHOOSE(CONTROL!$C$42, 9.4812, 9.4812)*CHOOSE(CONTROL!$C$21, $C$9, 100%, $E$9)</f>
        <v>9.4811999999999994</v>
      </c>
      <c r="H283" s="10">
        <f>CHOOSE(CONTROL!$C$42, 9.7055, 9.7055) * CHOOSE(CONTROL!$C$21, $C$9, 100%, $E$9)</f>
        <v>9.7055000000000007</v>
      </c>
      <c r="I283" s="10">
        <f>CHOOSE(CONTROL!$C$42, 9.4854, 9.4854)* CHOOSE(CONTROL!$C$21, $C$9, 100%, $E$9)</f>
        <v>9.4854000000000003</v>
      </c>
      <c r="J283" s="10">
        <f>CHOOSE(CONTROL!$C$42, 9.4576, 9.4576)* CHOOSE(CONTROL!$C$21, $C$9, 100%, $E$9)</f>
        <v>9.4575999999999993</v>
      </c>
      <c r="K283" s="10">
        <f>CHOOSE(CONTROL!$C$42, 9.3512, 9.3512) * CHOOSE(CONTROL!$C$21, $C$9, 100%, $E$9)</f>
        <v>9.3512000000000004</v>
      </c>
      <c r="L283" s="10">
        <f>CHOOSE(CONTROL!$C$42, 10.2925, 10.2925) * CHOOSE(CONTROL!$C$21, $C$9, 100%, $E$9)</f>
        <v>10.2925</v>
      </c>
      <c r="M283" s="10">
        <f>CHOOSE(CONTROL!$C$42, 9.376, 9.376) * CHOOSE(CONTROL!$C$21, $C$9, 100%, $E$9)</f>
        <v>9.3759999999999994</v>
      </c>
      <c r="N283" s="10">
        <f>CHOOSE(CONTROL!$C$42, 9.3924, 9.3924) * CHOOSE(CONTROL!$C$21, $C$9, 100%, $E$9)</f>
        <v>9.3924000000000003</v>
      </c>
      <c r="O283" s="10">
        <f>CHOOSE(CONTROL!$C$42, 9.6213, 9.6213) * CHOOSE(CONTROL!$C$21, $C$9, 100%, $E$9)</f>
        <v>9.6212999999999997</v>
      </c>
      <c r="P283" s="10">
        <f>CHOOSE(CONTROL!$C$42, 9.4035, 9.4035) * CHOOSE(CONTROL!$C$21, $C$9, 100%, $E$9)</f>
        <v>9.4034999999999993</v>
      </c>
      <c r="Q283" s="10">
        <f>CHOOSE(CONTROL!$C$42, 10.2166, 10.2166) * CHOOSE(CONTROL!$C$21, $C$9, 100%, $E$9)</f>
        <v>10.2166</v>
      </c>
      <c r="R283" s="10">
        <f>CHOOSE(CONTROL!$C$42, 10.8292, 10.8292) * CHOOSE(CONTROL!$C$21, $C$9, 100%, $E$9)</f>
        <v>10.8292</v>
      </c>
      <c r="S283" s="10">
        <f>CHOOSE(CONTROL!$C$42, 9.222, 9.222) * CHOOSE(CONTROL!$C$21, $C$9, 100%, $E$9)</f>
        <v>9.2219999999999995</v>
      </c>
      <c r="T2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38">
        <f>(1000*CHOOSE(CONTROL!$C$42, 695, 695)*CHOOSE(CONTROL!$C$42, 0.5599, 0.5599)*CHOOSE(CONTROL!$C$42, 31, 31))/1000000</f>
        <v>12.063045499999998</v>
      </c>
      <c r="V283" s="38">
        <f>(1000*CHOOSE(CONTROL!$C$42, 500, 500)*CHOOSE(CONTROL!$C$42, 0.275, 0.275)*CHOOSE(CONTROL!$C$42, 31, 31))/1000000</f>
        <v>4.2625000000000002</v>
      </c>
      <c r="W283" s="38">
        <f>(1000*CHOOSE(CONTROL!$C$42, 0.1146, 0.1146)*CHOOSE(CONTROL!$C$42, 121.5, 121.5)*CHOOSE(CONTROL!$C$42, 31, 31))/1000000</f>
        <v>0.43164089999999994</v>
      </c>
      <c r="X283" s="38">
        <f>(31*0.1790888*245000/1000000)+(31*0.2374*100000/1000000)</f>
        <v>2.0961194359999999</v>
      </c>
      <c r="Y283" s="38">
        <f>(1000*600*CHOOSE(CONTROL!$C$42, 1.6441, 1.6441)*CHOOSE(CONTROL!$C$42, 31, 31))/1000000</f>
        <v>30.580259999999996</v>
      </c>
      <c r="Z283" s="38"/>
      <c r="AA283" s="10"/>
      <c r="AB283" s="39"/>
      <c r="AC283" s="33">
        <f>(B283*194.205+C283*267.466+D283*133.845+E283*53.484+F283*40+G283*185+H283*0+I283*100+J283*300)/(194.205+267.466+133.845+53.484+0+40+185+100+300)</f>
        <v>9.5155876498430132</v>
      </c>
      <c r="AD283" s="27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9.4525575539568347</v>
      </c>
    </row>
    <row r="284" spans="1:30" ht="15" x14ac:dyDescent="0.2">
      <c r="A284" s="15">
        <v>49888</v>
      </c>
      <c r="B284" s="10">
        <f>CHOOSE(CONTROL!$C$42, 9.0318, 9.0318) * CHOOSE(CONTROL!$C$21, $C$9, 100%, $E$9)</f>
        <v>9.0318000000000005</v>
      </c>
      <c r="C284" s="10">
        <f>CHOOSE(CONTROL!$C$42, 9.0397, 9.0397) * CHOOSE(CONTROL!$C$21, $C$9, 100%, $E$9)</f>
        <v>9.0396999999999998</v>
      </c>
      <c r="D284" s="10">
        <f>CHOOSE(CONTROL!$C$42, 9.2167, 9.2167) * CHOOSE(CONTROL!$C$21, $C$9, 100%, $E$9)</f>
        <v>9.2166999999999994</v>
      </c>
      <c r="E284" s="10">
        <f>CHOOSE(CONTROL!$C$42, 9.2478, 9.2478) * CHOOSE(CONTROL!$C$21, $C$9, 100%, $E$9)</f>
        <v>9.2477999999999998</v>
      </c>
      <c r="F284" s="10">
        <f>CHOOSE(CONTROL!$C$42, 8.9956, 8.9956)*CHOOSE(CONTROL!$C$21, $C$9, 100%, $E$9)</f>
        <v>8.9955999999999996</v>
      </c>
      <c r="G284" s="10">
        <f>CHOOSE(CONTROL!$C$42, 9.0122, 9.0122)*CHOOSE(CONTROL!$C$21, $C$9, 100%, $E$9)</f>
        <v>9.0122</v>
      </c>
      <c r="H284" s="10">
        <f>CHOOSE(CONTROL!$C$42, 9.2364, 9.2364) * CHOOSE(CONTROL!$C$21, $C$9, 100%, $E$9)</f>
        <v>9.2363999999999997</v>
      </c>
      <c r="I284" s="10">
        <f>CHOOSE(CONTROL!$C$42, 9.0164, 9.0164)* CHOOSE(CONTROL!$C$21, $C$9, 100%, $E$9)</f>
        <v>9.0164000000000009</v>
      </c>
      <c r="J284" s="10">
        <f>CHOOSE(CONTROL!$C$42, 8.9886, 8.9886)* CHOOSE(CONTROL!$C$21, $C$9, 100%, $E$9)</f>
        <v>8.9885999999999999</v>
      </c>
      <c r="K284" s="10">
        <f>CHOOSE(CONTROL!$C$42, 8.8957, 8.8957) * CHOOSE(CONTROL!$C$21, $C$9, 100%, $E$9)</f>
        <v>8.8956999999999997</v>
      </c>
      <c r="L284" s="10">
        <f>CHOOSE(CONTROL!$C$42, 9.8234, 9.8234) * CHOOSE(CONTROL!$C$21, $C$9, 100%, $E$9)</f>
        <v>9.8233999999999995</v>
      </c>
      <c r="M284" s="10">
        <f>CHOOSE(CONTROL!$C$42, 8.9117, 8.9117) * CHOOSE(CONTROL!$C$21, $C$9, 100%, $E$9)</f>
        <v>8.9116999999999997</v>
      </c>
      <c r="N284" s="10">
        <f>CHOOSE(CONTROL!$C$42, 8.9282, 8.9282) * CHOOSE(CONTROL!$C$21, $C$9, 100%, $E$9)</f>
        <v>8.9282000000000004</v>
      </c>
      <c r="O284" s="10">
        <f>CHOOSE(CONTROL!$C$42, 9.1571, 9.1571) * CHOOSE(CONTROL!$C$21, $C$9, 100%, $E$9)</f>
        <v>9.1570999999999998</v>
      </c>
      <c r="P284" s="10">
        <f>CHOOSE(CONTROL!$C$42, 8.9392, 8.9392) * CHOOSE(CONTROL!$C$21, $C$9, 100%, $E$9)</f>
        <v>8.9391999999999996</v>
      </c>
      <c r="Q284" s="10">
        <f>CHOOSE(CONTROL!$C$42, 9.7524, 9.7524) * CHOOSE(CONTROL!$C$21, $C$9, 100%, $E$9)</f>
        <v>9.7523999999999997</v>
      </c>
      <c r="R284" s="10">
        <f>CHOOSE(CONTROL!$C$42, 10.3637, 10.3637) * CHOOSE(CONTROL!$C$21, $C$9, 100%, $E$9)</f>
        <v>10.3637</v>
      </c>
      <c r="S284" s="10">
        <f>CHOOSE(CONTROL!$C$42, 8.7665, 8.7665) * CHOOSE(CONTROL!$C$21, $C$9, 100%, $E$9)</f>
        <v>8.7665000000000006</v>
      </c>
      <c r="T2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38">
        <f>(1000*CHOOSE(CONTROL!$C$42, 695, 695)*CHOOSE(CONTROL!$C$42, 0.5599, 0.5599)*CHOOSE(CONTROL!$C$42, 31, 31))/1000000</f>
        <v>12.063045499999998</v>
      </c>
      <c r="V284" s="38">
        <f>(1000*CHOOSE(CONTROL!$C$42, 500, 500)*CHOOSE(CONTROL!$C$42, 0.275, 0.275)*CHOOSE(CONTROL!$C$42, 31, 31))/1000000</f>
        <v>4.2625000000000002</v>
      </c>
      <c r="W284" s="38">
        <f>(1000*CHOOSE(CONTROL!$C$42, 0.1146, 0.1146)*CHOOSE(CONTROL!$C$42, 121.5, 121.5)*CHOOSE(CONTROL!$C$42, 31, 31))/1000000</f>
        <v>0.43164089999999994</v>
      </c>
      <c r="X284" s="38">
        <f>(31*0.1790888*245000/1000000)+(31*0.2374*100000/1000000)</f>
        <v>2.0961194359999999</v>
      </c>
      <c r="Y284" s="38">
        <f>(1000*600*CHOOSE(CONTROL!$C$42, 1.6441, 1.6441)*CHOOSE(CONTROL!$C$42, 31, 31))/1000000</f>
        <v>30.580259999999996</v>
      </c>
      <c r="Z284" s="38"/>
      <c r="AA284" s="10"/>
      <c r="AB284" s="39"/>
      <c r="AC284" s="33">
        <f>(B284*194.205+C284*267.466+D284*133.845+E284*53.484+F284*40+G284*185+H284*0+I284*100+J284*300)/(194.205+267.466+133.845+53.484+0+40+185+100+300)</f>
        <v>9.0465876498430138</v>
      </c>
      <c r="AD284" s="27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8.9883086330935242</v>
      </c>
    </row>
    <row r="285" spans="1:30" ht="15" x14ac:dyDescent="0.2">
      <c r="A285" s="15">
        <v>49919</v>
      </c>
      <c r="B285" s="10">
        <f>CHOOSE(CONTROL!$C$42, 8.4587, 8.4587) * CHOOSE(CONTROL!$C$21, $C$9, 100%, $E$9)</f>
        <v>8.4587000000000003</v>
      </c>
      <c r="C285" s="10">
        <f>CHOOSE(CONTROL!$C$42, 8.4666, 8.4666) * CHOOSE(CONTROL!$C$21, $C$9, 100%, $E$9)</f>
        <v>8.4665999999999997</v>
      </c>
      <c r="D285" s="10">
        <f>CHOOSE(CONTROL!$C$42, 8.6436, 8.6436) * CHOOSE(CONTROL!$C$21, $C$9, 100%, $E$9)</f>
        <v>8.6435999999999993</v>
      </c>
      <c r="E285" s="10">
        <f>CHOOSE(CONTROL!$C$42, 8.6748, 8.6748) * CHOOSE(CONTROL!$C$21, $C$9, 100%, $E$9)</f>
        <v>8.6747999999999994</v>
      </c>
      <c r="F285" s="10">
        <f>CHOOSE(CONTROL!$C$42, 8.4223, 8.4223)*CHOOSE(CONTROL!$C$21, $C$9, 100%, $E$9)</f>
        <v>8.4222999999999999</v>
      </c>
      <c r="G285" s="10">
        <f>CHOOSE(CONTROL!$C$42, 8.4389, 8.4389)*CHOOSE(CONTROL!$C$21, $C$9, 100%, $E$9)</f>
        <v>8.4389000000000003</v>
      </c>
      <c r="H285" s="10">
        <f>CHOOSE(CONTROL!$C$42, 8.6634, 8.6634) * CHOOSE(CONTROL!$C$21, $C$9, 100%, $E$9)</f>
        <v>8.6633999999999993</v>
      </c>
      <c r="I285" s="10">
        <f>CHOOSE(CONTROL!$C$42, 8.4433, 8.4433)* CHOOSE(CONTROL!$C$21, $C$9, 100%, $E$9)</f>
        <v>8.4433000000000007</v>
      </c>
      <c r="J285" s="10">
        <f>CHOOSE(CONTROL!$C$42, 8.4153, 8.4153)* CHOOSE(CONTROL!$C$21, $C$9, 100%, $E$9)</f>
        <v>8.4153000000000002</v>
      </c>
      <c r="K285" s="10">
        <f>CHOOSE(CONTROL!$C$42, 8.3383, 8.3383) * CHOOSE(CONTROL!$C$21, $C$9, 100%, $E$9)</f>
        <v>8.3383000000000003</v>
      </c>
      <c r="L285" s="10">
        <f>CHOOSE(CONTROL!$C$42, 9.2504, 9.2504) * CHOOSE(CONTROL!$C$21, $C$9, 100%, $E$9)</f>
        <v>9.2504000000000008</v>
      </c>
      <c r="M285" s="10">
        <f>CHOOSE(CONTROL!$C$42, 8.3442, 8.3442) * CHOOSE(CONTROL!$C$21, $C$9, 100%, $E$9)</f>
        <v>8.3442000000000007</v>
      </c>
      <c r="N285" s="10">
        <f>CHOOSE(CONTROL!$C$42, 8.3606, 8.3606) * CHOOSE(CONTROL!$C$21, $C$9, 100%, $E$9)</f>
        <v>8.3605999999999998</v>
      </c>
      <c r="O285" s="10">
        <f>CHOOSE(CONTROL!$C$42, 8.5898, 8.5898) * CHOOSE(CONTROL!$C$21, $C$9, 100%, $E$9)</f>
        <v>8.5898000000000003</v>
      </c>
      <c r="P285" s="10">
        <f>CHOOSE(CONTROL!$C$42, 8.372, 8.372) * CHOOSE(CONTROL!$C$21, $C$9, 100%, $E$9)</f>
        <v>8.3719999999999999</v>
      </c>
      <c r="Q285" s="10">
        <f>CHOOSE(CONTROL!$C$42, 9.1851, 9.1851) * CHOOSE(CONTROL!$C$21, $C$9, 100%, $E$9)</f>
        <v>9.1851000000000003</v>
      </c>
      <c r="R285" s="10">
        <f>CHOOSE(CONTROL!$C$42, 9.795, 9.795) * CHOOSE(CONTROL!$C$21, $C$9, 100%, $E$9)</f>
        <v>9.7949999999999999</v>
      </c>
      <c r="S285" s="10">
        <f>CHOOSE(CONTROL!$C$42, 8.21, 8.21) * CHOOSE(CONTROL!$C$21, $C$9, 100%, $E$9)</f>
        <v>8.2100000000000009</v>
      </c>
      <c r="T2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38">
        <f>(1000*CHOOSE(CONTROL!$C$42, 695, 695)*CHOOSE(CONTROL!$C$42, 0.5599, 0.5599)*CHOOSE(CONTROL!$C$42, 30, 30))/1000000</f>
        <v>11.673914999999997</v>
      </c>
      <c r="V285" s="38">
        <f>(1000*CHOOSE(CONTROL!$C$42, 500, 500)*CHOOSE(CONTROL!$C$42, 0.275, 0.275)*CHOOSE(CONTROL!$C$42, 30, 30))/1000000</f>
        <v>4.125</v>
      </c>
      <c r="W285" s="38">
        <f>(1000*CHOOSE(CONTROL!$C$42, 0.1146, 0.1146)*CHOOSE(CONTROL!$C$42, 121.5, 121.5)*CHOOSE(CONTROL!$C$42, 30, 30))/1000000</f>
        <v>0.417717</v>
      </c>
      <c r="X285" s="38">
        <f>(30*0.1790888*245000/1000000)+(30*0.2374*100000/1000000)</f>
        <v>2.0285026799999999</v>
      </c>
      <c r="Y285" s="38">
        <f>(1000*600*CHOOSE(CONTROL!$C$42, 1.6441, 1.6441)*CHOOSE(CONTROL!$C$42, 30, 30))/1000000</f>
        <v>29.593799999999995</v>
      </c>
      <c r="Z285" s="38"/>
      <c r="AA285" s="10"/>
      <c r="AB285" s="39"/>
      <c r="AC285" s="33">
        <f>(B285*194.205+C285*267.466+D285*133.845+E285*53.484+F285*40+G285*185+H285*0+I285*100+J285*300)/(194.205+267.466+133.845+53.484+0+40+185+100+300)</f>
        <v>8.4734094303767673</v>
      </c>
      <c r="AD285" s="27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8.4208848920863311</v>
      </c>
    </row>
    <row r="286" spans="1:30" ht="15" x14ac:dyDescent="0.2">
      <c r="A286" s="15">
        <v>49949</v>
      </c>
      <c r="B286" s="10">
        <f>CHOOSE(CONTROL!$C$42, 8.2849, 8.2849) * CHOOSE(CONTROL!$C$21, $C$9, 100%, $E$9)</f>
        <v>8.2849000000000004</v>
      </c>
      <c r="C286" s="10">
        <f>CHOOSE(CONTROL!$C$42, 8.2901, 8.2901) * CHOOSE(CONTROL!$C$21, $C$9, 100%, $E$9)</f>
        <v>8.2901000000000007</v>
      </c>
      <c r="D286" s="10">
        <f>CHOOSE(CONTROL!$C$42, 8.4721, 8.4721) * CHOOSE(CONTROL!$C$21, $C$9, 100%, $E$9)</f>
        <v>8.4720999999999993</v>
      </c>
      <c r="E286" s="10">
        <f>CHOOSE(CONTROL!$C$42, 8.5009, 8.5009) * CHOOSE(CONTROL!$C$21, $C$9, 100%, $E$9)</f>
        <v>8.5008999999999997</v>
      </c>
      <c r="F286" s="10">
        <f>CHOOSE(CONTROL!$C$42, 8.2505, 8.2505)*CHOOSE(CONTROL!$C$21, $C$9, 100%, $E$9)</f>
        <v>8.2505000000000006</v>
      </c>
      <c r="G286" s="10">
        <f>CHOOSE(CONTROL!$C$42, 8.2668, 8.2668)*CHOOSE(CONTROL!$C$21, $C$9, 100%, $E$9)</f>
        <v>8.2667999999999999</v>
      </c>
      <c r="H286" s="10">
        <f>CHOOSE(CONTROL!$C$42, 8.4914, 8.4914) * CHOOSE(CONTROL!$C$21, $C$9, 100%, $E$9)</f>
        <v>8.4914000000000005</v>
      </c>
      <c r="I286" s="10">
        <f>CHOOSE(CONTROL!$C$42, 8.2713, 8.2713)* CHOOSE(CONTROL!$C$21, $C$9, 100%, $E$9)</f>
        <v>8.2713000000000001</v>
      </c>
      <c r="J286" s="10">
        <f>CHOOSE(CONTROL!$C$42, 8.2435, 8.2435)* CHOOSE(CONTROL!$C$21, $C$9, 100%, $E$9)</f>
        <v>8.2434999999999992</v>
      </c>
      <c r="K286" s="10">
        <f>CHOOSE(CONTROL!$C$42, 8.1718, 8.1718) * CHOOSE(CONTROL!$C$21, $C$9, 100%, $E$9)</f>
        <v>8.1717999999999993</v>
      </c>
      <c r="L286" s="10">
        <f>CHOOSE(CONTROL!$C$42, 9.0784, 9.0784) * CHOOSE(CONTROL!$C$21, $C$9, 100%, $E$9)</f>
        <v>9.0784000000000002</v>
      </c>
      <c r="M286" s="10">
        <f>CHOOSE(CONTROL!$C$42, 8.1742, 8.1742) * CHOOSE(CONTROL!$C$21, $C$9, 100%, $E$9)</f>
        <v>8.1742000000000008</v>
      </c>
      <c r="N286" s="10">
        <f>CHOOSE(CONTROL!$C$42, 8.1902, 8.1902) * CHOOSE(CONTROL!$C$21, $C$9, 100%, $E$9)</f>
        <v>8.1902000000000008</v>
      </c>
      <c r="O286" s="10">
        <f>CHOOSE(CONTROL!$C$42, 8.4195, 8.4195) * CHOOSE(CONTROL!$C$21, $C$9, 100%, $E$9)</f>
        <v>8.4194999999999993</v>
      </c>
      <c r="P286" s="10">
        <f>CHOOSE(CONTROL!$C$42, 8.2017, 8.2017) * CHOOSE(CONTROL!$C$21, $C$9, 100%, $E$9)</f>
        <v>8.2017000000000007</v>
      </c>
      <c r="Q286" s="10">
        <f>CHOOSE(CONTROL!$C$42, 9.0148, 9.0148) * CHOOSE(CONTROL!$C$21, $C$9, 100%, $E$9)</f>
        <v>9.0147999999999993</v>
      </c>
      <c r="R286" s="10">
        <f>CHOOSE(CONTROL!$C$42, 9.6243, 9.6243) * CHOOSE(CONTROL!$C$21, $C$9, 100%, $E$9)</f>
        <v>9.6242999999999999</v>
      </c>
      <c r="S286" s="10">
        <f>CHOOSE(CONTROL!$C$42, 8.043, 8.043) * CHOOSE(CONTROL!$C$21, $C$9, 100%, $E$9)</f>
        <v>8.0429999999999993</v>
      </c>
      <c r="T2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38">
        <f>(1000*CHOOSE(CONTROL!$C$42, 695, 695)*CHOOSE(CONTROL!$C$42, 0.5599, 0.5599)*CHOOSE(CONTROL!$C$42, 31, 31))/1000000</f>
        <v>12.063045499999998</v>
      </c>
      <c r="V286" s="38">
        <f>(1000*CHOOSE(CONTROL!$C$42, 500, 500)*CHOOSE(CONTROL!$C$42, 0.275, 0.275)*CHOOSE(CONTROL!$C$42, 31, 31))/1000000</f>
        <v>4.2625000000000002</v>
      </c>
      <c r="W286" s="38">
        <f>(1000*CHOOSE(CONTROL!$C$42, 0.1146, 0.1146)*CHOOSE(CONTROL!$C$42, 121.5, 121.5)*CHOOSE(CONTROL!$C$42, 31, 31))/1000000</f>
        <v>0.43164089999999994</v>
      </c>
      <c r="X286" s="38">
        <f>(31*0.1790888*245000/1000000)+(31*0.2374*100000/1000000)</f>
        <v>2.0961194359999999</v>
      </c>
      <c r="Y286" s="38">
        <f>(1000*600*CHOOSE(CONTROL!$C$42, 1.6441, 1.6441)*CHOOSE(CONTROL!$C$42, 31, 31))/1000000</f>
        <v>30.580259999999996</v>
      </c>
      <c r="Z286" s="38"/>
      <c r="AA286" s="10"/>
      <c r="AB286" s="39"/>
      <c r="AC286" s="33">
        <f>(B286*131.881+C286*277.167+D286*79.08+E286*125.872+F286*40+G286*185+H286*0+I286*100+J286*300)/(131.881+277.167+79.08+125.872+0+40+185+100+300)</f>
        <v>8.3050201746569829</v>
      </c>
      <c r="AD286" s="27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8.2506654676259004</v>
      </c>
    </row>
    <row r="287" spans="1:30" ht="15" x14ac:dyDescent="0.2">
      <c r="A287" s="15">
        <v>49980</v>
      </c>
      <c r="B287" s="10">
        <f>CHOOSE(CONTROL!$C$42, 8.5027, 8.5027) * CHOOSE(CONTROL!$C$21, $C$9, 100%, $E$9)</f>
        <v>8.5027000000000008</v>
      </c>
      <c r="C287" s="10">
        <f>CHOOSE(CONTROL!$C$42, 8.5076, 8.5076) * CHOOSE(CONTROL!$C$21, $C$9, 100%, $E$9)</f>
        <v>8.5076000000000001</v>
      </c>
      <c r="D287" s="10">
        <f>CHOOSE(CONTROL!$C$42, 8.5321, 8.5321) * CHOOSE(CONTROL!$C$21, $C$9, 100%, $E$9)</f>
        <v>8.5320999999999998</v>
      </c>
      <c r="E287" s="10">
        <f>CHOOSE(CONTROL!$C$42, 8.5659, 8.5659) * CHOOSE(CONTROL!$C$21, $C$9, 100%, $E$9)</f>
        <v>8.5658999999999992</v>
      </c>
      <c r="F287" s="10">
        <f>CHOOSE(CONTROL!$C$42, 8.472, 8.472)*CHOOSE(CONTROL!$C$21, $C$9, 100%, $E$9)</f>
        <v>8.4719999999999995</v>
      </c>
      <c r="G287" s="10">
        <f>CHOOSE(CONTROL!$C$42, 8.4884, 8.4884)*CHOOSE(CONTROL!$C$21, $C$9, 100%, $E$9)</f>
        <v>8.4884000000000004</v>
      </c>
      <c r="H287" s="10">
        <f>CHOOSE(CONTROL!$C$42, 8.5551, 8.5551) * CHOOSE(CONTROL!$C$21, $C$9, 100%, $E$9)</f>
        <v>8.5550999999999995</v>
      </c>
      <c r="I287" s="10">
        <f>CHOOSE(CONTROL!$C$42, 8.4895, 8.4895)* CHOOSE(CONTROL!$C$21, $C$9, 100%, $E$9)</f>
        <v>8.4894999999999996</v>
      </c>
      <c r="J287" s="10">
        <f>CHOOSE(CONTROL!$C$42, 8.465, 8.465)* CHOOSE(CONTROL!$C$21, $C$9, 100%, $E$9)</f>
        <v>8.4649999999999999</v>
      </c>
      <c r="K287" s="10">
        <f>CHOOSE(CONTROL!$C$42, 8.3853, 8.3853) * CHOOSE(CONTROL!$C$21, $C$9, 100%, $E$9)</f>
        <v>8.3853000000000009</v>
      </c>
      <c r="L287" s="10">
        <f>CHOOSE(CONTROL!$C$42, 9.1421, 9.1421) * CHOOSE(CONTROL!$C$21, $C$9, 100%, $E$9)</f>
        <v>9.1420999999999992</v>
      </c>
      <c r="M287" s="10">
        <f>CHOOSE(CONTROL!$C$42, 8.3934, 8.3934) * CHOOSE(CONTROL!$C$21, $C$9, 100%, $E$9)</f>
        <v>8.3933999999999997</v>
      </c>
      <c r="N287" s="10">
        <f>CHOOSE(CONTROL!$C$42, 8.4097, 8.4097) * CHOOSE(CONTROL!$C$21, $C$9, 100%, $E$9)</f>
        <v>8.4097000000000008</v>
      </c>
      <c r="O287" s="10">
        <f>CHOOSE(CONTROL!$C$42, 8.4826, 8.4826) * CHOOSE(CONTROL!$C$21, $C$9, 100%, $E$9)</f>
        <v>8.4825999999999997</v>
      </c>
      <c r="P287" s="10">
        <f>CHOOSE(CONTROL!$C$42, 8.4176, 8.4176) * CHOOSE(CONTROL!$C$21, $C$9, 100%, $E$9)</f>
        <v>8.4176000000000002</v>
      </c>
      <c r="Q287" s="10">
        <f>CHOOSE(CONTROL!$C$42, 9.0779, 9.0779) * CHOOSE(CONTROL!$C$21, $C$9, 100%, $E$9)</f>
        <v>9.0778999999999996</v>
      </c>
      <c r="R287" s="10">
        <f>CHOOSE(CONTROL!$C$42, 9.6876, 9.6876) * CHOOSE(CONTROL!$C$21, $C$9, 100%, $E$9)</f>
        <v>9.6875999999999998</v>
      </c>
      <c r="S287" s="10">
        <f>CHOOSE(CONTROL!$C$42, 8.2548, 8.2548) * CHOOSE(CONTROL!$C$21, $C$9, 100%, $E$9)</f>
        <v>8.2547999999999995</v>
      </c>
      <c r="T2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38">
        <f>(1000*CHOOSE(CONTROL!$C$42, 695, 695)*CHOOSE(CONTROL!$C$42, 0.5599, 0.5599)*CHOOSE(CONTROL!$C$42, 30, 30))/1000000</f>
        <v>11.673914999999997</v>
      </c>
      <c r="V287" s="38">
        <f>(1000*CHOOSE(CONTROL!$C$42, 500, 500)*CHOOSE(CONTROL!$C$42, 0.275, 0.275)*CHOOSE(CONTROL!$C$42, 30, 30))/1000000</f>
        <v>4.125</v>
      </c>
      <c r="W287" s="38">
        <f>(1000*CHOOSE(CONTROL!$C$42, 0.1146, 0.1146)*CHOOSE(CONTROL!$C$42, 121.5, 121.5)*CHOOSE(CONTROL!$C$42, 30, 30))/1000000</f>
        <v>0.417717</v>
      </c>
      <c r="X287" s="38">
        <f>(30*0.1790888*100000/1000000)+(30*0.2374*100000/1000000)</f>
        <v>1.2494664</v>
      </c>
      <c r="Y287" s="38">
        <f>(1000*600*CHOOSE(CONTROL!$C$42, 1.6441, 1.6441)*CHOOSE(CONTROL!$C$42, 30, 30))/1000000</f>
        <v>29.593799999999995</v>
      </c>
      <c r="Z287" s="38"/>
      <c r="AA287" s="10"/>
      <c r="AB287" s="39"/>
      <c r="AC287" s="33">
        <f>(B287*122.58+C287*297.941+D287*89.177+E287*40.302+F287*40+G287*160+H287*0+I287*100+J287*300)/(122.58+297.941+89.177+40.302+0+40+160+100+300)</f>
        <v>8.4944241748695664</v>
      </c>
      <c r="AD287" s="27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8.4382489208633107</v>
      </c>
    </row>
    <row r="288" spans="1:30" ht="15" x14ac:dyDescent="0.2">
      <c r="A288" s="15">
        <v>50010</v>
      </c>
      <c r="B288" s="10">
        <f>CHOOSE(CONTROL!$C$42, 9.0822, 9.0822) * CHOOSE(CONTROL!$C$21, $C$9, 100%, $E$9)</f>
        <v>9.0822000000000003</v>
      </c>
      <c r="C288" s="10">
        <f>CHOOSE(CONTROL!$C$42, 9.0871, 9.0871) * CHOOSE(CONTROL!$C$21, $C$9, 100%, $E$9)</f>
        <v>9.0870999999999995</v>
      </c>
      <c r="D288" s="10">
        <f>CHOOSE(CONTROL!$C$42, 9.1116, 9.1116) * CHOOSE(CONTROL!$C$21, $C$9, 100%, $E$9)</f>
        <v>9.1115999999999993</v>
      </c>
      <c r="E288" s="10">
        <f>CHOOSE(CONTROL!$C$42, 9.1454, 9.1454) * CHOOSE(CONTROL!$C$21, $C$9, 100%, $E$9)</f>
        <v>9.1454000000000004</v>
      </c>
      <c r="F288" s="10">
        <f>CHOOSE(CONTROL!$C$42, 9.0538, 9.0538)*CHOOSE(CONTROL!$C$21, $C$9, 100%, $E$9)</f>
        <v>9.0538000000000007</v>
      </c>
      <c r="G288" s="10">
        <f>CHOOSE(CONTROL!$C$42, 9.0709, 9.0709)*CHOOSE(CONTROL!$C$21, $C$9, 100%, $E$9)</f>
        <v>9.0709</v>
      </c>
      <c r="H288" s="10">
        <f>CHOOSE(CONTROL!$C$42, 9.1346, 9.1346) * CHOOSE(CONTROL!$C$21, $C$9, 100%, $E$9)</f>
        <v>9.1346000000000007</v>
      </c>
      <c r="I288" s="10">
        <f>CHOOSE(CONTROL!$C$42, 9.069, 9.069)* CHOOSE(CONTROL!$C$21, $C$9, 100%, $E$9)</f>
        <v>9.0690000000000008</v>
      </c>
      <c r="J288" s="10">
        <f>CHOOSE(CONTROL!$C$42, 9.0468, 9.0468)* CHOOSE(CONTROL!$C$21, $C$9, 100%, $E$9)</f>
        <v>9.0467999999999993</v>
      </c>
      <c r="K288" s="10">
        <f>CHOOSE(CONTROL!$C$42, 8.9533, 8.9533) * CHOOSE(CONTROL!$C$21, $C$9, 100%, $E$9)</f>
        <v>8.9533000000000005</v>
      </c>
      <c r="L288" s="10">
        <f>CHOOSE(CONTROL!$C$42, 9.7216, 9.7216) * CHOOSE(CONTROL!$C$21, $C$9, 100%, $E$9)</f>
        <v>9.7216000000000005</v>
      </c>
      <c r="M288" s="10">
        <f>CHOOSE(CONTROL!$C$42, 8.9693, 8.9693) * CHOOSE(CONTROL!$C$21, $C$9, 100%, $E$9)</f>
        <v>8.9693000000000005</v>
      </c>
      <c r="N288" s="10">
        <f>CHOOSE(CONTROL!$C$42, 8.9862, 8.9862) * CHOOSE(CONTROL!$C$21, $C$9, 100%, $E$9)</f>
        <v>8.9862000000000002</v>
      </c>
      <c r="O288" s="10">
        <f>CHOOSE(CONTROL!$C$42, 9.0562, 9.0562) * CHOOSE(CONTROL!$C$21, $C$9, 100%, $E$9)</f>
        <v>9.0562000000000005</v>
      </c>
      <c r="P288" s="10">
        <f>CHOOSE(CONTROL!$C$42, 8.9913, 8.9913) * CHOOSE(CONTROL!$C$21, $C$9, 100%, $E$9)</f>
        <v>8.9913000000000007</v>
      </c>
      <c r="Q288" s="10">
        <f>CHOOSE(CONTROL!$C$42, 9.6515, 9.6515) * CHOOSE(CONTROL!$C$21, $C$9, 100%, $E$9)</f>
        <v>9.6515000000000004</v>
      </c>
      <c r="R288" s="10">
        <f>CHOOSE(CONTROL!$C$42, 10.2627, 10.2627) * CHOOSE(CONTROL!$C$21, $C$9, 100%, $E$9)</f>
        <v>10.262700000000001</v>
      </c>
      <c r="S288" s="10">
        <f>CHOOSE(CONTROL!$C$42, 8.8176, 8.8176) * CHOOSE(CONTROL!$C$21, $C$9, 100%, $E$9)</f>
        <v>8.8176000000000005</v>
      </c>
      <c r="T2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38">
        <f>(1000*CHOOSE(CONTROL!$C$42, 695, 695)*CHOOSE(CONTROL!$C$42, 0.5599, 0.5599)*CHOOSE(CONTROL!$C$42, 31, 31))/1000000</f>
        <v>12.063045499999998</v>
      </c>
      <c r="V288" s="38">
        <f>(1000*CHOOSE(CONTROL!$C$42, 500, 500)*CHOOSE(CONTROL!$C$42, 0.275, 0.275)*CHOOSE(CONTROL!$C$42, 31, 31))/1000000</f>
        <v>4.2625000000000002</v>
      </c>
      <c r="W288" s="38">
        <f>(1000*CHOOSE(CONTROL!$C$42, 0.1146, 0.1146)*CHOOSE(CONTROL!$C$42, 121.5, 121.5)*CHOOSE(CONTROL!$C$42, 31, 31))/1000000</f>
        <v>0.43164089999999994</v>
      </c>
      <c r="X288" s="38">
        <f>(31*0.1790888*100000/1000000)+(31*0.2374*100000/1000000)</f>
        <v>1.2911152800000001</v>
      </c>
      <c r="Y288" s="38">
        <f>(1000*600*CHOOSE(CONTROL!$C$42, 1.6441, 1.6441)*CHOOSE(CONTROL!$C$42, 31, 31))/1000000</f>
        <v>30.580259999999996</v>
      </c>
      <c r="Z288" s="38"/>
      <c r="AA288" s="10"/>
      <c r="AB288" s="39"/>
      <c r="AC288" s="33">
        <f>(B288*122.58+C288*297.941+D288*89.177+E288*40.302+F288*40+G288*160+H288*0+I288*100+J288*300)/(122.58+297.941+89.177+40.302+0+40+160+100+300)</f>
        <v>9.0750215661739126</v>
      </c>
      <c r="AD288" s="27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9.0128244604316539</v>
      </c>
    </row>
    <row r="289" spans="1:30" ht="15" x14ac:dyDescent="0.2">
      <c r="A289" s="15">
        <v>50041</v>
      </c>
      <c r="B289" s="10">
        <f>CHOOSE(CONTROL!$C$42, 9.695, 9.695) * CHOOSE(CONTROL!$C$21, $C$9, 100%, $E$9)</f>
        <v>9.6950000000000003</v>
      </c>
      <c r="C289" s="10">
        <f>CHOOSE(CONTROL!$C$42, 9.6999, 9.6999) * CHOOSE(CONTROL!$C$21, $C$9, 100%, $E$9)</f>
        <v>9.6998999999999995</v>
      </c>
      <c r="D289" s="10">
        <f>CHOOSE(CONTROL!$C$42, 9.7244, 9.7244) * CHOOSE(CONTROL!$C$21, $C$9, 100%, $E$9)</f>
        <v>9.7243999999999993</v>
      </c>
      <c r="E289" s="10">
        <f>CHOOSE(CONTROL!$C$42, 9.7582, 9.7582) * CHOOSE(CONTROL!$C$21, $C$9, 100%, $E$9)</f>
        <v>9.7582000000000004</v>
      </c>
      <c r="F289" s="10">
        <f>CHOOSE(CONTROL!$C$42, 9.6779, 9.6779)*CHOOSE(CONTROL!$C$21, $C$9, 100%, $E$9)</f>
        <v>9.6778999999999993</v>
      </c>
      <c r="G289" s="10">
        <f>CHOOSE(CONTROL!$C$42, 9.6966, 9.6966)*CHOOSE(CONTROL!$C$21, $C$9, 100%, $E$9)</f>
        <v>9.6966000000000001</v>
      </c>
      <c r="H289" s="10">
        <f>CHOOSE(CONTROL!$C$42, 9.7474, 9.7474) * CHOOSE(CONTROL!$C$21, $C$9, 100%, $E$9)</f>
        <v>9.7474000000000007</v>
      </c>
      <c r="I289" s="10">
        <f>CHOOSE(CONTROL!$C$42, 9.6895, 9.6895)* CHOOSE(CONTROL!$C$21, $C$9, 100%, $E$9)</f>
        <v>9.6895000000000007</v>
      </c>
      <c r="J289" s="10">
        <f>CHOOSE(CONTROL!$C$42, 9.6709, 9.6709)* CHOOSE(CONTROL!$C$21, $C$9, 100%, $E$9)</f>
        <v>9.6708999999999996</v>
      </c>
      <c r="K289" s="10">
        <f>CHOOSE(CONTROL!$C$42, 9.5697, 9.5697) * CHOOSE(CONTROL!$C$21, $C$9, 100%, $E$9)</f>
        <v>9.5696999999999992</v>
      </c>
      <c r="L289" s="10">
        <f>CHOOSE(CONTROL!$C$42, 10.3344, 10.3344) * CHOOSE(CONTROL!$C$21, $C$9, 100%, $E$9)</f>
        <v>10.3344</v>
      </c>
      <c r="M289" s="10">
        <f>CHOOSE(CONTROL!$C$42, 9.5872, 9.5872) * CHOOSE(CONTROL!$C$21, $C$9, 100%, $E$9)</f>
        <v>9.5871999999999993</v>
      </c>
      <c r="N289" s="10">
        <f>CHOOSE(CONTROL!$C$42, 9.6056, 9.6056) * CHOOSE(CONTROL!$C$21, $C$9, 100%, $E$9)</f>
        <v>9.6056000000000008</v>
      </c>
      <c r="O289" s="10">
        <f>CHOOSE(CONTROL!$C$42, 9.6628, 9.6628) * CHOOSE(CONTROL!$C$21, $C$9, 100%, $E$9)</f>
        <v>9.6628000000000007</v>
      </c>
      <c r="P289" s="10">
        <f>CHOOSE(CONTROL!$C$42, 9.6056, 9.6056) * CHOOSE(CONTROL!$C$21, $C$9, 100%, $E$9)</f>
        <v>9.6056000000000008</v>
      </c>
      <c r="Q289" s="10">
        <f>CHOOSE(CONTROL!$C$42, 10.2581, 10.2581) * CHOOSE(CONTROL!$C$21, $C$9, 100%, $E$9)</f>
        <v>10.258100000000001</v>
      </c>
      <c r="R289" s="10">
        <f>CHOOSE(CONTROL!$C$42, 10.8708, 10.8708) * CHOOSE(CONTROL!$C$21, $C$9, 100%, $E$9)</f>
        <v>10.870799999999999</v>
      </c>
      <c r="S289" s="10">
        <f>CHOOSE(CONTROL!$C$42, 9.4127, 9.4127) * CHOOSE(CONTROL!$C$21, $C$9, 100%, $E$9)</f>
        <v>9.4126999999999992</v>
      </c>
      <c r="T2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38">
        <f>(1000*CHOOSE(CONTROL!$C$42, 695, 695)*CHOOSE(CONTROL!$C$42, 0.5599, 0.5599)*CHOOSE(CONTROL!$C$42, 31, 31))/1000000</f>
        <v>12.063045499999998</v>
      </c>
      <c r="V289" s="38">
        <f>(1000*CHOOSE(CONTROL!$C$42, 500, 500)*CHOOSE(CONTROL!$C$42, 0.275, 0.275)*CHOOSE(CONTROL!$C$42, 31, 31))/1000000</f>
        <v>4.2625000000000002</v>
      </c>
      <c r="W289" s="38">
        <f>(1000*CHOOSE(CONTROL!$C$42, 0.1146, 0.1146)*CHOOSE(CONTROL!$C$42, 121.5, 121.5)*CHOOSE(CONTROL!$C$42, 31, 31))/1000000</f>
        <v>0.43164089999999994</v>
      </c>
      <c r="X289" s="38">
        <f>(31*0.1790888*100000/1000000)+(31*0.2374*100000/1000000)</f>
        <v>1.2911152800000001</v>
      </c>
      <c r="Y289" s="38">
        <f>(1000*600*CHOOSE(CONTROL!$C$42, 1.6406, 1.6406)*CHOOSE(CONTROL!$C$42, 31, 31))/1000000</f>
        <v>30.515160000000002</v>
      </c>
      <c r="Z289" s="38"/>
      <c r="AA289" s="10"/>
      <c r="AB289" s="39"/>
      <c r="AC289" s="33">
        <f>(B289*122.58+C289*297.941+D289*89.177+E289*40.302+F289*40+G289*160+H289*0+I289*100+J289*300)/(122.58+297.941+89.177+40.302+0+40+160+100+300)</f>
        <v>9.6936267835652181</v>
      </c>
      <c r="AD289" s="27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9.6251712230215833</v>
      </c>
    </row>
    <row r="290" spans="1:30" ht="15" x14ac:dyDescent="0.2">
      <c r="A290" s="15">
        <v>50072</v>
      </c>
      <c r="B290" s="10">
        <f>CHOOSE(CONTROL!$C$42, 9.8675, 9.8675) * CHOOSE(CONTROL!$C$21, $C$9, 100%, $E$9)</f>
        <v>9.8674999999999997</v>
      </c>
      <c r="C290" s="10">
        <f>CHOOSE(CONTROL!$C$42, 9.8725, 9.8725) * CHOOSE(CONTROL!$C$21, $C$9, 100%, $E$9)</f>
        <v>9.8725000000000005</v>
      </c>
      <c r="D290" s="10">
        <f>CHOOSE(CONTROL!$C$42, 9.8969, 9.8969) * CHOOSE(CONTROL!$C$21, $C$9, 100%, $E$9)</f>
        <v>9.8969000000000005</v>
      </c>
      <c r="E290" s="10">
        <f>CHOOSE(CONTROL!$C$42, 9.9307, 9.9307) * CHOOSE(CONTROL!$C$21, $C$9, 100%, $E$9)</f>
        <v>9.9306999999999999</v>
      </c>
      <c r="F290" s="10">
        <f>CHOOSE(CONTROL!$C$42, 9.8498, 9.8498)*CHOOSE(CONTROL!$C$21, $C$9, 100%, $E$9)</f>
        <v>9.8498000000000001</v>
      </c>
      <c r="G290" s="10">
        <f>CHOOSE(CONTROL!$C$42, 9.8683, 9.8683)*CHOOSE(CONTROL!$C$21, $C$9, 100%, $E$9)</f>
        <v>9.8682999999999996</v>
      </c>
      <c r="H290" s="10">
        <f>CHOOSE(CONTROL!$C$42, 9.9199, 9.9199) * CHOOSE(CONTROL!$C$21, $C$9, 100%, $E$9)</f>
        <v>9.9199000000000002</v>
      </c>
      <c r="I290" s="10">
        <f>CHOOSE(CONTROL!$C$42, 9.862, 9.862)* CHOOSE(CONTROL!$C$21, $C$9, 100%, $E$9)</f>
        <v>9.8620000000000001</v>
      </c>
      <c r="J290" s="10">
        <f>CHOOSE(CONTROL!$C$42, 9.8428, 9.8428)* CHOOSE(CONTROL!$C$21, $C$9, 100%, $E$9)</f>
        <v>9.8428000000000004</v>
      </c>
      <c r="K290" s="10">
        <f>CHOOSE(CONTROL!$C$42, 9.7358, 9.7358) * CHOOSE(CONTROL!$C$21, $C$9, 100%, $E$9)</f>
        <v>9.7357999999999993</v>
      </c>
      <c r="L290" s="10">
        <f>CHOOSE(CONTROL!$C$42, 10.5069, 10.5069) * CHOOSE(CONTROL!$C$21, $C$9, 100%, $E$9)</f>
        <v>10.5069</v>
      </c>
      <c r="M290" s="10">
        <f>CHOOSE(CONTROL!$C$42, 9.7573, 9.7573) * CHOOSE(CONTROL!$C$21, $C$9, 100%, $E$9)</f>
        <v>9.7573000000000008</v>
      </c>
      <c r="N290" s="10">
        <f>CHOOSE(CONTROL!$C$42, 9.7756, 9.7756) * CHOOSE(CONTROL!$C$21, $C$9, 100%, $E$9)</f>
        <v>9.7756000000000007</v>
      </c>
      <c r="O290" s="10">
        <f>CHOOSE(CONTROL!$C$42, 9.8336, 9.8336) * CHOOSE(CONTROL!$C$21, $C$9, 100%, $E$9)</f>
        <v>9.8336000000000006</v>
      </c>
      <c r="P290" s="10">
        <f>CHOOSE(CONTROL!$C$42, 9.7763, 9.7763) * CHOOSE(CONTROL!$C$21, $C$9, 100%, $E$9)</f>
        <v>9.7763000000000009</v>
      </c>
      <c r="Q290" s="10">
        <f>CHOOSE(CONTROL!$C$42, 10.4289, 10.4289) * CHOOSE(CONTROL!$C$21, $C$9, 100%, $E$9)</f>
        <v>10.428900000000001</v>
      </c>
      <c r="R290" s="10">
        <f>CHOOSE(CONTROL!$C$42, 11.042, 11.042) * CHOOSE(CONTROL!$C$21, $C$9, 100%, $E$9)</f>
        <v>11.042</v>
      </c>
      <c r="S290" s="10">
        <f>CHOOSE(CONTROL!$C$42, 9.5802, 9.5802) * CHOOSE(CONTROL!$C$21, $C$9, 100%, $E$9)</f>
        <v>9.5801999999999996</v>
      </c>
      <c r="T2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90" s="38">
        <f>(1000*CHOOSE(CONTROL!$C$42, 695, 695)*CHOOSE(CONTROL!$C$42, 0.5599, 0.5599)*CHOOSE(CONTROL!$C$42, 28, 28))/1000000</f>
        <v>10.895653999999999</v>
      </c>
      <c r="V290" s="38">
        <f>(1000*CHOOSE(CONTROL!$C$42, 500, 500)*CHOOSE(CONTROL!$C$42, 0.275, 0.275)*CHOOSE(CONTROL!$C$42, 28, 28))/1000000</f>
        <v>3.85</v>
      </c>
      <c r="W290" s="38">
        <f>(1000*CHOOSE(CONTROL!$C$42, 0.1146, 0.1146)*CHOOSE(CONTROL!$C$42, 121.5, 121.5)*CHOOSE(CONTROL!$C$42, 28, 28))/1000000</f>
        <v>0.38986920000000003</v>
      </c>
      <c r="X290" s="38">
        <f>(28*0.1790888*100000/1000000)+(28*0.2374*100000/1000000)</f>
        <v>1.16616864</v>
      </c>
      <c r="Y290" s="38">
        <f>(1000*600*CHOOSE(CONTROL!$C$42, 1.6406, 1.6406)*CHOOSE(CONTROL!$C$42, 28, 28))/1000000</f>
        <v>27.562080000000002</v>
      </c>
      <c r="Z290" s="38"/>
      <c r="AA290" s="10"/>
      <c r="AB290" s="39"/>
      <c r="AC290" s="33">
        <f>(B290*122.58+C290*297.941+D290*89.177+E290*40.302+F290*40+G290*160+H290*0+I290*100+J290*300)/(122.58+297.941+89.177+40.302+0+40+160+100+300)</f>
        <v>9.8658639958260874</v>
      </c>
      <c r="AD290" s="27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9.7956690647482016</v>
      </c>
    </row>
    <row r="291" spans="1:30" ht="15" x14ac:dyDescent="0.2">
      <c r="A291" s="15">
        <v>50100</v>
      </c>
      <c r="B291" s="10">
        <f>CHOOSE(CONTROL!$C$42, 9.5875, 9.5875) * CHOOSE(CONTROL!$C$21, $C$9, 100%, $E$9)</f>
        <v>9.5875000000000004</v>
      </c>
      <c r="C291" s="10">
        <f>CHOOSE(CONTROL!$C$42, 9.5924, 9.5924) * CHOOSE(CONTROL!$C$21, $C$9, 100%, $E$9)</f>
        <v>9.5923999999999996</v>
      </c>
      <c r="D291" s="10">
        <f>CHOOSE(CONTROL!$C$42, 9.6169, 9.6169) * CHOOSE(CONTROL!$C$21, $C$9, 100%, $E$9)</f>
        <v>9.6168999999999993</v>
      </c>
      <c r="E291" s="10">
        <f>CHOOSE(CONTROL!$C$42, 9.6506, 9.6506) * CHOOSE(CONTROL!$C$21, $C$9, 100%, $E$9)</f>
        <v>9.6506000000000007</v>
      </c>
      <c r="F291" s="10">
        <f>CHOOSE(CONTROL!$C$42, 9.5682, 9.5682)*CHOOSE(CONTROL!$C$21, $C$9, 100%, $E$9)</f>
        <v>9.5681999999999992</v>
      </c>
      <c r="G291" s="10">
        <f>CHOOSE(CONTROL!$C$42, 9.5863, 9.5863)*CHOOSE(CONTROL!$C$21, $C$9, 100%, $E$9)</f>
        <v>9.5862999999999996</v>
      </c>
      <c r="H291" s="10">
        <f>CHOOSE(CONTROL!$C$42, 9.6398, 9.6398) * CHOOSE(CONTROL!$C$21, $C$9, 100%, $E$9)</f>
        <v>9.6397999999999993</v>
      </c>
      <c r="I291" s="10">
        <f>CHOOSE(CONTROL!$C$42, 9.5819, 9.5819)* CHOOSE(CONTROL!$C$21, $C$9, 100%, $E$9)</f>
        <v>9.5818999999999992</v>
      </c>
      <c r="J291" s="10">
        <f>CHOOSE(CONTROL!$C$42, 9.5612, 9.5612)* CHOOSE(CONTROL!$C$21, $C$9, 100%, $E$9)</f>
        <v>9.5611999999999995</v>
      </c>
      <c r="K291" s="10">
        <f>CHOOSE(CONTROL!$C$42, 9.4604, 9.4604) * CHOOSE(CONTROL!$C$21, $C$9, 100%, $E$9)</f>
        <v>9.4603999999999999</v>
      </c>
      <c r="L291" s="10">
        <f>CHOOSE(CONTROL!$C$42, 10.2268, 10.2268) * CHOOSE(CONTROL!$C$21, $C$9, 100%, $E$9)</f>
        <v>10.226800000000001</v>
      </c>
      <c r="M291" s="10">
        <f>CHOOSE(CONTROL!$C$42, 9.4785, 9.4785) * CHOOSE(CONTROL!$C$21, $C$9, 100%, $E$9)</f>
        <v>9.4785000000000004</v>
      </c>
      <c r="N291" s="10">
        <f>CHOOSE(CONTROL!$C$42, 9.4964, 9.4964) * CHOOSE(CONTROL!$C$21, $C$9, 100%, $E$9)</f>
        <v>9.4963999999999995</v>
      </c>
      <c r="O291" s="10">
        <f>CHOOSE(CONTROL!$C$42, 9.5564, 9.5564) * CHOOSE(CONTROL!$C$21, $C$9, 100%, $E$9)</f>
        <v>9.5564</v>
      </c>
      <c r="P291" s="10">
        <f>CHOOSE(CONTROL!$C$42, 9.4991, 9.4991) * CHOOSE(CONTROL!$C$21, $C$9, 100%, $E$9)</f>
        <v>9.4991000000000003</v>
      </c>
      <c r="Q291" s="10">
        <f>CHOOSE(CONTROL!$C$42, 10.1517, 10.1517) * CHOOSE(CONTROL!$C$21, $C$9, 100%, $E$9)</f>
        <v>10.1517</v>
      </c>
      <c r="R291" s="10">
        <f>CHOOSE(CONTROL!$C$42, 10.7641, 10.7641) * CHOOSE(CONTROL!$C$21, $C$9, 100%, $E$9)</f>
        <v>10.764099999999999</v>
      </c>
      <c r="S291" s="10">
        <f>CHOOSE(CONTROL!$C$42, 9.3082, 9.3082) * CHOOSE(CONTROL!$C$21, $C$9, 100%, $E$9)</f>
        <v>9.3081999999999994</v>
      </c>
      <c r="T2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38">
        <f>(1000*CHOOSE(CONTROL!$C$42, 695, 695)*CHOOSE(CONTROL!$C$42, 0.5599, 0.5599)*CHOOSE(CONTROL!$C$42, 31, 31))/1000000</f>
        <v>12.063045499999998</v>
      </c>
      <c r="V291" s="38">
        <f>(1000*CHOOSE(CONTROL!$C$42, 500, 500)*CHOOSE(CONTROL!$C$42, 0.275, 0.275)*CHOOSE(CONTROL!$C$42, 31, 31))/1000000</f>
        <v>4.2625000000000002</v>
      </c>
      <c r="W291" s="38">
        <f>(1000*CHOOSE(CONTROL!$C$42, 0.1146, 0.1146)*CHOOSE(CONTROL!$C$42, 121.5, 121.5)*CHOOSE(CONTROL!$C$42, 31, 31))/1000000</f>
        <v>0.43164089999999994</v>
      </c>
      <c r="X291" s="38">
        <f>(31*0.1790888*100000/1000000)+(31*0.2374*100000/1000000)</f>
        <v>1.2911152800000001</v>
      </c>
      <c r="Y291" s="38">
        <f>(1000*600*CHOOSE(CONTROL!$C$42, 1.6406, 1.6406)*CHOOSE(CONTROL!$C$42, 31, 31))/1000000</f>
        <v>30.515160000000002</v>
      </c>
      <c r="Z291" s="38"/>
      <c r="AA291" s="10"/>
      <c r="AB291" s="39"/>
      <c r="AC291" s="33">
        <f>(B291*122.58+C291*297.941+D291*89.177+E291*40.302+F291*40+G291*160+H291*0+I291*100+J291*300)/(122.58+297.941+89.177+40.302+0+40+160+100+300)</f>
        <v>9.585074583391302</v>
      </c>
      <c r="AD291" s="27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9.5178014388489203</v>
      </c>
    </row>
    <row r="292" spans="1:30" ht="15" x14ac:dyDescent="0.2">
      <c r="A292" s="15">
        <v>50131</v>
      </c>
      <c r="B292" s="10">
        <f>CHOOSE(CONTROL!$C$42, 9.5595, 9.5595) * CHOOSE(CONTROL!$C$21, $C$9, 100%, $E$9)</f>
        <v>9.5594999999999999</v>
      </c>
      <c r="C292" s="10">
        <f>CHOOSE(CONTROL!$C$42, 9.5639, 9.5639) * CHOOSE(CONTROL!$C$21, $C$9, 100%, $E$9)</f>
        <v>9.5639000000000003</v>
      </c>
      <c r="D292" s="10">
        <f>CHOOSE(CONTROL!$C$42, 9.744, 9.744) * CHOOSE(CONTROL!$C$21, $C$9, 100%, $E$9)</f>
        <v>9.7439999999999998</v>
      </c>
      <c r="E292" s="10">
        <f>CHOOSE(CONTROL!$C$42, 9.7758, 9.7758) * CHOOSE(CONTROL!$C$21, $C$9, 100%, $E$9)</f>
        <v>9.7758000000000003</v>
      </c>
      <c r="F292" s="10">
        <f>CHOOSE(CONTROL!$C$42, 9.5249, 9.5249)*CHOOSE(CONTROL!$C$21, $C$9, 100%, $E$9)</f>
        <v>9.5249000000000006</v>
      </c>
      <c r="G292" s="10">
        <f>CHOOSE(CONTROL!$C$42, 9.5411, 9.5411)*CHOOSE(CONTROL!$C$21, $C$9, 100%, $E$9)</f>
        <v>9.5411000000000001</v>
      </c>
      <c r="H292" s="10">
        <f>CHOOSE(CONTROL!$C$42, 9.7656, 9.7656) * CHOOSE(CONTROL!$C$21, $C$9, 100%, $E$9)</f>
        <v>9.7655999999999992</v>
      </c>
      <c r="I292" s="10">
        <f>CHOOSE(CONTROL!$C$42, 9.5455, 9.5455)* CHOOSE(CONTROL!$C$21, $C$9, 100%, $E$9)</f>
        <v>9.5455000000000005</v>
      </c>
      <c r="J292" s="10">
        <f>CHOOSE(CONTROL!$C$42, 9.5179, 9.5179)* CHOOSE(CONTROL!$C$21, $C$9, 100%, $E$9)</f>
        <v>9.5178999999999991</v>
      </c>
      <c r="K292" s="10">
        <f>CHOOSE(CONTROL!$C$42, 9.41, 9.41) * CHOOSE(CONTROL!$C$21, $C$9, 100%, $E$9)</f>
        <v>9.41</v>
      </c>
      <c r="L292" s="10">
        <f>CHOOSE(CONTROL!$C$42, 10.3526, 10.3526) * CHOOSE(CONTROL!$C$21, $C$9, 100%, $E$9)</f>
        <v>10.352600000000001</v>
      </c>
      <c r="M292" s="10">
        <f>CHOOSE(CONTROL!$C$42, 9.4356, 9.4356) * CHOOSE(CONTROL!$C$21, $C$9, 100%, $E$9)</f>
        <v>9.4356000000000009</v>
      </c>
      <c r="N292" s="10">
        <f>CHOOSE(CONTROL!$C$42, 9.4517, 9.4517) * CHOOSE(CONTROL!$C$21, $C$9, 100%, $E$9)</f>
        <v>9.4517000000000007</v>
      </c>
      <c r="O292" s="10">
        <f>CHOOSE(CONTROL!$C$42, 9.6809, 9.6809) * CHOOSE(CONTROL!$C$21, $C$9, 100%, $E$9)</f>
        <v>9.6808999999999994</v>
      </c>
      <c r="P292" s="10">
        <f>CHOOSE(CONTROL!$C$42, 9.4631, 9.4631) * CHOOSE(CONTROL!$C$21, $C$9, 100%, $E$9)</f>
        <v>9.4631000000000007</v>
      </c>
      <c r="Q292" s="10">
        <f>CHOOSE(CONTROL!$C$42, 10.2762, 10.2762) * CHOOSE(CONTROL!$C$21, $C$9, 100%, $E$9)</f>
        <v>10.276199999999999</v>
      </c>
      <c r="R292" s="10">
        <f>CHOOSE(CONTROL!$C$42, 10.8889, 10.8889) * CHOOSE(CONTROL!$C$21, $C$9, 100%, $E$9)</f>
        <v>10.8889</v>
      </c>
      <c r="S292" s="10">
        <f>CHOOSE(CONTROL!$C$42, 9.2804, 9.2804) * CHOOSE(CONTROL!$C$21, $C$9, 100%, $E$9)</f>
        <v>9.2804000000000002</v>
      </c>
      <c r="T2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38">
        <f>(1000*CHOOSE(CONTROL!$C$42, 695, 695)*CHOOSE(CONTROL!$C$42, 0.5599, 0.5599)*CHOOSE(CONTROL!$C$42, 30, 30))/1000000</f>
        <v>11.673914999999997</v>
      </c>
      <c r="V292" s="38">
        <f>(1000*CHOOSE(CONTROL!$C$42, 500, 500)*CHOOSE(CONTROL!$C$42, 0.275, 0.275)*CHOOSE(CONTROL!$C$42, 30, 30))/1000000</f>
        <v>4.125</v>
      </c>
      <c r="W292" s="38">
        <f>(1000*CHOOSE(CONTROL!$C$42, 0.1146, 0.1146)*CHOOSE(CONTROL!$C$42, 121.5, 121.5)*CHOOSE(CONTROL!$C$42, 30, 30))/1000000</f>
        <v>0.417717</v>
      </c>
      <c r="X292" s="38">
        <f>(30*0.1790888*245000/1000000)+(30*0.2374*100000/1000000)</f>
        <v>2.0285026799999999</v>
      </c>
      <c r="Y292" s="38">
        <f>(1000*600*CHOOSE(CONTROL!$C$42, 1.6406, 1.6406)*CHOOSE(CONTROL!$C$42, 30, 30))/1000000</f>
        <v>29.530799999999999</v>
      </c>
      <c r="Z292" s="38"/>
      <c r="AA292" s="10"/>
      <c r="AB292" s="39"/>
      <c r="AC292" s="33">
        <f>(B292*141.293+C292*267.993+D292*115.016+E292*89.698+F292*40+G292*185+H292*0+I292*100+J292*300)/(141.293+267.993+115.016+89.698+0+40+185+100+300)</f>
        <v>9.578170943179984</v>
      </c>
      <c r="AD292" s="27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9.5120884892086348</v>
      </c>
    </row>
    <row r="293" spans="1:30" ht="15" x14ac:dyDescent="0.2">
      <c r="A293" s="15">
        <v>50161</v>
      </c>
      <c r="B293" s="10">
        <f>CHOOSE(CONTROL!$C$42, 9.6457, 9.6457) * CHOOSE(CONTROL!$C$21, $C$9, 100%, $E$9)</f>
        <v>9.6456999999999997</v>
      </c>
      <c r="C293" s="10">
        <f>CHOOSE(CONTROL!$C$42, 9.6536, 9.6536) * CHOOSE(CONTROL!$C$21, $C$9, 100%, $E$9)</f>
        <v>9.6536000000000008</v>
      </c>
      <c r="D293" s="10">
        <f>CHOOSE(CONTROL!$C$42, 9.8306, 9.8306) * CHOOSE(CONTROL!$C$21, $C$9, 100%, $E$9)</f>
        <v>9.8306000000000004</v>
      </c>
      <c r="E293" s="10">
        <f>CHOOSE(CONTROL!$C$42, 9.8617, 9.8617) * CHOOSE(CONTROL!$C$21, $C$9, 100%, $E$9)</f>
        <v>9.8617000000000008</v>
      </c>
      <c r="F293" s="10">
        <f>CHOOSE(CONTROL!$C$42, 9.609, 9.609)*CHOOSE(CONTROL!$C$21, $C$9, 100%, $E$9)</f>
        <v>9.609</v>
      </c>
      <c r="G293" s="10">
        <f>CHOOSE(CONTROL!$C$42, 9.6255, 9.6255)*CHOOSE(CONTROL!$C$21, $C$9, 100%, $E$9)</f>
        <v>9.6255000000000006</v>
      </c>
      <c r="H293" s="10">
        <f>CHOOSE(CONTROL!$C$42, 9.8503, 9.8503) * CHOOSE(CONTROL!$C$21, $C$9, 100%, $E$9)</f>
        <v>9.8503000000000007</v>
      </c>
      <c r="I293" s="10">
        <f>CHOOSE(CONTROL!$C$42, 9.6303, 9.6303)* CHOOSE(CONTROL!$C$21, $C$9, 100%, $E$9)</f>
        <v>9.6303000000000001</v>
      </c>
      <c r="J293" s="10">
        <f>CHOOSE(CONTROL!$C$42, 9.602, 9.602)* CHOOSE(CONTROL!$C$21, $C$9, 100%, $E$9)</f>
        <v>9.6020000000000003</v>
      </c>
      <c r="K293" s="10">
        <f>CHOOSE(CONTROL!$C$42, 9.4911, 9.4911) * CHOOSE(CONTROL!$C$21, $C$9, 100%, $E$9)</f>
        <v>9.4910999999999994</v>
      </c>
      <c r="L293" s="10">
        <f>CHOOSE(CONTROL!$C$42, 10.4373, 10.4373) * CHOOSE(CONTROL!$C$21, $C$9, 100%, $E$9)</f>
        <v>10.4373</v>
      </c>
      <c r="M293" s="10">
        <f>CHOOSE(CONTROL!$C$42, 9.519, 9.519) * CHOOSE(CONTROL!$C$21, $C$9, 100%, $E$9)</f>
        <v>9.5190000000000001</v>
      </c>
      <c r="N293" s="10">
        <f>CHOOSE(CONTROL!$C$42, 9.5353, 9.5353) * CHOOSE(CONTROL!$C$21, $C$9, 100%, $E$9)</f>
        <v>9.5352999999999994</v>
      </c>
      <c r="O293" s="10">
        <f>CHOOSE(CONTROL!$C$42, 9.7648, 9.7648) * CHOOSE(CONTROL!$C$21, $C$9, 100%, $E$9)</f>
        <v>9.7647999999999993</v>
      </c>
      <c r="P293" s="10">
        <f>CHOOSE(CONTROL!$C$42, 9.5469, 9.5469) * CHOOSE(CONTROL!$C$21, $C$9, 100%, $E$9)</f>
        <v>9.5469000000000008</v>
      </c>
      <c r="Q293" s="10">
        <f>CHOOSE(CONTROL!$C$42, 10.3601, 10.3601) * CHOOSE(CONTROL!$C$21, $C$9, 100%, $E$9)</f>
        <v>10.360099999999999</v>
      </c>
      <c r="R293" s="10">
        <f>CHOOSE(CONTROL!$C$42, 10.973, 10.973) * CHOOSE(CONTROL!$C$21, $C$9, 100%, $E$9)</f>
        <v>10.973000000000001</v>
      </c>
      <c r="S293" s="10">
        <f>CHOOSE(CONTROL!$C$42, 9.3627, 9.3627) * CHOOSE(CONTROL!$C$21, $C$9, 100%, $E$9)</f>
        <v>9.3627000000000002</v>
      </c>
      <c r="T2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38">
        <f>(1000*CHOOSE(CONTROL!$C$42, 695, 695)*CHOOSE(CONTROL!$C$42, 0.5599, 0.5599)*CHOOSE(CONTROL!$C$42, 31, 31))/1000000</f>
        <v>12.063045499999998</v>
      </c>
      <c r="V293" s="38">
        <f>(1000*CHOOSE(CONTROL!$C$42, 500, 500)*CHOOSE(CONTROL!$C$42, 0.275, 0.275)*CHOOSE(CONTROL!$C$42, 31, 31))/1000000</f>
        <v>4.2625000000000002</v>
      </c>
      <c r="W293" s="38">
        <f>(1000*CHOOSE(CONTROL!$C$42, 0.1146, 0.1146)*CHOOSE(CONTROL!$C$42, 121.5, 121.5)*CHOOSE(CONTROL!$C$42, 31, 31))/1000000</f>
        <v>0.43164089999999994</v>
      </c>
      <c r="X293" s="38">
        <f>(31*0.1790888*245000/1000000)+(31*0.2374*100000/1000000)</f>
        <v>2.0961194359999999</v>
      </c>
      <c r="Y293" s="38">
        <f>(1000*600*CHOOSE(CONTROL!$C$42, 1.6406, 1.6406)*CHOOSE(CONTROL!$C$42, 31, 31))/1000000</f>
        <v>30.515160000000002</v>
      </c>
      <c r="Z293" s="38"/>
      <c r="AA293" s="10"/>
      <c r="AB293" s="39"/>
      <c r="AC293" s="33">
        <f>(B293*194.205+C293*267.466+D293*133.845+E293*53.484+F293*40+G293*185+H293*0+I293*100+J293*300)/(194.205+267.466+133.845+53.484+0+40+185+100+300)</f>
        <v>9.6602670846938796</v>
      </c>
      <c r="AD293" s="27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9.5957323741007183</v>
      </c>
    </row>
    <row r="294" spans="1:30" ht="15" x14ac:dyDescent="0.2">
      <c r="A294" s="15">
        <v>50192</v>
      </c>
      <c r="B294" s="10">
        <f>CHOOSE(CONTROL!$C$42, 9.9191, 9.9191) * CHOOSE(CONTROL!$C$21, $C$9, 100%, $E$9)</f>
        <v>9.9191000000000003</v>
      </c>
      <c r="C294" s="10">
        <f>CHOOSE(CONTROL!$C$42, 9.927, 9.927) * CHOOSE(CONTROL!$C$21, $C$9, 100%, $E$9)</f>
        <v>9.9269999999999996</v>
      </c>
      <c r="D294" s="10">
        <f>CHOOSE(CONTROL!$C$42, 10.104, 10.104) * CHOOSE(CONTROL!$C$21, $C$9, 100%, $E$9)</f>
        <v>10.103999999999999</v>
      </c>
      <c r="E294" s="10">
        <f>CHOOSE(CONTROL!$C$42, 10.1352, 10.1352) * CHOOSE(CONTROL!$C$21, $C$9, 100%, $E$9)</f>
        <v>10.135199999999999</v>
      </c>
      <c r="F294" s="10">
        <f>CHOOSE(CONTROL!$C$42, 9.8827, 9.8827)*CHOOSE(CONTROL!$C$21, $C$9, 100%, $E$9)</f>
        <v>9.8826999999999998</v>
      </c>
      <c r="G294" s="10">
        <f>CHOOSE(CONTROL!$C$42, 9.8992, 9.8992)*CHOOSE(CONTROL!$C$21, $C$9, 100%, $E$9)</f>
        <v>9.8992000000000004</v>
      </c>
      <c r="H294" s="10">
        <f>CHOOSE(CONTROL!$C$42, 10.1238, 10.1238) * CHOOSE(CONTROL!$C$21, $C$9, 100%, $E$9)</f>
        <v>10.123799999999999</v>
      </c>
      <c r="I294" s="10">
        <f>CHOOSE(CONTROL!$C$42, 9.9037, 9.9037)* CHOOSE(CONTROL!$C$21, $C$9, 100%, $E$9)</f>
        <v>9.9037000000000006</v>
      </c>
      <c r="J294" s="10">
        <f>CHOOSE(CONTROL!$C$42, 9.8757, 9.8757)* CHOOSE(CONTROL!$C$21, $C$9, 100%, $E$9)</f>
        <v>9.8757000000000001</v>
      </c>
      <c r="K294" s="10">
        <f>CHOOSE(CONTROL!$C$42, 9.7571, 9.7571) * CHOOSE(CONTROL!$C$21, $C$9, 100%, $E$9)</f>
        <v>9.7570999999999994</v>
      </c>
      <c r="L294" s="10">
        <f>CHOOSE(CONTROL!$C$42, 10.7108, 10.7108) * CHOOSE(CONTROL!$C$21, $C$9, 100%, $E$9)</f>
        <v>10.710800000000001</v>
      </c>
      <c r="M294" s="10">
        <f>CHOOSE(CONTROL!$C$42, 9.7898, 9.7898) * CHOOSE(CONTROL!$C$21, $C$9, 100%, $E$9)</f>
        <v>9.7897999999999996</v>
      </c>
      <c r="N294" s="10">
        <f>CHOOSE(CONTROL!$C$42, 9.8062, 9.8062) * CHOOSE(CONTROL!$C$21, $C$9, 100%, $E$9)</f>
        <v>9.8062000000000005</v>
      </c>
      <c r="O294" s="10">
        <f>CHOOSE(CONTROL!$C$42, 10.0355, 10.0355) * CHOOSE(CONTROL!$C$21, $C$9, 100%, $E$9)</f>
        <v>10.035500000000001</v>
      </c>
      <c r="P294" s="10">
        <f>CHOOSE(CONTROL!$C$42, 9.8176, 9.8176) * CHOOSE(CONTROL!$C$21, $C$9, 100%, $E$9)</f>
        <v>9.8176000000000005</v>
      </c>
      <c r="Q294" s="10">
        <f>CHOOSE(CONTROL!$C$42, 10.6308, 10.6308) * CHOOSE(CONTROL!$C$21, $C$9, 100%, $E$9)</f>
        <v>10.630800000000001</v>
      </c>
      <c r="R294" s="10">
        <f>CHOOSE(CONTROL!$C$42, 11.2443, 11.2443) * CHOOSE(CONTROL!$C$21, $C$9, 100%, $E$9)</f>
        <v>11.244300000000001</v>
      </c>
      <c r="S294" s="10">
        <f>CHOOSE(CONTROL!$C$42, 9.6282, 9.6282) * CHOOSE(CONTROL!$C$21, $C$9, 100%, $E$9)</f>
        <v>9.6281999999999996</v>
      </c>
      <c r="T2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38">
        <f>(1000*CHOOSE(CONTROL!$C$42, 695, 695)*CHOOSE(CONTROL!$C$42, 0.5599, 0.5599)*CHOOSE(CONTROL!$C$42, 30, 30))/1000000</f>
        <v>11.673914999999997</v>
      </c>
      <c r="V294" s="38">
        <f>(1000*CHOOSE(CONTROL!$C$42, 500, 500)*CHOOSE(CONTROL!$C$42, 0.275, 0.275)*CHOOSE(CONTROL!$C$42, 30, 30))/1000000</f>
        <v>4.125</v>
      </c>
      <c r="W294" s="38">
        <f>(1000*CHOOSE(CONTROL!$C$42, 0.1146, 0.1146)*CHOOSE(CONTROL!$C$42, 121.5, 121.5)*CHOOSE(CONTROL!$C$42, 30, 30))/1000000</f>
        <v>0.417717</v>
      </c>
      <c r="X294" s="38">
        <f>(30*0.1790888*245000/1000000)+(30*0.2374*100000/1000000)</f>
        <v>2.0285026799999999</v>
      </c>
      <c r="Y294" s="38">
        <f>(1000*600*CHOOSE(CONTROL!$C$42, 1.6406, 1.6406)*CHOOSE(CONTROL!$C$42, 30, 30))/1000000</f>
        <v>29.530799999999999</v>
      </c>
      <c r="Z294" s="38"/>
      <c r="AA294" s="10"/>
      <c r="AB294" s="39"/>
      <c r="AC294" s="33">
        <f>(B294*194.205+C294*267.466+D294*133.845+E294*53.484+F294*40+G294*185+H294*0+I294*100+J294*300)/(194.205+267.466+133.845+53.484+0+40+185+100+300)</f>
        <v>9.9337949091836748</v>
      </c>
      <c r="AD294" s="27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9.8665129496402884</v>
      </c>
    </row>
    <row r="295" spans="1:30" ht="15" x14ac:dyDescent="0.2">
      <c r="A295" s="15">
        <v>50222</v>
      </c>
      <c r="B295" s="10">
        <f>CHOOSE(CONTROL!$C$42, 9.7289, 9.7289) * CHOOSE(CONTROL!$C$21, $C$9, 100%, $E$9)</f>
        <v>9.7288999999999994</v>
      </c>
      <c r="C295" s="10">
        <f>CHOOSE(CONTROL!$C$42, 9.7368, 9.7368) * CHOOSE(CONTROL!$C$21, $C$9, 100%, $E$9)</f>
        <v>9.7368000000000006</v>
      </c>
      <c r="D295" s="10">
        <f>CHOOSE(CONTROL!$C$42, 9.9138, 9.9138) * CHOOSE(CONTROL!$C$21, $C$9, 100%, $E$9)</f>
        <v>9.9138000000000002</v>
      </c>
      <c r="E295" s="10">
        <f>CHOOSE(CONTROL!$C$42, 9.945, 9.945) * CHOOSE(CONTROL!$C$21, $C$9, 100%, $E$9)</f>
        <v>9.9450000000000003</v>
      </c>
      <c r="F295" s="10">
        <f>CHOOSE(CONTROL!$C$42, 9.6927, 9.6927)*CHOOSE(CONTROL!$C$21, $C$9, 100%, $E$9)</f>
        <v>9.6927000000000003</v>
      </c>
      <c r="G295" s="10">
        <f>CHOOSE(CONTROL!$C$42, 9.7093, 9.7093)*CHOOSE(CONTROL!$C$21, $C$9, 100%, $E$9)</f>
        <v>9.7093000000000007</v>
      </c>
      <c r="H295" s="10">
        <f>CHOOSE(CONTROL!$C$42, 9.9336, 9.9336) * CHOOSE(CONTROL!$C$21, $C$9, 100%, $E$9)</f>
        <v>9.9336000000000002</v>
      </c>
      <c r="I295" s="10">
        <f>CHOOSE(CONTROL!$C$42, 9.7135, 9.7135)* CHOOSE(CONTROL!$C$21, $C$9, 100%, $E$9)</f>
        <v>9.7134999999999998</v>
      </c>
      <c r="J295" s="10">
        <f>CHOOSE(CONTROL!$C$42, 9.6857, 9.6857)* CHOOSE(CONTROL!$C$21, $C$9, 100%, $E$9)</f>
        <v>9.6857000000000006</v>
      </c>
      <c r="K295" s="10">
        <f>CHOOSE(CONTROL!$C$42, 9.5729, 9.5729) * CHOOSE(CONTROL!$C$21, $C$9, 100%, $E$9)</f>
        <v>9.5729000000000006</v>
      </c>
      <c r="L295" s="10">
        <f>CHOOSE(CONTROL!$C$42, 10.5206, 10.5206) * CHOOSE(CONTROL!$C$21, $C$9, 100%, $E$9)</f>
        <v>10.5206</v>
      </c>
      <c r="M295" s="10">
        <f>CHOOSE(CONTROL!$C$42, 9.6018, 9.6018) * CHOOSE(CONTROL!$C$21, $C$9, 100%, $E$9)</f>
        <v>9.6018000000000008</v>
      </c>
      <c r="N295" s="10">
        <f>CHOOSE(CONTROL!$C$42, 9.6182, 9.6182) * CHOOSE(CONTROL!$C$21, $C$9, 100%, $E$9)</f>
        <v>9.6181999999999999</v>
      </c>
      <c r="O295" s="10">
        <f>CHOOSE(CONTROL!$C$42, 9.8472, 9.8472) * CHOOSE(CONTROL!$C$21, $C$9, 100%, $E$9)</f>
        <v>9.8472000000000008</v>
      </c>
      <c r="P295" s="10">
        <f>CHOOSE(CONTROL!$C$42, 9.6294, 9.6294) * CHOOSE(CONTROL!$C$21, $C$9, 100%, $E$9)</f>
        <v>9.6294000000000004</v>
      </c>
      <c r="Q295" s="10">
        <f>CHOOSE(CONTROL!$C$42, 10.4425, 10.4425) * CHOOSE(CONTROL!$C$21, $C$9, 100%, $E$9)</f>
        <v>10.442500000000001</v>
      </c>
      <c r="R295" s="10">
        <f>CHOOSE(CONTROL!$C$42, 11.0556, 11.0556) * CHOOSE(CONTROL!$C$21, $C$9, 100%, $E$9)</f>
        <v>11.0556</v>
      </c>
      <c r="S295" s="10">
        <f>CHOOSE(CONTROL!$C$42, 9.4435, 9.4435) * CHOOSE(CONTROL!$C$21, $C$9, 100%, $E$9)</f>
        <v>9.4435000000000002</v>
      </c>
      <c r="T2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38">
        <f>(1000*CHOOSE(CONTROL!$C$42, 695, 695)*CHOOSE(CONTROL!$C$42, 0.5599, 0.5599)*CHOOSE(CONTROL!$C$42, 31, 31))/1000000</f>
        <v>12.063045499999998</v>
      </c>
      <c r="V295" s="38">
        <f>(1000*CHOOSE(CONTROL!$C$42, 500, 500)*CHOOSE(CONTROL!$C$42, 0.275, 0.275)*CHOOSE(CONTROL!$C$42, 31, 31))/1000000</f>
        <v>4.2625000000000002</v>
      </c>
      <c r="W295" s="38">
        <f>(1000*CHOOSE(CONTROL!$C$42, 0.1146, 0.1146)*CHOOSE(CONTROL!$C$42, 121.5, 121.5)*CHOOSE(CONTROL!$C$42, 31, 31))/1000000</f>
        <v>0.43164089999999994</v>
      </c>
      <c r="X295" s="38">
        <f>(31*0.1790888*245000/1000000)+(31*0.2374*100000/1000000)</f>
        <v>2.0961194359999999</v>
      </c>
      <c r="Y295" s="38">
        <f>(1000*600*CHOOSE(CONTROL!$C$42, 1.6406, 1.6406)*CHOOSE(CONTROL!$C$42, 31, 31))/1000000</f>
        <v>30.515160000000002</v>
      </c>
      <c r="Z295" s="38"/>
      <c r="AA295" s="10"/>
      <c r="AB295" s="39"/>
      <c r="AC295" s="33">
        <f>(B295*194.205+C295*267.466+D295*133.845+E295*53.484+F295*40+G295*185+H295*0+I295*100+J295*300)/(194.205+267.466+133.845+53.484+0+40+185+100+300)</f>
        <v>9.7436918479591839</v>
      </c>
      <c r="AD295" s="27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9.6784000000000017</v>
      </c>
    </row>
    <row r="296" spans="1:30" ht="15" x14ac:dyDescent="0.2">
      <c r="A296" s="15">
        <v>50253</v>
      </c>
      <c r="B296" s="10">
        <f>CHOOSE(CONTROL!$C$42, 9.2486, 9.2486) * CHOOSE(CONTROL!$C$21, $C$9, 100%, $E$9)</f>
        <v>9.2485999999999997</v>
      </c>
      <c r="C296" s="10">
        <f>CHOOSE(CONTROL!$C$42, 9.2566, 9.2566) * CHOOSE(CONTROL!$C$21, $C$9, 100%, $E$9)</f>
        <v>9.2566000000000006</v>
      </c>
      <c r="D296" s="10">
        <f>CHOOSE(CONTROL!$C$42, 9.4335, 9.4335) * CHOOSE(CONTROL!$C$21, $C$9, 100%, $E$9)</f>
        <v>9.4335000000000004</v>
      </c>
      <c r="E296" s="10">
        <f>CHOOSE(CONTROL!$C$42, 9.4647, 9.4647) * CHOOSE(CONTROL!$C$21, $C$9, 100%, $E$9)</f>
        <v>9.4647000000000006</v>
      </c>
      <c r="F296" s="10">
        <f>CHOOSE(CONTROL!$C$42, 9.2125, 9.2125)*CHOOSE(CONTROL!$C$21, $C$9, 100%, $E$9)</f>
        <v>9.2125000000000004</v>
      </c>
      <c r="G296" s="10">
        <f>CHOOSE(CONTROL!$C$42, 9.2291, 9.2291)*CHOOSE(CONTROL!$C$21, $C$9, 100%, $E$9)</f>
        <v>9.2291000000000007</v>
      </c>
      <c r="H296" s="10">
        <f>CHOOSE(CONTROL!$C$42, 9.4533, 9.4533) * CHOOSE(CONTROL!$C$21, $C$9, 100%, $E$9)</f>
        <v>9.4533000000000005</v>
      </c>
      <c r="I296" s="10">
        <f>CHOOSE(CONTROL!$C$42, 9.2332, 9.2332)* CHOOSE(CONTROL!$C$21, $C$9, 100%, $E$9)</f>
        <v>9.2332000000000001</v>
      </c>
      <c r="J296" s="10">
        <f>CHOOSE(CONTROL!$C$42, 9.2055, 9.2055)* CHOOSE(CONTROL!$C$21, $C$9, 100%, $E$9)</f>
        <v>9.2055000000000007</v>
      </c>
      <c r="K296" s="10">
        <f>CHOOSE(CONTROL!$C$42, 9.1064, 9.1064) * CHOOSE(CONTROL!$C$21, $C$9, 100%, $E$9)</f>
        <v>9.1064000000000007</v>
      </c>
      <c r="L296" s="10">
        <f>CHOOSE(CONTROL!$C$42, 10.0403, 10.0403) * CHOOSE(CONTROL!$C$21, $C$9, 100%, $E$9)</f>
        <v>10.0403</v>
      </c>
      <c r="M296" s="10">
        <f>CHOOSE(CONTROL!$C$42, 9.1264, 9.1264) * CHOOSE(CONTROL!$C$21, $C$9, 100%, $E$9)</f>
        <v>9.1264000000000003</v>
      </c>
      <c r="N296" s="10">
        <f>CHOOSE(CONTROL!$C$42, 9.1429, 9.1429) * CHOOSE(CONTROL!$C$21, $C$9, 100%, $E$9)</f>
        <v>9.1428999999999991</v>
      </c>
      <c r="O296" s="10">
        <f>CHOOSE(CONTROL!$C$42, 9.3717, 9.3717) * CHOOSE(CONTROL!$C$21, $C$9, 100%, $E$9)</f>
        <v>9.3717000000000006</v>
      </c>
      <c r="P296" s="10">
        <f>CHOOSE(CONTROL!$C$42, 9.1539, 9.1539) * CHOOSE(CONTROL!$C$21, $C$9, 100%, $E$9)</f>
        <v>9.1539000000000001</v>
      </c>
      <c r="Q296" s="10">
        <f>CHOOSE(CONTROL!$C$42, 9.967, 9.967) * CHOOSE(CONTROL!$C$21, $C$9, 100%, $E$9)</f>
        <v>9.9670000000000005</v>
      </c>
      <c r="R296" s="10">
        <f>CHOOSE(CONTROL!$C$42, 10.579, 10.579) * CHOOSE(CONTROL!$C$21, $C$9, 100%, $E$9)</f>
        <v>10.579000000000001</v>
      </c>
      <c r="S296" s="10">
        <f>CHOOSE(CONTROL!$C$42, 8.9771, 8.9771) * CHOOSE(CONTROL!$C$21, $C$9, 100%, $E$9)</f>
        <v>8.9771000000000001</v>
      </c>
      <c r="T2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38">
        <f>(1000*CHOOSE(CONTROL!$C$42, 695, 695)*CHOOSE(CONTROL!$C$42, 0.5599, 0.5599)*CHOOSE(CONTROL!$C$42, 31, 31))/1000000</f>
        <v>12.063045499999998</v>
      </c>
      <c r="V296" s="38">
        <f>(1000*CHOOSE(CONTROL!$C$42, 500, 500)*CHOOSE(CONTROL!$C$42, 0.275, 0.275)*CHOOSE(CONTROL!$C$42, 31, 31))/1000000</f>
        <v>4.2625000000000002</v>
      </c>
      <c r="W296" s="38">
        <f>(1000*CHOOSE(CONTROL!$C$42, 0.1146, 0.1146)*CHOOSE(CONTROL!$C$42, 121.5, 121.5)*CHOOSE(CONTROL!$C$42, 31, 31))/1000000</f>
        <v>0.43164089999999994</v>
      </c>
      <c r="X296" s="38">
        <f>(31*0.1790888*245000/1000000)+(31*0.2374*100000/1000000)</f>
        <v>2.0961194359999999</v>
      </c>
      <c r="Y296" s="38">
        <f>(1000*600*CHOOSE(CONTROL!$C$42, 1.6406, 1.6406)*CHOOSE(CONTROL!$C$42, 31, 31))/1000000</f>
        <v>30.515160000000002</v>
      </c>
      <c r="Z296" s="38"/>
      <c r="AA296" s="10"/>
      <c r="AB296" s="39"/>
      <c r="AC296" s="33">
        <f>(B296*194.205+C296*267.466+D296*133.845+E296*53.484+F296*40+G296*185+H296*0+I296*100+J296*300)/(194.205+267.466+133.845+53.484+0+40+185+100+300)</f>
        <v>9.263454050941915</v>
      </c>
      <c r="AD296" s="27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9.2029805755395682</v>
      </c>
    </row>
    <row r="297" spans="1:30" ht="15" x14ac:dyDescent="0.2">
      <c r="A297" s="15">
        <v>50284</v>
      </c>
      <c r="B297" s="10">
        <f>CHOOSE(CONTROL!$C$42, 8.6618, 8.6618) * CHOOSE(CONTROL!$C$21, $C$9, 100%, $E$9)</f>
        <v>8.6617999999999995</v>
      </c>
      <c r="C297" s="10">
        <f>CHOOSE(CONTROL!$C$42, 8.6697, 8.6697) * CHOOSE(CONTROL!$C$21, $C$9, 100%, $E$9)</f>
        <v>8.6697000000000006</v>
      </c>
      <c r="D297" s="10">
        <f>CHOOSE(CONTROL!$C$42, 8.8467, 8.8467) * CHOOSE(CONTROL!$C$21, $C$9, 100%, $E$9)</f>
        <v>8.8467000000000002</v>
      </c>
      <c r="E297" s="10">
        <f>CHOOSE(CONTROL!$C$42, 8.8779, 8.8779) * CHOOSE(CONTROL!$C$21, $C$9, 100%, $E$9)</f>
        <v>8.8779000000000003</v>
      </c>
      <c r="F297" s="10">
        <f>CHOOSE(CONTROL!$C$42, 8.6254, 8.6254)*CHOOSE(CONTROL!$C$21, $C$9, 100%, $E$9)</f>
        <v>8.6254000000000008</v>
      </c>
      <c r="G297" s="10">
        <f>CHOOSE(CONTROL!$C$42, 8.642, 8.642)*CHOOSE(CONTROL!$C$21, $C$9, 100%, $E$9)</f>
        <v>8.6419999999999995</v>
      </c>
      <c r="H297" s="10">
        <f>CHOOSE(CONTROL!$C$42, 8.8665, 8.8665) * CHOOSE(CONTROL!$C$21, $C$9, 100%, $E$9)</f>
        <v>8.8665000000000003</v>
      </c>
      <c r="I297" s="10">
        <f>CHOOSE(CONTROL!$C$42, 8.6464, 8.6464)* CHOOSE(CONTROL!$C$21, $C$9, 100%, $E$9)</f>
        <v>8.6463999999999999</v>
      </c>
      <c r="J297" s="10">
        <f>CHOOSE(CONTROL!$C$42, 8.6184, 8.6184)* CHOOSE(CONTROL!$C$21, $C$9, 100%, $E$9)</f>
        <v>8.6183999999999994</v>
      </c>
      <c r="K297" s="10">
        <f>CHOOSE(CONTROL!$C$42, 8.5357, 8.5357) * CHOOSE(CONTROL!$C$21, $C$9, 100%, $E$9)</f>
        <v>8.5357000000000003</v>
      </c>
      <c r="L297" s="10">
        <f>CHOOSE(CONTROL!$C$42, 9.4535, 9.4535) * CHOOSE(CONTROL!$C$21, $C$9, 100%, $E$9)</f>
        <v>9.4535</v>
      </c>
      <c r="M297" s="10">
        <f>CHOOSE(CONTROL!$C$42, 8.5453, 8.5453) * CHOOSE(CONTROL!$C$21, $C$9, 100%, $E$9)</f>
        <v>8.5452999999999992</v>
      </c>
      <c r="N297" s="10">
        <f>CHOOSE(CONTROL!$C$42, 8.5616, 8.5616) * CHOOSE(CONTROL!$C$21, $C$9, 100%, $E$9)</f>
        <v>8.5616000000000003</v>
      </c>
      <c r="O297" s="10">
        <f>CHOOSE(CONTROL!$C$42, 8.7908, 8.7908) * CHOOSE(CONTROL!$C$21, $C$9, 100%, $E$9)</f>
        <v>8.7908000000000008</v>
      </c>
      <c r="P297" s="10">
        <f>CHOOSE(CONTROL!$C$42, 8.573, 8.573) * CHOOSE(CONTROL!$C$21, $C$9, 100%, $E$9)</f>
        <v>8.5730000000000004</v>
      </c>
      <c r="Q297" s="10">
        <f>CHOOSE(CONTROL!$C$42, 9.3861, 9.3861) * CHOOSE(CONTROL!$C$21, $C$9, 100%, $E$9)</f>
        <v>9.3861000000000008</v>
      </c>
      <c r="R297" s="10">
        <f>CHOOSE(CONTROL!$C$42, 9.9966, 9.9966) * CHOOSE(CONTROL!$C$21, $C$9, 100%, $E$9)</f>
        <v>9.9966000000000008</v>
      </c>
      <c r="S297" s="10">
        <f>CHOOSE(CONTROL!$C$42, 8.4072, 8.4072) * CHOOSE(CONTROL!$C$21, $C$9, 100%, $E$9)</f>
        <v>8.4071999999999996</v>
      </c>
      <c r="T2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38">
        <f>(1000*CHOOSE(CONTROL!$C$42, 695, 695)*CHOOSE(CONTROL!$C$42, 0.5599, 0.5599)*CHOOSE(CONTROL!$C$42, 30, 30))/1000000</f>
        <v>11.673914999999997</v>
      </c>
      <c r="V297" s="38">
        <f>(1000*CHOOSE(CONTROL!$C$42, 500, 500)*CHOOSE(CONTROL!$C$42, 0.275, 0.275)*CHOOSE(CONTROL!$C$42, 30, 30))/1000000</f>
        <v>4.125</v>
      </c>
      <c r="W297" s="38">
        <f>(1000*CHOOSE(CONTROL!$C$42, 0.1146, 0.1146)*CHOOSE(CONTROL!$C$42, 121.5, 121.5)*CHOOSE(CONTROL!$C$42, 30, 30))/1000000</f>
        <v>0.417717</v>
      </c>
      <c r="X297" s="38">
        <f>(30*0.1790888*245000/1000000)+(30*0.2374*100000/1000000)</f>
        <v>2.0285026799999999</v>
      </c>
      <c r="Y297" s="38">
        <f>(1000*600*CHOOSE(CONTROL!$C$42, 1.6406, 1.6406)*CHOOSE(CONTROL!$C$42, 30, 30))/1000000</f>
        <v>29.530799999999999</v>
      </c>
      <c r="Z297" s="38"/>
      <c r="AA297" s="10"/>
      <c r="AB297" s="39"/>
      <c r="AC297" s="33">
        <f>(B297*194.205+C297*267.466+D297*133.845+E297*53.484+F297*40+G297*185+H297*0+I297*100+J297*300)/(194.205+267.466+133.845+53.484+0+40+185+100+300)</f>
        <v>8.6765094303767647</v>
      </c>
      <c r="AD297" s="27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8.6219194244604314</v>
      </c>
    </row>
    <row r="298" spans="1:30" ht="15" x14ac:dyDescent="0.2">
      <c r="A298" s="15">
        <v>50314</v>
      </c>
      <c r="B298" s="10">
        <f>CHOOSE(CONTROL!$C$42, 8.4839, 8.4839) * CHOOSE(CONTROL!$C$21, $C$9, 100%, $E$9)</f>
        <v>8.4839000000000002</v>
      </c>
      <c r="C298" s="10">
        <f>CHOOSE(CONTROL!$C$42, 8.4891, 8.4891) * CHOOSE(CONTROL!$C$21, $C$9, 100%, $E$9)</f>
        <v>8.4891000000000005</v>
      </c>
      <c r="D298" s="10">
        <f>CHOOSE(CONTROL!$C$42, 8.6711, 8.6711) * CHOOSE(CONTROL!$C$21, $C$9, 100%, $E$9)</f>
        <v>8.6710999999999991</v>
      </c>
      <c r="E298" s="10">
        <f>CHOOSE(CONTROL!$C$42, 8.6999, 8.6999) * CHOOSE(CONTROL!$C$21, $C$9, 100%, $E$9)</f>
        <v>8.6998999999999995</v>
      </c>
      <c r="F298" s="10">
        <f>CHOOSE(CONTROL!$C$42, 8.4495, 8.4495)*CHOOSE(CONTROL!$C$21, $C$9, 100%, $E$9)</f>
        <v>8.4495000000000005</v>
      </c>
      <c r="G298" s="10">
        <f>CHOOSE(CONTROL!$C$42, 8.4658, 8.4658)*CHOOSE(CONTROL!$C$21, $C$9, 100%, $E$9)</f>
        <v>8.4657999999999998</v>
      </c>
      <c r="H298" s="10">
        <f>CHOOSE(CONTROL!$C$42, 8.6903, 8.6903) * CHOOSE(CONTROL!$C$21, $C$9, 100%, $E$9)</f>
        <v>8.6903000000000006</v>
      </c>
      <c r="I298" s="10">
        <f>CHOOSE(CONTROL!$C$42, 8.4703, 8.4703)* CHOOSE(CONTROL!$C$21, $C$9, 100%, $E$9)</f>
        <v>8.4702999999999999</v>
      </c>
      <c r="J298" s="10">
        <f>CHOOSE(CONTROL!$C$42, 8.4425, 8.4425)* CHOOSE(CONTROL!$C$21, $C$9, 100%, $E$9)</f>
        <v>8.4425000000000008</v>
      </c>
      <c r="K298" s="10">
        <f>CHOOSE(CONTROL!$C$42, 8.3651, 8.3651) * CHOOSE(CONTROL!$C$21, $C$9, 100%, $E$9)</f>
        <v>8.3651</v>
      </c>
      <c r="L298" s="10">
        <f>CHOOSE(CONTROL!$C$42, 9.2773, 9.2773) * CHOOSE(CONTROL!$C$21, $C$9, 100%, $E$9)</f>
        <v>9.2773000000000003</v>
      </c>
      <c r="M298" s="10">
        <f>CHOOSE(CONTROL!$C$42, 8.3711, 8.3711) * CHOOSE(CONTROL!$C$21, $C$9, 100%, $E$9)</f>
        <v>8.3711000000000002</v>
      </c>
      <c r="N298" s="10">
        <f>CHOOSE(CONTROL!$C$42, 8.3872, 8.3872) * CHOOSE(CONTROL!$C$21, $C$9, 100%, $E$9)</f>
        <v>8.3872</v>
      </c>
      <c r="O298" s="10">
        <f>CHOOSE(CONTROL!$C$42, 8.6165, 8.6165) * CHOOSE(CONTROL!$C$21, $C$9, 100%, $E$9)</f>
        <v>8.6165000000000003</v>
      </c>
      <c r="P298" s="10">
        <f>CHOOSE(CONTROL!$C$42, 8.3987, 8.3987) * CHOOSE(CONTROL!$C$21, $C$9, 100%, $E$9)</f>
        <v>8.3986999999999998</v>
      </c>
      <c r="Q298" s="10">
        <f>CHOOSE(CONTROL!$C$42, 9.2118, 9.2118) * CHOOSE(CONTROL!$C$21, $C$9, 100%, $E$9)</f>
        <v>9.2118000000000002</v>
      </c>
      <c r="R298" s="10">
        <f>CHOOSE(CONTROL!$C$42, 9.8218, 9.8218) * CHOOSE(CONTROL!$C$21, $C$9, 100%, $E$9)</f>
        <v>9.8217999999999996</v>
      </c>
      <c r="S298" s="10">
        <f>CHOOSE(CONTROL!$C$42, 8.2362, 8.2362) * CHOOSE(CONTROL!$C$21, $C$9, 100%, $E$9)</f>
        <v>8.2362000000000002</v>
      </c>
      <c r="T2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38">
        <f>(1000*CHOOSE(CONTROL!$C$42, 695, 695)*CHOOSE(CONTROL!$C$42, 0.5599, 0.5599)*CHOOSE(CONTROL!$C$42, 31, 31))/1000000</f>
        <v>12.063045499999998</v>
      </c>
      <c r="V298" s="38">
        <f>(1000*CHOOSE(CONTROL!$C$42, 500, 500)*CHOOSE(CONTROL!$C$42, 0.275, 0.275)*CHOOSE(CONTROL!$C$42, 31, 31))/1000000</f>
        <v>4.2625000000000002</v>
      </c>
      <c r="W298" s="38">
        <f>(1000*CHOOSE(CONTROL!$C$42, 0.1146, 0.1146)*CHOOSE(CONTROL!$C$42, 121.5, 121.5)*CHOOSE(CONTROL!$C$42, 31, 31))/1000000</f>
        <v>0.43164089999999994</v>
      </c>
      <c r="X298" s="38">
        <f>(31*0.1790888*245000/1000000)+(31*0.2374*100000/1000000)</f>
        <v>2.0961194359999999</v>
      </c>
      <c r="Y298" s="38">
        <f>(1000*600*CHOOSE(CONTROL!$C$42, 1.6406, 1.6406)*CHOOSE(CONTROL!$C$42, 31, 31))/1000000</f>
        <v>30.515160000000002</v>
      </c>
      <c r="Z298" s="38"/>
      <c r="AA298" s="10"/>
      <c r="AB298" s="39"/>
      <c r="AC298" s="33">
        <f>(B298*131.881+C298*277.167+D298*79.08+E298*125.872+F298*40+G298*185+H298*0+I298*100+J298*300)/(131.881+277.167+79.08+125.872+0+40+185+100+300)</f>
        <v>8.504020174656981</v>
      </c>
      <c r="AD298" s="27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8.447630935251798</v>
      </c>
    </row>
    <row r="299" spans="1:30" ht="15" x14ac:dyDescent="0.2">
      <c r="A299" s="15">
        <v>50345</v>
      </c>
      <c r="B299" s="10">
        <f>CHOOSE(CONTROL!$C$42, 8.7069, 8.7069) * CHOOSE(CONTROL!$C$21, $C$9, 100%, $E$9)</f>
        <v>8.7068999999999992</v>
      </c>
      <c r="C299" s="10">
        <f>CHOOSE(CONTROL!$C$42, 8.7119, 8.7119) * CHOOSE(CONTROL!$C$21, $C$9, 100%, $E$9)</f>
        <v>8.7119</v>
      </c>
      <c r="D299" s="10">
        <f>CHOOSE(CONTROL!$C$42, 8.7363, 8.7363) * CHOOSE(CONTROL!$C$21, $C$9, 100%, $E$9)</f>
        <v>8.7363</v>
      </c>
      <c r="E299" s="10">
        <f>CHOOSE(CONTROL!$C$42, 8.7701, 8.7701) * CHOOSE(CONTROL!$C$21, $C$9, 100%, $E$9)</f>
        <v>8.7700999999999993</v>
      </c>
      <c r="F299" s="10">
        <f>CHOOSE(CONTROL!$C$42, 8.6762, 8.6762)*CHOOSE(CONTROL!$C$21, $C$9, 100%, $E$9)</f>
        <v>8.6761999999999997</v>
      </c>
      <c r="G299" s="10">
        <f>CHOOSE(CONTROL!$C$42, 8.6927, 8.6927)*CHOOSE(CONTROL!$C$21, $C$9, 100%, $E$9)</f>
        <v>8.6927000000000003</v>
      </c>
      <c r="H299" s="10">
        <f>CHOOSE(CONTROL!$C$42, 8.7593, 8.7593) * CHOOSE(CONTROL!$C$21, $C$9, 100%, $E$9)</f>
        <v>8.7592999999999996</v>
      </c>
      <c r="I299" s="10">
        <f>CHOOSE(CONTROL!$C$42, 8.6937, 8.6937)* CHOOSE(CONTROL!$C$21, $C$9, 100%, $E$9)</f>
        <v>8.6936999999999998</v>
      </c>
      <c r="J299" s="10">
        <f>CHOOSE(CONTROL!$C$42, 8.6692, 8.6692)* CHOOSE(CONTROL!$C$21, $C$9, 100%, $E$9)</f>
        <v>8.6692</v>
      </c>
      <c r="K299" s="10">
        <f>CHOOSE(CONTROL!$C$42, 8.5837, 8.5837) * CHOOSE(CONTROL!$C$21, $C$9, 100%, $E$9)</f>
        <v>8.5837000000000003</v>
      </c>
      <c r="L299" s="10">
        <f>CHOOSE(CONTROL!$C$42, 9.3463, 9.3463) * CHOOSE(CONTROL!$C$21, $C$9, 100%, $E$9)</f>
        <v>9.3462999999999994</v>
      </c>
      <c r="M299" s="10">
        <f>CHOOSE(CONTROL!$C$42, 8.5956, 8.5956) * CHOOSE(CONTROL!$C$21, $C$9, 100%, $E$9)</f>
        <v>8.5955999999999992</v>
      </c>
      <c r="N299" s="10">
        <f>CHOOSE(CONTROL!$C$42, 8.6118, 8.6118) * CHOOSE(CONTROL!$C$21, $C$9, 100%, $E$9)</f>
        <v>8.6118000000000006</v>
      </c>
      <c r="O299" s="10">
        <f>CHOOSE(CONTROL!$C$42, 8.6847, 8.6847) * CHOOSE(CONTROL!$C$21, $C$9, 100%, $E$9)</f>
        <v>8.6846999999999994</v>
      </c>
      <c r="P299" s="10">
        <f>CHOOSE(CONTROL!$C$42, 8.6198, 8.6198) * CHOOSE(CONTROL!$C$21, $C$9, 100%, $E$9)</f>
        <v>8.6197999999999997</v>
      </c>
      <c r="Q299" s="10">
        <f>CHOOSE(CONTROL!$C$42, 9.28, 9.28) * CHOOSE(CONTROL!$C$21, $C$9, 100%, $E$9)</f>
        <v>9.2799999999999994</v>
      </c>
      <c r="R299" s="10">
        <f>CHOOSE(CONTROL!$C$42, 9.8902, 9.8902) * CHOOSE(CONTROL!$C$21, $C$9, 100%, $E$9)</f>
        <v>9.8902000000000001</v>
      </c>
      <c r="S299" s="10">
        <f>CHOOSE(CONTROL!$C$42, 8.4531, 8.4531) * CHOOSE(CONTROL!$C$21, $C$9, 100%, $E$9)</f>
        <v>8.4530999999999992</v>
      </c>
      <c r="T2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38">
        <f>(1000*CHOOSE(CONTROL!$C$42, 695, 695)*CHOOSE(CONTROL!$C$42, 0.5599, 0.5599)*CHOOSE(CONTROL!$C$42, 30, 30))/1000000</f>
        <v>11.673914999999997</v>
      </c>
      <c r="V299" s="38">
        <f>(1000*CHOOSE(CONTROL!$C$42, 500, 500)*CHOOSE(CONTROL!$C$42, 0.275, 0.275)*CHOOSE(CONTROL!$C$42, 30, 30))/1000000</f>
        <v>4.125</v>
      </c>
      <c r="W299" s="38">
        <f>(1000*CHOOSE(CONTROL!$C$42, 0.1146, 0.1146)*CHOOSE(CONTROL!$C$42, 121.5, 121.5)*CHOOSE(CONTROL!$C$42, 30, 30))/1000000</f>
        <v>0.417717</v>
      </c>
      <c r="X299" s="38">
        <f>(30*0.1790888*100000/1000000)+(30*0.2374*100000/1000000)</f>
        <v>1.2494664</v>
      </c>
      <c r="Y299" s="38">
        <f>(1000*600*CHOOSE(CONTROL!$C$42, 1.6406, 1.6406)*CHOOSE(CONTROL!$C$42, 30, 30))/1000000</f>
        <v>29.530799999999999</v>
      </c>
      <c r="Z299" s="38"/>
      <c r="AA299" s="10"/>
      <c r="AB299" s="39"/>
      <c r="AC299" s="33">
        <f>(B299*122.58+C299*297.941+D299*89.177+E299*40.302+F299*40+G299*160+H299*0+I299*100+J299*300)/(122.58+297.941+89.177+40.302+0+40+160+100+300)</f>
        <v>8.6986639958260881</v>
      </c>
      <c r="AD299" s="27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8.6403978417266174</v>
      </c>
    </row>
    <row r="300" spans="1:30" ht="15" x14ac:dyDescent="0.2">
      <c r="A300" s="15">
        <v>50375</v>
      </c>
      <c r="B300" s="10">
        <f>CHOOSE(CONTROL!$C$42, 9.3003, 9.3003) * CHOOSE(CONTROL!$C$21, $C$9, 100%, $E$9)</f>
        <v>9.3003</v>
      </c>
      <c r="C300" s="10">
        <f>CHOOSE(CONTROL!$C$42, 9.3053, 9.3053) * CHOOSE(CONTROL!$C$21, $C$9, 100%, $E$9)</f>
        <v>9.3053000000000008</v>
      </c>
      <c r="D300" s="10">
        <f>CHOOSE(CONTROL!$C$42, 9.3298, 9.3298) * CHOOSE(CONTROL!$C$21, $C$9, 100%, $E$9)</f>
        <v>9.3298000000000005</v>
      </c>
      <c r="E300" s="10">
        <f>CHOOSE(CONTROL!$C$42, 9.3635, 9.3635) * CHOOSE(CONTROL!$C$21, $C$9, 100%, $E$9)</f>
        <v>9.3635000000000002</v>
      </c>
      <c r="F300" s="10">
        <f>CHOOSE(CONTROL!$C$42, 9.272, 9.272)*CHOOSE(CONTROL!$C$21, $C$9, 100%, $E$9)</f>
        <v>9.2720000000000002</v>
      </c>
      <c r="G300" s="10">
        <f>CHOOSE(CONTROL!$C$42, 9.289, 9.289)*CHOOSE(CONTROL!$C$21, $C$9, 100%, $E$9)</f>
        <v>9.2889999999999997</v>
      </c>
      <c r="H300" s="10">
        <f>CHOOSE(CONTROL!$C$42, 9.3527, 9.3527) * CHOOSE(CONTROL!$C$21, $C$9, 100%, $E$9)</f>
        <v>9.3527000000000005</v>
      </c>
      <c r="I300" s="10">
        <f>CHOOSE(CONTROL!$C$42, 9.2871, 9.2871)* CHOOSE(CONTROL!$C$21, $C$9, 100%, $E$9)</f>
        <v>9.2871000000000006</v>
      </c>
      <c r="J300" s="10">
        <f>CHOOSE(CONTROL!$C$42, 9.265, 9.265)* CHOOSE(CONTROL!$C$21, $C$9, 100%, $E$9)</f>
        <v>9.2650000000000006</v>
      </c>
      <c r="K300" s="10">
        <f>CHOOSE(CONTROL!$C$42, 9.1653, 9.1653) * CHOOSE(CONTROL!$C$21, $C$9, 100%, $E$9)</f>
        <v>9.1653000000000002</v>
      </c>
      <c r="L300" s="10">
        <f>CHOOSE(CONTROL!$C$42, 9.9397, 9.9397) * CHOOSE(CONTROL!$C$21, $C$9, 100%, $E$9)</f>
        <v>9.9397000000000002</v>
      </c>
      <c r="M300" s="10">
        <f>CHOOSE(CONTROL!$C$42, 9.1853, 9.1853) * CHOOSE(CONTROL!$C$21, $C$9, 100%, $E$9)</f>
        <v>9.1852999999999998</v>
      </c>
      <c r="N300" s="10">
        <f>CHOOSE(CONTROL!$C$42, 9.2022, 9.2022) * CHOOSE(CONTROL!$C$21, $C$9, 100%, $E$9)</f>
        <v>9.2021999999999995</v>
      </c>
      <c r="O300" s="10">
        <f>CHOOSE(CONTROL!$C$42, 9.2722, 9.2722) * CHOOSE(CONTROL!$C$21, $C$9, 100%, $E$9)</f>
        <v>9.2721999999999998</v>
      </c>
      <c r="P300" s="10">
        <f>CHOOSE(CONTROL!$C$42, 9.2073, 9.2073) * CHOOSE(CONTROL!$C$21, $C$9, 100%, $E$9)</f>
        <v>9.2073</v>
      </c>
      <c r="Q300" s="10">
        <f>CHOOSE(CONTROL!$C$42, 9.8675, 9.8675) * CHOOSE(CONTROL!$C$21, $C$9, 100%, $E$9)</f>
        <v>9.8674999999999997</v>
      </c>
      <c r="R300" s="10">
        <f>CHOOSE(CONTROL!$C$42, 10.4791, 10.4791) * CHOOSE(CONTROL!$C$21, $C$9, 100%, $E$9)</f>
        <v>10.479100000000001</v>
      </c>
      <c r="S300" s="10">
        <f>CHOOSE(CONTROL!$C$42, 9.0294, 9.0294) * CHOOSE(CONTROL!$C$21, $C$9, 100%, $E$9)</f>
        <v>9.0294000000000008</v>
      </c>
      <c r="T3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38">
        <f>(1000*CHOOSE(CONTROL!$C$42, 695, 695)*CHOOSE(CONTROL!$C$42, 0.5599, 0.5599)*CHOOSE(CONTROL!$C$42, 31, 31))/1000000</f>
        <v>12.063045499999998</v>
      </c>
      <c r="V300" s="38">
        <f>(1000*CHOOSE(CONTROL!$C$42, 500, 500)*CHOOSE(CONTROL!$C$42, 0.275, 0.275)*CHOOSE(CONTROL!$C$42, 31, 31))/1000000</f>
        <v>4.2625000000000002</v>
      </c>
      <c r="W300" s="38">
        <f>(1000*CHOOSE(CONTROL!$C$42, 0.1146, 0.1146)*CHOOSE(CONTROL!$C$42, 121.5, 121.5)*CHOOSE(CONTROL!$C$42, 31, 31))/1000000</f>
        <v>0.43164089999999994</v>
      </c>
      <c r="X300" s="38">
        <f>(31*0.1790888*100000/1000000)+(31*0.2374*100000/1000000)</f>
        <v>1.2911152800000001</v>
      </c>
      <c r="Y300" s="38">
        <f>(1000*600*CHOOSE(CONTROL!$C$42, 1.6406, 1.6406)*CHOOSE(CONTROL!$C$42, 31, 31))/1000000</f>
        <v>30.515160000000002</v>
      </c>
      <c r="Z300" s="38"/>
      <c r="AA300" s="10"/>
      <c r="AB300" s="39"/>
      <c r="AC300" s="33">
        <f>(B300*122.58+C300*297.941+D300*89.177+E300*40.302+F300*40+G300*160+H300*0+I300*100+J300*300)/(122.58+297.941+89.177+40.302+0+40+160+100+300)</f>
        <v>9.2931847938260876</v>
      </c>
      <c r="AD300" s="27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9.2288244604316532</v>
      </c>
    </row>
    <row r="301" spans="1:30" ht="15.75" x14ac:dyDescent="0.25">
      <c r="A301" s="14">
        <v>50436</v>
      </c>
      <c r="B301" s="10">
        <f>CHOOSE(CONTROL!$C$42, 9.9279, 9.9279) * CHOOSE(CONTROL!$C$21, $C$9, 100%, $E$9)</f>
        <v>9.9278999999999993</v>
      </c>
      <c r="C301" s="10">
        <f>CHOOSE(CONTROL!$C$42, 9.9328, 9.9328) * CHOOSE(CONTROL!$C$21, $C$9, 100%, $E$9)</f>
        <v>9.9328000000000003</v>
      </c>
      <c r="D301" s="10">
        <f>CHOOSE(CONTROL!$C$42, 9.9573, 9.9573) * CHOOSE(CONTROL!$C$21, $C$9, 100%, $E$9)</f>
        <v>9.9573</v>
      </c>
      <c r="E301" s="10">
        <f>CHOOSE(CONTROL!$C$42, 9.991, 9.991) * CHOOSE(CONTROL!$C$21, $C$9, 100%, $E$9)</f>
        <v>9.9909999999999997</v>
      </c>
      <c r="F301" s="10">
        <f>CHOOSE(CONTROL!$C$42, 9.9108, 9.9108)*CHOOSE(CONTROL!$C$21, $C$9, 100%, $E$9)</f>
        <v>9.9108000000000001</v>
      </c>
      <c r="G301" s="10">
        <f>CHOOSE(CONTROL!$C$42, 9.9295, 9.9295)*CHOOSE(CONTROL!$C$21, $C$9, 100%, $E$9)</f>
        <v>9.9295000000000009</v>
      </c>
      <c r="H301" s="10">
        <f>CHOOSE(CONTROL!$C$42, 9.9802, 9.9802) * CHOOSE(CONTROL!$C$21, $C$9, 100%, $E$9)</f>
        <v>9.9802</v>
      </c>
      <c r="I301" s="10">
        <f>CHOOSE(CONTROL!$C$42, 9.9223, 9.9223)* CHOOSE(CONTROL!$C$21, $C$9, 100%, $E$9)</f>
        <v>9.9222999999999999</v>
      </c>
      <c r="J301" s="10">
        <f>CHOOSE(CONTROL!$C$42, 9.9038, 9.9038)* CHOOSE(CONTROL!$C$21, $C$9, 100%, $E$9)</f>
        <v>9.9038000000000004</v>
      </c>
      <c r="K301" s="10">
        <f>CHOOSE(CONTROL!$C$42, 9.7959, 9.7959) * CHOOSE(CONTROL!$C$21, $C$9, 100%, $E$9)</f>
        <v>9.7958999999999996</v>
      </c>
      <c r="L301" s="10">
        <f>CHOOSE(CONTROL!$C$42, 10.5672, 10.5672) * CHOOSE(CONTROL!$C$21, $C$9, 100%, $E$9)</f>
        <v>10.5672</v>
      </c>
      <c r="M301" s="10">
        <f>CHOOSE(CONTROL!$C$42, 9.8177, 9.8177) * CHOOSE(CONTROL!$C$21, $C$9, 100%, $E$9)</f>
        <v>9.8177000000000003</v>
      </c>
      <c r="N301" s="10">
        <f>CHOOSE(CONTROL!$C$42, 9.8361, 9.8361) * CHOOSE(CONTROL!$C$21, $C$9, 100%, $E$9)</f>
        <v>9.8361000000000001</v>
      </c>
      <c r="O301" s="10">
        <f>CHOOSE(CONTROL!$C$42, 9.8934, 9.8934) * CHOOSE(CONTROL!$C$21, $C$9, 100%, $E$9)</f>
        <v>9.8933999999999997</v>
      </c>
      <c r="P301" s="10">
        <f>CHOOSE(CONTROL!$C$42, 9.8361, 9.8361) * CHOOSE(CONTROL!$C$21, $C$9, 100%, $E$9)</f>
        <v>9.8361000000000001</v>
      </c>
      <c r="Q301" s="10">
        <f>CHOOSE(CONTROL!$C$42, 10.4887, 10.4887) * CHOOSE(CONTROL!$C$21, $C$9, 100%, $E$9)</f>
        <v>10.4887</v>
      </c>
      <c r="R301" s="10">
        <f>CHOOSE(CONTROL!$C$42, 11.1019, 11.1019) * CHOOSE(CONTROL!$C$21, $C$9, 100%, $E$9)</f>
        <v>11.101900000000001</v>
      </c>
      <c r="S301" s="10">
        <f>CHOOSE(CONTROL!$C$42, 9.6388, 9.6388) * CHOOSE(CONTROL!$C$21, $C$9, 100%, $E$9)</f>
        <v>9.6387999999999998</v>
      </c>
      <c r="T3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38">
        <f>(1000*CHOOSE(CONTROL!$C$42, 695, 695)*CHOOSE(CONTROL!$C$42, 0.5599, 0.5599)*CHOOSE(CONTROL!$C$42, 31, 31))/1000000</f>
        <v>12.063045499999998</v>
      </c>
      <c r="V301" s="38">
        <f>(1000*CHOOSE(CONTROL!$C$42, 500, 500)*CHOOSE(CONTROL!$C$42, 0.275, 0.275)*CHOOSE(CONTROL!$C$42, 31, 31))/1000000</f>
        <v>4.2625000000000002</v>
      </c>
      <c r="W301" s="38">
        <f>(1000*CHOOSE(CONTROL!$C$42, 0.1146, 0.1146)*CHOOSE(CONTROL!$C$42, 121.5, 121.5)*CHOOSE(CONTROL!$C$42, 31, 31))/1000000</f>
        <v>0.43164089999999994</v>
      </c>
      <c r="X301" s="38">
        <f>(31*0.1790888*100000/1000000)+(31*0.2374*100000/1000000)</f>
        <v>1.2911152800000001</v>
      </c>
      <c r="Y301" s="38">
        <f>(1000*600*CHOOSE(CONTROL!$C$42, 1.6372, 1.6372)*CHOOSE(CONTROL!$C$42, 31, 31))/1000000</f>
        <v>30.451920000000001</v>
      </c>
      <c r="Z301" s="38"/>
      <c r="AA301" s="10"/>
      <c r="AB301" s="39"/>
      <c r="AC301" s="33">
        <f>(B301*122.58+C301*297.941+D301*89.177+E301*40.302+F301*40+G301*160+H301*0+I301*100+J301*300)/(122.58+297.941+89.177+40.302+0+40+160+100+300)</f>
        <v>9.9265145833913042</v>
      </c>
      <c r="AD301" s="27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9.8557165467625882</v>
      </c>
    </row>
    <row r="302" spans="1:30" ht="15.75" x14ac:dyDescent="0.25">
      <c r="A302" s="14">
        <v>50464</v>
      </c>
      <c r="B302" s="10">
        <f>CHOOSE(CONTROL!$C$42, 10.1045, 10.1045) * CHOOSE(CONTROL!$C$21, $C$9, 100%, $E$9)</f>
        <v>10.1045</v>
      </c>
      <c r="C302" s="10">
        <f>CHOOSE(CONTROL!$C$42, 10.1095, 10.1095) * CHOOSE(CONTROL!$C$21, $C$9, 100%, $E$9)</f>
        <v>10.109500000000001</v>
      </c>
      <c r="D302" s="10">
        <f>CHOOSE(CONTROL!$C$42, 10.1339, 10.1339) * CHOOSE(CONTROL!$C$21, $C$9, 100%, $E$9)</f>
        <v>10.133900000000001</v>
      </c>
      <c r="E302" s="10">
        <f>CHOOSE(CONTROL!$C$42, 10.1677, 10.1677) * CHOOSE(CONTROL!$C$21, $C$9, 100%, $E$9)</f>
        <v>10.1677</v>
      </c>
      <c r="F302" s="10">
        <f>CHOOSE(CONTROL!$C$42, 10.0868, 10.0868)*CHOOSE(CONTROL!$C$21, $C$9, 100%, $E$9)</f>
        <v>10.0868</v>
      </c>
      <c r="G302" s="10">
        <f>CHOOSE(CONTROL!$C$42, 10.1053, 10.1053)*CHOOSE(CONTROL!$C$21, $C$9, 100%, $E$9)</f>
        <v>10.1053</v>
      </c>
      <c r="H302" s="10">
        <f>CHOOSE(CONTROL!$C$42, 10.1569, 10.1569) * CHOOSE(CONTROL!$C$21, $C$9, 100%, $E$9)</f>
        <v>10.1569</v>
      </c>
      <c r="I302" s="10">
        <f>CHOOSE(CONTROL!$C$42, 10.099, 10.099)* CHOOSE(CONTROL!$C$21, $C$9, 100%, $E$9)</f>
        <v>10.099</v>
      </c>
      <c r="J302" s="10">
        <f>CHOOSE(CONTROL!$C$42, 10.0798, 10.0798)* CHOOSE(CONTROL!$C$21, $C$9, 100%, $E$9)</f>
        <v>10.079800000000001</v>
      </c>
      <c r="K302" s="10">
        <f>CHOOSE(CONTROL!$C$42, 9.9661, 9.9661) * CHOOSE(CONTROL!$C$21, $C$9, 100%, $E$9)</f>
        <v>9.9661000000000008</v>
      </c>
      <c r="L302" s="10">
        <f>CHOOSE(CONTROL!$C$42, 10.7439, 10.7439) * CHOOSE(CONTROL!$C$21, $C$9, 100%, $E$9)</f>
        <v>10.7439</v>
      </c>
      <c r="M302" s="10">
        <f>CHOOSE(CONTROL!$C$42, 9.9919, 9.9919) * CHOOSE(CONTROL!$C$21, $C$9, 100%, $E$9)</f>
        <v>9.9918999999999993</v>
      </c>
      <c r="N302" s="10">
        <f>CHOOSE(CONTROL!$C$42, 10.0102, 10.0102) * CHOOSE(CONTROL!$C$21, $C$9, 100%, $E$9)</f>
        <v>10.010199999999999</v>
      </c>
      <c r="O302" s="10">
        <f>CHOOSE(CONTROL!$C$42, 10.0682, 10.0682) * CHOOSE(CONTROL!$C$21, $C$9, 100%, $E$9)</f>
        <v>10.068199999999999</v>
      </c>
      <c r="P302" s="10">
        <f>CHOOSE(CONTROL!$C$42, 10.011, 10.011) * CHOOSE(CONTROL!$C$21, $C$9, 100%, $E$9)</f>
        <v>10.010999999999999</v>
      </c>
      <c r="Q302" s="10">
        <f>CHOOSE(CONTROL!$C$42, 10.6635, 10.6635) * CHOOSE(CONTROL!$C$21, $C$9, 100%, $E$9)</f>
        <v>10.663500000000001</v>
      </c>
      <c r="R302" s="10">
        <f>CHOOSE(CONTROL!$C$42, 11.2772, 11.2772) * CHOOSE(CONTROL!$C$21, $C$9, 100%, $E$9)</f>
        <v>11.277200000000001</v>
      </c>
      <c r="S302" s="10">
        <f>CHOOSE(CONTROL!$C$42, 9.8104, 9.8104) * CHOOSE(CONTROL!$C$21, $C$9, 100%, $E$9)</f>
        <v>9.8103999999999996</v>
      </c>
      <c r="T3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38">
        <f>(1000*CHOOSE(CONTROL!$C$42, 695, 695)*CHOOSE(CONTROL!$C$42, 0.5599, 0.5599)*CHOOSE(CONTROL!$C$42, 28, 28))/1000000</f>
        <v>10.895653999999999</v>
      </c>
      <c r="V302" s="38">
        <f>(1000*CHOOSE(CONTROL!$C$42, 500, 500)*CHOOSE(CONTROL!$C$42, 0.275, 0.275)*CHOOSE(CONTROL!$C$42, 28, 28))/1000000</f>
        <v>3.85</v>
      </c>
      <c r="W302" s="38">
        <f>(1000*CHOOSE(CONTROL!$C$42, 0.1146, 0.1146)*CHOOSE(CONTROL!$C$42, 121.5, 121.5)*CHOOSE(CONTROL!$C$42, 28, 28))/1000000</f>
        <v>0.38986920000000003</v>
      </c>
      <c r="X302" s="38">
        <f>(28*0.1790888*100000/1000000)+(28*0.2374*100000/1000000)</f>
        <v>1.16616864</v>
      </c>
      <c r="Y302" s="38">
        <f>(1000*600*CHOOSE(CONTROL!$C$42, 1.6372, 1.6372)*CHOOSE(CONTROL!$C$42, 28, 28))/1000000</f>
        <v>27.504960000000001</v>
      </c>
      <c r="Z302" s="38"/>
      <c r="AA302" s="10"/>
      <c r="AB302" s="39"/>
      <c r="AC302" s="33">
        <f>(B302*122.58+C302*297.941+D302*89.177+E302*40.302+F302*40+G302*160+H302*0+I302*100+J302*300)/(122.58+297.941+89.177+40.302+0+40+160+100+300)</f>
        <v>10.102863995826088</v>
      </c>
      <c r="AD302" s="27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10.030283453237411</v>
      </c>
    </row>
    <row r="303" spans="1:30" ht="15.75" x14ac:dyDescent="0.25">
      <c r="A303" s="14">
        <v>50495</v>
      </c>
      <c r="B303" s="10">
        <f>CHOOSE(CONTROL!$C$42, 9.8177, 9.8177) * CHOOSE(CONTROL!$C$21, $C$9, 100%, $E$9)</f>
        <v>9.8177000000000003</v>
      </c>
      <c r="C303" s="10">
        <f>CHOOSE(CONTROL!$C$42, 9.8227, 9.8227) * CHOOSE(CONTROL!$C$21, $C$9, 100%, $E$9)</f>
        <v>9.8226999999999993</v>
      </c>
      <c r="D303" s="10">
        <f>CHOOSE(CONTROL!$C$42, 9.8472, 9.8472) * CHOOSE(CONTROL!$C$21, $C$9, 100%, $E$9)</f>
        <v>9.8472000000000008</v>
      </c>
      <c r="E303" s="10">
        <f>CHOOSE(CONTROL!$C$42, 9.8809, 9.8809) * CHOOSE(CONTROL!$C$21, $C$9, 100%, $E$9)</f>
        <v>9.8809000000000005</v>
      </c>
      <c r="F303" s="10">
        <f>CHOOSE(CONTROL!$C$42, 9.7985, 9.7985)*CHOOSE(CONTROL!$C$21, $C$9, 100%, $E$9)</f>
        <v>9.7985000000000007</v>
      </c>
      <c r="G303" s="10">
        <f>CHOOSE(CONTROL!$C$42, 9.8165, 9.8165)*CHOOSE(CONTROL!$C$21, $C$9, 100%, $E$9)</f>
        <v>9.8164999999999996</v>
      </c>
      <c r="H303" s="10">
        <f>CHOOSE(CONTROL!$C$42, 9.8701, 9.8701) * CHOOSE(CONTROL!$C$21, $C$9, 100%, $E$9)</f>
        <v>9.8701000000000008</v>
      </c>
      <c r="I303" s="10">
        <f>CHOOSE(CONTROL!$C$42, 9.8122, 9.8122)* CHOOSE(CONTROL!$C$21, $C$9, 100%, $E$9)</f>
        <v>9.8122000000000007</v>
      </c>
      <c r="J303" s="10">
        <f>CHOOSE(CONTROL!$C$42, 9.7915, 9.7915)* CHOOSE(CONTROL!$C$21, $C$9, 100%, $E$9)</f>
        <v>9.7914999999999992</v>
      </c>
      <c r="K303" s="10">
        <f>CHOOSE(CONTROL!$C$42, 9.6841, 9.6841) * CHOOSE(CONTROL!$C$21, $C$9, 100%, $E$9)</f>
        <v>9.6841000000000008</v>
      </c>
      <c r="L303" s="10">
        <f>CHOOSE(CONTROL!$C$42, 10.4571, 10.4571) * CHOOSE(CONTROL!$C$21, $C$9, 100%, $E$9)</f>
        <v>10.457100000000001</v>
      </c>
      <c r="M303" s="10">
        <f>CHOOSE(CONTROL!$C$42, 9.7065, 9.7065) * CHOOSE(CONTROL!$C$21, $C$9, 100%, $E$9)</f>
        <v>9.7065000000000001</v>
      </c>
      <c r="N303" s="10">
        <f>CHOOSE(CONTROL!$C$42, 9.7244, 9.7244) * CHOOSE(CONTROL!$C$21, $C$9, 100%, $E$9)</f>
        <v>9.7243999999999993</v>
      </c>
      <c r="O303" s="10">
        <f>CHOOSE(CONTROL!$C$42, 9.7844, 9.7844) * CHOOSE(CONTROL!$C$21, $C$9, 100%, $E$9)</f>
        <v>9.7843999999999998</v>
      </c>
      <c r="P303" s="10">
        <f>CHOOSE(CONTROL!$C$42, 9.7271, 9.7271) * CHOOSE(CONTROL!$C$21, $C$9, 100%, $E$9)</f>
        <v>9.7271000000000001</v>
      </c>
      <c r="Q303" s="10">
        <f>CHOOSE(CONTROL!$C$42, 10.3797, 10.3797) * CHOOSE(CONTROL!$C$21, $C$9, 100%, $E$9)</f>
        <v>10.3797</v>
      </c>
      <c r="R303" s="10">
        <f>CHOOSE(CONTROL!$C$42, 10.9926, 10.9926) * CHOOSE(CONTROL!$C$21, $C$9, 100%, $E$9)</f>
        <v>10.992599999999999</v>
      </c>
      <c r="S303" s="10">
        <f>CHOOSE(CONTROL!$C$42, 9.5319, 9.5319) * CHOOSE(CONTROL!$C$21, $C$9, 100%, $E$9)</f>
        <v>9.5319000000000003</v>
      </c>
      <c r="T3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38">
        <f>(1000*CHOOSE(CONTROL!$C$42, 695, 695)*CHOOSE(CONTROL!$C$42, 0.5599, 0.5599)*CHOOSE(CONTROL!$C$42, 31, 31))/1000000</f>
        <v>12.063045499999998</v>
      </c>
      <c r="V303" s="38">
        <f>(1000*CHOOSE(CONTROL!$C$42, 500, 500)*CHOOSE(CONTROL!$C$42, 0.275, 0.275)*CHOOSE(CONTROL!$C$42, 31, 31))/1000000</f>
        <v>4.2625000000000002</v>
      </c>
      <c r="W303" s="38">
        <f>(1000*CHOOSE(CONTROL!$C$42, 0.1146, 0.1146)*CHOOSE(CONTROL!$C$42, 121.5, 121.5)*CHOOSE(CONTROL!$C$42, 31, 31))/1000000</f>
        <v>0.43164089999999994</v>
      </c>
      <c r="X303" s="38">
        <f>(31*0.1790888*100000/1000000)+(31*0.2374*100000/1000000)</f>
        <v>1.2911152800000001</v>
      </c>
      <c r="Y303" s="38">
        <f>(1000*600*CHOOSE(CONTROL!$C$42, 1.6372, 1.6372)*CHOOSE(CONTROL!$C$42, 31, 31))/1000000</f>
        <v>30.451920000000001</v>
      </c>
      <c r="Z303" s="38"/>
      <c r="AA303" s="10"/>
      <c r="AB303" s="39"/>
      <c r="AC303" s="33">
        <f>(B303*122.58+C303*297.941+D303*89.177+E303*40.302+F303*40+G303*160+H303*0+I303*100+J303*300)/(122.58+297.941+89.177+40.302+0+40+160+100+300)</f>
        <v>9.8153500112173919</v>
      </c>
      <c r="AD303" s="27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9.74580143884892</v>
      </c>
    </row>
    <row r="304" spans="1:30" ht="15.75" x14ac:dyDescent="0.25">
      <c r="A304" s="14">
        <v>50525</v>
      </c>
      <c r="B304" s="10">
        <f>CHOOSE(CONTROL!$C$42, 9.7891, 9.7891) * CHOOSE(CONTROL!$C$21, $C$9, 100%, $E$9)</f>
        <v>9.7890999999999995</v>
      </c>
      <c r="C304" s="10">
        <f>CHOOSE(CONTROL!$C$42, 9.7935, 9.7935) * CHOOSE(CONTROL!$C$21, $C$9, 100%, $E$9)</f>
        <v>9.7934999999999999</v>
      </c>
      <c r="D304" s="10">
        <f>CHOOSE(CONTROL!$C$42, 9.9736, 9.9736) * CHOOSE(CONTROL!$C$21, $C$9, 100%, $E$9)</f>
        <v>9.9735999999999994</v>
      </c>
      <c r="E304" s="10">
        <f>CHOOSE(CONTROL!$C$42, 10.0054, 10.0054) * CHOOSE(CONTROL!$C$21, $C$9, 100%, $E$9)</f>
        <v>10.0054</v>
      </c>
      <c r="F304" s="10">
        <f>CHOOSE(CONTROL!$C$42, 9.7545, 9.7545)*CHOOSE(CONTROL!$C$21, $C$9, 100%, $E$9)</f>
        <v>9.7545000000000002</v>
      </c>
      <c r="G304" s="10">
        <f>CHOOSE(CONTROL!$C$42, 9.7707, 9.7707)*CHOOSE(CONTROL!$C$21, $C$9, 100%, $E$9)</f>
        <v>9.7706999999999997</v>
      </c>
      <c r="H304" s="10">
        <f>CHOOSE(CONTROL!$C$42, 9.9952, 9.9952) * CHOOSE(CONTROL!$C$21, $C$9, 100%, $E$9)</f>
        <v>9.9952000000000005</v>
      </c>
      <c r="I304" s="10">
        <f>CHOOSE(CONTROL!$C$42, 9.7751, 9.7751)* CHOOSE(CONTROL!$C$21, $C$9, 100%, $E$9)</f>
        <v>9.7751000000000001</v>
      </c>
      <c r="J304" s="10">
        <f>CHOOSE(CONTROL!$C$42, 9.7475, 9.7475)* CHOOSE(CONTROL!$C$21, $C$9, 100%, $E$9)</f>
        <v>9.7475000000000005</v>
      </c>
      <c r="K304" s="10">
        <f>CHOOSE(CONTROL!$C$42, 9.6331, 9.6331) * CHOOSE(CONTROL!$C$21, $C$9, 100%, $E$9)</f>
        <v>9.6331000000000007</v>
      </c>
      <c r="L304" s="10">
        <f>CHOOSE(CONTROL!$C$42, 10.5822, 10.5822) * CHOOSE(CONTROL!$C$21, $C$9, 100%, $E$9)</f>
        <v>10.5822</v>
      </c>
      <c r="M304" s="10">
        <f>CHOOSE(CONTROL!$C$42, 9.6629, 9.6629) * CHOOSE(CONTROL!$C$21, $C$9, 100%, $E$9)</f>
        <v>9.6629000000000005</v>
      </c>
      <c r="N304" s="10">
        <f>CHOOSE(CONTROL!$C$42, 9.679, 9.679) * CHOOSE(CONTROL!$C$21, $C$9, 100%, $E$9)</f>
        <v>9.6790000000000003</v>
      </c>
      <c r="O304" s="10">
        <f>CHOOSE(CONTROL!$C$42, 9.9082, 9.9082) * CHOOSE(CONTROL!$C$21, $C$9, 100%, $E$9)</f>
        <v>9.9082000000000008</v>
      </c>
      <c r="P304" s="10">
        <f>CHOOSE(CONTROL!$C$42, 9.6903, 9.6903) * CHOOSE(CONTROL!$C$21, $C$9, 100%, $E$9)</f>
        <v>9.6903000000000006</v>
      </c>
      <c r="Q304" s="10">
        <f>CHOOSE(CONTROL!$C$42, 10.5035, 10.5035) * CHOOSE(CONTROL!$C$21, $C$9, 100%, $E$9)</f>
        <v>10.503500000000001</v>
      </c>
      <c r="R304" s="10">
        <f>CHOOSE(CONTROL!$C$42, 11.1167, 11.1167) * CHOOSE(CONTROL!$C$21, $C$9, 100%, $E$9)</f>
        <v>11.1167</v>
      </c>
      <c r="S304" s="10">
        <f>CHOOSE(CONTROL!$C$42, 9.5033, 9.5033) * CHOOSE(CONTROL!$C$21, $C$9, 100%, $E$9)</f>
        <v>9.5032999999999994</v>
      </c>
      <c r="T3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38">
        <f>(1000*CHOOSE(CONTROL!$C$42, 695, 695)*CHOOSE(CONTROL!$C$42, 0.5599, 0.5599)*CHOOSE(CONTROL!$C$42, 30, 30))/1000000</f>
        <v>11.673914999999997</v>
      </c>
      <c r="V304" s="38">
        <f>(1000*CHOOSE(CONTROL!$C$42, 500, 500)*CHOOSE(CONTROL!$C$42, 0.275, 0.275)*CHOOSE(CONTROL!$C$42, 30, 30))/1000000</f>
        <v>4.125</v>
      </c>
      <c r="W304" s="38">
        <f>(1000*CHOOSE(CONTROL!$C$42, 0.1146, 0.1146)*CHOOSE(CONTROL!$C$42, 121.5, 121.5)*CHOOSE(CONTROL!$C$42, 30, 30))/1000000</f>
        <v>0.417717</v>
      </c>
      <c r="X304" s="38">
        <f>(30*0.1790888*245000/1000000)+(30*0.2374*100000/1000000)</f>
        <v>2.0285026799999999</v>
      </c>
      <c r="Y304" s="38">
        <f>(1000*600*CHOOSE(CONTROL!$C$42, 1.6372, 1.6372)*CHOOSE(CONTROL!$C$42, 30, 30))/1000000</f>
        <v>29.4696</v>
      </c>
      <c r="Z304" s="38"/>
      <c r="AA304" s="10"/>
      <c r="AB304" s="39"/>
      <c r="AC304" s="33">
        <f>(B304*141.293+C304*267.993+D304*115.016+E304*89.698+F304*40+G304*185+H304*0+I304*100+J304*300)/(141.293+267.993+115.016+89.698+0+40+185+100+300)</f>
        <v>9.8077709431799835</v>
      </c>
      <c r="AD304" s="27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9.7393741007194237</v>
      </c>
    </row>
    <row r="305" spans="1:30" ht="15.75" x14ac:dyDescent="0.25">
      <c r="A305" s="14">
        <v>50556</v>
      </c>
      <c r="B305" s="10">
        <f>CHOOSE(CONTROL!$C$42, 9.8773, 9.8773) * CHOOSE(CONTROL!$C$21, $C$9, 100%, $E$9)</f>
        <v>9.8773</v>
      </c>
      <c r="C305" s="10">
        <f>CHOOSE(CONTROL!$C$42, 9.8852, 9.8852) * CHOOSE(CONTROL!$C$21, $C$9, 100%, $E$9)</f>
        <v>9.8851999999999993</v>
      </c>
      <c r="D305" s="10">
        <f>CHOOSE(CONTROL!$C$42, 10.0622, 10.0622) * CHOOSE(CONTROL!$C$21, $C$9, 100%, $E$9)</f>
        <v>10.062200000000001</v>
      </c>
      <c r="E305" s="10">
        <f>CHOOSE(CONTROL!$C$42, 10.0933, 10.0933) * CHOOSE(CONTROL!$C$21, $C$9, 100%, $E$9)</f>
        <v>10.093299999999999</v>
      </c>
      <c r="F305" s="10">
        <f>CHOOSE(CONTROL!$C$42, 9.8407, 9.8407)*CHOOSE(CONTROL!$C$21, $C$9, 100%, $E$9)</f>
        <v>9.8407</v>
      </c>
      <c r="G305" s="10">
        <f>CHOOSE(CONTROL!$C$42, 9.8571, 9.8571)*CHOOSE(CONTROL!$C$21, $C$9, 100%, $E$9)</f>
        <v>9.8571000000000009</v>
      </c>
      <c r="H305" s="10">
        <f>CHOOSE(CONTROL!$C$42, 10.082, 10.082) * CHOOSE(CONTROL!$C$21, $C$9, 100%, $E$9)</f>
        <v>10.082000000000001</v>
      </c>
      <c r="I305" s="10">
        <f>CHOOSE(CONTROL!$C$42, 9.8619, 9.8619)* CHOOSE(CONTROL!$C$21, $C$9, 100%, $E$9)</f>
        <v>9.8619000000000003</v>
      </c>
      <c r="J305" s="10">
        <f>CHOOSE(CONTROL!$C$42, 9.8337, 9.8337)* CHOOSE(CONTROL!$C$21, $C$9, 100%, $E$9)</f>
        <v>9.8337000000000003</v>
      </c>
      <c r="K305" s="10">
        <f>CHOOSE(CONTROL!$C$42, 9.7161, 9.7161) * CHOOSE(CONTROL!$C$21, $C$9, 100%, $E$9)</f>
        <v>9.7161000000000008</v>
      </c>
      <c r="L305" s="10">
        <f>CHOOSE(CONTROL!$C$42, 10.669, 10.669) * CHOOSE(CONTROL!$C$21, $C$9, 100%, $E$9)</f>
        <v>10.669</v>
      </c>
      <c r="M305" s="10">
        <f>CHOOSE(CONTROL!$C$42, 9.7482, 9.7482) * CHOOSE(CONTROL!$C$21, $C$9, 100%, $E$9)</f>
        <v>9.7482000000000006</v>
      </c>
      <c r="N305" s="10">
        <f>CHOOSE(CONTROL!$C$42, 9.7646, 9.7646) * CHOOSE(CONTROL!$C$21, $C$9, 100%, $E$9)</f>
        <v>9.7645999999999997</v>
      </c>
      <c r="O305" s="10">
        <f>CHOOSE(CONTROL!$C$42, 9.9941, 9.9941) * CHOOSE(CONTROL!$C$21, $C$9, 100%, $E$9)</f>
        <v>9.9940999999999995</v>
      </c>
      <c r="P305" s="10">
        <f>CHOOSE(CONTROL!$C$42, 9.7762, 9.7762) * CHOOSE(CONTROL!$C$21, $C$9, 100%, $E$9)</f>
        <v>9.7761999999999993</v>
      </c>
      <c r="Q305" s="10">
        <f>CHOOSE(CONTROL!$C$42, 10.5894, 10.5894) * CHOOSE(CONTROL!$C$21, $C$9, 100%, $E$9)</f>
        <v>10.589399999999999</v>
      </c>
      <c r="R305" s="10">
        <f>CHOOSE(CONTROL!$C$42, 11.2028, 11.2028) * CHOOSE(CONTROL!$C$21, $C$9, 100%, $E$9)</f>
        <v>11.2028</v>
      </c>
      <c r="S305" s="10">
        <f>CHOOSE(CONTROL!$C$42, 9.5876, 9.5876) * CHOOSE(CONTROL!$C$21, $C$9, 100%, $E$9)</f>
        <v>9.5876000000000001</v>
      </c>
      <c r="T3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38">
        <f>(1000*CHOOSE(CONTROL!$C$42, 695, 695)*CHOOSE(CONTROL!$C$42, 0.5599, 0.5599)*CHOOSE(CONTROL!$C$42, 31, 31))/1000000</f>
        <v>12.063045499999998</v>
      </c>
      <c r="V305" s="38">
        <f>(1000*CHOOSE(CONTROL!$C$42, 500, 500)*CHOOSE(CONTROL!$C$42, 0.275, 0.275)*CHOOSE(CONTROL!$C$42, 31, 31))/1000000</f>
        <v>4.2625000000000002</v>
      </c>
      <c r="W305" s="38">
        <f>(1000*CHOOSE(CONTROL!$C$42, 0.1146, 0.1146)*CHOOSE(CONTROL!$C$42, 121.5, 121.5)*CHOOSE(CONTROL!$C$42, 31, 31))/1000000</f>
        <v>0.43164089999999994</v>
      </c>
      <c r="X305" s="38">
        <f>(31*0.1790888*245000/1000000)+(31*0.2374*100000/1000000)</f>
        <v>2.0961194359999999</v>
      </c>
      <c r="Y305" s="38">
        <f>(1000*600*CHOOSE(CONTROL!$C$42, 1.6372, 1.6372)*CHOOSE(CONTROL!$C$42, 31, 31))/1000000</f>
        <v>30.451920000000001</v>
      </c>
      <c r="Z305" s="38"/>
      <c r="AA305" s="10"/>
      <c r="AB305" s="39"/>
      <c r="AC305" s="33">
        <f>(B305*194.205+C305*267.466+D305*133.845+E305*53.484+F305*40+G305*185+H305*0+I305*100+J305*300)/(194.205+267.466+133.845+53.484+0+40+185+100+300)</f>
        <v>9.8918937722919953</v>
      </c>
      <c r="AD305" s="27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9.8249978417266188</v>
      </c>
    </row>
    <row r="306" spans="1:30" ht="15.75" x14ac:dyDescent="0.25">
      <c r="A306" s="14">
        <v>50586</v>
      </c>
      <c r="B306" s="10">
        <f>CHOOSE(CONTROL!$C$42, 10.1573, 10.1573) * CHOOSE(CONTROL!$C$21, $C$9, 100%, $E$9)</f>
        <v>10.157299999999999</v>
      </c>
      <c r="C306" s="10">
        <f>CHOOSE(CONTROL!$C$42, 10.1652, 10.1652) * CHOOSE(CONTROL!$C$21, $C$9, 100%, $E$9)</f>
        <v>10.1652</v>
      </c>
      <c r="D306" s="10">
        <f>CHOOSE(CONTROL!$C$42, 10.3422, 10.3422) * CHOOSE(CONTROL!$C$21, $C$9, 100%, $E$9)</f>
        <v>10.3422</v>
      </c>
      <c r="E306" s="10">
        <f>CHOOSE(CONTROL!$C$42, 10.3734, 10.3734) * CHOOSE(CONTROL!$C$21, $C$9, 100%, $E$9)</f>
        <v>10.3734</v>
      </c>
      <c r="F306" s="10">
        <f>CHOOSE(CONTROL!$C$42, 10.1208, 10.1208)*CHOOSE(CONTROL!$C$21, $C$9, 100%, $E$9)</f>
        <v>10.120799999999999</v>
      </c>
      <c r="G306" s="10">
        <f>CHOOSE(CONTROL!$C$42, 10.1374, 10.1374)*CHOOSE(CONTROL!$C$21, $C$9, 100%, $E$9)</f>
        <v>10.1374</v>
      </c>
      <c r="H306" s="10">
        <f>CHOOSE(CONTROL!$C$42, 10.362, 10.362) * CHOOSE(CONTROL!$C$21, $C$9, 100%, $E$9)</f>
        <v>10.362</v>
      </c>
      <c r="I306" s="10">
        <f>CHOOSE(CONTROL!$C$42, 10.1419, 10.1419)* CHOOSE(CONTROL!$C$21, $C$9, 100%, $E$9)</f>
        <v>10.1419</v>
      </c>
      <c r="J306" s="10">
        <f>CHOOSE(CONTROL!$C$42, 10.1138, 10.1138)* CHOOSE(CONTROL!$C$21, $C$9, 100%, $E$9)</f>
        <v>10.113799999999999</v>
      </c>
      <c r="K306" s="10">
        <f>CHOOSE(CONTROL!$C$42, 9.9886, 9.9886) * CHOOSE(CONTROL!$C$21, $C$9, 100%, $E$9)</f>
        <v>9.9885999999999999</v>
      </c>
      <c r="L306" s="10">
        <f>CHOOSE(CONTROL!$C$42, 10.949, 10.949) * CHOOSE(CONTROL!$C$21, $C$9, 100%, $E$9)</f>
        <v>10.949</v>
      </c>
      <c r="M306" s="10">
        <f>CHOOSE(CONTROL!$C$42, 10.0256, 10.0256) * CHOOSE(CONTROL!$C$21, $C$9, 100%, $E$9)</f>
        <v>10.025600000000001</v>
      </c>
      <c r="N306" s="10">
        <f>CHOOSE(CONTROL!$C$42, 10.042, 10.042) * CHOOSE(CONTROL!$C$21, $C$9, 100%, $E$9)</f>
        <v>10.042</v>
      </c>
      <c r="O306" s="10">
        <f>CHOOSE(CONTROL!$C$42, 10.2712, 10.2712) * CHOOSE(CONTROL!$C$21, $C$9, 100%, $E$9)</f>
        <v>10.2712</v>
      </c>
      <c r="P306" s="10">
        <f>CHOOSE(CONTROL!$C$42, 10.0534, 10.0534) * CHOOSE(CONTROL!$C$21, $C$9, 100%, $E$9)</f>
        <v>10.0534</v>
      </c>
      <c r="Q306" s="10">
        <f>CHOOSE(CONTROL!$C$42, 10.8665, 10.8665) * CHOOSE(CONTROL!$C$21, $C$9, 100%, $E$9)</f>
        <v>10.8665</v>
      </c>
      <c r="R306" s="10">
        <f>CHOOSE(CONTROL!$C$42, 11.4807, 11.4807) * CHOOSE(CONTROL!$C$21, $C$9, 100%, $E$9)</f>
        <v>11.480700000000001</v>
      </c>
      <c r="S306" s="10">
        <f>CHOOSE(CONTROL!$C$42, 9.8595, 9.8595) * CHOOSE(CONTROL!$C$21, $C$9, 100%, $E$9)</f>
        <v>9.8595000000000006</v>
      </c>
      <c r="T3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38">
        <f>(1000*CHOOSE(CONTROL!$C$42, 695, 695)*CHOOSE(CONTROL!$C$42, 0.5599, 0.5599)*CHOOSE(CONTROL!$C$42, 30, 30))/1000000</f>
        <v>11.673914999999997</v>
      </c>
      <c r="V306" s="38">
        <f>(1000*CHOOSE(CONTROL!$C$42, 500, 500)*CHOOSE(CONTROL!$C$42, 0.275, 0.275)*CHOOSE(CONTROL!$C$42, 30, 30))/1000000</f>
        <v>4.125</v>
      </c>
      <c r="W306" s="38">
        <f>(1000*CHOOSE(CONTROL!$C$42, 0.1146, 0.1146)*CHOOSE(CONTROL!$C$42, 121.5, 121.5)*CHOOSE(CONTROL!$C$42, 30, 30))/1000000</f>
        <v>0.417717</v>
      </c>
      <c r="X306" s="38">
        <f>(30*0.1790888*245000/1000000)+(30*0.2374*100000/1000000)</f>
        <v>2.0285026799999999</v>
      </c>
      <c r="Y306" s="38">
        <f>(1000*600*CHOOSE(CONTROL!$C$42, 1.6372, 1.6372)*CHOOSE(CONTROL!$C$42, 30, 30))/1000000</f>
        <v>29.4696</v>
      </c>
      <c r="Z306" s="38"/>
      <c r="AA306" s="10"/>
      <c r="AB306" s="39"/>
      <c r="AC306" s="33">
        <f>(B306*194.205+C306*267.466+D306*133.845+E306*53.484+F306*40+G306*185+H306*0+I306*100+J306*300)/(194.205+267.466+133.845+53.484+0+40+185+100+300)</f>
        <v>10.171968221585557</v>
      </c>
      <c r="AD306" s="27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10.102284892086331</v>
      </c>
    </row>
    <row r="307" spans="1:30" ht="15.75" x14ac:dyDescent="0.25">
      <c r="A307" s="14">
        <v>50617</v>
      </c>
      <c r="B307" s="10">
        <f>CHOOSE(CONTROL!$C$42, 9.9626, 9.9626) * CHOOSE(CONTROL!$C$21, $C$9, 100%, $E$9)</f>
        <v>9.9626000000000001</v>
      </c>
      <c r="C307" s="10">
        <f>CHOOSE(CONTROL!$C$42, 9.9705, 9.9705) * CHOOSE(CONTROL!$C$21, $C$9, 100%, $E$9)</f>
        <v>9.9704999999999995</v>
      </c>
      <c r="D307" s="10">
        <f>CHOOSE(CONTROL!$C$42, 10.1475, 10.1475) * CHOOSE(CONTROL!$C$21, $C$9, 100%, $E$9)</f>
        <v>10.147500000000001</v>
      </c>
      <c r="E307" s="10">
        <f>CHOOSE(CONTROL!$C$42, 10.1786, 10.1786) * CHOOSE(CONTROL!$C$21, $C$9, 100%, $E$9)</f>
        <v>10.178599999999999</v>
      </c>
      <c r="F307" s="10">
        <f>CHOOSE(CONTROL!$C$42, 9.9263, 9.9263)*CHOOSE(CONTROL!$C$21, $C$9, 100%, $E$9)</f>
        <v>9.9262999999999995</v>
      </c>
      <c r="G307" s="10">
        <f>CHOOSE(CONTROL!$C$42, 9.943, 9.943)*CHOOSE(CONTROL!$C$21, $C$9, 100%, $E$9)</f>
        <v>9.9429999999999996</v>
      </c>
      <c r="H307" s="10">
        <f>CHOOSE(CONTROL!$C$42, 10.1672, 10.1672) * CHOOSE(CONTROL!$C$21, $C$9, 100%, $E$9)</f>
        <v>10.167199999999999</v>
      </c>
      <c r="I307" s="10">
        <f>CHOOSE(CONTROL!$C$42, 9.9472, 9.9472)* CHOOSE(CONTROL!$C$21, $C$9, 100%, $E$9)</f>
        <v>9.9472000000000005</v>
      </c>
      <c r="J307" s="10">
        <f>CHOOSE(CONTROL!$C$42, 9.9193, 9.9193)* CHOOSE(CONTROL!$C$21, $C$9, 100%, $E$9)</f>
        <v>9.9192999999999998</v>
      </c>
      <c r="K307" s="10">
        <f>CHOOSE(CONTROL!$C$42, 9.7999, 9.7999) * CHOOSE(CONTROL!$C$21, $C$9, 100%, $E$9)</f>
        <v>9.7998999999999992</v>
      </c>
      <c r="L307" s="10">
        <f>CHOOSE(CONTROL!$C$42, 10.7542, 10.7542) * CHOOSE(CONTROL!$C$21, $C$9, 100%, $E$9)</f>
        <v>10.754200000000001</v>
      </c>
      <c r="M307" s="10">
        <f>CHOOSE(CONTROL!$C$42, 9.8331, 9.8331) * CHOOSE(CONTROL!$C$21, $C$9, 100%, $E$9)</f>
        <v>9.8331</v>
      </c>
      <c r="N307" s="10">
        <f>CHOOSE(CONTROL!$C$42, 9.8495, 9.8495) * CHOOSE(CONTROL!$C$21, $C$9, 100%, $E$9)</f>
        <v>9.8495000000000008</v>
      </c>
      <c r="O307" s="10">
        <f>CHOOSE(CONTROL!$C$42, 10.0785, 10.0785) * CHOOSE(CONTROL!$C$21, $C$9, 100%, $E$9)</f>
        <v>10.0785</v>
      </c>
      <c r="P307" s="10">
        <f>CHOOSE(CONTROL!$C$42, 9.8606, 9.8606) * CHOOSE(CONTROL!$C$21, $C$9, 100%, $E$9)</f>
        <v>9.8605999999999998</v>
      </c>
      <c r="Q307" s="10">
        <f>CHOOSE(CONTROL!$C$42, 10.6738, 10.6738) * CHOOSE(CONTROL!$C$21, $C$9, 100%, $E$9)</f>
        <v>10.6738</v>
      </c>
      <c r="R307" s="10">
        <f>CHOOSE(CONTROL!$C$42, 11.2874, 11.2874) * CHOOSE(CONTROL!$C$21, $C$9, 100%, $E$9)</f>
        <v>11.2874</v>
      </c>
      <c r="S307" s="10">
        <f>CHOOSE(CONTROL!$C$42, 9.6704, 9.6704) * CHOOSE(CONTROL!$C$21, $C$9, 100%, $E$9)</f>
        <v>9.6704000000000008</v>
      </c>
      <c r="T3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38">
        <f>(1000*CHOOSE(CONTROL!$C$42, 695, 695)*CHOOSE(CONTROL!$C$42, 0.5599, 0.5599)*CHOOSE(CONTROL!$C$42, 31, 31))/1000000</f>
        <v>12.063045499999998</v>
      </c>
      <c r="V307" s="38">
        <f>(1000*CHOOSE(CONTROL!$C$42, 500, 500)*CHOOSE(CONTROL!$C$42, 0.275, 0.275)*CHOOSE(CONTROL!$C$42, 31, 31))/1000000</f>
        <v>4.2625000000000002</v>
      </c>
      <c r="W307" s="38">
        <f>(1000*CHOOSE(CONTROL!$C$42, 0.1146, 0.1146)*CHOOSE(CONTROL!$C$42, 121.5, 121.5)*CHOOSE(CONTROL!$C$42, 31, 31))/1000000</f>
        <v>0.43164089999999994</v>
      </c>
      <c r="X307" s="38">
        <f>(31*0.1790888*245000/1000000)+(31*0.2374*100000/1000000)</f>
        <v>2.0961194359999999</v>
      </c>
      <c r="Y307" s="38">
        <f>(1000*600*CHOOSE(CONTROL!$C$42, 1.6372, 1.6372)*CHOOSE(CONTROL!$C$42, 31, 31))/1000000</f>
        <v>30.451920000000001</v>
      </c>
      <c r="Z307" s="38"/>
      <c r="AA307" s="10"/>
      <c r="AB307" s="39"/>
      <c r="AC307" s="33">
        <f>(B307*194.205+C307*267.466+D307*133.845+E307*53.484+F307*40+G307*185+H307*0+I307*100+J307*300)/(194.205+267.466+133.845+53.484+0+40+185+100+300)</f>
        <v>9.977360962244898</v>
      </c>
      <c r="AD307" s="27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9.9096856115107919</v>
      </c>
    </row>
    <row r="308" spans="1:30" ht="15.75" x14ac:dyDescent="0.25">
      <c r="A308" s="14">
        <v>50648</v>
      </c>
      <c r="B308" s="10">
        <f>CHOOSE(CONTROL!$C$42, 9.4707, 9.4707) * CHOOSE(CONTROL!$C$21, $C$9, 100%, $E$9)</f>
        <v>9.4707000000000008</v>
      </c>
      <c r="C308" s="10">
        <f>CHOOSE(CONTROL!$C$42, 9.4786, 9.4786) * CHOOSE(CONTROL!$C$21, $C$9, 100%, $E$9)</f>
        <v>9.4786000000000001</v>
      </c>
      <c r="D308" s="10">
        <f>CHOOSE(CONTROL!$C$42, 9.6556, 9.6556) * CHOOSE(CONTROL!$C$21, $C$9, 100%, $E$9)</f>
        <v>9.6555999999999997</v>
      </c>
      <c r="E308" s="10">
        <f>CHOOSE(CONTROL!$C$42, 9.6868, 9.6868) * CHOOSE(CONTROL!$C$21, $C$9, 100%, $E$9)</f>
        <v>9.6867999999999999</v>
      </c>
      <c r="F308" s="10">
        <f>CHOOSE(CONTROL!$C$42, 9.4346, 9.4346)*CHOOSE(CONTROL!$C$21, $C$9, 100%, $E$9)</f>
        <v>9.4345999999999997</v>
      </c>
      <c r="G308" s="10">
        <f>CHOOSE(CONTROL!$C$42, 9.4512, 9.4512)*CHOOSE(CONTROL!$C$21, $C$9, 100%, $E$9)</f>
        <v>9.4512</v>
      </c>
      <c r="H308" s="10">
        <f>CHOOSE(CONTROL!$C$42, 9.6754, 9.6754) * CHOOSE(CONTROL!$C$21, $C$9, 100%, $E$9)</f>
        <v>9.6753999999999998</v>
      </c>
      <c r="I308" s="10">
        <f>CHOOSE(CONTROL!$C$42, 9.4553, 9.4553)* CHOOSE(CONTROL!$C$21, $C$9, 100%, $E$9)</f>
        <v>9.4552999999999994</v>
      </c>
      <c r="J308" s="10">
        <f>CHOOSE(CONTROL!$C$42, 9.4276, 9.4276)* CHOOSE(CONTROL!$C$21, $C$9, 100%, $E$9)</f>
        <v>9.4276</v>
      </c>
      <c r="K308" s="10">
        <f>CHOOSE(CONTROL!$C$42, 9.3222, 9.3222) * CHOOSE(CONTROL!$C$21, $C$9, 100%, $E$9)</f>
        <v>9.3222000000000005</v>
      </c>
      <c r="L308" s="10">
        <f>CHOOSE(CONTROL!$C$42, 10.2624, 10.2624) * CHOOSE(CONTROL!$C$21, $C$9, 100%, $E$9)</f>
        <v>10.2624</v>
      </c>
      <c r="M308" s="10">
        <f>CHOOSE(CONTROL!$C$42, 9.3463, 9.3463) * CHOOSE(CONTROL!$C$21, $C$9, 100%, $E$9)</f>
        <v>9.3462999999999994</v>
      </c>
      <c r="N308" s="10">
        <f>CHOOSE(CONTROL!$C$42, 9.3627, 9.3627) * CHOOSE(CONTROL!$C$21, $C$9, 100%, $E$9)</f>
        <v>9.3627000000000002</v>
      </c>
      <c r="O308" s="10">
        <f>CHOOSE(CONTROL!$C$42, 9.5916, 9.5916) * CHOOSE(CONTROL!$C$21, $C$9, 100%, $E$9)</f>
        <v>9.5915999999999997</v>
      </c>
      <c r="P308" s="10">
        <f>CHOOSE(CONTROL!$C$42, 9.3738, 9.3738) * CHOOSE(CONTROL!$C$21, $C$9, 100%, $E$9)</f>
        <v>9.3737999999999992</v>
      </c>
      <c r="Q308" s="10">
        <f>CHOOSE(CONTROL!$C$42, 10.1869, 10.1869) * CHOOSE(CONTROL!$C$21, $C$9, 100%, $E$9)</f>
        <v>10.1869</v>
      </c>
      <c r="R308" s="10">
        <f>CHOOSE(CONTROL!$C$42, 10.7994, 10.7994) * CHOOSE(CONTROL!$C$21, $C$9, 100%, $E$9)</f>
        <v>10.7994</v>
      </c>
      <c r="S308" s="10">
        <f>CHOOSE(CONTROL!$C$42, 9.1928, 9.1928) * CHOOSE(CONTROL!$C$21, $C$9, 100%, $E$9)</f>
        <v>9.1928000000000001</v>
      </c>
      <c r="T3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38">
        <f>(1000*CHOOSE(CONTROL!$C$42, 695, 695)*CHOOSE(CONTROL!$C$42, 0.5599, 0.5599)*CHOOSE(CONTROL!$C$42, 31, 31))/1000000</f>
        <v>12.063045499999998</v>
      </c>
      <c r="V308" s="38">
        <f>(1000*CHOOSE(CONTROL!$C$42, 500, 500)*CHOOSE(CONTROL!$C$42, 0.275, 0.275)*CHOOSE(CONTROL!$C$42, 31, 31))/1000000</f>
        <v>4.2625000000000002</v>
      </c>
      <c r="W308" s="38">
        <f>(1000*CHOOSE(CONTROL!$C$42, 0.1146, 0.1146)*CHOOSE(CONTROL!$C$42, 121.5, 121.5)*CHOOSE(CONTROL!$C$42, 31, 31))/1000000</f>
        <v>0.43164089999999994</v>
      </c>
      <c r="X308" s="38">
        <f>(31*0.1790888*245000/1000000)+(31*0.2374*100000/1000000)</f>
        <v>2.0961194359999999</v>
      </c>
      <c r="Y308" s="38">
        <f>(1000*600*CHOOSE(CONTROL!$C$42, 1.6372, 1.6372)*CHOOSE(CONTROL!$C$42, 31, 31))/1000000</f>
        <v>30.451920000000001</v>
      </c>
      <c r="Z308" s="38"/>
      <c r="AA308" s="10"/>
      <c r="AB308" s="39"/>
      <c r="AC308" s="33">
        <f>(B308*194.205+C308*267.466+D308*133.845+E308*53.484+F308*40+G308*185+H308*0+I308*100+J308*300)/(194.205+267.466+133.845+53.484+0+40+185+100+300)</f>
        <v>9.4855330567503948</v>
      </c>
      <c r="AD308" s="27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9.4228575539568347</v>
      </c>
    </row>
    <row r="309" spans="1:30" ht="15.75" x14ac:dyDescent="0.25">
      <c r="A309" s="14">
        <v>50678</v>
      </c>
      <c r="B309" s="10">
        <f>CHOOSE(CONTROL!$C$42, 8.8698, 8.8698) * CHOOSE(CONTROL!$C$21, $C$9, 100%, $E$9)</f>
        <v>8.8697999999999997</v>
      </c>
      <c r="C309" s="10">
        <f>CHOOSE(CONTROL!$C$42, 8.8777, 8.8777) * CHOOSE(CONTROL!$C$21, $C$9, 100%, $E$9)</f>
        <v>8.8777000000000008</v>
      </c>
      <c r="D309" s="10">
        <f>CHOOSE(CONTROL!$C$42, 9.0547, 9.0547) * CHOOSE(CONTROL!$C$21, $C$9, 100%, $E$9)</f>
        <v>9.0547000000000004</v>
      </c>
      <c r="E309" s="10">
        <f>CHOOSE(CONTROL!$C$42, 9.0858, 9.0858) * CHOOSE(CONTROL!$C$21, $C$9, 100%, $E$9)</f>
        <v>9.0858000000000008</v>
      </c>
      <c r="F309" s="10">
        <f>CHOOSE(CONTROL!$C$42, 8.8334, 8.8334)*CHOOSE(CONTROL!$C$21, $C$9, 100%, $E$9)</f>
        <v>8.8333999999999993</v>
      </c>
      <c r="G309" s="10">
        <f>CHOOSE(CONTROL!$C$42, 8.8499, 8.8499)*CHOOSE(CONTROL!$C$21, $C$9, 100%, $E$9)</f>
        <v>8.8498999999999999</v>
      </c>
      <c r="H309" s="10">
        <f>CHOOSE(CONTROL!$C$42, 9.0745, 9.0745) * CHOOSE(CONTROL!$C$21, $C$9, 100%, $E$9)</f>
        <v>9.0745000000000005</v>
      </c>
      <c r="I309" s="10">
        <f>CHOOSE(CONTROL!$C$42, 8.8544, 8.8544)* CHOOSE(CONTROL!$C$21, $C$9, 100%, $E$9)</f>
        <v>8.8544</v>
      </c>
      <c r="J309" s="10">
        <f>CHOOSE(CONTROL!$C$42, 8.8264, 8.8264)* CHOOSE(CONTROL!$C$21, $C$9, 100%, $E$9)</f>
        <v>8.8263999999999996</v>
      </c>
      <c r="K309" s="10">
        <f>CHOOSE(CONTROL!$C$42, 8.7378, 8.7378) * CHOOSE(CONTROL!$C$21, $C$9, 100%, $E$9)</f>
        <v>8.7378</v>
      </c>
      <c r="L309" s="10">
        <f>CHOOSE(CONTROL!$C$42, 9.6615, 9.6615) * CHOOSE(CONTROL!$C$21, $C$9, 100%, $E$9)</f>
        <v>9.6615000000000002</v>
      </c>
      <c r="M309" s="10">
        <f>CHOOSE(CONTROL!$C$42, 8.7511, 8.7511) * CHOOSE(CONTROL!$C$21, $C$9, 100%, $E$9)</f>
        <v>8.7510999999999992</v>
      </c>
      <c r="N309" s="10">
        <f>CHOOSE(CONTROL!$C$42, 8.7675, 8.7675) * CHOOSE(CONTROL!$C$21, $C$9, 100%, $E$9)</f>
        <v>8.7675000000000001</v>
      </c>
      <c r="O309" s="10">
        <f>CHOOSE(CONTROL!$C$42, 8.9967, 8.9967) * CHOOSE(CONTROL!$C$21, $C$9, 100%, $E$9)</f>
        <v>8.9967000000000006</v>
      </c>
      <c r="P309" s="10">
        <f>CHOOSE(CONTROL!$C$42, 8.7789, 8.7789) * CHOOSE(CONTROL!$C$21, $C$9, 100%, $E$9)</f>
        <v>8.7789000000000001</v>
      </c>
      <c r="Q309" s="10">
        <f>CHOOSE(CONTROL!$C$42, 9.592, 9.592) * CHOOSE(CONTROL!$C$21, $C$9, 100%, $E$9)</f>
        <v>9.5920000000000005</v>
      </c>
      <c r="R309" s="10">
        <f>CHOOSE(CONTROL!$C$42, 10.203, 10.203) * CHOOSE(CONTROL!$C$21, $C$9, 100%, $E$9)</f>
        <v>10.202999999999999</v>
      </c>
      <c r="S309" s="10">
        <f>CHOOSE(CONTROL!$C$42, 8.6092, 8.6092) * CHOOSE(CONTROL!$C$21, $C$9, 100%, $E$9)</f>
        <v>8.6091999999999995</v>
      </c>
      <c r="T3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38">
        <f>(1000*CHOOSE(CONTROL!$C$42, 695, 695)*CHOOSE(CONTROL!$C$42, 0.5599, 0.5599)*CHOOSE(CONTROL!$C$42, 30, 30))/1000000</f>
        <v>11.673914999999997</v>
      </c>
      <c r="V309" s="38">
        <f>(1000*CHOOSE(CONTROL!$C$42, 500, 500)*CHOOSE(CONTROL!$C$42, 0.275, 0.275)*CHOOSE(CONTROL!$C$42, 30, 30))/1000000</f>
        <v>4.125</v>
      </c>
      <c r="W309" s="38">
        <f>(1000*CHOOSE(CONTROL!$C$42, 0.1146, 0.1146)*CHOOSE(CONTROL!$C$42, 121.5, 121.5)*CHOOSE(CONTROL!$C$42, 30, 30))/1000000</f>
        <v>0.417717</v>
      </c>
      <c r="X309" s="38">
        <f>(30*0.1790888*245000/1000000)+(30*0.2374*100000/1000000)</f>
        <v>2.0285026799999999</v>
      </c>
      <c r="Y309" s="38">
        <f>(1000*600*CHOOSE(CONTROL!$C$42, 1.6372, 1.6372)*CHOOSE(CONTROL!$C$42, 30, 30))/1000000</f>
        <v>29.4696</v>
      </c>
      <c r="Z309" s="38"/>
      <c r="AA309" s="10"/>
      <c r="AB309" s="39"/>
      <c r="AC309" s="33">
        <f>(B309*194.205+C309*267.466+D309*133.845+E309*53.484+F309*40+G309*185+H309*0+I309*100+J309*300)/(194.205+267.466+133.845+53.484+0+40+185+100+300)</f>
        <v>8.8844907110675049</v>
      </c>
      <c r="AD309" s="27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8.8277848920863295</v>
      </c>
    </row>
    <row r="310" spans="1:30" ht="15.75" x14ac:dyDescent="0.25">
      <c r="A310" s="14">
        <v>50709</v>
      </c>
      <c r="B310" s="10">
        <f>CHOOSE(CONTROL!$C$42, 8.6877, 8.6877) * CHOOSE(CONTROL!$C$21, $C$9, 100%, $E$9)</f>
        <v>8.6876999999999995</v>
      </c>
      <c r="C310" s="10">
        <f>CHOOSE(CONTROL!$C$42, 8.6929, 8.6929) * CHOOSE(CONTROL!$C$21, $C$9, 100%, $E$9)</f>
        <v>8.6928999999999998</v>
      </c>
      <c r="D310" s="10">
        <f>CHOOSE(CONTROL!$C$42, 8.8748, 8.8748) * CHOOSE(CONTROL!$C$21, $C$9, 100%, $E$9)</f>
        <v>8.8748000000000005</v>
      </c>
      <c r="E310" s="10">
        <f>CHOOSE(CONTROL!$C$42, 8.9036, 8.9036) * CHOOSE(CONTROL!$C$21, $C$9, 100%, $E$9)</f>
        <v>8.9036000000000008</v>
      </c>
      <c r="F310" s="10">
        <f>CHOOSE(CONTROL!$C$42, 8.6533, 8.6533)*CHOOSE(CONTROL!$C$21, $C$9, 100%, $E$9)</f>
        <v>8.6532999999999998</v>
      </c>
      <c r="G310" s="10">
        <f>CHOOSE(CONTROL!$C$42, 8.6695, 8.6695)*CHOOSE(CONTROL!$C$21, $C$9, 100%, $E$9)</f>
        <v>8.6694999999999993</v>
      </c>
      <c r="H310" s="10">
        <f>CHOOSE(CONTROL!$C$42, 8.8941, 8.8941) * CHOOSE(CONTROL!$C$21, $C$9, 100%, $E$9)</f>
        <v>8.8940999999999999</v>
      </c>
      <c r="I310" s="10">
        <f>CHOOSE(CONTROL!$C$42, 8.674, 8.674)* CHOOSE(CONTROL!$C$21, $C$9, 100%, $E$9)</f>
        <v>8.6739999999999995</v>
      </c>
      <c r="J310" s="10">
        <f>CHOOSE(CONTROL!$C$42, 8.6463, 8.6463)* CHOOSE(CONTROL!$C$21, $C$9, 100%, $E$9)</f>
        <v>8.6463000000000001</v>
      </c>
      <c r="K310" s="10">
        <f>CHOOSE(CONTROL!$C$42, 8.5631, 8.5631) * CHOOSE(CONTROL!$C$21, $C$9, 100%, $E$9)</f>
        <v>8.5631000000000004</v>
      </c>
      <c r="L310" s="10">
        <f>CHOOSE(CONTROL!$C$42, 9.4811, 9.4811) * CHOOSE(CONTROL!$C$21, $C$9, 100%, $E$9)</f>
        <v>9.4810999999999996</v>
      </c>
      <c r="M310" s="10">
        <f>CHOOSE(CONTROL!$C$42, 8.5729, 8.5729) * CHOOSE(CONTROL!$C$21, $C$9, 100%, $E$9)</f>
        <v>8.5729000000000006</v>
      </c>
      <c r="N310" s="10">
        <f>CHOOSE(CONTROL!$C$42, 8.5889, 8.5889) * CHOOSE(CONTROL!$C$21, $C$9, 100%, $E$9)</f>
        <v>8.5889000000000006</v>
      </c>
      <c r="O310" s="10">
        <f>CHOOSE(CONTROL!$C$42, 8.8182, 8.8182) * CHOOSE(CONTROL!$C$21, $C$9, 100%, $E$9)</f>
        <v>8.8181999999999992</v>
      </c>
      <c r="P310" s="10">
        <f>CHOOSE(CONTROL!$C$42, 8.6004, 8.6004) * CHOOSE(CONTROL!$C$21, $C$9, 100%, $E$9)</f>
        <v>8.6004000000000005</v>
      </c>
      <c r="Q310" s="10">
        <f>CHOOSE(CONTROL!$C$42, 9.4135, 9.4135) * CHOOSE(CONTROL!$C$21, $C$9, 100%, $E$9)</f>
        <v>9.4135000000000009</v>
      </c>
      <c r="R310" s="10">
        <f>CHOOSE(CONTROL!$C$42, 10.024, 10.024) * CHOOSE(CONTROL!$C$21, $C$9, 100%, $E$9)</f>
        <v>10.023999999999999</v>
      </c>
      <c r="S310" s="10">
        <f>CHOOSE(CONTROL!$C$42, 8.4341, 8.4341) * CHOOSE(CONTROL!$C$21, $C$9, 100%, $E$9)</f>
        <v>8.4341000000000008</v>
      </c>
      <c r="T3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38">
        <f>(1000*CHOOSE(CONTROL!$C$42, 695, 695)*CHOOSE(CONTROL!$C$42, 0.5599, 0.5599)*CHOOSE(CONTROL!$C$42, 31, 31))/1000000</f>
        <v>12.063045499999998</v>
      </c>
      <c r="V310" s="38">
        <f>(1000*CHOOSE(CONTROL!$C$42, 500, 500)*CHOOSE(CONTROL!$C$42, 0.275, 0.275)*CHOOSE(CONTROL!$C$42, 31, 31))/1000000</f>
        <v>4.2625000000000002</v>
      </c>
      <c r="W310" s="38">
        <f>(1000*CHOOSE(CONTROL!$C$42, 0.1146, 0.1146)*CHOOSE(CONTROL!$C$42, 121.5, 121.5)*CHOOSE(CONTROL!$C$42, 31, 31))/1000000</f>
        <v>0.43164089999999994</v>
      </c>
      <c r="X310" s="38">
        <f>(31*0.1790888*245000/1000000)+(31*0.2374*100000/1000000)</f>
        <v>2.0961194359999999</v>
      </c>
      <c r="Y310" s="38">
        <f>(1000*600*CHOOSE(CONTROL!$C$42, 1.6372, 1.6372)*CHOOSE(CONTROL!$C$42, 31, 31))/1000000</f>
        <v>30.451920000000001</v>
      </c>
      <c r="Z310" s="38"/>
      <c r="AA310" s="10"/>
      <c r="AB310" s="39"/>
      <c r="AC310" s="33">
        <f>(B310*131.881+C310*277.167+D310*79.08+E310*125.872+F310*40+G310*185+H310*0+I310*100+J310*300)/(131.881+277.167+79.08+125.872+0+40+185+100+300)</f>
        <v>8.7077806305084735</v>
      </c>
      <c r="AD310" s="27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8.6493654676259002</v>
      </c>
    </row>
    <row r="311" spans="1:30" ht="15.75" x14ac:dyDescent="0.25">
      <c r="A311" s="14">
        <v>50739</v>
      </c>
      <c r="B311" s="10">
        <f>CHOOSE(CONTROL!$C$42, 8.916, 8.916) * CHOOSE(CONTROL!$C$21, $C$9, 100%, $E$9)</f>
        <v>8.9160000000000004</v>
      </c>
      <c r="C311" s="10">
        <f>CHOOSE(CONTROL!$C$42, 8.921, 8.921) * CHOOSE(CONTROL!$C$21, $C$9, 100%, $E$9)</f>
        <v>8.9209999999999994</v>
      </c>
      <c r="D311" s="10">
        <f>CHOOSE(CONTROL!$C$42, 8.9455, 8.9455) * CHOOSE(CONTROL!$C$21, $C$9, 100%, $E$9)</f>
        <v>8.9454999999999991</v>
      </c>
      <c r="E311" s="10">
        <f>CHOOSE(CONTROL!$C$42, 8.9792, 8.9792) * CHOOSE(CONTROL!$C$21, $C$9, 100%, $E$9)</f>
        <v>8.9792000000000005</v>
      </c>
      <c r="F311" s="10">
        <f>CHOOSE(CONTROL!$C$42, 8.8854, 8.8854)*CHOOSE(CONTROL!$C$21, $C$9, 100%, $E$9)</f>
        <v>8.8854000000000006</v>
      </c>
      <c r="G311" s="10">
        <f>CHOOSE(CONTROL!$C$42, 8.9018, 8.9018)*CHOOSE(CONTROL!$C$21, $C$9, 100%, $E$9)</f>
        <v>8.9017999999999997</v>
      </c>
      <c r="H311" s="10">
        <f>CHOOSE(CONTROL!$C$42, 8.9684, 8.9684) * CHOOSE(CONTROL!$C$21, $C$9, 100%, $E$9)</f>
        <v>8.9684000000000008</v>
      </c>
      <c r="I311" s="10">
        <f>CHOOSE(CONTROL!$C$42, 8.9028, 8.9028)* CHOOSE(CONTROL!$C$21, $C$9, 100%, $E$9)</f>
        <v>8.9027999999999992</v>
      </c>
      <c r="J311" s="10">
        <f>CHOOSE(CONTROL!$C$42, 8.8784, 8.8784)* CHOOSE(CONTROL!$C$21, $C$9, 100%, $E$9)</f>
        <v>8.8783999999999992</v>
      </c>
      <c r="K311" s="10">
        <f>CHOOSE(CONTROL!$C$42, 8.7869, 8.7869) * CHOOSE(CONTROL!$C$21, $C$9, 100%, $E$9)</f>
        <v>8.7868999999999993</v>
      </c>
      <c r="L311" s="10">
        <f>CHOOSE(CONTROL!$C$42, 9.5554, 9.5554) * CHOOSE(CONTROL!$C$21, $C$9, 100%, $E$9)</f>
        <v>9.5554000000000006</v>
      </c>
      <c r="M311" s="10">
        <f>CHOOSE(CONTROL!$C$42, 8.8026, 8.8026) * CHOOSE(CONTROL!$C$21, $C$9, 100%, $E$9)</f>
        <v>8.8026</v>
      </c>
      <c r="N311" s="10">
        <f>CHOOSE(CONTROL!$C$42, 8.8189, 8.8189) * CHOOSE(CONTROL!$C$21, $C$9, 100%, $E$9)</f>
        <v>8.8188999999999993</v>
      </c>
      <c r="O311" s="10">
        <f>CHOOSE(CONTROL!$C$42, 8.8918, 8.8918) * CHOOSE(CONTROL!$C$21, $C$9, 100%, $E$9)</f>
        <v>8.8917999999999999</v>
      </c>
      <c r="P311" s="10">
        <f>CHOOSE(CONTROL!$C$42, 8.8268, 8.8268) * CHOOSE(CONTROL!$C$21, $C$9, 100%, $E$9)</f>
        <v>8.8268000000000004</v>
      </c>
      <c r="Q311" s="10">
        <f>CHOOSE(CONTROL!$C$42, 9.4871, 9.4871) * CHOOSE(CONTROL!$C$21, $C$9, 100%, $E$9)</f>
        <v>9.4870999999999999</v>
      </c>
      <c r="R311" s="10">
        <f>CHOOSE(CONTROL!$C$42, 10.0978, 10.0978) * CHOOSE(CONTROL!$C$21, $C$9, 100%, $E$9)</f>
        <v>10.097799999999999</v>
      </c>
      <c r="S311" s="10">
        <f>CHOOSE(CONTROL!$C$42, 8.6562, 8.6562) * CHOOSE(CONTROL!$C$21, $C$9, 100%, $E$9)</f>
        <v>8.6562000000000001</v>
      </c>
      <c r="T3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38">
        <f>(1000*CHOOSE(CONTROL!$C$42, 695, 695)*CHOOSE(CONTROL!$C$42, 0.5599, 0.5599)*CHOOSE(CONTROL!$C$42, 30, 30))/1000000</f>
        <v>11.673914999999997</v>
      </c>
      <c r="V311" s="38">
        <f>(1000*CHOOSE(CONTROL!$C$42, 500, 500)*CHOOSE(CONTROL!$C$42, 0.275, 0.275)*CHOOSE(CONTROL!$C$42, 30, 30))/1000000</f>
        <v>4.125</v>
      </c>
      <c r="W311" s="38">
        <f>(1000*CHOOSE(CONTROL!$C$42, 0.1146, 0.1146)*CHOOSE(CONTROL!$C$42, 121.5, 121.5)*CHOOSE(CONTROL!$C$42, 30, 30))/1000000</f>
        <v>0.417717</v>
      </c>
      <c r="X311" s="38">
        <f>(30*0.1790888*100000/1000000)+(30*0.2374*100000/1000000)</f>
        <v>1.2494664</v>
      </c>
      <c r="Y311" s="38">
        <f>(1000*600*CHOOSE(CONTROL!$C$42, 1.6372, 1.6372)*CHOOSE(CONTROL!$C$42, 30, 30))/1000000</f>
        <v>29.4696</v>
      </c>
      <c r="Z311" s="38"/>
      <c r="AA311" s="10"/>
      <c r="AB311" s="39"/>
      <c r="AC311" s="33">
        <f>(B311*122.58+C311*297.941+D311*89.177+E311*40.302+F311*40+G311*160+H311*0+I311*100+J311*300)/(122.58+297.941+89.177+40.302+0+40+160+100+300)</f>
        <v>8.9078013155652158</v>
      </c>
      <c r="AD311" s="27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8.8474489208633091</v>
      </c>
    </row>
    <row r="312" spans="1:30" ht="15.75" x14ac:dyDescent="0.25">
      <c r="A312" s="14">
        <v>50770</v>
      </c>
      <c r="B312" s="10">
        <f>CHOOSE(CONTROL!$C$42, 9.5237, 9.5237) * CHOOSE(CONTROL!$C$21, $C$9, 100%, $E$9)</f>
        <v>9.5236999999999998</v>
      </c>
      <c r="C312" s="10">
        <f>CHOOSE(CONTROL!$C$42, 9.5287, 9.5287) * CHOOSE(CONTROL!$C$21, $C$9, 100%, $E$9)</f>
        <v>9.5287000000000006</v>
      </c>
      <c r="D312" s="10">
        <f>CHOOSE(CONTROL!$C$42, 9.5531, 9.5531) * CHOOSE(CONTROL!$C$21, $C$9, 100%, $E$9)</f>
        <v>9.5531000000000006</v>
      </c>
      <c r="E312" s="10">
        <f>CHOOSE(CONTROL!$C$42, 9.5869, 9.5869) * CHOOSE(CONTROL!$C$21, $C$9, 100%, $E$9)</f>
        <v>9.5869</v>
      </c>
      <c r="F312" s="10">
        <f>CHOOSE(CONTROL!$C$42, 9.4954, 9.4954)*CHOOSE(CONTROL!$C$21, $C$9, 100%, $E$9)</f>
        <v>9.4954000000000001</v>
      </c>
      <c r="G312" s="10">
        <f>CHOOSE(CONTROL!$C$42, 9.5124, 9.5124)*CHOOSE(CONTROL!$C$21, $C$9, 100%, $E$9)</f>
        <v>9.5123999999999995</v>
      </c>
      <c r="H312" s="10">
        <f>CHOOSE(CONTROL!$C$42, 9.5761, 9.5761) * CHOOSE(CONTROL!$C$21, $C$9, 100%, $E$9)</f>
        <v>9.5761000000000003</v>
      </c>
      <c r="I312" s="10">
        <f>CHOOSE(CONTROL!$C$42, 9.5105, 9.5105)* CHOOSE(CONTROL!$C$21, $C$9, 100%, $E$9)</f>
        <v>9.5105000000000004</v>
      </c>
      <c r="J312" s="10">
        <f>CHOOSE(CONTROL!$C$42, 9.4884, 9.4884)* CHOOSE(CONTROL!$C$21, $C$9, 100%, $E$9)</f>
        <v>9.4884000000000004</v>
      </c>
      <c r="K312" s="10">
        <f>CHOOSE(CONTROL!$C$42, 9.3823, 9.3823) * CHOOSE(CONTROL!$C$21, $C$9, 100%, $E$9)</f>
        <v>9.3823000000000008</v>
      </c>
      <c r="L312" s="10">
        <f>CHOOSE(CONTROL!$C$42, 10.1631, 10.1631) * CHOOSE(CONTROL!$C$21, $C$9, 100%, $E$9)</f>
        <v>10.1631</v>
      </c>
      <c r="M312" s="10">
        <f>CHOOSE(CONTROL!$C$42, 9.4064, 9.4064) * CHOOSE(CONTROL!$C$21, $C$9, 100%, $E$9)</f>
        <v>9.4063999999999997</v>
      </c>
      <c r="N312" s="10">
        <f>CHOOSE(CONTROL!$C$42, 9.4233, 9.4233) * CHOOSE(CONTROL!$C$21, $C$9, 100%, $E$9)</f>
        <v>9.4232999999999993</v>
      </c>
      <c r="O312" s="10">
        <f>CHOOSE(CONTROL!$C$42, 9.4933, 9.4933) * CHOOSE(CONTROL!$C$21, $C$9, 100%, $E$9)</f>
        <v>9.4932999999999996</v>
      </c>
      <c r="P312" s="10">
        <f>CHOOSE(CONTROL!$C$42, 9.4284, 9.4284) * CHOOSE(CONTROL!$C$21, $C$9, 100%, $E$9)</f>
        <v>9.4283999999999999</v>
      </c>
      <c r="Q312" s="10">
        <f>CHOOSE(CONTROL!$C$42, 10.0886, 10.0886) * CHOOSE(CONTROL!$C$21, $C$9, 100%, $E$9)</f>
        <v>10.0886</v>
      </c>
      <c r="R312" s="10">
        <f>CHOOSE(CONTROL!$C$42, 10.7008, 10.7008) * CHOOSE(CONTROL!$C$21, $C$9, 100%, $E$9)</f>
        <v>10.700799999999999</v>
      </c>
      <c r="S312" s="10">
        <f>CHOOSE(CONTROL!$C$42, 9.2464, 9.2464) * CHOOSE(CONTROL!$C$21, $C$9, 100%, $E$9)</f>
        <v>9.2463999999999995</v>
      </c>
      <c r="T3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38">
        <f>(1000*CHOOSE(CONTROL!$C$42, 695, 695)*CHOOSE(CONTROL!$C$42, 0.5599, 0.5599)*CHOOSE(CONTROL!$C$42, 31, 31))/1000000</f>
        <v>12.063045499999998</v>
      </c>
      <c r="V312" s="38">
        <f>(1000*CHOOSE(CONTROL!$C$42, 500, 500)*CHOOSE(CONTROL!$C$42, 0.275, 0.275)*CHOOSE(CONTROL!$C$42, 31, 31))/1000000</f>
        <v>4.2625000000000002</v>
      </c>
      <c r="W312" s="38">
        <f>(1000*CHOOSE(CONTROL!$C$42, 0.1146, 0.1146)*CHOOSE(CONTROL!$C$42, 121.5, 121.5)*CHOOSE(CONTROL!$C$42, 31, 31))/1000000</f>
        <v>0.43164089999999994</v>
      </c>
      <c r="X312" s="38">
        <f>(31*0.1790888*100000/1000000)+(31*0.2374*100000/1000000)</f>
        <v>1.2911152800000001</v>
      </c>
      <c r="Y312" s="38">
        <f>(1000*600*CHOOSE(CONTROL!$C$42, 1.6372, 1.6372)*CHOOSE(CONTROL!$C$42, 31, 31))/1000000</f>
        <v>30.451920000000001</v>
      </c>
      <c r="Z312" s="38"/>
      <c r="AA312" s="10"/>
      <c r="AB312" s="39"/>
      <c r="AC312" s="33">
        <f>(B312*122.58+C312*297.941+D312*89.177+E312*40.302+F312*40+G312*160+H312*0+I312*100+J312*300)/(122.58+297.941+89.177+40.302+0+40+160+100+300)</f>
        <v>9.5165770393043481</v>
      </c>
      <c r="AD312" s="27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9.4499244604316548</v>
      </c>
    </row>
    <row r="313" spans="1:30" ht="15.75" x14ac:dyDescent="0.25">
      <c r="A313" s="14">
        <v>50801</v>
      </c>
      <c r="B313" s="10">
        <f>CHOOSE(CONTROL!$C$42, 10.1663, 10.1663) * CHOOSE(CONTROL!$C$21, $C$9, 100%, $E$9)</f>
        <v>10.1663</v>
      </c>
      <c r="C313" s="10">
        <f>CHOOSE(CONTROL!$C$42, 10.1713, 10.1713) * CHOOSE(CONTROL!$C$21, $C$9, 100%, $E$9)</f>
        <v>10.1713</v>
      </c>
      <c r="D313" s="10">
        <f>CHOOSE(CONTROL!$C$42, 10.1957, 10.1957) * CHOOSE(CONTROL!$C$21, $C$9, 100%, $E$9)</f>
        <v>10.1957</v>
      </c>
      <c r="E313" s="10">
        <f>CHOOSE(CONTROL!$C$42, 10.2295, 10.2295) * CHOOSE(CONTROL!$C$21, $C$9, 100%, $E$9)</f>
        <v>10.2295</v>
      </c>
      <c r="F313" s="10">
        <f>CHOOSE(CONTROL!$C$42, 10.1493, 10.1493)*CHOOSE(CONTROL!$C$21, $C$9, 100%, $E$9)</f>
        <v>10.1493</v>
      </c>
      <c r="G313" s="10">
        <f>CHOOSE(CONTROL!$C$42, 10.1679, 10.1679)*CHOOSE(CONTROL!$C$21, $C$9, 100%, $E$9)</f>
        <v>10.167899999999999</v>
      </c>
      <c r="H313" s="10">
        <f>CHOOSE(CONTROL!$C$42, 10.2187, 10.2187) * CHOOSE(CONTROL!$C$21, $C$9, 100%, $E$9)</f>
        <v>10.2187</v>
      </c>
      <c r="I313" s="10">
        <f>CHOOSE(CONTROL!$C$42, 10.1608, 10.1608)* CHOOSE(CONTROL!$C$21, $C$9, 100%, $E$9)</f>
        <v>10.1608</v>
      </c>
      <c r="J313" s="10">
        <f>CHOOSE(CONTROL!$C$42, 10.1423, 10.1423)* CHOOSE(CONTROL!$C$21, $C$9, 100%, $E$9)</f>
        <v>10.142300000000001</v>
      </c>
      <c r="K313" s="10">
        <f>CHOOSE(CONTROL!$C$42, 10.0276, 10.0276) * CHOOSE(CONTROL!$C$21, $C$9, 100%, $E$9)</f>
        <v>10.0276</v>
      </c>
      <c r="L313" s="10">
        <f>CHOOSE(CONTROL!$C$42, 10.8057, 10.8057) * CHOOSE(CONTROL!$C$21, $C$9, 100%, $E$9)</f>
        <v>10.8057</v>
      </c>
      <c r="M313" s="10">
        <f>CHOOSE(CONTROL!$C$42, 10.0537, 10.0537) * CHOOSE(CONTROL!$C$21, $C$9, 100%, $E$9)</f>
        <v>10.053699999999999</v>
      </c>
      <c r="N313" s="10">
        <f>CHOOSE(CONTROL!$C$42, 10.0722, 10.0722) * CHOOSE(CONTROL!$C$21, $C$9, 100%, $E$9)</f>
        <v>10.0722</v>
      </c>
      <c r="O313" s="10">
        <f>CHOOSE(CONTROL!$C$42, 10.1294, 10.1294) * CHOOSE(CONTROL!$C$21, $C$9, 100%, $E$9)</f>
        <v>10.1294</v>
      </c>
      <c r="P313" s="10">
        <f>CHOOSE(CONTROL!$C$42, 10.0721, 10.0721) * CHOOSE(CONTROL!$C$21, $C$9, 100%, $E$9)</f>
        <v>10.072100000000001</v>
      </c>
      <c r="Q313" s="10">
        <f>CHOOSE(CONTROL!$C$42, 10.7247, 10.7247) * CHOOSE(CONTROL!$C$21, $C$9, 100%, $E$9)</f>
        <v>10.7247</v>
      </c>
      <c r="R313" s="10">
        <f>CHOOSE(CONTROL!$C$42, 11.3385, 11.3385) * CHOOSE(CONTROL!$C$21, $C$9, 100%, $E$9)</f>
        <v>11.3385</v>
      </c>
      <c r="S313" s="10">
        <f>CHOOSE(CONTROL!$C$42, 9.8704, 9.8704) * CHOOSE(CONTROL!$C$21, $C$9, 100%, $E$9)</f>
        <v>9.8704000000000001</v>
      </c>
      <c r="T3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38">
        <f>(1000*CHOOSE(CONTROL!$C$42, 695, 695)*CHOOSE(CONTROL!$C$42, 0.5599, 0.5599)*CHOOSE(CONTROL!$C$42, 31, 31))/1000000</f>
        <v>12.063045499999998</v>
      </c>
      <c r="V313" s="38">
        <f>(1000*CHOOSE(CONTROL!$C$42, 500, 500)*CHOOSE(CONTROL!$C$42, 0.275, 0.275)*CHOOSE(CONTROL!$C$42, 31, 31))/1000000</f>
        <v>4.2625000000000002</v>
      </c>
      <c r="W313" s="38">
        <f>(1000*CHOOSE(CONTROL!$C$42, 0.1146, 0.1146)*CHOOSE(CONTROL!$C$42, 121.5, 121.5)*CHOOSE(CONTROL!$C$42, 31, 31))/1000000</f>
        <v>0.43164089999999994</v>
      </c>
      <c r="X313" s="38">
        <f>(31*0.1790888*100000/1000000)+(31*0.2374*100000/1000000)</f>
        <v>1.2911152800000001</v>
      </c>
      <c r="Y313" s="38">
        <f>(1000*600*CHOOSE(CONTROL!$C$42, 1.6337, 1.6337)*CHOOSE(CONTROL!$C$42, 31, 31))/1000000</f>
        <v>30.38682</v>
      </c>
      <c r="Z313" s="38"/>
      <c r="AA313" s="10"/>
      <c r="AB313" s="39"/>
      <c r="AC313" s="33">
        <f>(B313*122.58+C313*297.941+D313*89.177+E313*40.302+F313*40+G313*160+H313*0+I313*100+J313*300)/(122.58+297.941+89.177+40.302+0+40+160+100+300)</f>
        <v>10.164982256695653</v>
      </c>
      <c r="AD313" s="27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10.091722302158274</v>
      </c>
    </row>
    <row r="314" spans="1:30" ht="15.75" x14ac:dyDescent="0.25">
      <c r="A314" s="14">
        <v>50829</v>
      </c>
      <c r="B314" s="10">
        <f>CHOOSE(CONTROL!$C$42, 10.3472, 10.3472) * CHOOSE(CONTROL!$C$21, $C$9, 100%, $E$9)</f>
        <v>10.347200000000001</v>
      </c>
      <c r="C314" s="10">
        <f>CHOOSE(CONTROL!$C$42, 10.3522, 10.3522) * CHOOSE(CONTROL!$C$21, $C$9, 100%, $E$9)</f>
        <v>10.3522</v>
      </c>
      <c r="D314" s="10">
        <f>CHOOSE(CONTROL!$C$42, 10.3767, 10.3767) * CHOOSE(CONTROL!$C$21, $C$9, 100%, $E$9)</f>
        <v>10.3767</v>
      </c>
      <c r="E314" s="10">
        <f>CHOOSE(CONTROL!$C$42, 10.4104, 10.4104) * CHOOSE(CONTROL!$C$21, $C$9, 100%, $E$9)</f>
        <v>10.410399999999999</v>
      </c>
      <c r="F314" s="10">
        <f>CHOOSE(CONTROL!$C$42, 10.3295, 10.3295)*CHOOSE(CONTROL!$C$21, $C$9, 100%, $E$9)</f>
        <v>10.329499999999999</v>
      </c>
      <c r="G314" s="10">
        <f>CHOOSE(CONTROL!$C$42, 10.348, 10.348)*CHOOSE(CONTROL!$C$21, $C$9, 100%, $E$9)</f>
        <v>10.348000000000001</v>
      </c>
      <c r="H314" s="10">
        <f>CHOOSE(CONTROL!$C$42, 10.3996, 10.3996) * CHOOSE(CONTROL!$C$21, $C$9, 100%, $E$9)</f>
        <v>10.3996</v>
      </c>
      <c r="I314" s="10">
        <f>CHOOSE(CONTROL!$C$42, 10.3417, 10.3417)* CHOOSE(CONTROL!$C$21, $C$9, 100%, $E$9)</f>
        <v>10.341699999999999</v>
      </c>
      <c r="J314" s="10">
        <f>CHOOSE(CONTROL!$C$42, 10.3225, 10.3225)* CHOOSE(CONTROL!$C$21, $C$9, 100%, $E$9)</f>
        <v>10.3225</v>
      </c>
      <c r="K314" s="10">
        <f>CHOOSE(CONTROL!$C$42, 10.2019, 10.2019) * CHOOSE(CONTROL!$C$21, $C$9, 100%, $E$9)</f>
        <v>10.2019</v>
      </c>
      <c r="L314" s="10">
        <f>CHOOSE(CONTROL!$C$42, 10.9866, 10.9866) * CHOOSE(CONTROL!$C$21, $C$9, 100%, $E$9)</f>
        <v>10.986599999999999</v>
      </c>
      <c r="M314" s="10">
        <f>CHOOSE(CONTROL!$C$42, 10.2322, 10.2322) * CHOOSE(CONTROL!$C$21, $C$9, 100%, $E$9)</f>
        <v>10.232200000000001</v>
      </c>
      <c r="N314" s="10">
        <f>CHOOSE(CONTROL!$C$42, 10.2505, 10.2505) * CHOOSE(CONTROL!$C$21, $C$9, 100%, $E$9)</f>
        <v>10.250500000000001</v>
      </c>
      <c r="O314" s="10">
        <f>CHOOSE(CONTROL!$C$42, 10.3085, 10.3085) * CHOOSE(CONTROL!$C$21, $C$9, 100%, $E$9)</f>
        <v>10.3085</v>
      </c>
      <c r="P314" s="10">
        <f>CHOOSE(CONTROL!$C$42, 10.2512, 10.2512) * CHOOSE(CONTROL!$C$21, $C$9, 100%, $E$9)</f>
        <v>10.251200000000001</v>
      </c>
      <c r="Q314" s="10">
        <f>CHOOSE(CONTROL!$C$42, 10.9038, 10.9038) * CHOOSE(CONTROL!$C$21, $C$9, 100%, $E$9)</f>
        <v>10.9038</v>
      </c>
      <c r="R314" s="10">
        <f>CHOOSE(CONTROL!$C$42, 11.5181, 11.5181) * CHOOSE(CONTROL!$C$21, $C$9, 100%, $E$9)</f>
        <v>11.5181</v>
      </c>
      <c r="S314" s="10">
        <f>CHOOSE(CONTROL!$C$42, 10.0461, 10.0461) * CHOOSE(CONTROL!$C$21, $C$9, 100%, $E$9)</f>
        <v>10.046099999999999</v>
      </c>
      <c r="T3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38">
        <f>(1000*CHOOSE(CONTROL!$C$42, 695, 695)*CHOOSE(CONTROL!$C$42, 0.5599, 0.5599)*CHOOSE(CONTROL!$C$42, 28, 28))/1000000</f>
        <v>10.895653999999999</v>
      </c>
      <c r="V314" s="38">
        <f>(1000*CHOOSE(CONTROL!$C$42, 500, 500)*CHOOSE(CONTROL!$C$42, 0.275, 0.275)*CHOOSE(CONTROL!$C$42, 28, 28))/1000000</f>
        <v>3.85</v>
      </c>
      <c r="W314" s="38">
        <f>(1000*CHOOSE(CONTROL!$C$42, 0.1146, 0.1146)*CHOOSE(CONTROL!$C$42, 121.5, 121.5)*CHOOSE(CONTROL!$C$42, 28, 28))/1000000</f>
        <v>0.38986920000000003</v>
      </c>
      <c r="X314" s="38">
        <f>(28*0.1790888*100000/1000000)+(28*0.2374*100000/1000000)</f>
        <v>1.16616864</v>
      </c>
      <c r="Y314" s="38">
        <f>(1000*600*CHOOSE(CONTROL!$C$42, 1.6337, 1.6337)*CHOOSE(CONTROL!$C$42, 28, 28))/1000000</f>
        <v>27.446159999999999</v>
      </c>
      <c r="Z314" s="38"/>
      <c r="AA314" s="10"/>
      <c r="AB314" s="39"/>
      <c r="AC314" s="33">
        <f>(B314*122.58+C314*297.941+D314*89.177+E314*40.302+F314*40+G314*160+H314*0+I314*100+J314*300)/(122.58+297.941+89.177+40.302+0+40+160+100+300)</f>
        <v>10.345571750347826</v>
      </c>
      <c r="AD314" s="27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10.270569064748202</v>
      </c>
    </row>
    <row r="315" spans="1:30" ht="15.75" x14ac:dyDescent="0.25">
      <c r="A315" s="14">
        <v>50860</v>
      </c>
      <c r="B315" s="10">
        <f>CHOOSE(CONTROL!$C$42, 10.0536, 10.0536) * CHOOSE(CONTROL!$C$21, $C$9, 100%, $E$9)</f>
        <v>10.053599999999999</v>
      </c>
      <c r="C315" s="10">
        <f>CHOOSE(CONTROL!$C$42, 10.0585, 10.0585) * CHOOSE(CONTROL!$C$21, $C$9, 100%, $E$9)</f>
        <v>10.0585</v>
      </c>
      <c r="D315" s="10">
        <f>CHOOSE(CONTROL!$C$42, 10.083, 10.083) * CHOOSE(CONTROL!$C$21, $C$9, 100%, $E$9)</f>
        <v>10.083</v>
      </c>
      <c r="E315" s="10">
        <f>CHOOSE(CONTROL!$C$42, 10.1168, 10.1168) * CHOOSE(CONTROL!$C$21, $C$9, 100%, $E$9)</f>
        <v>10.1168</v>
      </c>
      <c r="F315" s="10">
        <f>CHOOSE(CONTROL!$C$42, 10.0343, 10.0343)*CHOOSE(CONTROL!$C$21, $C$9, 100%, $E$9)</f>
        <v>10.0343</v>
      </c>
      <c r="G315" s="10">
        <f>CHOOSE(CONTROL!$C$42, 10.0524, 10.0524)*CHOOSE(CONTROL!$C$21, $C$9, 100%, $E$9)</f>
        <v>10.0524</v>
      </c>
      <c r="H315" s="10">
        <f>CHOOSE(CONTROL!$C$42, 10.106, 10.106) * CHOOSE(CONTROL!$C$21, $C$9, 100%, $E$9)</f>
        <v>10.106</v>
      </c>
      <c r="I315" s="10">
        <f>CHOOSE(CONTROL!$C$42, 10.0481, 10.0481)* CHOOSE(CONTROL!$C$21, $C$9, 100%, $E$9)</f>
        <v>10.0481</v>
      </c>
      <c r="J315" s="10">
        <f>CHOOSE(CONTROL!$C$42, 10.0273, 10.0273)* CHOOSE(CONTROL!$C$21, $C$9, 100%, $E$9)</f>
        <v>10.0273</v>
      </c>
      <c r="K315" s="10">
        <f>CHOOSE(CONTROL!$C$42, 9.9132, 9.9132) * CHOOSE(CONTROL!$C$21, $C$9, 100%, $E$9)</f>
        <v>9.9131999999999998</v>
      </c>
      <c r="L315" s="10">
        <f>CHOOSE(CONTROL!$C$42, 10.693, 10.693) * CHOOSE(CONTROL!$C$21, $C$9, 100%, $E$9)</f>
        <v>10.693</v>
      </c>
      <c r="M315" s="10">
        <f>CHOOSE(CONTROL!$C$42, 9.9399, 9.9399) * CHOOSE(CONTROL!$C$21, $C$9, 100%, $E$9)</f>
        <v>9.9398999999999997</v>
      </c>
      <c r="N315" s="10">
        <f>CHOOSE(CONTROL!$C$42, 9.9578, 9.9578) * CHOOSE(CONTROL!$C$21, $C$9, 100%, $E$9)</f>
        <v>9.9578000000000007</v>
      </c>
      <c r="O315" s="10">
        <f>CHOOSE(CONTROL!$C$42, 10.0178, 10.0178) * CHOOSE(CONTROL!$C$21, $C$9, 100%, $E$9)</f>
        <v>10.017799999999999</v>
      </c>
      <c r="P315" s="10">
        <f>CHOOSE(CONTROL!$C$42, 9.9605, 9.9605) * CHOOSE(CONTROL!$C$21, $C$9, 100%, $E$9)</f>
        <v>9.9604999999999997</v>
      </c>
      <c r="Q315" s="10">
        <f>CHOOSE(CONTROL!$C$42, 10.6131, 10.6131) * CHOOSE(CONTROL!$C$21, $C$9, 100%, $E$9)</f>
        <v>10.613099999999999</v>
      </c>
      <c r="R315" s="10">
        <f>CHOOSE(CONTROL!$C$42, 11.2266, 11.2266) * CHOOSE(CONTROL!$C$21, $C$9, 100%, $E$9)</f>
        <v>11.226599999999999</v>
      </c>
      <c r="S315" s="10">
        <f>CHOOSE(CONTROL!$C$42, 9.7609, 9.7609) * CHOOSE(CONTROL!$C$21, $C$9, 100%, $E$9)</f>
        <v>9.7608999999999995</v>
      </c>
      <c r="T3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38">
        <f>(1000*CHOOSE(CONTROL!$C$42, 695, 695)*CHOOSE(CONTROL!$C$42, 0.5599, 0.5599)*CHOOSE(CONTROL!$C$42, 31, 31))/1000000</f>
        <v>12.063045499999998</v>
      </c>
      <c r="V315" s="38">
        <f>(1000*CHOOSE(CONTROL!$C$42, 500, 500)*CHOOSE(CONTROL!$C$42, 0.275, 0.275)*CHOOSE(CONTROL!$C$42, 31, 31))/1000000</f>
        <v>4.2625000000000002</v>
      </c>
      <c r="W315" s="38">
        <f>(1000*CHOOSE(CONTROL!$C$42, 0.1146, 0.1146)*CHOOSE(CONTROL!$C$42, 121.5, 121.5)*CHOOSE(CONTROL!$C$42, 31, 31))/1000000</f>
        <v>0.43164089999999994</v>
      </c>
      <c r="X315" s="38">
        <f>(31*0.1790888*100000/1000000)+(31*0.2374*100000/1000000)</f>
        <v>1.2911152800000001</v>
      </c>
      <c r="Y315" s="38">
        <f>(1000*600*CHOOSE(CONTROL!$C$42, 1.6337, 1.6337)*CHOOSE(CONTROL!$C$42, 31, 31))/1000000</f>
        <v>30.38682</v>
      </c>
      <c r="Z315" s="38"/>
      <c r="AA315" s="10"/>
      <c r="AB315" s="39"/>
      <c r="AC315" s="33">
        <f>(B315*122.58+C315*297.941+D315*89.177+E315*40.302+F315*40+G315*160+H315*0+I315*100+J315*300)/(122.58+297.941+89.177+40.302+0+40+160+100+300)</f>
        <v>10.051186783565219</v>
      </c>
      <c r="AD315" s="27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9.9792014388489214</v>
      </c>
    </row>
    <row r="316" spans="1:30" ht="15.75" x14ac:dyDescent="0.25">
      <c r="A316" s="14">
        <v>50890</v>
      </c>
      <c r="B316" s="10">
        <f>CHOOSE(CONTROL!$C$42, 10.0243, 10.0243) * CHOOSE(CONTROL!$C$21, $C$9, 100%, $E$9)</f>
        <v>10.0243</v>
      </c>
      <c r="C316" s="10">
        <f>CHOOSE(CONTROL!$C$42, 10.0286, 10.0286) * CHOOSE(CONTROL!$C$21, $C$9, 100%, $E$9)</f>
        <v>10.028600000000001</v>
      </c>
      <c r="D316" s="10">
        <f>CHOOSE(CONTROL!$C$42, 10.2088, 10.2088) * CHOOSE(CONTROL!$C$21, $C$9, 100%, $E$9)</f>
        <v>10.2088</v>
      </c>
      <c r="E316" s="10">
        <f>CHOOSE(CONTROL!$C$42, 10.2405, 10.2405) * CHOOSE(CONTROL!$C$21, $C$9, 100%, $E$9)</f>
        <v>10.240500000000001</v>
      </c>
      <c r="F316" s="10">
        <f>CHOOSE(CONTROL!$C$42, 9.9896, 9.9896)*CHOOSE(CONTROL!$C$21, $C$9, 100%, $E$9)</f>
        <v>9.9895999999999994</v>
      </c>
      <c r="G316" s="10">
        <f>CHOOSE(CONTROL!$C$42, 10.0058, 10.0058)*CHOOSE(CONTROL!$C$21, $C$9, 100%, $E$9)</f>
        <v>10.005800000000001</v>
      </c>
      <c r="H316" s="10">
        <f>CHOOSE(CONTROL!$C$42, 10.2303, 10.2303) * CHOOSE(CONTROL!$C$21, $C$9, 100%, $E$9)</f>
        <v>10.2303</v>
      </c>
      <c r="I316" s="10">
        <f>CHOOSE(CONTROL!$C$42, 10.0102, 10.0102)* CHOOSE(CONTROL!$C$21, $C$9, 100%, $E$9)</f>
        <v>10.010199999999999</v>
      </c>
      <c r="J316" s="10">
        <f>CHOOSE(CONTROL!$C$42, 9.9826, 9.9826)* CHOOSE(CONTROL!$C$21, $C$9, 100%, $E$9)</f>
        <v>9.9825999999999997</v>
      </c>
      <c r="K316" s="10">
        <f>CHOOSE(CONTROL!$C$42, 9.8615, 9.8615) * CHOOSE(CONTROL!$C$21, $C$9, 100%, $E$9)</f>
        <v>9.8614999999999995</v>
      </c>
      <c r="L316" s="10">
        <f>CHOOSE(CONTROL!$C$42, 10.8173, 10.8173) * CHOOSE(CONTROL!$C$21, $C$9, 100%, $E$9)</f>
        <v>10.817299999999999</v>
      </c>
      <c r="M316" s="10">
        <f>CHOOSE(CONTROL!$C$42, 9.8957, 9.8957) * CHOOSE(CONTROL!$C$21, $C$9, 100%, $E$9)</f>
        <v>9.8956999999999997</v>
      </c>
      <c r="N316" s="10">
        <f>CHOOSE(CONTROL!$C$42, 9.9118, 9.9118) * CHOOSE(CONTROL!$C$21, $C$9, 100%, $E$9)</f>
        <v>9.9117999999999995</v>
      </c>
      <c r="O316" s="10">
        <f>CHOOSE(CONTROL!$C$42, 10.1409, 10.1409) * CHOOSE(CONTROL!$C$21, $C$9, 100%, $E$9)</f>
        <v>10.1409</v>
      </c>
      <c r="P316" s="10">
        <f>CHOOSE(CONTROL!$C$42, 9.9231, 9.9231) * CHOOSE(CONTROL!$C$21, $C$9, 100%, $E$9)</f>
        <v>9.9230999999999998</v>
      </c>
      <c r="Q316" s="10">
        <f>CHOOSE(CONTROL!$C$42, 10.7362, 10.7362) * CHOOSE(CONTROL!$C$21, $C$9, 100%, $E$9)</f>
        <v>10.7362</v>
      </c>
      <c r="R316" s="10">
        <f>CHOOSE(CONTROL!$C$42, 11.3501, 11.3501) * CHOOSE(CONTROL!$C$21, $C$9, 100%, $E$9)</f>
        <v>11.350099999999999</v>
      </c>
      <c r="S316" s="10">
        <f>CHOOSE(CONTROL!$C$42, 9.7317, 9.7317) * CHOOSE(CONTROL!$C$21, $C$9, 100%, $E$9)</f>
        <v>9.7317</v>
      </c>
      <c r="T3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38">
        <f>(1000*CHOOSE(CONTROL!$C$42, 695, 695)*CHOOSE(CONTROL!$C$42, 0.5599, 0.5599)*CHOOSE(CONTROL!$C$42, 30, 30))/1000000</f>
        <v>11.673914999999997</v>
      </c>
      <c r="V316" s="38">
        <f>(1000*CHOOSE(CONTROL!$C$42, 500, 500)*CHOOSE(CONTROL!$C$42, 0.275, 0.275)*CHOOSE(CONTROL!$C$42, 30, 30))/1000000</f>
        <v>4.125</v>
      </c>
      <c r="W316" s="38">
        <f>(1000*CHOOSE(CONTROL!$C$42, 0.1146, 0.1146)*CHOOSE(CONTROL!$C$42, 121.5, 121.5)*CHOOSE(CONTROL!$C$42, 30, 30))/1000000</f>
        <v>0.417717</v>
      </c>
      <c r="X316" s="38">
        <f>(30*0.1790888*245000/1000000)+(30*0.2374*100000/1000000)</f>
        <v>2.0285026799999999</v>
      </c>
      <c r="Y316" s="38">
        <f>(1000*600*CHOOSE(CONTROL!$C$42, 1.6337, 1.6337)*CHOOSE(CONTROL!$C$42, 30, 30))/1000000</f>
        <v>29.406600000000001</v>
      </c>
      <c r="Z316" s="38"/>
      <c r="AA316" s="10"/>
      <c r="AB316" s="39"/>
      <c r="AC316" s="33">
        <f>(B316*141.293+C316*267.993+D316*115.016+E316*89.698+F316*40+G316*185+H316*0+I316*100+J316*300)/(141.293+267.993+115.016+89.698+0+40+185+100+300)</f>
        <v>10.042891629943503</v>
      </c>
      <c r="AD316" s="27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9.972146043165468</v>
      </c>
    </row>
    <row r="317" spans="1:30" ht="15.75" x14ac:dyDescent="0.25">
      <c r="A317" s="14">
        <v>50921</v>
      </c>
      <c r="B317" s="10">
        <f>CHOOSE(CONTROL!$C$42, 10.1145, 10.1145) * CHOOSE(CONTROL!$C$21, $C$9, 100%, $E$9)</f>
        <v>10.1145</v>
      </c>
      <c r="C317" s="10">
        <f>CHOOSE(CONTROL!$C$42, 10.1224, 10.1224) * CHOOSE(CONTROL!$C$21, $C$9, 100%, $E$9)</f>
        <v>10.122400000000001</v>
      </c>
      <c r="D317" s="10">
        <f>CHOOSE(CONTROL!$C$42, 10.2994, 10.2994) * CHOOSE(CONTROL!$C$21, $C$9, 100%, $E$9)</f>
        <v>10.2994</v>
      </c>
      <c r="E317" s="10">
        <f>CHOOSE(CONTROL!$C$42, 10.3305, 10.3305) * CHOOSE(CONTROL!$C$21, $C$9, 100%, $E$9)</f>
        <v>10.330500000000001</v>
      </c>
      <c r="F317" s="10">
        <f>CHOOSE(CONTROL!$C$42, 10.0778, 10.0778)*CHOOSE(CONTROL!$C$21, $C$9, 100%, $E$9)</f>
        <v>10.0778</v>
      </c>
      <c r="G317" s="10">
        <f>CHOOSE(CONTROL!$C$42, 10.0943, 10.0943)*CHOOSE(CONTROL!$C$21, $C$9, 100%, $E$9)</f>
        <v>10.0943</v>
      </c>
      <c r="H317" s="10">
        <f>CHOOSE(CONTROL!$C$42, 10.3192, 10.3192) * CHOOSE(CONTROL!$C$21, $C$9, 100%, $E$9)</f>
        <v>10.3192</v>
      </c>
      <c r="I317" s="10">
        <f>CHOOSE(CONTROL!$C$42, 10.0991, 10.0991)* CHOOSE(CONTROL!$C$21, $C$9, 100%, $E$9)</f>
        <v>10.0991</v>
      </c>
      <c r="J317" s="10">
        <f>CHOOSE(CONTROL!$C$42, 10.0708, 10.0708)* CHOOSE(CONTROL!$C$21, $C$9, 100%, $E$9)</f>
        <v>10.0708</v>
      </c>
      <c r="K317" s="10">
        <f>CHOOSE(CONTROL!$C$42, 9.9466, 9.9466) * CHOOSE(CONTROL!$C$21, $C$9, 100%, $E$9)</f>
        <v>9.9466000000000001</v>
      </c>
      <c r="L317" s="10">
        <f>CHOOSE(CONTROL!$C$42, 10.9062, 10.9062) * CHOOSE(CONTROL!$C$21, $C$9, 100%, $E$9)</f>
        <v>10.9062</v>
      </c>
      <c r="M317" s="10">
        <f>CHOOSE(CONTROL!$C$42, 9.983, 9.983) * CHOOSE(CONTROL!$C$21, $C$9, 100%, $E$9)</f>
        <v>9.9830000000000005</v>
      </c>
      <c r="N317" s="10">
        <f>CHOOSE(CONTROL!$C$42, 9.9994, 9.9994) * CHOOSE(CONTROL!$C$21, $C$9, 100%, $E$9)</f>
        <v>9.9993999999999996</v>
      </c>
      <c r="O317" s="10">
        <f>CHOOSE(CONTROL!$C$42, 10.2288, 10.2288) * CHOOSE(CONTROL!$C$21, $C$9, 100%, $E$9)</f>
        <v>10.2288</v>
      </c>
      <c r="P317" s="10">
        <f>CHOOSE(CONTROL!$C$42, 10.011, 10.011) * CHOOSE(CONTROL!$C$21, $C$9, 100%, $E$9)</f>
        <v>10.010999999999999</v>
      </c>
      <c r="Q317" s="10">
        <f>CHOOSE(CONTROL!$C$42, 10.8241, 10.8241) * CHOOSE(CONTROL!$C$21, $C$9, 100%, $E$9)</f>
        <v>10.8241</v>
      </c>
      <c r="R317" s="10">
        <f>CHOOSE(CONTROL!$C$42, 11.4382, 11.4382) * CHOOSE(CONTROL!$C$21, $C$9, 100%, $E$9)</f>
        <v>11.4382</v>
      </c>
      <c r="S317" s="10">
        <f>CHOOSE(CONTROL!$C$42, 9.8179, 9.8179) * CHOOSE(CONTROL!$C$21, $C$9, 100%, $E$9)</f>
        <v>9.8178999999999998</v>
      </c>
      <c r="T3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38">
        <f>(1000*CHOOSE(CONTROL!$C$42, 695, 695)*CHOOSE(CONTROL!$C$42, 0.5599, 0.5599)*CHOOSE(CONTROL!$C$42, 31, 31))/1000000</f>
        <v>12.063045499999998</v>
      </c>
      <c r="V317" s="38">
        <f>(1000*CHOOSE(CONTROL!$C$42, 500, 500)*CHOOSE(CONTROL!$C$42, 0.275, 0.275)*CHOOSE(CONTROL!$C$42, 31, 31))/1000000</f>
        <v>4.2625000000000002</v>
      </c>
      <c r="W317" s="38">
        <f>(1000*CHOOSE(CONTROL!$C$42, 0.1146, 0.1146)*CHOOSE(CONTROL!$C$42, 121.5, 121.5)*CHOOSE(CONTROL!$C$42, 31, 31))/1000000</f>
        <v>0.43164089999999994</v>
      </c>
      <c r="X317" s="38">
        <f>(31*0.1790888*245000/1000000)+(31*0.2374*100000/1000000)</f>
        <v>2.0961194359999999</v>
      </c>
      <c r="Y317" s="38">
        <f>(1000*600*CHOOSE(CONTROL!$C$42, 1.6337, 1.6337)*CHOOSE(CONTROL!$C$42, 31, 31))/1000000</f>
        <v>30.38682</v>
      </c>
      <c r="Z317" s="38"/>
      <c r="AA317" s="10"/>
      <c r="AB317" s="39"/>
      <c r="AC317" s="33">
        <f>(B317*194.205+C317*267.466+D317*133.845+E317*53.484+F317*40+G317*185+H317*0+I317*100+J317*300)/(194.205+267.466+133.845+53.484+0+40+185+100+300)</f>
        <v>10.129067084693878</v>
      </c>
      <c r="AD317" s="27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10.059769784172664</v>
      </c>
    </row>
    <row r="318" spans="1:30" ht="15.75" x14ac:dyDescent="0.25">
      <c r="A318" s="14">
        <v>50951</v>
      </c>
      <c r="B318" s="10">
        <f>CHOOSE(CONTROL!$C$42, 10.4012, 10.4012) * CHOOSE(CONTROL!$C$21, $C$9, 100%, $E$9)</f>
        <v>10.401199999999999</v>
      </c>
      <c r="C318" s="10">
        <f>CHOOSE(CONTROL!$C$42, 10.4092, 10.4092) * CHOOSE(CONTROL!$C$21, $C$9, 100%, $E$9)</f>
        <v>10.4092</v>
      </c>
      <c r="D318" s="10">
        <f>CHOOSE(CONTROL!$C$42, 10.5861, 10.5861) * CHOOSE(CONTROL!$C$21, $C$9, 100%, $E$9)</f>
        <v>10.5861</v>
      </c>
      <c r="E318" s="10">
        <f>CHOOSE(CONTROL!$C$42, 10.6173, 10.6173) * CHOOSE(CONTROL!$C$21, $C$9, 100%, $E$9)</f>
        <v>10.6173</v>
      </c>
      <c r="F318" s="10">
        <f>CHOOSE(CONTROL!$C$42, 10.3648, 10.3648)*CHOOSE(CONTROL!$C$21, $C$9, 100%, $E$9)</f>
        <v>10.364800000000001</v>
      </c>
      <c r="G318" s="10">
        <f>CHOOSE(CONTROL!$C$42, 10.3813, 10.3813)*CHOOSE(CONTROL!$C$21, $C$9, 100%, $E$9)</f>
        <v>10.3813</v>
      </c>
      <c r="H318" s="10">
        <f>CHOOSE(CONTROL!$C$42, 10.6059, 10.6059) * CHOOSE(CONTROL!$C$21, $C$9, 100%, $E$9)</f>
        <v>10.6059</v>
      </c>
      <c r="I318" s="10">
        <f>CHOOSE(CONTROL!$C$42, 10.3858, 10.3858)* CHOOSE(CONTROL!$C$21, $C$9, 100%, $E$9)</f>
        <v>10.3858</v>
      </c>
      <c r="J318" s="10">
        <f>CHOOSE(CONTROL!$C$42, 10.3578, 10.3578)* CHOOSE(CONTROL!$C$21, $C$9, 100%, $E$9)</f>
        <v>10.357799999999999</v>
      </c>
      <c r="K318" s="10">
        <f>CHOOSE(CONTROL!$C$42, 10.2256, 10.2256) * CHOOSE(CONTROL!$C$21, $C$9, 100%, $E$9)</f>
        <v>10.2256</v>
      </c>
      <c r="L318" s="10">
        <f>CHOOSE(CONTROL!$C$42, 11.1929, 11.1929) * CHOOSE(CONTROL!$C$21, $C$9, 100%, $E$9)</f>
        <v>11.1929</v>
      </c>
      <c r="M318" s="10">
        <f>CHOOSE(CONTROL!$C$42, 10.2671, 10.2671) * CHOOSE(CONTROL!$C$21, $C$9, 100%, $E$9)</f>
        <v>10.267099999999999</v>
      </c>
      <c r="N318" s="10">
        <f>CHOOSE(CONTROL!$C$42, 10.2834, 10.2834) * CHOOSE(CONTROL!$C$21, $C$9, 100%, $E$9)</f>
        <v>10.2834</v>
      </c>
      <c r="O318" s="10">
        <f>CHOOSE(CONTROL!$C$42, 10.5127, 10.5127) * CHOOSE(CONTROL!$C$21, $C$9, 100%, $E$9)</f>
        <v>10.512700000000001</v>
      </c>
      <c r="P318" s="10">
        <f>CHOOSE(CONTROL!$C$42, 10.2949, 10.2949) * CHOOSE(CONTROL!$C$21, $C$9, 100%, $E$9)</f>
        <v>10.2949</v>
      </c>
      <c r="Q318" s="10">
        <f>CHOOSE(CONTROL!$C$42, 11.108, 11.108) * CHOOSE(CONTROL!$C$21, $C$9, 100%, $E$9)</f>
        <v>11.108000000000001</v>
      </c>
      <c r="R318" s="10">
        <f>CHOOSE(CONTROL!$C$42, 11.7228, 11.7228) * CHOOSE(CONTROL!$C$21, $C$9, 100%, $E$9)</f>
        <v>11.722799999999999</v>
      </c>
      <c r="S318" s="10">
        <f>CHOOSE(CONTROL!$C$42, 10.0964, 10.0964) * CHOOSE(CONTROL!$C$21, $C$9, 100%, $E$9)</f>
        <v>10.096399999999999</v>
      </c>
      <c r="T3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38">
        <f>(1000*CHOOSE(CONTROL!$C$42, 695, 695)*CHOOSE(CONTROL!$C$42, 0.5599, 0.5599)*CHOOSE(CONTROL!$C$42, 30, 30))/1000000</f>
        <v>11.673914999999997</v>
      </c>
      <c r="V318" s="38">
        <f>(1000*CHOOSE(CONTROL!$C$42, 500, 500)*CHOOSE(CONTROL!$C$42, 0.275, 0.275)*CHOOSE(CONTROL!$C$42, 30, 30))/1000000</f>
        <v>4.125</v>
      </c>
      <c r="W318" s="38">
        <f>(1000*CHOOSE(CONTROL!$C$42, 0.1146, 0.1146)*CHOOSE(CONTROL!$C$42, 121.5, 121.5)*CHOOSE(CONTROL!$C$42, 30, 30))/1000000</f>
        <v>0.417717</v>
      </c>
      <c r="X318" s="38">
        <f>(30*0.1790888*245000/1000000)+(30*0.2374*100000/1000000)</f>
        <v>2.0285026799999999</v>
      </c>
      <c r="Y318" s="38">
        <f>(1000*600*CHOOSE(CONTROL!$C$42, 1.6337, 1.6337)*CHOOSE(CONTROL!$C$42, 30, 30))/1000000</f>
        <v>29.406600000000001</v>
      </c>
      <c r="Z318" s="38"/>
      <c r="AA318" s="10"/>
      <c r="AB318" s="39"/>
      <c r="AC318" s="33">
        <f>(B318*194.205+C318*267.466+D318*133.845+E318*53.484+F318*40+G318*185+H318*0+I318*100+J318*300)/(194.205+267.466+133.845+53.484+0+40+185+100+300)</f>
        <v>10.415915903375197</v>
      </c>
      <c r="AD318" s="27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10.343761870503599</v>
      </c>
    </row>
    <row r="319" spans="1:30" ht="15.75" x14ac:dyDescent="0.25">
      <c r="A319" s="14">
        <v>50982</v>
      </c>
      <c r="B319" s="10">
        <f>CHOOSE(CONTROL!$C$42, 10.2018, 10.2018) * CHOOSE(CONTROL!$C$21, $C$9, 100%, $E$9)</f>
        <v>10.2018</v>
      </c>
      <c r="C319" s="10">
        <f>CHOOSE(CONTROL!$C$42, 10.2097, 10.2097) * CHOOSE(CONTROL!$C$21, $C$9, 100%, $E$9)</f>
        <v>10.2097</v>
      </c>
      <c r="D319" s="10">
        <f>CHOOSE(CONTROL!$C$42, 10.3867, 10.3867) * CHOOSE(CONTROL!$C$21, $C$9, 100%, $E$9)</f>
        <v>10.386699999999999</v>
      </c>
      <c r="E319" s="10">
        <f>CHOOSE(CONTROL!$C$42, 10.4178, 10.4178) * CHOOSE(CONTROL!$C$21, $C$9, 100%, $E$9)</f>
        <v>10.4178</v>
      </c>
      <c r="F319" s="10">
        <f>CHOOSE(CONTROL!$C$42, 10.1656, 10.1656)*CHOOSE(CONTROL!$C$21, $C$9, 100%, $E$9)</f>
        <v>10.1656</v>
      </c>
      <c r="G319" s="10">
        <f>CHOOSE(CONTROL!$C$42, 10.1822, 10.1822)*CHOOSE(CONTROL!$C$21, $C$9, 100%, $E$9)</f>
        <v>10.1822</v>
      </c>
      <c r="H319" s="10">
        <f>CHOOSE(CONTROL!$C$42, 10.4065, 10.4065) * CHOOSE(CONTROL!$C$21, $C$9, 100%, $E$9)</f>
        <v>10.406499999999999</v>
      </c>
      <c r="I319" s="10">
        <f>CHOOSE(CONTROL!$C$42, 10.1864, 10.1864)* CHOOSE(CONTROL!$C$21, $C$9, 100%, $E$9)</f>
        <v>10.186400000000001</v>
      </c>
      <c r="J319" s="10">
        <f>CHOOSE(CONTROL!$C$42, 10.1586, 10.1586)* CHOOSE(CONTROL!$C$21, $C$9, 100%, $E$9)</f>
        <v>10.1586</v>
      </c>
      <c r="K319" s="10">
        <f>CHOOSE(CONTROL!$C$42, 10.0323, 10.0323) * CHOOSE(CONTROL!$C$21, $C$9, 100%, $E$9)</f>
        <v>10.032299999999999</v>
      </c>
      <c r="L319" s="10">
        <f>CHOOSE(CONTROL!$C$42, 10.9935, 10.9935) * CHOOSE(CONTROL!$C$21, $C$9, 100%, $E$9)</f>
        <v>10.993499999999999</v>
      </c>
      <c r="M319" s="10">
        <f>CHOOSE(CONTROL!$C$42, 10.0699, 10.0699) * CHOOSE(CONTROL!$C$21, $C$9, 100%, $E$9)</f>
        <v>10.069900000000001</v>
      </c>
      <c r="N319" s="10">
        <f>CHOOSE(CONTROL!$C$42, 10.0863, 10.0863) * CHOOSE(CONTROL!$C$21, $C$9, 100%, $E$9)</f>
        <v>10.0863</v>
      </c>
      <c r="O319" s="10">
        <f>CHOOSE(CONTROL!$C$42, 10.3153, 10.3153) * CHOOSE(CONTROL!$C$21, $C$9, 100%, $E$9)</f>
        <v>10.315300000000001</v>
      </c>
      <c r="P319" s="10">
        <f>CHOOSE(CONTROL!$C$42, 10.0975, 10.0975) * CHOOSE(CONTROL!$C$21, $C$9, 100%, $E$9)</f>
        <v>10.0975</v>
      </c>
      <c r="Q319" s="10">
        <f>CHOOSE(CONTROL!$C$42, 10.9106, 10.9106) * CHOOSE(CONTROL!$C$21, $C$9, 100%, $E$9)</f>
        <v>10.910600000000001</v>
      </c>
      <c r="R319" s="10">
        <f>CHOOSE(CONTROL!$C$42, 11.5249, 11.5249) * CHOOSE(CONTROL!$C$21, $C$9, 100%, $E$9)</f>
        <v>11.524900000000001</v>
      </c>
      <c r="S319" s="10">
        <f>CHOOSE(CONTROL!$C$42, 9.9027, 9.9027) * CHOOSE(CONTROL!$C$21, $C$9, 100%, $E$9)</f>
        <v>9.9026999999999994</v>
      </c>
      <c r="T3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38">
        <f>(1000*CHOOSE(CONTROL!$C$42, 695, 695)*CHOOSE(CONTROL!$C$42, 0.5599, 0.5599)*CHOOSE(CONTROL!$C$42, 31, 31))/1000000</f>
        <v>12.063045499999998</v>
      </c>
      <c r="V319" s="38">
        <f>(1000*CHOOSE(CONTROL!$C$42, 500, 500)*CHOOSE(CONTROL!$C$42, 0.275, 0.275)*CHOOSE(CONTROL!$C$42, 31, 31))/1000000</f>
        <v>4.2625000000000002</v>
      </c>
      <c r="W319" s="38">
        <f>(1000*CHOOSE(CONTROL!$C$42, 0.1146, 0.1146)*CHOOSE(CONTROL!$C$42, 121.5, 121.5)*CHOOSE(CONTROL!$C$42, 31, 31))/1000000</f>
        <v>0.43164089999999994</v>
      </c>
      <c r="X319" s="38">
        <f>(31*0.1790888*245000/1000000)+(31*0.2374*100000/1000000)</f>
        <v>2.0961194359999999</v>
      </c>
      <c r="Y319" s="38">
        <f>(1000*600*CHOOSE(CONTROL!$C$42, 1.6337, 1.6337)*CHOOSE(CONTROL!$C$42, 31, 31))/1000000</f>
        <v>30.38682</v>
      </c>
      <c r="Z319" s="38"/>
      <c r="AA319" s="10"/>
      <c r="AB319" s="39"/>
      <c r="AC319" s="33">
        <f>(B319*194.205+C319*267.466+D319*133.845+E319*53.484+F319*40+G319*185+H319*0+I319*100+J319*300)/(194.205+267.466+133.845+53.484+0+40+185+100+300)</f>
        <v>10.216587649843014</v>
      </c>
      <c r="AD319" s="27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10.1465</v>
      </c>
    </row>
    <row r="320" spans="1:30" ht="15.75" x14ac:dyDescent="0.25">
      <c r="A320" s="14">
        <v>51013</v>
      </c>
      <c r="B320" s="10">
        <f>CHOOSE(CONTROL!$C$42, 9.6982, 9.6982) * CHOOSE(CONTROL!$C$21, $C$9, 100%, $E$9)</f>
        <v>9.6981999999999999</v>
      </c>
      <c r="C320" s="10">
        <f>CHOOSE(CONTROL!$C$42, 9.7061, 9.7061) * CHOOSE(CONTROL!$C$21, $C$9, 100%, $E$9)</f>
        <v>9.7060999999999993</v>
      </c>
      <c r="D320" s="10">
        <f>CHOOSE(CONTROL!$C$42, 9.8831, 9.8831) * CHOOSE(CONTROL!$C$21, $C$9, 100%, $E$9)</f>
        <v>9.8831000000000007</v>
      </c>
      <c r="E320" s="10">
        <f>CHOOSE(CONTROL!$C$42, 9.9142, 9.9142) * CHOOSE(CONTROL!$C$21, $C$9, 100%, $E$9)</f>
        <v>9.9141999999999992</v>
      </c>
      <c r="F320" s="10">
        <f>CHOOSE(CONTROL!$C$42, 9.662, 9.662)*CHOOSE(CONTROL!$C$21, $C$9, 100%, $E$9)</f>
        <v>9.6620000000000008</v>
      </c>
      <c r="G320" s="10">
        <f>CHOOSE(CONTROL!$C$42, 9.6786, 9.6786)*CHOOSE(CONTROL!$C$21, $C$9, 100%, $E$9)</f>
        <v>9.6785999999999994</v>
      </c>
      <c r="H320" s="10">
        <f>CHOOSE(CONTROL!$C$42, 9.9028, 9.9028) * CHOOSE(CONTROL!$C$21, $C$9, 100%, $E$9)</f>
        <v>9.9027999999999992</v>
      </c>
      <c r="I320" s="10">
        <f>CHOOSE(CONTROL!$C$42, 9.6827, 9.6827)* CHOOSE(CONTROL!$C$21, $C$9, 100%, $E$9)</f>
        <v>9.6827000000000005</v>
      </c>
      <c r="J320" s="10">
        <f>CHOOSE(CONTROL!$C$42, 9.655, 9.655)* CHOOSE(CONTROL!$C$21, $C$9, 100%, $E$9)</f>
        <v>9.6549999999999994</v>
      </c>
      <c r="K320" s="10">
        <f>CHOOSE(CONTROL!$C$42, 9.5431, 9.5431) * CHOOSE(CONTROL!$C$21, $C$9, 100%, $E$9)</f>
        <v>9.5431000000000008</v>
      </c>
      <c r="L320" s="10">
        <f>CHOOSE(CONTROL!$C$42, 10.4898, 10.4898) * CHOOSE(CONTROL!$C$21, $C$9, 100%, $E$9)</f>
        <v>10.489800000000001</v>
      </c>
      <c r="M320" s="10">
        <f>CHOOSE(CONTROL!$C$42, 9.5714, 9.5714) * CHOOSE(CONTROL!$C$21, $C$9, 100%, $E$9)</f>
        <v>9.5714000000000006</v>
      </c>
      <c r="N320" s="10">
        <f>CHOOSE(CONTROL!$C$42, 9.5878, 9.5878) * CHOOSE(CONTROL!$C$21, $C$9, 100%, $E$9)</f>
        <v>9.5877999999999997</v>
      </c>
      <c r="O320" s="10">
        <f>CHOOSE(CONTROL!$C$42, 9.8167, 9.8167) * CHOOSE(CONTROL!$C$21, $C$9, 100%, $E$9)</f>
        <v>9.8167000000000009</v>
      </c>
      <c r="P320" s="10">
        <f>CHOOSE(CONTROL!$C$42, 9.5989, 9.5989) * CHOOSE(CONTROL!$C$21, $C$9, 100%, $E$9)</f>
        <v>9.5989000000000004</v>
      </c>
      <c r="Q320" s="10">
        <f>CHOOSE(CONTROL!$C$42, 10.412, 10.412) * CHOOSE(CONTROL!$C$21, $C$9, 100%, $E$9)</f>
        <v>10.412000000000001</v>
      </c>
      <c r="R320" s="10">
        <f>CHOOSE(CONTROL!$C$42, 11.025, 11.025) * CHOOSE(CONTROL!$C$21, $C$9, 100%, $E$9)</f>
        <v>11.025</v>
      </c>
      <c r="S320" s="10">
        <f>CHOOSE(CONTROL!$C$42, 9.4136, 9.4136) * CHOOSE(CONTROL!$C$21, $C$9, 100%, $E$9)</f>
        <v>9.4136000000000006</v>
      </c>
      <c r="T3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38">
        <f>(1000*CHOOSE(CONTROL!$C$42, 695, 695)*CHOOSE(CONTROL!$C$42, 0.5599, 0.5599)*CHOOSE(CONTROL!$C$42, 31, 31))/1000000</f>
        <v>12.063045499999998</v>
      </c>
      <c r="V320" s="38">
        <f>(1000*CHOOSE(CONTROL!$C$42, 500, 500)*CHOOSE(CONTROL!$C$42, 0.275, 0.275)*CHOOSE(CONTROL!$C$42, 31, 31))/1000000</f>
        <v>4.2625000000000002</v>
      </c>
      <c r="W320" s="38">
        <f>(1000*CHOOSE(CONTROL!$C$42, 0.1146, 0.1146)*CHOOSE(CONTROL!$C$42, 121.5, 121.5)*CHOOSE(CONTROL!$C$42, 31, 31))/1000000</f>
        <v>0.43164089999999994</v>
      </c>
      <c r="X320" s="38">
        <f>(31*0.1790888*245000/1000000)+(31*0.2374*100000/1000000)</f>
        <v>2.0961194359999999</v>
      </c>
      <c r="Y320" s="38">
        <f>(1000*600*CHOOSE(CONTROL!$C$42, 1.6337, 1.6337)*CHOOSE(CONTROL!$C$42, 31, 31))/1000000</f>
        <v>30.38682</v>
      </c>
      <c r="Z320" s="38"/>
      <c r="AA320" s="10"/>
      <c r="AB320" s="39"/>
      <c r="AC320" s="33">
        <f>(B320*194.205+C320*267.466+D320*133.845+E320*53.484+F320*40+G320*185+H320*0+I320*100+J320*300)/(194.205+267.466+133.845+53.484+0+40+185+100+300)</f>
        <v>9.7129798005494496</v>
      </c>
      <c r="AD320" s="27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9.6479575539568359</v>
      </c>
    </row>
    <row r="321" spans="1:30" ht="15.75" x14ac:dyDescent="0.25">
      <c r="A321" s="14">
        <v>51043</v>
      </c>
      <c r="B321" s="10">
        <f>CHOOSE(CONTROL!$C$42, 9.0828, 9.0828) * CHOOSE(CONTROL!$C$21, $C$9, 100%, $E$9)</f>
        <v>9.0828000000000007</v>
      </c>
      <c r="C321" s="10">
        <f>CHOOSE(CONTROL!$C$42, 9.0907, 9.0907) * CHOOSE(CONTROL!$C$21, $C$9, 100%, $E$9)</f>
        <v>9.0907</v>
      </c>
      <c r="D321" s="10">
        <f>CHOOSE(CONTROL!$C$42, 9.2677, 9.2677) * CHOOSE(CONTROL!$C$21, $C$9, 100%, $E$9)</f>
        <v>9.2676999999999996</v>
      </c>
      <c r="E321" s="10">
        <f>CHOOSE(CONTROL!$C$42, 9.2988, 9.2988) * CHOOSE(CONTROL!$C$21, $C$9, 100%, $E$9)</f>
        <v>9.2988</v>
      </c>
      <c r="F321" s="10">
        <f>CHOOSE(CONTROL!$C$42, 9.0464, 9.0464)*CHOOSE(CONTROL!$C$21, $C$9, 100%, $E$9)</f>
        <v>9.0464000000000002</v>
      </c>
      <c r="G321" s="10">
        <f>CHOOSE(CONTROL!$C$42, 9.0629, 9.0629)*CHOOSE(CONTROL!$C$21, $C$9, 100%, $E$9)</f>
        <v>9.0629000000000008</v>
      </c>
      <c r="H321" s="10">
        <f>CHOOSE(CONTROL!$C$42, 9.2875, 9.2875) * CHOOSE(CONTROL!$C$21, $C$9, 100%, $E$9)</f>
        <v>9.2874999999999996</v>
      </c>
      <c r="I321" s="10">
        <f>CHOOSE(CONTROL!$C$42, 9.0674, 9.0674)* CHOOSE(CONTROL!$C$21, $C$9, 100%, $E$9)</f>
        <v>9.0673999999999992</v>
      </c>
      <c r="J321" s="10">
        <f>CHOOSE(CONTROL!$C$42, 9.0394, 9.0394)* CHOOSE(CONTROL!$C$21, $C$9, 100%, $E$9)</f>
        <v>9.0394000000000005</v>
      </c>
      <c r="K321" s="10">
        <f>CHOOSE(CONTROL!$C$42, 8.9447, 8.9447) * CHOOSE(CONTROL!$C$21, $C$9, 100%, $E$9)</f>
        <v>8.9446999999999992</v>
      </c>
      <c r="L321" s="10">
        <f>CHOOSE(CONTROL!$C$42, 9.8745, 9.8745) * CHOOSE(CONTROL!$C$21, $C$9, 100%, $E$9)</f>
        <v>9.8744999999999994</v>
      </c>
      <c r="M321" s="10">
        <f>CHOOSE(CONTROL!$C$42, 8.962, 8.962) * CHOOSE(CONTROL!$C$21, $C$9, 100%, $E$9)</f>
        <v>8.9619999999999997</v>
      </c>
      <c r="N321" s="10">
        <f>CHOOSE(CONTROL!$C$42, 8.9784, 8.9784) * CHOOSE(CONTROL!$C$21, $C$9, 100%, $E$9)</f>
        <v>8.9784000000000006</v>
      </c>
      <c r="O321" s="10">
        <f>CHOOSE(CONTROL!$C$42, 9.2076, 9.2076) * CHOOSE(CONTROL!$C$21, $C$9, 100%, $E$9)</f>
        <v>9.2075999999999993</v>
      </c>
      <c r="P321" s="10">
        <f>CHOOSE(CONTROL!$C$42, 8.9897, 8.9897) * CHOOSE(CONTROL!$C$21, $C$9, 100%, $E$9)</f>
        <v>8.9896999999999991</v>
      </c>
      <c r="Q321" s="10">
        <f>CHOOSE(CONTROL!$C$42, 9.8029, 9.8029) * CHOOSE(CONTROL!$C$21, $C$9, 100%, $E$9)</f>
        <v>9.8028999999999993</v>
      </c>
      <c r="R321" s="10">
        <f>CHOOSE(CONTROL!$C$42, 10.4144, 10.4144) * CHOOSE(CONTROL!$C$21, $C$9, 100%, $E$9)</f>
        <v>10.414400000000001</v>
      </c>
      <c r="S321" s="10">
        <f>CHOOSE(CONTROL!$C$42, 8.8161, 8.8161) * CHOOSE(CONTROL!$C$21, $C$9, 100%, $E$9)</f>
        <v>8.8161000000000005</v>
      </c>
      <c r="T3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38">
        <f>(1000*CHOOSE(CONTROL!$C$42, 695, 695)*CHOOSE(CONTROL!$C$42, 0.5599, 0.5599)*CHOOSE(CONTROL!$C$42, 30, 30))/1000000</f>
        <v>11.673914999999997</v>
      </c>
      <c r="V321" s="38">
        <f>(1000*CHOOSE(CONTROL!$C$42, 500, 500)*CHOOSE(CONTROL!$C$42, 0.275, 0.275)*CHOOSE(CONTROL!$C$42, 30, 30))/1000000</f>
        <v>4.125</v>
      </c>
      <c r="W321" s="38">
        <f>(1000*CHOOSE(CONTROL!$C$42, 0.1146, 0.1146)*CHOOSE(CONTROL!$C$42, 121.5, 121.5)*CHOOSE(CONTROL!$C$42, 30, 30))/1000000</f>
        <v>0.417717</v>
      </c>
      <c r="X321" s="38">
        <f>(30*0.1790888*245000/1000000)+(30*0.2374*100000/1000000)</f>
        <v>2.0285026799999999</v>
      </c>
      <c r="Y321" s="38">
        <f>(1000*600*CHOOSE(CONTROL!$C$42, 1.6337, 1.6337)*CHOOSE(CONTROL!$C$42, 30, 30))/1000000</f>
        <v>29.406600000000001</v>
      </c>
      <c r="Z321" s="38"/>
      <c r="AA321" s="10"/>
      <c r="AB321" s="39"/>
      <c r="AC321" s="33">
        <f>(B321*194.205+C321*267.466+D321*133.845+E321*53.484+F321*40+G321*185+H321*0+I321*100+J321*300)/(194.205+267.466+133.845+53.484+0+40+185+100+300)</f>
        <v>9.0974907110675041</v>
      </c>
      <c r="AD321" s="27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9.0386705035971229</v>
      </c>
    </row>
    <row r="322" spans="1:30" ht="15.75" x14ac:dyDescent="0.25">
      <c r="A322" s="14">
        <v>51074</v>
      </c>
      <c r="B322" s="10">
        <f>CHOOSE(CONTROL!$C$42, 8.8963, 8.8963) * CHOOSE(CONTROL!$C$21, $C$9, 100%, $E$9)</f>
        <v>8.8963000000000001</v>
      </c>
      <c r="C322" s="10">
        <f>CHOOSE(CONTROL!$C$42, 8.9015, 8.9015) * CHOOSE(CONTROL!$C$21, $C$9, 100%, $E$9)</f>
        <v>8.9015000000000004</v>
      </c>
      <c r="D322" s="10">
        <f>CHOOSE(CONTROL!$C$42, 9.0835, 9.0835) * CHOOSE(CONTROL!$C$21, $C$9, 100%, $E$9)</f>
        <v>9.0835000000000008</v>
      </c>
      <c r="E322" s="10">
        <f>CHOOSE(CONTROL!$C$42, 9.1123, 9.1123) * CHOOSE(CONTROL!$C$21, $C$9, 100%, $E$9)</f>
        <v>9.1122999999999994</v>
      </c>
      <c r="F322" s="10">
        <f>CHOOSE(CONTROL!$C$42, 8.8619, 8.8619)*CHOOSE(CONTROL!$C$21, $C$9, 100%, $E$9)</f>
        <v>8.8619000000000003</v>
      </c>
      <c r="G322" s="10">
        <f>CHOOSE(CONTROL!$C$42, 8.8782, 8.8782)*CHOOSE(CONTROL!$C$21, $C$9, 100%, $E$9)</f>
        <v>8.8781999999999996</v>
      </c>
      <c r="H322" s="10">
        <f>CHOOSE(CONTROL!$C$42, 9.1028, 9.1028) * CHOOSE(CONTROL!$C$21, $C$9, 100%, $E$9)</f>
        <v>9.1028000000000002</v>
      </c>
      <c r="I322" s="10">
        <f>CHOOSE(CONTROL!$C$42, 8.8827, 8.8827)* CHOOSE(CONTROL!$C$21, $C$9, 100%, $E$9)</f>
        <v>8.8826999999999998</v>
      </c>
      <c r="J322" s="10">
        <f>CHOOSE(CONTROL!$C$42, 8.8549, 8.8549)* CHOOSE(CONTROL!$C$21, $C$9, 100%, $E$9)</f>
        <v>8.8549000000000007</v>
      </c>
      <c r="K322" s="10">
        <f>CHOOSE(CONTROL!$C$42, 8.7658, 8.7658) * CHOOSE(CONTROL!$C$21, $C$9, 100%, $E$9)</f>
        <v>8.7658000000000005</v>
      </c>
      <c r="L322" s="10">
        <f>CHOOSE(CONTROL!$C$42, 9.6898, 9.6898) * CHOOSE(CONTROL!$C$21, $C$9, 100%, $E$9)</f>
        <v>9.6898</v>
      </c>
      <c r="M322" s="10">
        <f>CHOOSE(CONTROL!$C$42, 8.7794, 8.7794) * CHOOSE(CONTROL!$C$21, $C$9, 100%, $E$9)</f>
        <v>8.7794000000000008</v>
      </c>
      <c r="N322" s="10">
        <f>CHOOSE(CONTROL!$C$42, 8.7955, 8.7955) * CHOOSE(CONTROL!$C$21, $C$9, 100%, $E$9)</f>
        <v>8.7955000000000005</v>
      </c>
      <c r="O322" s="10">
        <f>CHOOSE(CONTROL!$C$42, 9.0247, 9.0247) * CHOOSE(CONTROL!$C$21, $C$9, 100%, $E$9)</f>
        <v>9.0246999999999993</v>
      </c>
      <c r="P322" s="10">
        <f>CHOOSE(CONTROL!$C$42, 8.8069, 8.8069) * CHOOSE(CONTROL!$C$21, $C$9, 100%, $E$9)</f>
        <v>8.8069000000000006</v>
      </c>
      <c r="Q322" s="10">
        <f>CHOOSE(CONTROL!$C$42, 9.62, 9.62) * CHOOSE(CONTROL!$C$21, $C$9, 100%, $E$9)</f>
        <v>9.6199999999999992</v>
      </c>
      <c r="R322" s="10">
        <f>CHOOSE(CONTROL!$C$42, 10.2311, 10.2311) * CHOOSE(CONTROL!$C$21, $C$9, 100%, $E$9)</f>
        <v>10.2311</v>
      </c>
      <c r="S322" s="10">
        <f>CHOOSE(CONTROL!$C$42, 8.6367, 8.6367) * CHOOSE(CONTROL!$C$21, $C$9, 100%, $E$9)</f>
        <v>8.6366999999999994</v>
      </c>
      <c r="T3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38">
        <f>(1000*CHOOSE(CONTROL!$C$42, 695, 695)*CHOOSE(CONTROL!$C$42, 0.5599, 0.5599)*CHOOSE(CONTROL!$C$42, 31, 31))/1000000</f>
        <v>12.063045499999998</v>
      </c>
      <c r="V322" s="38">
        <f>(1000*CHOOSE(CONTROL!$C$42, 500, 500)*CHOOSE(CONTROL!$C$42, 0.275, 0.275)*CHOOSE(CONTROL!$C$42, 31, 31))/1000000</f>
        <v>4.2625000000000002</v>
      </c>
      <c r="W322" s="38">
        <f>(1000*CHOOSE(CONTROL!$C$42, 0.1146, 0.1146)*CHOOSE(CONTROL!$C$42, 121.5, 121.5)*CHOOSE(CONTROL!$C$42, 31, 31))/1000000</f>
        <v>0.43164089999999994</v>
      </c>
      <c r="X322" s="38">
        <f>(31*0.1790888*245000/1000000)+(31*0.2374*100000/1000000)</f>
        <v>2.0961194359999999</v>
      </c>
      <c r="Y322" s="38">
        <f>(1000*600*CHOOSE(CONTROL!$C$42, 1.6337, 1.6337)*CHOOSE(CONTROL!$C$42, 31, 31))/1000000</f>
        <v>30.38682</v>
      </c>
      <c r="Z322" s="38"/>
      <c r="AA322" s="10"/>
      <c r="AB322" s="39"/>
      <c r="AC322" s="33">
        <f>(B322*131.881+C322*277.167+D322*79.08+E322*125.872+F322*40+G322*185+H322*0+I322*100+J322*300)/(131.881+277.167+79.08+125.872+0+40+185+100+300)</f>
        <v>8.9164201746569827</v>
      </c>
      <c r="AD322" s="27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8.8558884892086347</v>
      </c>
    </row>
    <row r="323" spans="1:30" ht="15.75" x14ac:dyDescent="0.25">
      <c r="A323" s="14">
        <v>51104</v>
      </c>
      <c r="B323" s="10">
        <f>CHOOSE(CONTROL!$C$42, 9.1302, 9.1302) * CHOOSE(CONTROL!$C$21, $C$9, 100%, $E$9)</f>
        <v>9.1302000000000003</v>
      </c>
      <c r="C323" s="10">
        <f>CHOOSE(CONTROL!$C$42, 9.1352, 9.1352) * CHOOSE(CONTROL!$C$21, $C$9, 100%, $E$9)</f>
        <v>9.1351999999999993</v>
      </c>
      <c r="D323" s="10">
        <f>CHOOSE(CONTROL!$C$42, 9.1596, 9.1596) * CHOOSE(CONTROL!$C$21, $C$9, 100%, $E$9)</f>
        <v>9.1595999999999993</v>
      </c>
      <c r="E323" s="10">
        <f>CHOOSE(CONTROL!$C$42, 9.1934, 9.1934) * CHOOSE(CONTROL!$C$21, $C$9, 100%, $E$9)</f>
        <v>9.1934000000000005</v>
      </c>
      <c r="F323" s="10">
        <f>CHOOSE(CONTROL!$C$42, 9.0995, 9.0995)*CHOOSE(CONTROL!$C$21, $C$9, 100%, $E$9)</f>
        <v>9.0995000000000008</v>
      </c>
      <c r="G323" s="10">
        <f>CHOOSE(CONTROL!$C$42, 9.116, 9.116)*CHOOSE(CONTROL!$C$21, $C$9, 100%, $E$9)</f>
        <v>9.1159999999999997</v>
      </c>
      <c r="H323" s="10">
        <f>CHOOSE(CONTROL!$C$42, 9.1826, 9.1826) * CHOOSE(CONTROL!$C$21, $C$9, 100%, $E$9)</f>
        <v>9.1826000000000008</v>
      </c>
      <c r="I323" s="10">
        <f>CHOOSE(CONTROL!$C$42, 9.117, 9.117)* CHOOSE(CONTROL!$C$21, $C$9, 100%, $E$9)</f>
        <v>9.1170000000000009</v>
      </c>
      <c r="J323" s="10">
        <f>CHOOSE(CONTROL!$C$42, 9.0925, 9.0925)* CHOOSE(CONTROL!$C$21, $C$9, 100%, $E$9)</f>
        <v>9.0924999999999994</v>
      </c>
      <c r="K323" s="10">
        <f>CHOOSE(CONTROL!$C$42, 8.9949, 8.9949) * CHOOSE(CONTROL!$C$21, $C$9, 100%, $E$9)</f>
        <v>8.9948999999999995</v>
      </c>
      <c r="L323" s="10">
        <f>CHOOSE(CONTROL!$C$42, 9.7696, 9.7696) * CHOOSE(CONTROL!$C$21, $C$9, 100%, $E$9)</f>
        <v>9.7696000000000005</v>
      </c>
      <c r="M323" s="10">
        <f>CHOOSE(CONTROL!$C$42, 9.0146, 9.0146) * CHOOSE(CONTROL!$C$21, $C$9, 100%, $E$9)</f>
        <v>9.0145999999999997</v>
      </c>
      <c r="N323" s="10">
        <f>CHOOSE(CONTROL!$C$42, 9.0309, 9.0309) * CHOOSE(CONTROL!$C$21, $C$9, 100%, $E$9)</f>
        <v>9.0309000000000008</v>
      </c>
      <c r="O323" s="10">
        <f>CHOOSE(CONTROL!$C$42, 9.1037, 9.1037) * CHOOSE(CONTROL!$C$21, $C$9, 100%, $E$9)</f>
        <v>9.1036999999999999</v>
      </c>
      <c r="P323" s="10">
        <f>CHOOSE(CONTROL!$C$42, 9.0388, 9.0388) * CHOOSE(CONTROL!$C$21, $C$9, 100%, $E$9)</f>
        <v>9.0388000000000002</v>
      </c>
      <c r="Q323" s="10">
        <f>CHOOSE(CONTROL!$C$42, 9.699, 9.699) * CHOOSE(CONTROL!$C$21, $C$9, 100%, $E$9)</f>
        <v>9.6989999999999998</v>
      </c>
      <c r="R323" s="10">
        <f>CHOOSE(CONTROL!$C$42, 10.3103, 10.3103) * CHOOSE(CONTROL!$C$21, $C$9, 100%, $E$9)</f>
        <v>10.3103</v>
      </c>
      <c r="S323" s="10">
        <f>CHOOSE(CONTROL!$C$42, 8.8642, 8.8642) * CHOOSE(CONTROL!$C$21, $C$9, 100%, $E$9)</f>
        <v>8.8642000000000003</v>
      </c>
      <c r="T3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38">
        <f>(1000*CHOOSE(CONTROL!$C$42, 695, 695)*CHOOSE(CONTROL!$C$42, 0.5599, 0.5599)*CHOOSE(CONTROL!$C$42, 30, 30))/1000000</f>
        <v>11.673914999999997</v>
      </c>
      <c r="V323" s="38">
        <f>(1000*CHOOSE(CONTROL!$C$42, 500, 500)*CHOOSE(CONTROL!$C$42, 0.275, 0.275)*CHOOSE(CONTROL!$C$42, 30, 30))/1000000</f>
        <v>4.125</v>
      </c>
      <c r="W323" s="38">
        <f>(1000*CHOOSE(CONTROL!$C$42, 0.1146, 0.1146)*CHOOSE(CONTROL!$C$42, 121.5, 121.5)*CHOOSE(CONTROL!$C$42, 30, 30))/1000000</f>
        <v>0.417717</v>
      </c>
      <c r="X323" s="38">
        <f>(30*0.1790888*100000/1000000)+(30*0.2374*100000/1000000)</f>
        <v>1.2494664</v>
      </c>
      <c r="Y323" s="38">
        <f>(1000*600*CHOOSE(CONTROL!$C$42, 1.6337, 1.6337)*CHOOSE(CONTROL!$C$42, 30, 30))/1000000</f>
        <v>29.406600000000001</v>
      </c>
      <c r="Z323" s="38"/>
      <c r="AA323" s="10"/>
      <c r="AB323" s="39"/>
      <c r="AC323" s="33">
        <f>(B323*122.58+C323*297.941+D323*89.177+E323*40.302+F323*40+G323*160+H323*0+I323*100+J323*300)/(122.58+297.941+89.177+40.302+0+40+160+100+300)</f>
        <v>9.1219639958260839</v>
      </c>
      <c r="AD323" s="27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9.0594035971223015</v>
      </c>
    </row>
    <row r="324" spans="1:30" ht="15.75" x14ac:dyDescent="0.25">
      <c r="A324" s="14">
        <v>51135</v>
      </c>
      <c r="B324" s="10">
        <f>CHOOSE(CONTROL!$C$42, 9.7525, 9.7525) * CHOOSE(CONTROL!$C$21, $C$9, 100%, $E$9)</f>
        <v>9.7524999999999995</v>
      </c>
      <c r="C324" s="10">
        <f>CHOOSE(CONTROL!$C$42, 9.7574, 9.7574) * CHOOSE(CONTROL!$C$21, $C$9, 100%, $E$9)</f>
        <v>9.7574000000000005</v>
      </c>
      <c r="D324" s="10">
        <f>CHOOSE(CONTROL!$C$42, 9.7819, 9.7819) * CHOOSE(CONTROL!$C$21, $C$9, 100%, $E$9)</f>
        <v>9.7819000000000003</v>
      </c>
      <c r="E324" s="10">
        <f>CHOOSE(CONTROL!$C$42, 9.8157, 9.8157) * CHOOSE(CONTROL!$C$21, $C$9, 100%, $E$9)</f>
        <v>9.8156999999999996</v>
      </c>
      <c r="F324" s="10">
        <f>CHOOSE(CONTROL!$C$42, 9.7241, 9.7241)*CHOOSE(CONTROL!$C$21, $C$9, 100%, $E$9)</f>
        <v>9.7241</v>
      </c>
      <c r="G324" s="10">
        <f>CHOOSE(CONTROL!$C$42, 9.7412, 9.7412)*CHOOSE(CONTROL!$C$21, $C$9, 100%, $E$9)</f>
        <v>9.7411999999999992</v>
      </c>
      <c r="H324" s="10">
        <f>CHOOSE(CONTROL!$C$42, 9.8049, 9.8049) * CHOOSE(CONTROL!$C$21, $C$9, 100%, $E$9)</f>
        <v>9.8048999999999999</v>
      </c>
      <c r="I324" s="10">
        <f>CHOOSE(CONTROL!$C$42, 9.7393, 9.7393)* CHOOSE(CONTROL!$C$21, $C$9, 100%, $E$9)</f>
        <v>9.7393000000000001</v>
      </c>
      <c r="J324" s="10">
        <f>CHOOSE(CONTROL!$C$42, 9.7171, 9.7171)* CHOOSE(CONTROL!$C$21, $C$9, 100%, $E$9)</f>
        <v>9.7171000000000003</v>
      </c>
      <c r="K324" s="10">
        <f>CHOOSE(CONTROL!$C$42, 9.6046, 9.6046) * CHOOSE(CONTROL!$C$21, $C$9, 100%, $E$9)</f>
        <v>9.6045999999999996</v>
      </c>
      <c r="L324" s="10">
        <f>CHOOSE(CONTROL!$C$42, 10.3919, 10.3919) * CHOOSE(CONTROL!$C$21, $C$9, 100%, $E$9)</f>
        <v>10.3919</v>
      </c>
      <c r="M324" s="10">
        <f>CHOOSE(CONTROL!$C$42, 9.6329, 9.6329) * CHOOSE(CONTROL!$C$21, $C$9, 100%, $E$9)</f>
        <v>9.6328999999999994</v>
      </c>
      <c r="N324" s="10">
        <f>CHOOSE(CONTROL!$C$42, 9.6497, 9.6497) * CHOOSE(CONTROL!$C$21, $C$9, 100%, $E$9)</f>
        <v>9.6496999999999993</v>
      </c>
      <c r="O324" s="10">
        <f>CHOOSE(CONTROL!$C$42, 9.7198, 9.7198) * CHOOSE(CONTROL!$C$21, $C$9, 100%, $E$9)</f>
        <v>9.7197999999999993</v>
      </c>
      <c r="P324" s="10">
        <f>CHOOSE(CONTROL!$C$42, 9.6548, 9.6548) * CHOOSE(CONTROL!$C$21, $C$9, 100%, $E$9)</f>
        <v>9.6547999999999998</v>
      </c>
      <c r="Q324" s="10">
        <f>CHOOSE(CONTROL!$C$42, 10.3151, 10.3151) * CHOOSE(CONTROL!$C$21, $C$9, 100%, $E$9)</f>
        <v>10.315099999999999</v>
      </c>
      <c r="R324" s="10">
        <f>CHOOSE(CONTROL!$C$42, 10.9278, 10.9278) * CHOOSE(CONTROL!$C$21, $C$9, 100%, $E$9)</f>
        <v>10.9278</v>
      </c>
      <c r="S324" s="10">
        <f>CHOOSE(CONTROL!$C$42, 9.4685, 9.4685) * CHOOSE(CONTROL!$C$21, $C$9, 100%, $E$9)</f>
        <v>9.4685000000000006</v>
      </c>
      <c r="T3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38">
        <f>(1000*CHOOSE(CONTROL!$C$42, 695, 695)*CHOOSE(CONTROL!$C$42, 0.5599, 0.5599)*CHOOSE(CONTROL!$C$42, 31, 31))/1000000</f>
        <v>12.063045499999998</v>
      </c>
      <c r="V324" s="38">
        <f>(1000*CHOOSE(CONTROL!$C$42, 500, 500)*CHOOSE(CONTROL!$C$42, 0.275, 0.275)*CHOOSE(CONTROL!$C$42, 31, 31))/1000000</f>
        <v>4.2625000000000002</v>
      </c>
      <c r="W324" s="38">
        <f>(1000*CHOOSE(CONTROL!$C$42, 0.1146, 0.1146)*CHOOSE(CONTROL!$C$42, 121.5, 121.5)*CHOOSE(CONTROL!$C$42, 31, 31))/1000000</f>
        <v>0.43164089999999994</v>
      </c>
      <c r="X324" s="38">
        <f>(31*0.1790888*100000/1000000)+(31*0.2374*100000/1000000)</f>
        <v>1.2911152800000001</v>
      </c>
      <c r="Y324" s="38">
        <f>(1000*600*CHOOSE(CONTROL!$C$42, 1.6337, 1.6337)*CHOOSE(CONTROL!$C$42, 31, 31))/1000000</f>
        <v>30.38682</v>
      </c>
      <c r="Z324" s="38"/>
      <c r="AA324" s="10"/>
      <c r="AB324" s="39"/>
      <c r="AC324" s="33">
        <f>(B324*122.58+C324*297.941+D324*89.177+E324*40.302+F324*40+G324*160+H324*0+I324*100+J324*300)/(122.58+297.941+89.177+40.302+0+40+160+100+300)</f>
        <v>9.7453215661739119</v>
      </c>
      <c r="AD324" s="27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9.6764043165467601</v>
      </c>
    </row>
    <row r="325" spans="1:30" ht="15.75" x14ac:dyDescent="0.25">
      <c r="A325" s="14">
        <v>51166</v>
      </c>
      <c r="B325" s="10">
        <f>CHOOSE(CONTROL!$C$42, 10.4105, 10.4105) * CHOOSE(CONTROL!$C$21, $C$9, 100%, $E$9)</f>
        <v>10.410500000000001</v>
      </c>
      <c r="C325" s="10">
        <f>CHOOSE(CONTROL!$C$42, 10.4155, 10.4155) * CHOOSE(CONTROL!$C$21, $C$9, 100%, $E$9)</f>
        <v>10.4155</v>
      </c>
      <c r="D325" s="10">
        <f>CHOOSE(CONTROL!$C$42, 10.4399, 10.4399) * CHOOSE(CONTROL!$C$21, $C$9, 100%, $E$9)</f>
        <v>10.4399</v>
      </c>
      <c r="E325" s="10">
        <f>CHOOSE(CONTROL!$C$42, 10.4737, 10.4737) * CHOOSE(CONTROL!$C$21, $C$9, 100%, $E$9)</f>
        <v>10.473699999999999</v>
      </c>
      <c r="F325" s="10">
        <f>CHOOSE(CONTROL!$C$42, 10.3935, 10.3935)*CHOOSE(CONTROL!$C$21, $C$9, 100%, $E$9)</f>
        <v>10.3935</v>
      </c>
      <c r="G325" s="10">
        <f>CHOOSE(CONTROL!$C$42, 10.4121, 10.4121)*CHOOSE(CONTROL!$C$21, $C$9, 100%, $E$9)</f>
        <v>10.412100000000001</v>
      </c>
      <c r="H325" s="10">
        <f>CHOOSE(CONTROL!$C$42, 10.4629, 10.4629) * CHOOSE(CONTROL!$C$21, $C$9, 100%, $E$9)</f>
        <v>10.462899999999999</v>
      </c>
      <c r="I325" s="10">
        <f>CHOOSE(CONTROL!$C$42, 10.405, 10.405)* CHOOSE(CONTROL!$C$21, $C$9, 100%, $E$9)</f>
        <v>10.404999999999999</v>
      </c>
      <c r="J325" s="10">
        <f>CHOOSE(CONTROL!$C$42, 10.3865, 10.3865)* CHOOSE(CONTROL!$C$21, $C$9, 100%, $E$9)</f>
        <v>10.3865</v>
      </c>
      <c r="K325" s="10">
        <f>CHOOSE(CONTROL!$C$42, 10.2649, 10.2649) * CHOOSE(CONTROL!$C$21, $C$9, 100%, $E$9)</f>
        <v>10.264900000000001</v>
      </c>
      <c r="L325" s="10">
        <f>CHOOSE(CONTROL!$C$42, 11.0499, 11.0499) * CHOOSE(CONTROL!$C$21, $C$9, 100%, $E$9)</f>
        <v>11.049899999999999</v>
      </c>
      <c r="M325" s="10">
        <f>CHOOSE(CONTROL!$C$42, 10.2955, 10.2955) * CHOOSE(CONTROL!$C$21, $C$9, 100%, $E$9)</f>
        <v>10.295500000000001</v>
      </c>
      <c r="N325" s="10">
        <f>CHOOSE(CONTROL!$C$42, 10.3139, 10.3139) * CHOOSE(CONTROL!$C$21, $C$9, 100%, $E$9)</f>
        <v>10.3139</v>
      </c>
      <c r="O325" s="10">
        <f>CHOOSE(CONTROL!$C$42, 10.3712, 10.3712) * CHOOSE(CONTROL!$C$21, $C$9, 100%, $E$9)</f>
        <v>10.3712</v>
      </c>
      <c r="P325" s="10">
        <f>CHOOSE(CONTROL!$C$42, 10.3139, 10.3139) * CHOOSE(CONTROL!$C$21, $C$9, 100%, $E$9)</f>
        <v>10.3139</v>
      </c>
      <c r="Q325" s="10">
        <f>CHOOSE(CONTROL!$C$42, 10.9665, 10.9665) * CHOOSE(CONTROL!$C$21, $C$9, 100%, $E$9)</f>
        <v>10.9665</v>
      </c>
      <c r="R325" s="10">
        <f>CHOOSE(CONTROL!$C$42, 11.5809, 11.5809) * CHOOSE(CONTROL!$C$21, $C$9, 100%, $E$9)</f>
        <v>11.5809</v>
      </c>
      <c r="S325" s="10">
        <f>CHOOSE(CONTROL!$C$42, 10.1075, 10.1075) * CHOOSE(CONTROL!$C$21, $C$9, 100%, $E$9)</f>
        <v>10.1075</v>
      </c>
      <c r="T3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38">
        <f>(1000*CHOOSE(CONTROL!$C$42, 695, 695)*CHOOSE(CONTROL!$C$42, 0.5599, 0.5599)*CHOOSE(CONTROL!$C$42, 31, 31))/1000000</f>
        <v>12.063045499999998</v>
      </c>
      <c r="V325" s="38">
        <f>(1000*CHOOSE(CONTROL!$C$42, 500, 500)*CHOOSE(CONTROL!$C$42, 0.275, 0.275)*CHOOSE(CONTROL!$C$42, 31, 31))/1000000</f>
        <v>4.2625000000000002</v>
      </c>
      <c r="W325" s="38">
        <f>(1000*CHOOSE(CONTROL!$C$42, 0.1146, 0.1146)*CHOOSE(CONTROL!$C$42, 121.5, 121.5)*CHOOSE(CONTROL!$C$42, 31, 31))/1000000</f>
        <v>0.43164089999999994</v>
      </c>
      <c r="X325" s="38">
        <f>(31*0.1790888*100000/1000000)+(31*0.2374*100000/1000000)</f>
        <v>1.2911152800000001</v>
      </c>
      <c r="Y325" s="38">
        <f>(1000*600*CHOOSE(CONTROL!$C$42, 1.6302, 1.6302)*CHOOSE(CONTROL!$C$42, 31, 31))/1000000</f>
        <v>30.321719999999999</v>
      </c>
      <c r="Z325" s="38"/>
      <c r="AA325" s="10"/>
      <c r="AB325" s="39"/>
      <c r="AC325" s="33">
        <f>(B325*122.58+C325*297.941+D325*89.177+E325*40.302+F325*40+G325*160+H325*0+I325*100+J325*300)/(122.58+297.941+89.177+40.302+0+40+160+100+300)</f>
        <v>10.409182256695653</v>
      </c>
      <c r="AD325" s="27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10.33351654676259</v>
      </c>
    </row>
    <row r="326" spans="1:30" ht="15.75" x14ac:dyDescent="0.25">
      <c r="A326" s="14">
        <v>51194</v>
      </c>
      <c r="B326" s="10">
        <f>CHOOSE(CONTROL!$C$42, 10.5958, 10.5958) * CHOOSE(CONTROL!$C$21, $C$9, 100%, $E$9)</f>
        <v>10.595800000000001</v>
      </c>
      <c r="C326" s="10">
        <f>CHOOSE(CONTROL!$C$42, 10.6007, 10.6007) * CHOOSE(CONTROL!$C$21, $C$9, 100%, $E$9)</f>
        <v>10.6007</v>
      </c>
      <c r="D326" s="10">
        <f>CHOOSE(CONTROL!$C$42, 10.6252, 10.6252) * CHOOSE(CONTROL!$C$21, $C$9, 100%, $E$9)</f>
        <v>10.6252</v>
      </c>
      <c r="E326" s="10">
        <f>CHOOSE(CONTROL!$C$42, 10.659, 10.659) * CHOOSE(CONTROL!$C$21, $C$9, 100%, $E$9)</f>
        <v>10.659000000000001</v>
      </c>
      <c r="F326" s="10">
        <f>CHOOSE(CONTROL!$C$42, 10.5781, 10.5781)*CHOOSE(CONTROL!$C$21, $C$9, 100%, $E$9)</f>
        <v>10.578099999999999</v>
      </c>
      <c r="G326" s="10">
        <f>CHOOSE(CONTROL!$C$42, 10.5965, 10.5965)*CHOOSE(CONTROL!$C$21, $C$9, 100%, $E$9)</f>
        <v>10.596500000000001</v>
      </c>
      <c r="H326" s="10">
        <f>CHOOSE(CONTROL!$C$42, 10.6482, 10.6482) * CHOOSE(CONTROL!$C$21, $C$9, 100%, $E$9)</f>
        <v>10.648199999999999</v>
      </c>
      <c r="I326" s="10">
        <f>CHOOSE(CONTROL!$C$42, 10.5903, 10.5903)* CHOOSE(CONTROL!$C$21, $C$9, 100%, $E$9)</f>
        <v>10.590299999999999</v>
      </c>
      <c r="J326" s="10">
        <f>CHOOSE(CONTROL!$C$42, 10.5711, 10.5711)* CHOOSE(CONTROL!$C$21, $C$9, 100%, $E$9)</f>
        <v>10.571099999999999</v>
      </c>
      <c r="K326" s="10">
        <f>CHOOSE(CONTROL!$C$42, 10.4434, 10.4434) * CHOOSE(CONTROL!$C$21, $C$9, 100%, $E$9)</f>
        <v>10.4434</v>
      </c>
      <c r="L326" s="10">
        <f>CHOOSE(CONTROL!$C$42, 11.2352, 11.2352) * CHOOSE(CONTROL!$C$21, $C$9, 100%, $E$9)</f>
        <v>11.235200000000001</v>
      </c>
      <c r="M326" s="10">
        <f>CHOOSE(CONTROL!$C$42, 10.4782, 10.4782) * CHOOSE(CONTROL!$C$21, $C$9, 100%, $E$9)</f>
        <v>10.478199999999999</v>
      </c>
      <c r="N326" s="10">
        <f>CHOOSE(CONTROL!$C$42, 10.4965, 10.4965) * CHOOSE(CONTROL!$C$21, $C$9, 100%, $E$9)</f>
        <v>10.496499999999999</v>
      </c>
      <c r="O326" s="10">
        <f>CHOOSE(CONTROL!$C$42, 10.5546, 10.5546) * CHOOSE(CONTROL!$C$21, $C$9, 100%, $E$9)</f>
        <v>10.554600000000001</v>
      </c>
      <c r="P326" s="10">
        <f>CHOOSE(CONTROL!$C$42, 10.4973, 10.4973) * CHOOSE(CONTROL!$C$21, $C$9, 100%, $E$9)</f>
        <v>10.497299999999999</v>
      </c>
      <c r="Q326" s="10">
        <f>CHOOSE(CONTROL!$C$42, 11.1499, 11.1499) * CHOOSE(CONTROL!$C$21, $C$9, 100%, $E$9)</f>
        <v>11.149900000000001</v>
      </c>
      <c r="R326" s="10">
        <f>CHOOSE(CONTROL!$C$42, 11.7647, 11.7647) * CHOOSE(CONTROL!$C$21, $C$9, 100%, $E$9)</f>
        <v>11.764699999999999</v>
      </c>
      <c r="S326" s="10">
        <f>CHOOSE(CONTROL!$C$42, 10.2874, 10.2874) * CHOOSE(CONTROL!$C$21, $C$9, 100%, $E$9)</f>
        <v>10.2874</v>
      </c>
      <c r="T32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26" s="38">
        <f>(1000*CHOOSE(CONTROL!$C$42, 695, 695)*CHOOSE(CONTROL!$C$42, 0.5599, 0.5599)*CHOOSE(CONTROL!$C$42, 29, 29))/1000000</f>
        <v>11.284784499999999</v>
      </c>
      <c r="V326" s="38">
        <f>(1000*CHOOSE(CONTROL!$C$42, 500, 500)*CHOOSE(CONTROL!$C$42, 0.275, 0.275)*CHOOSE(CONTROL!$C$42, 29, 29))/1000000</f>
        <v>3.9874999999999998</v>
      </c>
      <c r="W326" s="38">
        <f>(1000*CHOOSE(CONTROL!$C$42, 0.1146, 0.1146)*CHOOSE(CONTROL!$C$42, 121.5, 121.5)*CHOOSE(CONTROL!$C$42, 29, 29))/1000000</f>
        <v>0.40379309999999996</v>
      </c>
      <c r="X326" s="38">
        <f>(29*0.1790888*100000/1000000)+(29*0.2374*100000/1000000)</f>
        <v>1.2078175199999999</v>
      </c>
      <c r="Y326" s="38">
        <f>(1000*600*CHOOSE(CONTROL!$C$42, 1.6302, 1.6302)*CHOOSE(CONTROL!$C$42, 29, 29))/1000000</f>
        <v>28.365480000000002</v>
      </c>
      <c r="Z326" s="38"/>
      <c r="AA326" s="10"/>
      <c r="AB326" s="39"/>
      <c r="AC326" s="33">
        <f>(B326*122.58+C326*297.941+D326*89.177+E326*40.302+F326*40+G326*160+H326*0+I326*100+J326*300)/(122.58+297.941+89.177+40.302+0+40+160+100+300)</f>
        <v>10.594124174869567</v>
      </c>
      <c r="AD326" s="27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10.516628776978418</v>
      </c>
    </row>
    <row r="327" spans="1:30" ht="15.75" x14ac:dyDescent="0.25">
      <c r="A327" s="14">
        <v>51226</v>
      </c>
      <c r="B327" s="10">
        <f>CHOOSE(CONTROL!$C$42, 10.2951, 10.2951) * CHOOSE(CONTROL!$C$21, $C$9, 100%, $E$9)</f>
        <v>10.2951</v>
      </c>
      <c r="C327" s="10">
        <f>CHOOSE(CONTROL!$C$42, 10.3, 10.3) * CHOOSE(CONTROL!$C$21, $C$9, 100%, $E$9)</f>
        <v>10.3</v>
      </c>
      <c r="D327" s="10">
        <f>CHOOSE(CONTROL!$C$42, 10.3245, 10.3245) * CHOOSE(CONTROL!$C$21, $C$9, 100%, $E$9)</f>
        <v>10.3245</v>
      </c>
      <c r="E327" s="10">
        <f>CHOOSE(CONTROL!$C$42, 10.3582, 10.3582) * CHOOSE(CONTROL!$C$21, $C$9, 100%, $E$9)</f>
        <v>10.3582</v>
      </c>
      <c r="F327" s="10">
        <f>CHOOSE(CONTROL!$C$42, 10.2758, 10.2758)*CHOOSE(CONTROL!$C$21, $C$9, 100%, $E$9)</f>
        <v>10.2758</v>
      </c>
      <c r="G327" s="10">
        <f>CHOOSE(CONTROL!$C$42, 10.2939, 10.2939)*CHOOSE(CONTROL!$C$21, $C$9, 100%, $E$9)</f>
        <v>10.293900000000001</v>
      </c>
      <c r="H327" s="10">
        <f>CHOOSE(CONTROL!$C$42, 10.3474, 10.3474) * CHOOSE(CONTROL!$C$21, $C$9, 100%, $E$9)</f>
        <v>10.3474</v>
      </c>
      <c r="I327" s="10">
        <f>CHOOSE(CONTROL!$C$42, 10.2895, 10.2895)* CHOOSE(CONTROL!$C$21, $C$9, 100%, $E$9)</f>
        <v>10.2895</v>
      </c>
      <c r="J327" s="10">
        <f>CHOOSE(CONTROL!$C$42, 10.2688, 10.2688)* CHOOSE(CONTROL!$C$21, $C$9, 100%, $E$9)</f>
        <v>10.268800000000001</v>
      </c>
      <c r="K327" s="10">
        <f>CHOOSE(CONTROL!$C$42, 10.1479, 10.1479) * CHOOSE(CONTROL!$C$21, $C$9, 100%, $E$9)</f>
        <v>10.1479</v>
      </c>
      <c r="L327" s="10">
        <f>CHOOSE(CONTROL!$C$42, 10.9344, 10.9344) * CHOOSE(CONTROL!$C$21, $C$9, 100%, $E$9)</f>
        <v>10.9344</v>
      </c>
      <c r="M327" s="10">
        <f>CHOOSE(CONTROL!$C$42, 10.179, 10.179) * CHOOSE(CONTROL!$C$21, $C$9, 100%, $E$9)</f>
        <v>10.179</v>
      </c>
      <c r="N327" s="10">
        <f>CHOOSE(CONTROL!$C$42, 10.1969, 10.1969) * CHOOSE(CONTROL!$C$21, $C$9, 100%, $E$9)</f>
        <v>10.196899999999999</v>
      </c>
      <c r="O327" s="10">
        <f>CHOOSE(CONTROL!$C$42, 10.2568, 10.2568) * CHOOSE(CONTROL!$C$21, $C$9, 100%, $E$9)</f>
        <v>10.2568</v>
      </c>
      <c r="P327" s="10">
        <f>CHOOSE(CONTROL!$C$42, 10.1996, 10.1996) * CHOOSE(CONTROL!$C$21, $C$9, 100%, $E$9)</f>
        <v>10.1996</v>
      </c>
      <c r="Q327" s="10">
        <f>CHOOSE(CONTROL!$C$42, 10.8521, 10.8521) * CHOOSE(CONTROL!$C$21, $C$9, 100%, $E$9)</f>
        <v>10.8521</v>
      </c>
      <c r="R327" s="10">
        <f>CHOOSE(CONTROL!$C$42, 11.4663, 11.4663) * CHOOSE(CONTROL!$C$21, $C$9, 100%, $E$9)</f>
        <v>11.4663</v>
      </c>
      <c r="S327" s="10">
        <f>CHOOSE(CONTROL!$C$42, 9.9954, 9.9954) * CHOOSE(CONTROL!$C$21, $C$9, 100%, $E$9)</f>
        <v>9.9954000000000001</v>
      </c>
      <c r="T3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38">
        <f>(1000*CHOOSE(CONTROL!$C$42, 695, 695)*CHOOSE(CONTROL!$C$42, 0.5599, 0.5599)*CHOOSE(CONTROL!$C$42, 31, 31))/1000000</f>
        <v>12.063045499999998</v>
      </c>
      <c r="V327" s="38">
        <f>(1000*CHOOSE(CONTROL!$C$42, 500, 500)*CHOOSE(CONTROL!$C$42, 0.275, 0.275)*CHOOSE(CONTROL!$C$42, 31, 31))/1000000</f>
        <v>4.2625000000000002</v>
      </c>
      <c r="W327" s="38">
        <f>(1000*CHOOSE(CONTROL!$C$42, 0.1146, 0.1146)*CHOOSE(CONTROL!$C$42, 121.5, 121.5)*CHOOSE(CONTROL!$C$42, 31, 31))/1000000</f>
        <v>0.43164089999999994</v>
      </c>
      <c r="X327" s="38">
        <f>(31*0.1790888*100000/1000000)+(31*0.2374*100000/1000000)</f>
        <v>1.2911152800000001</v>
      </c>
      <c r="Y327" s="38">
        <f>(1000*600*CHOOSE(CONTROL!$C$42, 1.6302, 1.6302)*CHOOSE(CONTROL!$C$42, 31, 31))/1000000</f>
        <v>30.321719999999999</v>
      </c>
      <c r="Z327" s="38"/>
      <c r="AA327" s="10"/>
      <c r="AB327" s="39"/>
      <c r="AC327" s="33">
        <f>(B327*122.58+C327*297.941+D327*89.177+E327*40.302+F327*40+G327*160+H327*0+I327*100+J327*300)/(122.58+297.941+89.177+40.302+0+40+160+100+300)</f>
        <v>10.292674583391307</v>
      </c>
      <c r="AD327" s="27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10.218256115107915</v>
      </c>
    </row>
    <row r="328" spans="1:30" ht="15.75" x14ac:dyDescent="0.25">
      <c r="A328" s="14">
        <v>51256</v>
      </c>
      <c r="B328" s="10">
        <f>CHOOSE(CONTROL!$C$42, 10.265, 10.265) * CHOOSE(CONTROL!$C$21, $C$9, 100%, $E$9)</f>
        <v>10.265000000000001</v>
      </c>
      <c r="C328" s="10">
        <f>CHOOSE(CONTROL!$C$42, 10.2694, 10.2694) * CHOOSE(CONTROL!$C$21, $C$9, 100%, $E$9)</f>
        <v>10.269399999999999</v>
      </c>
      <c r="D328" s="10">
        <f>CHOOSE(CONTROL!$C$42, 10.4495, 10.4495) * CHOOSE(CONTROL!$C$21, $C$9, 100%, $E$9)</f>
        <v>10.4495</v>
      </c>
      <c r="E328" s="10">
        <f>CHOOSE(CONTROL!$C$42, 10.4813, 10.4813) * CHOOSE(CONTROL!$C$21, $C$9, 100%, $E$9)</f>
        <v>10.481299999999999</v>
      </c>
      <c r="F328" s="10">
        <f>CHOOSE(CONTROL!$C$42, 10.2303, 10.2303)*CHOOSE(CONTROL!$C$21, $C$9, 100%, $E$9)</f>
        <v>10.2303</v>
      </c>
      <c r="G328" s="10">
        <f>CHOOSE(CONTROL!$C$42, 10.2466, 10.2466)*CHOOSE(CONTROL!$C$21, $C$9, 100%, $E$9)</f>
        <v>10.246600000000001</v>
      </c>
      <c r="H328" s="10">
        <f>CHOOSE(CONTROL!$C$42, 10.4711, 10.4711) * CHOOSE(CONTROL!$C$21, $C$9, 100%, $E$9)</f>
        <v>10.4711</v>
      </c>
      <c r="I328" s="10">
        <f>CHOOSE(CONTROL!$C$42, 10.251, 10.251)* CHOOSE(CONTROL!$C$21, $C$9, 100%, $E$9)</f>
        <v>10.250999999999999</v>
      </c>
      <c r="J328" s="10">
        <f>CHOOSE(CONTROL!$C$42, 10.2233, 10.2233)* CHOOSE(CONTROL!$C$21, $C$9, 100%, $E$9)</f>
        <v>10.2233</v>
      </c>
      <c r="K328" s="10">
        <f>CHOOSE(CONTROL!$C$42, 10.0954, 10.0954) * CHOOSE(CONTROL!$C$21, $C$9, 100%, $E$9)</f>
        <v>10.0954</v>
      </c>
      <c r="L328" s="10">
        <f>CHOOSE(CONTROL!$C$42, 11.0581, 11.0581) * CHOOSE(CONTROL!$C$21, $C$9, 100%, $E$9)</f>
        <v>11.0581</v>
      </c>
      <c r="M328" s="10">
        <f>CHOOSE(CONTROL!$C$42, 10.134, 10.134) * CHOOSE(CONTROL!$C$21, $C$9, 100%, $E$9)</f>
        <v>10.134</v>
      </c>
      <c r="N328" s="10">
        <f>CHOOSE(CONTROL!$C$42, 10.1501, 10.1501) * CHOOSE(CONTROL!$C$21, $C$9, 100%, $E$9)</f>
        <v>10.1501</v>
      </c>
      <c r="O328" s="10">
        <f>CHOOSE(CONTROL!$C$42, 10.3792, 10.3792) * CHOOSE(CONTROL!$C$21, $C$9, 100%, $E$9)</f>
        <v>10.379200000000001</v>
      </c>
      <c r="P328" s="10">
        <f>CHOOSE(CONTROL!$C$42, 10.1614, 10.1614) * CHOOSE(CONTROL!$C$21, $C$9, 100%, $E$9)</f>
        <v>10.1614</v>
      </c>
      <c r="Q328" s="10">
        <f>CHOOSE(CONTROL!$C$42, 10.9745, 10.9745) * CHOOSE(CONTROL!$C$21, $C$9, 100%, $E$9)</f>
        <v>10.974500000000001</v>
      </c>
      <c r="R328" s="10">
        <f>CHOOSE(CONTROL!$C$42, 11.589, 11.589) * CHOOSE(CONTROL!$C$21, $C$9, 100%, $E$9)</f>
        <v>11.589</v>
      </c>
      <c r="S328" s="10">
        <f>CHOOSE(CONTROL!$C$42, 9.9655, 9.9655) * CHOOSE(CONTROL!$C$21, $C$9, 100%, $E$9)</f>
        <v>9.9655000000000005</v>
      </c>
      <c r="T3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38">
        <f>(1000*CHOOSE(CONTROL!$C$42, 695, 695)*CHOOSE(CONTROL!$C$42, 0.5599, 0.5599)*CHOOSE(CONTROL!$C$42, 30, 30))/1000000</f>
        <v>11.673914999999997</v>
      </c>
      <c r="V328" s="38">
        <f>(1000*CHOOSE(CONTROL!$C$42, 500, 500)*CHOOSE(CONTROL!$C$42, 0.275, 0.275)*CHOOSE(CONTROL!$C$42, 30, 30))/1000000</f>
        <v>4.125</v>
      </c>
      <c r="W328" s="38">
        <f>(1000*CHOOSE(CONTROL!$C$42, 0.1146, 0.1146)*CHOOSE(CONTROL!$C$42, 121.5, 121.5)*CHOOSE(CONTROL!$C$42, 30, 30))/1000000</f>
        <v>0.417717</v>
      </c>
      <c r="X328" s="38">
        <f>(30*0.1790888*245000/1000000)+(30*0.2374*100000/1000000)</f>
        <v>2.0285026799999999</v>
      </c>
      <c r="Y328" s="38">
        <f>(1000*600*CHOOSE(CONTROL!$C$42, 1.6302, 1.6302)*CHOOSE(CONTROL!$C$42, 30, 30))/1000000</f>
        <v>29.343599999999999</v>
      </c>
      <c r="Z328" s="38"/>
      <c r="AA328" s="10"/>
      <c r="AB328" s="39"/>
      <c r="AC328" s="33">
        <f>(B328*141.293+C328*267.993+D328*115.016+E328*89.698+F328*40+G328*185+H328*0+I328*100+J328*300)/(141.293+267.993+115.016+89.698+0+40+185+100+300)</f>
        <v>10.283643501694916</v>
      </c>
      <c r="AD328" s="27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10.210446043165469</v>
      </c>
    </row>
    <row r="329" spans="1:30" ht="15.75" x14ac:dyDescent="0.25">
      <c r="A329" s="14">
        <v>51287</v>
      </c>
      <c r="B329" s="10">
        <f>CHOOSE(CONTROL!$C$42, 10.3574, 10.3574) * CHOOSE(CONTROL!$C$21, $C$9, 100%, $E$9)</f>
        <v>10.3574</v>
      </c>
      <c r="C329" s="10">
        <f>CHOOSE(CONTROL!$C$42, 10.3653, 10.3653) * CHOOSE(CONTROL!$C$21, $C$9, 100%, $E$9)</f>
        <v>10.3653</v>
      </c>
      <c r="D329" s="10">
        <f>CHOOSE(CONTROL!$C$42, 10.5423, 10.5423) * CHOOSE(CONTROL!$C$21, $C$9, 100%, $E$9)</f>
        <v>10.542299999999999</v>
      </c>
      <c r="E329" s="10">
        <f>CHOOSE(CONTROL!$C$42, 10.5734, 10.5734) * CHOOSE(CONTROL!$C$21, $C$9, 100%, $E$9)</f>
        <v>10.573399999999999</v>
      </c>
      <c r="F329" s="10">
        <f>CHOOSE(CONTROL!$C$42, 10.3207, 10.3207)*CHOOSE(CONTROL!$C$21, $C$9, 100%, $E$9)</f>
        <v>10.3207</v>
      </c>
      <c r="G329" s="10">
        <f>CHOOSE(CONTROL!$C$42, 10.3372, 10.3372)*CHOOSE(CONTROL!$C$21, $C$9, 100%, $E$9)</f>
        <v>10.337199999999999</v>
      </c>
      <c r="H329" s="10">
        <f>CHOOSE(CONTROL!$C$42, 10.5621, 10.5621) * CHOOSE(CONTROL!$C$21, $C$9, 100%, $E$9)</f>
        <v>10.562099999999999</v>
      </c>
      <c r="I329" s="10">
        <f>CHOOSE(CONTROL!$C$42, 10.342, 10.342)* CHOOSE(CONTROL!$C$21, $C$9, 100%, $E$9)</f>
        <v>10.342000000000001</v>
      </c>
      <c r="J329" s="10">
        <f>CHOOSE(CONTROL!$C$42, 10.3137, 10.3137)* CHOOSE(CONTROL!$C$21, $C$9, 100%, $E$9)</f>
        <v>10.313700000000001</v>
      </c>
      <c r="K329" s="10">
        <f>CHOOSE(CONTROL!$C$42, 10.1826, 10.1826) * CHOOSE(CONTROL!$C$21, $C$9, 100%, $E$9)</f>
        <v>10.182600000000001</v>
      </c>
      <c r="L329" s="10">
        <f>CHOOSE(CONTROL!$C$42, 11.1491, 11.1491) * CHOOSE(CONTROL!$C$21, $C$9, 100%, $E$9)</f>
        <v>11.149100000000001</v>
      </c>
      <c r="M329" s="10">
        <f>CHOOSE(CONTROL!$C$42, 10.2235, 10.2235) * CHOOSE(CONTROL!$C$21, $C$9, 100%, $E$9)</f>
        <v>10.2235</v>
      </c>
      <c r="N329" s="10">
        <f>CHOOSE(CONTROL!$C$42, 10.2398, 10.2398) * CHOOSE(CONTROL!$C$21, $C$9, 100%, $E$9)</f>
        <v>10.239800000000001</v>
      </c>
      <c r="O329" s="10">
        <f>CHOOSE(CONTROL!$C$42, 10.4693, 10.4693) * CHOOSE(CONTROL!$C$21, $C$9, 100%, $E$9)</f>
        <v>10.4693</v>
      </c>
      <c r="P329" s="10">
        <f>CHOOSE(CONTROL!$C$42, 10.2515, 10.2515) * CHOOSE(CONTROL!$C$21, $C$9, 100%, $E$9)</f>
        <v>10.2515</v>
      </c>
      <c r="Q329" s="10">
        <f>CHOOSE(CONTROL!$C$42, 11.0646, 11.0646) * CHOOSE(CONTROL!$C$21, $C$9, 100%, $E$9)</f>
        <v>11.0646</v>
      </c>
      <c r="R329" s="10">
        <f>CHOOSE(CONTROL!$C$42, 11.6793, 11.6793) * CHOOSE(CONTROL!$C$21, $C$9, 100%, $E$9)</f>
        <v>11.6793</v>
      </c>
      <c r="S329" s="10">
        <f>CHOOSE(CONTROL!$C$42, 10.0538, 10.0538) * CHOOSE(CONTROL!$C$21, $C$9, 100%, $E$9)</f>
        <v>10.053800000000001</v>
      </c>
      <c r="T3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38">
        <f>(1000*CHOOSE(CONTROL!$C$42, 695, 695)*CHOOSE(CONTROL!$C$42, 0.5599, 0.5599)*CHOOSE(CONTROL!$C$42, 31, 31))/1000000</f>
        <v>12.063045499999998</v>
      </c>
      <c r="V329" s="38">
        <f>(1000*CHOOSE(CONTROL!$C$42, 500, 500)*CHOOSE(CONTROL!$C$42, 0.275, 0.275)*CHOOSE(CONTROL!$C$42, 31, 31))/1000000</f>
        <v>4.2625000000000002</v>
      </c>
      <c r="W329" s="38">
        <f>(1000*CHOOSE(CONTROL!$C$42, 0.1146, 0.1146)*CHOOSE(CONTROL!$C$42, 121.5, 121.5)*CHOOSE(CONTROL!$C$42, 31, 31))/1000000</f>
        <v>0.43164089999999994</v>
      </c>
      <c r="X329" s="38">
        <f>(31*0.1790888*245000/1000000)+(31*0.2374*100000/1000000)</f>
        <v>2.0961194359999999</v>
      </c>
      <c r="Y329" s="38">
        <f>(1000*600*CHOOSE(CONTROL!$C$42, 1.6302, 1.6302)*CHOOSE(CONTROL!$C$42, 31, 31))/1000000</f>
        <v>30.321719999999999</v>
      </c>
      <c r="Z329" s="38"/>
      <c r="AA329" s="10"/>
      <c r="AB329" s="39"/>
      <c r="AC329" s="33">
        <f>(B329*194.205+C329*267.466+D329*133.845+E329*53.484+F329*40+G329*185+H329*0+I329*100+J329*300)/(194.205+267.466+133.845+53.484+0+40+185+100+300)</f>
        <v>10.371967084693878</v>
      </c>
      <c r="AD329" s="27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10.300246762589929</v>
      </c>
    </row>
    <row r="330" spans="1:30" ht="15.75" x14ac:dyDescent="0.25">
      <c r="A330" s="14">
        <v>51317</v>
      </c>
      <c r="B330" s="10">
        <f>CHOOSE(CONTROL!$C$42, 10.651, 10.651) * CHOOSE(CONTROL!$C$21, $C$9, 100%, $E$9)</f>
        <v>10.651</v>
      </c>
      <c r="C330" s="10">
        <f>CHOOSE(CONTROL!$C$42, 10.6589, 10.6589) * CHOOSE(CONTROL!$C$21, $C$9, 100%, $E$9)</f>
        <v>10.658899999999999</v>
      </c>
      <c r="D330" s="10">
        <f>CHOOSE(CONTROL!$C$42, 10.8359, 10.8359) * CHOOSE(CONTROL!$C$21, $C$9, 100%, $E$9)</f>
        <v>10.835900000000001</v>
      </c>
      <c r="E330" s="10">
        <f>CHOOSE(CONTROL!$C$42, 10.8671, 10.8671) * CHOOSE(CONTROL!$C$21, $C$9, 100%, $E$9)</f>
        <v>10.867100000000001</v>
      </c>
      <c r="F330" s="10">
        <f>CHOOSE(CONTROL!$C$42, 10.6146, 10.6146)*CHOOSE(CONTROL!$C$21, $C$9, 100%, $E$9)</f>
        <v>10.614599999999999</v>
      </c>
      <c r="G330" s="10">
        <f>CHOOSE(CONTROL!$C$42, 10.6311, 10.6311)*CHOOSE(CONTROL!$C$21, $C$9, 100%, $E$9)</f>
        <v>10.6311</v>
      </c>
      <c r="H330" s="10">
        <f>CHOOSE(CONTROL!$C$42, 10.8557, 10.8557) * CHOOSE(CONTROL!$C$21, $C$9, 100%, $E$9)</f>
        <v>10.855700000000001</v>
      </c>
      <c r="I330" s="10">
        <f>CHOOSE(CONTROL!$C$42, 10.6356, 10.6356)* CHOOSE(CONTROL!$C$21, $C$9, 100%, $E$9)</f>
        <v>10.6356</v>
      </c>
      <c r="J330" s="10">
        <f>CHOOSE(CONTROL!$C$42, 10.6076, 10.6076)* CHOOSE(CONTROL!$C$21, $C$9, 100%, $E$9)</f>
        <v>10.6076</v>
      </c>
      <c r="K330" s="10">
        <f>CHOOSE(CONTROL!$C$42, 10.4682, 10.4682) * CHOOSE(CONTROL!$C$21, $C$9, 100%, $E$9)</f>
        <v>10.4682</v>
      </c>
      <c r="L330" s="10">
        <f>CHOOSE(CONTROL!$C$42, 11.4427, 11.4427) * CHOOSE(CONTROL!$C$21, $C$9, 100%, $E$9)</f>
        <v>11.4427</v>
      </c>
      <c r="M330" s="10">
        <f>CHOOSE(CONTROL!$C$42, 10.5143, 10.5143) * CHOOSE(CONTROL!$C$21, $C$9, 100%, $E$9)</f>
        <v>10.5143</v>
      </c>
      <c r="N330" s="10">
        <f>CHOOSE(CONTROL!$C$42, 10.5307, 10.5307) * CHOOSE(CONTROL!$C$21, $C$9, 100%, $E$9)</f>
        <v>10.5307</v>
      </c>
      <c r="O330" s="10">
        <f>CHOOSE(CONTROL!$C$42, 10.76, 10.76) * CHOOSE(CONTROL!$C$21, $C$9, 100%, $E$9)</f>
        <v>10.76</v>
      </c>
      <c r="P330" s="10">
        <f>CHOOSE(CONTROL!$C$42, 10.5421, 10.5421) * CHOOSE(CONTROL!$C$21, $C$9, 100%, $E$9)</f>
        <v>10.5421</v>
      </c>
      <c r="Q330" s="10">
        <f>CHOOSE(CONTROL!$C$42, 11.3553, 11.3553) * CHOOSE(CONTROL!$C$21, $C$9, 100%, $E$9)</f>
        <v>11.3553</v>
      </c>
      <c r="R330" s="10">
        <f>CHOOSE(CONTROL!$C$42, 11.9707, 11.9707) * CHOOSE(CONTROL!$C$21, $C$9, 100%, $E$9)</f>
        <v>11.970700000000001</v>
      </c>
      <c r="S330" s="10">
        <f>CHOOSE(CONTROL!$C$42, 10.339, 10.339) * CHOOSE(CONTROL!$C$21, $C$9, 100%, $E$9)</f>
        <v>10.339</v>
      </c>
      <c r="T3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38">
        <f>(1000*CHOOSE(CONTROL!$C$42, 695, 695)*CHOOSE(CONTROL!$C$42, 0.5599, 0.5599)*CHOOSE(CONTROL!$C$42, 30, 30))/1000000</f>
        <v>11.673914999999997</v>
      </c>
      <c r="V330" s="38">
        <f>(1000*CHOOSE(CONTROL!$C$42, 500, 500)*CHOOSE(CONTROL!$C$42, 0.275, 0.275)*CHOOSE(CONTROL!$C$42, 30, 30))/1000000</f>
        <v>4.125</v>
      </c>
      <c r="W330" s="38">
        <f>(1000*CHOOSE(CONTROL!$C$42, 0.1146, 0.1146)*CHOOSE(CONTROL!$C$42, 121.5, 121.5)*CHOOSE(CONTROL!$C$42, 30, 30))/1000000</f>
        <v>0.417717</v>
      </c>
      <c r="X330" s="38">
        <f>(30*0.1790888*245000/1000000)+(30*0.2374*100000/1000000)</f>
        <v>2.0285026799999999</v>
      </c>
      <c r="Y330" s="38">
        <f>(1000*600*CHOOSE(CONTROL!$C$42, 1.6302, 1.6302)*CHOOSE(CONTROL!$C$42, 30, 30))/1000000</f>
        <v>29.343599999999999</v>
      </c>
      <c r="Z330" s="38"/>
      <c r="AA330" s="10"/>
      <c r="AB330" s="39"/>
      <c r="AC330" s="33">
        <f>(B330*194.205+C330*267.466+D330*133.845+E330*53.484+F330*40+G330*185+H330*0+I330*100+J330*300)/(194.205+267.466+133.845+53.484+0+40+185+100+300)</f>
        <v>10.665694909183674</v>
      </c>
      <c r="AD330" s="27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10.591012949640287</v>
      </c>
    </row>
    <row r="331" spans="1:30" ht="15.75" x14ac:dyDescent="0.25">
      <c r="A331" s="14">
        <v>51348</v>
      </c>
      <c r="B331" s="10">
        <f>CHOOSE(CONTROL!$C$42, 10.4468, 10.4468) * CHOOSE(CONTROL!$C$21, $C$9, 100%, $E$9)</f>
        <v>10.4468</v>
      </c>
      <c r="C331" s="10">
        <f>CHOOSE(CONTROL!$C$42, 10.4547, 10.4547) * CHOOSE(CONTROL!$C$21, $C$9, 100%, $E$9)</f>
        <v>10.454700000000001</v>
      </c>
      <c r="D331" s="10">
        <f>CHOOSE(CONTROL!$C$42, 10.6317, 10.6317) * CHOOSE(CONTROL!$C$21, $C$9, 100%, $E$9)</f>
        <v>10.6317</v>
      </c>
      <c r="E331" s="10">
        <f>CHOOSE(CONTROL!$C$42, 10.6628, 10.6628) * CHOOSE(CONTROL!$C$21, $C$9, 100%, $E$9)</f>
        <v>10.662800000000001</v>
      </c>
      <c r="F331" s="10">
        <f>CHOOSE(CONTROL!$C$42, 10.4106, 10.4106)*CHOOSE(CONTROL!$C$21, $C$9, 100%, $E$9)</f>
        <v>10.410600000000001</v>
      </c>
      <c r="G331" s="10">
        <f>CHOOSE(CONTROL!$C$42, 10.4272, 10.4272)*CHOOSE(CONTROL!$C$21, $C$9, 100%, $E$9)</f>
        <v>10.427199999999999</v>
      </c>
      <c r="H331" s="10">
        <f>CHOOSE(CONTROL!$C$42, 10.6515, 10.6515) * CHOOSE(CONTROL!$C$21, $C$9, 100%, $E$9)</f>
        <v>10.6515</v>
      </c>
      <c r="I331" s="10">
        <f>CHOOSE(CONTROL!$C$42, 10.4314, 10.4314)* CHOOSE(CONTROL!$C$21, $C$9, 100%, $E$9)</f>
        <v>10.4314</v>
      </c>
      <c r="J331" s="10">
        <f>CHOOSE(CONTROL!$C$42, 10.4036, 10.4036)* CHOOSE(CONTROL!$C$21, $C$9, 100%, $E$9)</f>
        <v>10.403600000000001</v>
      </c>
      <c r="K331" s="10">
        <f>CHOOSE(CONTROL!$C$42, 10.2704, 10.2704) * CHOOSE(CONTROL!$C$21, $C$9, 100%, $E$9)</f>
        <v>10.2704</v>
      </c>
      <c r="L331" s="10">
        <f>CHOOSE(CONTROL!$C$42, 11.2385, 11.2385) * CHOOSE(CONTROL!$C$21, $C$9, 100%, $E$9)</f>
        <v>11.2385</v>
      </c>
      <c r="M331" s="10">
        <f>CHOOSE(CONTROL!$C$42, 10.3124, 10.3124) * CHOOSE(CONTROL!$C$21, $C$9, 100%, $E$9)</f>
        <v>10.3124</v>
      </c>
      <c r="N331" s="10">
        <f>CHOOSE(CONTROL!$C$42, 10.3289, 10.3289) * CHOOSE(CONTROL!$C$21, $C$9, 100%, $E$9)</f>
        <v>10.328900000000001</v>
      </c>
      <c r="O331" s="10">
        <f>CHOOSE(CONTROL!$C$42, 10.5578, 10.5578) * CHOOSE(CONTROL!$C$21, $C$9, 100%, $E$9)</f>
        <v>10.5578</v>
      </c>
      <c r="P331" s="10">
        <f>CHOOSE(CONTROL!$C$42, 10.34, 10.34) * CHOOSE(CONTROL!$C$21, $C$9, 100%, $E$9)</f>
        <v>10.34</v>
      </c>
      <c r="Q331" s="10">
        <f>CHOOSE(CONTROL!$C$42, 11.1531, 11.1531) * CHOOSE(CONTROL!$C$21, $C$9, 100%, $E$9)</f>
        <v>11.1531</v>
      </c>
      <c r="R331" s="10">
        <f>CHOOSE(CONTROL!$C$42, 11.768, 11.768) * CHOOSE(CONTROL!$C$21, $C$9, 100%, $E$9)</f>
        <v>11.768000000000001</v>
      </c>
      <c r="S331" s="10">
        <f>CHOOSE(CONTROL!$C$42, 10.1406, 10.1406) * CHOOSE(CONTROL!$C$21, $C$9, 100%, $E$9)</f>
        <v>10.140599999999999</v>
      </c>
      <c r="T3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38">
        <f>(1000*CHOOSE(CONTROL!$C$42, 695, 695)*CHOOSE(CONTROL!$C$42, 0.5599, 0.5599)*CHOOSE(CONTROL!$C$42, 31, 31))/1000000</f>
        <v>12.063045499999998</v>
      </c>
      <c r="V331" s="38">
        <f>(1000*CHOOSE(CONTROL!$C$42, 500, 500)*CHOOSE(CONTROL!$C$42, 0.275, 0.275)*CHOOSE(CONTROL!$C$42, 31, 31))/1000000</f>
        <v>4.2625000000000002</v>
      </c>
      <c r="W331" s="38">
        <f>(1000*CHOOSE(CONTROL!$C$42, 0.1146, 0.1146)*CHOOSE(CONTROL!$C$42, 121.5, 121.5)*CHOOSE(CONTROL!$C$42, 31, 31))/1000000</f>
        <v>0.43164089999999994</v>
      </c>
      <c r="X331" s="38">
        <f>(31*0.1790888*245000/1000000)+(31*0.2374*100000/1000000)</f>
        <v>2.0961194359999999</v>
      </c>
      <c r="Y331" s="38">
        <f>(1000*600*CHOOSE(CONTROL!$C$42, 1.6302, 1.6302)*CHOOSE(CONTROL!$C$42, 31, 31))/1000000</f>
        <v>30.321719999999999</v>
      </c>
      <c r="Z331" s="38"/>
      <c r="AA331" s="10"/>
      <c r="AB331" s="39"/>
      <c r="AC331" s="33">
        <f>(B331*194.205+C331*267.466+D331*133.845+E331*53.484+F331*40+G331*185+H331*0+I331*100+J331*300)/(194.205+267.466+133.845+53.484+0+40+185+100+300)</f>
        <v>10.461587649843013</v>
      </c>
      <c r="AD331" s="27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10.389023021582735</v>
      </c>
    </row>
    <row r="332" spans="1:30" ht="15.75" x14ac:dyDescent="0.25">
      <c r="A332" s="14">
        <v>51379</v>
      </c>
      <c r="B332" s="10">
        <f>CHOOSE(CONTROL!$C$42, 9.931, 9.931) * CHOOSE(CONTROL!$C$21, $C$9, 100%, $E$9)</f>
        <v>9.9309999999999992</v>
      </c>
      <c r="C332" s="10">
        <f>CHOOSE(CONTROL!$C$42, 9.939, 9.939) * CHOOSE(CONTROL!$C$21, $C$9, 100%, $E$9)</f>
        <v>9.9390000000000001</v>
      </c>
      <c r="D332" s="10">
        <f>CHOOSE(CONTROL!$C$42, 10.1159, 10.1159) * CHOOSE(CONTROL!$C$21, $C$9, 100%, $E$9)</f>
        <v>10.1159</v>
      </c>
      <c r="E332" s="10">
        <f>CHOOSE(CONTROL!$C$42, 10.1471, 10.1471) * CHOOSE(CONTROL!$C$21, $C$9, 100%, $E$9)</f>
        <v>10.1471</v>
      </c>
      <c r="F332" s="10">
        <f>CHOOSE(CONTROL!$C$42, 9.8949, 9.8949)*CHOOSE(CONTROL!$C$21, $C$9, 100%, $E$9)</f>
        <v>9.8948999999999998</v>
      </c>
      <c r="G332" s="10">
        <f>CHOOSE(CONTROL!$C$42, 9.9115, 9.9115)*CHOOSE(CONTROL!$C$21, $C$9, 100%, $E$9)</f>
        <v>9.9115000000000002</v>
      </c>
      <c r="H332" s="10">
        <f>CHOOSE(CONTROL!$C$42, 10.1357, 10.1357) * CHOOSE(CONTROL!$C$21, $C$9, 100%, $E$9)</f>
        <v>10.1357</v>
      </c>
      <c r="I332" s="10">
        <f>CHOOSE(CONTROL!$C$42, 9.9156, 9.9156)* CHOOSE(CONTROL!$C$21, $C$9, 100%, $E$9)</f>
        <v>9.9155999999999995</v>
      </c>
      <c r="J332" s="10">
        <f>CHOOSE(CONTROL!$C$42, 9.8879, 9.8879)* CHOOSE(CONTROL!$C$21, $C$9, 100%, $E$9)</f>
        <v>9.8879000000000001</v>
      </c>
      <c r="K332" s="10">
        <f>CHOOSE(CONTROL!$C$42, 9.7694, 9.7694) * CHOOSE(CONTROL!$C$21, $C$9, 100%, $E$9)</f>
        <v>9.7693999999999992</v>
      </c>
      <c r="L332" s="10">
        <f>CHOOSE(CONTROL!$C$42, 10.7227, 10.7227) * CHOOSE(CONTROL!$C$21, $C$9, 100%, $E$9)</f>
        <v>10.7227</v>
      </c>
      <c r="M332" s="10">
        <f>CHOOSE(CONTROL!$C$42, 9.8019, 9.8019) * CHOOSE(CONTROL!$C$21, $C$9, 100%, $E$9)</f>
        <v>9.8018999999999998</v>
      </c>
      <c r="N332" s="10">
        <f>CHOOSE(CONTROL!$C$42, 9.8184, 9.8184) * CHOOSE(CONTROL!$C$21, $C$9, 100%, $E$9)</f>
        <v>9.8184000000000005</v>
      </c>
      <c r="O332" s="10">
        <f>CHOOSE(CONTROL!$C$42, 10.0473, 10.0473) * CHOOSE(CONTROL!$C$21, $C$9, 100%, $E$9)</f>
        <v>10.0473</v>
      </c>
      <c r="P332" s="10">
        <f>CHOOSE(CONTROL!$C$42, 9.8294, 9.8294) * CHOOSE(CONTROL!$C$21, $C$9, 100%, $E$9)</f>
        <v>9.8293999999999997</v>
      </c>
      <c r="Q332" s="10">
        <f>CHOOSE(CONTROL!$C$42, 10.6426, 10.6426) * CHOOSE(CONTROL!$C$21, $C$9, 100%, $E$9)</f>
        <v>10.6426</v>
      </c>
      <c r="R332" s="10">
        <f>CHOOSE(CONTROL!$C$42, 11.2562, 11.2562) * CHOOSE(CONTROL!$C$21, $C$9, 100%, $E$9)</f>
        <v>11.2562</v>
      </c>
      <c r="S332" s="10">
        <f>CHOOSE(CONTROL!$C$42, 9.6398, 9.6398) * CHOOSE(CONTROL!$C$21, $C$9, 100%, $E$9)</f>
        <v>9.6397999999999993</v>
      </c>
      <c r="T3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38">
        <f>(1000*CHOOSE(CONTROL!$C$42, 695, 695)*CHOOSE(CONTROL!$C$42, 0.5599, 0.5599)*CHOOSE(CONTROL!$C$42, 31, 31))/1000000</f>
        <v>12.063045499999998</v>
      </c>
      <c r="V332" s="38">
        <f>(1000*CHOOSE(CONTROL!$C$42, 500, 500)*CHOOSE(CONTROL!$C$42, 0.275, 0.275)*CHOOSE(CONTROL!$C$42, 31, 31))/1000000</f>
        <v>4.2625000000000002</v>
      </c>
      <c r="W332" s="38">
        <f>(1000*CHOOSE(CONTROL!$C$42, 0.1146, 0.1146)*CHOOSE(CONTROL!$C$42, 121.5, 121.5)*CHOOSE(CONTROL!$C$42, 31, 31))/1000000</f>
        <v>0.43164089999999994</v>
      </c>
      <c r="X332" s="38">
        <f>(31*0.1790888*245000/1000000)+(31*0.2374*100000/1000000)</f>
        <v>2.0961194359999999</v>
      </c>
      <c r="Y332" s="38">
        <f>(1000*600*CHOOSE(CONTROL!$C$42, 1.6302, 1.6302)*CHOOSE(CONTROL!$C$42, 31, 31))/1000000</f>
        <v>30.321719999999999</v>
      </c>
      <c r="Z332" s="38"/>
      <c r="AA332" s="10"/>
      <c r="AB332" s="39"/>
      <c r="AC332" s="33">
        <f>(B332*194.205+C332*267.466+D332*133.845+E332*53.484+F332*40+G332*185+H332*0+I332*100+J332*300)/(194.205+267.466+133.845+53.484+0+40+185+100+300)</f>
        <v>9.9458540509419162</v>
      </c>
      <c r="AD332" s="27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9.8785086330935243</v>
      </c>
    </row>
    <row r="333" spans="1:30" ht="15.75" x14ac:dyDescent="0.25">
      <c r="A333" s="14">
        <v>51409</v>
      </c>
      <c r="B333" s="10">
        <f>CHOOSE(CONTROL!$C$42, 9.3009, 9.3009) * CHOOSE(CONTROL!$C$21, $C$9, 100%, $E$9)</f>
        <v>9.3009000000000004</v>
      </c>
      <c r="C333" s="10">
        <f>CHOOSE(CONTROL!$C$42, 9.3088, 9.3088) * CHOOSE(CONTROL!$C$21, $C$9, 100%, $E$9)</f>
        <v>9.3087999999999997</v>
      </c>
      <c r="D333" s="10">
        <f>CHOOSE(CONTROL!$C$42, 9.4858, 9.4858) * CHOOSE(CONTROL!$C$21, $C$9, 100%, $E$9)</f>
        <v>9.4857999999999993</v>
      </c>
      <c r="E333" s="10">
        <f>CHOOSE(CONTROL!$C$42, 9.5169, 9.5169) * CHOOSE(CONTROL!$C$21, $C$9, 100%, $E$9)</f>
        <v>9.5168999999999997</v>
      </c>
      <c r="F333" s="10">
        <f>CHOOSE(CONTROL!$C$42, 9.2645, 9.2645)*CHOOSE(CONTROL!$C$21, $C$9, 100%, $E$9)</f>
        <v>9.2645</v>
      </c>
      <c r="G333" s="10">
        <f>CHOOSE(CONTROL!$C$42, 9.281, 9.281)*CHOOSE(CONTROL!$C$21, $C$9, 100%, $E$9)</f>
        <v>9.2810000000000006</v>
      </c>
      <c r="H333" s="10">
        <f>CHOOSE(CONTROL!$C$42, 9.5056, 9.5056) * CHOOSE(CONTROL!$C$21, $C$9, 100%, $E$9)</f>
        <v>9.5055999999999994</v>
      </c>
      <c r="I333" s="10">
        <f>CHOOSE(CONTROL!$C$42, 9.2855, 9.2855)* CHOOSE(CONTROL!$C$21, $C$9, 100%, $E$9)</f>
        <v>9.2855000000000008</v>
      </c>
      <c r="J333" s="10">
        <f>CHOOSE(CONTROL!$C$42, 9.2575, 9.2575)* CHOOSE(CONTROL!$C$21, $C$9, 100%, $E$9)</f>
        <v>9.2575000000000003</v>
      </c>
      <c r="K333" s="10">
        <f>CHOOSE(CONTROL!$C$42, 9.1566, 9.1566) * CHOOSE(CONTROL!$C$21, $C$9, 100%, $E$9)</f>
        <v>9.1565999999999992</v>
      </c>
      <c r="L333" s="10">
        <f>CHOOSE(CONTROL!$C$42, 10.0926, 10.0926) * CHOOSE(CONTROL!$C$21, $C$9, 100%, $E$9)</f>
        <v>10.092599999999999</v>
      </c>
      <c r="M333" s="10">
        <f>CHOOSE(CONTROL!$C$42, 9.1779, 9.1779) * CHOOSE(CONTROL!$C$21, $C$9, 100%, $E$9)</f>
        <v>9.1778999999999993</v>
      </c>
      <c r="N333" s="10">
        <f>CHOOSE(CONTROL!$C$42, 9.1943, 9.1943) * CHOOSE(CONTROL!$C$21, $C$9, 100%, $E$9)</f>
        <v>9.1943000000000001</v>
      </c>
      <c r="O333" s="10">
        <f>CHOOSE(CONTROL!$C$42, 9.4235, 9.4235) * CHOOSE(CONTROL!$C$21, $C$9, 100%, $E$9)</f>
        <v>9.4235000000000007</v>
      </c>
      <c r="P333" s="10">
        <f>CHOOSE(CONTROL!$C$42, 9.2056, 9.2056) * CHOOSE(CONTROL!$C$21, $C$9, 100%, $E$9)</f>
        <v>9.2056000000000004</v>
      </c>
      <c r="Q333" s="10">
        <f>CHOOSE(CONTROL!$C$42, 10.0188, 10.0188) * CHOOSE(CONTROL!$C$21, $C$9, 100%, $E$9)</f>
        <v>10.018800000000001</v>
      </c>
      <c r="R333" s="10">
        <f>CHOOSE(CONTROL!$C$42, 10.6308, 10.6308) * CHOOSE(CONTROL!$C$21, $C$9, 100%, $E$9)</f>
        <v>10.630800000000001</v>
      </c>
      <c r="S333" s="10">
        <f>CHOOSE(CONTROL!$C$42, 9.0278, 9.0278) * CHOOSE(CONTROL!$C$21, $C$9, 100%, $E$9)</f>
        <v>9.0277999999999992</v>
      </c>
      <c r="T3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38">
        <f>(1000*CHOOSE(CONTROL!$C$42, 695, 695)*CHOOSE(CONTROL!$C$42, 0.5599, 0.5599)*CHOOSE(CONTROL!$C$42, 30, 30))/1000000</f>
        <v>11.673914999999997</v>
      </c>
      <c r="V333" s="38">
        <f>(1000*CHOOSE(CONTROL!$C$42, 500, 500)*CHOOSE(CONTROL!$C$42, 0.275, 0.275)*CHOOSE(CONTROL!$C$42, 30, 30))/1000000</f>
        <v>4.125</v>
      </c>
      <c r="W333" s="38">
        <f>(1000*CHOOSE(CONTROL!$C$42, 0.1146, 0.1146)*CHOOSE(CONTROL!$C$42, 121.5, 121.5)*CHOOSE(CONTROL!$C$42, 30, 30))/1000000</f>
        <v>0.417717</v>
      </c>
      <c r="X333" s="38">
        <f>(30*0.1790888*245000/1000000)+(30*0.2374*100000/1000000)</f>
        <v>2.0285026799999999</v>
      </c>
      <c r="Y333" s="38">
        <f>(1000*600*CHOOSE(CONTROL!$C$42, 1.6302, 1.6302)*CHOOSE(CONTROL!$C$42, 30, 30))/1000000</f>
        <v>29.343599999999999</v>
      </c>
      <c r="Z333" s="38"/>
      <c r="AA333" s="10"/>
      <c r="AB333" s="39"/>
      <c r="AC333" s="33">
        <f>(B333*194.205+C333*267.466+D333*133.845+E333*53.484+F333*40+G333*185+H333*0+I333*100+J333*300)/(194.205+267.466+133.845+53.484+0+40+185+100+300)</f>
        <v>9.3155907110675038</v>
      </c>
      <c r="AD333" s="27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9.2545705035971224</v>
      </c>
    </row>
    <row r="334" spans="1:30" ht="15.75" x14ac:dyDescent="0.25">
      <c r="A334" s="14">
        <v>51440</v>
      </c>
      <c r="B334" s="10">
        <f>CHOOSE(CONTROL!$C$42, 9.11, 9.11) * CHOOSE(CONTROL!$C$21, $C$9, 100%, $E$9)</f>
        <v>9.11</v>
      </c>
      <c r="C334" s="10">
        <f>CHOOSE(CONTROL!$C$42, 9.1152, 9.1152) * CHOOSE(CONTROL!$C$21, $C$9, 100%, $E$9)</f>
        <v>9.1151999999999997</v>
      </c>
      <c r="D334" s="10">
        <f>CHOOSE(CONTROL!$C$42, 9.2972, 9.2972) * CHOOSE(CONTROL!$C$21, $C$9, 100%, $E$9)</f>
        <v>9.2972000000000001</v>
      </c>
      <c r="E334" s="10">
        <f>CHOOSE(CONTROL!$C$42, 9.326, 9.326) * CHOOSE(CONTROL!$C$21, $C$9, 100%, $E$9)</f>
        <v>9.3260000000000005</v>
      </c>
      <c r="F334" s="10">
        <f>CHOOSE(CONTROL!$C$42, 9.0756, 9.0756)*CHOOSE(CONTROL!$C$21, $C$9, 100%, $E$9)</f>
        <v>9.0755999999999997</v>
      </c>
      <c r="G334" s="10">
        <f>CHOOSE(CONTROL!$C$42, 9.0919, 9.0919)*CHOOSE(CONTROL!$C$21, $C$9, 100%, $E$9)</f>
        <v>9.0919000000000008</v>
      </c>
      <c r="H334" s="10">
        <f>CHOOSE(CONTROL!$C$42, 9.3164, 9.3164) * CHOOSE(CONTROL!$C$21, $C$9, 100%, $E$9)</f>
        <v>9.3163999999999998</v>
      </c>
      <c r="I334" s="10">
        <f>CHOOSE(CONTROL!$C$42, 9.0964, 9.0964)* CHOOSE(CONTROL!$C$21, $C$9, 100%, $E$9)</f>
        <v>9.0963999999999992</v>
      </c>
      <c r="J334" s="10">
        <f>CHOOSE(CONTROL!$C$42, 9.0686, 9.0686)* CHOOSE(CONTROL!$C$21, $C$9, 100%, $E$9)</f>
        <v>9.0686</v>
      </c>
      <c r="K334" s="10">
        <f>CHOOSE(CONTROL!$C$42, 8.9734, 8.9734) * CHOOSE(CONTROL!$C$21, $C$9, 100%, $E$9)</f>
        <v>8.9733999999999998</v>
      </c>
      <c r="L334" s="10">
        <f>CHOOSE(CONTROL!$C$42, 9.9034, 9.9034) * CHOOSE(CONTROL!$C$21, $C$9, 100%, $E$9)</f>
        <v>9.9033999999999995</v>
      </c>
      <c r="M334" s="10">
        <f>CHOOSE(CONTROL!$C$42, 8.9909, 8.9909) * CHOOSE(CONTROL!$C$21, $C$9, 100%, $E$9)</f>
        <v>8.9908999999999999</v>
      </c>
      <c r="N334" s="10">
        <f>CHOOSE(CONTROL!$C$42, 9.007, 9.007) * CHOOSE(CONTROL!$C$21, $C$9, 100%, $E$9)</f>
        <v>9.0069999999999997</v>
      </c>
      <c r="O334" s="10">
        <f>CHOOSE(CONTROL!$C$42, 9.2363, 9.2363) * CHOOSE(CONTROL!$C$21, $C$9, 100%, $E$9)</f>
        <v>9.2363</v>
      </c>
      <c r="P334" s="10">
        <f>CHOOSE(CONTROL!$C$42, 9.0184, 9.0184) * CHOOSE(CONTROL!$C$21, $C$9, 100%, $E$9)</f>
        <v>9.0183999999999997</v>
      </c>
      <c r="Q334" s="10">
        <f>CHOOSE(CONTROL!$C$42, 9.8316, 9.8316) * CHOOSE(CONTROL!$C$21, $C$9, 100%, $E$9)</f>
        <v>9.8315999999999999</v>
      </c>
      <c r="R334" s="10">
        <f>CHOOSE(CONTROL!$C$42, 10.4431, 10.4431) * CHOOSE(CONTROL!$C$21, $C$9, 100%, $E$9)</f>
        <v>10.443099999999999</v>
      </c>
      <c r="S334" s="10">
        <f>CHOOSE(CONTROL!$C$42, 8.8442, 8.8442) * CHOOSE(CONTROL!$C$21, $C$9, 100%, $E$9)</f>
        <v>8.8442000000000007</v>
      </c>
      <c r="T3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38">
        <f>(1000*CHOOSE(CONTROL!$C$42, 695, 695)*CHOOSE(CONTROL!$C$42, 0.5599, 0.5599)*CHOOSE(CONTROL!$C$42, 31, 31))/1000000</f>
        <v>12.063045499999998</v>
      </c>
      <c r="V334" s="38">
        <f>(1000*CHOOSE(CONTROL!$C$42, 500, 500)*CHOOSE(CONTROL!$C$42, 0.275, 0.275)*CHOOSE(CONTROL!$C$42, 31, 31))/1000000</f>
        <v>4.2625000000000002</v>
      </c>
      <c r="W334" s="38">
        <f>(1000*CHOOSE(CONTROL!$C$42, 0.1146, 0.1146)*CHOOSE(CONTROL!$C$42, 121.5, 121.5)*CHOOSE(CONTROL!$C$42, 31, 31))/1000000</f>
        <v>0.43164089999999994</v>
      </c>
      <c r="X334" s="38">
        <f>(31*0.1790888*245000/1000000)+(31*0.2374*100000/1000000)</f>
        <v>2.0961194359999999</v>
      </c>
      <c r="Y334" s="38">
        <f>(1000*600*CHOOSE(CONTROL!$C$42, 1.6302, 1.6302)*CHOOSE(CONTROL!$C$42, 31, 31))/1000000</f>
        <v>30.321719999999999</v>
      </c>
      <c r="Z334" s="38"/>
      <c r="AA334" s="10"/>
      <c r="AB334" s="39"/>
      <c r="AC334" s="33">
        <f>(B334*131.881+C334*277.167+D334*79.08+E334*125.872+F334*40+G334*185+H334*0+I334*100+J334*300)/(131.881+277.167+79.08+125.872+0+40+185+100+300)</f>
        <v>9.130120174656982</v>
      </c>
      <c r="AD334" s="27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9.0674165467625887</v>
      </c>
    </row>
    <row r="335" spans="1:30" ht="15.75" x14ac:dyDescent="0.25">
      <c r="A335" s="14">
        <v>51470</v>
      </c>
      <c r="B335" s="10">
        <f>CHOOSE(CONTROL!$C$42, 9.3495, 9.3495) * CHOOSE(CONTROL!$C$21, $C$9, 100%, $E$9)</f>
        <v>9.3495000000000008</v>
      </c>
      <c r="C335" s="10">
        <f>CHOOSE(CONTROL!$C$42, 9.3545, 9.3545) * CHOOSE(CONTROL!$C$21, $C$9, 100%, $E$9)</f>
        <v>9.3544999999999998</v>
      </c>
      <c r="D335" s="10">
        <f>CHOOSE(CONTROL!$C$42, 9.3789, 9.3789) * CHOOSE(CONTROL!$C$21, $C$9, 100%, $E$9)</f>
        <v>9.3788999999999998</v>
      </c>
      <c r="E335" s="10">
        <f>CHOOSE(CONTROL!$C$42, 9.4127, 9.4127) * CHOOSE(CONTROL!$C$21, $C$9, 100%, $E$9)</f>
        <v>9.4126999999999992</v>
      </c>
      <c r="F335" s="10">
        <f>CHOOSE(CONTROL!$C$42, 9.3188, 9.3188)*CHOOSE(CONTROL!$C$21, $C$9, 100%, $E$9)</f>
        <v>9.3187999999999995</v>
      </c>
      <c r="G335" s="10">
        <f>CHOOSE(CONTROL!$C$42, 9.3353, 9.3353)*CHOOSE(CONTROL!$C$21, $C$9, 100%, $E$9)</f>
        <v>9.3353000000000002</v>
      </c>
      <c r="H335" s="10">
        <f>CHOOSE(CONTROL!$C$42, 9.4019, 9.4019) * CHOOSE(CONTROL!$C$21, $C$9, 100%, $E$9)</f>
        <v>9.4018999999999995</v>
      </c>
      <c r="I335" s="10">
        <f>CHOOSE(CONTROL!$C$42, 9.3363, 9.3363)* CHOOSE(CONTROL!$C$21, $C$9, 100%, $E$9)</f>
        <v>9.3362999999999996</v>
      </c>
      <c r="J335" s="10">
        <f>CHOOSE(CONTROL!$C$42, 9.3118, 9.3118)* CHOOSE(CONTROL!$C$21, $C$9, 100%, $E$9)</f>
        <v>9.3117999999999999</v>
      </c>
      <c r="K335" s="10">
        <f>CHOOSE(CONTROL!$C$42, 9.208, 9.208) * CHOOSE(CONTROL!$C$21, $C$9, 100%, $E$9)</f>
        <v>9.2080000000000002</v>
      </c>
      <c r="L335" s="10">
        <f>CHOOSE(CONTROL!$C$42, 9.9889, 9.9889) * CHOOSE(CONTROL!$C$21, $C$9, 100%, $E$9)</f>
        <v>9.9888999999999992</v>
      </c>
      <c r="M335" s="10">
        <f>CHOOSE(CONTROL!$C$42, 9.2317, 9.2317) * CHOOSE(CONTROL!$C$21, $C$9, 100%, $E$9)</f>
        <v>9.2317</v>
      </c>
      <c r="N335" s="10">
        <f>CHOOSE(CONTROL!$C$42, 9.2479, 9.2479) * CHOOSE(CONTROL!$C$21, $C$9, 100%, $E$9)</f>
        <v>9.2478999999999996</v>
      </c>
      <c r="O335" s="10">
        <f>CHOOSE(CONTROL!$C$42, 9.3208, 9.3208) * CHOOSE(CONTROL!$C$21, $C$9, 100%, $E$9)</f>
        <v>9.3208000000000002</v>
      </c>
      <c r="P335" s="10">
        <f>CHOOSE(CONTROL!$C$42, 9.2559, 9.2559) * CHOOSE(CONTROL!$C$21, $C$9, 100%, $E$9)</f>
        <v>9.2559000000000005</v>
      </c>
      <c r="Q335" s="10">
        <f>CHOOSE(CONTROL!$C$42, 9.9161, 9.9161) * CHOOSE(CONTROL!$C$21, $C$9, 100%, $E$9)</f>
        <v>9.9161000000000001</v>
      </c>
      <c r="R335" s="10">
        <f>CHOOSE(CONTROL!$C$42, 10.5279, 10.5279) * CHOOSE(CONTROL!$C$21, $C$9, 100%, $E$9)</f>
        <v>10.527900000000001</v>
      </c>
      <c r="S335" s="10">
        <f>CHOOSE(CONTROL!$C$42, 9.0772, 9.0772) * CHOOSE(CONTROL!$C$21, $C$9, 100%, $E$9)</f>
        <v>9.0771999999999995</v>
      </c>
      <c r="T3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38">
        <f>(1000*CHOOSE(CONTROL!$C$42, 695, 695)*CHOOSE(CONTROL!$C$42, 0.5599, 0.5599)*CHOOSE(CONTROL!$C$42, 30, 30))/1000000</f>
        <v>11.673914999999997</v>
      </c>
      <c r="V335" s="38">
        <f>(1000*CHOOSE(CONTROL!$C$42, 500, 500)*CHOOSE(CONTROL!$C$42, 0.275, 0.275)*CHOOSE(CONTROL!$C$42, 30, 30))/1000000</f>
        <v>4.125</v>
      </c>
      <c r="W335" s="38">
        <f>(1000*CHOOSE(CONTROL!$C$42, 0.1146, 0.1146)*CHOOSE(CONTROL!$C$42, 121.5, 121.5)*CHOOSE(CONTROL!$C$42, 30, 30))/1000000</f>
        <v>0.417717</v>
      </c>
      <c r="X335" s="38">
        <f>(30*0.1790888*100000/1000000)+(30*0.2374*100000/1000000)</f>
        <v>1.2494664</v>
      </c>
      <c r="Y335" s="38">
        <f>(1000*600*CHOOSE(CONTROL!$C$42, 1.6302, 1.6302)*CHOOSE(CONTROL!$C$42, 30, 30))/1000000</f>
        <v>29.343599999999999</v>
      </c>
      <c r="Z335" s="38"/>
      <c r="AA335" s="10"/>
      <c r="AB335" s="39"/>
      <c r="AC335" s="33">
        <f>(B335*122.58+C335*297.941+D335*89.177+E335*40.302+F335*40+G335*160+H335*0+I335*100+J335*300)/(122.58+297.941+89.177+40.302+0+40+160+100+300)</f>
        <v>9.3412639958260879</v>
      </c>
      <c r="AD335" s="27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9.27649784172662</v>
      </c>
    </row>
    <row r="336" spans="1:30" ht="15.75" x14ac:dyDescent="0.25">
      <c r="A336" s="14">
        <v>51501</v>
      </c>
      <c r="B336" s="10">
        <f>CHOOSE(CONTROL!$C$42, 9.9867, 9.9867) * CHOOSE(CONTROL!$C$21, $C$9, 100%, $E$9)</f>
        <v>9.9867000000000008</v>
      </c>
      <c r="C336" s="10">
        <f>CHOOSE(CONTROL!$C$42, 9.9917, 9.9917) * CHOOSE(CONTROL!$C$21, $C$9, 100%, $E$9)</f>
        <v>9.9916999999999998</v>
      </c>
      <c r="D336" s="10">
        <f>CHOOSE(CONTROL!$C$42, 10.0162, 10.0162) * CHOOSE(CONTROL!$C$21, $C$9, 100%, $E$9)</f>
        <v>10.0162</v>
      </c>
      <c r="E336" s="10">
        <f>CHOOSE(CONTROL!$C$42, 10.0499, 10.0499) * CHOOSE(CONTROL!$C$21, $C$9, 100%, $E$9)</f>
        <v>10.049899999999999</v>
      </c>
      <c r="F336" s="10">
        <f>CHOOSE(CONTROL!$C$42, 9.9584, 9.9584)*CHOOSE(CONTROL!$C$21, $C$9, 100%, $E$9)</f>
        <v>9.9583999999999993</v>
      </c>
      <c r="G336" s="10">
        <f>CHOOSE(CONTROL!$C$42, 9.9754, 9.9754)*CHOOSE(CONTROL!$C$21, $C$9, 100%, $E$9)</f>
        <v>9.9754000000000005</v>
      </c>
      <c r="H336" s="10">
        <f>CHOOSE(CONTROL!$C$42, 10.0391, 10.0391) * CHOOSE(CONTROL!$C$21, $C$9, 100%, $E$9)</f>
        <v>10.039099999999999</v>
      </c>
      <c r="I336" s="10">
        <f>CHOOSE(CONTROL!$C$42, 9.9735, 9.9735)* CHOOSE(CONTROL!$C$21, $C$9, 100%, $E$9)</f>
        <v>9.9734999999999996</v>
      </c>
      <c r="J336" s="10">
        <f>CHOOSE(CONTROL!$C$42, 9.9514, 9.9514)* CHOOSE(CONTROL!$C$21, $C$9, 100%, $E$9)</f>
        <v>9.9513999999999996</v>
      </c>
      <c r="K336" s="10">
        <f>CHOOSE(CONTROL!$C$42, 9.8322, 9.8322) * CHOOSE(CONTROL!$C$21, $C$9, 100%, $E$9)</f>
        <v>9.8322000000000003</v>
      </c>
      <c r="L336" s="10">
        <f>CHOOSE(CONTROL!$C$42, 10.6261, 10.6261) * CHOOSE(CONTROL!$C$21, $C$9, 100%, $E$9)</f>
        <v>10.626099999999999</v>
      </c>
      <c r="M336" s="10">
        <f>CHOOSE(CONTROL!$C$42, 9.8648, 9.8648) * CHOOSE(CONTROL!$C$21, $C$9, 100%, $E$9)</f>
        <v>9.8648000000000007</v>
      </c>
      <c r="N336" s="10">
        <f>CHOOSE(CONTROL!$C$42, 9.8816, 9.8816) * CHOOSE(CONTROL!$C$21, $C$9, 100%, $E$9)</f>
        <v>9.8816000000000006</v>
      </c>
      <c r="O336" s="10">
        <f>CHOOSE(CONTROL!$C$42, 9.9516, 9.9516) * CHOOSE(CONTROL!$C$21, $C$9, 100%, $E$9)</f>
        <v>9.9515999999999991</v>
      </c>
      <c r="P336" s="10">
        <f>CHOOSE(CONTROL!$C$42, 9.8867, 9.8867) * CHOOSE(CONTROL!$C$21, $C$9, 100%, $E$9)</f>
        <v>9.8866999999999994</v>
      </c>
      <c r="Q336" s="10">
        <f>CHOOSE(CONTROL!$C$42, 10.5469, 10.5469) * CHOOSE(CONTROL!$C$21, $C$9, 100%, $E$9)</f>
        <v>10.546900000000001</v>
      </c>
      <c r="R336" s="10">
        <f>CHOOSE(CONTROL!$C$42, 11.1603, 11.1603) * CHOOSE(CONTROL!$C$21, $C$9, 100%, $E$9)</f>
        <v>11.160299999999999</v>
      </c>
      <c r="S336" s="10">
        <f>CHOOSE(CONTROL!$C$42, 9.696, 9.696) * CHOOSE(CONTROL!$C$21, $C$9, 100%, $E$9)</f>
        <v>9.6959999999999997</v>
      </c>
      <c r="T3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38">
        <f>(1000*CHOOSE(CONTROL!$C$42, 695, 695)*CHOOSE(CONTROL!$C$42, 0.5599, 0.5599)*CHOOSE(CONTROL!$C$42, 31, 31))/1000000</f>
        <v>12.063045499999998</v>
      </c>
      <c r="V336" s="38">
        <f>(1000*CHOOSE(CONTROL!$C$42, 500, 500)*CHOOSE(CONTROL!$C$42, 0.275, 0.275)*CHOOSE(CONTROL!$C$42, 31, 31))/1000000</f>
        <v>4.2625000000000002</v>
      </c>
      <c r="W336" s="38">
        <f>(1000*CHOOSE(CONTROL!$C$42, 0.1146, 0.1146)*CHOOSE(CONTROL!$C$42, 121.5, 121.5)*CHOOSE(CONTROL!$C$42, 31, 31))/1000000</f>
        <v>0.43164089999999994</v>
      </c>
      <c r="X336" s="38">
        <f>(31*0.1790888*100000/1000000)+(31*0.2374*100000/1000000)</f>
        <v>1.2911152800000001</v>
      </c>
      <c r="Y336" s="38">
        <f>(1000*600*CHOOSE(CONTROL!$C$42, 1.6302, 1.6302)*CHOOSE(CONTROL!$C$42, 31, 31))/1000000</f>
        <v>30.321719999999999</v>
      </c>
      <c r="Z336" s="38"/>
      <c r="AA336" s="10"/>
      <c r="AB336" s="39"/>
      <c r="AC336" s="33">
        <f>(B336*122.58+C336*297.941+D336*89.177+E336*40.302+F336*40+G336*160+H336*0+I336*100+J336*300)/(122.58+297.941+89.177+40.302+0+40+160+100+300)</f>
        <v>9.9795847938260884</v>
      </c>
      <c r="AD336" s="27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9.9082589928057558</v>
      </c>
    </row>
    <row r="337" spans="1:30" ht="15.75" x14ac:dyDescent="0.25">
      <c r="A337" s="14">
        <v>51532</v>
      </c>
      <c r="B337" s="10">
        <f>CHOOSE(CONTROL!$C$42, 10.6606, 10.6606) * CHOOSE(CONTROL!$C$21, $C$9, 100%, $E$9)</f>
        <v>10.660600000000001</v>
      </c>
      <c r="C337" s="10">
        <f>CHOOSE(CONTROL!$C$42, 10.6655, 10.6655) * CHOOSE(CONTROL!$C$21, $C$9, 100%, $E$9)</f>
        <v>10.6655</v>
      </c>
      <c r="D337" s="10">
        <f>CHOOSE(CONTROL!$C$42, 10.69, 10.69) * CHOOSE(CONTROL!$C$21, $C$9, 100%, $E$9)</f>
        <v>10.69</v>
      </c>
      <c r="E337" s="10">
        <f>CHOOSE(CONTROL!$C$42, 10.7238, 10.7238) * CHOOSE(CONTROL!$C$21, $C$9, 100%, $E$9)</f>
        <v>10.723800000000001</v>
      </c>
      <c r="F337" s="10">
        <f>CHOOSE(CONTROL!$C$42, 10.6435, 10.6435)*CHOOSE(CONTROL!$C$21, $C$9, 100%, $E$9)</f>
        <v>10.6435</v>
      </c>
      <c r="G337" s="10">
        <f>CHOOSE(CONTROL!$C$42, 10.6622, 10.6622)*CHOOSE(CONTROL!$C$21, $C$9, 100%, $E$9)</f>
        <v>10.6622</v>
      </c>
      <c r="H337" s="10">
        <f>CHOOSE(CONTROL!$C$42, 10.713, 10.713) * CHOOSE(CONTROL!$C$21, $C$9, 100%, $E$9)</f>
        <v>10.712999999999999</v>
      </c>
      <c r="I337" s="10">
        <f>CHOOSE(CONTROL!$C$42, 10.6551, 10.6551)* CHOOSE(CONTROL!$C$21, $C$9, 100%, $E$9)</f>
        <v>10.655099999999999</v>
      </c>
      <c r="J337" s="10">
        <f>CHOOSE(CONTROL!$C$42, 10.6365, 10.6365)* CHOOSE(CONTROL!$C$21, $C$9, 100%, $E$9)</f>
        <v>10.6365</v>
      </c>
      <c r="K337" s="10">
        <f>CHOOSE(CONTROL!$C$42, 10.5078, 10.5078) * CHOOSE(CONTROL!$C$21, $C$9, 100%, $E$9)</f>
        <v>10.5078</v>
      </c>
      <c r="L337" s="10">
        <f>CHOOSE(CONTROL!$C$42, 11.3, 11.3) * CHOOSE(CONTROL!$C$21, $C$9, 100%, $E$9)</f>
        <v>11.3</v>
      </c>
      <c r="M337" s="10">
        <f>CHOOSE(CONTROL!$C$42, 10.543, 10.543) * CHOOSE(CONTROL!$C$21, $C$9, 100%, $E$9)</f>
        <v>10.542999999999999</v>
      </c>
      <c r="N337" s="10">
        <f>CHOOSE(CONTROL!$C$42, 10.5615, 10.5615) * CHOOSE(CONTROL!$C$21, $C$9, 100%, $E$9)</f>
        <v>10.561500000000001</v>
      </c>
      <c r="O337" s="10">
        <f>CHOOSE(CONTROL!$C$42, 10.6187, 10.6187) * CHOOSE(CONTROL!$C$21, $C$9, 100%, $E$9)</f>
        <v>10.6187</v>
      </c>
      <c r="P337" s="10">
        <f>CHOOSE(CONTROL!$C$42, 10.5614, 10.5614) * CHOOSE(CONTROL!$C$21, $C$9, 100%, $E$9)</f>
        <v>10.561400000000001</v>
      </c>
      <c r="Q337" s="10">
        <f>CHOOSE(CONTROL!$C$42, 11.214, 11.214) * CHOOSE(CONTROL!$C$21, $C$9, 100%, $E$9)</f>
        <v>11.214</v>
      </c>
      <c r="R337" s="10">
        <f>CHOOSE(CONTROL!$C$42, 11.829, 11.829) * CHOOSE(CONTROL!$C$21, $C$9, 100%, $E$9)</f>
        <v>11.829000000000001</v>
      </c>
      <c r="S337" s="10">
        <f>CHOOSE(CONTROL!$C$42, 10.3504, 10.3504) * CHOOSE(CONTROL!$C$21, $C$9, 100%, $E$9)</f>
        <v>10.3504</v>
      </c>
      <c r="T3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38">
        <f>(1000*CHOOSE(CONTROL!$C$42, 695, 695)*CHOOSE(CONTROL!$C$42, 0.5599, 0.5599)*CHOOSE(CONTROL!$C$42, 31, 31))/1000000</f>
        <v>12.063045499999998</v>
      </c>
      <c r="V337" s="38">
        <f>(1000*CHOOSE(CONTROL!$C$42, 500, 500)*CHOOSE(CONTROL!$C$42, 0.275, 0.275)*CHOOSE(CONTROL!$C$42, 31, 31))/1000000</f>
        <v>4.2625000000000002</v>
      </c>
      <c r="W337" s="38">
        <f>(1000*CHOOSE(CONTROL!$C$42, 0.1146, 0.1146)*CHOOSE(CONTROL!$C$42, 121.5, 121.5)*CHOOSE(CONTROL!$C$42, 31, 31))/1000000</f>
        <v>0.43164089999999994</v>
      </c>
      <c r="X337" s="38">
        <f>(31*0.1790888*100000/1000000)+(31*0.2374*100000/1000000)</f>
        <v>1.2911152800000001</v>
      </c>
      <c r="Y337" s="38">
        <f>(1000*600*CHOOSE(CONTROL!$C$42, 1.6268, 1.6268)*CHOOSE(CONTROL!$C$42, 31, 31))/1000000</f>
        <v>30.258479999999999</v>
      </c>
      <c r="Z337" s="38"/>
      <c r="AA337" s="10"/>
      <c r="AB337" s="39"/>
      <c r="AC337" s="33">
        <f>(B337*122.58+C337*297.941+D337*89.177+E337*40.302+F337*40+G337*160+H337*0+I337*100+J337*300)/(122.58+297.941+89.177+40.302+0+40+160+100+300)</f>
        <v>10.659226783565217</v>
      </c>
      <c r="AD337" s="27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10.581022302158274</v>
      </c>
    </row>
    <row r="338" spans="1:30" ht="15.75" x14ac:dyDescent="0.25">
      <c r="A338" s="14">
        <v>51560</v>
      </c>
      <c r="B338" s="10">
        <f>CHOOSE(CONTROL!$C$42, 10.8503, 10.8503) * CHOOSE(CONTROL!$C$21, $C$9, 100%, $E$9)</f>
        <v>10.850300000000001</v>
      </c>
      <c r="C338" s="10">
        <f>CHOOSE(CONTROL!$C$42, 10.8553, 10.8553) * CHOOSE(CONTROL!$C$21, $C$9, 100%, $E$9)</f>
        <v>10.8553</v>
      </c>
      <c r="D338" s="10">
        <f>CHOOSE(CONTROL!$C$42, 10.8797, 10.8797) * CHOOSE(CONTROL!$C$21, $C$9, 100%, $E$9)</f>
        <v>10.8797</v>
      </c>
      <c r="E338" s="10">
        <f>CHOOSE(CONTROL!$C$42, 10.9135, 10.9135) * CHOOSE(CONTROL!$C$21, $C$9, 100%, $E$9)</f>
        <v>10.913500000000001</v>
      </c>
      <c r="F338" s="10">
        <f>CHOOSE(CONTROL!$C$42, 10.8326, 10.8326)*CHOOSE(CONTROL!$C$21, $C$9, 100%, $E$9)</f>
        <v>10.832599999999999</v>
      </c>
      <c r="G338" s="10">
        <f>CHOOSE(CONTROL!$C$42, 10.8511, 10.8511)*CHOOSE(CONTROL!$C$21, $C$9, 100%, $E$9)</f>
        <v>10.851100000000001</v>
      </c>
      <c r="H338" s="10">
        <f>CHOOSE(CONTROL!$C$42, 10.9027, 10.9027) * CHOOSE(CONTROL!$C$21, $C$9, 100%, $E$9)</f>
        <v>10.902699999999999</v>
      </c>
      <c r="I338" s="10">
        <f>CHOOSE(CONTROL!$C$42, 10.8448, 10.8448)* CHOOSE(CONTROL!$C$21, $C$9, 100%, $E$9)</f>
        <v>10.844799999999999</v>
      </c>
      <c r="J338" s="10">
        <f>CHOOSE(CONTROL!$C$42, 10.8256, 10.8256)* CHOOSE(CONTROL!$C$21, $C$9, 100%, $E$9)</f>
        <v>10.8256</v>
      </c>
      <c r="K338" s="10">
        <f>CHOOSE(CONTROL!$C$42, 10.6907, 10.6907) * CHOOSE(CONTROL!$C$21, $C$9, 100%, $E$9)</f>
        <v>10.6907</v>
      </c>
      <c r="L338" s="10">
        <f>CHOOSE(CONTROL!$C$42, 11.4897, 11.4897) * CHOOSE(CONTROL!$C$21, $C$9, 100%, $E$9)</f>
        <v>11.489699999999999</v>
      </c>
      <c r="M338" s="10">
        <f>CHOOSE(CONTROL!$C$42, 10.7301, 10.7301) * CHOOSE(CONTROL!$C$21, $C$9, 100%, $E$9)</f>
        <v>10.7301</v>
      </c>
      <c r="N338" s="10">
        <f>CHOOSE(CONTROL!$C$42, 10.7484, 10.7484) * CHOOSE(CONTROL!$C$21, $C$9, 100%, $E$9)</f>
        <v>10.7484</v>
      </c>
      <c r="O338" s="10">
        <f>CHOOSE(CONTROL!$C$42, 10.8065, 10.8065) * CHOOSE(CONTROL!$C$21, $C$9, 100%, $E$9)</f>
        <v>10.8065</v>
      </c>
      <c r="P338" s="10">
        <f>CHOOSE(CONTROL!$C$42, 10.7492, 10.7492) * CHOOSE(CONTROL!$C$21, $C$9, 100%, $E$9)</f>
        <v>10.7492</v>
      </c>
      <c r="Q338" s="10">
        <f>CHOOSE(CONTROL!$C$42, 11.4018, 11.4018) * CHOOSE(CONTROL!$C$21, $C$9, 100%, $E$9)</f>
        <v>11.4018</v>
      </c>
      <c r="R338" s="10">
        <f>CHOOSE(CONTROL!$C$42, 12.0173, 12.0173) * CHOOSE(CONTROL!$C$21, $C$9, 100%, $E$9)</f>
        <v>12.017300000000001</v>
      </c>
      <c r="S338" s="10">
        <f>CHOOSE(CONTROL!$C$42, 10.5346, 10.5346) * CHOOSE(CONTROL!$C$21, $C$9, 100%, $E$9)</f>
        <v>10.534599999999999</v>
      </c>
      <c r="T3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38" s="38">
        <f>(1000*CHOOSE(CONTROL!$C$42, 695, 695)*CHOOSE(CONTROL!$C$42, 0.5599, 0.5599)*CHOOSE(CONTROL!$C$42, 28, 28))/1000000</f>
        <v>10.895653999999999</v>
      </c>
      <c r="V338" s="38">
        <f>(1000*CHOOSE(CONTROL!$C$42, 500, 500)*CHOOSE(CONTROL!$C$42, 0.275, 0.275)*CHOOSE(CONTROL!$C$42, 28, 28))/1000000</f>
        <v>3.85</v>
      </c>
      <c r="W338" s="38">
        <f>(1000*CHOOSE(CONTROL!$C$42, 0.1146, 0.1146)*CHOOSE(CONTROL!$C$42, 121.5, 121.5)*CHOOSE(CONTROL!$C$42, 28, 28))/1000000</f>
        <v>0.38986920000000003</v>
      </c>
      <c r="X338" s="38">
        <f>(28*0.1790888*100000/1000000)+(28*0.2374*100000/1000000)</f>
        <v>1.16616864</v>
      </c>
      <c r="Y338" s="38">
        <f>(1000*600*CHOOSE(CONTROL!$C$42, 1.6268, 1.6268)*CHOOSE(CONTROL!$C$42, 28, 28))/1000000</f>
        <v>27.33024</v>
      </c>
      <c r="Z338" s="38"/>
      <c r="AA338" s="10"/>
      <c r="AB338" s="39"/>
      <c r="AC338" s="33">
        <f>(B338*122.58+C338*297.941+D338*89.177+E338*40.302+F338*40+G338*160+H338*0+I338*100+J338*300)/(122.58+297.941+89.177+40.302+0+40+160+100+300)</f>
        <v>10.848663995826088</v>
      </c>
      <c r="AD338" s="27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10.768528776978417</v>
      </c>
    </row>
    <row r="339" spans="1:30" ht="15.75" x14ac:dyDescent="0.25">
      <c r="A339" s="14">
        <v>51591</v>
      </c>
      <c r="B339" s="10">
        <f>CHOOSE(CONTROL!$C$42, 10.5423, 10.5423) * CHOOSE(CONTROL!$C$21, $C$9, 100%, $E$9)</f>
        <v>10.542299999999999</v>
      </c>
      <c r="C339" s="10">
        <f>CHOOSE(CONTROL!$C$42, 10.5473, 10.5473) * CHOOSE(CONTROL!$C$21, $C$9, 100%, $E$9)</f>
        <v>10.5473</v>
      </c>
      <c r="D339" s="10">
        <f>CHOOSE(CONTROL!$C$42, 10.5718, 10.5718) * CHOOSE(CONTROL!$C$21, $C$9, 100%, $E$9)</f>
        <v>10.5718</v>
      </c>
      <c r="E339" s="10">
        <f>CHOOSE(CONTROL!$C$42, 10.6055, 10.6055) * CHOOSE(CONTROL!$C$21, $C$9, 100%, $E$9)</f>
        <v>10.605499999999999</v>
      </c>
      <c r="F339" s="10">
        <f>CHOOSE(CONTROL!$C$42, 10.5231, 10.5231)*CHOOSE(CONTROL!$C$21, $C$9, 100%, $E$9)</f>
        <v>10.523099999999999</v>
      </c>
      <c r="G339" s="10">
        <f>CHOOSE(CONTROL!$C$42, 10.5411, 10.5411)*CHOOSE(CONTROL!$C$21, $C$9, 100%, $E$9)</f>
        <v>10.5411</v>
      </c>
      <c r="H339" s="10">
        <f>CHOOSE(CONTROL!$C$42, 10.5947, 10.5947) * CHOOSE(CONTROL!$C$21, $C$9, 100%, $E$9)</f>
        <v>10.5947</v>
      </c>
      <c r="I339" s="10">
        <f>CHOOSE(CONTROL!$C$42, 10.5368, 10.5368)* CHOOSE(CONTROL!$C$21, $C$9, 100%, $E$9)</f>
        <v>10.536799999999999</v>
      </c>
      <c r="J339" s="10">
        <f>CHOOSE(CONTROL!$C$42, 10.5161, 10.5161)* CHOOSE(CONTROL!$C$21, $C$9, 100%, $E$9)</f>
        <v>10.5161</v>
      </c>
      <c r="K339" s="10">
        <f>CHOOSE(CONTROL!$C$42, 10.3881, 10.3881) * CHOOSE(CONTROL!$C$21, $C$9, 100%, $E$9)</f>
        <v>10.3881</v>
      </c>
      <c r="L339" s="10">
        <f>CHOOSE(CONTROL!$C$42, 11.1817, 11.1817) * CHOOSE(CONTROL!$C$21, $C$9, 100%, $E$9)</f>
        <v>11.181699999999999</v>
      </c>
      <c r="M339" s="10">
        <f>CHOOSE(CONTROL!$C$42, 10.4238, 10.4238) * CHOOSE(CONTROL!$C$21, $C$9, 100%, $E$9)</f>
        <v>10.4238</v>
      </c>
      <c r="N339" s="10">
        <f>CHOOSE(CONTROL!$C$42, 10.4417, 10.4417) * CHOOSE(CONTROL!$C$21, $C$9, 100%, $E$9)</f>
        <v>10.441700000000001</v>
      </c>
      <c r="O339" s="10">
        <f>CHOOSE(CONTROL!$C$42, 10.5016, 10.5016) * CHOOSE(CONTROL!$C$21, $C$9, 100%, $E$9)</f>
        <v>10.5016</v>
      </c>
      <c r="P339" s="10">
        <f>CHOOSE(CONTROL!$C$42, 10.4444, 10.4444) * CHOOSE(CONTROL!$C$21, $C$9, 100%, $E$9)</f>
        <v>10.4444</v>
      </c>
      <c r="Q339" s="10">
        <f>CHOOSE(CONTROL!$C$42, 11.0969, 11.0969) * CHOOSE(CONTROL!$C$21, $C$9, 100%, $E$9)</f>
        <v>11.0969</v>
      </c>
      <c r="R339" s="10">
        <f>CHOOSE(CONTROL!$C$42, 11.7117, 11.7117) * CHOOSE(CONTROL!$C$21, $C$9, 100%, $E$9)</f>
        <v>11.7117</v>
      </c>
      <c r="S339" s="10">
        <f>CHOOSE(CONTROL!$C$42, 10.2355, 10.2355) * CHOOSE(CONTROL!$C$21, $C$9, 100%, $E$9)</f>
        <v>10.2355</v>
      </c>
      <c r="T3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38">
        <f>(1000*CHOOSE(CONTROL!$C$42, 695, 695)*CHOOSE(CONTROL!$C$42, 0.5599, 0.5599)*CHOOSE(CONTROL!$C$42, 31, 31))/1000000</f>
        <v>12.063045499999998</v>
      </c>
      <c r="V339" s="38">
        <f>(1000*CHOOSE(CONTROL!$C$42, 500, 500)*CHOOSE(CONTROL!$C$42, 0.275, 0.275)*CHOOSE(CONTROL!$C$42, 31, 31))/1000000</f>
        <v>4.2625000000000002</v>
      </c>
      <c r="W339" s="38">
        <f>(1000*CHOOSE(CONTROL!$C$42, 0.1146, 0.1146)*CHOOSE(CONTROL!$C$42, 121.5, 121.5)*CHOOSE(CONTROL!$C$42, 31, 31))/1000000</f>
        <v>0.43164089999999994</v>
      </c>
      <c r="X339" s="38">
        <f>(31*0.1790888*100000/1000000)+(31*0.2374*100000/1000000)</f>
        <v>1.2911152800000001</v>
      </c>
      <c r="Y339" s="38">
        <f>(1000*600*CHOOSE(CONTROL!$C$42, 1.6268, 1.6268)*CHOOSE(CONTROL!$C$42, 31, 31))/1000000</f>
        <v>30.258479999999999</v>
      </c>
      <c r="Z339" s="38"/>
      <c r="AA339" s="10"/>
      <c r="AB339" s="39"/>
      <c r="AC339" s="33">
        <f>(B339*122.58+C339*297.941+D339*89.177+E339*40.302+F339*40+G339*160+H339*0+I339*100+J339*300)/(122.58+297.941+89.177+40.302+0+40+160+100+300)</f>
        <v>10.539950011217391</v>
      </c>
      <c r="AD339" s="27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10.463056115107914</v>
      </c>
    </row>
    <row r="340" spans="1:30" ht="15.75" x14ac:dyDescent="0.25">
      <c r="A340" s="14">
        <v>51621</v>
      </c>
      <c r="B340" s="10">
        <f>CHOOSE(CONTROL!$C$42, 10.5116, 10.5116) * CHOOSE(CONTROL!$C$21, $C$9, 100%, $E$9)</f>
        <v>10.5116</v>
      </c>
      <c r="C340" s="10">
        <f>CHOOSE(CONTROL!$C$42, 10.5159, 10.5159) * CHOOSE(CONTROL!$C$21, $C$9, 100%, $E$9)</f>
        <v>10.5159</v>
      </c>
      <c r="D340" s="10">
        <f>CHOOSE(CONTROL!$C$42, 10.6961, 10.6961) * CHOOSE(CONTROL!$C$21, $C$9, 100%, $E$9)</f>
        <v>10.696099999999999</v>
      </c>
      <c r="E340" s="10">
        <f>CHOOSE(CONTROL!$C$42, 10.7279, 10.7279) * CHOOSE(CONTROL!$C$21, $C$9, 100%, $E$9)</f>
        <v>10.7279</v>
      </c>
      <c r="F340" s="10">
        <f>CHOOSE(CONTROL!$C$42, 10.4769, 10.4769)*CHOOSE(CONTROL!$C$21, $C$9, 100%, $E$9)</f>
        <v>10.476900000000001</v>
      </c>
      <c r="G340" s="10">
        <f>CHOOSE(CONTROL!$C$42, 10.4932, 10.4932)*CHOOSE(CONTROL!$C$21, $C$9, 100%, $E$9)</f>
        <v>10.4932</v>
      </c>
      <c r="H340" s="10">
        <f>CHOOSE(CONTROL!$C$42, 10.7176, 10.7176) * CHOOSE(CONTROL!$C$21, $C$9, 100%, $E$9)</f>
        <v>10.717599999999999</v>
      </c>
      <c r="I340" s="10">
        <f>CHOOSE(CONTROL!$C$42, 10.4976, 10.4976)* CHOOSE(CONTROL!$C$21, $C$9, 100%, $E$9)</f>
        <v>10.4976</v>
      </c>
      <c r="J340" s="10">
        <f>CHOOSE(CONTROL!$C$42, 10.4699, 10.4699)* CHOOSE(CONTROL!$C$21, $C$9, 100%, $E$9)</f>
        <v>10.469900000000001</v>
      </c>
      <c r="K340" s="10">
        <f>CHOOSE(CONTROL!$C$42, 10.335, 10.335) * CHOOSE(CONTROL!$C$21, $C$9, 100%, $E$9)</f>
        <v>10.335000000000001</v>
      </c>
      <c r="L340" s="10">
        <f>CHOOSE(CONTROL!$C$42, 11.3046, 11.3046) * CHOOSE(CONTROL!$C$21, $C$9, 100%, $E$9)</f>
        <v>11.304600000000001</v>
      </c>
      <c r="M340" s="10">
        <f>CHOOSE(CONTROL!$C$42, 10.3781, 10.3781) * CHOOSE(CONTROL!$C$21, $C$9, 100%, $E$9)</f>
        <v>10.3781</v>
      </c>
      <c r="N340" s="10">
        <f>CHOOSE(CONTROL!$C$42, 10.3942, 10.3942) * CHOOSE(CONTROL!$C$21, $C$9, 100%, $E$9)</f>
        <v>10.3942</v>
      </c>
      <c r="O340" s="10">
        <f>CHOOSE(CONTROL!$C$42, 10.6233, 10.6233) * CHOOSE(CONTROL!$C$21, $C$9, 100%, $E$9)</f>
        <v>10.6233</v>
      </c>
      <c r="P340" s="10">
        <f>CHOOSE(CONTROL!$C$42, 10.4055, 10.4055) * CHOOSE(CONTROL!$C$21, $C$9, 100%, $E$9)</f>
        <v>10.4055</v>
      </c>
      <c r="Q340" s="10">
        <f>CHOOSE(CONTROL!$C$42, 11.2186, 11.2186) * CHOOSE(CONTROL!$C$21, $C$9, 100%, $E$9)</f>
        <v>11.2186</v>
      </c>
      <c r="R340" s="10">
        <f>CHOOSE(CONTROL!$C$42, 11.8337, 11.8337) * CHOOSE(CONTROL!$C$21, $C$9, 100%, $E$9)</f>
        <v>11.8337</v>
      </c>
      <c r="S340" s="10">
        <f>CHOOSE(CONTROL!$C$42, 10.2049, 10.2049) * CHOOSE(CONTROL!$C$21, $C$9, 100%, $E$9)</f>
        <v>10.2049</v>
      </c>
      <c r="T3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38">
        <f>(1000*CHOOSE(CONTROL!$C$42, 695, 695)*CHOOSE(CONTROL!$C$42, 0.5599, 0.5599)*CHOOSE(CONTROL!$C$42, 30, 30))/1000000</f>
        <v>11.673914999999997</v>
      </c>
      <c r="V340" s="38">
        <f>(1000*CHOOSE(CONTROL!$C$42, 500, 500)*CHOOSE(CONTROL!$C$42, 0.275, 0.275)*CHOOSE(CONTROL!$C$42, 30, 30))/1000000</f>
        <v>4.125</v>
      </c>
      <c r="W340" s="38">
        <f>(1000*CHOOSE(CONTROL!$C$42, 0.1146, 0.1146)*CHOOSE(CONTROL!$C$42, 121.5, 121.5)*CHOOSE(CONTROL!$C$42, 30, 30))/1000000</f>
        <v>0.417717</v>
      </c>
      <c r="X340" s="38">
        <f>(30*0.1790888*245000/1000000)+(30*0.2374*100000/1000000)</f>
        <v>2.0285026799999999</v>
      </c>
      <c r="Y340" s="38">
        <f>(1000*600*CHOOSE(CONTROL!$C$42, 1.6268, 1.6268)*CHOOSE(CONTROL!$C$42, 30, 30))/1000000</f>
        <v>29.282399999999999</v>
      </c>
      <c r="Z340" s="38"/>
      <c r="AA340" s="10"/>
      <c r="AB340" s="39"/>
      <c r="AC340" s="33">
        <f>(B340*141.293+C340*267.993+D340*115.016+E340*89.698+F340*40+G340*185+H340*0+I340*100+J340*300)/(141.293+267.993+115.016+89.698+0+40+185+100+300)</f>
        <v>10.530221871912833</v>
      </c>
      <c r="AD340" s="27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10.454546043165468</v>
      </c>
    </row>
    <row r="341" spans="1:30" ht="15.75" x14ac:dyDescent="0.25">
      <c r="A341" s="14">
        <v>51652</v>
      </c>
      <c r="B341" s="10">
        <f>CHOOSE(CONTROL!$C$42, 10.6061, 10.6061) * CHOOSE(CONTROL!$C$21, $C$9, 100%, $E$9)</f>
        <v>10.6061</v>
      </c>
      <c r="C341" s="10">
        <f>CHOOSE(CONTROL!$C$42, 10.614, 10.614) * CHOOSE(CONTROL!$C$21, $C$9, 100%, $E$9)</f>
        <v>10.614000000000001</v>
      </c>
      <c r="D341" s="10">
        <f>CHOOSE(CONTROL!$C$42, 10.791, 10.791) * CHOOSE(CONTROL!$C$21, $C$9, 100%, $E$9)</f>
        <v>10.791</v>
      </c>
      <c r="E341" s="10">
        <f>CHOOSE(CONTROL!$C$42, 10.8221, 10.8221) * CHOOSE(CONTROL!$C$21, $C$9, 100%, $E$9)</f>
        <v>10.822100000000001</v>
      </c>
      <c r="F341" s="10">
        <f>CHOOSE(CONTROL!$C$42, 10.5695, 10.5695)*CHOOSE(CONTROL!$C$21, $C$9, 100%, $E$9)</f>
        <v>10.5695</v>
      </c>
      <c r="G341" s="10">
        <f>CHOOSE(CONTROL!$C$42, 10.586, 10.586)*CHOOSE(CONTROL!$C$21, $C$9, 100%, $E$9)</f>
        <v>10.586</v>
      </c>
      <c r="H341" s="10">
        <f>CHOOSE(CONTROL!$C$42, 10.8108, 10.8108) * CHOOSE(CONTROL!$C$21, $C$9, 100%, $E$9)</f>
        <v>10.8108</v>
      </c>
      <c r="I341" s="10">
        <f>CHOOSE(CONTROL!$C$42, 10.5907, 10.5907)* CHOOSE(CONTROL!$C$21, $C$9, 100%, $E$9)</f>
        <v>10.5907</v>
      </c>
      <c r="J341" s="10">
        <f>CHOOSE(CONTROL!$C$42, 10.5625, 10.5625)* CHOOSE(CONTROL!$C$21, $C$9, 100%, $E$9)</f>
        <v>10.5625</v>
      </c>
      <c r="K341" s="10">
        <f>CHOOSE(CONTROL!$C$42, 10.4242, 10.4242) * CHOOSE(CONTROL!$C$21, $C$9, 100%, $E$9)</f>
        <v>10.424200000000001</v>
      </c>
      <c r="L341" s="10">
        <f>CHOOSE(CONTROL!$C$42, 11.3978, 11.3978) * CHOOSE(CONTROL!$C$21, $C$9, 100%, $E$9)</f>
        <v>11.3978</v>
      </c>
      <c r="M341" s="10">
        <f>CHOOSE(CONTROL!$C$42, 10.4697, 10.4697) * CHOOSE(CONTROL!$C$21, $C$9, 100%, $E$9)</f>
        <v>10.4697</v>
      </c>
      <c r="N341" s="10">
        <f>CHOOSE(CONTROL!$C$42, 10.486, 10.486) * CHOOSE(CONTROL!$C$21, $C$9, 100%, $E$9)</f>
        <v>10.486000000000001</v>
      </c>
      <c r="O341" s="10">
        <f>CHOOSE(CONTROL!$C$42, 10.7155, 10.7155) * CHOOSE(CONTROL!$C$21, $C$9, 100%, $E$9)</f>
        <v>10.7155</v>
      </c>
      <c r="P341" s="10">
        <f>CHOOSE(CONTROL!$C$42, 10.4977, 10.4977) * CHOOSE(CONTROL!$C$21, $C$9, 100%, $E$9)</f>
        <v>10.4977</v>
      </c>
      <c r="Q341" s="10">
        <f>CHOOSE(CONTROL!$C$42, 11.3108, 11.3108) * CHOOSE(CONTROL!$C$21, $C$9, 100%, $E$9)</f>
        <v>11.3108</v>
      </c>
      <c r="R341" s="10">
        <f>CHOOSE(CONTROL!$C$42, 11.9261, 11.9261) * CHOOSE(CONTROL!$C$21, $C$9, 100%, $E$9)</f>
        <v>11.9261</v>
      </c>
      <c r="S341" s="10">
        <f>CHOOSE(CONTROL!$C$42, 10.2953, 10.2953) * CHOOSE(CONTROL!$C$21, $C$9, 100%, $E$9)</f>
        <v>10.295299999999999</v>
      </c>
      <c r="T3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38">
        <f>(1000*CHOOSE(CONTROL!$C$42, 695, 695)*CHOOSE(CONTROL!$C$42, 0.5599, 0.5599)*CHOOSE(CONTROL!$C$42, 31, 31))/1000000</f>
        <v>12.063045499999998</v>
      </c>
      <c r="V341" s="38">
        <f>(1000*CHOOSE(CONTROL!$C$42, 500, 500)*CHOOSE(CONTROL!$C$42, 0.275, 0.275)*CHOOSE(CONTROL!$C$42, 31, 31))/1000000</f>
        <v>4.2625000000000002</v>
      </c>
      <c r="W341" s="38">
        <f>(1000*CHOOSE(CONTROL!$C$42, 0.1146, 0.1146)*CHOOSE(CONTROL!$C$42, 121.5, 121.5)*CHOOSE(CONTROL!$C$42, 31, 31))/1000000</f>
        <v>0.43164089999999994</v>
      </c>
      <c r="X341" s="38">
        <f>(31*0.1790888*245000/1000000)+(31*0.2374*100000/1000000)</f>
        <v>2.0961194359999999</v>
      </c>
      <c r="Y341" s="38">
        <f>(1000*600*CHOOSE(CONTROL!$C$42, 1.6268, 1.6268)*CHOOSE(CONTROL!$C$42, 31, 31))/1000000</f>
        <v>30.258479999999999</v>
      </c>
      <c r="Z341" s="38"/>
      <c r="AA341" s="10"/>
      <c r="AB341" s="39"/>
      <c r="AC341" s="33">
        <f>(B341*194.205+C341*267.466+D341*133.845+E341*53.484+F341*40+G341*185+H341*0+I341*100+J341*300)/(194.205+267.466+133.845+53.484+0+40+185+100+300)</f>
        <v>10.620708293485087</v>
      </c>
      <c r="AD341" s="27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10.546446762589929</v>
      </c>
    </row>
    <row r="342" spans="1:30" ht="15.75" x14ac:dyDescent="0.25">
      <c r="A342" s="14">
        <v>51682</v>
      </c>
      <c r="B342" s="10">
        <f>CHOOSE(CONTROL!$C$42, 10.9068, 10.9068) * CHOOSE(CONTROL!$C$21, $C$9, 100%, $E$9)</f>
        <v>10.9068</v>
      </c>
      <c r="C342" s="10">
        <f>CHOOSE(CONTROL!$C$42, 10.9147, 10.9147) * CHOOSE(CONTROL!$C$21, $C$9, 100%, $E$9)</f>
        <v>10.9147</v>
      </c>
      <c r="D342" s="10">
        <f>CHOOSE(CONTROL!$C$42, 11.0917, 11.0917) * CHOOSE(CONTROL!$C$21, $C$9, 100%, $E$9)</f>
        <v>11.091699999999999</v>
      </c>
      <c r="E342" s="10">
        <f>CHOOSE(CONTROL!$C$42, 11.1228, 11.1228) * CHOOSE(CONTROL!$C$21, $C$9, 100%, $E$9)</f>
        <v>11.1228</v>
      </c>
      <c r="F342" s="10">
        <f>CHOOSE(CONTROL!$C$42, 10.8703, 10.8703)*CHOOSE(CONTROL!$C$21, $C$9, 100%, $E$9)</f>
        <v>10.8703</v>
      </c>
      <c r="G342" s="10">
        <f>CHOOSE(CONTROL!$C$42, 10.8869, 10.8869)*CHOOSE(CONTROL!$C$21, $C$9, 100%, $E$9)</f>
        <v>10.886900000000001</v>
      </c>
      <c r="H342" s="10">
        <f>CHOOSE(CONTROL!$C$42, 11.1115, 11.1115) * CHOOSE(CONTROL!$C$21, $C$9, 100%, $E$9)</f>
        <v>11.111499999999999</v>
      </c>
      <c r="I342" s="10">
        <f>CHOOSE(CONTROL!$C$42, 10.8914, 10.8914)* CHOOSE(CONTROL!$C$21, $C$9, 100%, $E$9)</f>
        <v>10.891400000000001</v>
      </c>
      <c r="J342" s="10">
        <f>CHOOSE(CONTROL!$C$42, 10.8633, 10.8633)* CHOOSE(CONTROL!$C$21, $C$9, 100%, $E$9)</f>
        <v>10.863300000000001</v>
      </c>
      <c r="K342" s="10">
        <f>CHOOSE(CONTROL!$C$42, 10.7168, 10.7168) * CHOOSE(CONTROL!$C$21, $C$9, 100%, $E$9)</f>
        <v>10.716799999999999</v>
      </c>
      <c r="L342" s="10">
        <f>CHOOSE(CONTROL!$C$42, 11.6985, 11.6985) * CHOOSE(CONTROL!$C$21, $C$9, 100%, $E$9)</f>
        <v>11.698499999999999</v>
      </c>
      <c r="M342" s="10">
        <f>CHOOSE(CONTROL!$C$42, 10.7675, 10.7675) * CHOOSE(CONTROL!$C$21, $C$9, 100%, $E$9)</f>
        <v>10.7675</v>
      </c>
      <c r="N342" s="10">
        <f>CHOOSE(CONTROL!$C$42, 10.7839, 10.7839) * CHOOSE(CONTROL!$C$21, $C$9, 100%, $E$9)</f>
        <v>10.783899999999999</v>
      </c>
      <c r="O342" s="10">
        <f>CHOOSE(CONTROL!$C$42, 11.0132, 11.0132) * CHOOSE(CONTROL!$C$21, $C$9, 100%, $E$9)</f>
        <v>11.013199999999999</v>
      </c>
      <c r="P342" s="10">
        <f>CHOOSE(CONTROL!$C$42, 10.7953, 10.7953) * CHOOSE(CONTROL!$C$21, $C$9, 100%, $E$9)</f>
        <v>10.795299999999999</v>
      </c>
      <c r="Q342" s="10">
        <f>CHOOSE(CONTROL!$C$42, 11.6085, 11.6085) * CHOOSE(CONTROL!$C$21, $C$9, 100%, $E$9)</f>
        <v>11.608499999999999</v>
      </c>
      <c r="R342" s="10">
        <f>CHOOSE(CONTROL!$C$42, 12.2245, 12.2245) * CHOOSE(CONTROL!$C$21, $C$9, 100%, $E$9)</f>
        <v>12.224500000000001</v>
      </c>
      <c r="S342" s="10">
        <f>CHOOSE(CONTROL!$C$42, 10.5873, 10.5873) * CHOOSE(CONTROL!$C$21, $C$9, 100%, $E$9)</f>
        <v>10.587300000000001</v>
      </c>
      <c r="T3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38">
        <f>(1000*CHOOSE(CONTROL!$C$42, 695, 695)*CHOOSE(CONTROL!$C$42, 0.5599, 0.5599)*CHOOSE(CONTROL!$C$42, 30, 30))/1000000</f>
        <v>11.673914999999997</v>
      </c>
      <c r="V342" s="38">
        <f>(1000*CHOOSE(CONTROL!$C$42, 500, 500)*CHOOSE(CONTROL!$C$42, 0.275, 0.275)*CHOOSE(CONTROL!$C$42, 30, 30))/1000000</f>
        <v>4.125</v>
      </c>
      <c r="W342" s="38">
        <f>(1000*CHOOSE(CONTROL!$C$42, 0.1146, 0.1146)*CHOOSE(CONTROL!$C$42, 121.5, 121.5)*CHOOSE(CONTROL!$C$42, 30, 30))/1000000</f>
        <v>0.417717</v>
      </c>
      <c r="X342" s="38">
        <f>(30*0.1790888*245000/1000000)+(30*0.2374*100000/1000000)</f>
        <v>2.0285026799999999</v>
      </c>
      <c r="Y342" s="38">
        <f>(1000*600*CHOOSE(CONTROL!$C$42, 1.6268, 1.6268)*CHOOSE(CONTROL!$C$42, 30, 30))/1000000</f>
        <v>29.282399999999999</v>
      </c>
      <c r="Z342" s="38"/>
      <c r="AA342" s="10"/>
      <c r="AB342" s="39"/>
      <c r="AC342" s="33">
        <f>(B342*194.205+C342*267.466+D342*133.845+E342*53.484+F342*40+G342*185+H342*0+I342*100+J342*300)/(194.205+267.466+133.845+53.484+0+40+185+100+300)</f>
        <v>10.921464023469387</v>
      </c>
      <c r="AD342" s="27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10.844212949640287</v>
      </c>
    </row>
    <row r="343" spans="1:30" ht="15.75" x14ac:dyDescent="0.25">
      <c r="A343" s="14">
        <v>51713</v>
      </c>
      <c r="B343" s="10">
        <f>CHOOSE(CONTROL!$C$42, 10.6977, 10.6977) * CHOOSE(CONTROL!$C$21, $C$9, 100%, $E$9)</f>
        <v>10.697699999999999</v>
      </c>
      <c r="C343" s="10">
        <f>CHOOSE(CONTROL!$C$42, 10.7056, 10.7056) * CHOOSE(CONTROL!$C$21, $C$9, 100%, $E$9)</f>
        <v>10.7056</v>
      </c>
      <c r="D343" s="10">
        <f>CHOOSE(CONTROL!$C$42, 10.8826, 10.8826) * CHOOSE(CONTROL!$C$21, $C$9, 100%, $E$9)</f>
        <v>10.8826</v>
      </c>
      <c r="E343" s="10">
        <f>CHOOSE(CONTROL!$C$42, 10.9137, 10.9137) * CHOOSE(CONTROL!$C$21, $C$9, 100%, $E$9)</f>
        <v>10.9137</v>
      </c>
      <c r="F343" s="10">
        <f>CHOOSE(CONTROL!$C$42, 10.6614, 10.6614)*CHOOSE(CONTROL!$C$21, $C$9, 100%, $E$9)</f>
        <v>10.6614</v>
      </c>
      <c r="G343" s="10">
        <f>CHOOSE(CONTROL!$C$42, 10.6781, 10.6781)*CHOOSE(CONTROL!$C$21, $C$9, 100%, $E$9)</f>
        <v>10.678100000000001</v>
      </c>
      <c r="H343" s="10">
        <f>CHOOSE(CONTROL!$C$42, 10.9023, 10.9023) * CHOOSE(CONTROL!$C$21, $C$9, 100%, $E$9)</f>
        <v>10.9023</v>
      </c>
      <c r="I343" s="10">
        <f>CHOOSE(CONTROL!$C$42, 10.6823, 10.6823)* CHOOSE(CONTROL!$C$21, $C$9, 100%, $E$9)</f>
        <v>10.6823</v>
      </c>
      <c r="J343" s="10">
        <f>CHOOSE(CONTROL!$C$42, 10.6544, 10.6544)* CHOOSE(CONTROL!$C$21, $C$9, 100%, $E$9)</f>
        <v>10.654400000000001</v>
      </c>
      <c r="K343" s="10">
        <f>CHOOSE(CONTROL!$C$42, 10.5141, 10.5141) * CHOOSE(CONTROL!$C$21, $C$9, 100%, $E$9)</f>
        <v>10.514099999999999</v>
      </c>
      <c r="L343" s="10">
        <f>CHOOSE(CONTROL!$C$42, 11.4893, 11.4893) * CHOOSE(CONTROL!$C$21, $C$9, 100%, $E$9)</f>
        <v>11.4893</v>
      </c>
      <c r="M343" s="10">
        <f>CHOOSE(CONTROL!$C$42, 10.5608, 10.5608) * CHOOSE(CONTROL!$C$21, $C$9, 100%, $E$9)</f>
        <v>10.5608</v>
      </c>
      <c r="N343" s="10">
        <f>CHOOSE(CONTROL!$C$42, 10.5772, 10.5772) * CHOOSE(CONTROL!$C$21, $C$9, 100%, $E$9)</f>
        <v>10.577199999999999</v>
      </c>
      <c r="O343" s="10">
        <f>CHOOSE(CONTROL!$C$42, 10.8061, 10.8061) * CHOOSE(CONTROL!$C$21, $C$9, 100%, $E$9)</f>
        <v>10.806100000000001</v>
      </c>
      <c r="P343" s="10">
        <f>CHOOSE(CONTROL!$C$42, 10.5883, 10.5883) * CHOOSE(CONTROL!$C$21, $C$9, 100%, $E$9)</f>
        <v>10.5883</v>
      </c>
      <c r="Q343" s="10">
        <f>CHOOSE(CONTROL!$C$42, 11.4014, 11.4014) * CHOOSE(CONTROL!$C$21, $C$9, 100%, $E$9)</f>
        <v>11.401400000000001</v>
      </c>
      <c r="R343" s="10">
        <f>CHOOSE(CONTROL!$C$42, 12.0169, 12.0169) * CHOOSE(CONTROL!$C$21, $C$9, 100%, $E$9)</f>
        <v>12.0169</v>
      </c>
      <c r="S343" s="10">
        <f>CHOOSE(CONTROL!$C$42, 10.3843, 10.3843) * CHOOSE(CONTROL!$C$21, $C$9, 100%, $E$9)</f>
        <v>10.3843</v>
      </c>
      <c r="T3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38">
        <f>(1000*CHOOSE(CONTROL!$C$42, 695, 695)*CHOOSE(CONTROL!$C$42, 0.5599, 0.5599)*CHOOSE(CONTROL!$C$42, 31, 31))/1000000</f>
        <v>12.063045499999998</v>
      </c>
      <c r="V343" s="38">
        <f>(1000*CHOOSE(CONTROL!$C$42, 500, 500)*CHOOSE(CONTROL!$C$42, 0.275, 0.275)*CHOOSE(CONTROL!$C$42, 31, 31))/1000000</f>
        <v>4.2625000000000002</v>
      </c>
      <c r="W343" s="38">
        <f>(1000*CHOOSE(CONTROL!$C$42, 0.1146, 0.1146)*CHOOSE(CONTROL!$C$42, 121.5, 121.5)*CHOOSE(CONTROL!$C$42, 31, 31))/1000000</f>
        <v>0.43164089999999994</v>
      </c>
      <c r="X343" s="38">
        <f>(31*0.1790888*245000/1000000)+(31*0.2374*100000/1000000)</f>
        <v>2.0961194359999999</v>
      </c>
      <c r="Y343" s="38">
        <f>(1000*600*CHOOSE(CONTROL!$C$42, 1.6268, 1.6268)*CHOOSE(CONTROL!$C$42, 31, 31))/1000000</f>
        <v>30.258479999999999</v>
      </c>
      <c r="Z343" s="38"/>
      <c r="AA343" s="10"/>
      <c r="AB343" s="39"/>
      <c r="AC343" s="33">
        <f>(B343*194.205+C343*267.466+D343*133.845+E343*53.484+F343*40+G343*185+H343*0+I343*100+J343*300)/(194.205+267.466+133.845+53.484+0+40+185+100+300)</f>
        <v>10.712460962244899</v>
      </c>
      <c r="AD343" s="27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10.637357553956834</v>
      </c>
    </row>
    <row r="344" spans="1:30" ht="15.75" x14ac:dyDescent="0.25">
      <c r="A344" s="14">
        <v>51744</v>
      </c>
      <c r="B344" s="10">
        <f>CHOOSE(CONTROL!$C$42, 10.1695, 10.1695) * CHOOSE(CONTROL!$C$21, $C$9, 100%, $E$9)</f>
        <v>10.169499999999999</v>
      </c>
      <c r="C344" s="10">
        <f>CHOOSE(CONTROL!$C$42, 10.1774, 10.1774) * CHOOSE(CONTROL!$C$21, $C$9, 100%, $E$9)</f>
        <v>10.1774</v>
      </c>
      <c r="D344" s="10">
        <f>CHOOSE(CONTROL!$C$42, 10.3544, 10.3544) * CHOOSE(CONTROL!$C$21, $C$9, 100%, $E$9)</f>
        <v>10.3544</v>
      </c>
      <c r="E344" s="10">
        <f>CHOOSE(CONTROL!$C$42, 10.3856, 10.3856) * CHOOSE(CONTROL!$C$21, $C$9, 100%, $E$9)</f>
        <v>10.3856</v>
      </c>
      <c r="F344" s="10">
        <f>CHOOSE(CONTROL!$C$42, 10.1334, 10.1334)*CHOOSE(CONTROL!$C$21, $C$9, 100%, $E$9)</f>
        <v>10.1334</v>
      </c>
      <c r="G344" s="10">
        <f>CHOOSE(CONTROL!$C$42, 10.15, 10.15)*CHOOSE(CONTROL!$C$21, $C$9, 100%, $E$9)</f>
        <v>10.15</v>
      </c>
      <c r="H344" s="10">
        <f>CHOOSE(CONTROL!$C$42, 10.3742, 10.3742) * CHOOSE(CONTROL!$C$21, $C$9, 100%, $E$9)</f>
        <v>10.3742</v>
      </c>
      <c r="I344" s="10">
        <f>CHOOSE(CONTROL!$C$42, 10.1541, 10.1541)* CHOOSE(CONTROL!$C$21, $C$9, 100%, $E$9)</f>
        <v>10.1541</v>
      </c>
      <c r="J344" s="10">
        <f>CHOOSE(CONTROL!$C$42, 10.1264, 10.1264)* CHOOSE(CONTROL!$C$21, $C$9, 100%, $E$9)</f>
        <v>10.1264</v>
      </c>
      <c r="K344" s="10">
        <f>CHOOSE(CONTROL!$C$42, 10.0011, 10.0011) * CHOOSE(CONTROL!$C$21, $C$9, 100%, $E$9)</f>
        <v>10.001099999999999</v>
      </c>
      <c r="L344" s="10">
        <f>CHOOSE(CONTROL!$C$42, 10.9612, 10.9612) * CHOOSE(CONTROL!$C$21, $C$9, 100%, $E$9)</f>
        <v>10.9612</v>
      </c>
      <c r="M344" s="10">
        <f>CHOOSE(CONTROL!$C$42, 10.038, 10.038) * CHOOSE(CONTROL!$C$21, $C$9, 100%, $E$9)</f>
        <v>10.038</v>
      </c>
      <c r="N344" s="10">
        <f>CHOOSE(CONTROL!$C$42, 10.0545, 10.0545) * CHOOSE(CONTROL!$C$21, $C$9, 100%, $E$9)</f>
        <v>10.054500000000001</v>
      </c>
      <c r="O344" s="10">
        <f>CHOOSE(CONTROL!$C$42, 10.2833, 10.2833) * CHOOSE(CONTROL!$C$21, $C$9, 100%, $E$9)</f>
        <v>10.283300000000001</v>
      </c>
      <c r="P344" s="10">
        <f>CHOOSE(CONTROL!$C$42, 10.0655, 10.0655) * CHOOSE(CONTROL!$C$21, $C$9, 100%, $E$9)</f>
        <v>10.0655</v>
      </c>
      <c r="Q344" s="10">
        <f>CHOOSE(CONTROL!$C$42, 10.8786, 10.8786) * CHOOSE(CONTROL!$C$21, $C$9, 100%, $E$9)</f>
        <v>10.8786</v>
      </c>
      <c r="R344" s="10">
        <f>CHOOSE(CONTROL!$C$42, 11.4928, 11.4928) * CHOOSE(CONTROL!$C$21, $C$9, 100%, $E$9)</f>
        <v>11.492800000000001</v>
      </c>
      <c r="S344" s="10">
        <f>CHOOSE(CONTROL!$C$42, 9.8714, 9.8714) * CHOOSE(CONTROL!$C$21, $C$9, 100%, $E$9)</f>
        <v>9.8713999999999995</v>
      </c>
      <c r="T3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38">
        <f>(1000*CHOOSE(CONTROL!$C$42, 695, 695)*CHOOSE(CONTROL!$C$42, 0.5599, 0.5599)*CHOOSE(CONTROL!$C$42, 31, 31))/1000000</f>
        <v>12.063045499999998</v>
      </c>
      <c r="V344" s="38">
        <f>(1000*CHOOSE(CONTROL!$C$42, 500, 500)*CHOOSE(CONTROL!$C$42, 0.275, 0.275)*CHOOSE(CONTROL!$C$42, 31, 31))/1000000</f>
        <v>4.2625000000000002</v>
      </c>
      <c r="W344" s="38">
        <f>(1000*CHOOSE(CONTROL!$C$42, 0.1146, 0.1146)*CHOOSE(CONTROL!$C$42, 121.5, 121.5)*CHOOSE(CONTROL!$C$42, 31, 31))/1000000</f>
        <v>0.43164089999999994</v>
      </c>
      <c r="X344" s="38">
        <f>(31*0.1790888*245000/1000000)+(31*0.2374*100000/1000000)</f>
        <v>2.0961194359999999</v>
      </c>
      <c r="Y344" s="38">
        <f>(1000*600*CHOOSE(CONTROL!$C$42, 1.6268, 1.6268)*CHOOSE(CONTROL!$C$42, 31, 31))/1000000</f>
        <v>30.258479999999999</v>
      </c>
      <c r="Z344" s="38"/>
      <c r="AA344" s="10"/>
      <c r="AB344" s="39"/>
      <c r="AC344" s="33">
        <f>(B344*194.205+C344*267.466+D344*133.845+E344*53.484+F344*40+G344*185+H344*0+I344*100+J344*300)/(194.205+267.466+133.845+53.484+0+40+185+100+300)</f>
        <v>10.184333056750393</v>
      </c>
      <c r="AD344" s="27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10.11458057553957</v>
      </c>
    </row>
    <row r="345" spans="1:30" ht="15.75" x14ac:dyDescent="0.25">
      <c r="A345" s="14">
        <v>51774</v>
      </c>
      <c r="B345" s="10">
        <f>CHOOSE(CONTROL!$C$42, 9.5242, 9.5242) * CHOOSE(CONTROL!$C$21, $C$9, 100%, $E$9)</f>
        <v>9.5242000000000004</v>
      </c>
      <c r="C345" s="10">
        <f>CHOOSE(CONTROL!$C$42, 9.5322, 9.5322) * CHOOSE(CONTROL!$C$21, $C$9, 100%, $E$9)</f>
        <v>9.5321999999999996</v>
      </c>
      <c r="D345" s="10">
        <f>CHOOSE(CONTROL!$C$42, 9.7091, 9.7091) * CHOOSE(CONTROL!$C$21, $C$9, 100%, $E$9)</f>
        <v>9.7090999999999994</v>
      </c>
      <c r="E345" s="10">
        <f>CHOOSE(CONTROL!$C$42, 9.7403, 9.7403) * CHOOSE(CONTROL!$C$21, $C$9, 100%, $E$9)</f>
        <v>9.7402999999999995</v>
      </c>
      <c r="F345" s="10">
        <f>CHOOSE(CONTROL!$C$42, 9.4878, 9.4878)*CHOOSE(CONTROL!$C$21, $C$9, 100%, $E$9)</f>
        <v>9.4878</v>
      </c>
      <c r="G345" s="10">
        <f>CHOOSE(CONTROL!$C$42, 9.5044, 9.5044)*CHOOSE(CONTROL!$C$21, $C$9, 100%, $E$9)</f>
        <v>9.5044000000000004</v>
      </c>
      <c r="H345" s="10">
        <f>CHOOSE(CONTROL!$C$42, 9.7289, 9.7289) * CHOOSE(CONTROL!$C$21, $C$9, 100%, $E$9)</f>
        <v>9.7288999999999994</v>
      </c>
      <c r="I345" s="10">
        <f>CHOOSE(CONTROL!$C$42, 9.5088, 9.5088)* CHOOSE(CONTROL!$C$21, $C$9, 100%, $E$9)</f>
        <v>9.5088000000000008</v>
      </c>
      <c r="J345" s="10">
        <f>CHOOSE(CONTROL!$C$42, 9.4808, 9.4808)* CHOOSE(CONTROL!$C$21, $C$9, 100%, $E$9)</f>
        <v>9.4808000000000003</v>
      </c>
      <c r="K345" s="10">
        <f>CHOOSE(CONTROL!$C$42, 9.3736, 9.3736) * CHOOSE(CONTROL!$C$21, $C$9, 100%, $E$9)</f>
        <v>9.3735999999999997</v>
      </c>
      <c r="L345" s="10">
        <f>CHOOSE(CONTROL!$C$42, 10.3159, 10.3159) * CHOOSE(CONTROL!$C$21, $C$9, 100%, $E$9)</f>
        <v>10.315899999999999</v>
      </c>
      <c r="M345" s="10">
        <f>CHOOSE(CONTROL!$C$42, 9.399, 9.399) * CHOOSE(CONTROL!$C$21, $C$9, 100%, $E$9)</f>
        <v>9.3989999999999991</v>
      </c>
      <c r="N345" s="10">
        <f>CHOOSE(CONTROL!$C$42, 9.4154, 9.4154) * CHOOSE(CONTROL!$C$21, $C$9, 100%, $E$9)</f>
        <v>9.4154</v>
      </c>
      <c r="O345" s="10">
        <f>CHOOSE(CONTROL!$C$42, 9.6446, 9.6446) * CHOOSE(CONTROL!$C$21, $C$9, 100%, $E$9)</f>
        <v>9.6446000000000005</v>
      </c>
      <c r="P345" s="10">
        <f>CHOOSE(CONTROL!$C$42, 9.4267, 9.4267) * CHOOSE(CONTROL!$C$21, $C$9, 100%, $E$9)</f>
        <v>9.4267000000000003</v>
      </c>
      <c r="Q345" s="10">
        <f>CHOOSE(CONTROL!$C$42, 10.2399, 10.2399) * CHOOSE(CONTROL!$C$21, $C$9, 100%, $E$9)</f>
        <v>10.2399</v>
      </c>
      <c r="R345" s="10">
        <f>CHOOSE(CONTROL!$C$42, 10.8525, 10.8525) * CHOOSE(CONTROL!$C$21, $C$9, 100%, $E$9)</f>
        <v>10.852499999999999</v>
      </c>
      <c r="S345" s="10">
        <f>CHOOSE(CONTROL!$C$42, 9.2447, 9.2447) * CHOOSE(CONTROL!$C$21, $C$9, 100%, $E$9)</f>
        <v>9.2446999999999999</v>
      </c>
      <c r="T3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38">
        <f>(1000*CHOOSE(CONTROL!$C$42, 695, 695)*CHOOSE(CONTROL!$C$42, 0.5599, 0.5599)*CHOOSE(CONTROL!$C$42, 30, 30))/1000000</f>
        <v>11.673914999999997</v>
      </c>
      <c r="V345" s="38">
        <f>(1000*CHOOSE(CONTROL!$C$42, 500, 500)*CHOOSE(CONTROL!$C$42, 0.275, 0.275)*CHOOSE(CONTROL!$C$42, 30, 30))/1000000</f>
        <v>4.125</v>
      </c>
      <c r="W345" s="38">
        <f>(1000*CHOOSE(CONTROL!$C$42, 0.1146, 0.1146)*CHOOSE(CONTROL!$C$42, 121.5, 121.5)*CHOOSE(CONTROL!$C$42, 30, 30))/1000000</f>
        <v>0.417717</v>
      </c>
      <c r="X345" s="38">
        <f>(30*0.1790888*245000/1000000)+(30*0.2374*100000/1000000)</f>
        <v>2.0285026799999999</v>
      </c>
      <c r="Y345" s="38">
        <f>(1000*600*CHOOSE(CONTROL!$C$42, 1.6268, 1.6268)*CHOOSE(CONTROL!$C$42, 30, 30))/1000000</f>
        <v>29.282399999999999</v>
      </c>
      <c r="Z345" s="38"/>
      <c r="AA345" s="10"/>
      <c r="AB345" s="39"/>
      <c r="AC345" s="33">
        <f>(B345*194.205+C345*267.466+D345*133.845+E345*53.484+F345*40+G345*185+H345*0+I345*100+J345*300)/(194.205+267.466+133.845+53.484+0+40+185+100+300)</f>
        <v>9.5389304245682904</v>
      </c>
      <c r="AD345" s="27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9.4756705035971223</v>
      </c>
    </row>
    <row r="346" spans="1:30" ht="15.75" x14ac:dyDescent="0.25">
      <c r="A346" s="14">
        <v>51805</v>
      </c>
      <c r="B346" s="10">
        <f>CHOOSE(CONTROL!$C$42, 9.3288, 9.3288) * CHOOSE(CONTROL!$C$21, $C$9, 100%, $E$9)</f>
        <v>9.3287999999999993</v>
      </c>
      <c r="C346" s="10">
        <f>CHOOSE(CONTROL!$C$42, 9.334, 9.334) * CHOOSE(CONTROL!$C$21, $C$9, 100%, $E$9)</f>
        <v>9.3339999999999996</v>
      </c>
      <c r="D346" s="10">
        <f>CHOOSE(CONTROL!$C$42, 9.516, 9.516) * CHOOSE(CONTROL!$C$21, $C$9, 100%, $E$9)</f>
        <v>9.516</v>
      </c>
      <c r="E346" s="10">
        <f>CHOOSE(CONTROL!$C$42, 9.5448, 9.5448) * CHOOSE(CONTROL!$C$21, $C$9, 100%, $E$9)</f>
        <v>9.5448000000000004</v>
      </c>
      <c r="F346" s="10">
        <f>CHOOSE(CONTROL!$C$42, 9.2944, 9.2944)*CHOOSE(CONTROL!$C$21, $C$9, 100%, $E$9)</f>
        <v>9.2943999999999996</v>
      </c>
      <c r="G346" s="10">
        <f>CHOOSE(CONTROL!$C$42, 9.3107, 9.3107)*CHOOSE(CONTROL!$C$21, $C$9, 100%, $E$9)</f>
        <v>9.3107000000000006</v>
      </c>
      <c r="H346" s="10">
        <f>CHOOSE(CONTROL!$C$42, 9.5353, 9.5353) * CHOOSE(CONTROL!$C$21, $C$9, 100%, $E$9)</f>
        <v>9.5352999999999994</v>
      </c>
      <c r="I346" s="10">
        <f>CHOOSE(CONTROL!$C$42, 9.3152, 9.3152)* CHOOSE(CONTROL!$C$21, $C$9, 100%, $E$9)</f>
        <v>9.3152000000000008</v>
      </c>
      <c r="J346" s="10">
        <f>CHOOSE(CONTROL!$C$42, 9.2874, 9.2874)* CHOOSE(CONTROL!$C$21, $C$9, 100%, $E$9)</f>
        <v>9.2873999999999999</v>
      </c>
      <c r="K346" s="10">
        <f>CHOOSE(CONTROL!$C$42, 9.186, 9.186) * CHOOSE(CONTROL!$C$21, $C$9, 100%, $E$9)</f>
        <v>9.1859999999999999</v>
      </c>
      <c r="L346" s="10">
        <f>CHOOSE(CONTROL!$C$42, 10.1223, 10.1223) * CHOOSE(CONTROL!$C$21, $C$9, 100%, $E$9)</f>
        <v>10.122299999999999</v>
      </c>
      <c r="M346" s="10">
        <f>CHOOSE(CONTROL!$C$42, 9.2075, 9.2075) * CHOOSE(CONTROL!$C$21, $C$9, 100%, $E$9)</f>
        <v>9.2074999999999996</v>
      </c>
      <c r="N346" s="10">
        <f>CHOOSE(CONTROL!$C$42, 9.2236, 9.2236) * CHOOSE(CONTROL!$C$21, $C$9, 100%, $E$9)</f>
        <v>9.2235999999999994</v>
      </c>
      <c r="O346" s="10">
        <f>CHOOSE(CONTROL!$C$42, 9.4529, 9.4529) * CHOOSE(CONTROL!$C$21, $C$9, 100%, $E$9)</f>
        <v>9.4528999999999996</v>
      </c>
      <c r="P346" s="10">
        <f>CHOOSE(CONTROL!$C$42, 9.235, 9.235) * CHOOSE(CONTROL!$C$21, $C$9, 100%, $E$9)</f>
        <v>9.2349999999999994</v>
      </c>
      <c r="Q346" s="10">
        <f>CHOOSE(CONTROL!$C$42, 10.0482, 10.0482) * CHOOSE(CONTROL!$C$21, $C$9, 100%, $E$9)</f>
        <v>10.0482</v>
      </c>
      <c r="R346" s="10">
        <f>CHOOSE(CONTROL!$C$42, 10.6603, 10.6603) * CHOOSE(CONTROL!$C$21, $C$9, 100%, $E$9)</f>
        <v>10.660299999999999</v>
      </c>
      <c r="S346" s="10">
        <f>CHOOSE(CONTROL!$C$42, 9.0567, 9.0567) * CHOOSE(CONTROL!$C$21, $C$9, 100%, $E$9)</f>
        <v>9.0566999999999993</v>
      </c>
      <c r="T3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38">
        <f>(1000*CHOOSE(CONTROL!$C$42, 695, 695)*CHOOSE(CONTROL!$C$42, 0.5599, 0.5599)*CHOOSE(CONTROL!$C$42, 31, 31))/1000000</f>
        <v>12.063045499999998</v>
      </c>
      <c r="V346" s="38">
        <f>(1000*CHOOSE(CONTROL!$C$42, 500, 500)*CHOOSE(CONTROL!$C$42, 0.275, 0.275)*CHOOSE(CONTROL!$C$42, 31, 31))/1000000</f>
        <v>4.2625000000000002</v>
      </c>
      <c r="W346" s="38">
        <f>(1000*CHOOSE(CONTROL!$C$42, 0.1146, 0.1146)*CHOOSE(CONTROL!$C$42, 121.5, 121.5)*CHOOSE(CONTROL!$C$42, 31, 31))/1000000</f>
        <v>0.43164089999999994</v>
      </c>
      <c r="X346" s="38">
        <f>(31*0.1790888*245000/1000000)+(31*0.2374*100000/1000000)</f>
        <v>2.0961194359999999</v>
      </c>
      <c r="Y346" s="38">
        <f>(1000*600*CHOOSE(CONTROL!$C$42, 1.6268, 1.6268)*CHOOSE(CONTROL!$C$42, 31, 31))/1000000</f>
        <v>30.258479999999999</v>
      </c>
      <c r="Z346" s="38"/>
      <c r="AA346" s="10"/>
      <c r="AB346" s="39"/>
      <c r="AC346" s="33">
        <f>(B346*131.881+C346*277.167+D346*79.08+E346*125.872+F346*40+G346*185+H346*0+I346*100+J346*300)/(131.881+277.167+79.08+125.872+0+40+185+100+300)</f>
        <v>9.3489201746569801</v>
      </c>
      <c r="AD346" s="27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9.2840165467625901</v>
      </c>
    </row>
    <row r="347" spans="1:30" ht="15.75" x14ac:dyDescent="0.25">
      <c r="A347" s="14">
        <v>51835</v>
      </c>
      <c r="B347" s="10">
        <f>CHOOSE(CONTROL!$C$42, 9.5741, 9.5741) * CHOOSE(CONTROL!$C$21, $C$9, 100%, $E$9)</f>
        <v>9.5740999999999996</v>
      </c>
      <c r="C347" s="10">
        <f>CHOOSE(CONTROL!$C$42, 9.579, 9.579) * CHOOSE(CONTROL!$C$21, $C$9, 100%, $E$9)</f>
        <v>9.5790000000000006</v>
      </c>
      <c r="D347" s="10">
        <f>CHOOSE(CONTROL!$C$42, 9.6035, 9.6035) * CHOOSE(CONTROL!$C$21, $C$9, 100%, $E$9)</f>
        <v>9.6035000000000004</v>
      </c>
      <c r="E347" s="10">
        <f>CHOOSE(CONTROL!$C$42, 9.6373, 9.6373) * CHOOSE(CONTROL!$C$21, $C$9, 100%, $E$9)</f>
        <v>9.6372999999999998</v>
      </c>
      <c r="F347" s="10">
        <f>CHOOSE(CONTROL!$C$42, 9.5434, 9.5434)*CHOOSE(CONTROL!$C$21, $C$9, 100%, $E$9)</f>
        <v>9.5434000000000001</v>
      </c>
      <c r="G347" s="10">
        <f>CHOOSE(CONTROL!$C$42, 9.5598, 9.5598)*CHOOSE(CONTROL!$C$21, $C$9, 100%, $E$9)</f>
        <v>9.5597999999999992</v>
      </c>
      <c r="H347" s="10">
        <f>CHOOSE(CONTROL!$C$42, 9.6265, 9.6265) * CHOOSE(CONTROL!$C$21, $C$9, 100%, $E$9)</f>
        <v>9.6265000000000001</v>
      </c>
      <c r="I347" s="10">
        <f>CHOOSE(CONTROL!$C$42, 9.5608, 9.5608)* CHOOSE(CONTROL!$C$21, $C$9, 100%, $E$9)</f>
        <v>9.5608000000000004</v>
      </c>
      <c r="J347" s="10">
        <f>CHOOSE(CONTROL!$C$42, 9.5364, 9.5364)* CHOOSE(CONTROL!$C$21, $C$9, 100%, $E$9)</f>
        <v>9.5364000000000004</v>
      </c>
      <c r="K347" s="10">
        <f>CHOOSE(CONTROL!$C$42, 9.4262, 9.4262) * CHOOSE(CONTROL!$C$21, $C$9, 100%, $E$9)</f>
        <v>9.4261999999999997</v>
      </c>
      <c r="L347" s="10">
        <f>CHOOSE(CONTROL!$C$42, 10.2135, 10.2135) * CHOOSE(CONTROL!$C$21, $C$9, 100%, $E$9)</f>
        <v>10.2135</v>
      </c>
      <c r="M347" s="10">
        <f>CHOOSE(CONTROL!$C$42, 9.454, 9.454) * CHOOSE(CONTROL!$C$21, $C$9, 100%, $E$9)</f>
        <v>9.4540000000000006</v>
      </c>
      <c r="N347" s="10">
        <f>CHOOSE(CONTROL!$C$42, 9.4702, 9.4702) * CHOOSE(CONTROL!$C$21, $C$9, 100%, $E$9)</f>
        <v>9.4702000000000002</v>
      </c>
      <c r="O347" s="10">
        <f>CHOOSE(CONTROL!$C$42, 9.5431, 9.5431) * CHOOSE(CONTROL!$C$21, $C$9, 100%, $E$9)</f>
        <v>9.5431000000000008</v>
      </c>
      <c r="P347" s="10">
        <f>CHOOSE(CONTROL!$C$42, 9.4782, 9.4782) * CHOOSE(CONTROL!$C$21, $C$9, 100%, $E$9)</f>
        <v>9.4781999999999993</v>
      </c>
      <c r="Q347" s="10">
        <f>CHOOSE(CONTROL!$C$42, 10.1384, 10.1384) * CHOOSE(CONTROL!$C$21, $C$9, 100%, $E$9)</f>
        <v>10.138400000000001</v>
      </c>
      <c r="R347" s="10">
        <f>CHOOSE(CONTROL!$C$42, 10.7508, 10.7508) * CHOOSE(CONTROL!$C$21, $C$9, 100%, $E$9)</f>
        <v>10.7508</v>
      </c>
      <c r="S347" s="10">
        <f>CHOOSE(CONTROL!$C$42, 9.2953, 9.2953) * CHOOSE(CONTROL!$C$21, $C$9, 100%, $E$9)</f>
        <v>9.2952999999999992</v>
      </c>
      <c r="T3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38">
        <f>(1000*CHOOSE(CONTROL!$C$42, 695, 695)*CHOOSE(CONTROL!$C$42, 0.5599, 0.5599)*CHOOSE(CONTROL!$C$42, 30, 30))/1000000</f>
        <v>11.673914999999997</v>
      </c>
      <c r="V347" s="38">
        <f>(1000*CHOOSE(CONTROL!$C$42, 500, 500)*CHOOSE(CONTROL!$C$42, 0.275, 0.275)*CHOOSE(CONTROL!$C$42, 30, 30))/1000000</f>
        <v>4.125</v>
      </c>
      <c r="W347" s="38">
        <f>(1000*CHOOSE(CONTROL!$C$42, 0.1146, 0.1146)*CHOOSE(CONTROL!$C$42, 121.5, 121.5)*CHOOSE(CONTROL!$C$42, 30, 30))/1000000</f>
        <v>0.417717</v>
      </c>
      <c r="X347" s="38">
        <f>(30*0.1790888*100000/1000000)+(30*0.2374*100000/1000000)</f>
        <v>1.2494664</v>
      </c>
      <c r="Y347" s="38">
        <f>(1000*600*CHOOSE(CONTROL!$C$42, 1.6268, 1.6268)*CHOOSE(CONTROL!$C$42, 30, 30))/1000000</f>
        <v>29.282399999999999</v>
      </c>
      <c r="Z347" s="38"/>
      <c r="AA347" s="10"/>
      <c r="AB347" s="39"/>
      <c r="AC347" s="33">
        <f>(B347*122.58+C347*297.941+D347*89.177+E347*40.302+F347*40+G347*160+H347*0+I347*100+J347*300)/(122.58+297.941+89.177+40.302+0+40+160+100+300)</f>
        <v>9.5658154792173899</v>
      </c>
      <c r="AD347" s="27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9.4987978417266188</v>
      </c>
    </row>
    <row r="348" spans="1:30" ht="15.75" x14ac:dyDescent="0.25">
      <c r="A348" s="14">
        <v>51866</v>
      </c>
      <c r="B348" s="10">
        <f>CHOOSE(CONTROL!$C$42, 10.2266, 10.2266) * CHOOSE(CONTROL!$C$21, $C$9, 100%, $E$9)</f>
        <v>10.226599999999999</v>
      </c>
      <c r="C348" s="10">
        <f>CHOOSE(CONTROL!$C$42, 10.2316, 10.2316) * CHOOSE(CONTROL!$C$21, $C$9, 100%, $E$9)</f>
        <v>10.2316</v>
      </c>
      <c r="D348" s="10">
        <f>CHOOSE(CONTROL!$C$42, 10.256, 10.256) * CHOOSE(CONTROL!$C$21, $C$9, 100%, $E$9)</f>
        <v>10.256</v>
      </c>
      <c r="E348" s="10">
        <f>CHOOSE(CONTROL!$C$42, 10.2898, 10.2898) * CHOOSE(CONTROL!$C$21, $C$9, 100%, $E$9)</f>
        <v>10.2898</v>
      </c>
      <c r="F348" s="10">
        <f>CHOOSE(CONTROL!$C$42, 10.1983, 10.1983)*CHOOSE(CONTROL!$C$21, $C$9, 100%, $E$9)</f>
        <v>10.1983</v>
      </c>
      <c r="G348" s="10">
        <f>CHOOSE(CONTROL!$C$42, 10.2153, 10.2153)*CHOOSE(CONTROL!$C$21, $C$9, 100%, $E$9)</f>
        <v>10.215299999999999</v>
      </c>
      <c r="H348" s="10">
        <f>CHOOSE(CONTROL!$C$42, 10.279, 10.279) * CHOOSE(CONTROL!$C$21, $C$9, 100%, $E$9)</f>
        <v>10.279</v>
      </c>
      <c r="I348" s="10">
        <f>CHOOSE(CONTROL!$C$42, 10.2134, 10.2134)* CHOOSE(CONTROL!$C$21, $C$9, 100%, $E$9)</f>
        <v>10.2134</v>
      </c>
      <c r="J348" s="10">
        <f>CHOOSE(CONTROL!$C$42, 10.1913, 10.1913)* CHOOSE(CONTROL!$C$21, $C$9, 100%, $E$9)</f>
        <v>10.1913</v>
      </c>
      <c r="K348" s="10">
        <f>CHOOSE(CONTROL!$C$42, 10.0652, 10.0652) * CHOOSE(CONTROL!$C$21, $C$9, 100%, $E$9)</f>
        <v>10.065200000000001</v>
      </c>
      <c r="L348" s="10">
        <f>CHOOSE(CONTROL!$C$42, 10.866, 10.866) * CHOOSE(CONTROL!$C$21, $C$9, 100%, $E$9)</f>
        <v>10.866</v>
      </c>
      <c r="M348" s="10">
        <f>CHOOSE(CONTROL!$C$42, 10.1022, 10.1022) * CHOOSE(CONTROL!$C$21, $C$9, 100%, $E$9)</f>
        <v>10.1022</v>
      </c>
      <c r="N348" s="10">
        <f>CHOOSE(CONTROL!$C$42, 10.1191, 10.1191) * CHOOSE(CONTROL!$C$21, $C$9, 100%, $E$9)</f>
        <v>10.1191</v>
      </c>
      <c r="O348" s="10">
        <f>CHOOSE(CONTROL!$C$42, 10.1891, 10.1891) * CHOOSE(CONTROL!$C$21, $C$9, 100%, $E$9)</f>
        <v>10.1891</v>
      </c>
      <c r="P348" s="10">
        <f>CHOOSE(CONTROL!$C$42, 10.1242, 10.1242) * CHOOSE(CONTROL!$C$21, $C$9, 100%, $E$9)</f>
        <v>10.1242</v>
      </c>
      <c r="Q348" s="10">
        <f>CHOOSE(CONTROL!$C$42, 10.7844, 10.7844) * CHOOSE(CONTROL!$C$21, $C$9, 100%, $E$9)</f>
        <v>10.7844</v>
      </c>
      <c r="R348" s="10">
        <f>CHOOSE(CONTROL!$C$42, 11.3984, 11.3984) * CHOOSE(CONTROL!$C$21, $C$9, 100%, $E$9)</f>
        <v>11.398400000000001</v>
      </c>
      <c r="S348" s="10">
        <f>CHOOSE(CONTROL!$C$42, 9.9289, 9.9289) * CHOOSE(CONTROL!$C$21, $C$9, 100%, $E$9)</f>
        <v>9.9289000000000005</v>
      </c>
      <c r="T3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38">
        <f>(1000*CHOOSE(CONTROL!$C$42, 695, 695)*CHOOSE(CONTROL!$C$42, 0.5599, 0.5599)*CHOOSE(CONTROL!$C$42, 31, 31))/1000000</f>
        <v>12.063045499999998</v>
      </c>
      <c r="V348" s="38">
        <f>(1000*CHOOSE(CONTROL!$C$42, 500, 500)*CHOOSE(CONTROL!$C$42, 0.275, 0.275)*CHOOSE(CONTROL!$C$42, 31, 31))/1000000</f>
        <v>4.2625000000000002</v>
      </c>
      <c r="W348" s="38">
        <f>(1000*CHOOSE(CONTROL!$C$42, 0.1146, 0.1146)*CHOOSE(CONTROL!$C$42, 121.5, 121.5)*CHOOSE(CONTROL!$C$42, 31, 31))/1000000</f>
        <v>0.43164089999999994</v>
      </c>
      <c r="X348" s="38">
        <f>(31*0.1790888*100000/1000000)+(31*0.2374*100000/1000000)</f>
        <v>1.2911152800000001</v>
      </c>
      <c r="Y348" s="38">
        <f>(1000*600*CHOOSE(CONTROL!$C$42, 1.6268, 1.6268)*CHOOSE(CONTROL!$C$42, 31, 31))/1000000</f>
        <v>30.258479999999999</v>
      </c>
      <c r="Z348" s="38"/>
      <c r="AA348" s="10"/>
      <c r="AB348" s="39"/>
      <c r="AC348" s="33">
        <f>(B348*122.58+C348*297.941+D348*89.177+E348*40.302+F348*40+G348*160+H348*0+I348*100+J348*300)/(122.58+297.941+89.177+40.302+0+40+160+100+300)</f>
        <v>10.219477039304346</v>
      </c>
      <c r="AD348" s="27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10.145724460431655</v>
      </c>
    </row>
    <row r="349" spans="1:30" ht="15.75" x14ac:dyDescent="0.25">
      <c r="A349" s="14">
        <v>51897</v>
      </c>
      <c r="B349" s="10">
        <f>CHOOSE(CONTROL!$C$42, 10.9167, 10.9167) * CHOOSE(CONTROL!$C$21, $C$9, 100%, $E$9)</f>
        <v>10.916700000000001</v>
      </c>
      <c r="C349" s="10">
        <f>CHOOSE(CONTROL!$C$42, 10.9216, 10.9216) * CHOOSE(CONTROL!$C$21, $C$9, 100%, $E$9)</f>
        <v>10.9216</v>
      </c>
      <c r="D349" s="10">
        <f>CHOOSE(CONTROL!$C$42, 10.9461, 10.9461) * CHOOSE(CONTROL!$C$21, $C$9, 100%, $E$9)</f>
        <v>10.946099999999999</v>
      </c>
      <c r="E349" s="10">
        <f>CHOOSE(CONTROL!$C$42, 10.9799, 10.9799) * CHOOSE(CONTROL!$C$21, $C$9, 100%, $E$9)</f>
        <v>10.979900000000001</v>
      </c>
      <c r="F349" s="10">
        <f>CHOOSE(CONTROL!$C$42, 10.8996, 10.8996)*CHOOSE(CONTROL!$C$21, $C$9, 100%, $E$9)</f>
        <v>10.8996</v>
      </c>
      <c r="G349" s="10">
        <f>CHOOSE(CONTROL!$C$42, 10.9183, 10.9183)*CHOOSE(CONTROL!$C$21, $C$9, 100%, $E$9)</f>
        <v>10.9183</v>
      </c>
      <c r="H349" s="10">
        <f>CHOOSE(CONTROL!$C$42, 10.9691, 10.9691) * CHOOSE(CONTROL!$C$21, $C$9, 100%, $E$9)</f>
        <v>10.969099999999999</v>
      </c>
      <c r="I349" s="10">
        <f>CHOOSE(CONTROL!$C$42, 10.9112, 10.9112)* CHOOSE(CONTROL!$C$21, $C$9, 100%, $E$9)</f>
        <v>10.911199999999999</v>
      </c>
      <c r="J349" s="10">
        <f>CHOOSE(CONTROL!$C$42, 10.8926, 10.8926)* CHOOSE(CONTROL!$C$21, $C$9, 100%, $E$9)</f>
        <v>10.8926</v>
      </c>
      <c r="K349" s="10">
        <f>CHOOSE(CONTROL!$C$42, 10.7566, 10.7566) * CHOOSE(CONTROL!$C$21, $C$9, 100%, $E$9)</f>
        <v>10.756600000000001</v>
      </c>
      <c r="L349" s="10">
        <f>CHOOSE(CONTROL!$C$42, 11.5561, 11.5561) * CHOOSE(CONTROL!$C$21, $C$9, 100%, $E$9)</f>
        <v>11.556100000000001</v>
      </c>
      <c r="M349" s="10">
        <f>CHOOSE(CONTROL!$C$42, 10.7965, 10.7965) * CHOOSE(CONTROL!$C$21, $C$9, 100%, $E$9)</f>
        <v>10.7965</v>
      </c>
      <c r="N349" s="10">
        <f>CHOOSE(CONTROL!$C$42, 10.815, 10.815) * CHOOSE(CONTROL!$C$21, $C$9, 100%, $E$9)</f>
        <v>10.815</v>
      </c>
      <c r="O349" s="10">
        <f>CHOOSE(CONTROL!$C$42, 10.8722, 10.8722) * CHOOSE(CONTROL!$C$21, $C$9, 100%, $E$9)</f>
        <v>10.872199999999999</v>
      </c>
      <c r="P349" s="10">
        <f>CHOOSE(CONTROL!$C$42, 10.8149, 10.8149) * CHOOSE(CONTROL!$C$21, $C$9, 100%, $E$9)</f>
        <v>10.8149</v>
      </c>
      <c r="Q349" s="10">
        <f>CHOOSE(CONTROL!$C$42, 11.4675, 11.4675) * CHOOSE(CONTROL!$C$21, $C$9, 100%, $E$9)</f>
        <v>11.467499999999999</v>
      </c>
      <c r="R349" s="10">
        <f>CHOOSE(CONTROL!$C$42, 12.0832, 12.0832) * CHOOSE(CONTROL!$C$21, $C$9, 100%, $E$9)</f>
        <v>12.0832</v>
      </c>
      <c r="S349" s="10">
        <f>CHOOSE(CONTROL!$C$42, 10.599, 10.599) * CHOOSE(CONTROL!$C$21, $C$9, 100%, $E$9)</f>
        <v>10.599</v>
      </c>
      <c r="T3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38">
        <f>(1000*CHOOSE(CONTROL!$C$42, 695, 695)*CHOOSE(CONTROL!$C$42, 0.5599, 0.5599)*CHOOSE(CONTROL!$C$42, 31, 31))/1000000</f>
        <v>12.063045499999998</v>
      </c>
      <c r="V349" s="38">
        <f>(1000*CHOOSE(CONTROL!$C$42, 500, 500)*CHOOSE(CONTROL!$C$42, 0.275, 0.275)*CHOOSE(CONTROL!$C$42, 31, 31))/1000000</f>
        <v>4.2625000000000002</v>
      </c>
      <c r="W349" s="38">
        <f>(1000*CHOOSE(CONTROL!$C$42, 0.1146, 0.1146)*CHOOSE(CONTROL!$C$42, 121.5, 121.5)*CHOOSE(CONTROL!$C$42, 31, 31))/1000000</f>
        <v>0.43164089999999994</v>
      </c>
      <c r="X349" s="38">
        <f>(31*0.1790888*100000/1000000)+(31*0.2374*100000/1000000)</f>
        <v>1.2911152800000001</v>
      </c>
      <c r="Y349" s="38">
        <f>(1000*600*CHOOSE(CONTROL!$C$42, 1.1072, 1.1072)*CHOOSE(CONTROL!$C$42, 31, 31))/1000000</f>
        <v>20.593920000000001</v>
      </c>
      <c r="Z349" s="38"/>
      <c r="AA349" s="10"/>
      <c r="AB349" s="39"/>
      <c r="AC349" s="33">
        <f>(B349*122.58+C349*297.941+D349*89.177+E349*40.302+F349*40+G349*160+H349*0+I349*100+J349*300)/(122.58+297.941+89.177+40.302+0+40+160+100+300)</f>
        <v>10.915326783565217</v>
      </c>
      <c r="AD349" s="27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10.834522302158273</v>
      </c>
    </row>
    <row r="350" spans="1:30" ht="15.75" x14ac:dyDescent="0.25">
      <c r="A350" s="14">
        <v>51925</v>
      </c>
      <c r="B350" s="10">
        <f>CHOOSE(CONTROL!$C$42, 11.1109, 11.1109) * CHOOSE(CONTROL!$C$21, $C$9, 100%, $E$9)</f>
        <v>11.110900000000001</v>
      </c>
      <c r="C350" s="10">
        <f>CHOOSE(CONTROL!$C$42, 11.1159, 11.1159) * CHOOSE(CONTROL!$C$21, $C$9, 100%, $E$9)</f>
        <v>11.1159</v>
      </c>
      <c r="D350" s="10">
        <f>CHOOSE(CONTROL!$C$42, 11.1404, 11.1404) * CHOOSE(CONTROL!$C$21, $C$9, 100%, $E$9)</f>
        <v>11.1404</v>
      </c>
      <c r="E350" s="10">
        <f>CHOOSE(CONTROL!$C$42, 11.1741, 11.1741) * CHOOSE(CONTROL!$C$21, $C$9, 100%, $E$9)</f>
        <v>11.174099999999999</v>
      </c>
      <c r="F350" s="10">
        <f>CHOOSE(CONTROL!$C$42, 11.0932, 11.0932)*CHOOSE(CONTROL!$C$21, $C$9, 100%, $E$9)</f>
        <v>11.0932</v>
      </c>
      <c r="G350" s="10">
        <f>CHOOSE(CONTROL!$C$42, 11.1117, 11.1117)*CHOOSE(CONTROL!$C$21, $C$9, 100%, $E$9)</f>
        <v>11.111700000000001</v>
      </c>
      <c r="H350" s="10">
        <f>CHOOSE(CONTROL!$C$42, 11.1633, 11.1633) * CHOOSE(CONTROL!$C$21, $C$9, 100%, $E$9)</f>
        <v>11.1633</v>
      </c>
      <c r="I350" s="10">
        <f>CHOOSE(CONTROL!$C$42, 11.1054, 11.1054)* CHOOSE(CONTROL!$C$21, $C$9, 100%, $E$9)</f>
        <v>11.105399999999999</v>
      </c>
      <c r="J350" s="10">
        <f>CHOOSE(CONTROL!$C$42, 11.0862, 11.0862)* CHOOSE(CONTROL!$C$21, $C$9, 100%, $E$9)</f>
        <v>11.0862</v>
      </c>
      <c r="K350" s="10">
        <f>CHOOSE(CONTROL!$C$42, 10.9439, 10.9439) * CHOOSE(CONTROL!$C$21, $C$9, 100%, $E$9)</f>
        <v>10.943899999999999</v>
      </c>
      <c r="L350" s="10">
        <f>CHOOSE(CONTROL!$C$42, 11.7503, 11.7503) * CHOOSE(CONTROL!$C$21, $C$9, 100%, $E$9)</f>
        <v>11.750299999999999</v>
      </c>
      <c r="M350" s="10">
        <f>CHOOSE(CONTROL!$C$42, 10.9882, 10.9882) * CHOOSE(CONTROL!$C$21, $C$9, 100%, $E$9)</f>
        <v>10.988200000000001</v>
      </c>
      <c r="N350" s="10">
        <f>CHOOSE(CONTROL!$C$42, 11.0064, 11.0064) * CHOOSE(CONTROL!$C$21, $C$9, 100%, $E$9)</f>
        <v>11.006399999999999</v>
      </c>
      <c r="O350" s="10">
        <f>CHOOSE(CONTROL!$C$42, 11.0645, 11.0645) * CHOOSE(CONTROL!$C$21, $C$9, 100%, $E$9)</f>
        <v>11.064500000000001</v>
      </c>
      <c r="P350" s="10">
        <f>CHOOSE(CONTROL!$C$42, 11.0072, 11.0072) * CHOOSE(CONTROL!$C$21, $C$9, 100%, $E$9)</f>
        <v>11.007199999999999</v>
      </c>
      <c r="Q350" s="10">
        <f>CHOOSE(CONTROL!$C$42, 11.6598, 11.6598) * CHOOSE(CONTROL!$C$21, $C$9, 100%, $E$9)</f>
        <v>11.659800000000001</v>
      </c>
      <c r="R350" s="10">
        <f>CHOOSE(CONTROL!$C$42, 12.276, 12.276) * CHOOSE(CONTROL!$C$21, $C$9, 100%, $E$9)</f>
        <v>12.276</v>
      </c>
      <c r="S350" s="10">
        <f>CHOOSE(CONTROL!$C$42, 10.7877, 10.7877) * CHOOSE(CONTROL!$C$21, $C$9, 100%, $E$9)</f>
        <v>10.787699999999999</v>
      </c>
      <c r="T3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38">
        <f>(1000*CHOOSE(CONTROL!$C$42, 695, 695)*CHOOSE(CONTROL!$C$42, 0.5599, 0.5599)*CHOOSE(CONTROL!$C$42, 28, 28))/1000000</f>
        <v>10.895653999999999</v>
      </c>
      <c r="V350" s="38">
        <f>(1000*CHOOSE(CONTROL!$C$42, 500, 500)*CHOOSE(CONTROL!$C$42, 0.275, 0.275)*CHOOSE(CONTROL!$C$42, 28, 28))/1000000</f>
        <v>3.85</v>
      </c>
      <c r="W350" s="38">
        <f>(1000*CHOOSE(CONTROL!$C$42, 0.1146, 0.1146)*CHOOSE(CONTROL!$C$42, 121.5, 121.5)*CHOOSE(CONTROL!$C$42, 28, 28))/1000000</f>
        <v>0.38986920000000003</v>
      </c>
      <c r="X350" s="38">
        <f>(28*0.1790888*100000/1000000)+(28*0.2374*100000/1000000)</f>
        <v>1.16616864</v>
      </c>
      <c r="Y350" s="38">
        <f>(1000*600*CHOOSE(CONTROL!$C$42, 1.1072, 1.1072)*CHOOSE(CONTROL!$C$42, 28, 28))/1000000</f>
        <v>18.600960000000001</v>
      </c>
      <c r="Z350" s="38"/>
      <c r="AA350" s="10"/>
      <c r="AB350" s="39"/>
      <c r="AC350" s="33">
        <f>(B350*122.58+C350*297.941+D350*89.177+E350*40.302+F350*40+G350*160+H350*0+I350*100+J350*300)/(122.58+297.941+89.177+40.302+0+40+160+100+300)</f>
        <v>11.109271750347824</v>
      </c>
      <c r="AD350" s="27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11.026563309352518</v>
      </c>
    </row>
    <row r="351" spans="1:30" ht="15.75" x14ac:dyDescent="0.25">
      <c r="A351" s="14">
        <v>51956</v>
      </c>
      <c r="B351" s="10">
        <f>CHOOSE(CONTROL!$C$42, 10.7956, 10.7956) * CHOOSE(CONTROL!$C$21, $C$9, 100%, $E$9)</f>
        <v>10.7956</v>
      </c>
      <c r="C351" s="10">
        <f>CHOOSE(CONTROL!$C$42, 10.8005, 10.8005) * CHOOSE(CONTROL!$C$21, $C$9, 100%, $E$9)</f>
        <v>10.8005</v>
      </c>
      <c r="D351" s="10">
        <f>CHOOSE(CONTROL!$C$42, 10.825, 10.825) * CHOOSE(CONTROL!$C$21, $C$9, 100%, $E$9)</f>
        <v>10.824999999999999</v>
      </c>
      <c r="E351" s="10">
        <f>CHOOSE(CONTROL!$C$42, 10.8588, 10.8588) * CHOOSE(CONTROL!$C$21, $C$9, 100%, $E$9)</f>
        <v>10.8588</v>
      </c>
      <c r="F351" s="10">
        <f>CHOOSE(CONTROL!$C$42, 10.7763, 10.7763)*CHOOSE(CONTROL!$C$21, $C$9, 100%, $E$9)</f>
        <v>10.776300000000001</v>
      </c>
      <c r="G351" s="10">
        <f>CHOOSE(CONTROL!$C$42, 10.7944, 10.7944)*CHOOSE(CONTROL!$C$21, $C$9, 100%, $E$9)</f>
        <v>10.7944</v>
      </c>
      <c r="H351" s="10">
        <f>CHOOSE(CONTROL!$C$42, 10.848, 10.848) * CHOOSE(CONTROL!$C$21, $C$9, 100%, $E$9)</f>
        <v>10.848000000000001</v>
      </c>
      <c r="I351" s="10">
        <f>CHOOSE(CONTROL!$C$42, 10.7901, 10.7901)* CHOOSE(CONTROL!$C$21, $C$9, 100%, $E$9)</f>
        <v>10.790100000000001</v>
      </c>
      <c r="J351" s="10">
        <f>CHOOSE(CONTROL!$C$42, 10.7693, 10.7693)* CHOOSE(CONTROL!$C$21, $C$9, 100%, $E$9)</f>
        <v>10.769299999999999</v>
      </c>
      <c r="K351" s="10">
        <f>CHOOSE(CONTROL!$C$42, 10.6342, 10.6342) * CHOOSE(CONTROL!$C$21, $C$9, 100%, $E$9)</f>
        <v>10.6342</v>
      </c>
      <c r="L351" s="10">
        <f>CHOOSE(CONTROL!$C$42, 11.435, 11.435) * CHOOSE(CONTROL!$C$21, $C$9, 100%, $E$9)</f>
        <v>11.435</v>
      </c>
      <c r="M351" s="10">
        <f>CHOOSE(CONTROL!$C$42, 10.6745, 10.6745) * CHOOSE(CONTROL!$C$21, $C$9, 100%, $E$9)</f>
        <v>10.6745</v>
      </c>
      <c r="N351" s="10">
        <f>CHOOSE(CONTROL!$C$42, 10.6923, 10.6923) * CHOOSE(CONTROL!$C$21, $C$9, 100%, $E$9)</f>
        <v>10.692299999999999</v>
      </c>
      <c r="O351" s="10">
        <f>CHOOSE(CONTROL!$C$42, 10.7523, 10.7523) * CHOOSE(CONTROL!$C$21, $C$9, 100%, $E$9)</f>
        <v>10.7523</v>
      </c>
      <c r="P351" s="10">
        <f>CHOOSE(CONTROL!$C$42, 10.6951, 10.6951) * CHOOSE(CONTROL!$C$21, $C$9, 100%, $E$9)</f>
        <v>10.6951</v>
      </c>
      <c r="Q351" s="10">
        <f>CHOOSE(CONTROL!$C$42, 11.3476, 11.3476) * CHOOSE(CONTROL!$C$21, $C$9, 100%, $E$9)</f>
        <v>11.3476</v>
      </c>
      <c r="R351" s="10">
        <f>CHOOSE(CONTROL!$C$42, 11.963, 11.963) * CHOOSE(CONTROL!$C$21, $C$9, 100%, $E$9)</f>
        <v>11.962999999999999</v>
      </c>
      <c r="S351" s="10">
        <f>CHOOSE(CONTROL!$C$42, 10.4815, 10.4815) * CHOOSE(CONTROL!$C$21, $C$9, 100%, $E$9)</f>
        <v>10.4815</v>
      </c>
      <c r="T3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38">
        <f>(1000*CHOOSE(CONTROL!$C$42, 695, 695)*CHOOSE(CONTROL!$C$42, 0.5599, 0.5599)*CHOOSE(CONTROL!$C$42, 31, 31))/1000000</f>
        <v>12.063045499999998</v>
      </c>
      <c r="V351" s="38">
        <f>(1000*CHOOSE(CONTROL!$C$42, 500, 500)*CHOOSE(CONTROL!$C$42, 0.275, 0.275)*CHOOSE(CONTROL!$C$42, 31, 31))/1000000</f>
        <v>4.2625000000000002</v>
      </c>
      <c r="W351" s="38">
        <f>(1000*CHOOSE(CONTROL!$C$42, 0.1146, 0.1146)*CHOOSE(CONTROL!$C$42, 121.5, 121.5)*CHOOSE(CONTROL!$C$42, 31, 31))/1000000</f>
        <v>0.43164089999999994</v>
      </c>
      <c r="X351" s="38">
        <f>(31*0.1790888*100000/1000000)+(31*0.2374*100000/1000000)</f>
        <v>1.2911152800000001</v>
      </c>
      <c r="Y351" s="38">
        <f>(1000*600*CHOOSE(CONTROL!$C$42, 1.1072, 1.1072)*CHOOSE(CONTROL!$C$42, 31, 31))/1000000</f>
        <v>20.593920000000001</v>
      </c>
      <c r="Z351" s="38"/>
      <c r="AA351" s="10"/>
      <c r="AB351" s="39"/>
      <c r="AC351" s="33">
        <f>(B351*122.58+C351*297.941+D351*89.177+E351*40.302+F351*40+G351*160+H351*0+I351*100+J351*300)/(122.58+297.941+89.177+40.302+0+40+160+100+300)</f>
        <v>10.793186783565217</v>
      </c>
      <c r="AD351" s="27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10.713750359712231</v>
      </c>
    </row>
    <row r="352" spans="1:30" ht="15.75" x14ac:dyDescent="0.25">
      <c r="A352" s="14">
        <v>51986</v>
      </c>
      <c r="B352" s="10">
        <f>CHOOSE(CONTROL!$C$42, 10.764, 10.764) * CHOOSE(CONTROL!$C$21, $C$9, 100%, $E$9)</f>
        <v>10.763999999999999</v>
      </c>
      <c r="C352" s="10">
        <f>CHOOSE(CONTROL!$C$42, 10.7684, 10.7684) * CHOOSE(CONTROL!$C$21, $C$9, 100%, $E$9)</f>
        <v>10.7684</v>
      </c>
      <c r="D352" s="10">
        <f>CHOOSE(CONTROL!$C$42, 10.9486, 10.9486) * CHOOSE(CONTROL!$C$21, $C$9, 100%, $E$9)</f>
        <v>10.948600000000001</v>
      </c>
      <c r="E352" s="10">
        <f>CHOOSE(CONTROL!$C$42, 10.9803, 10.9803) * CHOOSE(CONTROL!$C$21, $C$9, 100%, $E$9)</f>
        <v>10.9803</v>
      </c>
      <c r="F352" s="10">
        <f>CHOOSE(CONTROL!$C$42, 10.7294, 10.7294)*CHOOSE(CONTROL!$C$21, $C$9, 100%, $E$9)</f>
        <v>10.7294</v>
      </c>
      <c r="G352" s="10">
        <f>CHOOSE(CONTROL!$C$42, 10.7456, 10.7456)*CHOOSE(CONTROL!$C$21, $C$9, 100%, $E$9)</f>
        <v>10.7456</v>
      </c>
      <c r="H352" s="10">
        <f>CHOOSE(CONTROL!$C$42, 10.9701, 10.9701) * CHOOSE(CONTROL!$C$21, $C$9, 100%, $E$9)</f>
        <v>10.9701</v>
      </c>
      <c r="I352" s="10">
        <f>CHOOSE(CONTROL!$C$42, 10.75, 10.75)* CHOOSE(CONTROL!$C$21, $C$9, 100%, $E$9)</f>
        <v>10.75</v>
      </c>
      <c r="J352" s="10">
        <f>CHOOSE(CONTROL!$C$42, 10.7224, 10.7224)* CHOOSE(CONTROL!$C$21, $C$9, 100%, $E$9)</f>
        <v>10.7224</v>
      </c>
      <c r="K352" s="10">
        <f>CHOOSE(CONTROL!$C$42, 10.5803, 10.5803) * CHOOSE(CONTROL!$C$21, $C$9, 100%, $E$9)</f>
        <v>10.580299999999999</v>
      </c>
      <c r="L352" s="10">
        <f>CHOOSE(CONTROL!$C$42, 11.5571, 11.5571) * CHOOSE(CONTROL!$C$21, $C$9, 100%, $E$9)</f>
        <v>11.5571</v>
      </c>
      <c r="M352" s="10">
        <f>CHOOSE(CONTROL!$C$42, 10.628, 10.628) * CHOOSE(CONTROL!$C$21, $C$9, 100%, $E$9)</f>
        <v>10.628</v>
      </c>
      <c r="N352" s="10">
        <f>CHOOSE(CONTROL!$C$42, 10.6441, 10.6441) * CHOOSE(CONTROL!$C$21, $C$9, 100%, $E$9)</f>
        <v>10.6441</v>
      </c>
      <c r="O352" s="10">
        <f>CHOOSE(CONTROL!$C$42, 10.8732, 10.8732) * CHOOSE(CONTROL!$C$21, $C$9, 100%, $E$9)</f>
        <v>10.873200000000001</v>
      </c>
      <c r="P352" s="10">
        <f>CHOOSE(CONTROL!$C$42, 10.6554, 10.6554) * CHOOSE(CONTROL!$C$21, $C$9, 100%, $E$9)</f>
        <v>10.6554</v>
      </c>
      <c r="Q352" s="10">
        <f>CHOOSE(CONTROL!$C$42, 11.4685, 11.4685) * CHOOSE(CONTROL!$C$21, $C$9, 100%, $E$9)</f>
        <v>11.468500000000001</v>
      </c>
      <c r="R352" s="10">
        <f>CHOOSE(CONTROL!$C$42, 12.0842, 12.0842) * CHOOSE(CONTROL!$C$21, $C$9, 100%, $E$9)</f>
        <v>12.084199999999999</v>
      </c>
      <c r="S352" s="10">
        <f>CHOOSE(CONTROL!$C$42, 10.4501, 10.4501) * CHOOSE(CONTROL!$C$21, $C$9, 100%, $E$9)</f>
        <v>10.450100000000001</v>
      </c>
      <c r="T3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38">
        <f>(1000*CHOOSE(CONTROL!$C$42, 695, 695)*CHOOSE(CONTROL!$C$42, 0.5599, 0.5599)*CHOOSE(CONTROL!$C$42, 30, 30))/1000000</f>
        <v>11.673914999999997</v>
      </c>
      <c r="V352" s="38">
        <f>(1000*CHOOSE(CONTROL!$C$42, 500, 500)*CHOOSE(CONTROL!$C$42, 0.275, 0.275)*CHOOSE(CONTROL!$C$42, 30, 30))/1000000</f>
        <v>4.125</v>
      </c>
      <c r="W352" s="38">
        <f>(1000*CHOOSE(CONTROL!$C$42, 0.1146, 0.1146)*CHOOSE(CONTROL!$C$42, 121.5, 121.5)*CHOOSE(CONTROL!$C$42, 30, 30))/1000000</f>
        <v>0.417717</v>
      </c>
      <c r="X352" s="38">
        <f>(30*0.1790888*245000/1000000)+(30*0.2374*100000/1000000)</f>
        <v>2.0285026799999999</v>
      </c>
      <c r="Y352" s="38">
        <f>(1000*600*CHOOSE(CONTROL!$C$42, 1.1072, 1.1072)*CHOOSE(CONTROL!$C$42, 30, 30))/1000000</f>
        <v>19.929600000000001</v>
      </c>
      <c r="Z352" s="38"/>
      <c r="AA352" s="10"/>
      <c r="AB352" s="39"/>
      <c r="AC352" s="33">
        <f>(B352*141.293+C352*267.993+D352*115.016+E352*89.698+F352*40+G352*185+H352*0+I352*100+J352*300)/(141.293+267.993+115.016+89.698+0+40+185+100+300)</f>
        <v>10.782680226150122</v>
      </c>
      <c r="AD352" s="27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10.704446043165468</v>
      </c>
    </row>
    <row r="353" spans="1:30" ht="15.75" x14ac:dyDescent="0.25">
      <c r="A353" s="14">
        <v>52017</v>
      </c>
      <c r="B353" s="10">
        <f>CHOOSE(CONTROL!$C$42, 10.8608, 10.8608) * CHOOSE(CONTROL!$C$21, $C$9, 100%, $E$9)</f>
        <v>10.860799999999999</v>
      </c>
      <c r="C353" s="10">
        <f>CHOOSE(CONTROL!$C$42, 10.8687, 10.8687) * CHOOSE(CONTROL!$C$21, $C$9, 100%, $E$9)</f>
        <v>10.8687</v>
      </c>
      <c r="D353" s="10">
        <f>CHOOSE(CONTROL!$C$42, 11.0457, 11.0457) * CHOOSE(CONTROL!$C$21, $C$9, 100%, $E$9)</f>
        <v>11.0457</v>
      </c>
      <c r="E353" s="10">
        <f>CHOOSE(CONTROL!$C$42, 11.0768, 11.0768) * CHOOSE(CONTROL!$C$21, $C$9, 100%, $E$9)</f>
        <v>11.0768</v>
      </c>
      <c r="F353" s="10">
        <f>CHOOSE(CONTROL!$C$42, 10.8242, 10.8242)*CHOOSE(CONTROL!$C$21, $C$9, 100%, $E$9)</f>
        <v>10.824199999999999</v>
      </c>
      <c r="G353" s="10">
        <f>CHOOSE(CONTROL!$C$42, 10.8407, 10.8407)*CHOOSE(CONTROL!$C$21, $C$9, 100%, $E$9)</f>
        <v>10.8407</v>
      </c>
      <c r="H353" s="10">
        <f>CHOOSE(CONTROL!$C$42, 11.0655, 11.0655) * CHOOSE(CONTROL!$C$21, $C$9, 100%, $E$9)</f>
        <v>11.0655</v>
      </c>
      <c r="I353" s="10">
        <f>CHOOSE(CONTROL!$C$42, 10.8454, 10.8454)* CHOOSE(CONTROL!$C$21, $C$9, 100%, $E$9)</f>
        <v>10.8454</v>
      </c>
      <c r="J353" s="10">
        <f>CHOOSE(CONTROL!$C$42, 10.8172, 10.8172)* CHOOSE(CONTROL!$C$21, $C$9, 100%, $E$9)</f>
        <v>10.8172</v>
      </c>
      <c r="K353" s="10">
        <f>CHOOSE(CONTROL!$C$42, 10.6717, 10.6717) * CHOOSE(CONTROL!$C$21, $C$9, 100%, $E$9)</f>
        <v>10.6717</v>
      </c>
      <c r="L353" s="10">
        <f>CHOOSE(CONTROL!$C$42, 11.6525, 11.6525) * CHOOSE(CONTROL!$C$21, $C$9, 100%, $E$9)</f>
        <v>11.6525</v>
      </c>
      <c r="M353" s="10">
        <f>CHOOSE(CONTROL!$C$42, 10.7218, 10.7218) * CHOOSE(CONTROL!$C$21, $C$9, 100%, $E$9)</f>
        <v>10.7218</v>
      </c>
      <c r="N353" s="10">
        <f>CHOOSE(CONTROL!$C$42, 10.7382, 10.7382) * CHOOSE(CONTROL!$C$21, $C$9, 100%, $E$9)</f>
        <v>10.738200000000001</v>
      </c>
      <c r="O353" s="10">
        <f>CHOOSE(CONTROL!$C$42, 10.9676, 10.9676) * CHOOSE(CONTROL!$C$21, $C$9, 100%, $E$9)</f>
        <v>10.967599999999999</v>
      </c>
      <c r="P353" s="10">
        <f>CHOOSE(CONTROL!$C$42, 10.7498, 10.7498) * CHOOSE(CONTROL!$C$21, $C$9, 100%, $E$9)</f>
        <v>10.7498</v>
      </c>
      <c r="Q353" s="10">
        <f>CHOOSE(CONTROL!$C$42, 11.5629, 11.5629) * CHOOSE(CONTROL!$C$21, $C$9, 100%, $E$9)</f>
        <v>11.562900000000001</v>
      </c>
      <c r="R353" s="10">
        <f>CHOOSE(CONTROL!$C$42, 12.1788, 12.1788) * CHOOSE(CONTROL!$C$21, $C$9, 100%, $E$9)</f>
        <v>12.178800000000001</v>
      </c>
      <c r="S353" s="10">
        <f>CHOOSE(CONTROL!$C$42, 10.5427, 10.5427) * CHOOSE(CONTROL!$C$21, $C$9, 100%, $E$9)</f>
        <v>10.5427</v>
      </c>
      <c r="T3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38">
        <f>(1000*CHOOSE(CONTROL!$C$42, 695, 695)*CHOOSE(CONTROL!$C$42, 0.5599, 0.5599)*CHOOSE(CONTROL!$C$42, 31, 31))/1000000</f>
        <v>12.063045499999998</v>
      </c>
      <c r="V353" s="38">
        <f>(1000*CHOOSE(CONTROL!$C$42, 500, 500)*CHOOSE(CONTROL!$C$42, 0.275, 0.275)*CHOOSE(CONTROL!$C$42, 31, 31))/1000000</f>
        <v>4.2625000000000002</v>
      </c>
      <c r="W353" s="38">
        <f>(1000*CHOOSE(CONTROL!$C$42, 0.1146, 0.1146)*CHOOSE(CONTROL!$C$42, 121.5, 121.5)*CHOOSE(CONTROL!$C$42, 31, 31))/1000000</f>
        <v>0.43164089999999994</v>
      </c>
      <c r="X353" s="38">
        <f>(31*0.1790888*245000/1000000)+(31*0.2374*100000/1000000)</f>
        <v>2.0961194359999999</v>
      </c>
      <c r="Y353" s="38">
        <f>(1000*600*CHOOSE(CONTROL!$C$42, 1.1072, 1.1072)*CHOOSE(CONTROL!$C$42, 31, 31))/1000000</f>
        <v>20.593920000000001</v>
      </c>
      <c r="Z353" s="38"/>
      <c r="AA353" s="10"/>
      <c r="AB353" s="39"/>
      <c r="AC353" s="33">
        <f>(B353*194.205+C353*267.466+D353*133.845+E353*53.484+F353*40+G353*185+H353*0+I353*100+J353*300)/(194.205+267.466+133.845+53.484+0+40+185+100+300)</f>
        <v>10.875408293485085</v>
      </c>
      <c r="AD353" s="27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10.798569784172662</v>
      </c>
    </row>
    <row r="354" spans="1:30" ht="15.75" x14ac:dyDescent="0.25">
      <c r="A354" s="14">
        <v>52047</v>
      </c>
      <c r="B354" s="10">
        <f>CHOOSE(CONTROL!$C$42, 11.1687, 11.1687) * CHOOSE(CONTROL!$C$21, $C$9, 100%, $E$9)</f>
        <v>11.168699999999999</v>
      </c>
      <c r="C354" s="10">
        <f>CHOOSE(CONTROL!$C$42, 11.1766, 11.1766) * CHOOSE(CONTROL!$C$21, $C$9, 100%, $E$9)</f>
        <v>11.176600000000001</v>
      </c>
      <c r="D354" s="10">
        <f>CHOOSE(CONTROL!$C$42, 11.3536, 11.3536) * CHOOSE(CONTROL!$C$21, $C$9, 100%, $E$9)</f>
        <v>11.3536</v>
      </c>
      <c r="E354" s="10">
        <f>CHOOSE(CONTROL!$C$42, 11.3848, 11.3848) * CHOOSE(CONTROL!$C$21, $C$9, 100%, $E$9)</f>
        <v>11.3848</v>
      </c>
      <c r="F354" s="10">
        <f>CHOOSE(CONTROL!$C$42, 11.1323, 11.1323)*CHOOSE(CONTROL!$C$21, $C$9, 100%, $E$9)</f>
        <v>11.132300000000001</v>
      </c>
      <c r="G354" s="10">
        <f>CHOOSE(CONTROL!$C$42, 11.1488, 11.1488)*CHOOSE(CONTROL!$C$21, $C$9, 100%, $E$9)</f>
        <v>11.1488</v>
      </c>
      <c r="H354" s="10">
        <f>CHOOSE(CONTROL!$C$42, 11.3734, 11.3734) * CHOOSE(CONTROL!$C$21, $C$9, 100%, $E$9)</f>
        <v>11.3734</v>
      </c>
      <c r="I354" s="10">
        <f>CHOOSE(CONTROL!$C$42, 11.1533, 11.1533)* CHOOSE(CONTROL!$C$21, $C$9, 100%, $E$9)</f>
        <v>11.1533</v>
      </c>
      <c r="J354" s="10">
        <f>CHOOSE(CONTROL!$C$42, 11.1253, 11.1253)* CHOOSE(CONTROL!$C$21, $C$9, 100%, $E$9)</f>
        <v>11.125299999999999</v>
      </c>
      <c r="K354" s="10">
        <f>CHOOSE(CONTROL!$C$42, 10.9712, 10.9712) * CHOOSE(CONTROL!$C$21, $C$9, 100%, $E$9)</f>
        <v>10.9712</v>
      </c>
      <c r="L354" s="10">
        <f>CHOOSE(CONTROL!$C$42, 11.9604, 11.9604) * CHOOSE(CONTROL!$C$21, $C$9, 100%, $E$9)</f>
        <v>11.9604</v>
      </c>
      <c r="M354" s="10">
        <f>CHOOSE(CONTROL!$C$42, 11.0268, 11.0268) * CHOOSE(CONTROL!$C$21, $C$9, 100%, $E$9)</f>
        <v>11.0268</v>
      </c>
      <c r="N354" s="10">
        <f>CHOOSE(CONTROL!$C$42, 11.0432, 11.0432) * CHOOSE(CONTROL!$C$21, $C$9, 100%, $E$9)</f>
        <v>11.043200000000001</v>
      </c>
      <c r="O354" s="10">
        <f>CHOOSE(CONTROL!$C$42, 11.2725, 11.2725) * CHOOSE(CONTROL!$C$21, $C$9, 100%, $E$9)</f>
        <v>11.272500000000001</v>
      </c>
      <c r="P354" s="10">
        <f>CHOOSE(CONTROL!$C$42, 11.0546, 11.0546) * CHOOSE(CONTROL!$C$21, $C$9, 100%, $E$9)</f>
        <v>11.054600000000001</v>
      </c>
      <c r="Q354" s="10">
        <f>CHOOSE(CONTROL!$C$42, 11.8678, 11.8678) * CHOOSE(CONTROL!$C$21, $C$9, 100%, $E$9)</f>
        <v>11.867800000000001</v>
      </c>
      <c r="R354" s="10">
        <f>CHOOSE(CONTROL!$C$42, 12.4844, 12.4844) * CHOOSE(CONTROL!$C$21, $C$9, 100%, $E$9)</f>
        <v>12.484400000000001</v>
      </c>
      <c r="S354" s="10">
        <f>CHOOSE(CONTROL!$C$42, 10.8417, 10.8417) * CHOOSE(CONTROL!$C$21, $C$9, 100%, $E$9)</f>
        <v>10.841699999999999</v>
      </c>
      <c r="T3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38">
        <f>(1000*CHOOSE(CONTROL!$C$42, 695, 695)*CHOOSE(CONTROL!$C$42, 0.5599, 0.5599)*CHOOSE(CONTROL!$C$42, 30, 30))/1000000</f>
        <v>11.673914999999997</v>
      </c>
      <c r="V354" s="38">
        <f>(1000*CHOOSE(CONTROL!$C$42, 500, 500)*CHOOSE(CONTROL!$C$42, 0.275, 0.275)*CHOOSE(CONTROL!$C$42, 30, 30))/1000000</f>
        <v>4.125</v>
      </c>
      <c r="W354" s="38">
        <f>(1000*CHOOSE(CONTROL!$C$42, 0.1146, 0.1146)*CHOOSE(CONTROL!$C$42, 121.5, 121.5)*CHOOSE(CONTROL!$C$42, 30, 30))/1000000</f>
        <v>0.417717</v>
      </c>
      <c r="X354" s="38">
        <f>(30*0.1790888*245000/1000000)+(30*0.2374*100000/1000000)</f>
        <v>2.0285026799999999</v>
      </c>
      <c r="Y354" s="38">
        <f>(1000*600*CHOOSE(CONTROL!$C$42, 1.1072, 1.1072)*CHOOSE(CONTROL!$C$42, 30, 30))/1000000</f>
        <v>19.929600000000001</v>
      </c>
      <c r="Z354" s="38"/>
      <c r="AA354" s="10"/>
      <c r="AB354" s="39"/>
      <c r="AC354" s="33">
        <f>(B354*194.205+C354*267.466+D354*133.845+E354*53.484+F354*40+G354*185+H354*0+I354*100+J354*300)/(194.205+267.466+133.845+53.484+0+40+185+100+300)</f>
        <v>11.183394909183672</v>
      </c>
      <c r="AD354" s="27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11.103512949640288</v>
      </c>
    </row>
    <row r="355" spans="1:30" ht="15.75" x14ac:dyDescent="0.25">
      <c r="A355" s="14">
        <v>52078</v>
      </c>
      <c r="B355" s="10">
        <f>CHOOSE(CONTROL!$C$42, 10.9546, 10.9546) * CHOOSE(CONTROL!$C$21, $C$9, 100%, $E$9)</f>
        <v>10.954599999999999</v>
      </c>
      <c r="C355" s="10">
        <f>CHOOSE(CONTROL!$C$42, 10.9625, 10.9625) * CHOOSE(CONTROL!$C$21, $C$9, 100%, $E$9)</f>
        <v>10.9625</v>
      </c>
      <c r="D355" s="10">
        <f>CHOOSE(CONTROL!$C$42, 11.1395, 11.1395) * CHOOSE(CONTROL!$C$21, $C$9, 100%, $E$9)</f>
        <v>11.1395</v>
      </c>
      <c r="E355" s="10">
        <f>CHOOSE(CONTROL!$C$42, 11.1706, 11.1706) * CHOOSE(CONTROL!$C$21, $C$9, 100%, $E$9)</f>
        <v>11.1706</v>
      </c>
      <c r="F355" s="10">
        <f>CHOOSE(CONTROL!$C$42, 10.9184, 10.9184)*CHOOSE(CONTROL!$C$21, $C$9, 100%, $E$9)</f>
        <v>10.9184</v>
      </c>
      <c r="G355" s="10">
        <f>CHOOSE(CONTROL!$C$42, 10.935, 10.935)*CHOOSE(CONTROL!$C$21, $C$9, 100%, $E$9)</f>
        <v>10.935</v>
      </c>
      <c r="H355" s="10">
        <f>CHOOSE(CONTROL!$C$42, 11.1592, 11.1592) * CHOOSE(CONTROL!$C$21, $C$9, 100%, $E$9)</f>
        <v>11.1592</v>
      </c>
      <c r="I355" s="10">
        <f>CHOOSE(CONTROL!$C$42, 10.9392, 10.9392)* CHOOSE(CONTROL!$C$21, $C$9, 100%, $E$9)</f>
        <v>10.9392</v>
      </c>
      <c r="J355" s="10">
        <f>CHOOSE(CONTROL!$C$42, 10.9114, 10.9114)* CHOOSE(CONTROL!$C$21, $C$9, 100%, $E$9)</f>
        <v>10.9114</v>
      </c>
      <c r="K355" s="10">
        <f>CHOOSE(CONTROL!$C$42, 10.7637, 10.7637) * CHOOSE(CONTROL!$C$21, $C$9, 100%, $E$9)</f>
        <v>10.7637</v>
      </c>
      <c r="L355" s="10">
        <f>CHOOSE(CONTROL!$C$42, 11.7462, 11.7462) * CHOOSE(CONTROL!$C$21, $C$9, 100%, $E$9)</f>
        <v>11.7462</v>
      </c>
      <c r="M355" s="10">
        <f>CHOOSE(CONTROL!$C$42, 10.8151, 10.8151) * CHOOSE(CONTROL!$C$21, $C$9, 100%, $E$9)</f>
        <v>10.815099999999999</v>
      </c>
      <c r="N355" s="10">
        <f>CHOOSE(CONTROL!$C$42, 10.8315, 10.8315) * CHOOSE(CONTROL!$C$21, $C$9, 100%, $E$9)</f>
        <v>10.8315</v>
      </c>
      <c r="O355" s="10">
        <f>CHOOSE(CONTROL!$C$42, 11.0605, 11.0605) * CHOOSE(CONTROL!$C$21, $C$9, 100%, $E$9)</f>
        <v>11.060499999999999</v>
      </c>
      <c r="P355" s="10">
        <f>CHOOSE(CONTROL!$C$42, 10.8426, 10.8426) * CHOOSE(CONTROL!$C$21, $C$9, 100%, $E$9)</f>
        <v>10.842599999999999</v>
      </c>
      <c r="Q355" s="10">
        <f>CHOOSE(CONTROL!$C$42, 11.6558, 11.6558) * CHOOSE(CONTROL!$C$21, $C$9, 100%, $E$9)</f>
        <v>11.655799999999999</v>
      </c>
      <c r="R355" s="10">
        <f>CHOOSE(CONTROL!$C$42, 12.2719, 12.2719) * CHOOSE(CONTROL!$C$21, $C$9, 100%, $E$9)</f>
        <v>12.2719</v>
      </c>
      <c r="S355" s="10">
        <f>CHOOSE(CONTROL!$C$42, 10.6337, 10.6337) * CHOOSE(CONTROL!$C$21, $C$9, 100%, $E$9)</f>
        <v>10.633699999999999</v>
      </c>
      <c r="T3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38">
        <f>(1000*CHOOSE(CONTROL!$C$42, 695, 695)*CHOOSE(CONTROL!$C$42, 0.5599, 0.5599)*CHOOSE(CONTROL!$C$42, 31, 31))/1000000</f>
        <v>12.063045499999998</v>
      </c>
      <c r="V355" s="38">
        <f>(1000*CHOOSE(CONTROL!$C$42, 500, 500)*CHOOSE(CONTROL!$C$42, 0.275, 0.275)*CHOOSE(CONTROL!$C$42, 31, 31))/1000000</f>
        <v>4.2625000000000002</v>
      </c>
      <c r="W355" s="38">
        <f>(1000*CHOOSE(CONTROL!$C$42, 0.1146, 0.1146)*CHOOSE(CONTROL!$C$42, 121.5, 121.5)*CHOOSE(CONTROL!$C$42, 31, 31))/1000000</f>
        <v>0.43164089999999994</v>
      </c>
      <c r="X355" s="38">
        <f>(31*0.1790888*245000/1000000)+(31*0.2374*100000/1000000)</f>
        <v>2.0961194359999999</v>
      </c>
      <c r="Y355" s="38">
        <f>(1000*600*CHOOSE(CONTROL!$C$42, 1.1072, 1.1072)*CHOOSE(CONTROL!$C$42, 31, 31))/1000000</f>
        <v>20.593920000000001</v>
      </c>
      <c r="Z355" s="38"/>
      <c r="AA355" s="10"/>
      <c r="AB355" s="39"/>
      <c r="AC355" s="33">
        <f>(B355*194.205+C355*267.466+D355*133.845+E355*53.484+F355*40+G355*185+H355*0+I355*100+J355*300)/(194.205+267.466+133.845+53.484+0+40+185+100+300)</f>
        <v>10.969387649843014</v>
      </c>
      <c r="AD355" s="27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10.891685611510791</v>
      </c>
    </row>
    <row r="356" spans="1:30" ht="15.75" x14ac:dyDescent="0.25">
      <c r="A356" s="14">
        <v>52109</v>
      </c>
      <c r="B356" s="10">
        <f>CHOOSE(CONTROL!$C$42, 10.4137, 10.4137) * CHOOSE(CONTROL!$C$21, $C$9, 100%, $E$9)</f>
        <v>10.4137</v>
      </c>
      <c r="C356" s="10">
        <f>CHOOSE(CONTROL!$C$42, 10.4217, 10.4217) * CHOOSE(CONTROL!$C$21, $C$9, 100%, $E$9)</f>
        <v>10.4217</v>
      </c>
      <c r="D356" s="10">
        <f>CHOOSE(CONTROL!$C$42, 10.5986, 10.5986) * CHOOSE(CONTROL!$C$21, $C$9, 100%, $E$9)</f>
        <v>10.598599999999999</v>
      </c>
      <c r="E356" s="10">
        <f>CHOOSE(CONTROL!$C$42, 10.6298, 10.6298) * CHOOSE(CONTROL!$C$21, $C$9, 100%, $E$9)</f>
        <v>10.629799999999999</v>
      </c>
      <c r="F356" s="10">
        <f>CHOOSE(CONTROL!$C$42, 10.3776, 10.3776)*CHOOSE(CONTROL!$C$21, $C$9, 100%, $E$9)</f>
        <v>10.377599999999999</v>
      </c>
      <c r="G356" s="10">
        <f>CHOOSE(CONTROL!$C$42, 10.3942, 10.3942)*CHOOSE(CONTROL!$C$21, $C$9, 100%, $E$9)</f>
        <v>10.3942</v>
      </c>
      <c r="H356" s="10">
        <f>CHOOSE(CONTROL!$C$42, 10.6184, 10.6184) * CHOOSE(CONTROL!$C$21, $C$9, 100%, $E$9)</f>
        <v>10.618399999999999</v>
      </c>
      <c r="I356" s="10">
        <f>CHOOSE(CONTROL!$C$42, 10.3983, 10.3983)* CHOOSE(CONTROL!$C$21, $C$9, 100%, $E$9)</f>
        <v>10.398300000000001</v>
      </c>
      <c r="J356" s="10">
        <f>CHOOSE(CONTROL!$C$42, 10.3706, 10.3706)* CHOOSE(CONTROL!$C$21, $C$9, 100%, $E$9)</f>
        <v>10.3706</v>
      </c>
      <c r="K356" s="10">
        <f>CHOOSE(CONTROL!$C$42, 10.2384, 10.2384) * CHOOSE(CONTROL!$C$21, $C$9, 100%, $E$9)</f>
        <v>10.2384</v>
      </c>
      <c r="L356" s="10">
        <f>CHOOSE(CONTROL!$C$42, 11.2054, 11.2054) * CHOOSE(CONTROL!$C$21, $C$9, 100%, $E$9)</f>
        <v>11.205399999999999</v>
      </c>
      <c r="M356" s="10">
        <f>CHOOSE(CONTROL!$C$42, 10.2797, 10.2797) * CHOOSE(CONTROL!$C$21, $C$9, 100%, $E$9)</f>
        <v>10.2797</v>
      </c>
      <c r="N356" s="10">
        <f>CHOOSE(CONTROL!$C$42, 10.2962, 10.2962) * CHOOSE(CONTROL!$C$21, $C$9, 100%, $E$9)</f>
        <v>10.296200000000001</v>
      </c>
      <c r="O356" s="10">
        <f>CHOOSE(CONTROL!$C$42, 10.5251, 10.5251) * CHOOSE(CONTROL!$C$21, $C$9, 100%, $E$9)</f>
        <v>10.5251</v>
      </c>
      <c r="P356" s="10">
        <f>CHOOSE(CONTROL!$C$42, 10.3073, 10.3073) * CHOOSE(CONTROL!$C$21, $C$9, 100%, $E$9)</f>
        <v>10.3073</v>
      </c>
      <c r="Q356" s="10">
        <f>CHOOSE(CONTROL!$C$42, 11.1204, 11.1204) * CHOOSE(CONTROL!$C$21, $C$9, 100%, $E$9)</f>
        <v>11.1204</v>
      </c>
      <c r="R356" s="10">
        <f>CHOOSE(CONTROL!$C$42, 11.7352, 11.7352) * CHOOSE(CONTROL!$C$21, $C$9, 100%, $E$9)</f>
        <v>11.735200000000001</v>
      </c>
      <c r="S356" s="10">
        <f>CHOOSE(CONTROL!$C$42, 10.1085, 10.1085) * CHOOSE(CONTROL!$C$21, $C$9, 100%, $E$9)</f>
        <v>10.108499999999999</v>
      </c>
      <c r="T3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38">
        <f>(1000*CHOOSE(CONTROL!$C$42, 695, 695)*CHOOSE(CONTROL!$C$42, 0.5599, 0.5599)*CHOOSE(CONTROL!$C$42, 31, 31))/1000000</f>
        <v>12.063045499999998</v>
      </c>
      <c r="V356" s="38">
        <f>(1000*CHOOSE(CONTROL!$C$42, 500, 500)*CHOOSE(CONTROL!$C$42, 0.275, 0.275)*CHOOSE(CONTROL!$C$42, 31, 31))/1000000</f>
        <v>4.2625000000000002</v>
      </c>
      <c r="W356" s="38">
        <f>(1000*CHOOSE(CONTROL!$C$42, 0.1146, 0.1146)*CHOOSE(CONTROL!$C$42, 121.5, 121.5)*CHOOSE(CONTROL!$C$42, 31, 31))/1000000</f>
        <v>0.43164089999999994</v>
      </c>
      <c r="X356" s="38">
        <f>(31*0.1790888*245000/1000000)+(31*0.2374*100000/1000000)</f>
        <v>2.0961194359999999</v>
      </c>
      <c r="Y356" s="38">
        <f>(1000*600*CHOOSE(CONTROL!$C$42, 1.1072, 1.1072)*CHOOSE(CONTROL!$C$42, 31, 31))/1000000</f>
        <v>20.593920000000001</v>
      </c>
      <c r="Z356" s="38"/>
      <c r="AA356" s="10"/>
      <c r="AB356" s="39"/>
      <c r="AC356" s="33">
        <f>(B356*194.205+C356*267.466+D356*133.845+E356*53.484+F356*40+G356*185+H356*0+I356*100+J356*300)/(194.205+267.466+133.845+53.484+0+40+185+100+300)</f>
        <v>10.428554050941916</v>
      </c>
      <c r="AD356" s="27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10.356323021582734</v>
      </c>
    </row>
    <row r="357" spans="1:30" ht="15.75" x14ac:dyDescent="0.25">
      <c r="A357" s="14">
        <v>52139</v>
      </c>
      <c r="B357" s="10">
        <f>CHOOSE(CONTROL!$C$42, 9.7529, 9.7529) * CHOOSE(CONTROL!$C$21, $C$9, 100%, $E$9)</f>
        <v>9.7529000000000003</v>
      </c>
      <c r="C357" s="10">
        <f>CHOOSE(CONTROL!$C$42, 9.7609, 9.7609) * CHOOSE(CONTROL!$C$21, $C$9, 100%, $E$9)</f>
        <v>9.7608999999999995</v>
      </c>
      <c r="D357" s="10">
        <f>CHOOSE(CONTROL!$C$42, 9.9379, 9.9379) * CHOOSE(CONTROL!$C$21, $C$9, 100%, $E$9)</f>
        <v>9.9379000000000008</v>
      </c>
      <c r="E357" s="10">
        <f>CHOOSE(CONTROL!$C$42, 9.969, 9.969) * CHOOSE(CONTROL!$C$21, $C$9, 100%, $E$9)</f>
        <v>9.9689999999999994</v>
      </c>
      <c r="F357" s="10">
        <f>CHOOSE(CONTROL!$C$42, 9.7165, 9.7165)*CHOOSE(CONTROL!$C$21, $C$9, 100%, $E$9)</f>
        <v>9.7164999999999999</v>
      </c>
      <c r="G357" s="10">
        <f>CHOOSE(CONTROL!$C$42, 9.7331, 9.7331)*CHOOSE(CONTROL!$C$21, $C$9, 100%, $E$9)</f>
        <v>9.7331000000000003</v>
      </c>
      <c r="H357" s="10">
        <f>CHOOSE(CONTROL!$C$42, 9.9576, 9.9576) * CHOOSE(CONTROL!$C$21, $C$9, 100%, $E$9)</f>
        <v>9.9575999999999993</v>
      </c>
      <c r="I357" s="10">
        <f>CHOOSE(CONTROL!$C$42, 9.7375, 9.7375)* CHOOSE(CONTROL!$C$21, $C$9, 100%, $E$9)</f>
        <v>9.7375000000000007</v>
      </c>
      <c r="J357" s="10">
        <f>CHOOSE(CONTROL!$C$42, 9.7095, 9.7095)* CHOOSE(CONTROL!$C$21, $C$9, 100%, $E$9)</f>
        <v>9.7095000000000002</v>
      </c>
      <c r="K357" s="10">
        <f>CHOOSE(CONTROL!$C$42, 9.5958, 9.5958) * CHOOSE(CONTROL!$C$21, $C$9, 100%, $E$9)</f>
        <v>9.5958000000000006</v>
      </c>
      <c r="L357" s="10">
        <f>CHOOSE(CONTROL!$C$42, 10.5446, 10.5446) * CHOOSE(CONTROL!$C$21, $C$9, 100%, $E$9)</f>
        <v>10.544600000000001</v>
      </c>
      <c r="M357" s="10">
        <f>CHOOSE(CONTROL!$C$42, 9.6254, 9.6254) * CHOOSE(CONTROL!$C$21, $C$9, 100%, $E$9)</f>
        <v>9.6254000000000008</v>
      </c>
      <c r="N357" s="10">
        <f>CHOOSE(CONTROL!$C$42, 9.6418, 9.6418) * CHOOSE(CONTROL!$C$21, $C$9, 100%, $E$9)</f>
        <v>9.6417999999999999</v>
      </c>
      <c r="O357" s="10">
        <f>CHOOSE(CONTROL!$C$42, 9.871, 9.871) * CHOOSE(CONTROL!$C$21, $C$9, 100%, $E$9)</f>
        <v>9.8710000000000004</v>
      </c>
      <c r="P357" s="10">
        <f>CHOOSE(CONTROL!$C$42, 9.6531, 9.6531) * CHOOSE(CONTROL!$C$21, $C$9, 100%, $E$9)</f>
        <v>9.6531000000000002</v>
      </c>
      <c r="Q357" s="10">
        <f>CHOOSE(CONTROL!$C$42, 10.4663, 10.4663) * CHOOSE(CONTROL!$C$21, $C$9, 100%, $E$9)</f>
        <v>10.4663</v>
      </c>
      <c r="R357" s="10">
        <f>CHOOSE(CONTROL!$C$42, 11.0794, 11.0794) * CHOOSE(CONTROL!$C$21, $C$9, 100%, $E$9)</f>
        <v>11.0794</v>
      </c>
      <c r="S357" s="10">
        <f>CHOOSE(CONTROL!$C$42, 9.4668, 9.4668) * CHOOSE(CONTROL!$C$21, $C$9, 100%, $E$9)</f>
        <v>9.4667999999999992</v>
      </c>
      <c r="T3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38">
        <f>(1000*CHOOSE(CONTROL!$C$42, 695, 695)*CHOOSE(CONTROL!$C$42, 0.5599, 0.5599)*CHOOSE(CONTROL!$C$42, 30, 30))/1000000</f>
        <v>11.673914999999997</v>
      </c>
      <c r="V357" s="38">
        <f>(1000*CHOOSE(CONTROL!$C$42, 500, 500)*CHOOSE(CONTROL!$C$42, 0.275, 0.275)*CHOOSE(CONTROL!$C$42, 30, 30))/1000000</f>
        <v>4.125</v>
      </c>
      <c r="W357" s="38">
        <f>(1000*CHOOSE(CONTROL!$C$42, 0.1146, 0.1146)*CHOOSE(CONTROL!$C$42, 121.5, 121.5)*CHOOSE(CONTROL!$C$42, 30, 30))/1000000</f>
        <v>0.417717</v>
      </c>
      <c r="X357" s="38">
        <f>(30*0.1790888*245000/1000000)+(30*0.2374*100000/1000000)</f>
        <v>2.0285026799999999</v>
      </c>
      <c r="Y357" s="38">
        <f>(1000*600*CHOOSE(CONTROL!$C$42, 1.1072, 1.1072)*CHOOSE(CONTROL!$C$42, 30, 30))/1000000</f>
        <v>19.929600000000001</v>
      </c>
      <c r="Z357" s="38"/>
      <c r="AA357" s="10"/>
      <c r="AB357" s="39"/>
      <c r="AC357" s="33">
        <f>(B357*194.205+C357*267.466+D357*133.845+E357*53.484+F357*40+G357*185+H357*0+I357*100+J357*300)/(194.205+267.466+133.845+53.484+0+40+185+100+300)</f>
        <v>9.7676409304552596</v>
      </c>
      <c r="AD357" s="27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9.7020705035971222</v>
      </c>
    </row>
    <row r="358" spans="1:30" ht="15.75" x14ac:dyDescent="0.25">
      <c r="A358" s="14">
        <v>52170</v>
      </c>
      <c r="B358" s="10">
        <f>CHOOSE(CONTROL!$C$42, 9.5529, 9.5529) * CHOOSE(CONTROL!$C$21, $C$9, 100%, $E$9)</f>
        <v>9.5528999999999993</v>
      </c>
      <c r="C358" s="10">
        <f>CHOOSE(CONTROL!$C$42, 9.5581, 9.5581) * CHOOSE(CONTROL!$C$21, $C$9, 100%, $E$9)</f>
        <v>9.5580999999999996</v>
      </c>
      <c r="D358" s="10">
        <f>CHOOSE(CONTROL!$C$42, 9.7401, 9.7401) * CHOOSE(CONTROL!$C$21, $C$9, 100%, $E$9)</f>
        <v>9.7401</v>
      </c>
      <c r="E358" s="10">
        <f>CHOOSE(CONTROL!$C$42, 9.7688, 9.7688) * CHOOSE(CONTROL!$C$21, $C$9, 100%, $E$9)</f>
        <v>9.7688000000000006</v>
      </c>
      <c r="F358" s="10">
        <f>CHOOSE(CONTROL!$C$42, 9.5185, 9.5185)*CHOOSE(CONTROL!$C$21, $C$9, 100%, $E$9)</f>
        <v>9.5184999999999995</v>
      </c>
      <c r="G358" s="10">
        <f>CHOOSE(CONTROL!$C$42, 9.5347, 9.5347)*CHOOSE(CONTROL!$C$21, $C$9, 100%, $E$9)</f>
        <v>9.5347000000000008</v>
      </c>
      <c r="H358" s="10">
        <f>CHOOSE(CONTROL!$C$42, 9.7593, 9.7593) * CHOOSE(CONTROL!$C$21, $C$9, 100%, $E$9)</f>
        <v>9.7592999999999996</v>
      </c>
      <c r="I358" s="10">
        <f>CHOOSE(CONTROL!$C$42, 9.5392, 9.5392)* CHOOSE(CONTROL!$C$21, $C$9, 100%, $E$9)</f>
        <v>9.5391999999999992</v>
      </c>
      <c r="J358" s="10">
        <f>CHOOSE(CONTROL!$C$42, 9.5115, 9.5115)* CHOOSE(CONTROL!$C$21, $C$9, 100%, $E$9)</f>
        <v>9.5114999999999998</v>
      </c>
      <c r="K358" s="10">
        <f>CHOOSE(CONTROL!$C$42, 9.4037, 9.4037) * CHOOSE(CONTROL!$C$21, $C$9, 100%, $E$9)</f>
        <v>9.4037000000000006</v>
      </c>
      <c r="L358" s="10">
        <f>CHOOSE(CONTROL!$C$42, 10.3463, 10.3463) * CHOOSE(CONTROL!$C$21, $C$9, 100%, $E$9)</f>
        <v>10.346299999999999</v>
      </c>
      <c r="M358" s="10">
        <f>CHOOSE(CONTROL!$C$42, 9.4293, 9.4293) * CHOOSE(CONTROL!$C$21, $C$9, 100%, $E$9)</f>
        <v>9.4292999999999996</v>
      </c>
      <c r="N358" s="10">
        <f>CHOOSE(CONTROL!$C$42, 9.4454, 9.4454) * CHOOSE(CONTROL!$C$21, $C$9, 100%, $E$9)</f>
        <v>9.4453999999999994</v>
      </c>
      <c r="O358" s="10">
        <f>CHOOSE(CONTROL!$C$42, 9.6747, 9.6747) * CHOOSE(CONTROL!$C$21, $C$9, 100%, $E$9)</f>
        <v>9.6746999999999996</v>
      </c>
      <c r="P358" s="10">
        <f>CHOOSE(CONTROL!$C$42, 9.4568, 9.4568) * CHOOSE(CONTROL!$C$21, $C$9, 100%, $E$9)</f>
        <v>9.4567999999999994</v>
      </c>
      <c r="Q358" s="10">
        <f>CHOOSE(CONTROL!$C$42, 10.27, 10.27) * CHOOSE(CONTROL!$C$21, $C$9, 100%, $E$9)</f>
        <v>10.27</v>
      </c>
      <c r="R358" s="10">
        <f>CHOOSE(CONTROL!$C$42, 10.8826, 10.8826) * CHOOSE(CONTROL!$C$21, $C$9, 100%, $E$9)</f>
        <v>10.8826</v>
      </c>
      <c r="S358" s="10">
        <f>CHOOSE(CONTROL!$C$42, 9.2743, 9.2743) * CHOOSE(CONTROL!$C$21, $C$9, 100%, $E$9)</f>
        <v>9.2743000000000002</v>
      </c>
      <c r="T3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38">
        <f>(1000*CHOOSE(CONTROL!$C$42, 695, 695)*CHOOSE(CONTROL!$C$42, 0.5599, 0.5599)*CHOOSE(CONTROL!$C$42, 31, 31))/1000000</f>
        <v>12.063045499999998</v>
      </c>
      <c r="V358" s="38">
        <f>(1000*CHOOSE(CONTROL!$C$42, 500, 500)*CHOOSE(CONTROL!$C$42, 0.275, 0.275)*CHOOSE(CONTROL!$C$42, 31, 31))/1000000</f>
        <v>4.2625000000000002</v>
      </c>
      <c r="W358" s="38">
        <f>(1000*CHOOSE(CONTROL!$C$42, 0.1146, 0.1146)*CHOOSE(CONTROL!$C$42, 121.5, 121.5)*CHOOSE(CONTROL!$C$42, 31, 31))/1000000</f>
        <v>0.43164089999999994</v>
      </c>
      <c r="X358" s="38">
        <f>(31*0.1790888*245000/1000000)+(31*0.2374*100000/1000000)</f>
        <v>2.0961194359999999</v>
      </c>
      <c r="Y358" s="38">
        <f>(1000*600*CHOOSE(CONTROL!$C$42, 1.1072, 1.1072)*CHOOSE(CONTROL!$C$42, 31, 31))/1000000</f>
        <v>20.593920000000001</v>
      </c>
      <c r="Z358" s="38"/>
      <c r="AA358" s="10"/>
      <c r="AB358" s="39"/>
      <c r="AC358" s="33">
        <f>(B358*131.881+C358*277.167+D358*79.08+E358*125.872+F358*40+G358*185+H358*0+I358*100+J358*300)/(131.881+277.167+79.08+125.872+0+40+185+100+300)</f>
        <v>9.5729870130750605</v>
      </c>
      <c r="AD358" s="27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9.5058165467625901</v>
      </c>
    </row>
    <row r="359" spans="1:30" ht="15.75" x14ac:dyDescent="0.25">
      <c r="A359" s="14">
        <v>52200</v>
      </c>
      <c r="B359" s="10">
        <f>CHOOSE(CONTROL!$C$42, 9.804, 9.804) * CHOOSE(CONTROL!$C$21, $C$9, 100%, $E$9)</f>
        <v>9.8040000000000003</v>
      </c>
      <c r="C359" s="10">
        <f>CHOOSE(CONTROL!$C$42, 9.809, 9.809) * CHOOSE(CONTROL!$C$21, $C$9, 100%, $E$9)</f>
        <v>9.8089999999999993</v>
      </c>
      <c r="D359" s="10">
        <f>CHOOSE(CONTROL!$C$42, 9.8335, 9.8335) * CHOOSE(CONTROL!$C$21, $C$9, 100%, $E$9)</f>
        <v>9.8335000000000008</v>
      </c>
      <c r="E359" s="10">
        <f>CHOOSE(CONTROL!$C$42, 9.8672, 9.8672) * CHOOSE(CONTROL!$C$21, $C$9, 100%, $E$9)</f>
        <v>9.8672000000000004</v>
      </c>
      <c r="F359" s="10">
        <f>CHOOSE(CONTROL!$C$42, 9.7734, 9.7734)*CHOOSE(CONTROL!$C$21, $C$9, 100%, $E$9)</f>
        <v>9.7734000000000005</v>
      </c>
      <c r="G359" s="10">
        <f>CHOOSE(CONTROL!$C$42, 9.7898, 9.7898)*CHOOSE(CONTROL!$C$21, $C$9, 100%, $E$9)</f>
        <v>9.7897999999999996</v>
      </c>
      <c r="H359" s="10">
        <f>CHOOSE(CONTROL!$C$42, 9.8564, 9.8564) * CHOOSE(CONTROL!$C$21, $C$9, 100%, $E$9)</f>
        <v>9.8564000000000007</v>
      </c>
      <c r="I359" s="10">
        <f>CHOOSE(CONTROL!$C$42, 9.7908, 9.7908)* CHOOSE(CONTROL!$C$21, $C$9, 100%, $E$9)</f>
        <v>9.7908000000000008</v>
      </c>
      <c r="J359" s="10">
        <f>CHOOSE(CONTROL!$C$42, 9.7664, 9.7664)* CHOOSE(CONTROL!$C$21, $C$9, 100%, $E$9)</f>
        <v>9.7664000000000009</v>
      </c>
      <c r="K359" s="10">
        <f>CHOOSE(CONTROL!$C$42, 9.6496, 9.6496) * CHOOSE(CONTROL!$C$21, $C$9, 100%, $E$9)</f>
        <v>9.6495999999999995</v>
      </c>
      <c r="L359" s="10">
        <f>CHOOSE(CONTROL!$C$42, 10.4434, 10.4434) * CHOOSE(CONTROL!$C$21, $C$9, 100%, $E$9)</f>
        <v>10.4434</v>
      </c>
      <c r="M359" s="10">
        <f>CHOOSE(CONTROL!$C$42, 9.6816, 9.6816) * CHOOSE(CONTROL!$C$21, $C$9, 100%, $E$9)</f>
        <v>9.6815999999999995</v>
      </c>
      <c r="N359" s="10">
        <f>CHOOSE(CONTROL!$C$42, 9.6979, 9.6979) * CHOOSE(CONTROL!$C$21, $C$9, 100%, $E$9)</f>
        <v>9.6979000000000006</v>
      </c>
      <c r="O359" s="10">
        <f>CHOOSE(CONTROL!$C$42, 9.7708, 9.7708) * CHOOSE(CONTROL!$C$21, $C$9, 100%, $E$9)</f>
        <v>9.7707999999999995</v>
      </c>
      <c r="P359" s="10">
        <f>CHOOSE(CONTROL!$C$42, 9.7059, 9.7059) * CHOOSE(CONTROL!$C$21, $C$9, 100%, $E$9)</f>
        <v>9.7058999999999997</v>
      </c>
      <c r="Q359" s="10">
        <f>CHOOSE(CONTROL!$C$42, 10.3661, 10.3661) * CHOOSE(CONTROL!$C$21, $C$9, 100%, $E$9)</f>
        <v>10.366099999999999</v>
      </c>
      <c r="R359" s="10">
        <f>CHOOSE(CONTROL!$C$42, 10.979, 10.979) * CHOOSE(CONTROL!$C$21, $C$9, 100%, $E$9)</f>
        <v>10.978999999999999</v>
      </c>
      <c r="S359" s="10">
        <f>CHOOSE(CONTROL!$C$42, 9.5186, 9.5186) * CHOOSE(CONTROL!$C$21, $C$9, 100%, $E$9)</f>
        <v>9.5185999999999993</v>
      </c>
      <c r="T3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38">
        <f>(1000*CHOOSE(CONTROL!$C$42, 695, 695)*CHOOSE(CONTROL!$C$42, 0.5599, 0.5599)*CHOOSE(CONTROL!$C$42, 30, 30))/1000000</f>
        <v>11.673914999999997</v>
      </c>
      <c r="V359" s="38">
        <f>(1000*CHOOSE(CONTROL!$C$42, 500, 500)*CHOOSE(CONTROL!$C$42, 0.275, 0.275)*CHOOSE(CONTROL!$C$42, 30, 30))/1000000</f>
        <v>4.125</v>
      </c>
      <c r="W359" s="38">
        <f>(1000*CHOOSE(CONTROL!$C$42, 0.1146, 0.1146)*CHOOSE(CONTROL!$C$42, 121.5, 121.5)*CHOOSE(CONTROL!$C$42, 30, 30))/1000000</f>
        <v>0.417717</v>
      </c>
      <c r="X359" s="38">
        <f>(30*0.1790888*100000/1000000)+(30*0.2374*100000/1000000)</f>
        <v>1.2494664</v>
      </c>
      <c r="Y359" s="38">
        <f>(1000*600*CHOOSE(CONTROL!$C$42, 1.1072, 1.1072)*CHOOSE(CONTROL!$C$42, 30, 30))/1000000</f>
        <v>19.929600000000001</v>
      </c>
      <c r="Z359" s="38"/>
      <c r="AA359" s="10"/>
      <c r="AB359" s="39"/>
      <c r="AC359" s="33">
        <f>(B359*122.58+C359*297.941+D359*89.177+E359*40.302+F359*40+G359*160+H359*0+I359*100+J359*300)/(122.58+297.941+89.177+40.302+0+40+160+100+300)</f>
        <v>9.7958013155652175</v>
      </c>
      <c r="AD359" s="27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9.7264633093525177</v>
      </c>
    </row>
    <row r="360" spans="1:30" ht="15.75" x14ac:dyDescent="0.25">
      <c r="A360" s="14">
        <v>52231</v>
      </c>
      <c r="B360" s="10">
        <f>CHOOSE(CONTROL!$C$42, 10.4723, 10.4723) * CHOOSE(CONTROL!$C$21, $C$9, 100%, $E$9)</f>
        <v>10.472300000000001</v>
      </c>
      <c r="C360" s="10">
        <f>CHOOSE(CONTROL!$C$42, 10.4772, 10.4772) * CHOOSE(CONTROL!$C$21, $C$9, 100%, $E$9)</f>
        <v>10.4772</v>
      </c>
      <c r="D360" s="10">
        <f>CHOOSE(CONTROL!$C$42, 10.5017, 10.5017) * CHOOSE(CONTROL!$C$21, $C$9, 100%, $E$9)</f>
        <v>10.5017</v>
      </c>
      <c r="E360" s="10">
        <f>CHOOSE(CONTROL!$C$42, 10.5355, 10.5355) * CHOOSE(CONTROL!$C$21, $C$9, 100%, $E$9)</f>
        <v>10.535500000000001</v>
      </c>
      <c r="F360" s="10">
        <f>CHOOSE(CONTROL!$C$42, 10.4439, 10.4439)*CHOOSE(CONTROL!$C$21, $C$9, 100%, $E$9)</f>
        <v>10.443899999999999</v>
      </c>
      <c r="G360" s="10">
        <f>CHOOSE(CONTROL!$C$42, 10.4609, 10.4609)*CHOOSE(CONTROL!$C$21, $C$9, 100%, $E$9)</f>
        <v>10.460900000000001</v>
      </c>
      <c r="H360" s="10">
        <f>CHOOSE(CONTROL!$C$42, 10.5247, 10.5247) * CHOOSE(CONTROL!$C$21, $C$9, 100%, $E$9)</f>
        <v>10.524699999999999</v>
      </c>
      <c r="I360" s="10">
        <f>CHOOSE(CONTROL!$C$42, 10.459, 10.459)* CHOOSE(CONTROL!$C$21, $C$9, 100%, $E$9)</f>
        <v>10.459</v>
      </c>
      <c r="J360" s="10">
        <f>CHOOSE(CONTROL!$C$42, 10.4369, 10.4369)* CHOOSE(CONTROL!$C$21, $C$9, 100%, $E$9)</f>
        <v>10.4369</v>
      </c>
      <c r="K360" s="10">
        <f>CHOOSE(CONTROL!$C$42, 10.3039, 10.3039) * CHOOSE(CONTROL!$C$21, $C$9, 100%, $E$9)</f>
        <v>10.303900000000001</v>
      </c>
      <c r="L360" s="10">
        <f>CHOOSE(CONTROL!$C$42, 11.1117, 11.1117) * CHOOSE(CONTROL!$C$21, $C$9, 100%, $E$9)</f>
        <v>11.111700000000001</v>
      </c>
      <c r="M360" s="10">
        <f>CHOOSE(CONTROL!$C$42, 10.3454, 10.3454) * CHOOSE(CONTROL!$C$21, $C$9, 100%, $E$9)</f>
        <v>10.3454</v>
      </c>
      <c r="N360" s="10">
        <f>CHOOSE(CONTROL!$C$42, 10.3623, 10.3623) * CHOOSE(CONTROL!$C$21, $C$9, 100%, $E$9)</f>
        <v>10.362299999999999</v>
      </c>
      <c r="O360" s="10">
        <f>CHOOSE(CONTROL!$C$42, 10.4323, 10.4323) * CHOOSE(CONTROL!$C$21, $C$9, 100%, $E$9)</f>
        <v>10.4323</v>
      </c>
      <c r="P360" s="10">
        <f>CHOOSE(CONTROL!$C$42, 10.3674, 10.3674) * CHOOSE(CONTROL!$C$21, $C$9, 100%, $E$9)</f>
        <v>10.3674</v>
      </c>
      <c r="Q360" s="10">
        <f>CHOOSE(CONTROL!$C$42, 11.0276, 11.0276) * CHOOSE(CONTROL!$C$21, $C$9, 100%, $E$9)</f>
        <v>11.0276</v>
      </c>
      <c r="R360" s="10">
        <f>CHOOSE(CONTROL!$C$42, 11.6421, 11.6421) * CHOOSE(CONTROL!$C$21, $C$9, 100%, $E$9)</f>
        <v>11.642099999999999</v>
      </c>
      <c r="S360" s="10">
        <f>CHOOSE(CONTROL!$C$42, 10.1675, 10.1675) * CHOOSE(CONTROL!$C$21, $C$9, 100%, $E$9)</f>
        <v>10.1675</v>
      </c>
      <c r="T3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38">
        <f>(1000*CHOOSE(CONTROL!$C$42, 695, 695)*CHOOSE(CONTROL!$C$42, 0.5599, 0.5599)*CHOOSE(CONTROL!$C$42, 31, 31))/1000000</f>
        <v>12.063045499999998</v>
      </c>
      <c r="V360" s="38">
        <f>(1000*CHOOSE(CONTROL!$C$42, 500, 500)*CHOOSE(CONTROL!$C$42, 0.275, 0.275)*CHOOSE(CONTROL!$C$42, 31, 31))/1000000</f>
        <v>4.2625000000000002</v>
      </c>
      <c r="W360" s="38">
        <f>(1000*CHOOSE(CONTROL!$C$42, 0.1146, 0.1146)*CHOOSE(CONTROL!$C$42, 121.5, 121.5)*CHOOSE(CONTROL!$C$42, 31, 31))/1000000</f>
        <v>0.43164089999999994</v>
      </c>
      <c r="X360" s="38">
        <f>(31*0.1790888*100000/1000000)+(31*0.2374*100000/1000000)</f>
        <v>1.2911152800000001</v>
      </c>
      <c r="Y360" s="38">
        <f>(1000*600*CHOOSE(CONTROL!$C$42, 1.1072, 1.1072)*CHOOSE(CONTROL!$C$42, 31, 31))/1000000</f>
        <v>20.593920000000001</v>
      </c>
      <c r="Z360" s="38"/>
      <c r="AA360" s="10"/>
      <c r="AB360" s="39"/>
      <c r="AC360" s="33">
        <f>(B360*122.58+C360*297.941+D360*89.177+E360*40.302+F360*40+G360*160+H360*0+I360*100+J360*300)/(122.58+297.941+89.177+40.302+0+40+160+100+300)</f>
        <v>10.465098957478261</v>
      </c>
      <c r="AD360" s="27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10.388924460431655</v>
      </c>
    </row>
    <row r="361" spans="1:30" ht="15.75" x14ac:dyDescent="0.25">
      <c r="A361" s="14">
        <v>52262</v>
      </c>
      <c r="B361" s="10">
        <f>CHOOSE(CONTROL!$C$42, 11.1789, 11.1789) * CHOOSE(CONTROL!$C$21, $C$9, 100%, $E$9)</f>
        <v>11.178900000000001</v>
      </c>
      <c r="C361" s="10">
        <f>CHOOSE(CONTROL!$C$42, 11.1838, 11.1838) * CHOOSE(CONTROL!$C$21, $C$9, 100%, $E$9)</f>
        <v>11.1838</v>
      </c>
      <c r="D361" s="10">
        <f>CHOOSE(CONTROL!$C$42, 11.2083, 11.2083) * CHOOSE(CONTROL!$C$21, $C$9, 100%, $E$9)</f>
        <v>11.208299999999999</v>
      </c>
      <c r="E361" s="10">
        <f>CHOOSE(CONTROL!$C$42, 11.2421, 11.2421) * CHOOSE(CONTROL!$C$21, $C$9, 100%, $E$9)</f>
        <v>11.242100000000001</v>
      </c>
      <c r="F361" s="10">
        <f>CHOOSE(CONTROL!$C$42, 11.1618, 11.1618)*CHOOSE(CONTROL!$C$21, $C$9, 100%, $E$9)</f>
        <v>11.161799999999999</v>
      </c>
      <c r="G361" s="10">
        <f>CHOOSE(CONTROL!$C$42, 11.1805, 11.1805)*CHOOSE(CONTROL!$C$21, $C$9, 100%, $E$9)</f>
        <v>11.1805</v>
      </c>
      <c r="H361" s="10">
        <f>CHOOSE(CONTROL!$C$42, 11.2313, 11.2313) * CHOOSE(CONTROL!$C$21, $C$9, 100%, $E$9)</f>
        <v>11.231299999999999</v>
      </c>
      <c r="I361" s="10">
        <f>CHOOSE(CONTROL!$C$42, 11.1734, 11.1734)* CHOOSE(CONTROL!$C$21, $C$9, 100%, $E$9)</f>
        <v>11.173400000000001</v>
      </c>
      <c r="J361" s="10">
        <f>CHOOSE(CONTROL!$C$42, 11.1548, 11.1548)* CHOOSE(CONTROL!$C$21, $C$9, 100%, $E$9)</f>
        <v>11.1548</v>
      </c>
      <c r="K361" s="10">
        <f>CHOOSE(CONTROL!$C$42, 11.0114, 11.0114) * CHOOSE(CONTROL!$C$21, $C$9, 100%, $E$9)</f>
        <v>11.0114</v>
      </c>
      <c r="L361" s="10">
        <f>CHOOSE(CONTROL!$C$42, 11.8183, 11.8183) * CHOOSE(CONTROL!$C$21, $C$9, 100%, $E$9)</f>
        <v>11.818300000000001</v>
      </c>
      <c r="M361" s="10">
        <f>CHOOSE(CONTROL!$C$42, 11.0561, 11.0561) * CHOOSE(CONTROL!$C$21, $C$9, 100%, $E$9)</f>
        <v>11.056100000000001</v>
      </c>
      <c r="N361" s="10">
        <f>CHOOSE(CONTROL!$C$42, 11.0746, 11.0746) * CHOOSE(CONTROL!$C$21, $C$9, 100%, $E$9)</f>
        <v>11.0746</v>
      </c>
      <c r="O361" s="10">
        <f>CHOOSE(CONTROL!$C$42, 11.1318, 11.1318) * CHOOSE(CONTROL!$C$21, $C$9, 100%, $E$9)</f>
        <v>11.1318</v>
      </c>
      <c r="P361" s="10">
        <f>CHOOSE(CONTROL!$C$42, 11.0745, 11.0745) * CHOOSE(CONTROL!$C$21, $C$9, 100%, $E$9)</f>
        <v>11.0745</v>
      </c>
      <c r="Q361" s="10">
        <f>CHOOSE(CONTROL!$C$42, 11.7271, 11.7271) * CHOOSE(CONTROL!$C$21, $C$9, 100%, $E$9)</f>
        <v>11.7271</v>
      </c>
      <c r="R361" s="10">
        <f>CHOOSE(CONTROL!$C$42, 12.3434, 12.3434) * CHOOSE(CONTROL!$C$21, $C$9, 100%, $E$9)</f>
        <v>12.343400000000001</v>
      </c>
      <c r="S361" s="10">
        <f>CHOOSE(CONTROL!$C$42, 10.8537, 10.8537) * CHOOSE(CONTROL!$C$21, $C$9, 100%, $E$9)</f>
        <v>10.8537</v>
      </c>
      <c r="T3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38">
        <f>(1000*CHOOSE(CONTROL!$C$42, 695, 695)*CHOOSE(CONTROL!$C$42, 0.5599, 0.5599)*CHOOSE(CONTROL!$C$42, 31, 31))/1000000</f>
        <v>12.063045499999998</v>
      </c>
      <c r="V361" s="38">
        <f>(1000*CHOOSE(CONTROL!$C$42, 500, 500)*CHOOSE(CONTROL!$C$42, 0.275, 0.275)*CHOOSE(CONTROL!$C$42, 31, 31))/1000000</f>
        <v>4.2625000000000002</v>
      </c>
      <c r="W361" s="38">
        <f>(1000*CHOOSE(CONTROL!$C$42, 0.1146, 0.1146)*CHOOSE(CONTROL!$C$42, 121.5, 121.5)*CHOOSE(CONTROL!$C$42, 31, 31))/1000000</f>
        <v>0.43164089999999994</v>
      </c>
      <c r="X361" s="38">
        <f>(31*0.1790888*100000/1000000)+(31*0.2374*100000/1000000)</f>
        <v>1.2911152800000001</v>
      </c>
      <c r="Y361" s="38">
        <f>(1000*600*CHOOSE(CONTROL!$C$42, 1.1037, 1.1037)*CHOOSE(CONTROL!$C$42, 31, 31))/1000000</f>
        <v>20.52882</v>
      </c>
      <c r="Z361" s="38"/>
      <c r="AA361" s="10"/>
      <c r="AB361" s="39"/>
      <c r="AC361" s="33">
        <f>(B361*122.58+C361*297.941+D361*89.177+E361*40.302+F361*40+G361*160+H361*0+I361*100+J361*300)/(122.58+297.941+89.177+40.302+0+40+160+100+300)</f>
        <v>11.177526783565217</v>
      </c>
      <c r="AD361" s="27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11.094122302158274</v>
      </c>
    </row>
    <row r="362" spans="1:30" ht="15.75" x14ac:dyDescent="0.25">
      <c r="A362" s="14">
        <v>52290</v>
      </c>
      <c r="B362" s="10">
        <f>CHOOSE(CONTROL!$C$42, 11.3778, 11.3778) * CHOOSE(CONTROL!$C$21, $C$9, 100%, $E$9)</f>
        <v>11.377800000000001</v>
      </c>
      <c r="C362" s="10">
        <f>CHOOSE(CONTROL!$C$42, 11.3828, 11.3828) * CHOOSE(CONTROL!$C$21, $C$9, 100%, $E$9)</f>
        <v>11.3828</v>
      </c>
      <c r="D362" s="10">
        <f>CHOOSE(CONTROL!$C$42, 11.4073, 11.4073) * CHOOSE(CONTROL!$C$21, $C$9, 100%, $E$9)</f>
        <v>11.407299999999999</v>
      </c>
      <c r="E362" s="10">
        <f>CHOOSE(CONTROL!$C$42, 11.441, 11.441) * CHOOSE(CONTROL!$C$21, $C$9, 100%, $E$9)</f>
        <v>11.441000000000001</v>
      </c>
      <c r="F362" s="10">
        <f>CHOOSE(CONTROL!$C$42, 11.3601, 11.3601)*CHOOSE(CONTROL!$C$21, $C$9, 100%, $E$9)</f>
        <v>11.360099999999999</v>
      </c>
      <c r="G362" s="10">
        <f>CHOOSE(CONTROL!$C$42, 11.3786, 11.3786)*CHOOSE(CONTROL!$C$21, $C$9, 100%, $E$9)</f>
        <v>11.3786</v>
      </c>
      <c r="H362" s="10">
        <f>CHOOSE(CONTROL!$C$42, 11.4302, 11.4302) * CHOOSE(CONTROL!$C$21, $C$9, 100%, $E$9)</f>
        <v>11.430199999999999</v>
      </c>
      <c r="I362" s="10">
        <f>CHOOSE(CONTROL!$C$42, 11.3723, 11.3723)* CHOOSE(CONTROL!$C$21, $C$9, 100%, $E$9)</f>
        <v>11.372299999999999</v>
      </c>
      <c r="J362" s="10">
        <f>CHOOSE(CONTROL!$C$42, 11.3531, 11.3531)* CHOOSE(CONTROL!$C$21, $C$9, 100%, $E$9)</f>
        <v>11.3531</v>
      </c>
      <c r="K362" s="10">
        <f>CHOOSE(CONTROL!$C$42, 11.2032, 11.2032) * CHOOSE(CONTROL!$C$21, $C$9, 100%, $E$9)</f>
        <v>11.203200000000001</v>
      </c>
      <c r="L362" s="10">
        <f>CHOOSE(CONTROL!$C$42, 12.0172, 12.0172) * CHOOSE(CONTROL!$C$21, $C$9, 100%, $E$9)</f>
        <v>12.017200000000001</v>
      </c>
      <c r="M362" s="10">
        <f>CHOOSE(CONTROL!$C$42, 11.2524, 11.2524) * CHOOSE(CONTROL!$C$21, $C$9, 100%, $E$9)</f>
        <v>11.2524</v>
      </c>
      <c r="N362" s="10">
        <f>CHOOSE(CONTROL!$C$42, 11.2707, 11.2707) * CHOOSE(CONTROL!$C$21, $C$9, 100%, $E$9)</f>
        <v>11.2707</v>
      </c>
      <c r="O362" s="10">
        <f>CHOOSE(CONTROL!$C$42, 11.3287, 11.3287) * CHOOSE(CONTROL!$C$21, $C$9, 100%, $E$9)</f>
        <v>11.3287</v>
      </c>
      <c r="P362" s="10">
        <f>CHOOSE(CONTROL!$C$42, 11.2714, 11.2714) * CHOOSE(CONTROL!$C$21, $C$9, 100%, $E$9)</f>
        <v>11.2714</v>
      </c>
      <c r="Q362" s="10">
        <f>CHOOSE(CONTROL!$C$42, 11.924, 11.924) * CHOOSE(CONTROL!$C$21, $C$9, 100%, $E$9)</f>
        <v>11.923999999999999</v>
      </c>
      <c r="R362" s="10">
        <f>CHOOSE(CONTROL!$C$42, 12.5408, 12.5408) * CHOOSE(CONTROL!$C$21, $C$9, 100%, $E$9)</f>
        <v>12.540800000000001</v>
      </c>
      <c r="S362" s="10">
        <f>CHOOSE(CONTROL!$C$42, 11.0469, 11.0469) * CHOOSE(CONTROL!$C$21, $C$9, 100%, $E$9)</f>
        <v>11.046900000000001</v>
      </c>
      <c r="T3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38">
        <f>(1000*CHOOSE(CONTROL!$C$42, 695, 695)*CHOOSE(CONTROL!$C$42, 0.5599, 0.5599)*CHOOSE(CONTROL!$C$42, 28, 28))/1000000</f>
        <v>10.895653999999999</v>
      </c>
      <c r="V362" s="38">
        <f>(1000*CHOOSE(CONTROL!$C$42, 500, 500)*CHOOSE(CONTROL!$C$42, 0.275, 0.275)*CHOOSE(CONTROL!$C$42, 28, 28))/1000000</f>
        <v>3.85</v>
      </c>
      <c r="W362" s="38">
        <f>(1000*CHOOSE(CONTROL!$C$42, 0.1146, 0.1146)*CHOOSE(CONTROL!$C$42, 121.5, 121.5)*CHOOSE(CONTROL!$C$42, 28, 28))/1000000</f>
        <v>0.38986920000000003</v>
      </c>
      <c r="X362" s="38">
        <f>(28*0.1790888*100000/1000000)+(28*0.2374*100000/1000000)</f>
        <v>1.16616864</v>
      </c>
      <c r="Y362" s="38">
        <f>(1000*600*CHOOSE(CONTROL!$C$42, 1.1037, 1.1037)*CHOOSE(CONTROL!$C$42, 28, 28))/1000000</f>
        <v>18.542159999999999</v>
      </c>
      <c r="Z362" s="38"/>
      <c r="AA362" s="10"/>
      <c r="AB362" s="39"/>
      <c r="AC362" s="33">
        <f>(B362*122.58+C362*297.941+D362*89.177+E362*40.302+F362*40+G362*160+H362*0+I362*100+J362*300)/(122.58+297.941+89.177+40.302+0+40+160+100+300)</f>
        <v>11.376171750347826</v>
      </c>
      <c r="AD362" s="27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11.290769064748201</v>
      </c>
    </row>
    <row r="363" spans="1:30" ht="15.75" x14ac:dyDescent="0.25">
      <c r="A363" s="14">
        <v>52321</v>
      </c>
      <c r="B363" s="10">
        <f>CHOOSE(CONTROL!$C$42, 11.0549, 11.0549) * CHOOSE(CONTROL!$C$21, $C$9, 100%, $E$9)</f>
        <v>11.0549</v>
      </c>
      <c r="C363" s="10">
        <f>CHOOSE(CONTROL!$C$42, 11.0599, 11.0599) * CHOOSE(CONTROL!$C$21, $C$9, 100%, $E$9)</f>
        <v>11.059900000000001</v>
      </c>
      <c r="D363" s="10">
        <f>CHOOSE(CONTROL!$C$42, 11.0843, 11.0843) * CHOOSE(CONTROL!$C$21, $C$9, 100%, $E$9)</f>
        <v>11.084300000000001</v>
      </c>
      <c r="E363" s="10">
        <f>CHOOSE(CONTROL!$C$42, 11.1181, 11.1181) * CHOOSE(CONTROL!$C$21, $C$9, 100%, $E$9)</f>
        <v>11.1181</v>
      </c>
      <c r="F363" s="10">
        <f>CHOOSE(CONTROL!$C$42, 11.0356, 11.0356)*CHOOSE(CONTROL!$C$21, $C$9, 100%, $E$9)</f>
        <v>11.035600000000001</v>
      </c>
      <c r="G363" s="10">
        <f>CHOOSE(CONTROL!$C$42, 11.0537, 11.0537)*CHOOSE(CONTROL!$C$21, $C$9, 100%, $E$9)</f>
        <v>11.053699999999999</v>
      </c>
      <c r="H363" s="10">
        <f>CHOOSE(CONTROL!$C$42, 11.1073, 11.1073) * CHOOSE(CONTROL!$C$21, $C$9, 100%, $E$9)</f>
        <v>11.1073</v>
      </c>
      <c r="I363" s="10">
        <f>CHOOSE(CONTROL!$C$42, 11.0494, 11.0494)* CHOOSE(CONTROL!$C$21, $C$9, 100%, $E$9)</f>
        <v>11.0494</v>
      </c>
      <c r="J363" s="10">
        <f>CHOOSE(CONTROL!$C$42, 11.0286, 11.0286)* CHOOSE(CONTROL!$C$21, $C$9, 100%, $E$9)</f>
        <v>11.028600000000001</v>
      </c>
      <c r="K363" s="10">
        <f>CHOOSE(CONTROL!$C$42, 10.8861, 10.8861) * CHOOSE(CONTROL!$C$21, $C$9, 100%, $E$9)</f>
        <v>10.886100000000001</v>
      </c>
      <c r="L363" s="10">
        <f>CHOOSE(CONTROL!$C$42, 11.6943, 11.6943) * CHOOSE(CONTROL!$C$21, $C$9, 100%, $E$9)</f>
        <v>11.6943</v>
      </c>
      <c r="M363" s="10">
        <f>CHOOSE(CONTROL!$C$42, 10.9312, 10.9312) * CHOOSE(CONTROL!$C$21, $C$9, 100%, $E$9)</f>
        <v>10.9312</v>
      </c>
      <c r="N363" s="10">
        <f>CHOOSE(CONTROL!$C$42, 10.949, 10.949) * CHOOSE(CONTROL!$C$21, $C$9, 100%, $E$9)</f>
        <v>10.949</v>
      </c>
      <c r="O363" s="10">
        <f>CHOOSE(CONTROL!$C$42, 11.009, 11.009) * CHOOSE(CONTROL!$C$21, $C$9, 100%, $E$9)</f>
        <v>11.009</v>
      </c>
      <c r="P363" s="10">
        <f>CHOOSE(CONTROL!$C$42, 10.9518, 10.9518) * CHOOSE(CONTROL!$C$21, $C$9, 100%, $E$9)</f>
        <v>10.9518</v>
      </c>
      <c r="Q363" s="10">
        <f>CHOOSE(CONTROL!$C$42, 11.6043, 11.6043) * CHOOSE(CONTROL!$C$21, $C$9, 100%, $E$9)</f>
        <v>11.6043</v>
      </c>
      <c r="R363" s="10">
        <f>CHOOSE(CONTROL!$C$42, 12.2203, 12.2203) * CHOOSE(CONTROL!$C$21, $C$9, 100%, $E$9)</f>
        <v>12.2203</v>
      </c>
      <c r="S363" s="10">
        <f>CHOOSE(CONTROL!$C$42, 10.7333, 10.7333) * CHOOSE(CONTROL!$C$21, $C$9, 100%, $E$9)</f>
        <v>10.7333</v>
      </c>
      <c r="T3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38">
        <f>(1000*CHOOSE(CONTROL!$C$42, 695, 695)*CHOOSE(CONTROL!$C$42, 0.5599, 0.5599)*CHOOSE(CONTROL!$C$42, 31, 31))/1000000</f>
        <v>12.063045499999998</v>
      </c>
      <c r="V363" s="38">
        <f>(1000*CHOOSE(CONTROL!$C$42, 500, 500)*CHOOSE(CONTROL!$C$42, 0.275, 0.275)*CHOOSE(CONTROL!$C$42, 31, 31))/1000000</f>
        <v>4.2625000000000002</v>
      </c>
      <c r="W363" s="38">
        <f>(1000*CHOOSE(CONTROL!$C$42, 0.1146, 0.1146)*CHOOSE(CONTROL!$C$42, 121.5, 121.5)*CHOOSE(CONTROL!$C$42, 31, 31))/1000000</f>
        <v>0.43164089999999994</v>
      </c>
      <c r="X363" s="38">
        <f>(31*0.1790888*100000/1000000)+(31*0.2374*100000/1000000)</f>
        <v>1.2911152800000001</v>
      </c>
      <c r="Y363" s="38">
        <f>(1000*600*CHOOSE(CONTROL!$C$42, 1.1037, 1.1037)*CHOOSE(CONTROL!$C$42, 31, 31))/1000000</f>
        <v>20.52882</v>
      </c>
      <c r="Z363" s="38"/>
      <c r="AA363" s="10"/>
      <c r="AB363" s="39"/>
      <c r="AC363" s="33">
        <f>(B363*122.58+C363*297.941+D363*89.177+E363*40.302+F363*40+G363*160+H363*0+I363*100+J363*300)/(122.58+297.941+89.177+40.302+0+40+160+100+300)</f>
        <v>11.052512691478261</v>
      </c>
      <c r="AD363" s="27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10.970450359712231</v>
      </c>
    </row>
    <row r="364" spans="1:30" ht="15.75" x14ac:dyDescent="0.25">
      <c r="A364" s="14">
        <v>52351</v>
      </c>
      <c r="B364" s="10">
        <f>CHOOSE(CONTROL!$C$42, 11.0226, 11.0226) * CHOOSE(CONTROL!$C$21, $C$9, 100%, $E$9)</f>
        <v>11.022600000000001</v>
      </c>
      <c r="C364" s="10">
        <f>CHOOSE(CONTROL!$C$42, 11.027, 11.027) * CHOOSE(CONTROL!$C$21, $C$9, 100%, $E$9)</f>
        <v>11.026999999999999</v>
      </c>
      <c r="D364" s="10">
        <f>CHOOSE(CONTROL!$C$42, 11.2071, 11.2071) * CHOOSE(CONTROL!$C$21, $C$9, 100%, $E$9)</f>
        <v>11.207100000000001</v>
      </c>
      <c r="E364" s="10">
        <f>CHOOSE(CONTROL!$C$42, 11.2389, 11.2389) * CHOOSE(CONTROL!$C$21, $C$9, 100%, $E$9)</f>
        <v>11.238899999999999</v>
      </c>
      <c r="F364" s="10">
        <f>CHOOSE(CONTROL!$C$42, 10.9879, 10.9879)*CHOOSE(CONTROL!$C$21, $C$9, 100%, $E$9)</f>
        <v>10.9879</v>
      </c>
      <c r="G364" s="10">
        <f>CHOOSE(CONTROL!$C$42, 11.0042, 11.0042)*CHOOSE(CONTROL!$C$21, $C$9, 100%, $E$9)</f>
        <v>11.004200000000001</v>
      </c>
      <c r="H364" s="10">
        <f>CHOOSE(CONTROL!$C$42, 11.2287, 11.2287) * CHOOSE(CONTROL!$C$21, $C$9, 100%, $E$9)</f>
        <v>11.2287</v>
      </c>
      <c r="I364" s="10">
        <f>CHOOSE(CONTROL!$C$42, 11.0086, 11.0086)* CHOOSE(CONTROL!$C$21, $C$9, 100%, $E$9)</f>
        <v>11.008599999999999</v>
      </c>
      <c r="J364" s="10">
        <f>CHOOSE(CONTROL!$C$42, 10.9809, 10.9809)* CHOOSE(CONTROL!$C$21, $C$9, 100%, $E$9)</f>
        <v>10.9809</v>
      </c>
      <c r="K364" s="10">
        <f>CHOOSE(CONTROL!$C$42, 10.8315, 10.8315) * CHOOSE(CONTROL!$C$21, $C$9, 100%, $E$9)</f>
        <v>10.8315</v>
      </c>
      <c r="L364" s="10">
        <f>CHOOSE(CONTROL!$C$42, 11.8157, 11.8157) * CHOOSE(CONTROL!$C$21, $C$9, 100%, $E$9)</f>
        <v>11.8157</v>
      </c>
      <c r="M364" s="10">
        <f>CHOOSE(CONTROL!$C$42, 10.8839, 10.8839) * CHOOSE(CONTROL!$C$21, $C$9, 100%, $E$9)</f>
        <v>10.883900000000001</v>
      </c>
      <c r="N364" s="10">
        <f>CHOOSE(CONTROL!$C$42, 10.9, 10.9) * CHOOSE(CONTROL!$C$21, $C$9, 100%, $E$9)</f>
        <v>10.9</v>
      </c>
      <c r="O364" s="10">
        <f>CHOOSE(CONTROL!$C$42, 11.1292, 11.1292) * CHOOSE(CONTROL!$C$21, $C$9, 100%, $E$9)</f>
        <v>11.129200000000001</v>
      </c>
      <c r="P364" s="10">
        <f>CHOOSE(CONTROL!$C$42, 10.9113, 10.9113) * CHOOSE(CONTROL!$C$21, $C$9, 100%, $E$9)</f>
        <v>10.911300000000001</v>
      </c>
      <c r="Q364" s="10">
        <f>CHOOSE(CONTROL!$C$42, 11.7245, 11.7245) * CHOOSE(CONTROL!$C$21, $C$9, 100%, $E$9)</f>
        <v>11.724500000000001</v>
      </c>
      <c r="R364" s="10">
        <f>CHOOSE(CONTROL!$C$42, 12.3408, 12.3408) * CHOOSE(CONTROL!$C$21, $C$9, 100%, $E$9)</f>
        <v>12.3408</v>
      </c>
      <c r="S364" s="10">
        <f>CHOOSE(CONTROL!$C$42, 10.7011, 10.7011) * CHOOSE(CONTROL!$C$21, $C$9, 100%, $E$9)</f>
        <v>10.7011</v>
      </c>
      <c r="T3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38">
        <f>(1000*CHOOSE(CONTROL!$C$42, 695, 695)*CHOOSE(CONTROL!$C$42, 0.5599, 0.5599)*CHOOSE(CONTROL!$C$42, 30, 30))/1000000</f>
        <v>11.673914999999997</v>
      </c>
      <c r="V364" s="38">
        <f>(1000*CHOOSE(CONTROL!$C$42, 500, 500)*CHOOSE(CONTROL!$C$42, 0.275, 0.275)*CHOOSE(CONTROL!$C$42, 30, 30))/1000000</f>
        <v>4.125</v>
      </c>
      <c r="W364" s="38">
        <f>(1000*CHOOSE(CONTROL!$C$42, 0.1146, 0.1146)*CHOOSE(CONTROL!$C$42, 121.5, 121.5)*CHOOSE(CONTROL!$C$42, 30, 30))/1000000</f>
        <v>0.417717</v>
      </c>
      <c r="X364" s="38">
        <f>(30*0.1790888*245000/1000000)+(30*0.2374*100000/1000000)</f>
        <v>2.0285026799999999</v>
      </c>
      <c r="Y364" s="38">
        <f>(1000*600*CHOOSE(CONTROL!$C$42, 1.1037, 1.1037)*CHOOSE(CONTROL!$C$42, 30, 30))/1000000</f>
        <v>19.866599999999998</v>
      </c>
      <c r="Z364" s="38"/>
      <c r="AA364" s="10"/>
      <c r="AB364" s="39"/>
      <c r="AC364" s="33">
        <f>(B364*141.293+C364*267.993+D364*115.016+E364*89.698+F364*40+G364*185+H364*0+I364*100+J364*300)/(141.293+267.993+115.016+89.698+0+40+185+100+300)</f>
        <v>11.041243501694916</v>
      </c>
      <c r="AD364" s="27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10.960374100719424</v>
      </c>
    </row>
    <row r="365" spans="1:30" ht="15.75" x14ac:dyDescent="0.25">
      <c r="A365" s="14">
        <v>52382</v>
      </c>
      <c r="B365" s="10">
        <f>CHOOSE(CONTROL!$C$42, 11.1216, 11.1216) * CHOOSE(CONTROL!$C$21, $C$9, 100%, $E$9)</f>
        <v>11.121600000000001</v>
      </c>
      <c r="C365" s="10">
        <f>CHOOSE(CONTROL!$C$42, 11.1295, 11.1295) * CHOOSE(CONTROL!$C$21, $C$9, 100%, $E$9)</f>
        <v>11.1295</v>
      </c>
      <c r="D365" s="10">
        <f>CHOOSE(CONTROL!$C$42, 11.3065, 11.3065) * CHOOSE(CONTROL!$C$21, $C$9, 100%, $E$9)</f>
        <v>11.3065</v>
      </c>
      <c r="E365" s="10">
        <f>CHOOSE(CONTROL!$C$42, 11.3377, 11.3377) * CHOOSE(CONTROL!$C$21, $C$9, 100%, $E$9)</f>
        <v>11.3377</v>
      </c>
      <c r="F365" s="10">
        <f>CHOOSE(CONTROL!$C$42, 11.085, 11.085)*CHOOSE(CONTROL!$C$21, $C$9, 100%, $E$9)</f>
        <v>11.085000000000001</v>
      </c>
      <c r="G365" s="10">
        <f>CHOOSE(CONTROL!$C$42, 11.1015, 11.1015)*CHOOSE(CONTROL!$C$21, $C$9, 100%, $E$9)</f>
        <v>11.1015</v>
      </c>
      <c r="H365" s="10">
        <f>CHOOSE(CONTROL!$C$42, 11.3263, 11.3263) * CHOOSE(CONTROL!$C$21, $C$9, 100%, $E$9)</f>
        <v>11.3263</v>
      </c>
      <c r="I365" s="10">
        <f>CHOOSE(CONTROL!$C$42, 11.1062, 11.1062)* CHOOSE(CONTROL!$C$21, $C$9, 100%, $E$9)</f>
        <v>11.106199999999999</v>
      </c>
      <c r="J365" s="10">
        <f>CHOOSE(CONTROL!$C$42, 11.078, 11.078)* CHOOSE(CONTROL!$C$21, $C$9, 100%, $E$9)</f>
        <v>11.077999999999999</v>
      </c>
      <c r="K365" s="10">
        <f>CHOOSE(CONTROL!$C$42, 10.9251, 10.9251) * CHOOSE(CONTROL!$C$21, $C$9, 100%, $E$9)</f>
        <v>10.9251</v>
      </c>
      <c r="L365" s="10">
        <f>CHOOSE(CONTROL!$C$42, 11.9133, 11.9133) * CHOOSE(CONTROL!$C$21, $C$9, 100%, $E$9)</f>
        <v>11.9133</v>
      </c>
      <c r="M365" s="10">
        <f>CHOOSE(CONTROL!$C$42, 10.98, 10.98) * CHOOSE(CONTROL!$C$21, $C$9, 100%, $E$9)</f>
        <v>10.98</v>
      </c>
      <c r="N365" s="10">
        <f>CHOOSE(CONTROL!$C$42, 10.9964, 10.9964) * CHOOSE(CONTROL!$C$21, $C$9, 100%, $E$9)</f>
        <v>10.9964</v>
      </c>
      <c r="O365" s="10">
        <f>CHOOSE(CONTROL!$C$42, 11.2258, 11.2258) * CHOOSE(CONTROL!$C$21, $C$9, 100%, $E$9)</f>
        <v>11.2258</v>
      </c>
      <c r="P365" s="10">
        <f>CHOOSE(CONTROL!$C$42, 11.008, 11.008) * CHOOSE(CONTROL!$C$21, $C$9, 100%, $E$9)</f>
        <v>11.007999999999999</v>
      </c>
      <c r="Q365" s="10">
        <f>CHOOSE(CONTROL!$C$42, 11.8211, 11.8211) * CHOOSE(CONTROL!$C$21, $C$9, 100%, $E$9)</f>
        <v>11.821099999999999</v>
      </c>
      <c r="R365" s="10">
        <f>CHOOSE(CONTROL!$C$42, 12.4377, 12.4377) * CHOOSE(CONTROL!$C$21, $C$9, 100%, $E$9)</f>
        <v>12.4377</v>
      </c>
      <c r="S365" s="10">
        <f>CHOOSE(CONTROL!$C$42, 10.796, 10.796) * CHOOSE(CONTROL!$C$21, $C$9, 100%, $E$9)</f>
        <v>10.795999999999999</v>
      </c>
      <c r="T3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38">
        <f>(1000*CHOOSE(CONTROL!$C$42, 695, 695)*CHOOSE(CONTROL!$C$42, 0.5599, 0.5599)*CHOOSE(CONTROL!$C$42, 31, 31))/1000000</f>
        <v>12.063045499999998</v>
      </c>
      <c r="V365" s="38">
        <f>(1000*CHOOSE(CONTROL!$C$42, 500, 500)*CHOOSE(CONTROL!$C$42, 0.275, 0.275)*CHOOSE(CONTROL!$C$42, 31, 31))/1000000</f>
        <v>4.2625000000000002</v>
      </c>
      <c r="W365" s="38">
        <f>(1000*CHOOSE(CONTROL!$C$42, 0.1146, 0.1146)*CHOOSE(CONTROL!$C$42, 121.5, 121.5)*CHOOSE(CONTROL!$C$42, 31, 31))/1000000</f>
        <v>0.43164089999999994</v>
      </c>
      <c r="X365" s="38">
        <f>(31*0.1790888*245000/1000000)+(31*0.2374*100000/1000000)</f>
        <v>2.0961194359999999</v>
      </c>
      <c r="Y365" s="38">
        <f>(1000*600*CHOOSE(CONTROL!$C$42, 1.1037, 1.1037)*CHOOSE(CONTROL!$C$42, 31, 31))/1000000</f>
        <v>20.52882</v>
      </c>
      <c r="Z365" s="38"/>
      <c r="AA365" s="10"/>
      <c r="AB365" s="39"/>
      <c r="AC365" s="33">
        <f>(B365*194.205+C365*267.466+D365*133.845+E365*53.484+F365*40+G365*185+H365*0+I365*100+J365*300)/(194.205+267.466+133.845+53.484+0+40+185+100+300)</f>
        <v>11.136212491601258</v>
      </c>
      <c r="AD365" s="27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11.056769784172662</v>
      </c>
    </row>
    <row r="366" spans="1:30" ht="15.75" x14ac:dyDescent="0.25">
      <c r="A366" s="14">
        <v>52412</v>
      </c>
      <c r="B366" s="10">
        <f>CHOOSE(CONTROL!$C$42, 11.437, 11.437) * CHOOSE(CONTROL!$C$21, $C$9, 100%, $E$9)</f>
        <v>11.436999999999999</v>
      </c>
      <c r="C366" s="10">
        <f>CHOOSE(CONTROL!$C$42, 11.4449, 11.4449) * CHOOSE(CONTROL!$C$21, $C$9, 100%, $E$9)</f>
        <v>11.444900000000001</v>
      </c>
      <c r="D366" s="10">
        <f>CHOOSE(CONTROL!$C$42, 11.6219, 11.6219) * CHOOSE(CONTROL!$C$21, $C$9, 100%, $E$9)</f>
        <v>11.6219</v>
      </c>
      <c r="E366" s="10">
        <f>CHOOSE(CONTROL!$C$42, 11.653, 11.653) * CHOOSE(CONTROL!$C$21, $C$9, 100%, $E$9)</f>
        <v>11.653</v>
      </c>
      <c r="F366" s="10">
        <f>CHOOSE(CONTROL!$C$42, 11.4005, 11.4005)*CHOOSE(CONTROL!$C$21, $C$9, 100%, $E$9)</f>
        <v>11.400499999999999</v>
      </c>
      <c r="G366" s="10">
        <f>CHOOSE(CONTROL!$C$42, 11.417, 11.417)*CHOOSE(CONTROL!$C$21, $C$9, 100%, $E$9)</f>
        <v>11.417</v>
      </c>
      <c r="H366" s="10">
        <f>CHOOSE(CONTROL!$C$42, 11.6416, 11.6416) * CHOOSE(CONTROL!$C$21, $C$9, 100%, $E$9)</f>
        <v>11.6416</v>
      </c>
      <c r="I366" s="10">
        <f>CHOOSE(CONTROL!$C$42, 11.4215, 11.4215)* CHOOSE(CONTROL!$C$21, $C$9, 100%, $E$9)</f>
        <v>11.4215</v>
      </c>
      <c r="J366" s="10">
        <f>CHOOSE(CONTROL!$C$42, 11.3935, 11.3935)* CHOOSE(CONTROL!$C$21, $C$9, 100%, $E$9)</f>
        <v>11.3935</v>
      </c>
      <c r="K366" s="10">
        <f>CHOOSE(CONTROL!$C$42, 11.2318, 11.2318) * CHOOSE(CONTROL!$C$21, $C$9, 100%, $E$9)</f>
        <v>11.2318</v>
      </c>
      <c r="L366" s="10">
        <f>CHOOSE(CONTROL!$C$42, 12.2286, 12.2286) * CHOOSE(CONTROL!$C$21, $C$9, 100%, $E$9)</f>
        <v>12.2286</v>
      </c>
      <c r="M366" s="10">
        <f>CHOOSE(CONTROL!$C$42, 11.2923, 11.2923) * CHOOSE(CONTROL!$C$21, $C$9, 100%, $E$9)</f>
        <v>11.292299999999999</v>
      </c>
      <c r="N366" s="10">
        <f>CHOOSE(CONTROL!$C$42, 11.3087, 11.3087) * CHOOSE(CONTROL!$C$21, $C$9, 100%, $E$9)</f>
        <v>11.3087</v>
      </c>
      <c r="O366" s="10">
        <f>CHOOSE(CONTROL!$C$42, 11.538, 11.538) * CHOOSE(CONTROL!$C$21, $C$9, 100%, $E$9)</f>
        <v>11.538</v>
      </c>
      <c r="P366" s="10">
        <f>CHOOSE(CONTROL!$C$42, 11.3201, 11.3201) * CHOOSE(CONTROL!$C$21, $C$9, 100%, $E$9)</f>
        <v>11.3201</v>
      </c>
      <c r="Q366" s="10">
        <f>CHOOSE(CONTROL!$C$42, 12.1333, 12.1333) * CHOOSE(CONTROL!$C$21, $C$9, 100%, $E$9)</f>
        <v>12.1333</v>
      </c>
      <c r="R366" s="10">
        <f>CHOOSE(CONTROL!$C$42, 12.7506, 12.7506) * CHOOSE(CONTROL!$C$21, $C$9, 100%, $E$9)</f>
        <v>12.7506</v>
      </c>
      <c r="S366" s="10">
        <f>CHOOSE(CONTROL!$C$42, 11.1022, 11.1022) * CHOOSE(CONTROL!$C$21, $C$9, 100%, $E$9)</f>
        <v>11.1022</v>
      </c>
      <c r="T3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38">
        <f>(1000*CHOOSE(CONTROL!$C$42, 695, 695)*CHOOSE(CONTROL!$C$42, 0.5599, 0.5599)*CHOOSE(CONTROL!$C$42, 30, 30))/1000000</f>
        <v>11.673914999999997</v>
      </c>
      <c r="V366" s="38">
        <f>(1000*CHOOSE(CONTROL!$C$42, 500, 500)*CHOOSE(CONTROL!$C$42, 0.275, 0.275)*CHOOSE(CONTROL!$C$42, 30, 30))/1000000</f>
        <v>4.125</v>
      </c>
      <c r="W366" s="38">
        <f>(1000*CHOOSE(CONTROL!$C$42, 0.1146, 0.1146)*CHOOSE(CONTROL!$C$42, 121.5, 121.5)*CHOOSE(CONTROL!$C$42, 30, 30))/1000000</f>
        <v>0.417717</v>
      </c>
      <c r="X366" s="38">
        <f>(30*0.1790888*245000/1000000)+(30*0.2374*100000/1000000)</f>
        <v>2.0285026799999999</v>
      </c>
      <c r="Y366" s="38">
        <f>(1000*600*CHOOSE(CONTROL!$C$42, 1.1037, 1.1037)*CHOOSE(CONTROL!$C$42, 30, 30))/1000000</f>
        <v>19.866599999999998</v>
      </c>
      <c r="Z366" s="38"/>
      <c r="AA366" s="10"/>
      <c r="AB366" s="39"/>
      <c r="AC366" s="33">
        <f>(B366*194.205+C366*267.466+D366*133.845+E366*53.484+F366*40+G366*185+H366*0+I366*100+J366*300)/(194.205+267.466+133.845+53.484+0+40+185+100+300)</f>
        <v>11.451641652982731</v>
      </c>
      <c r="AD366" s="27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11.369012949640288</v>
      </c>
    </row>
    <row r="367" spans="1:30" ht="15.75" x14ac:dyDescent="0.25">
      <c r="A367" s="14">
        <v>52443</v>
      </c>
      <c r="B367" s="10">
        <f>CHOOSE(CONTROL!$C$42, 11.2176, 11.2176) * CHOOSE(CONTROL!$C$21, $C$9, 100%, $E$9)</f>
        <v>11.217599999999999</v>
      </c>
      <c r="C367" s="10">
        <f>CHOOSE(CONTROL!$C$42, 11.2256, 11.2256) * CHOOSE(CONTROL!$C$21, $C$9, 100%, $E$9)</f>
        <v>11.2256</v>
      </c>
      <c r="D367" s="10">
        <f>CHOOSE(CONTROL!$C$42, 11.4025, 11.4025) * CHOOSE(CONTROL!$C$21, $C$9, 100%, $E$9)</f>
        <v>11.4025</v>
      </c>
      <c r="E367" s="10">
        <f>CHOOSE(CONTROL!$C$42, 11.4337, 11.4337) * CHOOSE(CONTROL!$C$21, $C$9, 100%, $E$9)</f>
        <v>11.4337</v>
      </c>
      <c r="F367" s="10">
        <f>CHOOSE(CONTROL!$C$42, 11.1814, 11.1814)*CHOOSE(CONTROL!$C$21, $C$9, 100%, $E$9)</f>
        <v>11.1814</v>
      </c>
      <c r="G367" s="10">
        <f>CHOOSE(CONTROL!$C$42, 11.198, 11.198)*CHOOSE(CONTROL!$C$21, $C$9, 100%, $E$9)</f>
        <v>11.198</v>
      </c>
      <c r="H367" s="10">
        <f>CHOOSE(CONTROL!$C$42, 11.4223, 11.4223) * CHOOSE(CONTROL!$C$21, $C$9, 100%, $E$9)</f>
        <v>11.4223</v>
      </c>
      <c r="I367" s="10">
        <f>CHOOSE(CONTROL!$C$42, 11.2022, 11.2022)* CHOOSE(CONTROL!$C$21, $C$9, 100%, $E$9)</f>
        <v>11.202199999999999</v>
      </c>
      <c r="J367" s="10">
        <f>CHOOSE(CONTROL!$C$42, 11.1744, 11.1744)* CHOOSE(CONTROL!$C$21, $C$9, 100%, $E$9)</f>
        <v>11.1744</v>
      </c>
      <c r="K367" s="10">
        <f>CHOOSE(CONTROL!$C$42, 11.0193, 11.0193) * CHOOSE(CONTROL!$C$21, $C$9, 100%, $E$9)</f>
        <v>11.019299999999999</v>
      </c>
      <c r="L367" s="10">
        <f>CHOOSE(CONTROL!$C$42, 12.0093, 12.0093) * CHOOSE(CONTROL!$C$21, $C$9, 100%, $E$9)</f>
        <v>12.0093</v>
      </c>
      <c r="M367" s="10">
        <f>CHOOSE(CONTROL!$C$42, 11.0755, 11.0755) * CHOOSE(CONTROL!$C$21, $C$9, 100%, $E$9)</f>
        <v>11.0755</v>
      </c>
      <c r="N367" s="10">
        <f>CHOOSE(CONTROL!$C$42, 11.0919, 11.0919) * CHOOSE(CONTROL!$C$21, $C$9, 100%, $E$9)</f>
        <v>11.091900000000001</v>
      </c>
      <c r="O367" s="10">
        <f>CHOOSE(CONTROL!$C$42, 11.3209, 11.3209) * CHOOSE(CONTROL!$C$21, $C$9, 100%, $E$9)</f>
        <v>11.3209</v>
      </c>
      <c r="P367" s="10">
        <f>CHOOSE(CONTROL!$C$42, 11.1031, 11.1031) * CHOOSE(CONTROL!$C$21, $C$9, 100%, $E$9)</f>
        <v>11.1031</v>
      </c>
      <c r="Q367" s="10">
        <f>CHOOSE(CONTROL!$C$42, 11.9162, 11.9162) * CHOOSE(CONTROL!$C$21, $C$9, 100%, $E$9)</f>
        <v>11.9162</v>
      </c>
      <c r="R367" s="10">
        <f>CHOOSE(CONTROL!$C$42, 12.533, 12.533) * CHOOSE(CONTROL!$C$21, $C$9, 100%, $E$9)</f>
        <v>12.532999999999999</v>
      </c>
      <c r="S367" s="10">
        <f>CHOOSE(CONTROL!$C$42, 10.8892, 10.8892) * CHOOSE(CONTROL!$C$21, $C$9, 100%, $E$9)</f>
        <v>10.889200000000001</v>
      </c>
      <c r="T3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38">
        <f>(1000*CHOOSE(CONTROL!$C$42, 695, 695)*CHOOSE(CONTROL!$C$42, 0.5599, 0.5599)*CHOOSE(CONTROL!$C$42, 31, 31))/1000000</f>
        <v>12.063045499999998</v>
      </c>
      <c r="V367" s="38">
        <f>(1000*CHOOSE(CONTROL!$C$42, 500, 500)*CHOOSE(CONTROL!$C$42, 0.275, 0.275)*CHOOSE(CONTROL!$C$42, 31, 31))/1000000</f>
        <v>4.2625000000000002</v>
      </c>
      <c r="W367" s="38">
        <f>(1000*CHOOSE(CONTROL!$C$42, 0.1146, 0.1146)*CHOOSE(CONTROL!$C$42, 121.5, 121.5)*CHOOSE(CONTROL!$C$42, 31, 31))/1000000</f>
        <v>0.43164089999999994</v>
      </c>
      <c r="X367" s="38">
        <f>(31*0.1790888*245000/1000000)+(31*0.2374*100000/1000000)</f>
        <v>2.0961194359999999</v>
      </c>
      <c r="Y367" s="38">
        <f>(1000*600*CHOOSE(CONTROL!$C$42, 1.1037, 1.1037)*CHOOSE(CONTROL!$C$42, 31, 31))/1000000</f>
        <v>20.52882</v>
      </c>
      <c r="Z367" s="38"/>
      <c r="AA367" s="10"/>
      <c r="AB367" s="39"/>
      <c r="AC367" s="33">
        <f>(B367*194.205+C367*267.466+D367*133.845+E367*53.484+F367*40+G367*185+H367*0+I367*100+J367*300)/(194.205+267.466+133.845+53.484+0+40+185+100+300)</f>
        <v>11.232412842150707</v>
      </c>
      <c r="AD367" s="27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11.152100000000001</v>
      </c>
    </row>
    <row r="368" spans="1:30" ht="15.75" x14ac:dyDescent="0.25">
      <c r="A368" s="14">
        <v>52474</v>
      </c>
      <c r="B368" s="10">
        <f>CHOOSE(CONTROL!$C$42, 10.6638, 10.6638) * CHOOSE(CONTROL!$C$21, $C$9, 100%, $E$9)</f>
        <v>10.6638</v>
      </c>
      <c r="C368" s="10">
        <f>CHOOSE(CONTROL!$C$42, 10.6717, 10.6717) * CHOOSE(CONTROL!$C$21, $C$9, 100%, $E$9)</f>
        <v>10.6717</v>
      </c>
      <c r="D368" s="10">
        <f>CHOOSE(CONTROL!$C$42, 10.8487, 10.8487) * CHOOSE(CONTROL!$C$21, $C$9, 100%, $E$9)</f>
        <v>10.848699999999999</v>
      </c>
      <c r="E368" s="10">
        <f>CHOOSE(CONTROL!$C$42, 10.8799, 10.8799) * CHOOSE(CONTROL!$C$21, $C$9, 100%, $E$9)</f>
        <v>10.879899999999999</v>
      </c>
      <c r="F368" s="10">
        <f>CHOOSE(CONTROL!$C$42, 10.6277, 10.6277)*CHOOSE(CONTROL!$C$21, $C$9, 100%, $E$9)</f>
        <v>10.627700000000001</v>
      </c>
      <c r="G368" s="10">
        <f>CHOOSE(CONTROL!$C$42, 10.6443, 10.6443)*CHOOSE(CONTROL!$C$21, $C$9, 100%, $E$9)</f>
        <v>10.644299999999999</v>
      </c>
      <c r="H368" s="10">
        <f>CHOOSE(CONTROL!$C$42, 10.8685, 10.8685) * CHOOSE(CONTROL!$C$21, $C$9, 100%, $E$9)</f>
        <v>10.868499999999999</v>
      </c>
      <c r="I368" s="10">
        <f>CHOOSE(CONTROL!$C$42, 10.6484, 10.6484)* CHOOSE(CONTROL!$C$21, $C$9, 100%, $E$9)</f>
        <v>10.648400000000001</v>
      </c>
      <c r="J368" s="10">
        <f>CHOOSE(CONTROL!$C$42, 10.6207, 10.6207)* CHOOSE(CONTROL!$C$21, $C$9, 100%, $E$9)</f>
        <v>10.620699999999999</v>
      </c>
      <c r="K368" s="10">
        <f>CHOOSE(CONTROL!$C$42, 10.4813, 10.4813) * CHOOSE(CONTROL!$C$21, $C$9, 100%, $E$9)</f>
        <v>10.481299999999999</v>
      </c>
      <c r="L368" s="10">
        <f>CHOOSE(CONTROL!$C$42, 11.4555, 11.4555) * CHOOSE(CONTROL!$C$21, $C$9, 100%, $E$9)</f>
        <v>11.455500000000001</v>
      </c>
      <c r="M368" s="10">
        <f>CHOOSE(CONTROL!$C$42, 10.5273, 10.5273) * CHOOSE(CONTROL!$C$21, $C$9, 100%, $E$9)</f>
        <v>10.5273</v>
      </c>
      <c r="N368" s="10">
        <f>CHOOSE(CONTROL!$C$42, 10.5438, 10.5438) * CHOOSE(CONTROL!$C$21, $C$9, 100%, $E$9)</f>
        <v>10.543799999999999</v>
      </c>
      <c r="O368" s="10">
        <f>CHOOSE(CONTROL!$C$42, 10.7726, 10.7726) * CHOOSE(CONTROL!$C$21, $C$9, 100%, $E$9)</f>
        <v>10.772600000000001</v>
      </c>
      <c r="P368" s="10">
        <f>CHOOSE(CONTROL!$C$42, 10.5548, 10.5548) * CHOOSE(CONTROL!$C$21, $C$9, 100%, $E$9)</f>
        <v>10.5548</v>
      </c>
      <c r="Q368" s="10">
        <f>CHOOSE(CONTROL!$C$42, 11.3679, 11.3679) * CHOOSE(CONTROL!$C$21, $C$9, 100%, $E$9)</f>
        <v>11.367900000000001</v>
      </c>
      <c r="R368" s="10">
        <f>CHOOSE(CONTROL!$C$42, 11.9834, 11.9834) * CHOOSE(CONTROL!$C$21, $C$9, 100%, $E$9)</f>
        <v>11.9834</v>
      </c>
      <c r="S368" s="10">
        <f>CHOOSE(CONTROL!$C$42, 10.3514, 10.3514) * CHOOSE(CONTROL!$C$21, $C$9, 100%, $E$9)</f>
        <v>10.3514</v>
      </c>
      <c r="T3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38">
        <f>(1000*CHOOSE(CONTROL!$C$42, 695, 695)*CHOOSE(CONTROL!$C$42, 0.5599, 0.5599)*CHOOSE(CONTROL!$C$42, 31, 31))/1000000</f>
        <v>12.063045499999998</v>
      </c>
      <c r="V368" s="38">
        <f>(1000*CHOOSE(CONTROL!$C$42, 500, 500)*CHOOSE(CONTROL!$C$42, 0.275, 0.275)*CHOOSE(CONTROL!$C$42, 31, 31))/1000000</f>
        <v>4.2625000000000002</v>
      </c>
      <c r="W368" s="38">
        <f>(1000*CHOOSE(CONTROL!$C$42, 0.1146, 0.1146)*CHOOSE(CONTROL!$C$42, 121.5, 121.5)*CHOOSE(CONTROL!$C$42, 31, 31))/1000000</f>
        <v>0.43164089999999994</v>
      </c>
      <c r="X368" s="38">
        <f>(31*0.1790888*245000/1000000)+(31*0.2374*100000/1000000)</f>
        <v>2.0961194359999999</v>
      </c>
      <c r="Y368" s="38">
        <f>(1000*600*CHOOSE(CONTROL!$C$42, 1.1037, 1.1037)*CHOOSE(CONTROL!$C$42, 31, 31))/1000000</f>
        <v>20.52882</v>
      </c>
      <c r="Z368" s="38"/>
      <c r="AA368" s="10"/>
      <c r="AB368" s="39"/>
      <c r="AC368" s="33">
        <f>(B368*194.205+C368*267.466+D368*133.845+E368*53.484+F368*40+G368*185+H368*0+I368*100+J368*300)/(194.205+267.466+133.845+53.484+0+40+185+100+300)</f>
        <v>10.678633056750392</v>
      </c>
      <c r="AD368" s="27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10.603880575539568</v>
      </c>
    </row>
    <row r="369" spans="1:30" ht="15.75" x14ac:dyDescent="0.25">
      <c r="A369" s="14">
        <v>52504</v>
      </c>
      <c r="B369" s="10">
        <f>CHOOSE(CONTROL!$C$42, 9.9872, 9.9872) * CHOOSE(CONTROL!$C$21, $C$9, 100%, $E$9)</f>
        <v>9.9871999999999996</v>
      </c>
      <c r="C369" s="10">
        <f>CHOOSE(CONTROL!$C$42, 9.9951, 9.9951) * CHOOSE(CONTROL!$C$21, $C$9, 100%, $E$9)</f>
        <v>9.9951000000000008</v>
      </c>
      <c r="D369" s="10">
        <f>CHOOSE(CONTROL!$C$42, 10.1721, 10.1721) * CHOOSE(CONTROL!$C$21, $C$9, 100%, $E$9)</f>
        <v>10.1721</v>
      </c>
      <c r="E369" s="10">
        <f>CHOOSE(CONTROL!$C$42, 10.2032, 10.2032) * CHOOSE(CONTROL!$C$21, $C$9, 100%, $E$9)</f>
        <v>10.203200000000001</v>
      </c>
      <c r="F369" s="10">
        <f>CHOOSE(CONTROL!$C$42, 9.9507, 9.9507)*CHOOSE(CONTROL!$C$21, $C$9, 100%, $E$9)</f>
        <v>9.9506999999999994</v>
      </c>
      <c r="G369" s="10">
        <f>CHOOSE(CONTROL!$C$42, 9.9673, 9.9673)*CHOOSE(CONTROL!$C$21, $C$9, 100%, $E$9)</f>
        <v>9.9672999999999998</v>
      </c>
      <c r="H369" s="10">
        <f>CHOOSE(CONTROL!$C$42, 10.1918, 10.1918) * CHOOSE(CONTROL!$C$21, $C$9, 100%, $E$9)</f>
        <v>10.191800000000001</v>
      </c>
      <c r="I369" s="10">
        <f>CHOOSE(CONTROL!$C$42, 9.9717, 9.9717)* CHOOSE(CONTROL!$C$21, $C$9, 100%, $E$9)</f>
        <v>9.9717000000000002</v>
      </c>
      <c r="J369" s="10">
        <f>CHOOSE(CONTROL!$C$42, 9.9437, 9.9437)* CHOOSE(CONTROL!$C$21, $C$9, 100%, $E$9)</f>
        <v>9.9436999999999998</v>
      </c>
      <c r="K369" s="10">
        <f>CHOOSE(CONTROL!$C$42, 9.8233, 9.8233) * CHOOSE(CONTROL!$C$21, $C$9, 100%, $E$9)</f>
        <v>9.8232999999999997</v>
      </c>
      <c r="L369" s="10">
        <f>CHOOSE(CONTROL!$C$42, 10.7788, 10.7788) * CHOOSE(CONTROL!$C$21, $C$9, 100%, $E$9)</f>
        <v>10.7788</v>
      </c>
      <c r="M369" s="10">
        <f>CHOOSE(CONTROL!$C$42, 9.8572, 9.8572) * CHOOSE(CONTROL!$C$21, $C$9, 100%, $E$9)</f>
        <v>9.8572000000000006</v>
      </c>
      <c r="N369" s="10">
        <f>CHOOSE(CONTROL!$C$42, 9.8736, 9.8736) * CHOOSE(CONTROL!$C$21, $C$9, 100%, $E$9)</f>
        <v>9.8735999999999997</v>
      </c>
      <c r="O369" s="10">
        <f>CHOOSE(CONTROL!$C$42, 10.1028, 10.1028) * CHOOSE(CONTROL!$C$21, $C$9, 100%, $E$9)</f>
        <v>10.1028</v>
      </c>
      <c r="P369" s="10">
        <f>CHOOSE(CONTROL!$C$42, 9.885, 9.885) * CHOOSE(CONTROL!$C$21, $C$9, 100%, $E$9)</f>
        <v>9.8849999999999998</v>
      </c>
      <c r="Q369" s="10">
        <f>CHOOSE(CONTROL!$C$42, 10.6981, 10.6981) * CHOOSE(CONTROL!$C$21, $C$9, 100%, $E$9)</f>
        <v>10.6981</v>
      </c>
      <c r="R369" s="10">
        <f>CHOOSE(CONTROL!$C$42, 11.3118, 11.3118) * CHOOSE(CONTROL!$C$21, $C$9, 100%, $E$9)</f>
        <v>11.3118</v>
      </c>
      <c r="S369" s="10">
        <f>CHOOSE(CONTROL!$C$42, 9.6943, 9.6943) * CHOOSE(CONTROL!$C$21, $C$9, 100%, $E$9)</f>
        <v>9.6943000000000001</v>
      </c>
      <c r="T3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38">
        <f>(1000*CHOOSE(CONTROL!$C$42, 695, 695)*CHOOSE(CONTROL!$C$42, 0.5599, 0.5599)*CHOOSE(CONTROL!$C$42, 30, 30))/1000000</f>
        <v>11.673914999999997</v>
      </c>
      <c r="V369" s="38">
        <f>(1000*CHOOSE(CONTROL!$C$42, 500, 500)*CHOOSE(CONTROL!$C$42, 0.275, 0.275)*CHOOSE(CONTROL!$C$42, 30, 30))/1000000</f>
        <v>4.125</v>
      </c>
      <c r="W369" s="38">
        <f>(1000*CHOOSE(CONTROL!$C$42, 0.1146, 0.1146)*CHOOSE(CONTROL!$C$42, 121.5, 121.5)*CHOOSE(CONTROL!$C$42, 30, 30))/1000000</f>
        <v>0.417717</v>
      </c>
      <c r="X369" s="38">
        <f>(30*0.1790888*245000/1000000)+(30*0.2374*100000/1000000)</f>
        <v>2.0285026799999999</v>
      </c>
      <c r="Y369" s="38">
        <f>(1000*600*CHOOSE(CONTROL!$C$42, 1.1037, 1.1037)*CHOOSE(CONTROL!$C$42, 30, 30))/1000000</f>
        <v>19.866599999999998</v>
      </c>
      <c r="Z369" s="38"/>
      <c r="AA369" s="10"/>
      <c r="AB369" s="39"/>
      <c r="AC369" s="33">
        <f>(B369*194.205+C369*267.466+D369*133.845+E369*53.484+F369*40+G369*185+H369*0+I369*100+J369*300)/(194.205+267.466+133.845+53.484+0+40+185+100+300)</f>
        <v>10.001856174175826</v>
      </c>
      <c r="AD369" s="27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9.933884892086331</v>
      </c>
    </row>
    <row r="370" spans="1:30" ht="15.75" x14ac:dyDescent="0.25">
      <c r="A370" s="14">
        <v>52535</v>
      </c>
      <c r="B370" s="10">
        <f>CHOOSE(CONTROL!$C$42, 9.7823, 9.7823) * CHOOSE(CONTROL!$C$21, $C$9, 100%, $E$9)</f>
        <v>9.7822999999999993</v>
      </c>
      <c r="C370" s="10">
        <f>CHOOSE(CONTROL!$C$42, 9.7875, 9.7875) * CHOOSE(CONTROL!$C$21, $C$9, 100%, $E$9)</f>
        <v>9.7874999999999996</v>
      </c>
      <c r="D370" s="10">
        <f>CHOOSE(CONTROL!$C$42, 9.9695, 9.9695) * CHOOSE(CONTROL!$C$21, $C$9, 100%, $E$9)</f>
        <v>9.9695</v>
      </c>
      <c r="E370" s="10">
        <f>CHOOSE(CONTROL!$C$42, 9.9983, 9.9983) * CHOOSE(CONTROL!$C$21, $C$9, 100%, $E$9)</f>
        <v>9.9983000000000004</v>
      </c>
      <c r="F370" s="10">
        <f>CHOOSE(CONTROL!$C$42, 9.7479, 9.7479)*CHOOSE(CONTROL!$C$21, $C$9, 100%, $E$9)</f>
        <v>9.7478999999999996</v>
      </c>
      <c r="G370" s="10">
        <f>CHOOSE(CONTROL!$C$42, 9.7642, 9.7642)*CHOOSE(CONTROL!$C$21, $C$9, 100%, $E$9)</f>
        <v>9.7642000000000007</v>
      </c>
      <c r="H370" s="10">
        <f>CHOOSE(CONTROL!$C$42, 9.9888, 9.9888) * CHOOSE(CONTROL!$C$21, $C$9, 100%, $E$9)</f>
        <v>9.9887999999999995</v>
      </c>
      <c r="I370" s="10">
        <f>CHOOSE(CONTROL!$C$42, 9.7687, 9.7687)* CHOOSE(CONTROL!$C$21, $C$9, 100%, $E$9)</f>
        <v>9.7687000000000008</v>
      </c>
      <c r="J370" s="10">
        <f>CHOOSE(CONTROL!$C$42, 9.7409, 9.7409)* CHOOSE(CONTROL!$C$21, $C$9, 100%, $E$9)</f>
        <v>9.7408999999999999</v>
      </c>
      <c r="K370" s="10">
        <f>CHOOSE(CONTROL!$C$42, 9.6266, 9.6266) * CHOOSE(CONTROL!$C$21, $C$9, 100%, $E$9)</f>
        <v>9.6265999999999998</v>
      </c>
      <c r="L370" s="10">
        <f>CHOOSE(CONTROL!$C$42, 10.5758, 10.5758) * CHOOSE(CONTROL!$C$21, $C$9, 100%, $E$9)</f>
        <v>10.575799999999999</v>
      </c>
      <c r="M370" s="10">
        <f>CHOOSE(CONTROL!$C$42, 9.6565, 9.6565) * CHOOSE(CONTROL!$C$21, $C$9, 100%, $E$9)</f>
        <v>9.6564999999999994</v>
      </c>
      <c r="N370" s="10">
        <f>CHOOSE(CONTROL!$C$42, 9.6725, 9.6725) * CHOOSE(CONTROL!$C$21, $C$9, 100%, $E$9)</f>
        <v>9.6724999999999994</v>
      </c>
      <c r="O370" s="10">
        <f>CHOOSE(CONTROL!$C$42, 9.9018, 9.9018) * CHOOSE(CONTROL!$C$21, $C$9, 100%, $E$9)</f>
        <v>9.9017999999999997</v>
      </c>
      <c r="P370" s="10">
        <f>CHOOSE(CONTROL!$C$42, 9.684, 9.684) * CHOOSE(CONTROL!$C$21, $C$9, 100%, $E$9)</f>
        <v>9.6839999999999993</v>
      </c>
      <c r="Q370" s="10">
        <f>CHOOSE(CONTROL!$C$42, 10.4971, 10.4971) * CHOOSE(CONTROL!$C$21, $C$9, 100%, $E$9)</f>
        <v>10.4971</v>
      </c>
      <c r="R370" s="10">
        <f>CHOOSE(CONTROL!$C$42, 11.1103, 11.1103) * CHOOSE(CONTROL!$C$21, $C$9, 100%, $E$9)</f>
        <v>11.110300000000001</v>
      </c>
      <c r="S370" s="10">
        <f>CHOOSE(CONTROL!$C$42, 9.4971, 9.4971) * CHOOSE(CONTROL!$C$21, $C$9, 100%, $E$9)</f>
        <v>9.4970999999999997</v>
      </c>
      <c r="T3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38">
        <f>(1000*CHOOSE(CONTROL!$C$42, 695, 695)*CHOOSE(CONTROL!$C$42, 0.5599, 0.5599)*CHOOSE(CONTROL!$C$42, 31, 31))/1000000</f>
        <v>12.063045499999998</v>
      </c>
      <c r="V370" s="38">
        <f>(1000*CHOOSE(CONTROL!$C$42, 500, 500)*CHOOSE(CONTROL!$C$42, 0.275, 0.275)*CHOOSE(CONTROL!$C$42, 31, 31))/1000000</f>
        <v>4.2625000000000002</v>
      </c>
      <c r="W370" s="38">
        <f>(1000*CHOOSE(CONTROL!$C$42, 0.1146, 0.1146)*CHOOSE(CONTROL!$C$42, 121.5, 121.5)*CHOOSE(CONTROL!$C$42, 31, 31))/1000000</f>
        <v>0.43164089999999994</v>
      </c>
      <c r="X370" s="38">
        <f>(31*0.1790888*245000/1000000)+(31*0.2374*100000/1000000)</f>
        <v>2.0961194359999999</v>
      </c>
      <c r="Y370" s="38">
        <f>(1000*600*CHOOSE(CONTROL!$C$42, 1.1037, 1.1037)*CHOOSE(CONTROL!$C$42, 31, 31))/1000000</f>
        <v>20.52882</v>
      </c>
      <c r="Z370" s="38"/>
      <c r="AA370" s="10"/>
      <c r="AB370" s="39"/>
      <c r="AC370" s="33">
        <f>(B370*131.881+C370*277.167+D370*79.08+E370*125.872+F370*40+G370*185+H370*0+I370*100+J370*300)/(131.881+277.167+79.08+125.872+0+40+185+100+300)</f>
        <v>9.8024201746569819</v>
      </c>
      <c r="AD370" s="27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9.7329654676258972</v>
      </c>
    </row>
    <row r="371" spans="1:30" ht="15.75" x14ac:dyDescent="0.25">
      <c r="A371" s="14">
        <v>52565</v>
      </c>
      <c r="B371" s="10">
        <f>CHOOSE(CONTROL!$C$42, 10.0395, 10.0395) * CHOOSE(CONTROL!$C$21, $C$9, 100%, $E$9)</f>
        <v>10.0395</v>
      </c>
      <c r="C371" s="10">
        <f>CHOOSE(CONTROL!$C$42, 10.0445, 10.0445) * CHOOSE(CONTROL!$C$21, $C$9, 100%, $E$9)</f>
        <v>10.044499999999999</v>
      </c>
      <c r="D371" s="10">
        <f>CHOOSE(CONTROL!$C$42, 10.069, 10.069) * CHOOSE(CONTROL!$C$21, $C$9, 100%, $E$9)</f>
        <v>10.069000000000001</v>
      </c>
      <c r="E371" s="10">
        <f>CHOOSE(CONTROL!$C$42, 10.1027, 10.1027) * CHOOSE(CONTROL!$C$21, $C$9, 100%, $E$9)</f>
        <v>10.1027</v>
      </c>
      <c r="F371" s="10">
        <f>CHOOSE(CONTROL!$C$42, 10.0089, 10.0089)*CHOOSE(CONTROL!$C$21, $C$9, 100%, $E$9)</f>
        <v>10.008900000000001</v>
      </c>
      <c r="G371" s="10">
        <f>CHOOSE(CONTROL!$C$42, 10.0253, 10.0253)*CHOOSE(CONTROL!$C$21, $C$9, 100%, $E$9)</f>
        <v>10.0253</v>
      </c>
      <c r="H371" s="10">
        <f>CHOOSE(CONTROL!$C$42, 10.0919, 10.0919) * CHOOSE(CONTROL!$C$21, $C$9, 100%, $E$9)</f>
        <v>10.091900000000001</v>
      </c>
      <c r="I371" s="10">
        <f>CHOOSE(CONTROL!$C$42, 10.0263, 10.0263)* CHOOSE(CONTROL!$C$21, $C$9, 100%, $E$9)</f>
        <v>10.026300000000001</v>
      </c>
      <c r="J371" s="10">
        <f>CHOOSE(CONTROL!$C$42, 10.0019, 10.0019)* CHOOSE(CONTROL!$C$21, $C$9, 100%, $E$9)</f>
        <v>10.001899999999999</v>
      </c>
      <c r="K371" s="10">
        <f>CHOOSE(CONTROL!$C$42, 9.8784, 9.8784) * CHOOSE(CONTROL!$C$21, $C$9, 100%, $E$9)</f>
        <v>9.8783999999999992</v>
      </c>
      <c r="L371" s="10">
        <f>CHOOSE(CONTROL!$C$42, 10.6789, 10.6789) * CHOOSE(CONTROL!$C$21, $C$9, 100%, $E$9)</f>
        <v>10.678900000000001</v>
      </c>
      <c r="M371" s="10">
        <f>CHOOSE(CONTROL!$C$42, 9.9148, 9.9148) * CHOOSE(CONTROL!$C$21, $C$9, 100%, $E$9)</f>
        <v>9.9147999999999996</v>
      </c>
      <c r="N371" s="10">
        <f>CHOOSE(CONTROL!$C$42, 9.931, 9.931) * CHOOSE(CONTROL!$C$21, $C$9, 100%, $E$9)</f>
        <v>9.9309999999999992</v>
      </c>
      <c r="O371" s="10">
        <f>CHOOSE(CONTROL!$C$42, 10.0039, 10.0039) * CHOOSE(CONTROL!$C$21, $C$9, 100%, $E$9)</f>
        <v>10.0039</v>
      </c>
      <c r="P371" s="10">
        <f>CHOOSE(CONTROL!$C$42, 9.939, 9.939) * CHOOSE(CONTROL!$C$21, $C$9, 100%, $E$9)</f>
        <v>9.9390000000000001</v>
      </c>
      <c r="Q371" s="10">
        <f>CHOOSE(CONTROL!$C$42, 10.5992, 10.5992) * CHOOSE(CONTROL!$C$21, $C$9, 100%, $E$9)</f>
        <v>10.5992</v>
      </c>
      <c r="R371" s="10">
        <f>CHOOSE(CONTROL!$C$42, 11.2127, 11.2127) * CHOOSE(CONTROL!$C$21, $C$9, 100%, $E$9)</f>
        <v>11.2127</v>
      </c>
      <c r="S371" s="10">
        <f>CHOOSE(CONTROL!$C$42, 9.7473, 9.7473) * CHOOSE(CONTROL!$C$21, $C$9, 100%, $E$9)</f>
        <v>9.7472999999999992</v>
      </c>
      <c r="T3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38">
        <f>(1000*CHOOSE(CONTROL!$C$42, 695, 695)*CHOOSE(CONTROL!$C$42, 0.5599, 0.5599)*CHOOSE(CONTROL!$C$42, 30, 30))/1000000</f>
        <v>11.673914999999997</v>
      </c>
      <c r="V371" s="38">
        <f>(1000*CHOOSE(CONTROL!$C$42, 500, 500)*CHOOSE(CONTROL!$C$42, 0.275, 0.275)*CHOOSE(CONTROL!$C$42, 30, 30))/1000000</f>
        <v>4.125</v>
      </c>
      <c r="W371" s="38">
        <f>(1000*CHOOSE(CONTROL!$C$42, 0.1146, 0.1146)*CHOOSE(CONTROL!$C$42, 121.5, 121.5)*CHOOSE(CONTROL!$C$42, 30, 30))/1000000</f>
        <v>0.417717</v>
      </c>
      <c r="X371" s="38">
        <f>(30*0.1790888*100000/1000000)+(30*0.2374*100000/1000000)</f>
        <v>1.2494664</v>
      </c>
      <c r="Y371" s="38">
        <f>(1000*600*CHOOSE(CONTROL!$C$42, 1.1037, 1.1037)*CHOOSE(CONTROL!$C$42, 30, 30))/1000000</f>
        <v>19.866599999999998</v>
      </c>
      <c r="Z371" s="38"/>
      <c r="AA371" s="10"/>
      <c r="AB371" s="39"/>
      <c r="AC371" s="33">
        <f>(B371*122.58+C371*297.941+D371*89.177+E371*40.302+F371*40+G371*160+H371*0+I371*100+J371*300)/(122.58+297.941+89.177+40.302+0+40+160+100+300)</f>
        <v>10.031301315565216</v>
      </c>
      <c r="AD371" s="27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9.959597841726616</v>
      </c>
    </row>
    <row r="372" spans="1:30" ht="15.75" x14ac:dyDescent="0.25">
      <c r="A372" s="14">
        <v>52596</v>
      </c>
      <c r="B372" s="10">
        <f>CHOOSE(CONTROL!$C$42, 10.7238, 10.7238) * CHOOSE(CONTROL!$C$21, $C$9, 100%, $E$9)</f>
        <v>10.723800000000001</v>
      </c>
      <c r="C372" s="10">
        <f>CHOOSE(CONTROL!$C$42, 10.7288, 10.7288) * CHOOSE(CONTROL!$C$21, $C$9, 100%, $E$9)</f>
        <v>10.7288</v>
      </c>
      <c r="D372" s="10">
        <f>CHOOSE(CONTROL!$C$42, 10.7532, 10.7532) * CHOOSE(CONTROL!$C$21, $C$9, 100%, $E$9)</f>
        <v>10.7532</v>
      </c>
      <c r="E372" s="10">
        <f>CHOOSE(CONTROL!$C$42, 10.787, 10.787) * CHOOSE(CONTROL!$C$21, $C$9, 100%, $E$9)</f>
        <v>10.787000000000001</v>
      </c>
      <c r="F372" s="10">
        <f>CHOOSE(CONTROL!$C$42, 10.6955, 10.6955)*CHOOSE(CONTROL!$C$21, $C$9, 100%, $E$9)</f>
        <v>10.695499999999999</v>
      </c>
      <c r="G372" s="10">
        <f>CHOOSE(CONTROL!$C$42, 10.7125, 10.7125)*CHOOSE(CONTROL!$C$21, $C$9, 100%, $E$9)</f>
        <v>10.7125</v>
      </c>
      <c r="H372" s="10">
        <f>CHOOSE(CONTROL!$C$42, 10.7762, 10.7762) * CHOOSE(CONTROL!$C$21, $C$9, 100%, $E$9)</f>
        <v>10.776199999999999</v>
      </c>
      <c r="I372" s="10">
        <f>CHOOSE(CONTROL!$C$42, 10.7106, 10.7106)* CHOOSE(CONTROL!$C$21, $C$9, 100%, $E$9)</f>
        <v>10.710599999999999</v>
      </c>
      <c r="J372" s="10">
        <f>CHOOSE(CONTROL!$C$42, 10.6885, 10.6885)* CHOOSE(CONTROL!$C$21, $C$9, 100%, $E$9)</f>
        <v>10.688499999999999</v>
      </c>
      <c r="K372" s="10">
        <f>CHOOSE(CONTROL!$C$42, 10.5483, 10.5483) * CHOOSE(CONTROL!$C$21, $C$9, 100%, $E$9)</f>
        <v>10.548299999999999</v>
      </c>
      <c r="L372" s="10">
        <f>CHOOSE(CONTROL!$C$42, 11.3632, 11.3632) * CHOOSE(CONTROL!$C$21, $C$9, 100%, $E$9)</f>
        <v>11.363200000000001</v>
      </c>
      <c r="M372" s="10">
        <f>CHOOSE(CONTROL!$C$42, 10.5944, 10.5944) * CHOOSE(CONTROL!$C$21, $C$9, 100%, $E$9)</f>
        <v>10.5944</v>
      </c>
      <c r="N372" s="10">
        <f>CHOOSE(CONTROL!$C$42, 10.6113, 10.6113) * CHOOSE(CONTROL!$C$21, $C$9, 100%, $E$9)</f>
        <v>10.6113</v>
      </c>
      <c r="O372" s="10">
        <f>CHOOSE(CONTROL!$C$42, 10.6813, 10.6813) * CHOOSE(CONTROL!$C$21, $C$9, 100%, $E$9)</f>
        <v>10.6813</v>
      </c>
      <c r="P372" s="10">
        <f>CHOOSE(CONTROL!$C$42, 10.6164, 10.6164) * CHOOSE(CONTROL!$C$21, $C$9, 100%, $E$9)</f>
        <v>10.616400000000001</v>
      </c>
      <c r="Q372" s="10">
        <f>CHOOSE(CONTROL!$C$42, 11.2766, 11.2766) * CHOOSE(CONTROL!$C$21, $C$9, 100%, $E$9)</f>
        <v>11.2766</v>
      </c>
      <c r="R372" s="10">
        <f>CHOOSE(CONTROL!$C$42, 11.8918, 11.8918) * CHOOSE(CONTROL!$C$21, $C$9, 100%, $E$9)</f>
        <v>11.8918</v>
      </c>
      <c r="S372" s="10">
        <f>CHOOSE(CONTROL!$C$42, 10.4118, 10.4118) * CHOOSE(CONTROL!$C$21, $C$9, 100%, $E$9)</f>
        <v>10.411799999999999</v>
      </c>
      <c r="T3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38">
        <f>(1000*CHOOSE(CONTROL!$C$42, 695, 695)*CHOOSE(CONTROL!$C$42, 0.5599, 0.5599)*CHOOSE(CONTROL!$C$42, 31, 31))/1000000</f>
        <v>12.063045499999998</v>
      </c>
      <c r="V372" s="38">
        <f>(1000*CHOOSE(CONTROL!$C$42, 500, 500)*CHOOSE(CONTROL!$C$42, 0.275, 0.275)*CHOOSE(CONTROL!$C$42, 31, 31))/1000000</f>
        <v>4.2625000000000002</v>
      </c>
      <c r="W372" s="38">
        <f>(1000*CHOOSE(CONTROL!$C$42, 0.1146, 0.1146)*CHOOSE(CONTROL!$C$42, 121.5, 121.5)*CHOOSE(CONTROL!$C$42, 31, 31))/1000000</f>
        <v>0.43164089999999994</v>
      </c>
      <c r="X372" s="38">
        <f>(31*0.1790888*100000/1000000)+(31*0.2374*100000/1000000)</f>
        <v>1.2911152800000001</v>
      </c>
      <c r="Y372" s="38">
        <f>(1000*600*CHOOSE(CONTROL!$C$42, 1.1037, 1.1037)*CHOOSE(CONTROL!$C$42, 31, 31))/1000000</f>
        <v>20.52882</v>
      </c>
      <c r="Z372" s="38"/>
      <c r="AA372" s="10"/>
      <c r="AB372" s="39"/>
      <c r="AC372" s="33">
        <f>(B372*122.58+C372*297.941+D372*89.177+E372*40.302+F372*40+G372*160+H372*0+I372*100+J372*300)/(122.58+297.941+89.177+40.302+0+40+160+100+300)</f>
        <v>10.716677039304347</v>
      </c>
      <c r="AD372" s="27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10.637924460431655</v>
      </c>
    </row>
    <row r="373" spans="1:30" ht="15.75" x14ac:dyDescent="0.25">
      <c r="A373" s="14">
        <v>52627</v>
      </c>
      <c r="B373" s="10">
        <f>CHOOSE(CONTROL!$C$42, 11.4474, 11.4474) * CHOOSE(CONTROL!$C$21, $C$9, 100%, $E$9)</f>
        <v>11.4474</v>
      </c>
      <c r="C373" s="10">
        <f>CHOOSE(CONTROL!$C$42, 11.4524, 11.4524) * CHOOSE(CONTROL!$C$21, $C$9, 100%, $E$9)</f>
        <v>11.452400000000001</v>
      </c>
      <c r="D373" s="10">
        <f>CHOOSE(CONTROL!$C$42, 11.4768, 11.4768) * CHOOSE(CONTROL!$C$21, $C$9, 100%, $E$9)</f>
        <v>11.476800000000001</v>
      </c>
      <c r="E373" s="10">
        <f>CHOOSE(CONTROL!$C$42, 11.5106, 11.5106) * CHOOSE(CONTROL!$C$21, $C$9, 100%, $E$9)</f>
        <v>11.5106</v>
      </c>
      <c r="F373" s="10">
        <f>CHOOSE(CONTROL!$C$42, 11.4304, 11.4304)*CHOOSE(CONTROL!$C$21, $C$9, 100%, $E$9)</f>
        <v>11.430400000000001</v>
      </c>
      <c r="G373" s="10">
        <f>CHOOSE(CONTROL!$C$42, 11.449, 11.449)*CHOOSE(CONTROL!$C$21, $C$9, 100%, $E$9)</f>
        <v>11.449</v>
      </c>
      <c r="H373" s="10">
        <f>CHOOSE(CONTROL!$C$42, 11.4998, 11.4998) * CHOOSE(CONTROL!$C$21, $C$9, 100%, $E$9)</f>
        <v>11.4998</v>
      </c>
      <c r="I373" s="10">
        <f>CHOOSE(CONTROL!$C$42, 11.4419, 11.4419)* CHOOSE(CONTROL!$C$21, $C$9, 100%, $E$9)</f>
        <v>11.4419</v>
      </c>
      <c r="J373" s="10">
        <f>CHOOSE(CONTROL!$C$42, 11.4234, 11.4234)* CHOOSE(CONTROL!$C$21, $C$9, 100%, $E$9)</f>
        <v>11.423400000000001</v>
      </c>
      <c r="K373" s="10">
        <f>CHOOSE(CONTROL!$C$42, 11.2723, 11.2723) * CHOOSE(CONTROL!$C$21, $C$9, 100%, $E$9)</f>
        <v>11.2723</v>
      </c>
      <c r="L373" s="10">
        <f>CHOOSE(CONTROL!$C$42, 12.0868, 12.0868) * CHOOSE(CONTROL!$C$21, $C$9, 100%, $E$9)</f>
        <v>12.0868</v>
      </c>
      <c r="M373" s="10">
        <f>CHOOSE(CONTROL!$C$42, 11.3219, 11.3219) * CHOOSE(CONTROL!$C$21, $C$9, 100%, $E$9)</f>
        <v>11.321899999999999</v>
      </c>
      <c r="N373" s="10">
        <f>CHOOSE(CONTROL!$C$42, 11.3404, 11.3404) * CHOOSE(CONTROL!$C$21, $C$9, 100%, $E$9)</f>
        <v>11.340400000000001</v>
      </c>
      <c r="O373" s="10">
        <f>CHOOSE(CONTROL!$C$42, 11.3976, 11.3976) * CHOOSE(CONTROL!$C$21, $C$9, 100%, $E$9)</f>
        <v>11.397600000000001</v>
      </c>
      <c r="P373" s="10">
        <f>CHOOSE(CONTROL!$C$42, 11.3403, 11.3403) * CHOOSE(CONTROL!$C$21, $C$9, 100%, $E$9)</f>
        <v>11.340299999999999</v>
      </c>
      <c r="Q373" s="10">
        <f>CHOOSE(CONTROL!$C$42, 11.9929, 11.9929) * CHOOSE(CONTROL!$C$21, $C$9, 100%, $E$9)</f>
        <v>11.992900000000001</v>
      </c>
      <c r="R373" s="10">
        <f>CHOOSE(CONTROL!$C$42, 12.6099, 12.6099) * CHOOSE(CONTROL!$C$21, $C$9, 100%, $E$9)</f>
        <v>12.6099</v>
      </c>
      <c r="S373" s="10">
        <f>CHOOSE(CONTROL!$C$42, 11.1145, 11.1145) * CHOOSE(CONTROL!$C$21, $C$9, 100%, $E$9)</f>
        <v>11.1145</v>
      </c>
      <c r="T3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38">
        <f>(1000*CHOOSE(CONTROL!$C$42, 695, 695)*CHOOSE(CONTROL!$C$42, 0.5599, 0.5599)*CHOOSE(CONTROL!$C$42, 31, 31))/1000000</f>
        <v>12.063045499999998</v>
      </c>
      <c r="V373" s="38">
        <f>(1000*CHOOSE(CONTROL!$C$42, 500, 500)*CHOOSE(CONTROL!$C$42, 0.275, 0.275)*CHOOSE(CONTROL!$C$42, 31, 31))/1000000</f>
        <v>4.2625000000000002</v>
      </c>
      <c r="W373" s="38">
        <f>(1000*CHOOSE(CONTROL!$C$42, 0.1146, 0.1146)*CHOOSE(CONTROL!$C$42, 121.5, 121.5)*CHOOSE(CONTROL!$C$42, 31, 31))/1000000</f>
        <v>0.43164089999999994</v>
      </c>
      <c r="X373" s="38">
        <f>(31*0.1790888*100000/1000000)+(31*0.2374*100000/1000000)</f>
        <v>1.2911152800000001</v>
      </c>
      <c r="Y373" s="38">
        <f>(1000*600*CHOOSE(CONTROL!$C$42, 1.1001, 1.1001)*CHOOSE(CONTROL!$C$42, 31, 31))/1000000</f>
        <v>20.461860000000001</v>
      </c>
      <c r="Z373" s="38"/>
      <c r="AA373" s="10"/>
      <c r="AB373" s="39"/>
      <c r="AC373" s="33">
        <f>(B373*122.58+C373*297.941+D373*89.177+E373*40.302+F373*40+G373*160+H373*0+I373*100+J373*300)/(122.58+297.941+89.177+40.302+0+40+160+100+300)</f>
        <v>11.446082256695654</v>
      </c>
      <c r="AD373" s="27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11.359922302158273</v>
      </c>
    </row>
    <row r="374" spans="1:30" ht="15.75" x14ac:dyDescent="0.25">
      <c r="A374" s="14">
        <v>52655</v>
      </c>
      <c r="B374" s="10">
        <f>CHOOSE(CONTROL!$C$42, 11.6511, 11.6511) * CHOOSE(CONTROL!$C$21, $C$9, 100%, $E$9)</f>
        <v>11.6511</v>
      </c>
      <c r="C374" s="10">
        <f>CHOOSE(CONTROL!$C$42, 11.6561, 11.6561) * CHOOSE(CONTROL!$C$21, $C$9, 100%, $E$9)</f>
        <v>11.6561</v>
      </c>
      <c r="D374" s="10">
        <f>CHOOSE(CONTROL!$C$42, 11.6806, 11.6806) * CHOOSE(CONTROL!$C$21, $C$9, 100%, $E$9)</f>
        <v>11.6806</v>
      </c>
      <c r="E374" s="10">
        <f>CHOOSE(CONTROL!$C$42, 11.7143, 11.7143) * CHOOSE(CONTROL!$C$21, $C$9, 100%, $E$9)</f>
        <v>11.7143</v>
      </c>
      <c r="F374" s="10">
        <f>CHOOSE(CONTROL!$C$42, 11.6334, 11.6334)*CHOOSE(CONTROL!$C$21, $C$9, 100%, $E$9)</f>
        <v>11.6334</v>
      </c>
      <c r="G374" s="10">
        <f>CHOOSE(CONTROL!$C$42, 11.6519, 11.6519)*CHOOSE(CONTROL!$C$21, $C$9, 100%, $E$9)</f>
        <v>11.651899999999999</v>
      </c>
      <c r="H374" s="10">
        <f>CHOOSE(CONTROL!$C$42, 11.7035, 11.7035) * CHOOSE(CONTROL!$C$21, $C$9, 100%, $E$9)</f>
        <v>11.7035</v>
      </c>
      <c r="I374" s="10">
        <f>CHOOSE(CONTROL!$C$42, 11.6456, 11.6456)* CHOOSE(CONTROL!$C$21, $C$9, 100%, $E$9)</f>
        <v>11.6456</v>
      </c>
      <c r="J374" s="10">
        <f>CHOOSE(CONTROL!$C$42, 11.6264, 11.6264)* CHOOSE(CONTROL!$C$21, $C$9, 100%, $E$9)</f>
        <v>11.6264</v>
      </c>
      <c r="K374" s="10">
        <f>CHOOSE(CONTROL!$C$42, 11.4688, 11.4688) * CHOOSE(CONTROL!$C$21, $C$9, 100%, $E$9)</f>
        <v>11.4688</v>
      </c>
      <c r="L374" s="10">
        <f>CHOOSE(CONTROL!$C$42, 12.2905, 12.2905) * CHOOSE(CONTROL!$C$21, $C$9, 100%, $E$9)</f>
        <v>12.2905</v>
      </c>
      <c r="M374" s="10">
        <f>CHOOSE(CONTROL!$C$42, 11.5229, 11.5229) * CHOOSE(CONTROL!$C$21, $C$9, 100%, $E$9)</f>
        <v>11.5229</v>
      </c>
      <c r="N374" s="10">
        <f>CHOOSE(CONTROL!$C$42, 11.5412, 11.5412) * CHOOSE(CONTROL!$C$21, $C$9, 100%, $E$9)</f>
        <v>11.5412</v>
      </c>
      <c r="O374" s="10">
        <f>CHOOSE(CONTROL!$C$42, 11.5993, 11.5993) * CHOOSE(CONTROL!$C$21, $C$9, 100%, $E$9)</f>
        <v>11.599299999999999</v>
      </c>
      <c r="P374" s="10">
        <f>CHOOSE(CONTROL!$C$42, 11.542, 11.542) * CHOOSE(CONTROL!$C$21, $C$9, 100%, $E$9)</f>
        <v>11.542</v>
      </c>
      <c r="Q374" s="10">
        <f>CHOOSE(CONTROL!$C$42, 12.1946, 12.1946) * CHOOSE(CONTROL!$C$21, $C$9, 100%, $E$9)</f>
        <v>12.194599999999999</v>
      </c>
      <c r="R374" s="10">
        <f>CHOOSE(CONTROL!$C$42, 12.812, 12.812) * CHOOSE(CONTROL!$C$21, $C$9, 100%, $E$9)</f>
        <v>12.811999999999999</v>
      </c>
      <c r="S374" s="10">
        <f>CHOOSE(CONTROL!$C$42, 11.3123, 11.3123) * CHOOSE(CONTROL!$C$21, $C$9, 100%, $E$9)</f>
        <v>11.3123</v>
      </c>
      <c r="T37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74" s="38">
        <f>(1000*CHOOSE(CONTROL!$C$42, 695, 695)*CHOOSE(CONTROL!$C$42, 0.5599, 0.5599)*CHOOSE(CONTROL!$C$42, 29, 29))/1000000</f>
        <v>11.284784499999999</v>
      </c>
      <c r="V374" s="38">
        <f>(1000*CHOOSE(CONTROL!$C$42, 500, 500)*CHOOSE(CONTROL!$C$42, 0.275, 0.275)*CHOOSE(CONTROL!$C$42, 29, 29))/1000000</f>
        <v>3.9874999999999998</v>
      </c>
      <c r="W374" s="38">
        <f>(1000*CHOOSE(CONTROL!$C$42, 0.1146, 0.1146)*CHOOSE(CONTROL!$C$42, 121.5, 121.5)*CHOOSE(CONTROL!$C$42, 29, 29))/1000000</f>
        <v>0.40379309999999996</v>
      </c>
      <c r="X374" s="38">
        <f>(29*0.1790888*100000/1000000)+(29*0.2374*100000/1000000)</f>
        <v>1.2078175199999999</v>
      </c>
      <c r="Y374" s="38">
        <f>(1000*600*CHOOSE(CONTROL!$C$42, 1.1001, 1.1001)*CHOOSE(CONTROL!$C$42, 29, 29))/1000000</f>
        <v>19.141739999999999</v>
      </c>
      <c r="Z374" s="38"/>
      <c r="AA374" s="10"/>
      <c r="AB374" s="39"/>
      <c r="AC374" s="33">
        <f>(B374*122.58+C374*297.941+D374*89.177+E374*40.302+F374*40+G374*160+H374*0+I374*100+J374*300)/(122.58+297.941+89.177+40.302+0+40+160+100+300)</f>
        <v>11.649471750347827</v>
      </c>
      <c r="AD374" s="27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11.561328776978417</v>
      </c>
    </row>
    <row r="375" spans="1:30" ht="15.75" x14ac:dyDescent="0.25">
      <c r="A375" s="14">
        <v>52687</v>
      </c>
      <c r="B375" s="10">
        <f>CHOOSE(CONTROL!$C$42, 11.3204, 11.3204) * CHOOSE(CONTROL!$C$21, $C$9, 100%, $E$9)</f>
        <v>11.320399999999999</v>
      </c>
      <c r="C375" s="10">
        <f>CHOOSE(CONTROL!$C$42, 11.3254, 11.3254) * CHOOSE(CONTROL!$C$21, $C$9, 100%, $E$9)</f>
        <v>11.3254</v>
      </c>
      <c r="D375" s="10">
        <f>CHOOSE(CONTROL!$C$42, 11.3499, 11.3499) * CHOOSE(CONTROL!$C$21, $C$9, 100%, $E$9)</f>
        <v>11.3499</v>
      </c>
      <c r="E375" s="10">
        <f>CHOOSE(CONTROL!$C$42, 11.3836, 11.3836) * CHOOSE(CONTROL!$C$21, $C$9, 100%, $E$9)</f>
        <v>11.383599999999999</v>
      </c>
      <c r="F375" s="10">
        <f>CHOOSE(CONTROL!$C$42, 11.3012, 11.3012)*CHOOSE(CONTROL!$C$21, $C$9, 100%, $E$9)</f>
        <v>11.3012</v>
      </c>
      <c r="G375" s="10">
        <f>CHOOSE(CONTROL!$C$42, 11.3192, 11.3192)*CHOOSE(CONTROL!$C$21, $C$9, 100%, $E$9)</f>
        <v>11.3192</v>
      </c>
      <c r="H375" s="10">
        <f>CHOOSE(CONTROL!$C$42, 11.3728, 11.3728) * CHOOSE(CONTROL!$C$21, $C$9, 100%, $E$9)</f>
        <v>11.3728</v>
      </c>
      <c r="I375" s="10">
        <f>CHOOSE(CONTROL!$C$42, 11.3149, 11.3149)* CHOOSE(CONTROL!$C$21, $C$9, 100%, $E$9)</f>
        <v>11.3149</v>
      </c>
      <c r="J375" s="10">
        <f>CHOOSE(CONTROL!$C$42, 11.2942, 11.2942)* CHOOSE(CONTROL!$C$21, $C$9, 100%, $E$9)</f>
        <v>11.2942</v>
      </c>
      <c r="K375" s="10">
        <f>CHOOSE(CONTROL!$C$42, 11.1441, 11.1441) * CHOOSE(CONTROL!$C$21, $C$9, 100%, $E$9)</f>
        <v>11.1441</v>
      </c>
      <c r="L375" s="10">
        <f>CHOOSE(CONTROL!$C$42, 11.9598, 11.9598) * CHOOSE(CONTROL!$C$21, $C$9, 100%, $E$9)</f>
        <v>11.9598</v>
      </c>
      <c r="M375" s="10">
        <f>CHOOSE(CONTROL!$C$42, 11.194, 11.194) * CHOOSE(CONTROL!$C$21, $C$9, 100%, $E$9)</f>
        <v>11.194000000000001</v>
      </c>
      <c r="N375" s="10">
        <f>CHOOSE(CONTROL!$C$42, 11.2119, 11.2119) * CHOOSE(CONTROL!$C$21, $C$9, 100%, $E$9)</f>
        <v>11.2119</v>
      </c>
      <c r="O375" s="10">
        <f>CHOOSE(CONTROL!$C$42, 11.2719, 11.2719) * CHOOSE(CONTROL!$C$21, $C$9, 100%, $E$9)</f>
        <v>11.2719</v>
      </c>
      <c r="P375" s="10">
        <f>CHOOSE(CONTROL!$C$42, 11.2146, 11.2146) * CHOOSE(CONTROL!$C$21, $C$9, 100%, $E$9)</f>
        <v>11.214600000000001</v>
      </c>
      <c r="Q375" s="10">
        <f>CHOOSE(CONTROL!$C$42, 11.8672, 11.8672) * CHOOSE(CONTROL!$C$21, $C$9, 100%, $E$9)</f>
        <v>11.8672</v>
      </c>
      <c r="R375" s="10">
        <f>CHOOSE(CONTROL!$C$42, 12.4839, 12.4839) * CHOOSE(CONTROL!$C$21, $C$9, 100%, $E$9)</f>
        <v>12.4839</v>
      </c>
      <c r="S375" s="10">
        <f>CHOOSE(CONTROL!$C$42, 10.9912, 10.9912) * CHOOSE(CONTROL!$C$21, $C$9, 100%, $E$9)</f>
        <v>10.991199999999999</v>
      </c>
      <c r="T3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38">
        <f>(1000*CHOOSE(CONTROL!$C$42, 695, 695)*CHOOSE(CONTROL!$C$42, 0.5599, 0.5599)*CHOOSE(CONTROL!$C$42, 31, 31))/1000000</f>
        <v>12.063045499999998</v>
      </c>
      <c r="V375" s="38">
        <f>(1000*CHOOSE(CONTROL!$C$42, 500, 500)*CHOOSE(CONTROL!$C$42, 0.275, 0.275)*CHOOSE(CONTROL!$C$42, 31, 31))/1000000</f>
        <v>4.2625000000000002</v>
      </c>
      <c r="W375" s="38">
        <f>(1000*CHOOSE(CONTROL!$C$42, 0.1146, 0.1146)*CHOOSE(CONTROL!$C$42, 121.5, 121.5)*CHOOSE(CONTROL!$C$42, 31, 31))/1000000</f>
        <v>0.43164089999999994</v>
      </c>
      <c r="X375" s="38">
        <f>(31*0.1790888*100000/1000000)+(31*0.2374*100000/1000000)</f>
        <v>1.2911152800000001</v>
      </c>
      <c r="Y375" s="38">
        <f>(1000*600*CHOOSE(CONTROL!$C$42, 1.1001, 1.1001)*CHOOSE(CONTROL!$C$42, 31, 31))/1000000</f>
        <v>20.461860000000001</v>
      </c>
      <c r="Z375" s="38"/>
      <c r="AA375" s="10"/>
      <c r="AB375" s="39"/>
      <c r="AC375" s="33">
        <f>(B375*122.58+C375*297.941+D375*89.177+E375*40.302+F375*40+G375*160+H375*0+I375*100+J375*300)/(122.58+297.941+89.177+40.302+0+40+160+100+300)</f>
        <v>11.318050011217391</v>
      </c>
      <c r="AD375" s="27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11.233301438848923</v>
      </c>
    </row>
    <row r="376" spans="1:30" ht="15.75" x14ac:dyDescent="0.25">
      <c r="A376" s="14">
        <v>52717</v>
      </c>
      <c r="B376" s="10">
        <f>CHOOSE(CONTROL!$C$42, 11.2873, 11.2873) * CHOOSE(CONTROL!$C$21, $C$9, 100%, $E$9)</f>
        <v>11.2873</v>
      </c>
      <c r="C376" s="10">
        <f>CHOOSE(CONTROL!$C$42, 11.2917, 11.2917) * CHOOSE(CONTROL!$C$21, $C$9, 100%, $E$9)</f>
        <v>11.291700000000001</v>
      </c>
      <c r="D376" s="10">
        <f>CHOOSE(CONTROL!$C$42, 11.4719, 11.4719) * CHOOSE(CONTROL!$C$21, $C$9, 100%, $E$9)</f>
        <v>11.4719</v>
      </c>
      <c r="E376" s="10">
        <f>CHOOSE(CONTROL!$C$42, 11.5036, 11.5036) * CHOOSE(CONTROL!$C$21, $C$9, 100%, $E$9)</f>
        <v>11.5036</v>
      </c>
      <c r="F376" s="10">
        <f>CHOOSE(CONTROL!$C$42, 11.2527, 11.2527)*CHOOSE(CONTROL!$C$21, $C$9, 100%, $E$9)</f>
        <v>11.252700000000001</v>
      </c>
      <c r="G376" s="10">
        <f>CHOOSE(CONTROL!$C$42, 11.2689, 11.2689)*CHOOSE(CONTROL!$C$21, $C$9, 100%, $E$9)</f>
        <v>11.2689</v>
      </c>
      <c r="H376" s="10">
        <f>CHOOSE(CONTROL!$C$42, 11.4934, 11.4934) * CHOOSE(CONTROL!$C$21, $C$9, 100%, $E$9)</f>
        <v>11.493399999999999</v>
      </c>
      <c r="I376" s="10">
        <f>CHOOSE(CONTROL!$C$42, 11.2733, 11.2733)* CHOOSE(CONTROL!$C$21, $C$9, 100%, $E$9)</f>
        <v>11.273300000000001</v>
      </c>
      <c r="J376" s="10">
        <f>CHOOSE(CONTROL!$C$42, 11.2457, 11.2457)* CHOOSE(CONTROL!$C$21, $C$9, 100%, $E$9)</f>
        <v>11.245699999999999</v>
      </c>
      <c r="K376" s="10">
        <f>CHOOSE(CONTROL!$C$42, 11.0887, 11.0887) * CHOOSE(CONTROL!$C$21, $C$9, 100%, $E$9)</f>
        <v>11.088699999999999</v>
      </c>
      <c r="L376" s="10">
        <f>CHOOSE(CONTROL!$C$42, 12.0804, 12.0804) * CHOOSE(CONTROL!$C$21, $C$9, 100%, $E$9)</f>
        <v>12.080399999999999</v>
      </c>
      <c r="M376" s="10">
        <f>CHOOSE(CONTROL!$C$42, 11.146, 11.146) * CHOOSE(CONTROL!$C$21, $C$9, 100%, $E$9)</f>
        <v>11.146000000000001</v>
      </c>
      <c r="N376" s="10">
        <f>CHOOSE(CONTROL!$C$42, 11.1621, 11.1621) * CHOOSE(CONTROL!$C$21, $C$9, 100%, $E$9)</f>
        <v>11.162100000000001</v>
      </c>
      <c r="O376" s="10">
        <f>CHOOSE(CONTROL!$C$42, 11.3913, 11.3913) * CHOOSE(CONTROL!$C$21, $C$9, 100%, $E$9)</f>
        <v>11.391299999999999</v>
      </c>
      <c r="P376" s="10">
        <f>CHOOSE(CONTROL!$C$42, 11.1734, 11.1734) * CHOOSE(CONTROL!$C$21, $C$9, 100%, $E$9)</f>
        <v>11.173400000000001</v>
      </c>
      <c r="Q376" s="10">
        <f>CHOOSE(CONTROL!$C$42, 11.9866, 11.9866) * CHOOSE(CONTROL!$C$21, $C$9, 100%, $E$9)</f>
        <v>11.986599999999999</v>
      </c>
      <c r="R376" s="10">
        <f>CHOOSE(CONTROL!$C$42, 12.6035, 12.6035) * CHOOSE(CONTROL!$C$21, $C$9, 100%, $E$9)</f>
        <v>12.6035</v>
      </c>
      <c r="S376" s="10">
        <f>CHOOSE(CONTROL!$C$42, 10.9582, 10.9582) * CHOOSE(CONTROL!$C$21, $C$9, 100%, $E$9)</f>
        <v>10.9582</v>
      </c>
      <c r="T3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38">
        <f>(1000*CHOOSE(CONTROL!$C$42, 695, 695)*CHOOSE(CONTROL!$C$42, 0.5599, 0.5599)*CHOOSE(CONTROL!$C$42, 30, 30))/1000000</f>
        <v>11.673914999999997</v>
      </c>
      <c r="V376" s="38">
        <f>(1000*CHOOSE(CONTROL!$C$42, 500, 500)*CHOOSE(CONTROL!$C$42, 0.275, 0.275)*CHOOSE(CONTROL!$C$42, 30, 30))/1000000</f>
        <v>4.125</v>
      </c>
      <c r="W376" s="38">
        <f>(1000*CHOOSE(CONTROL!$C$42, 0.1146, 0.1146)*CHOOSE(CONTROL!$C$42, 121.5, 121.5)*CHOOSE(CONTROL!$C$42, 30, 30))/1000000</f>
        <v>0.417717</v>
      </c>
      <c r="X376" s="38">
        <f>(30*0.1790888*245000/1000000)+(30*0.2374*100000/1000000)</f>
        <v>2.0285026799999999</v>
      </c>
      <c r="Y376" s="38">
        <f>(1000*600*CHOOSE(CONTROL!$C$42, 1.1001, 1.1001)*CHOOSE(CONTROL!$C$42, 30, 30))/1000000</f>
        <v>19.8018</v>
      </c>
      <c r="Z376" s="38"/>
      <c r="AA376" s="10"/>
      <c r="AB376" s="39"/>
      <c r="AC376" s="33">
        <f>(B376*141.293+C376*267.993+D376*115.016+E376*89.698+F376*40+G376*185+H376*0+I376*100+J376*300)/(141.293+267.993+115.016+89.698+0+40+185+100+300)</f>
        <v>11.305980226150121</v>
      </c>
      <c r="AD376" s="27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11.222474100719426</v>
      </c>
    </row>
    <row r="377" spans="1:30" ht="15.75" x14ac:dyDescent="0.25">
      <c r="A377" s="14">
        <v>52748</v>
      </c>
      <c r="B377" s="10">
        <f>CHOOSE(CONTROL!$C$42, 11.3887, 11.3887) * CHOOSE(CONTROL!$C$21, $C$9, 100%, $E$9)</f>
        <v>11.3887</v>
      </c>
      <c r="C377" s="10">
        <f>CHOOSE(CONTROL!$C$42, 11.3966, 11.3966) * CHOOSE(CONTROL!$C$21, $C$9, 100%, $E$9)</f>
        <v>11.396599999999999</v>
      </c>
      <c r="D377" s="10">
        <f>CHOOSE(CONTROL!$C$42, 11.5736, 11.5736) * CHOOSE(CONTROL!$C$21, $C$9, 100%, $E$9)</f>
        <v>11.573600000000001</v>
      </c>
      <c r="E377" s="10">
        <f>CHOOSE(CONTROL!$C$42, 11.6048, 11.6048) * CHOOSE(CONTROL!$C$21, $C$9, 100%, $E$9)</f>
        <v>11.604799999999999</v>
      </c>
      <c r="F377" s="10">
        <f>CHOOSE(CONTROL!$C$42, 11.3521, 11.3521)*CHOOSE(CONTROL!$C$21, $C$9, 100%, $E$9)</f>
        <v>11.3521</v>
      </c>
      <c r="G377" s="10">
        <f>CHOOSE(CONTROL!$C$42, 11.3686, 11.3686)*CHOOSE(CONTROL!$C$21, $C$9, 100%, $E$9)</f>
        <v>11.368600000000001</v>
      </c>
      <c r="H377" s="10">
        <f>CHOOSE(CONTROL!$C$42, 11.5934, 11.5934) * CHOOSE(CONTROL!$C$21, $C$9, 100%, $E$9)</f>
        <v>11.593400000000001</v>
      </c>
      <c r="I377" s="10">
        <f>CHOOSE(CONTROL!$C$42, 11.3733, 11.3733)* CHOOSE(CONTROL!$C$21, $C$9, 100%, $E$9)</f>
        <v>11.3733</v>
      </c>
      <c r="J377" s="10">
        <f>CHOOSE(CONTROL!$C$42, 11.3451, 11.3451)* CHOOSE(CONTROL!$C$21, $C$9, 100%, $E$9)</f>
        <v>11.3451</v>
      </c>
      <c r="K377" s="10">
        <f>CHOOSE(CONTROL!$C$42, 11.1846, 11.1846) * CHOOSE(CONTROL!$C$21, $C$9, 100%, $E$9)</f>
        <v>11.1846</v>
      </c>
      <c r="L377" s="10">
        <f>CHOOSE(CONTROL!$C$42, 12.1804, 12.1804) * CHOOSE(CONTROL!$C$21, $C$9, 100%, $E$9)</f>
        <v>12.180400000000001</v>
      </c>
      <c r="M377" s="10">
        <f>CHOOSE(CONTROL!$C$42, 11.2444, 11.2444) * CHOOSE(CONTROL!$C$21, $C$9, 100%, $E$9)</f>
        <v>11.244400000000001</v>
      </c>
      <c r="N377" s="10">
        <f>CHOOSE(CONTROL!$C$42, 11.2607, 11.2607) * CHOOSE(CONTROL!$C$21, $C$9, 100%, $E$9)</f>
        <v>11.2607</v>
      </c>
      <c r="O377" s="10">
        <f>CHOOSE(CONTROL!$C$42, 11.4902, 11.4902) * CHOOSE(CONTROL!$C$21, $C$9, 100%, $E$9)</f>
        <v>11.4902</v>
      </c>
      <c r="P377" s="10">
        <f>CHOOSE(CONTROL!$C$42, 11.2724, 11.2724) * CHOOSE(CONTROL!$C$21, $C$9, 100%, $E$9)</f>
        <v>11.272399999999999</v>
      </c>
      <c r="Q377" s="10">
        <f>CHOOSE(CONTROL!$C$42, 12.0855, 12.0855) * CHOOSE(CONTROL!$C$21, $C$9, 100%, $E$9)</f>
        <v>12.0855</v>
      </c>
      <c r="R377" s="10">
        <f>CHOOSE(CONTROL!$C$42, 12.7027, 12.7027) * CHOOSE(CONTROL!$C$21, $C$9, 100%, $E$9)</f>
        <v>12.7027</v>
      </c>
      <c r="S377" s="10">
        <f>CHOOSE(CONTROL!$C$42, 11.0553, 11.0553) * CHOOSE(CONTROL!$C$21, $C$9, 100%, $E$9)</f>
        <v>11.055300000000001</v>
      </c>
      <c r="T3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38">
        <f>(1000*CHOOSE(CONTROL!$C$42, 695, 695)*CHOOSE(CONTROL!$C$42, 0.5599, 0.5599)*CHOOSE(CONTROL!$C$42, 31, 31))/1000000</f>
        <v>12.063045499999998</v>
      </c>
      <c r="V377" s="38">
        <f>(1000*CHOOSE(CONTROL!$C$42, 500, 500)*CHOOSE(CONTROL!$C$42, 0.275, 0.275)*CHOOSE(CONTROL!$C$42, 31, 31))/1000000</f>
        <v>4.2625000000000002</v>
      </c>
      <c r="W377" s="38">
        <f>(1000*CHOOSE(CONTROL!$C$42, 0.1146, 0.1146)*CHOOSE(CONTROL!$C$42, 121.5, 121.5)*CHOOSE(CONTROL!$C$42, 31, 31))/1000000</f>
        <v>0.43164089999999994</v>
      </c>
      <c r="X377" s="38">
        <f>(31*0.1790888*245000/1000000)+(31*0.2374*100000/1000000)</f>
        <v>2.0961194359999999</v>
      </c>
      <c r="Y377" s="38">
        <f>(1000*600*CHOOSE(CONTROL!$C$42, 1.1001, 1.1001)*CHOOSE(CONTROL!$C$42, 31, 31))/1000000</f>
        <v>20.461860000000001</v>
      </c>
      <c r="Z377" s="38"/>
      <c r="AA377" s="10"/>
      <c r="AB377" s="39"/>
      <c r="AC377" s="33">
        <f>(B377*194.205+C377*267.466+D377*133.845+E377*53.484+F377*40+G377*185+H377*0+I377*100+J377*300)/(194.205+267.466+133.845+53.484+0+40+185+100+300)</f>
        <v>11.403312491601257</v>
      </c>
      <c r="AD377" s="27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11.321146762589928</v>
      </c>
    </row>
    <row r="378" spans="1:30" ht="15.75" x14ac:dyDescent="0.25">
      <c r="A378" s="14">
        <v>52778</v>
      </c>
      <c r="B378" s="10">
        <f>CHOOSE(CONTROL!$C$42, 11.7116, 11.7116) * CHOOSE(CONTROL!$C$21, $C$9, 100%, $E$9)</f>
        <v>11.711600000000001</v>
      </c>
      <c r="C378" s="10">
        <f>CHOOSE(CONTROL!$C$42, 11.7195, 11.7195) * CHOOSE(CONTROL!$C$21, $C$9, 100%, $E$9)</f>
        <v>11.7195</v>
      </c>
      <c r="D378" s="10">
        <f>CHOOSE(CONTROL!$C$42, 11.8965, 11.8965) * CHOOSE(CONTROL!$C$21, $C$9, 100%, $E$9)</f>
        <v>11.8965</v>
      </c>
      <c r="E378" s="10">
        <f>CHOOSE(CONTROL!$C$42, 11.9277, 11.9277) * CHOOSE(CONTROL!$C$21, $C$9, 100%, $E$9)</f>
        <v>11.9277</v>
      </c>
      <c r="F378" s="10">
        <f>CHOOSE(CONTROL!$C$42, 11.6752, 11.6752)*CHOOSE(CONTROL!$C$21, $C$9, 100%, $E$9)</f>
        <v>11.6752</v>
      </c>
      <c r="G378" s="10">
        <f>CHOOSE(CONTROL!$C$42, 11.6917, 11.6917)*CHOOSE(CONTROL!$C$21, $C$9, 100%, $E$9)</f>
        <v>11.691700000000001</v>
      </c>
      <c r="H378" s="10">
        <f>CHOOSE(CONTROL!$C$42, 11.9163, 11.9163) * CHOOSE(CONTROL!$C$21, $C$9, 100%, $E$9)</f>
        <v>11.9163</v>
      </c>
      <c r="I378" s="10">
        <f>CHOOSE(CONTROL!$C$42, 11.6962, 11.6962)* CHOOSE(CONTROL!$C$21, $C$9, 100%, $E$9)</f>
        <v>11.696199999999999</v>
      </c>
      <c r="J378" s="10">
        <f>CHOOSE(CONTROL!$C$42, 11.6682, 11.6682)* CHOOSE(CONTROL!$C$21, $C$9, 100%, $E$9)</f>
        <v>11.668200000000001</v>
      </c>
      <c r="K378" s="10">
        <f>CHOOSE(CONTROL!$C$42, 11.4987, 11.4987) * CHOOSE(CONTROL!$C$21, $C$9, 100%, $E$9)</f>
        <v>11.498699999999999</v>
      </c>
      <c r="L378" s="10">
        <f>CHOOSE(CONTROL!$C$42, 12.5033, 12.5033) * CHOOSE(CONTROL!$C$21, $C$9, 100%, $E$9)</f>
        <v>12.503299999999999</v>
      </c>
      <c r="M378" s="10">
        <f>CHOOSE(CONTROL!$C$42, 11.5642, 11.5642) * CHOOSE(CONTROL!$C$21, $C$9, 100%, $E$9)</f>
        <v>11.5642</v>
      </c>
      <c r="N378" s="10">
        <f>CHOOSE(CONTROL!$C$42, 11.5806, 11.5806) * CHOOSE(CONTROL!$C$21, $C$9, 100%, $E$9)</f>
        <v>11.5806</v>
      </c>
      <c r="O378" s="10">
        <f>CHOOSE(CONTROL!$C$42, 11.8099, 11.8099) * CHOOSE(CONTROL!$C$21, $C$9, 100%, $E$9)</f>
        <v>11.809900000000001</v>
      </c>
      <c r="P378" s="10">
        <f>CHOOSE(CONTROL!$C$42, 11.592, 11.592) * CHOOSE(CONTROL!$C$21, $C$9, 100%, $E$9)</f>
        <v>11.592000000000001</v>
      </c>
      <c r="Q378" s="10">
        <f>CHOOSE(CONTROL!$C$42, 12.4052, 12.4052) * CHOOSE(CONTROL!$C$21, $C$9, 100%, $E$9)</f>
        <v>12.405200000000001</v>
      </c>
      <c r="R378" s="10">
        <f>CHOOSE(CONTROL!$C$42, 13.0232, 13.0232) * CHOOSE(CONTROL!$C$21, $C$9, 100%, $E$9)</f>
        <v>13.023199999999999</v>
      </c>
      <c r="S378" s="10">
        <f>CHOOSE(CONTROL!$C$42, 11.3689, 11.3689) * CHOOSE(CONTROL!$C$21, $C$9, 100%, $E$9)</f>
        <v>11.3689</v>
      </c>
      <c r="T3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38">
        <f>(1000*CHOOSE(CONTROL!$C$42, 695, 695)*CHOOSE(CONTROL!$C$42, 0.5599, 0.5599)*CHOOSE(CONTROL!$C$42, 30, 30))/1000000</f>
        <v>11.673914999999997</v>
      </c>
      <c r="V378" s="38">
        <f>(1000*CHOOSE(CONTROL!$C$42, 500, 500)*CHOOSE(CONTROL!$C$42, 0.275, 0.275)*CHOOSE(CONTROL!$C$42, 30, 30))/1000000</f>
        <v>4.125</v>
      </c>
      <c r="W378" s="38">
        <f>(1000*CHOOSE(CONTROL!$C$42, 0.1146, 0.1146)*CHOOSE(CONTROL!$C$42, 121.5, 121.5)*CHOOSE(CONTROL!$C$42, 30, 30))/1000000</f>
        <v>0.417717</v>
      </c>
      <c r="X378" s="38">
        <f>(30*0.1790888*245000/1000000)+(30*0.2374*100000/1000000)</f>
        <v>2.0285026799999999</v>
      </c>
      <c r="Y378" s="38">
        <f>(1000*600*CHOOSE(CONTROL!$C$42, 1.1001, 1.1001)*CHOOSE(CONTROL!$C$42, 30, 30))/1000000</f>
        <v>19.8018</v>
      </c>
      <c r="Z378" s="38"/>
      <c r="AA378" s="10"/>
      <c r="AB378" s="39"/>
      <c r="AC378" s="33">
        <f>(B378*194.205+C378*267.466+D378*133.845+E378*53.484+F378*40+G378*185+H378*0+I378*100+J378*300)/(194.205+267.466+133.845+53.484+0+40+185+100+300)</f>
        <v>11.726294909183673</v>
      </c>
      <c r="AD378" s="27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11.640912949640288</v>
      </c>
    </row>
    <row r="379" spans="1:30" ht="15.75" x14ac:dyDescent="0.25">
      <c r="A379" s="14">
        <v>52809</v>
      </c>
      <c r="B379" s="10">
        <f>CHOOSE(CONTROL!$C$42, 11.487, 11.487) * CHOOSE(CONTROL!$C$21, $C$9, 100%, $E$9)</f>
        <v>11.487</v>
      </c>
      <c r="C379" s="10">
        <f>CHOOSE(CONTROL!$C$42, 11.495, 11.495) * CHOOSE(CONTROL!$C$21, $C$9, 100%, $E$9)</f>
        <v>11.494999999999999</v>
      </c>
      <c r="D379" s="10">
        <f>CHOOSE(CONTROL!$C$42, 11.6719, 11.6719) * CHOOSE(CONTROL!$C$21, $C$9, 100%, $E$9)</f>
        <v>11.671900000000001</v>
      </c>
      <c r="E379" s="10">
        <f>CHOOSE(CONTROL!$C$42, 11.7031, 11.7031) * CHOOSE(CONTROL!$C$21, $C$9, 100%, $E$9)</f>
        <v>11.703099999999999</v>
      </c>
      <c r="F379" s="10">
        <f>CHOOSE(CONTROL!$C$42, 11.4508, 11.4508)*CHOOSE(CONTROL!$C$21, $C$9, 100%, $E$9)</f>
        <v>11.450799999999999</v>
      </c>
      <c r="G379" s="10">
        <f>CHOOSE(CONTROL!$C$42, 11.4674, 11.4674)*CHOOSE(CONTROL!$C$21, $C$9, 100%, $E$9)</f>
        <v>11.4674</v>
      </c>
      <c r="H379" s="10">
        <f>CHOOSE(CONTROL!$C$42, 11.6917, 11.6917) * CHOOSE(CONTROL!$C$21, $C$9, 100%, $E$9)</f>
        <v>11.691700000000001</v>
      </c>
      <c r="I379" s="10">
        <f>CHOOSE(CONTROL!$C$42, 11.4716, 11.4716)* CHOOSE(CONTROL!$C$21, $C$9, 100%, $E$9)</f>
        <v>11.4716</v>
      </c>
      <c r="J379" s="10">
        <f>CHOOSE(CONTROL!$C$42, 11.4438, 11.4438)* CHOOSE(CONTROL!$C$21, $C$9, 100%, $E$9)</f>
        <v>11.4438</v>
      </c>
      <c r="K379" s="10">
        <f>CHOOSE(CONTROL!$C$42, 11.2811, 11.2811) * CHOOSE(CONTROL!$C$21, $C$9, 100%, $E$9)</f>
        <v>11.2811</v>
      </c>
      <c r="L379" s="10">
        <f>CHOOSE(CONTROL!$C$42, 12.2787, 12.2787) * CHOOSE(CONTROL!$C$21, $C$9, 100%, $E$9)</f>
        <v>12.278700000000001</v>
      </c>
      <c r="M379" s="10">
        <f>CHOOSE(CONTROL!$C$42, 11.3422, 11.3422) * CHOOSE(CONTROL!$C$21, $C$9, 100%, $E$9)</f>
        <v>11.3422</v>
      </c>
      <c r="N379" s="10">
        <f>CHOOSE(CONTROL!$C$42, 11.3586, 11.3586) * CHOOSE(CONTROL!$C$21, $C$9, 100%, $E$9)</f>
        <v>11.358599999999999</v>
      </c>
      <c r="O379" s="10">
        <f>CHOOSE(CONTROL!$C$42, 11.5876, 11.5876) * CHOOSE(CONTROL!$C$21, $C$9, 100%, $E$9)</f>
        <v>11.5876</v>
      </c>
      <c r="P379" s="10">
        <f>CHOOSE(CONTROL!$C$42, 11.3697, 11.3697) * CHOOSE(CONTROL!$C$21, $C$9, 100%, $E$9)</f>
        <v>11.3697</v>
      </c>
      <c r="Q379" s="10">
        <f>CHOOSE(CONTROL!$C$42, 12.1829, 12.1829) * CHOOSE(CONTROL!$C$21, $C$9, 100%, $E$9)</f>
        <v>12.1829</v>
      </c>
      <c r="R379" s="10">
        <f>CHOOSE(CONTROL!$C$42, 12.8003, 12.8003) * CHOOSE(CONTROL!$C$21, $C$9, 100%, $E$9)</f>
        <v>12.8003</v>
      </c>
      <c r="S379" s="10">
        <f>CHOOSE(CONTROL!$C$42, 11.1508, 11.1508) * CHOOSE(CONTROL!$C$21, $C$9, 100%, $E$9)</f>
        <v>11.1508</v>
      </c>
      <c r="T3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38">
        <f>(1000*CHOOSE(CONTROL!$C$42, 695, 695)*CHOOSE(CONTROL!$C$42, 0.5599, 0.5599)*CHOOSE(CONTROL!$C$42, 31, 31))/1000000</f>
        <v>12.063045499999998</v>
      </c>
      <c r="V379" s="38">
        <f>(1000*CHOOSE(CONTROL!$C$42, 500, 500)*CHOOSE(CONTROL!$C$42, 0.275, 0.275)*CHOOSE(CONTROL!$C$42, 31, 31))/1000000</f>
        <v>4.2625000000000002</v>
      </c>
      <c r="W379" s="38">
        <f>(1000*CHOOSE(CONTROL!$C$42, 0.1146, 0.1146)*CHOOSE(CONTROL!$C$42, 121.5, 121.5)*CHOOSE(CONTROL!$C$42, 31, 31))/1000000</f>
        <v>0.43164089999999994</v>
      </c>
      <c r="X379" s="38">
        <f>(31*0.1790888*245000/1000000)+(31*0.2374*100000/1000000)</f>
        <v>2.0961194359999999</v>
      </c>
      <c r="Y379" s="38">
        <f>(1000*600*CHOOSE(CONTROL!$C$42, 1.1001, 1.1001)*CHOOSE(CONTROL!$C$42, 31, 31))/1000000</f>
        <v>20.461860000000001</v>
      </c>
      <c r="Z379" s="38"/>
      <c r="AA379" s="10"/>
      <c r="AB379" s="39"/>
      <c r="AC379" s="33">
        <f>(B379*194.205+C379*267.466+D379*133.845+E379*53.484+F379*40+G379*185+H379*0+I379*100+J379*300)/(194.205+267.466+133.845+53.484+0+40+185+100+300)</f>
        <v>11.501812842150706</v>
      </c>
      <c r="AD379" s="27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11.41878561151079</v>
      </c>
    </row>
    <row r="380" spans="1:30" ht="15.75" x14ac:dyDescent="0.25">
      <c r="A380" s="14">
        <v>52840</v>
      </c>
      <c r="B380" s="10">
        <f>CHOOSE(CONTROL!$C$42, 10.9199, 10.9199) * CHOOSE(CONTROL!$C$21, $C$9, 100%, $E$9)</f>
        <v>10.9199</v>
      </c>
      <c r="C380" s="10">
        <f>CHOOSE(CONTROL!$C$42, 10.9278, 10.9278) * CHOOSE(CONTROL!$C$21, $C$9, 100%, $E$9)</f>
        <v>10.9278</v>
      </c>
      <c r="D380" s="10">
        <f>CHOOSE(CONTROL!$C$42, 11.1048, 11.1048) * CHOOSE(CONTROL!$C$21, $C$9, 100%, $E$9)</f>
        <v>11.104799999999999</v>
      </c>
      <c r="E380" s="10">
        <f>CHOOSE(CONTROL!$C$42, 11.136, 11.136) * CHOOSE(CONTROL!$C$21, $C$9, 100%, $E$9)</f>
        <v>11.135999999999999</v>
      </c>
      <c r="F380" s="10">
        <f>CHOOSE(CONTROL!$C$42, 10.8837, 10.8837)*CHOOSE(CONTROL!$C$21, $C$9, 100%, $E$9)</f>
        <v>10.883699999999999</v>
      </c>
      <c r="G380" s="10">
        <f>CHOOSE(CONTROL!$C$42, 10.9004, 10.9004)*CHOOSE(CONTROL!$C$21, $C$9, 100%, $E$9)</f>
        <v>10.900399999999999</v>
      </c>
      <c r="H380" s="10">
        <f>CHOOSE(CONTROL!$C$42, 11.1246, 11.1246) * CHOOSE(CONTROL!$C$21, $C$9, 100%, $E$9)</f>
        <v>11.124599999999999</v>
      </c>
      <c r="I380" s="10">
        <f>CHOOSE(CONTROL!$C$42, 10.9045, 10.9045)* CHOOSE(CONTROL!$C$21, $C$9, 100%, $E$9)</f>
        <v>10.904500000000001</v>
      </c>
      <c r="J380" s="10">
        <f>CHOOSE(CONTROL!$C$42, 10.8767, 10.8767)* CHOOSE(CONTROL!$C$21, $C$9, 100%, $E$9)</f>
        <v>10.8767</v>
      </c>
      <c r="K380" s="10">
        <f>CHOOSE(CONTROL!$C$42, 10.7302, 10.7302) * CHOOSE(CONTROL!$C$21, $C$9, 100%, $E$9)</f>
        <v>10.7302</v>
      </c>
      <c r="L380" s="10">
        <f>CHOOSE(CONTROL!$C$42, 11.7116, 11.7116) * CHOOSE(CONTROL!$C$21, $C$9, 100%, $E$9)</f>
        <v>11.711600000000001</v>
      </c>
      <c r="M380" s="10">
        <f>CHOOSE(CONTROL!$C$42, 10.7808, 10.7808) * CHOOSE(CONTROL!$C$21, $C$9, 100%, $E$9)</f>
        <v>10.780799999999999</v>
      </c>
      <c r="N380" s="10">
        <f>CHOOSE(CONTROL!$C$42, 10.7973, 10.7973) * CHOOSE(CONTROL!$C$21, $C$9, 100%, $E$9)</f>
        <v>10.7973</v>
      </c>
      <c r="O380" s="10">
        <f>CHOOSE(CONTROL!$C$42, 11.0261, 11.0261) * CHOOSE(CONTROL!$C$21, $C$9, 100%, $E$9)</f>
        <v>11.0261</v>
      </c>
      <c r="P380" s="10">
        <f>CHOOSE(CONTROL!$C$42, 10.8083, 10.8083) * CHOOSE(CONTROL!$C$21, $C$9, 100%, $E$9)</f>
        <v>10.808299999999999</v>
      </c>
      <c r="Q380" s="10">
        <f>CHOOSE(CONTROL!$C$42, 11.6214, 11.6214) * CHOOSE(CONTROL!$C$21, $C$9, 100%, $E$9)</f>
        <v>11.6214</v>
      </c>
      <c r="R380" s="10">
        <f>CHOOSE(CONTROL!$C$42, 12.2375, 12.2375) * CHOOSE(CONTROL!$C$21, $C$9, 100%, $E$9)</f>
        <v>12.237500000000001</v>
      </c>
      <c r="S380" s="10">
        <f>CHOOSE(CONTROL!$C$42, 10.6001, 10.6001) * CHOOSE(CONTROL!$C$21, $C$9, 100%, $E$9)</f>
        <v>10.600099999999999</v>
      </c>
      <c r="T3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38">
        <f>(1000*CHOOSE(CONTROL!$C$42, 695, 695)*CHOOSE(CONTROL!$C$42, 0.5599, 0.5599)*CHOOSE(CONTROL!$C$42, 31, 31))/1000000</f>
        <v>12.063045499999998</v>
      </c>
      <c r="V380" s="38">
        <f>(1000*CHOOSE(CONTROL!$C$42, 500, 500)*CHOOSE(CONTROL!$C$42, 0.275, 0.275)*CHOOSE(CONTROL!$C$42, 31, 31))/1000000</f>
        <v>4.2625000000000002</v>
      </c>
      <c r="W380" s="38">
        <f>(1000*CHOOSE(CONTROL!$C$42, 0.1146, 0.1146)*CHOOSE(CONTROL!$C$42, 121.5, 121.5)*CHOOSE(CONTROL!$C$42, 31, 31))/1000000</f>
        <v>0.43164089999999994</v>
      </c>
      <c r="X380" s="38">
        <f>(31*0.1790888*245000/1000000)+(31*0.2374*100000/1000000)</f>
        <v>2.0961194359999999</v>
      </c>
      <c r="Y380" s="38">
        <f>(1000*600*CHOOSE(CONTROL!$C$42, 1.1001, 1.1001)*CHOOSE(CONTROL!$C$42, 31, 31))/1000000</f>
        <v>20.461860000000001</v>
      </c>
      <c r="Z380" s="38"/>
      <c r="AA380" s="10"/>
      <c r="AB380" s="39"/>
      <c r="AC380" s="33">
        <f>(B380*194.205+C380*267.466+D380*133.845+E380*53.484+F380*40+G380*185+H380*0+I380*100+J380*300)/(194.205+267.466+133.845+53.484+0+40+185+100+300)</f>
        <v>10.934706369152277</v>
      </c>
      <c r="AD380" s="27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10.857380575539569</v>
      </c>
    </row>
    <row r="381" spans="1:30" ht="15.75" x14ac:dyDescent="0.25">
      <c r="A381" s="14">
        <v>52870</v>
      </c>
      <c r="B381" s="10">
        <f>CHOOSE(CONTROL!$C$42, 10.227, 10.227) * CHOOSE(CONTROL!$C$21, $C$9, 100%, $E$9)</f>
        <v>10.227</v>
      </c>
      <c r="C381" s="10">
        <f>CHOOSE(CONTROL!$C$42, 10.2349, 10.2349) * CHOOSE(CONTROL!$C$21, $C$9, 100%, $E$9)</f>
        <v>10.2349</v>
      </c>
      <c r="D381" s="10">
        <f>CHOOSE(CONTROL!$C$42, 10.4119, 10.4119) * CHOOSE(CONTROL!$C$21, $C$9, 100%, $E$9)</f>
        <v>10.411899999999999</v>
      </c>
      <c r="E381" s="10">
        <f>CHOOSE(CONTROL!$C$42, 10.443, 10.443) * CHOOSE(CONTROL!$C$21, $C$9, 100%, $E$9)</f>
        <v>10.443</v>
      </c>
      <c r="F381" s="10">
        <f>CHOOSE(CONTROL!$C$42, 10.1906, 10.1906)*CHOOSE(CONTROL!$C$21, $C$9, 100%, $E$9)</f>
        <v>10.1906</v>
      </c>
      <c r="G381" s="10">
        <f>CHOOSE(CONTROL!$C$42, 10.2071, 10.2071)*CHOOSE(CONTROL!$C$21, $C$9, 100%, $E$9)</f>
        <v>10.207100000000001</v>
      </c>
      <c r="H381" s="10">
        <f>CHOOSE(CONTROL!$C$42, 10.4317, 10.4317) * CHOOSE(CONTROL!$C$21, $C$9, 100%, $E$9)</f>
        <v>10.431699999999999</v>
      </c>
      <c r="I381" s="10">
        <f>CHOOSE(CONTROL!$C$42, 10.2116, 10.2116)* CHOOSE(CONTROL!$C$21, $C$9, 100%, $E$9)</f>
        <v>10.211600000000001</v>
      </c>
      <c r="J381" s="10">
        <f>CHOOSE(CONTROL!$C$42, 10.1836, 10.1836)* CHOOSE(CONTROL!$C$21, $C$9, 100%, $E$9)</f>
        <v>10.1836</v>
      </c>
      <c r="K381" s="10">
        <f>CHOOSE(CONTROL!$C$42, 10.0564, 10.0564) * CHOOSE(CONTROL!$C$21, $C$9, 100%, $E$9)</f>
        <v>10.0564</v>
      </c>
      <c r="L381" s="10">
        <f>CHOOSE(CONTROL!$C$42, 11.0187, 11.0187) * CHOOSE(CONTROL!$C$21, $C$9, 100%, $E$9)</f>
        <v>11.018700000000001</v>
      </c>
      <c r="M381" s="10">
        <f>CHOOSE(CONTROL!$C$42, 10.0946, 10.0946) * CHOOSE(CONTROL!$C$21, $C$9, 100%, $E$9)</f>
        <v>10.0946</v>
      </c>
      <c r="N381" s="10">
        <f>CHOOSE(CONTROL!$C$42, 10.111, 10.111) * CHOOSE(CONTROL!$C$21, $C$9, 100%, $E$9)</f>
        <v>10.111000000000001</v>
      </c>
      <c r="O381" s="10">
        <f>CHOOSE(CONTROL!$C$42, 10.3402, 10.3402) * CHOOSE(CONTROL!$C$21, $C$9, 100%, $E$9)</f>
        <v>10.340199999999999</v>
      </c>
      <c r="P381" s="10">
        <f>CHOOSE(CONTROL!$C$42, 10.1224, 10.1224) * CHOOSE(CONTROL!$C$21, $C$9, 100%, $E$9)</f>
        <v>10.122400000000001</v>
      </c>
      <c r="Q381" s="10">
        <f>CHOOSE(CONTROL!$C$42, 10.9355, 10.9355) * CHOOSE(CONTROL!$C$21, $C$9, 100%, $E$9)</f>
        <v>10.935499999999999</v>
      </c>
      <c r="R381" s="10">
        <f>CHOOSE(CONTROL!$C$42, 11.5498, 11.5498) * CHOOSE(CONTROL!$C$21, $C$9, 100%, $E$9)</f>
        <v>11.549799999999999</v>
      </c>
      <c r="S381" s="10">
        <f>CHOOSE(CONTROL!$C$42, 9.9272, 9.9272) * CHOOSE(CONTROL!$C$21, $C$9, 100%, $E$9)</f>
        <v>9.9271999999999991</v>
      </c>
      <c r="T3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38">
        <f>(1000*CHOOSE(CONTROL!$C$42, 695, 695)*CHOOSE(CONTROL!$C$42, 0.5599, 0.5599)*CHOOSE(CONTROL!$C$42, 30, 30))/1000000</f>
        <v>11.673914999999997</v>
      </c>
      <c r="V381" s="38">
        <f>(1000*CHOOSE(CONTROL!$C$42, 500, 500)*CHOOSE(CONTROL!$C$42, 0.275, 0.275)*CHOOSE(CONTROL!$C$42, 30, 30))/1000000</f>
        <v>4.125</v>
      </c>
      <c r="W381" s="38">
        <f>(1000*CHOOSE(CONTROL!$C$42, 0.1146, 0.1146)*CHOOSE(CONTROL!$C$42, 121.5, 121.5)*CHOOSE(CONTROL!$C$42, 30, 30))/1000000</f>
        <v>0.417717</v>
      </c>
      <c r="X381" s="38">
        <f>(30*0.1790888*245000/1000000)+(30*0.2374*100000/1000000)</f>
        <v>2.0285026799999999</v>
      </c>
      <c r="Y381" s="38">
        <f>(1000*600*CHOOSE(CONTROL!$C$42, 1.1001, 1.1001)*CHOOSE(CONTROL!$C$42, 30, 30))/1000000</f>
        <v>19.8018</v>
      </c>
      <c r="Z381" s="38"/>
      <c r="AA381" s="10"/>
      <c r="AB381" s="39"/>
      <c r="AC381" s="33">
        <f>(B381*194.205+C381*267.466+D381*133.845+E381*53.484+F381*40+G381*185+H381*0+I381*100+J381*300)/(194.205+267.466+133.845+53.484+0+40+185+100+300)</f>
        <v>10.241690711067504</v>
      </c>
      <c r="AD381" s="27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10.17128489208633</v>
      </c>
    </row>
    <row r="382" spans="1:30" ht="15.75" x14ac:dyDescent="0.25">
      <c r="A382" s="14">
        <v>52901</v>
      </c>
      <c r="B382" s="10">
        <f>CHOOSE(CONTROL!$C$42, 10.0173, 10.0173) * CHOOSE(CONTROL!$C$21, $C$9, 100%, $E$9)</f>
        <v>10.017300000000001</v>
      </c>
      <c r="C382" s="10">
        <f>CHOOSE(CONTROL!$C$42, 10.0225, 10.0225) * CHOOSE(CONTROL!$C$21, $C$9, 100%, $E$9)</f>
        <v>10.022500000000001</v>
      </c>
      <c r="D382" s="10">
        <f>CHOOSE(CONTROL!$C$42, 10.2045, 10.2045) * CHOOSE(CONTROL!$C$21, $C$9, 100%, $E$9)</f>
        <v>10.204499999999999</v>
      </c>
      <c r="E382" s="10">
        <f>CHOOSE(CONTROL!$C$42, 10.2333, 10.2333) * CHOOSE(CONTROL!$C$21, $C$9, 100%, $E$9)</f>
        <v>10.2333</v>
      </c>
      <c r="F382" s="10">
        <f>CHOOSE(CONTROL!$C$42, 9.9829, 9.9829)*CHOOSE(CONTROL!$C$21, $C$9, 100%, $E$9)</f>
        <v>9.9829000000000008</v>
      </c>
      <c r="G382" s="10">
        <f>CHOOSE(CONTROL!$C$42, 9.9991, 9.9991)*CHOOSE(CONTROL!$C$21, $C$9, 100%, $E$9)</f>
        <v>9.9991000000000003</v>
      </c>
      <c r="H382" s="10">
        <f>CHOOSE(CONTROL!$C$42, 10.2237, 10.2237) * CHOOSE(CONTROL!$C$21, $C$9, 100%, $E$9)</f>
        <v>10.223699999999999</v>
      </c>
      <c r="I382" s="10">
        <f>CHOOSE(CONTROL!$C$42, 10.0036, 10.0036)* CHOOSE(CONTROL!$C$21, $C$9, 100%, $E$9)</f>
        <v>10.0036</v>
      </c>
      <c r="J382" s="10">
        <f>CHOOSE(CONTROL!$C$42, 9.9759, 9.9759)* CHOOSE(CONTROL!$C$21, $C$9, 100%, $E$9)</f>
        <v>9.9758999999999993</v>
      </c>
      <c r="K382" s="10">
        <f>CHOOSE(CONTROL!$C$42, 9.8549, 9.8549) * CHOOSE(CONTROL!$C$21, $C$9, 100%, $E$9)</f>
        <v>9.8549000000000007</v>
      </c>
      <c r="L382" s="10">
        <f>CHOOSE(CONTROL!$C$42, 10.8107, 10.8107) * CHOOSE(CONTROL!$C$21, $C$9, 100%, $E$9)</f>
        <v>10.810700000000001</v>
      </c>
      <c r="M382" s="10">
        <f>CHOOSE(CONTROL!$C$42, 9.8891, 9.8891) * CHOOSE(CONTROL!$C$21, $C$9, 100%, $E$9)</f>
        <v>9.8890999999999991</v>
      </c>
      <c r="N382" s="10">
        <f>CHOOSE(CONTROL!$C$42, 9.9051, 9.9051) * CHOOSE(CONTROL!$C$21, $C$9, 100%, $E$9)</f>
        <v>9.9050999999999991</v>
      </c>
      <c r="O382" s="10">
        <f>CHOOSE(CONTROL!$C$42, 10.1344, 10.1344) * CHOOSE(CONTROL!$C$21, $C$9, 100%, $E$9)</f>
        <v>10.134399999999999</v>
      </c>
      <c r="P382" s="10">
        <f>CHOOSE(CONTROL!$C$42, 9.9166, 9.9166) * CHOOSE(CONTROL!$C$21, $C$9, 100%, $E$9)</f>
        <v>9.9166000000000007</v>
      </c>
      <c r="Q382" s="10">
        <f>CHOOSE(CONTROL!$C$42, 10.7297, 10.7297) * CHOOSE(CONTROL!$C$21, $C$9, 100%, $E$9)</f>
        <v>10.729699999999999</v>
      </c>
      <c r="R382" s="10">
        <f>CHOOSE(CONTROL!$C$42, 11.3435, 11.3435) * CHOOSE(CONTROL!$C$21, $C$9, 100%, $E$9)</f>
        <v>11.343500000000001</v>
      </c>
      <c r="S382" s="10">
        <f>CHOOSE(CONTROL!$C$42, 9.7253, 9.7253) * CHOOSE(CONTROL!$C$21, $C$9, 100%, $E$9)</f>
        <v>9.7253000000000007</v>
      </c>
      <c r="T3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38">
        <f>(1000*CHOOSE(CONTROL!$C$42, 695, 695)*CHOOSE(CONTROL!$C$42, 0.5599, 0.5599)*CHOOSE(CONTROL!$C$42, 31, 31))/1000000</f>
        <v>12.063045499999998</v>
      </c>
      <c r="V382" s="38">
        <f>(1000*CHOOSE(CONTROL!$C$42, 500, 500)*CHOOSE(CONTROL!$C$42, 0.275, 0.275)*CHOOSE(CONTROL!$C$42, 31, 31))/1000000</f>
        <v>4.2625000000000002</v>
      </c>
      <c r="W382" s="38">
        <f>(1000*CHOOSE(CONTROL!$C$42, 0.1146, 0.1146)*CHOOSE(CONTROL!$C$42, 121.5, 121.5)*CHOOSE(CONTROL!$C$42, 31, 31))/1000000</f>
        <v>0.43164089999999994</v>
      </c>
      <c r="X382" s="38">
        <f>(31*0.1790888*245000/1000000)+(31*0.2374*100000/1000000)</f>
        <v>2.0961194359999999</v>
      </c>
      <c r="Y382" s="38">
        <f>(1000*600*CHOOSE(CONTROL!$C$42, 1.1001, 1.1001)*CHOOSE(CONTROL!$C$42, 31, 31))/1000000</f>
        <v>20.461860000000001</v>
      </c>
      <c r="Z382" s="38"/>
      <c r="AA382" s="10"/>
      <c r="AB382" s="39"/>
      <c r="AC382" s="33">
        <f>(B382*131.881+C382*277.167+D382*79.08+E382*125.872+F382*40+G382*185+H382*0+I382*100+J382*300)/(131.881+277.167+79.08+125.872+0+40+185+100+300)</f>
        <v>10.037397172235673</v>
      </c>
      <c r="AD382" s="27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9.9655654676258987</v>
      </c>
    </row>
    <row r="383" spans="1:30" ht="15.75" x14ac:dyDescent="0.25">
      <c r="A383" s="14">
        <v>52931</v>
      </c>
      <c r="B383" s="10">
        <f>CHOOSE(CONTROL!$C$42, 10.2807, 10.2807) * CHOOSE(CONTROL!$C$21, $C$9, 100%, $E$9)</f>
        <v>10.2807</v>
      </c>
      <c r="C383" s="10">
        <f>CHOOSE(CONTROL!$C$42, 10.2856, 10.2856) * CHOOSE(CONTROL!$C$21, $C$9, 100%, $E$9)</f>
        <v>10.285600000000001</v>
      </c>
      <c r="D383" s="10">
        <f>CHOOSE(CONTROL!$C$42, 10.3101, 10.3101) * CHOOSE(CONTROL!$C$21, $C$9, 100%, $E$9)</f>
        <v>10.3101</v>
      </c>
      <c r="E383" s="10">
        <f>CHOOSE(CONTROL!$C$42, 10.3439, 10.3439) * CHOOSE(CONTROL!$C$21, $C$9, 100%, $E$9)</f>
        <v>10.3439</v>
      </c>
      <c r="F383" s="10">
        <f>CHOOSE(CONTROL!$C$42, 10.25, 10.25)*CHOOSE(CONTROL!$C$21, $C$9, 100%, $E$9)</f>
        <v>10.25</v>
      </c>
      <c r="G383" s="10">
        <f>CHOOSE(CONTROL!$C$42, 10.2664, 10.2664)*CHOOSE(CONTROL!$C$21, $C$9, 100%, $E$9)</f>
        <v>10.266400000000001</v>
      </c>
      <c r="H383" s="10">
        <f>CHOOSE(CONTROL!$C$42, 10.3331, 10.3331) * CHOOSE(CONTROL!$C$21, $C$9, 100%, $E$9)</f>
        <v>10.3331</v>
      </c>
      <c r="I383" s="10">
        <f>CHOOSE(CONTROL!$C$42, 10.2675, 10.2675)* CHOOSE(CONTROL!$C$21, $C$9, 100%, $E$9)</f>
        <v>10.2675</v>
      </c>
      <c r="J383" s="10">
        <f>CHOOSE(CONTROL!$C$42, 10.243, 10.243)* CHOOSE(CONTROL!$C$21, $C$9, 100%, $E$9)</f>
        <v>10.243</v>
      </c>
      <c r="K383" s="10">
        <f>CHOOSE(CONTROL!$C$42, 10.1127, 10.1127) * CHOOSE(CONTROL!$C$21, $C$9, 100%, $E$9)</f>
        <v>10.1127</v>
      </c>
      <c r="L383" s="10">
        <f>CHOOSE(CONTROL!$C$42, 10.9201, 10.9201) * CHOOSE(CONTROL!$C$21, $C$9, 100%, $E$9)</f>
        <v>10.9201</v>
      </c>
      <c r="M383" s="10">
        <f>CHOOSE(CONTROL!$C$42, 10.1535, 10.1535) * CHOOSE(CONTROL!$C$21, $C$9, 100%, $E$9)</f>
        <v>10.153499999999999</v>
      </c>
      <c r="N383" s="10">
        <f>CHOOSE(CONTROL!$C$42, 10.1697, 10.1697) * CHOOSE(CONTROL!$C$21, $C$9, 100%, $E$9)</f>
        <v>10.169700000000001</v>
      </c>
      <c r="O383" s="10">
        <f>CHOOSE(CONTROL!$C$42, 10.2426, 10.2426) * CHOOSE(CONTROL!$C$21, $C$9, 100%, $E$9)</f>
        <v>10.242599999999999</v>
      </c>
      <c r="P383" s="10">
        <f>CHOOSE(CONTROL!$C$42, 10.1777, 10.1777) * CHOOSE(CONTROL!$C$21, $C$9, 100%, $E$9)</f>
        <v>10.1777</v>
      </c>
      <c r="Q383" s="10">
        <f>CHOOSE(CONTROL!$C$42, 10.8379, 10.8379) * CHOOSE(CONTROL!$C$21, $C$9, 100%, $E$9)</f>
        <v>10.837899999999999</v>
      </c>
      <c r="R383" s="10">
        <f>CHOOSE(CONTROL!$C$42, 11.452, 11.452) * CHOOSE(CONTROL!$C$21, $C$9, 100%, $E$9)</f>
        <v>11.452</v>
      </c>
      <c r="S383" s="10">
        <f>CHOOSE(CONTROL!$C$42, 9.9814, 9.9814) * CHOOSE(CONTROL!$C$21, $C$9, 100%, $E$9)</f>
        <v>9.9814000000000007</v>
      </c>
      <c r="T3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38">
        <f>(1000*CHOOSE(CONTROL!$C$42, 695, 695)*CHOOSE(CONTROL!$C$42, 0.5599, 0.5599)*CHOOSE(CONTROL!$C$42, 30, 30))/1000000</f>
        <v>11.673914999999997</v>
      </c>
      <c r="V383" s="38">
        <f>(1000*CHOOSE(CONTROL!$C$42, 500, 500)*CHOOSE(CONTROL!$C$42, 0.275, 0.275)*CHOOSE(CONTROL!$C$42, 30, 30))/1000000</f>
        <v>4.125</v>
      </c>
      <c r="W383" s="38">
        <f>(1000*CHOOSE(CONTROL!$C$42, 0.1146, 0.1146)*CHOOSE(CONTROL!$C$42, 121.5, 121.5)*CHOOSE(CONTROL!$C$42, 30, 30))/1000000</f>
        <v>0.417717</v>
      </c>
      <c r="X383" s="38">
        <f>(30*0.1790888*100000/1000000)+(30*0.2374*100000/1000000)</f>
        <v>1.2494664</v>
      </c>
      <c r="Y383" s="38">
        <f>(1000*600*CHOOSE(CONTROL!$C$42, 1.1001, 1.1001)*CHOOSE(CONTROL!$C$42, 30, 30))/1000000</f>
        <v>19.8018</v>
      </c>
      <c r="Z383" s="38"/>
      <c r="AA383" s="10"/>
      <c r="AB383" s="39"/>
      <c r="AC383" s="33">
        <f>(B383*122.58+C383*297.941+D383*89.177+E383*40.302+F383*40+G383*160+H383*0+I383*100+J383*300)/(122.58+297.941+89.177+40.302+0+40+160+100+300)</f>
        <v>10.272424174869565</v>
      </c>
      <c r="AD383" s="27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10.198297841726617</v>
      </c>
    </row>
    <row r="384" spans="1:30" ht="15.75" x14ac:dyDescent="0.25">
      <c r="A384" s="14">
        <v>52962</v>
      </c>
      <c r="B384" s="10">
        <f>CHOOSE(CONTROL!$C$42, 10.9814, 10.9814) * CHOOSE(CONTROL!$C$21, $C$9, 100%, $E$9)</f>
        <v>10.981400000000001</v>
      </c>
      <c r="C384" s="10">
        <f>CHOOSE(CONTROL!$C$42, 10.9864, 10.9864) * CHOOSE(CONTROL!$C$21, $C$9, 100%, $E$9)</f>
        <v>10.9864</v>
      </c>
      <c r="D384" s="10">
        <f>CHOOSE(CONTROL!$C$42, 11.0108, 11.0108) * CHOOSE(CONTROL!$C$21, $C$9, 100%, $E$9)</f>
        <v>11.0108</v>
      </c>
      <c r="E384" s="10">
        <f>CHOOSE(CONTROL!$C$42, 11.0446, 11.0446) * CHOOSE(CONTROL!$C$21, $C$9, 100%, $E$9)</f>
        <v>11.044600000000001</v>
      </c>
      <c r="F384" s="10">
        <f>CHOOSE(CONTROL!$C$42, 10.953, 10.953)*CHOOSE(CONTROL!$C$21, $C$9, 100%, $E$9)</f>
        <v>10.952999999999999</v>
      </c>
      <c r="G384" s="10">
        <f>CHOOSE(CONTROL!$C$42, 10.9701, 10.9701)*CHOOSE(CONTROL!$C$21, $C$9, 100%, $E$9)</f>
        <v>10.9701</v>
      </c>
      <c r="H384" s="10">
        <f>CHOOSE(CONTROL!$C$42, 11.0338, 11.0338) * CHOOSE(CONTROL!$C$21, $C$9, 100%, $E$9)</f>
        <v>11.033799999999999</v>
      </c>
      <c r="I384" s="10">
        <f>CHOOSE(CONTROL!$C$42, 10.9682, 10.9682)* CHOOSE(CONTROL!$C$21, $C$9, 100%, $E$9)</f>
        <v>10.9682</v>
      </c>
      <c r="J384" s="10">
        <f>CHOOSE(CONTROL!$C$42, 10.946, 10.946)* CHOOSE(CONTROL!$C$21, $C$9, 100%, $E$9)</f>
        <v>10.946</v>
      </c>
      <c r="K384" s="10">
        <f>CHOOSE(CONTROL!$C$42, 10.7986, 10.7986) * CHOOSE(CONTROL!$C$21, $C$9, 100%, $E$9)</f>
        <v>10.7986</v>
      </c>
      <c r="L384" s="10">
        <f>CHOOSE(CONTROL!$C$42, 11.6208, 11.6208) * CHOOSE(CONTROL!$C$21, $C$9, 100%, $E$9)</f>
        <v>11.620799999999999</v>
      </c>
      <c r="M384" s="10">
        <f>CHOOSE(CONTROL!$C$42, 10.8494, 10.8494) * CHOOSE(CONTROL!$C$21, $C$9, 100%, $E$9)</f>
        <v>10.849399999999999</v>
      </c>
      <c r="N384" s="10">
        <f>CHOOSE(CONTROL!$C$42, 10.8663, 10.8663) * CHOOSE(CONTROL!$C$21, $C$9, 100%, $E$9)</f>
        <v>10.866300000000001</v>
      </c>
      <c r="O384" s="10">
        <f>CHOOSE(CONTROL!$C$42, 10.9363, 10.9363) * CHOOSE(CONTROL!$C$21, $C$9, 100%, $E$9)</f>
        <v>10.936299999999999</v>
      </c>
      <c r="P384" s="10">
        <f>CHOOSE(CONTROL!$C$42, 10.8714, 10.8714) * CHOOSE(CONTROL!$C$21, $C$9, 100%, $E$9)</f>
        <v>10.8714</v>
      </c>
      <c r="Q384" s="10">
        <f>CHOOSE(CONTROL!$C$42, 11.5316, 11.5316) * CHOOSE(CONTROL!$C$21, $C$9, 100%, $E$9)</f>
        <v>11.531599999999999</v>
      </c>
      <c r="R384" s="10">
        <f>CHOOSE(CONTROL!$C$42, 12.1474, 12.1474) * CHOOSE(CONTROL!$C$21, $C$9, 100%, $E$9)</f>
        <v>12.147399999999999</v>
      </c>
      <c r="S384" s="10">
        <f>CHOOSE(CONTROL!$C$42, 10.6619, 10.6619) * CHOOSE(CONTROL!$C$21, $C$9, 100%, $E$9)</f>
        <v>10.661899999999999</v>
      </c>
      <c r="T3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38">
        <f>(1000*CHOOSE(CONTROL!$C$42, 695, 695)*CHOOSE(CONTROL!$C$42, 0.5599, 0.5599)*CHOOSE(CONTROL!$C$42, 31, 31))/1000000</f>
        <v>12.063045499999998</v>
      </c>
      <c r="V384" s="38">
        <f>(1000*CHOOSE(CONTROL!$C$42, 500, 500)*CHOOSE(CONTROL!$C$42, 0.275, 0.275)*CHOOSE(CONTROL!$C$42, 31, 31))/1000000</f>
        <v>4.2625000000000002</v>
      </c>
      <c r="W384" s="38">
        <f>(1000*CHOOSE(CONTROL!$C$42, 0.1146, 0.1146)*CHOOSE(CONTROL!$C$42, 121.5, 121.5)*CHOOSE(CONTROL!$C$42, 31, 31))/1000000</f>
        <v>0.43164089999999994</v>
      </c>
      <c r="X384" s="38">
        <f>(31*0.1790888*100000/1000000)+(31*0.2374*100000/1000000)</f>
        <v>1.2911152800000001</v>
      </c>
      <c r="Y384" s="38">
        <f>(1000*600*CHOOSE(CONTROL!$C$42, 1.1001, 1.1001)*CHOOSE(CONTROL!$C$42, 31, 31))/1000000</f>
        <v>20.461860000000001</v>
      </c>
      <c r="Z384" s="38"/>
      <c r="AA384" s="10"/>
      <c r="AB384" s="39"/>
      <c r="AC384" s="33">
        <f>(B384*122.58+C384*297.941+D384*89.177+E384*40.302+F384*40+G384*160+H384*0+I384*100+J384*300)/(122.58+297.941+89.177+40.302+0+40+160+100+300)</f>
        <v>10.974247474086956</v>
      </c>
      <c r="AD384" s="27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10.892924460431653</v>
      </c>
    </row>
    <row r="385" spans="1:30" ht="15.75" x14ac:dyDescent="0.25">
      <c r="A385" s="14">
        <v>52993</v>
      </c>
      <c r="B385" s="10">
        <f>CHOOSE(CONTROL!$C$42, 11.7224, 11.7224) * CHOOSE(CONTROL!$C$21, $C$9, 100%, $E$9)</f>
        <v>11.7224</v>
      </c>
      <c r="C385" s="10">
        <f>CHOOSE(CONTROL!$C$42, 11.7274, 11.7274) * CHOOSE(CONTROL!$C$21, $C$9, 100%, $E$9)</f>
        <v>11.727399999999999</v>
      </c>
      <c r="D385" s="10">
        <f>CHOOSE(CONTROL!$C$42, 11.7518, 11.7518) * CHOOSE(CONTROL!$C$21, $C$9, 100%, $E$9)</f>
        <v>11.751799999999999</v>
      </c>
      <c r="E385" s="10">
        <f>CHOOSE(CONTROL!$C$42, 11.7856, 11.7856) * CHOOSE(CONTROL!$C$21, $C$9, 100%, $E$9)</f>
        <v>11.785600000000001</v>
      </c>
      <c r="F385" s="10">
        <f>CHOOSE(CONTROL!$C$42, 11.7053, 11.7053)*CHOOSE(CONTROL!$C$21, $C$9, 100%, $E$9)</f>
        <v>11.705299999999999</v>
      </c>
      <c r="G385" s="10">
        <f>CHOOSE(CONTROL!$C$42, 11.724, 11.724)*CHOOSE(CONTROL!$C$21, $C$9, 100%, $E$9)</f>
        <v>11.724</v>
      </c>
      <c r="H385" s="10">
        <f>CHOOSE(CONTROL!$C$42, 11.7748, 11.7748) * CHOOSE(CONTROL!$C$21, $C$9, 100%, $E$9)</f>
        <v>11.774800000000001</v>
      </c>
      <c r="I385" s="10">
        <f>CHOOSE(CONTROL!$C$42, 11.7169, 11.7169)* CHOOSE(CONTROL!$C$21, $C$9, 100%, $E$9)</f>
        <v>11.716900000000001</v>
      </c>
      <c r="J385" s="10">
        <f>CHOOSE(CONTROL!$C$42, 11.6983, 11.6983)* CHOOSE(CONTROL!$C$21, $C$9, 100%, $E$9)</f>
        <v>11.6983</v>
      </c>
      <c r="K385" s="10">
        <f>CHOOSE(CONTROL!$C$42, 11.5395, 11.5395) * CHOOSE(CONTROL!$C$21, $C$9, 100%, $E$9)</f>
        <v>11.5395</v>
      </c>
      <c r="L385" s="10">
        <f>CHOOSE(CONTROL!$C$42, 12.3618, 12.3618) * CHOOSE(CONTROL!$C$21, $C$9, 100%, $E$9)</f>
        <v>12.361800000000001</v>
      </c>
      <c r="M385" s="10">
        <f>CHOOSE(CONTROL!$C$42, 11.5941, 11.5941) * CHOOSE(CONTROL!$C$21, $C$9, 100%, $E$9)</f>
        <v>11.594099999999999</v>
      </c>
      <c r="N385" s="10">
        <f>CHOOSE(CONTROL!$C$42, 11.6126, 11.6126) * CHOOSE(CONTROL!$C$21, $C$9, 100%, $E$9)</f>
        <v>11.6126</v>
      </c>
      <c r="O385" s="10">
        <f>CHOOSE(CONTROL!$C$42, 11.6698, 11.6698) * CHOOSE(CONTROL!$C$21, $C$9, 100%, $E$9)</f>
        <v>11.6698</v>
      </c>
      <c r="P385" s="10">
        <f>CHOOSE(CONTROL!$C$42, 11.6125, 11.6125) * CHOOSE(CONTROL!$C$21, $C$9, 100%, $E$9)</f>
        <v>11.612500000000001</v>
      </c>
      <c r="Q385" s="10">
        <f>CHOOSE(CONTROL!$C$42, 12.2651, 12.2651) * CHOOSE(CONTROL!$C$21, $C$9, 100%, $E$9)</f>
        <v>12.2651</v>
      </c>
      <c r="R385" s="10">
        <f>CHOOSE(CONTROL!$C$42, 12.8827, 12.8827) * CHOOSE(CONTROL!$C$21, $C$9, 100%, $E$9)</f>
        <v>12.8827</v>
      </c>
      <c r="S385" s="10">
        <f>CHOOSE(CONTROL!$C$42, 11.3815, 11.3815) * CHOOSE(CONTROL!$C$21, $C$9, 100%, $E$9)</f>
        <v>11.381500000000001</v>
      </c>
      <c r="T3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38">
        <f>(1000*CHOOSE(CONTROL!$C$42, 695, 695)*CHOOSE(CONTROL!$C$42, 0.5599, 0.5599)*CHOOSE(CONTROL!$C$42, 31, 31))/1000000</f>
        <v>12.063045499999998</v>
      </c>
      <c r="V385" s="38">
        <f>(1000*CHOOSE(CONTROL!$C$42, 500, 500)*CHOOSE(CONTROL!$C$42, 0.275, 0.275)*CHOOSE(CONTROL!$C$42, 31, 31))/1000000</f>
        <v>4.2625000000000002</v>
      </c>
      <c r="W385" s="38">
        <f>(1000*CHOOSE(CONTROL!$C$42, 0.1146, 0.1146)*CHOOSE(CONTROL!$C$42, 121.5, 121.5)*CHOOSE(CONTROL!$C$42, 31, 31))/1000000</f>
        <v>0.43164089999999994</v>
      </c>
      <c r="X385" s="38">
        <f>(31*0.1790888*100000/1000000)+(31*0.2374*100000/1000000)</f>
        <v>1.2911152800000001</v>
      </c>
      <c r="Y385" s="38">
        <f>(1000*600*CHOOSE(CONTROL!$C$42, 1.0966, 1.0966)*CHOOSE(CONTROL!$C$42, 31, 31))/1000000</f>
        <v>20.39676</v>
      </c>
      <c r="Z385" s="38"/>
      <c r="AA385" s="10"/>
      <c r="AB385" s="39"/>
      <c r="AC385" s="33">
        <f>(B385*122.58+C385*297.941+D385*89.177+E385*40.302+F385*40+G385*160+H385*0+I385*100+J385*300)/(122.58+297.941+89.177+40.302+0+40+160+100+300)</f>
        <v>11.721052691478262</v>
      </c>
      <c r="AD385" s="27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11.632122302158272</v>
      </c>
    </row>
    <row r="386" spans="1:30" ht="15.75" x14ac:dyDescent="0.25">
      <c r="A386" s="14">
        <v>53021</v>
      </c>
      <c r="B386" s="10">
        <f>CHOOSE(CONTROL!$C$42, 11.931, 11.931) * CHOOSE(CONTROL!$C$21, $C$9, 100%, $E$9)</f>
        <v>11.930999999999999</v>
      </c>
      <c r="C386" s="10">
        <f>CHOOSE(CONTROL!$C$42, 11.936, 11.936) * CHOOSE(CONTROL!$C$21, $C$9, 100%, $E$9)</f>
        <v>11.936</v>
      </c>
      <c r="D386" s="10">
        <f>CHOOSE(CONTROL!$C$42, 11.9604, 11.9604) * CHOOSE(CONTROL!$C$21, $C$9, 100%, $E$9)</f>
        <v>11.9604</v>
      </c>
      <c r="E386" s="10">
        <f>CHOOSE(CONTROL!$C$42, 11.9942, 11.9942) * CHOOSE(CONTROL!$C$21, $C$9, 100%, $E$9)</f>
        <v>11.994199999999999</v>
      </c>
      <c r="F386" s="10">
        <f>CHOOSE(CONTROL!$C$42, 11.9133, 11.9133)*CHOOSE(CONTROL!$C$21, $C$9, 100%, $E$9)</f>
        <v>11.9133</v>
      </c>
      <c r="G386" s="10">
        <f>CHOOSE(CONTROL!$C$42, 11.9318, 11.9318)*CHOOSE(CONTROL!$C$21, $C$9, 100%, $E$9)</f>
        <v>11.931800000000001</v>
      </c>
      <c r="H386" s="10">
        <f>CHOOSE(CONTROL!$C$42, 11.9834, 11.9834) * CHOOSE(CONTROL!$C$21, $C$9, 100%, $E$9)</f>
        <v>11.9834</v>
      </c>
      <c r="I386" s="10">
        <f>CHOOSE(CONTROL!$C$42, 11.9255, 11.9255)* CHOOSE(CONTROL!$C$21, $C$9, 100%, $E$9)</f>
        <v>11.9255</v>
      </c>
      <c r="J386" s="10">
        <f>CHOOSE(CONTROL!$C$42, 11.9063, 11.9063)* CHOOSE(CONTROL!$C$21, $C$9, 100%, $E$9)</f>
        <v>11.9063</v>
      </c>
      <c r="K386" s="10">
        <f>CHOOSE(CONTROL!$C$42, 11.7407, 11.7407) * CHOOSE(CONTROL!$C$21, $C$9, 100%, $E$9)</f>
        <v>11.7407</v>
      </c>
      <c r="L386" s="10">
        <f>CHOOSE(CONTROL!$C$42, 12.5704, 12.5704) * CHOOSE(CONTROL!$C$21, $C$9, 100%, $E$9)</f>
        <v>12.570399999999999</v>
      </c>
      <c r="M386" s="10">
        <f>CHOOSE(CONTROL!$C$42, 11.8, 11.8) * CHOOSE(CONTROL!$C$21, $C$9, 100%, $E$9)</f>
        <v>11.8</v>
      </c>
      <c r="N386" s="10">
        <f>CHOOSE(CONTROL!$C$42, 11.8183, 11.8183) * CHOOSE(CONTROL!$C$21, $C$9, 100%, $E$9)</f>
        <v>11.818300000000001</v>
      </c>
      <c r="O386" s="10">
        <f>CHOOSE(CONTROL!$C$42, 11.8763, 11.8763) * CHOOSE(CONTROL!$C$21, $C$9, 100%, $E$9)</f>
        <v>11.876300000000001</v>
      </c>
      <c r="P386" s="10">
        <f>CHOOSE(CONTROL!$C$42, 11.819, 11.819) * CHOOSE(CONTROL!$C$21, $C$9, 100%, $E$9)</f>
        <v>11.819000000000001</v>
      </c>
      <c r="Q386" s="10">
        <f>CHOOSE(CONTROL!$C$42, 12.4716, 12.4716) * CHOOSE(CONTROL!$C$21, $C$9, 100%, $E$9)</f>
        <v>12.4716</v>
      </c>
      <c r="R386" s="10">
        <f>CHOOSE(CONTROL!$C$42, 13.0898, 13.0898) * CHOOSE(CONTROL!$C$21, $C$9, 100%, $E$9)</f>
        <v>13.0898</v>
      </c>
      <c r="S386" s="10">
        <f>CHOOSE(CONTROL!$C$42, 11.5841, 11.5841) * CHOOSE(CONTROL!$C$21, $C$9, 100%, $E$9)</f>
        <v>11.584099999999999</v>
      </c>
      <c r="T3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6" s="38">
        <f>(1000*CHOOSE(CONTROL!$C$42, 695, 695)*CHOOSE(CONTROL!$C$42, 0.5599, 0.5599)*CHOOSE(CONTROL!$C$42, 28, 28))/1000000</f>
        <v>10.895653999999999</v>
      </c>
      <c r="V386" s="38">
        <f>(1000*CHOOSE(CONTROL!$C$42, 500, 500)*CHOOSE(CONTROL!$C$42, 0.275, 0.275)*CHOOSE(CONTROL!$C$42, 28, 28))/1000000</f>
        <v>3.85</v>
      </c>
      <c r="W386" s="38">
        <f>(1000*CHOOSE(CONTROL!$C$42, 0.1146, 0.1146)*CHOOSE(CONTROL!$C$42, 121.5, 121.5)*CHOOSE(CONTROL!$C$42, 28, 28))/1000000</f>
        <v>0.38986920000000003</v>
      </c>
      <c r="X386" s="38">
        <f>(28*0.1790888*100000/1000000)+(28*0.2374*100000/1000000)</f>
        <v>1.16616864</v>
      </c>
      <c r="Y386" s="38">
        <f>(1000*600*CHOOSE(CONTROL!$C$42, 1.0966, 1.0966)*CHOOSE(CONTROL!$C$42, 28, 28))/1000000</f>
        <v>18.422879999999999</v>
      </c>
      <c r="Z386" s="38"/>
      <c r="AA386" s="10"/>
      <c r="AB386" s="39"/>
      <c r="AC386" s="33">
        <f>(B386*122.58+C386*297.941+D386*89.177+E386*40.302+F386*40+G386*160+H386*0+I386*100+J386*300)/(122.58+297.941+89.177+40.302+0+40+160+100+300)</f>
        <v>11.929363995826087</v>
      </c>
      <c r="AD386" s="27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11.8383690647482</v>
      </c>
    </row>
    <row r="387" spans="1:30" ht="15.75" x14ac:dyDescent="0.25">
      <c r="A387" s="14">
        <v>53052</v>
      </c>
      <c r="B387" s="10">
        <f>CHOOSE(CONTROL!$C$42, 11.5924, 11.5924) * CHOOSE(CONTROL!$C$21, $C$9, 100%, $E$9)</f>
        <v>11.5924</v>
      </c>
      <c r="C387" s="10">
        <f>CHOOSE(CONTROL!$C$42, 11.5973, 11.5973) * CHOOSE(CONTROL!$C$21, $C$9, 100%, $E$9)</f>
        <v>11.597300000000001</v>
      </c>
      <c r="D387" s="10">
        <f>CHOOSE(CONTROL!$C$42, 11.6218, 11.6218) * CHOOSE(CONTROL!$C$21, $C$9, 100%, $E$9)</f>
        <v>11.6218</v>
      </c>
      <c r="E387" s="10">
        <f>CHOOSE(CONTROL!$C$42, 11.6556, 11.6556) * CHOOSE(CONTROL!$C$21, $C$9, 100%, $E$9)</f>
        <v>11.6556</v>
      </c>
      <c r="F387" s="10">
        <f>CHOOSE(CONTROL!$C$42, 11.5731, 11.5731)*CHOOSE(CONTROL!$C$21, $C$9, 100%, $E$9)</f>
        <v>11.5731</v>
      </c>
      <c r="G387" s="10">
        <f>CHOOSE(CONTROL!$C$42, 11.5912, 11.5912)*CHOOSE(CONTROL!$C$21, $C$9, 100%, $E$9)</f>
        <v>11.591200000000001</v>
      </c>
      <c r="H387" s="10">
        <f>CHOOSE(CONTROL!$C$42, 11.6448, 11.6448) * CHOOSE(CONTROL!$C$21, $C$9, 100%, $E$9)</f>
        <v>11.6448</v>
      </c>
      <c r="I387" s="10">
        <f>CHOOSE(CONTROL!$C$42, 11.5869, 11.5869)* CHOOSE(CONTROL!$C$21, $C$9, 100%, $E$9)</f>
        <v>11.5869</v>
      </c>
      <c r="J387" s="10">
        <f>CHOOSE(CONTROL!$C$42, 11.5661, 11.5661)* CHOOSE(CONTROL!$C$21, $C$9, 100%, $E$9)</f>
        <v>11.5661</v>
      </c>
      <c r="K387" s="10">
        <f>CHOOSE(CONTROL!$C$42, 11.4083, 11.4083) * CHOOSE(CONTROL!$C$21, $C$9, 100%, $E$9)</f>
        <v>11.408300000000001</v>
      </c>
      <c r="L387" s="10">
        <f>CHOOSE(CONTROL!$C$42, 12.2318, 12.2318) * CHOOSE(CONTROL!$C$21, $C$9, 100%, $E$9)</f>
        <v>12.2318</v>
      </c>
      <c r="M387" s="10">
        <f>CHOOSE(CONTROL!$C$42, 11.4632, 11.4632) * CHOOSE(CONTROL!$C$21, $C$9, 100%, $E$9)</f>
        <v>11.463200000000001</v>
      </c>
      <c r="N387" s="10">
        <f>CHOOSE(CONTROL!$C$42, 11.4811, 11.4811) * CHOOSE(CONTROL!$C$21, $C$9, 100%, $E$9)</f>
        <v>11.4811</v>
      </c>
      <c r="O387" s="10">
        <f>CHOOSE(CONTROL!$C$42, 11.5411, 11.5411) * CHOOSE(CONTROL!$C$21, $C$9, 100%, $E$9)</f>
        <v>11.5411</v>
      </c>
      <c r="P387" s="10">
        <f>CHOOSE(CONTROL!$C$42, 11.4838, 11.4838) * CHOOSE(CONTROL!$C$21, $C$9, 100%, $E$9)</f>
        <v>11.4838</v>
      </c>
      <c r="Q387" s="10">
        <f>CHOOSE(CONTROL!$C$42, 12.1364, 12.1364) * CHOOSE(CONTROL!$C$21, $C$9, 100%, $E$9)</f>
        <v>12.1364</v>
      </c>
      <c r="R387" s="10">
        <f>CHOOSE(CONTROL!$C$42, 12.7537, 12.7537) * CHOOSE(CONTROL!$C$21, $C$9, 100%, $E$9)</f>
        <v>12.7537</v>
      </c>
      <c r="S387" s="10">
        <f>CHOOSE(CONTROL!$C$42, 11.2552, 11.2552) * CHOOSE(CONTROL!$C$21, $C$9, 100%, $E$9)</f>
        <v>11.2552</v>
      </c>
      <c r="T3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38">
        <f>(1000*CHOOSE(CONTROL!$C$42, 695, 695)*CHOOSE(CONTROL!$C$42, 0.5599, 0.5599)*CHOOSE(CONTROL!$C$42, 31, 31))/1000000</f>
        <v>12.063045499999998</v>
      </c>
      <c r="V387" s="38">
        <f>(1000*CHOOSE(CONTROL!$C$42, 500, 500)*CHOOSE(CONTROL!$C$42, 0.275, 0.275)*CHOOSE(CONTROL!$C$42, 31, 31))/1000000</f>
        <v>4.2625000000000002</v>
      </c>
      <c r="W387" s="38">
        <f>(1000*CHOOSE(CONTROL!$C$42, 0.1146, 0.1146)*CHOOSE(CONTROL!$C$42, 121.5, 121.5)*CHOOSE(CONTROL!$C$42, 31, 31))/1000000</f>
        <v>0.43164089999999994</v>
      </c>
      <c r="X387" s="38">
        <f>(31*0.1790888*100000/1000000)+(31*0.2374*100000/1000000)</f>
        <v>1.2911152800000001</v>
      </c>
      <c r="Y387" s="38">
        <f>(1000*600*CHOOSE(CONTROL!$C$42, 1.0966, 1.0966)*CHOOSE(CONTROL!$C$42, 31, 31))/1000000</f>
        <v>20.39676</v>
      </c>
      <c r="Z387" s="38"/>
      <c r="AA387" s="10"/>
      <c r="AB387" s="39"/>
      <c r="AC387" s="33">
        <f>(B387*122.58+C387*297.941+D387*89.177+E387*40.302+F387*40+G387*160+H387*0+I387*100+J387*300)/(122.58+297.941+89.177+40.302+0+40+160+100+300)</f>
        <v>11.589986783565218</v>
      </c>
      <c r="AD387" s="27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11.502501438848922</v>
      </c>
    </row>
    <row r="388" spans="1:30" ht="15.75" x14ac:dyDescent="0.25">
      <c r="A388" s="14">
        <v>53082</v>
      </c>
      <c r="B388" s="10">
        <f>CHOOSE(CONTROL!$C$42, 11.5585, 11.5585) * CHOOSE(CONTROL!$C$21, $C$9, 100%, $E$9)</f>
        <v>11.5585</v>
      </c>
      <c r="C388" s="10">
        <f>CHOOSE(CONTROL!$C$42, 11.5628, 11.5628) * CHOOSE(CONTROL!$C$21, $C$9, 100%, $E$9)</f>
        <v>11.562799999999999</v>
      </c>
      <c r="D388" s="10">
        <f>CHOOSE(CONTROL!$C$42, 11.743, 11.743) * CHOOSE(CONTROL!$C$21, $C$9, 100%, $E$9)</f>
        <v>11.743</v>
      </c>
      <c r="E388" s="10">
        <f>CHOOSE(CONTROL!$C$42, 11.7747, 11.7747) * CHOOSE(CONTROL!$C$21, $C$9, 100%, $E$9)</f>
        <v>11.774699999999999</v>
      </c>
      <c r="F388" s="10">
        <f>CHOOSE(CONTROL!$C$42, 11.5238, 11.5238)*CHOOSE(CONTROL!$C$21, $C$9, 100%, $E$9)</f>
        <v>11.5238</v>
      </c>
      <c r="G388" s="10">
        <f>CHOOSE(CONTROL!$C$42, 11.54, 11.54)*CHOOSE(CONTROL!$C$21, $C$9, 100%, $E$9)</f>
        <v>11.54</v>
      </c>
      <c r="H388" s="10">
        <f>CHOOSE(CONTROL!$C$42, 11.7645, 11.7645) * CHOOSE(CONTROL!$C$21, $C$9, 100%, $E$9)</f>
        <v>11.7645</v>
      </c>
      <c r="I388" s="10">
        <f>CHOOSE(CONTROL!$C$42, 11.5444, 11.5444)* CHOOSE(CONTROL!$C$21, $C$9, 100%, $E$9)</f>
        <v>11.5444</v>
      </c>
      <c r="J388" s="10">
        <f>CHOOSE(CONTROL!$C$42, 11.5168, 11.5168)* CHOOSE(CONTROL!$C$21, $C$9, 100%, $E$9)</f>
        <v>11.5168</v>
      </c>
      <c r="K388" s="10">
        <f>CHOOSE(CONTROL!$C$42, 11.3521, 11.3521) * CHOOSE(CONTROL!$C$21, $C$9, 100%, $E$9)</f>
        <v>11.3521</v>
      </c>
      <c r="L388" s="10">
        <f>CHOOSE(CONTROL!$C$42, 12.3515, 12.3515) * CHOOSE(CONTROL!$C$21, $C$9, 100%, $E$9)</f>
        <v>12.3515</v>
      </c>
      <c r="M388" s="10">
        <f>CHOOSE(CONTROL!$C$42, 11.4144, 11.4144) * CHOOSE(CONTROL!$C$21, $C$9, 100%, $E$9)</f>
        <v>11.414400000000001</v>
      </c>
      <c r="N388" s="10">
        <f>CHOOSE(CONTROL!$C$42, 11.4305, 11.4305) * CHOOSE(CONTROL!$C$21, $C$9, 100%, $E$9)</f>
        <v>11.4305</v>
      </c>
      <c r="O388" s="10">
        <f>CHOOSE(CONTROL!$C$42, 11.6596, 11.6596) * CHOOSE(CONTROL!$C$21, $C$9, 100%, $E$9)</f>
        <v>11.659599999999999</v>
      </c>
      <c r="P388" s="10">
        <f>CHOOSE(CONTROL!$C$42, 11.4418, 11.4418) * CHOOSE(CONTROL!$C$21, $C$9, 100%, $E$9)</f>
        <v>11.441800000000001</v>
      </c>
      <c r="Q388" s="10">
        <f>CHOOSE(CONTROL!$C$42, 12.2549, 12.2549) * CHOOSE(CONTROL!$C$21, $C$9, 100%, $E$9)</f>
        <v>12.254899999999999</v>
      </c>
      <c r="R388" s="10">
        <f>CHOOSE(CONTROL!$C$42, 12.8726, 12.8726) * CHOOSE(CONTROL!$C$21, $C$9, 100%, $E$9)</f>
        <v>12.8726</v>
      </c>
      <c r="S388" s="10">
        <f>CHOOSE(CONTROL!$C$42, 11.2215, 11.2215) * CHOOSE(CONTROL!$C$21, $C$9, 100%, $E$9)</f>
        <v>11.221500000000001</v>
      </c>
      <c r="T3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38">
        <f>(1000*CHOOSE(CONTROL!$C$42, 695, 695)*CHOOSE(CONTROL!$C$42, 0.5599, 0.5599)*CHOOSE(CONTROL!$C$42, 30, 30))/1000000</f>
        <v>11.673914999999997</v>
      </c>
      <c r="V388" s="38">
        <f>(1000*CHOOSE(CONTROL!$C$42, 500, 500)*CHOOSE(CONTROL!$C$42, 0.275, 0.275)*CHOOSE(CONTROL!$C$42, 30, 30))/1000000</f>
        <v>4.125</v>
      </c>
      <c r="W388" s="38">
        <f>(1000*CHOOSE(CONTROL!$C$42, 0.1146, 0.1146)*CHOOSE(CONTROL!$C$42, 121.5, 121.5)*CHOOSE(CONTROL!$C$42, 30, 30))/1000000</f>
        <v>0.417717</v>
      </c>
      <c r="X388" s="38">
        <f>(30*0.1790888*245000/1000000)+(30*0.2374*100000/1000000)</f>
        <v>2.0285026799999999</v>
      </c>
      <c r="Y388" s="38">
        <f>(1000*600*CHOOSE(CONTROL!$C$42, 1.0966, 1.0966)*CHOOSE(CONTROL!$C$42, 30, 30))/1000000</f>
        <v>19.738800000000001</v>
      </c>
      <c r="Z388" s="38"/>
      <c r="AA388" s="10"/>
      <c r="AB388" s="39"/>
      <c r="AC388" s="33">
        <f>(B388*141.293+C388*267.993+D388*115.016+E388*89.698+F388*40+G388*185+H388*0+I388*100+J388*300)/(141.293+267.993+115.016+89.698+0+40+185+100+300)</f>
        <v>11.577091629943503</v>
      </c>
      <c r="AD388" s="27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11.490846043165469</v>
      </c>
    </row>
    <row r="389" spans="1:30" ht="15.75" x14ac:dyDescent="0.25">
      <c r="A389" s="14">
        <v>53113</v>
      </c>
      <c r="B389" s="10">
        <f>CHOOSE(CONTROL!$C$42, 11.6622, 11.6622) * CHOOSE(CONTROL!$C$21, $C$9, 100%, $E$9)</f>
        <v>11.6622</v>
      </c>
      <c r="C389" s="10">
        <f>CHOOSE(CONTROL!$C$42, 11.6701, 11.6701) * CHOOSE(CONTROL!$C$21, $C$9, 100%, $E$9)</f>
        <v>11.6701</v>
      </c>
      <c r="D389" s="10">
        <f>CHOOSE(CONTROL!$C$42, 11.8471, 11.8471) * CHOOSE(CONTROL!$C$21, $C$9, 100%, $E$9)</f>
        <v>11.847099999999999</v>
      </c>
      <c r="E389" s="10">
        <f>CHOOSE(CONTROL!$C$42, 11.8783, 11.8783) * CHOOSE(CONTROL!$C$21, $C$9, 100%, $E$9)</f>
        <v>11.878299999999999</v>
      </c>
      <c r="F389" s="10">
        <f>CHOOSE(CONTROL!$C$42, 11.6256, 11.6256)*CHOOSE(CONTROL!$C$21, $C$9, 100%, $E$9)</f>
        <v>11.6256</v>
      </c>
      <c r="G389" s="10">
        <f>CHOOSE(CONTROL!$C$42, 11.6421, 11.6421)*CHOOSE(CONTROL!$C$21, $C$9, 100%, $E$9)</f>
        <v>11.642099999999999</v>
      </c>
      <c r="H389" s="10">
        <f>CHOOSE(CONTROL!$C$42, 11.8669, 11.8669) * CHOOSE(CONTROL!$C$21, $C$9, 100%, $E$9)</f>
        <v>11.866899999999999</v>
      </c>
      <c r="I389" s="10">
        <f>CHOOSE(CONTROL!$C$42, 11.6468, 11.6468)* CHOOSE(CONTROL!$C$21, $C$9, 100%, $E$9)</f>
        <v>11.646800000000001</v>
      </c>
      <c r="J389" s="10">
        <f>CHOOSE(CONTROL!$C$42, 11.6186, 11.6186)* CHOOSE(CONTROL!$C$21, $C$9, 100%, $E$9)</f>
        <v>11.618600000000001</v>
      </c>
      <c r="K389" s="10">
        <f>CHOOSE(CONTROL!$C$42, 11.4503, 11.4503) * CHOOSE(CONTROL!$C$21, $C$9, 100%, $E$9)</f>
        <v>11.4503</v>
      </c>
      <c r="L389" s="10">
        <f>CHOOSE(CONTROL!$C$42, 12.4539, 12.4539) * CHOOSE(CONTROL!$C$21, $C$9, 100%, $E$9)</f>
        <v>12.453900000000001</v>
      </c>
      <c r="M389" s="10">
        <f>CHOOSE(CONTROL!$C$42, 11.5152, 11.5152) * CHOOSE(CONTROL!$C$21, $C$9, 100%, $E$9)</f>
        <v>11.5152</v>
      </c>
      <c r="N389" s="10">
        <f>CHOOSE(CONTROL!$C$42, 11.5315, 11.5315) * CHOOSE(CONTROL!$C$21, $C$9, 100%, $E$9)</f>
        <v>11.531499999999999</v>
      </c>
      <c r="O389" s="10">
        <f>CHOOSE(CONTROL!$C$42, 11.761, 11.761) * CHOOSE(CONTROL!$C$21, $C$9, 100%, $E$9)</f>
        <v>11.760999999999999</v>
      </c>
      <c r="P389" s="10">
        <f>CHOOSE(CONTROL!$C$42, 11.5431, 11.5431) * CHOOSE(CONTROL!$C$21, $C$9, 100%, $E$9)</f>
        <v>11.543100000000001</v>
      </c>
      <c r="Q389" s="10">
        <f>CHOOSE(CONTROL!$C$42, 12.3563, 12.3563) * CHOOSE(CONTROL!$C$21, $C$9, 100%, $E$9)</f>
        <v>12.356299999999999</v>
      </c>
      <c r="R389" s="10">
        <f>CHOOSE(CONTROL!$C$42, 12.9742, 12.9742) * CHOOSE(CONTROL!$C$21, $C$9, 100%, $E$9)</f>
        <v>12.9742</v>
      </c>
      <c r="S389" s="10">
        <f>CHOOSE(CONTROL!$C$42, 11.3209, 11.3209) * CHOOSE(CONTROL!$C$21, $C$9, 100%, $E$9)</f>
        <v>11.3209</v>
      </c>
      <c r="T3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38">
        <f>(1000*CHOOSE(CONTROL!$C$42, 695, 695)*CHOOSE(CONTROL!$C$42, 0.5599, 0.5599)*CHOOSE(CONTROL!$C$42, 31, 31))/1000000</f>
        <v>12.063045499999998</v>
      </c>
      <c r="V389" s="38">
        <f>(1000*CHOOSE(CONTROL!$C$42, 500, 500)*CHOOSE(CONTROL!$C$42, 0.275, 0.275)*CHOOSE(CONTROL!$C$42, 31, 31))/1000000</f>
        <v>4.2625000000000002</v>
      </c>
      <c r="W389" s="38">
        <f>(1000*CHOOSE(CONTROL!$C$42, 0.1146, 0.1146)*CHOOSE(CONTROL!$C$42, 121.5, 121.5)*CHOOSE(CONTROL!$C$42, 31, 31))/1000000</f>
        <v>0.43164089999999994</v>
      </c>
      <c r="X389" s="38">
        <f>(31*0.1790888*245000/1000000)+(31*0.2374*100000/1000000)</f>
        <v>2.0961194359999999</v>
      </c>
      <c r="Y389" s="38">
        <f>(1000*600*CHOOSE(CONTROL!$C$42, 1.0966, 1.0966)*CHOOSE(CONTROL!$C$42, 31, 31))/1000000</f>
        <v>20.39676</v>
      </c>
      <c r="Z389" s="38"/>
      <c r="AA389" s="10"/>
      <c r="AB389" s="39"/>
      <c r="AC389" s="33">
        <f>(B389*194.205+C389*267.466+D389*133.845+E389*53.484+F389*40+G389*185+H389*0+I389*100+J389*300)/(194.205+267.466+133.845+53.484+0+40+185+100+300)</f>
        <v>11.676812491601257</v>
      </c>
      <c r="AD389" s="27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11.59193237410072</v>
      </c>
    </row>
    <row r="390" spans="1:30" ht="15.75" x14ac:dyDescent="0.25">
      <c r="A390" s="14">
        <v>53143</v>
      </c>
      <c r="B390" s="10">
        <f>CHOOSE(CONTROL!$C$42, 11.9929, 11.9929) * CHOOSE(CONTROL!$C$21, $C$9, 100%, $E$9)</f>
        <v>11.992900000000001</v>
      </c>
      <c r="C390" s="10">
        <f>CHOOSE(CONTROL!$C$42, 12.0008, 12.0008) * CHOOSE(CONTROL!$C$21, $C$9, 100%, $E$9)</f>
        <v>12.0008</v>
      </c>
      <c r="D390" s="10">
        <f>CHOOSE(CONTROL!$C$42, 12.1778, 12.1778) * CHOOSE(CONTROL!$C$21, $C$9, 100%, $E$9)</f>
        <v>12.1778</v>
      </c>
      <c r="E390" s="10">
        <f>CHOOSE(CONTROL!$C$42, 12.2089, 12.2089) * CHOOSE(CONTROL!$C$21, $C$9, 100%, $E$9)</f>
        <v>12.2089</v>
      </c>
      <c r="F390" s="10">
        <f>CHOOSE(CONTROL!$C$42, 11.9564, 11.9564)*CHOOSE(CONTROL!$C$21, $C$9, 100%, $E$9)</f>
        <v>11.9564</v>
      </c>
      <c r="G390" s="10">
        <f>CHOOSE(CONTROL!$C$42, 11.973, 11.973)*CHOOSE(CONTROL!$C$21, $C$9, 100%, $E$9)</f>
        <v>11.973000000000001</v>
      </c>
      <c r="H390" s="10">
        <f>CHOOSE(CONTROL!$C$42, 12.1976, 12.1976) * CHOOSE(CONTROL!$C$21, $C$9, 100%, $E$9)</f>
        <v>12.1976</v>
      </c>
      <c r="I390" s="10">
        <f>CHOOSE(CONTROL!$C$42, 11.9775, 11.9775)* CHOOSE(CONTROL!$C$21, $C$9, 100%, $E$9)</f>
        <v>11.977499999999999</v>
      </c>
      <c r="J390" s="10">
        <f>CHOOSE(CONTROL!$C$42, 11.9494, 11.9494)* CHOOSE(CONTROL!$C$21, $C$9, 100%, $E$9)</f>
        <v>11.949400000000001</v>
      </c>
      <c r="K390" s="10">
        <f>CHOOSE(CONTROL!$C$42, 11.772, 11.772) * CHOOSE(CONTROL!$C$21, $C$9, 100%, $E$9)</f>
        <v>11.772</v>
      </c>
      <c r="L390" s="10">
        <f>CHOOSE(CONTROL!$C$42, 12.7846, 12.7846) * CHOOSE(CONTROL!$C$21, $C$9, 100%, $E$9)</f>
        <v>12.784599999999999</v>
      </c>
      <c r="M390" s="10">
        <f>CHOOSE(CONTROL!$C$42, 11.8427, 11.8427) * CHOOSE(CONTROL!$C$21, $C$9, 100%, $E$9)</f>
        <v>11.842700000000001</v>
      </c>
      <c r="N390" s="10">
        <f>CHOOSE(CONTROL!$C$42, 11.859, 11.859) * CHOOSE(CONTROL!$C$21, $C$9, 100%, $E$9)</f>
        <v>11.859</v>
      </c>
      <c r="O390" s="10">
        <f>CHOOSE(CONTROL!$C$42, 12.0883, 12.0883) * CHOOSE(CONTROL!$C$21, $C$9, 100%, $E$9)</f>
        <v>12.0883</v>
      </c>
      <c r="P390" s="10">
        <f>CHOOSE(CONTROL!$C$42, 11.8705, 11.8705) * CHOOSE(CONTROL!$C$21, $C$9, 100%, $E$9)</f>
        <v>11.8705</v>
      </c>
      <c r="Q390" s="10">
        <f>CHOOSE(CONTROL!$C$42, 12.6836, 12.6836) * CHOOSE(CONTROL!$C$21, $C$9, 100%, $E$9)</f>
        <v>12.6836</v>
      </c>
      <c r="R390" s="10">
        <f>CHOOSE(CONTROL!$C$42, 13.3023, 13.3023) * CHOOSE(CONTROL!$C$21, $C$9, 100%, $E$9)</f>
        <v>13.302300000000001</v>
      </c>
      <c r="S390" s="10">
        <f>CHOOSE(CONTROL!$C$42, 11.642, 11.642) * CHOOSE(CONTROL!$C$21, $C$9, 100%, $E$9)</f>
        <v>11.641999999999999</v>
      </c>
      <c r="T3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38">
        <f>(1000*CHOOSE(CONTROL!$C$42, 695, 695)*CHOOSE(CONTROL!$C$42, 0.5599, 0.5599)*CHOOSE(CONTROL!$C$42, 30, 30))/1000000</f>
        <v>11.673914999999997</v>
      </c>
      <c r="V390" s="38">
        <f>(1000*CHOOSE(CONTROL!$C$42, 500, 500)*CHOOSE(CONTROL!$C$42, 0.275, 0.275)*CHOOSE(CONTROL!$C$42, 30, 30))/1000000</f>
        <v>4.125</v>
      </c>
      <c r="W390" s="38">
        <f>(1000*CHOOSE(CONTROL!$C$42, 0.1146, 0.1146)*CHOOSE(CONTROL!$C$42, 121.5, 121.5)*CHOOSE(CONTROL!$C$42, 30, 30))/1000000</f>
        <v>0.417717</v>
      </c>
      <c r="X390" s="38">
        <f>(30*0.1790888*245000/1000000)+(30*0.2374*100000/1000000)</f>
        <v>2.0285026799999999</v>
      </c>
      <c r="Y390" s="38">
        <f>(1000*600*CHOOSE(CONTROL!$C$42, 1.0966, 1.0966)*CHOOSE(CONTROL!$C$42, 30, 30))/1000000</f>
        <v>19.738800000000001</v>
      </c>
      <c r="Z390" s="38"/>
      <c r="AA390" s="10"/>
      <c r="AB390" s="39"/>
      <c r="AC390" s="33">
        <f>(B390*194.205+C390*267.466+D390*133.845+E390*53.484+F390*40+G390*185+H390*0+I390*100+J390*300)/(194.205+267.466+133.845+53.484+0+40+185+100+300)</f>
        <v>12.007564023469389</v>
      </c>
      <c r="AD390" s="27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11.919361870503597</v>
      </c>
    </row>
    <row r="391" spans="1:30" ht="15.75" x14ac:dyDescent="0.25">
      <c r="A391" s="14">
        <v>53174</v>
      </c>
      <c r="B391" s="10">
        <f>CHOOSE(CONTROL!$C$42, 11.7629, 11.7629) * CHOOSE(CONTROL!$C$21, $C$9, 100%, $E$9)</f>
        <v>11.7629</v>
      </c>
      <c r="C391" s="10">
        <f>CHOOSE(CONTROL!$C$42, 11.7708, 11.7708) * CHOOSE(CONTROL!$C$21, $C$9, 100%, $E$9)</f>
        <v>11.770799999999999</v>
      </c>
      <c r="D391" s="10">
        <f>CHOOSE(CONTROL!$C$42, 11.9478, 11.9478) * CHOOSE(CONTROL!$C$21, $C$9, 100%, $E$9)</f>
        <v>11.947800000000001</v>
      </c>
      <c r="E391" s="10">
        <f>CHOOSE(CONTROL!$C$42, 11.979, 11.979) * CHOOSE(CONTROL!$C$21, $C$9, 100%, $E$9)</f>
        <v>11.978999999999999</v>
      </c>
      <c r="F391" s="10">
        <f>CHOOSE(CONTROL!$C$42, 11.7267, 11.7267)*CHOOSE(CONTROL!$C$21, $C$9, 100%, $E$9)</f>
        <v>11.726699999999999</v>
      </c>
      <c r="G391" s="10">
        <f>CHOOSE(CONTROL!$C$42, 11.7433, 11.7433)*CHOOSE(CONTROL!$C$21, $C$9, 100%, $E$9)</f>
        <v>11.7433</v>
      </c>
      <c r="H391" s="10">
        <f>CHOOSE(CONTROL!$C$42, 11.9676, 11.9676) * CHOOSE(CONTROL!$C$21, $C$9, 100%, $E$9)</f>
        <v>11.967599999999999</v>
      </c>
      <c r="I391" s="10">
        <f>CHOOSE(CONTROL!$C$42, 11.7475, 11.7475)* CHOOSE(CONTROL!$C$21, $C$9, 100%, $E$9)</f>
        <v>11.7475</v>
      </c>
      <c r="J391" s="10">
        <f>CHOOSE(CONTROL!$C$42, 11.7197, 11.7197)* CHOOSE(CONTROL!$C$21, $C$9, 100%, $E$9)</f>
        <v>11.7197</v>
      </c>
      <c r="K391" s="10">
        <f>CHOOSE(CONTROL!$C$42, 11.5491, 11.5491) * CHOOSE(CONTROL!$C$21, $C$9, 100%, $E$9)</f>
        <v>11.549099999999999</v>
      </c>
      <c r="L391" s="10">
        <f>CHOOSE(CONTROL!$C$42, 12.5546, 12.5546) * CHOOSE(CONTROL!$C$21, $C$9, 100%, $E$9)</f>
        <v>12.554600000000001</v>
      </c>
      <c r="M391" s="10">
        <f>CHOOSE(CONTROL!$C$42, 11.6152, 11.6152) * CHOOSE(CONTROL!$C$21, $C$9, 100%, $E$9)</f>
        <v>11.6152</v>
      </c>
      <c r="N391" s="10">
        <f>CHOOSE(CONTROL!$C$42, 11.6317, 11.6317) * CHOOSE(CONTROL!$C$21, $C$9, 100%, $E$9)</f>
        <v>11.6317</v>
      </c>
      <c r="O391" s="10">
        <f>CHOOSE(CONTROL!$C$42, 11.8606, 11.8606) * CHOOSE(CONTROL!$C$21, $C$9, 100%, $E$9)</f>
        <v>11.8606</v>
      </c>
      <c r="P391" s="10">
        <f>CHOOSE(CONTROL!$C$42, 11.6428, 11.6428) * CHOOSE(CONTROL!$C$21, $C$9, 100%, $E$9)</f>
        <v>11.642799999999999</v>
      </c>
      <c r="Q391" s="10">
        <f>CHOOSE(CONTROL!$C$42, 12.4559, 12.4559) * CHOOSE(CONTROL!$C$21, $C$9, 100%, $E$9)</f>
        <v>12.4559</v>
      </c>
      <c r="R391" s="10">
        <f>CHOOSE(CONTROL!$C$42, 13.0741, 13.0741) * CHOOSE(CONTROL!$C$21, $C$9, 100%, $E$9)</f>
        <v>13.0741</v>
      </c>
      <c r="S391" s="10">
        <f>CHOOSE(CONTROL!$C$42, 11.4187, 11.4187) * CHOOSE(CONTROL!$C$21, $C$9, 100%, $E$9)</f>
        <v>11.418699999999999</v>
      </c>
      <c r="T3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38">
        <f>(1000*CHOOSE(CONTROL!$C$42, 695, 695)*CHOOSE(CONTROL!$C$42, 0.5599, 0.5599)*CHOOSE(CONTROL!$C$42, 31, 31))/1000000</f>
        <v>12.063045499999998</v>
      </c>
      <c r="V391" s="38">
        <f>(1000*CHOOSE(CONTROL!$C$42, 500, 500)*CHOOSE(CONTROL!$C$42, 0.275, 0.275)*CHOOSE(CONTROL!$C$42, 31, 31))/1000000</f>
        <v>4.2625000000000002</v>
      </c>
      <c r="W391" s="38">
        <f>(1000*CHOOSE(CONTROL!$C$42, 0.1146, 0.1146)*CHOOSE(CONTROL!$C$42, 121.5, 121.5)*CHOOSE(CONTROL!$C$42, 31, 31))/1000000</f>
        <v>0.43164089999999994</v>
      </c>
      <c r="X391" s="38">
        <f>(31*0.1790888*245000/1000000)+(31*0.2374*100000/1000000)</f>
        <v>2.0961194359999999</v>
      </c>
      <c r="Y391" s="38">
        <f>(1000*600*CHOOSE(CONTROL!$C$42, 1.0966, 1.0966)*CHOOSE(CONTROL!$C$42, 31, 31))/1000000</f>
        <v>20.39676</v>
      </c>
      <c r="Z391" s="38"/>
      <c r="AA391" s="10"/>
      <c r="AB391" s="39"/>
      <c r="AC391" s="33">
        <f>(B391*194.205+C391*267.466+D391*133.845+E391*53.484+F391*40+G391*185+H391*0+I391*100+J391*300)/(194.205+267.466+133.845+53.484+0+40+185+100+300)</f>
        <v>11.777691847959185</v>
      </c>
      <c r="AD391" s="27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11.691823021582733</v>
      </c>
    </row>
    <row r="392" spans="1:30" ht="15.75" x14ac:dyDescent="0.25">
      <c r="A392" s="14">
        <v>53205</v>
      </c>
      <c r="B392" s="10">
        <f>CHOOSE(CONTROL!$C$42, 11.1822, 11.1822) * CHOOSE(CONTROL!$C$21, $C$9, 100%, $E$9)</f>
        <v>11.1822</v>
      </c>
      <c r="C392" s="10">
        <f>CHOOSE(CONTROL!$C$42, 11.1901, 11.1901) * CHOOSE(CONTROL!$C$21, $C$9, 100%, $E$9)</f>
        <v>11.190099999999999</v>
      </c>
      <c r="D392" s="10">
        <f>CHOOSE(CONTROL!$C$42, 11.3671, 11.3671) * CHOOSE(CONTROL!$C$21, $C$9, 100%, $E$9)</f>
        <v>11.367100000000001</v>
      </c>
      <c r="E392" s="10">
        <f>CHOOSE(CONTROL!$C$42, 11.3982, 11.3982) * CHOOSE(CONTROL!$C$21, $C$9, 100%, $E$9)</f>
        <v>11.398199999999999</v>
      </c>
      <c r="F392" s="10">
        <f>CHOOSE(CONTROL!$C$42, 11.146, 11.146)*CHOOSE(CONTROL!$C$21, $C$9, 100%, $E$9)</f>
        <v>11.146000000000001</v>
      </c>
      <c r="G392" s="10">
        <f>CHOOSE(CONTROL!$C$42, 11.1626, 11.1626)*CHOOSE(CONTROL!$C$21, $C$9, 100%, $E$9)</f>
        <v>11.162599999999999</v>
      </c>
      <c r="H392" s="10">
        <f>CHOOSE(CONTROL!$C$42, 11.3868, 11.3868) * CHOOSE(CONTROL!$C$21, $C$9, 100%, $E$9)</f>
        <v>11.386799999999999</v>
      </c>
      <c r="I392" s="10">
        <f>CHOOSE(CONTROL!$C$42, 11.1667, 11.1667)* CHOOSE(CONTROL!$C$21, $C$9, 100%, $E$9)</f>
        <v>11.166700000000001</v>
      </c>
      <c r="J392" s="10">
        <f>CHOOSE(CONTROL!$C$42, 11.139, 11.139)* CHOOSE(CONTROL!$C$21, $C$9, 100%, $E$9)</f>
        <v>11.138999999999999</v>
      </c>
      <c r="K392" s="10">
        <f>CHOOSE(CONTROL!$C$42, 10.9849, 10.9849) * CHOOSE(CONTROL!$C$21, $C$9, 100%, $E$9)</f>
        <v>10.9849</v>
      </c>
      <c r="L392" s="10">
        <f>CHOOSE(CONTROL!$C$42, 11.9738, 11.9738) * CHOOSE(CONTROL!$C$21, $C$9, 100%, $E$9)</f>
        <v>11.973800000000001</v>
      </c>
      <c r="M392" s="10">
        <f>CHOOSE(CONTROL!$C$42, 11.0404, 11.0404) * CHOOSE(CONTROL!$C$21, $C$9, 100%, $E$9)</f>
        <v>11.0404</v>
      </c>
      <c r="N392" s="10">
        <f>CHOOSE(CONTROL!$C$42, 11.0569, 11.0569) * CHOOSE(CONTROL!$C$21, $C$9, 100%, $E$9)</f>
        <v>11.056900000000001</v>
      </c>
      <c r="O392" s="10">
        <f>CHOOSE(CONTROL!$C$42, 11.2857, 11.2857) * CHOOSE(CONTROL!$C$21, $C$9, 100%, $E$9)</f>
        <v>11.2857</v>
      </c>
      <c r="P392" s="10">
        <f>CHOOSE(CONTROL!$C$42, 11.0679, 11.0679) * CHOOSE(CONTROL!$C$21, $C$9, 100%, $E$9)</f>
        <v>11.0679</v>
      </c>
      <c r="Q392" s="10">
        <f>CHOOSE(CONTROL!$C$42, 11.881, 11.881) * CHOOSE(CONTROL!$C$21, $C$9, 100%, $E$9)</f>
        <v>11.881</v>
      </c>
      <c r="R392" s="10">
        <f>CHOOSE(CONTROL!$C$42, 12.4977, 12.4977) * CHOOSE(CONTROL!$C$21, $C$9, 100%, $E$9)</f>
        <v>12.4977</v>
      </c>
      <c r="S392" s="10">
        <f>CHOOSE(CONTROL!$C$42, 10.8547, 10.8547) * CHOOSE(CONTROL!$C$21, $C$9, 100%, $E$9)</f>
        <v>10.854699999999999</v>
      </c>
      <c r="T3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38">
        <f>(1000*CHOOSE(CONTROL!$C$42, 695, 695)*CHOOSE(CONTROL!$C$42, 0.5599, 0.5599)*CHOOSE(CONTROL!$C$42, 31, 31))/1000000</f>
        <v>12.063045499999998</v>
      </c>
      <c r="V392" s="38">
        <f>(1000*CHOOSE(CONTROL!$C$42, 500, 500)*CHOOSE(CONTROL!$C$42, 0.275, 0.275)*CHOOSE(CONTROL!$C$42, 31, 31))/1000000</f>
        <v>4.2625000000000002</v>
      </c>
      <c r="W392" s="38">
        <f>(1000*CHOOSE(CONTROL!$C$42, 0.1146, 0.1146)*CHOOSE(CONTROL!$C$42, 121.5, 121.5)*CHOOSE(CONTROL!$C$42, 31, 31))/1000000</f>
        <v>0.43164089999999994</v>
      </c>
      <c r="X392" s="38">
        <f>(31*0.1790888*245000/1000000)+(31*0.2374*100000/1000000)</f>
        <v>2.0961194359999999</v>
      </c>
      <c r="Y392" s="38">
        <f>(1000*600*CHOOSE(CONTROL!$C$42, 1.0966, 1.0966)*CHOOSE(CONTROL!$C$42, 31, 31))/1000000</f>
        <v>20.39676</v>
      </c>
      <c r="Z392" s="38"/>
      <c r="AA392" s="10"/>
      <c r="AB392" s="39"/>
      <c r="AC392" s="33">
        <f>(B392*194.205+C392*267.466+D392*133.845+E392*53.484+F392*40+G392*185+H392*0+I392*100+J392*300)/(194.205+267.466+133.845+53.484+0+40+185+100+300)</f>
        <v>11.19697980054945</v>
      </c>
      <c r="AD392" s="27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11.11698057553957</v>
      </c>
    </row>
    <row r="393" spans="1:30" ht="15.75" x14ac:dyDescent="0.25">
      <c r="A393" s="14">
        <v>53235</v>
      </c>
      <c r="B393" s="10">
        <f>CHOOSE(CONTROL!$C$42, 10.4726, 10.4726) * CHOOSE(CONTROL!$C$21, $C$9, 100%, $E$9)</f>
        <v>10.4726</v>
      </c>
      <c r="C393" s="10">
        <f>CHOOSE(CONTROL!$C$42, 10.4805, 10.4805) * CHOOSE(CONTROL!$C$21, $C$9, 100%, $E$9)</f>
        <v>10.480499999999999</v>
      </c>
      <c r="D393" s="10">
        <f>CHOOSE(CONTROL!$C$42, 10.6575, 10.6575) * CHOOSE(CONTROL!$C$21, $C$9, 100%, $E$9)</f>
        <v>10.657500000000001</v>
      </c>
      <c r="E393" s="10">
        <f>CHOOSE(CONTROL!$C$42, 10.6886, 10.6886) * CHOOSE(CONTROL!$C$21, $C$9, 100%, $E$9)</f>
        <v>10.688599999999999</v>
      </c>
      <c r="F393" s="10">
        <f>CHOOSE(CONTROL!$C$42, 10.4362, 10.4362)*CHOOSE(CONTROL!$C$21, $C$9, 100%, $E$9)</f>
        <v>10.436199999999999</v>
      </c>
      <c r="G393" s="10">
        <f>CHOOSE(CONTROL!$C$42, 10.4527, 10.4527)*CHOOSE(CONTROL!$C$21, $C$9, 100%, $E$9)</f>
        <v>10.4527</v>
      </c>
      <c r="H393" s="10">
        <f>CHOOSE(CONTROL!$C$42, 10.6773, 10.6773) * CHOOSE(CONTROL!$C$21, $C$9, 100%, $E$9)</f>
        <v>10.677300000000001</v>
      </c>
      <c r="I393" s="10">
        <f>CHOOSE(CONTROL!$C$42, 10.4572, 10.4572)* CHOOSE(CONTROL!$C$21, $C$9, 100%, $E$9)</f>
        <v>10.4572</v>
      </c>
      <c r="J393" s="10">
        <f>CHOOSE(CONTROL!$C$42, 10.4292, 10.4292)* CHOOSE(CONTROL!$C$21, $C$9, 100%, $E$9)</f>
        <v>10.4292</v>
      </c>
      <c r="K393" s="10">
        <f>CHOOSE(CONTROL!$C$42, 10.295, 10.295) * CHOOSE(CONTROL!$C$21, $C$9, 100%, $E$9)</f>
        <v>10.295</v>
      </c>
      <c r="L393" s="10">
        <f>CHOOSE(CONTROL!$C$42, 11.2643, 11.2643) * CHOOSE(CONTROL!$C$21, $C$9, 100%, $E$9)</f>
        <v>11.2643</v>
      </c>
      <c r="M393" s="10">
        <f>CHOOSE(CONTROL!$C$42, 10.3377, 10.3377) * CHOOSE(CONTROL!$C$21, $C$9, 100%, $E$9)</f>
        <v>10.3377</v>
      </c>
      <c r="N393" s="10">
        <f>CHOOSE(CONTROL!$C$42, 10.3541, 10.3541) * CHOOSE(CONTROL!$C$21, $C$9, 100%, $E$9)</f>
        <v>10.354100000000001</v>
      </c>
      <c r="O393" s="10">
        <f>CHOOSE(CONTROL!$C$42, 10.5833, 10.5833) * CHOOSE(CONTROL!$C$21, $C$9, 100%, $E$9)</f>
        <v>10.583299999999999</v>
      </c>
      <c r="P393" s="10">
        <f>CHOOSE(CONTROL!$C$42, 10.3655, 10.3655) * CHOOSE(CONTROL!$C$21, $C$9, 100%, $E$9)</f>
        <v>10.365500000000001</v>
      </c>
      <c r="Q393" s="10">
        <f>CHOOSE(CONTROL!$C$42, 11.1786, 11.1786) * CHOOSE(CONTROL!$C$21, $C$9, 100%, $E$9)</f>
        <v>11.178599999999999</v>
      </c>
      <c r="R393" s="10">
        <f>CHOOSE(CONTROL!$C$42, 11.7936, 11.7936) * CHOOSE(CONTROL!$C$21, $C$9, 100%, $E$9)</f>
        <v>11.7936</v>
      </c>
      <c r="S393" s="10">
        <f>CHOOSE(CONTROL!$C$42, 10.1657, 10.1657) * CHOOSE(CONTROL!$C$21, $C$9, 100%, $E$9)</f>
        <v>10.165699999999999</v>
      </c>
      <c r="T3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38">
        <f>(1000*CHOOSE(CONTROL!$C$42, 695, 695)*CHOOSE(CONTROL!$C$42, 0.5599, 0.5599)*CHOOSE(CONTROL!$C$42, 30, 30))/1000000</f>
        <v>11.673914999999997</v>
      </c>
      <c r="V393" s="38">
        <f>(1000*CHOOSE(CONTROL!$C$42, 500, 500)*CHOOSE(CONTROL!$C$42, 0.275, 0.275)*CHOOSE(CONTROL!$C$42, 30, 30))/1000000</f>
        <v>4.125</v>
      </c>
      <c r="W393" s="38">
        <f>(1000*CHOOSE(CONTROL!$C$42, 0.1146, 0.1146)*CHOOSE(CONTROL!$C$42, 121.5, 121.5)*CHOOSE(CONTROL!$C$42, 30, 30))/1000000</f>
        <v>0.417717</v>
      </c>
      <c r="X393" s="38">
        <f>(30*0.1790888*245000/1000000)+(30*0.2374*100000/1000000)</f>
        <v>2.0285026799999999</v>
      </c>
      <c r="Y393" s="38">
        <f>(1000*600*CHOOSE(CONTROL!$C$42, 1.0966, 1.0966)*CHOOSE(CONTROL!$C$42, 30, 30))/1000000</f>
        <v>19.738800000000001</v>
      </c>
      <c r="Z393" s="38"/>
      <c r="AA393" s="10"/>
      <c r="AB393" s="39"/>
      <c r="AC393" s="33">
        <f>(B393*194.205+C393*267.466+D393*133.845+E393*53.484+F393*40+G393*185+H393*0+I393*100+J393*300)/(194.205+267.466+133.845+53.484+0+40+185+100+300)</f>
        <v>10.487290711067503</v>
      </c>
      <c r="AD393" s="27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10.414384892086332</v>
      </c>
    </row>
    <row r="394" spans="1:30" ht="15.75" x14ac:dyDescent="0.25">
      <c r="A394" s="14">
        <v>53266</v>
      </c>
      <c r="B394" s="10">
        <f>CHOOSE(CONTROL!$C$42, 10.2579, 10.2579) * CHOOSE(CONTROL!$C$21, $C$9, 100%, $E$9)</f>
        <v>10.257899999999999</v>
      </c>
      <c r="C394" s="10">
        <f>CHOOSE(CONTROL!$C$42, 10.2631, 10.2631) * CHOOSE(CONTROL!$C$21, $C$9, 100%, $E$9)</f>
        <v>10.2631</v>
      </c>
      <c r="D394" s="10">
        <f>CHOOSE(CONTROL!$C$42, 10.4451, 10.4451) * CHOOSE(CONTROL!$C$21, $C$9, 100%, $E$9)</f>
        <v>10.4451</v>
      </c>
      <c r="E394" s="10">
        <f>CHOOSE(CONTROL!$C$42, 10.4739, 10.4739) * CHOOSE(CONTROL!$C$21, $C$9, 100%, $E$9)</f>
        <v>10.4739</v>
      </c>
      <c r="F394" s="10">
        <f>CHOOSE(CONTROL!$C$42, 10.2235, 10.2235)*CHOOSE(CONTROL!$C$21, $C$9, 100%, $E$9)</f>
        <v>10.2235</v>
      </c>
      <c r="G394" s="10">
        <f>CHOOSE(CONTROL!$C$42, 10.2397, 10.2397)*CHOOSE(CONTROL!$C$21, $C$9, 100%, $E$9)</f>
        <v>10.239699999999999</v>
      </c>
      <c r="H394" s="10">
        <f>CHOOSE(CONTROL!$C$42, 10.4643, 10.4643) * CHOOSE(CONTROL!$C$21, $C$9, 100%, $E$9)</f>
        <v>10.4643</v>
      </c>
      <c r="I394" s="10">
        <f>CHOOSE(CONTROL!$C$42, 10.2443, 10.2443)* CHOOSE(CONTROL!$C$21, $C$9, 100%, $E$9)</f>
        <v>10.244300000000001</v>
      </c>
      <c r="J394" s="10">
        <f>CHOOSE(CONTROL!$C$42, 10.2165, 10.2165)* CHOOSE(CONTROL!$C$21, $C$9, 100%, $E$9)</f>
        <v>10.2165</v>
      </c>
      <c r="K394" s="10">
        <f>CHOOSE(CONTROL!$C$42, 10.0887, 10.0887) * CHOOSE(CONTROL!$C$21, $C$9, 100%, $E$9)</f>
        <v>10.088699999999999</v>
      </c>
      <c r="L394" s="10">
        <f>CHOOSE(CONTROL!$C$42, 11.0513, 11.0513) * CHOOSE(CONTROL!$C$21, $C$9, 100%, $E$9)</f>
        <v>11.051299999999999</v>
      </c>
      <c r="M394" s="10">
        <f>CHOOSE(CONTROL!$C$42, 10.1272, 10.1272) * CHOOSE(CONTROL!$C$21, $C$9, 100%, $E$9)</f>
        <v>10.1272</v>
      </c>
      <c r="N394" s="10">
        <f>CHOOSE(CONTROL!$C$42, 10.1433, 10.1433) * CHOOSE(CONTROL!$C$21, $C$9, 100%, $E$9)</f>
        <v>10.1433</v>
      </c>
      <c r="O394" s="10">
        <f>CHOOSE(CONTROL!$C$42, 10.3726, 10.3726) * CHOOSE(CONTROL!$C$21, $C$9, 100%, $E$9)</f>
        <v>10.3726</v>
      </c>
      <c r="P394" s="10">
        <f>CHOOSE(CONTROL!$C$42, 10.1547, 10.1547) * CHOOSE(CONTROL!$C$21, $C$9, 100%, $E$9)</f>
        <v>10.1547</v>
      </c>
      <c r="Q394" s="10">
        <f>CHOOSE(CONTROL!$C$42, 10.9679, 10.9679) * CHOOSE(CONTROL!$C$21, $C$9, 100%, $E$9)</f>
        <v>10.9679</v>
      </c>
      <c r="R394" s="10">
        <f>CHOOSE(CONTROL!$C$42, 11.5823, 11.5823) * CHOOSE(CONTROL!$C$21, $C$9, 100%, $E$9)</f>
        <v>11.5823</v>
      </c>
      <c r="S394" s="10">
        <f>CHOOSE(CONTROL!$C$42, 9.9589, 9.9589) * CHOOSE(CONTROL!$C$21, $C$9, 100%, $E$9)</f>
        <v>9.9588999999999999</v>
      </c>
      <c r="T3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38">
        <f>(1000*CHOOSE(CONTROL!$C$42, 695, 695)*CHOOSE(CONTROL!$C$42, 0.5599, 0.5599)*CHOOSE(CONTROL!$C$42, 31, 31))/1000000</f>
        <v>12.063045499999998</v>
      </c>
      <c r="V394" s="38">
        <f>(1000*CHOOSE(CONTROL!$C$42, 500, 500)*CHOOSE(CONTROL!$C$42, 0.275, 0.275)*CHOOSE(CONTROL!$C$42, 31, 31))/1000000</f>
        <v>4.2625000000000002</v>
      </c>
      <c r="W394" s="38">
        <f>(1000*CHOOSE(CONTROL!$C$42, 0.1146, 0.1146)*CHOOSE(CONTROL!$C$42, 121.5, 121.5)*CHOOSE(CONTROL!$C$42, 31, 31))/1000000</f>
        <v>0.43164089999999994</v>
      </c>
      <c r="X394" s="38">
        <f>(31*0.1790888*245000/1000000)+(31*0.2374*100000/1000000)</f>
        <v>2.0961194359999999</v>
      </c>
      <c r="Y394" s="38">
        <f>(1000*600*CHOOSE(CONTROL!$C$42, 1.0966, 1.0966)*CHOOSE(CONTROL!$C$42, 31, 31))/1000000</f>
        <v>20.39676</v>
      </c>
      <c r="Z394" s="38"/>
      <c r="AA394" s="10"/>
      <c r="AB394" s="39"/>
      <c r="AC394" s="33">
        <f>(B394*131.881+C394*277.167+D394*79.08+E394*125.872+F394*40+G394*185+H394*0+I394*100+J394*300)/(131.881+277.167+79.08+125.872+0+40+185+100+300)</f>
        <v>10.278005243260694</v>
      </c>
      <c r="AD394" s="27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10.203716546762591</v>
      </c>
    </row>
    <row r="395" spans="1:30" ht="15.75" x14ac:dyDescent="0.25">
      <c r="A395" s="14">
        <v>53296</v>
      </c>
      <c r="B395" s="10">
        <f>CHOOSE(CONTROL!$C$42, 10.5276, 10.5276) * CHOOSE(CONTROL!$C$21, $C$9, 100%, $E$9)</f>
        <v>10.5276</v>
      </c>
      <c r="C395" s="10">
        <f>CHOOSE(CONTROL!$C$42, 10.5326, 10.5326) * CHOOSE(CONTROL!$C$21, $C$9, 100%, $E$9)</f>
        <v>10.5326</v>
      </c>
      <c r="D395" s="10">
        <f>CHOOSE(CONTROL!$C$42, 10.5571, 10.5571) * CHOOSE(CONTROL!$C$21, $C$9, 100%, $E$9)</f>
        <v>10.5571</v>
      </c>
      <c r="E395" s="10">
        <f>CHOOSE(CONTROL!$C$42, 10.5908, 10.5908) * CHOOSE(CONTROL!$C$21, $C$9, 100%, $E$9)</f>
        <v>10.5908</v>
      </c>
      <c r="F395" s="10">
        <f>CHOOSE(CONTROL!$C$42, 10.497, 10.497)*CHOOSE(CONTROL!$C$21, $C$9, 100%, $E$9)</f>
        <v>10.497</v>
      </c>
      <c r="G395" s="10">
        <f>CHOOSE(CONTROL!$C$42, 10.5134, 10.5134)*CHOOSE(CONTROL!$C$21, $C$9, 100%, $E$9)</f>
        <v>10.513400000000001</v>
      </c>
      <c r="H395" s="10">
        <f>CHOOSE(CONTROL!$C$42, 10.58, 10.58) * CHOOSE(CONTROL!$C$21, $C$9, 100%, $E$9)</f>
        <v>10.58</v>
      </c>
      <c r="I395" s="10">
        <f>CHOOSE(CONTROL!$C$42, 10.5144, 10.5144)* CHOOSE(CONTROL!$C$21, $C$9, 100%, $E$9)</f>
        <v>10.5144</v>
      </c>
      <c r="J395" s="10">
        <f>CHOOSE(CONTROL!$C$42, 10.49, 10.49)* CHOOSE(CONTROL!$C$21, $C$9, 100%, $E$9)</f>
        <v>10.49</v>
      </c>
      <c r="K395" s="10">
        <f>CHOOSE(CONTROL!$C$42, 10.3527, 10.3527) * CHOOSE(CONTROL!$C$21, $C$9, 100%, $E$9)</f>
        <v>10.3527</v>
      </c>
      <c r="L395" s="10">
        <f>CHOOSE(CONTROL!$C$42, 11.167, 11.167) * CHOOSE(CONTROL!$C$21, $C$9, 100%, $E$9)</f>
        <v>11.167</v>
      </c>
      <c r="M395" s="10">
        <f>CHOOSE(CONTROL!$C$42, 10.3979, 10.3979) * CHOOSE(CONTROL!$C$21, $C$9, 100%, $E$9)</f>
        <v>10.3979</v>
      </c>
      <c r="N395" s="10">
        <f>CHOOSE(CONTROL!$C$42, 10.4142, 10.4142) * CHOOSE(CONTROL!$C$21, $C$9, 100%, $E$9)</f>
        <v>10.414199999999999</v>
      </c>
      <c r="O395" s="10">
        <f>CHOOSE(CONTROL!$C$42, 10.4871, 10.4871) * CHOOSE(CONTROL!$C$21, $C$9, 100%, $E$9)</f>
        <v>10.4871</v>
      </c>
      <c r="P395" s="10">
        <f>CHOOSE(CONTROL!$C$42, 10.4222, 10.4222) * CHOOSE(CONTROL!$C$21, $C$9, 100%, $E$9)</f>
        <v>10.4222</v>
      </c>
      <c r="Q395" s="10">
        <f>CHOOSE(CONTROL!$C$42, 11.0824, 11.0824) * CHOOSE(CONTROL!$C$21, $C$9, 100%, $E$9)</f>
        <v>11.0824</v>
      </c>
      <c r="R395" s="10">
        <f>CHOOSE(CONTROL!$C$42, 11.6971, 11.6971) * CHOOSE(CONTROL!$C$21, $C$9, 100%, $E$9)</f>
        <v>11.697100000000001</v>
      </c>
      <c r="S395" s="10">
        <f>CHOOSE(CONTROL!$C$42, 10.2213, 10.2213) * CHOOSE(CONTROL!$C$21, $C$9, 100%, $E$9)</f>
        <v>10.221299999999999</v>
      </c>
      <c r="T3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38">
        <f>(1000*CHOOSE(CONTROL!$C$42, 695, 695)*CHOOSE(CONTROL!$C$42, 0.5599, 0.5599)*CHOOSE(CONTROL!$C$42, 30, 30))/1000000</f>
        <v>11.673914999999997</v>
      </c>
      <c r="V395" s="38">
        <f>(1000*CHOOSE(CONTROL!$C$42, 500, 500)*CHOOSE(CONTROL!$C$42, 0.275, 0.275)*CHOOSE(CONTROL!$C$42, 30, 30))/1000000</f>
        <v>4.125</v>
      </c>
      <c r="W395" s="38">
        <f>(1000*CHOOSE(CONTROL!$C$42, 0.1146, 0.1146)*CHOOSE(CONTROL!$C$42, 121.5, 121.5)*CHOOSE(CONTROL!$C$42, 30, 30))/1000000</f>
        <v>0.417717</v>
      </c>
      <c r="X395" s="38">
        <f>(30*0.1790888*100000/1000000)+(30*0.2374*100000/1000000)</f>
        <v>1.2494664</v>
      </c>
      <c r="Y395" s="38">
        <f>(1000*600*CHOOSE(CONTROL!$C$42, 1.0966, 1.0966)*CHOOSE(CONTROL!$C$42, 30, 30))/1000000</f>
        <v>19.738800000000001</v>
      </c>
      <c r="Z395" s="38"/>
      <c r="AA395" s="10"/>
      <c r="AB395" s="39"/>
      <c r="AC395" s="33">
        <f>(B395*122.58+C395*297.941+D395*89.177+E395*40.302+F395*40+G395*160+H395*0+I395*100+J395*300)/(122.58+297.941+89.177+40.302+0+40+160+100+300)</f>
        <v>10.519401315565217</v>
      </c>
      <c r="AD395" s="27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10.442763309352518</v>
      </c>
    </row>
    <row r="396" spans="1:30" ht="15.75" x14ac:dyDescent="0.25">
      <c r="A396" s="14">
        <v>53327</v>
      </c>
      <c r="B396" s="10">
        <f>CHOOSE(CONTROL!$C$42, 11.2452, 11.2452) * CHOOSE(CONTROL!$C$21, $C$9, 100%, $E$9)</f>
        <v>11.245200000000001</v>
      </c>
      <c r="C396" s="10">
        <f>CHOOSE(CONTROL!$C$42, 11.2502, 11.2502) * CHOOSE(CONTROL!$C$21, $C$9, 100%, $E$9)</f>
        <v>11.2502</v>
      </c>
      <c r="D396" s="10">
        <f>CHOOSE(CONTROL!$C$42, 11.2746, 11.2746) * CHOOSE(CONTROL!$C$21, $C$9, 100%, $E$9)</f>
        <v>11.2746</v>
      </c>
      <c r="E396" s="10">
        <f>CHOOSE(CONTROL!$C$42, 11.3084, 11.3084) * CHOOSE(CONTROL!$C$21, $C$9, 100%, $E$9)</f>
        <v>11.308400000000001</v>
      </c>
      <c r="F396" s="10">
        <f>CHOOSE(CONTROL!$C$42, 11.2168, 11.2168)*CHOOSE(CONTROL!$C$21, $C$9, 100%, $E$9)</f>
        <v>11.216799999999999</v>
      </c>
      <c r="G396" s="10">
        <f>CHOOSE(CONTROL!$C$42, 11.2339, 11.2339)*CHOOSE(CONTROL!$C$21, $C$9, 100%, $E$9)</f>
        <v>11.2339</v>
      </c>
      <c r="H396" s="10">
        <f>CHOOSE(CONTROL!$C$42, 11.2976, 11.2976) * CHOOSE(CONTROL!$C$21, $C$9, 100%, $E$9)</f>
        <v>11.297599999999999</v>
      </c>
      <c r="I396" s="10">
        <f>CHOOSE(CONTROL!$C$42, 11.232, 11.232)* CHOOSE(CONTROL!$C$21, $C$9, 100%, $E$9)</f>
        <v>11.231999999999999</v>
      </c>
      <c r="J396" s="10">
        <f>CHOOSE(CONTROL!$C$42, 11.2098, 11.2098)* CHOOSE(CONTROL!$C$21, $C$9, 100%, $E$9)</f>
        <v>11.2098</v>
      </c>
      <c r="K396" s="10">
        <f>CHOOSE(CONTROL!$C$42, 11.0549, 11.0549) * CHOOSE(CONTROL!$C$21, $C$9, 100%, $E$9)</f>
        <v>11.0549</v>
      </c>
      <c r="L396" s="10">
        <f>CHOOSE(CONTROL!$C$42, 11.8846, 11.8846) * CHOOSE(CONTROL!$C$21, $C$9, 100%, $E$9)</f>
        <v>11.884600000000001</v>
      </c>
      <c r="M396" s="10">
        <f>CHOOSE(CONTROL!$C$42, 11.1105, 11.1105) * CHOOSE(CONTROL!$C$21, $C$9, 100%, $E$9)</f>
        <v>11.1105</v>
      </c>
      <c r="N396" s="10">
        <f>CHOOSE(CONTROL!$C$42, 11.1274, 11.1274) * CHOOSE(CONTROL!$C$21, $C$9, 100%, $E$9)</f>
        <v>11.1274</v>
      </c>
      <c r="O396" s="10">
        <f>CHOOSE(CONTROL!$C$42, 11.1974, 11.1974) * CHOOSE(CONTROL!$C$21, $C$9, 100%, $E$9)</f>
        <v>11.1974</v>
      </c>
      <c r="P396" s="10">
        <f>CHOOSE(CONTROL!$C$42, 11.1325, 11.1325) * CHOOSE(CONTROL!$C$21, $C$9, 100%, $E$9)</f>
        <v>11.1325</v>
      </c>
      <c r="Q396" s="10">
        <f>CHOOSE(CONTROL!$C$42, 11.7927, 11.7927) * CHOOSE(CONTROL!$C$21, $C$9, 100%, $E$9)</f>
        <v>11.7927</v>
      </c>
      <c r="R396" s="10">
        <f>CHOOSE(CONTROL!$C$42, 12.4092, 12.4092) * CHOOSE(CONTROL!$C$21, $C$9, 100%, $E$9)</f>
        <v>12.4092</v>
      </c>
      <c r="S396" s="10">
        <f>CHOOSE(CONTROL!$C$42, 10.9181, 10.9181) * CHOOSE(CONTROL!$C$21, $C$9, 100%, $E$9)</f>
        <v>10.918100000000001</v>
      </c>
      <c r="T3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38">
        <f>(1000*CHOOSE(CONTROL!$C$42, 695, 695)*CHOOSE(CONTROL!$C$42, 0.5599, 0.5599)*CHOOSE(CONTROL!$C$42, 31, 31))/1000000</f>
        <v>12.063045499999998</v>
      </c>
      <c r="V396" s="38">
        <f>(1000*CHOOSE(CONTROL!$C$42, 500, 500)*CHOOSE(CONTROL!$C$42, 0.275, 0.275)*CHOOSE(CONTROL!$C$42, 31, 31))/1000000</f>
        <v>4.2625000000000002</v>
      </c>
      <c r="W396" s="38">
        <f>(1000*CHOOSE(CONTROL!$C$42, 0.1146, 0.1146)*CHOOSE(CONTROL!$C$42, 121.5, 121.5)*CHOOSE(CONTROL!$C$42, 31, 31))/1000000</f>
        <v>0.43164089999999994</v>
      </c>
      <c r="X396" s="38">
        <f>(31*0.1790888*100000/1000000)+(31*0.2374*100000/1000000)</f>
        <v>1.2911152800000001</v>
      </c>
      <c r="Y396" s="38">
        <f>(1000*600*CHOOSE(CONTROL!$C$42, 1.0966, 1.0966)*CHOOSE(CONTROL!$C$42, 31, 31))/1000000</f>
        <v>20.39676</v>
      </c>
      <c r="Z396" s="38"/>
      <c r="AA396" s="10"/>
      <c r="AB396" s="39"/>
      <c r="AC396" s="33">
        <f>(B396*122.58+C396*297.941+D396*89.177+E396*40.302+F396*40+G396*160+H396*0+I396*100+J396*300)/(122.58+297.941+89.177+40.302+0+40+160+100+300)</f>
        <v>11.238047474086954</v>
      </c>
      <c r="AD396" s="27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11.154024460431655</v>
      </c>
    </row>
    <row r="397" spans="1:30" ht="15.75" x14ac:dyDescent="0.25">
      <c r="A397" s="14">
        <v>53358</v>
      </c>
      <c r="B397" s="10">
        <f>CHOOSE(CONTROL!$C$42, 12.004, 12.004) * CHOOSE(CONTROL!$C$21, $C$9, 100%, $E$9)</f>
        <v>12.004</v>
      </c>
      <c r="C397" s="10">
        <f>CHOOSE(CONTROL!$C$42, 12.0089, 12.0089) * CHOOSE(CONTROL!$C$21, $C$9, 100%, $E$9)</f>
        <v>12.008900000000001</v>
      </c>
      <c r="D397" s="10">
        <f>CHOOSE(CONTROL!$C$42, 12.0334, 12.0334) * CHOOSE(CONTROL!$C$21, $C$9, 100%, $E$9)</f>
        <v>12.0334</v>
      </c>
      <c r="E397" s="10">
        <f>CHOOSE(CONTROL!$C$42, 12.0672, 12.0672) * CHOOSE(CONTROL!$C$21, $C$9, 100%, $E$9)</f>
        <v>12.0672</v>
      </c>
      <c r="F397" s="10">
        <f>CHOOSE(CONTROL!$C$42, 11.9869, 11.9869)*CHOOSE(CONTROL!$C$21, $C$9, 100%, $E$9)</f>
        <v>11.9869</v>
      </c>
      <c r="G397" s="10">
        <f>CHOOSE(CONTROL!$C$42, 12.0056, 12.0056)*CHOOSE(CONTROL!$C$21, $C$9, 100%, $E$9)</f>
        <v>12.005599999999999</v>
      </c>
      <c r="H397" s="10">
        <f>CHOOSE(CONTROL!$C$42, 12.0564, 12.0564) * CHOOSE(CONTROL!$C$21, $C$9, 100%, $E$9)</f>
        <v>12.0564</v>
      </c>
      <c r="I397" s="10">
        <f>CHOOSE(CONTROL!$C$42, 11.9985, 11.9985)* CHOOSE(CONTROL!$C$21, $C$9, 100%, $E$9)</f>
        <v>11.9985</v>
      </c>
      <c r="J397" s="10">
        <f>CHOOSE(CONTROL!$C$42, 11.9799, 11.9799)* CHOOSE(CONTROL!$C$21, $C$9, 100%, $E$9)</f>
        <v>11.979900000000001</v>
      </c>
      <c r="K397" s="10">
        <f>CHOOSE(CONTROL!$C$42, 11.8131, 11.8131) * CHOOSE(CONTROL!$C$21, $C$9, 100%, $E$9)</f>
        <v>11.8131</v>
      </c>
      <c r="L397" s="10">
        <f>CHOOSE(CONTROL!$C$42, 12.6434, 12.6434) * CHOOSE(CONTROL!$C$21, $C$9, 100%, $E$9)</f>
        <v>12.6434</v>
      </c>
      <c r="M397" s="10">
        <f>CHOOSE(CONTROL!$C$42, 11.8729, 11.8729) * CHOOSE(CONTROL!$C$21, $C$9, 100%, $E$9)</f>
        <v>11.8729</v>
      </c>
      <c r="N397" s="10">
        <f>CHOOSE(CONTROL!$C$42, 11.8913, 11.8913) * CHOOSE(CONTROL!$C$21, $C$9, 100%, $E$9)</f>
        <v>11.891299999999999</v>
      </c>
      <c r="O397" s="10">
        <f>CHOOSE(CONTROL!$C$42, 11.9485, 11.9485) * CHOOSE(CONTROL!$C$21, $C$9, 100%, $E$9)</f>
        <v>11.948499999999999</v>
      </c>
      <c r="P397" s="10">
        <f>CHOOSE(CONTROL!$C$42, 11.8913, 11.8913) * CHOOSE(CONTROL!$C$21, $C$9, 100%, $E$9)</f>
        <v>11.891299999999999</v>
      </c>
      <c r="Q397" s="10">
        <f>CHOOSE(CONTROL!$C$42, 12.5438, 12.5438) * CHOOSE(CONTROL!$C$21, $C$9, 100%, $E$9)</f>
        <v>12.543799999999999</v>
      </c>
      <c r="R397" s="10">
        <f>CHOOSE(CONTROL!$C$42, 13.1622, 13.1622) * CHOOSE(CONTROL!$C$21, $C$9, 100%, $E$9)</f>
        <v>13.1622</v>
      </c>
      <c r="S397" s="10">
        <f>CHOOSE(CONTROL!$C$42, 11.6549, 11.6549) * CHOOSE(CONTROL!$C$21, $C$9, 100%, $E$9)</f>
        <v>11.6549</v>
      </c>
      <c r="T3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38">
        <f>(1000*CHOOSE(CONTROL!$C$42, 695, 695)*CHOOSE(CONTROL!$C$42, 0.5599, 0.5599)*CHOOSE(CONTROL!$C$42, 31, 31))/1000000</f>
        <v>12.063045499999998</v>
      </c>
      <c r="V397" s="38">
        <f>(1000*CHOOSE(CONTROL!$C$42, 500, 500)*CHOOSE(CONTROL!$C$42, 0.275, 0.275)*CHOOSE(CONTROL!$C$42, 31, 31))/1000000</f>
        <v>4.2625000000000002</v>
      </c>
      <c r="W397" s="38">
        <f>(1000*CHOOSE(CONTROL!$C$42, 0.1146, 0.1146)*CHOOSE(CONTROL!$C$42, 121.5, 121.5)*CHOOSE(CONTROL!$C$42, 31, 31))/1000000</f>
        <v>0.43164089999999994</v>
      </c>
      <c r="X397" s="38">
        <f>(31*0.1790888*100000/1000000)+(31*0.2374*100000/1000000)</f>
        <v>1.2911152800000001</v>
      </c>
      <c r="Y397" s="38">
        <f>(1000*600*CHOOSE(CONTROL!$C$42, 1.0931, 1.0931)*CHOOSE(CONTROL!$C$42, 31, 31))/1000000</f>
        <v>20.331659999999999</v>
      </c>
      <c r="Z397" s="38"/>
      <c r="AA397" s="10"/>
      <c r="AB397" s="39"/>
      <c r="AC397" s="33">
        <f>(B397*122.58+C397*297.941+D397*89.177+E397*40.302+F397*40+G397*160+H397*0+I397*100+J397*300)/(122.58+297.941+89.177+40.302+0+40+160+100+300)</f>
        <v>12.002626783565217</v>
      </c>
      <c r="AD397" s="27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11.91087122302158</v>
      </c>
    </row>
    <row r="398" spans="1:30" ht="15.75" x14ac:dyDescent="0.25">
      <c r="A398" s="14">
        <v>53386</v>
      </c>
      <c r="B398" s="10">
        <f>CHOOSE(CONTROL!$C$42, 12.2176, 12.2176) * CHOOSE(CONTROL!$C$21, $C$9, 100%, $E$9)</f>
        <v>12.217599999999999</v>
      </c>
      <c r="C398" s="10">
        <f>CHOOSE(CONTROL!$C$42, 12.2226, 12.2226) * CHOOSE(CONTROL!$C$21, $C$9, 100%, $E$9)</f>
        <v>12.2226</v>
      </c>
      <c r="D398" s="10">
        <f>CHOOSE(CONTROL!$C$42, 12.247, 12.247) * CHOOSE(CONTROL!$C$21, $C$9, 100%, $E$9)</f>
        <v>12.247</v>
      </c>
      <c r="E398" s="10">
        <f>CHOOSE(CONTROL!$C$42, 12.2808, 12.2808) * CHOOSE(CONTROL!$C$21, $C$9, 100%, $E$9)</f>
        <v>12.280799999999999</v>
      </c>
      <c r="F398" s="10">
        <f>CHOOSE(CONTROL!$C$42, 12.1999, 12.1999)*CHOOSE(CONTROL!$C$21, $C$9, 100%, $E$9)</f>
        <v>12.1999</v>
      </c>
      <c r="G398" s="10">
        <f>CHOOSE(CONTROL!$C$42, 12.2184, 12.2184)*CHOOSE(CONTROL!$C$21, $C$9, 100%, $E$9)</f>
        <v>12.218400000000001</v>
      </c>
      <c r="H398" s="10">
        <f>CHOOSE(CONTROL!$C$42, 12.27, 12.27) * CHOOSE(CONTROL!$C$21, $C$9, 100%, $E$9)</f>
        <v>12.27</v>
      </c>
      <c r="I398" s="10">
        <f>CHOOSE(CONTROL!$C$42, 12.2121, 12.2121)* CHOOSE(CONTROL!$C$21, $C$9, 100%, $E$9)</f>
        <v>12.2121</v>
      </c>
      <c r="J398" s="10">
        <f>CHOOSE(CONTROL!$C$42, 12.1929, 12.1929)* CHOOSE(CONTROL!$C$21, $C$9, 100%, $E$9)</f>
        <v>12.1929</v>
      </c>
      <c r="K398" s="10">
        <f>CHOOSE(CONTROL!$C$42, 12.0192, 12.0192) * CHOOSE(CONTROL!$C$21, $C$9, 100%, $E$9)</f>
        <v>12.0192</v>
      </c>
      <c r="L398" s="10">
        <f>CHOOSE(CONTROL!$C$42, 12.857, 12.857) * CHOOSE(CONTROL!$C$21, $C$9, 100%, $E$9)</f>
        <v>12.856999999999999</v>
      </c>
      <c r="M398" s="10">
        <f>CHOOSE(CONTROL!$C$42, 12.0837, 12.0837) * CHOOSE(CONTROL!$C$21, $C$9, 100%, $E$9)</f>
        <v>12.0837</v>
      </c>
      <c r="N398" s="10">
        <f>CHOOSE(CONTROL!$C$42, 12.102, 12.102) * CHOOSE(CONTROL!$C$21, $C$9, 100%, $E$9)</f>
        <v>12.102</v>
      </c>
      <c r="O398" s="10">
        <f>CHOOSE(CONTROL!$C$42, 12.16, 12.16) * CHOOSE(CONTROL!$C$21, $C$9, 100%, $E$9)</f>
        <v>12.16</v>
      </c>
      <c r="P398" s="10">
        <f>CHOOSE(CONTROL!$C$42, 12.1027, 12.1027) * CHOOSE(CONTROL!$C$21, $C$9, 100%, $E$9)</f>
        <v>12.1027</v>
      </c>
      <c r="Q398" s="10">
        <f>CHOOSE(CONTROL!$C$42, 12.7553, 12.7553) * CHOOSE(CONTROL!$C$21, $C$9, 100%, $E$9)</f>
        <v>12.7553</v>
      </c>
      <c r="R398" s="10">
        <f>CHOOSE(CONTROL!$C$42, 13.3742, 13.3742) * CHOOSE(CONTROL!$C$21, $C$9, 100%, $E$9)</f>
        <v>13.3742</v>
      </c>
      <c r="S398" s="10">
        <f>CHOOSE(CONTROL!$C$42, 11.8624, 11.8624) * CHOOSE(CONTROL!$C$21, $C$9, 100%, $E$9)</f>
        <v>11.862399999999999</v>
      </c>
      <c r="T3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38">
        <f>(1000*CHOOSE(CONTROL!$C$42, 695, 695)*CHOOSE(CONTROL!$C$42, 0.5599, 0.5599)*CHOOSE(CONTROL!$C$42, 28, 28))/1000000</f>
        <v>10.895653999999999</v>
      </c>
      <c r="V398" s="38">
        <f>(1000*CHOOSE(CONTROL!$C$42, 500, 500)*CHOOSE(CONTROL!$C$42, 0.275, 0.275)*CHOOSE(CONTROL!$C$42, 28, 28))/1000000</f>
        <v>3.85</v>
      </c>
      <c r="W398" s="38">
        <f>(1000*CHOOSE(CONTROL!$C$42, 0.1146, 0.1146)*CHOOSE(CONTROL!$C$42, 121.5, 121.5)*CHOOSE(CONTROL!$C$42, 28, 28))/1000000</f>
        <v>0.38986920000000003</v>
      </c>
      <c r="X398" s="38">
        <f>(28*0.1790888*100000/1000000)+(28*0.2374*100000/1000000)</f>
        <v>1.16616864</v>
      </c>
      <c r="Y398" s="38">
        <f>(1000*600*CHOOSE(CONTROL!$C$42, 1.0931, 1.0931)*CHOOSE(CONTROL!$C$42, 28, 28))/1000000</f>
        <v>18.364080000000001</v>
      </c>
      <c r="Z398" s="38"/>
      <c r="AA398" s="10"/>
      <c r="AB398" s="39"/>
      <c r="AC398" s="33">
        <f>(B398*122.58+C398*297.941+D398*89.177+E398*40.302+F398*40+G398*160+H398*0+I398*100+J398*300)/(122.58+297.941+89.177+40.302+0+40+160+100+300)</f>
        <v>12.215963995826087</v>
      </c>
      <c r="AD398" s="27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12.122069064748201</v>
      </c>
    </row>
    <row r="399" spans="1:30" ht="15.75" x14ac:dyDescent="0.25">
      <c r="A399" s="14">
        <v>53417</v>
      </c>
      <c r="B399" s="10">
        <f>CHOOSE(CONTROL!$C$42, 11.8708, 11.8708) * CHOOSE(CONTROL!$C$21, $C$9, 100%, $E$9)</f>
        <v>11.870799999999999</v>
      </c>
      <c r="C399" s="10">
        <f>CHOOSE(CONTROL!$C$42, 11.8758, 11.8758) * CHOOSE(CONTROL!$C$21, $C$9, 100%, $E$9)</f>
        <v>11.8758</v>
      </c>
      <c r="D399" s="10">
        <f>CHOOSE(CONTROL!$C$42, 11.9003, 11.9003) * CHOOSE(CONTROL!$C$21, $C$9, 100%, $E$9)</f>
        <v>11.9003</v>
      </c>
      <c r="E399" s="10">
        <f>CHOOSE(CONTROL!$C$42, 11.934, 11.934) * CHOOSE(CONTROL!$C$21, $C$9, 100%, $E$9)</f>
        <v>11.933999999999999</v>
      </c>
      <c r="F399" s="10">
        <f>CHOOSE(CONTROL!$C$42, 11.8516, 11.8516)*CHOOSE(CONTROL!$C$21, $C$9, 100%, $E$9)</f>
        <v>11.851599999999999</v>
      </c>
      <c r="G399" s="10">
        <f>CHOOSE(CONTROL!$C$42, 11.8696, 11.8696)*CHOOSE(CONTROL!$C$21, $C$9, 100%, $E$9)</f>
        <v>11.8696</v>
      </c>
      <c r="H399" s="10">
        <f>CHOOSE(CONTROL!$C$42, 11.9232, 11.9232) * CHOOSE(CONTROL!$C$21, $C$9, 100%, $E$9)</f>
        <v>11.9232</v>
      </c>
      <c r="I399" s="10">
        <f>CHOOSE(CONTROL!$C$42, 11.8653, 11.8653)* CHOOSE(CONTROL!$C$21, $C$9, 100%, $E$9)</f>
        <v>11.8653</v>
      </c>
      <c r="J399" s="10">
        <f>CHOOSE(CONTROL!$C$42, 11.8446, 11.8446)* CHOOSE(CONTROL!$C$21, $C$9, 100%, $E$9)</f>
        <v>11.8446</v>
      </c>
      <c r="K399" s="10">
        <f>CHOOSE(CONTROL!$C$42, 11.6789, 11.6789) * CHOOSE(CONTROL!$C$21, $C$9, 100%, $E$9)</f>
        <v>11.678900000000001</v>
      </c>
      <c r="L399" s="10">
        <f>CHOOSE(CONTROL!$C$42, 12.5102, 12.5102) * CHOOSE(CONTROL!$C$21, $C$9, 100%, $E$9)</f>
        <v>12.510199999999999</v>
      </c>
      <c r="M399" s="10">
        <f>CHOOSE(CONTROL!$C$42, 11.7389, 11.7389) * CHOOSE(CONTROL!$C$21, $C$9, 100%, $E$9)</f>
        <v>11.738899999999999</v>
      </c>
      <c r="N399" s="10">
        <f>CHOOSE(CONTROL!$C$42, 11.7568, 11.7568) * CHOOSE(CONTROL!$C$21, $C$9, 100%, $E$9)</f>
        <v>11.7568</v>
      </c>
      <c r="O399" s="10">
        <f>CHOOSE(CONTROL!$C$42, 11.8167, 11.8167) * CHOOSE(CONTROL!$C$21, $C$9, 100%, $E$9)</f>
        <v>11.816700000000001</v>
      </c>
      <c r="P399" s="10">
        <f>CHOOSE(CONTROL!$C$42, 11.7595, 11.7595) * CHOOSE(CONTROL!$C$21, $C$9, 100%, $E$9)</f>
        <v>11.759499999999999</v>
      </c>
      <c r="Q399" s="10">
        <f>CHOOSE(CONTROL!$C$42, 12.412, 12.412) * CHOOSE(CONTROL!$C$21, $C$9, 100%, $E$9)</f>
        <v>12.412000000000001</v>
      </c>
      <c r="R399" s="10">
        <f>CHOOSE(CONTROL!$C$42, 13.0301, 13.0301) * CHOOSE(CONTROL!$C$21, $C$9, 100%, $E$9)</f>
        <v>13.030099999999999</v>
      </c>
      <c r="S399" s="10">
        <f>CHOOSE(CONTROL!$C$42, 11.5256, 11.5256) * CHOOSE(CONTROL!$C$21, $C$9, 100%, $E$9)</f>
        <v>11.525600000000001</v>
      </c>
      <c r="T3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38">
        <f>(1000*CHOOSE(CONTROL!$C$42, 695, 695)*CHOOSE(CONTROL!$C$42, 0.5599, 0.5599)*CHOOSE(CONTROL!$C$42, 31, 31))/1000000</f>
        <v>12.063045499999998</v>
      </c>
      <c r="V399" s="38">
        <f>(1000*CHOOSE(CONTROL!$C$42, 500, 500)*CHOOSE(CONTROL!$C$42, 0.275, 0.275)*CHOOSE(CONTROL!$C$42, 31, 31))/1000000</f>
        <v>4.2625000000000002</v>
      </c>
      <c r="W399" s="38">
        <f>(1000*CHOOSE(CONTROL!$C$42, 0.1146, 0.1146)*CHOOSE(CONTROL!$C$42, 121.5, 121.5)*CHOOSE(CONTROL!$C$42, 31, 31))/1000000</f>
        <v>0.43164089999999994</v>
      </c>
      <c r="X399" s="38">
        <f>(31*0.1790888*100000/1000000)+(31*0.2374*100000/1000000)</f>
        <v>1.2911152800000001</v>
      </c>
      <c r="Y399" s="38">
        <f>(1000*600*CHOOSE(CONTROL!$C$42, 1.0931, 1.0931)*CHOOSE(CONTROL!$C$42, 31, 31))/1000000</f>
        <v>20.331659999999999</v>
      </c>
      <c r="Z399" s="38"/>
      <c r="AA399" s="10"/>
      <c r="AB399" s="39"/>
      <c r="AC399" s="33">
        <f>(B399*122.58+C399*297.941+D399*89.177+E399*40.302+F399*40+G399*160+H399*0+I399*100+J399*300)/(122.58+297.941+89.177+40.302+0+40+160+100+300)</f>
        <v>11.868450011217394</v>
      </c>
      <c r="AD399" s="27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11.778156115107913</v>
      </c>
    </row>
    <row r="400" spans="1:30" ht="15.75" x14ac:dyDescent="0.25">
      <c r="A400" s="14">
        <v>53447</v>
      </c>
      <c r="B400" s="10">
        <f>CHOOSE(CONTROL!$C$42, 11.8361, 11.8361) * CHOOSE(CONTROL!$C$21, $C$9, 100%, $E$9)</f>
        <v>11.8361</v>
      </c>
      <c r="C400" s="10">
        <f>CHOOSE(CONTROL!$C$42, 11.8405, 11.8405) * CHOOSE(CONTROL!$C$21, $C$9, 100%, $E$9)</f>
        <v>11.8405</v>
      </c>
      <c r="D400" s="10">
        <f>CHOOSE(CONTROL!$C$42, 12.0206, 12.0206) * CHOOSE(CONTROL!$C$21, $C$9, 100%, $E$9)</f>
        <v>12.0206</v>
      </c>
      <c r="E400" s="10">
        <f>CHOOSE(CONTROL!$C$42, 12.0524, 12.0524) * CHOOSE(CONTROL!$C$21, $C$9, 100%, $E$9)</f>
        <v>12.0524</v>
      </c>
      <c r="F400" s="10">
        <f>CHOOSE(CONTROL!$C$42, 11.8014, 11.8014)*CHOOSE(CONTROL!$C$21, $C$9, 100%, $E$9)</f>
        <v>11.801399999999999</v>
      </c>
      <c r="G400" s="10">
        <f>CHOOSE(CONTROL!$C$42, 11.8177, 11.8177)*CHOOSE(CONTROL!$C$21, $C$9, 100%, $E$9)</f>
        <v>11.8177</v>
      </c>
      <c r="H400" s="10">
        <f>CHOOSE(CONTROL!$C$42, 12.0422, 12.0422) * CHOOSE(CONTROL!$C$21, $C$9, 100%, $E$9)</f>
        <v>12.042199999999999</v>
      </c>
      <c r="I400" s="10">
        <f>CHOOSE(CONTROL!$C$42, 11.8221, 11.8221)* CHOOSE(CONTROL!$C$21, $C$9, 100%, $E$9)</f>
        <v>11.822100000000001</v>
      </c>
      <c r="J400" s="10">
        <f>CHOOSE(CONTROL!$C$42, 11.7944, 11.7944)* CHOOSE(CONTROL!$C$21, $C$9, 100%, $E$9)</f>
        <v>11.7944</v>
      </c>
      <c r="K400" s="10">
        <f>CHOOSE(CONTROL!$C$42, 11.6219, 11.6219) * CHOOSE(CONTROL!$C$21, $C$9, 100%, $E$9)</f>
        <v>11.6219</v>
      </c>
      <c r="L400" s="10">
        <f>CHOOSE(CONTROL!$C$42, 12.6292, 12.6292) * CHOOSE(CONTROL!$C$21, $C$9, 100%, $E$9)</f>
        <v>12.629200000000001</v>
      </c>
      <c r="M400" s="10">
        <f>CHOOSE(CONTROL!$C$42, 11.6892, 11.6892) * CHOOSE(CONTROL!$C$21, $C$9, 100%, $E$9)</f>
        <v>11.6892</v>
      </c>
      <c r="N400" s="10">
        <f>CHOOSE(CONTROL!$C$42, 11.7053, 11.7053) * CHOOSE(CONTROL!$C$21, $C$9, 100%, $E$9)</f>
        <v>11.705299999999999</v>
      </c>
      <c r="O400" s="10">
        <f>CHOOSE(CONTROL!$C$42, 11.9345, 11.9345) * CHOOSE(CONTROL!$C$21, $C$9, 100%, $E$9)</f>
        <v>11.9345</v>
      </c>
      <c r="P400" s="10">
        <f>CHOOSE(CONTROL!$C$42, 11.7166, 11.7166) * CHOOSE(CONTROL!$C$21, $C$9, 100%, $E$9)</f>
        <v>11.7166</v>
      </c>
      <c r="Q400" s="10">
        <f>CHOOSE(CONTROL!$C$42, 12.5298, 12.5298) * CHOOSE(CONTROL!$C$21, $C$9, 100%, $E$9)</f>
        <v>12.5298</v>
      </c>
      <c r="R400" s="10">
        <f>CHOOSE(CONTROL!$C$42, 13.1481, 13.1481) * CHOOSE(CONTROL!$C$21, $C$9, 100%, $E$9)</f>
        <v>13.148099999999999</v>
      </c>
      <c r="S400" s="10">
        <f>CHOOSE(CONTROL!$C$42, 11.4911, 11.4911) * CHOOSE(CONTROL!$C$21, $C$9, 100%, $E$9)</f>
        <v>11.491099999999999</v>
      </c>
      <c r="T4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38">
        <f>(1000*CHOOSE(CONTROL!$C$42, 695, 695)*CHOOSE(CONTROL!$C$42, 0.5599, 0.5599)*CHOOSE(CONTROL!$C$42, 30, 30))/1000000</f>
        <v>11.673914999999997</v>
      </c>
      <c r="V400" s="38">
        <f>(1000*CHOOSE(CONTROL!$C$42, 500, 500)*CHOOSE(CONTROL!$C$42, 0.275, 0.275)*CHOOSE(CONTROL!$C$42, 30, 30))/1000000</f>
        <v>4.125</v>
      </c>
      <c r="W400" s="38">
        <f>(1000*CHOOSE(CONTROL!$C$42, 0.1146, 0.1146)*CHOOSE(CONTROL!$C$42, 121.5, 121.5)*CHOOSE(CONTROL!$C$42, 30, 30))/1000000</f>
        <v>0.417717</v>
      </c>
      <c r="X400" s="38">
        <f>(30*0.1790888*245000/1000000)+(30*0.2374*100000/1000000)</f>
        <v>2.0285026799999999</v>
      </c>
      <c r="Y400" s="38">
        <f>(1000*600*CHOOSE(CONTROL!$C$42, 1.0931, 1.0931)*CHOOSE(CONTROL!$C$42, 30, 30))/1000000</f>
        <v>19.675799999999999</v>
      </c>
      <c r="Z400" s="38"/>
      <c r="AA400" s="10"/>
      <c r="AB400" s="39"/>
      <c r="AC400" s="33">
        <f>(B400*141.293+C400*267.993+D400*115.016+E400*89.698+F400*40+G400*185+H400*0+I400*100+J400*300)/(141.293+267.993+115.016+89.698+0+40+185+100+300)</f>
        <v>11.854743501694916</v>
      </c>
      <c r="AD400" s="27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11.765674100719423</v>
      </c>
    </row>
    <row r="401" spans="1:30" ht="15.75" x14ac:dyDescent="0.25">
      <c r="A401" s="14">
        <v>53478</v>
      </c>
      <c r="B401" s="10">
        <f>CHOOSE(CONTROL!$C$42, 11.9423, 11.9423) * CHOOSE(CONTROL!$C$21, $C$9, 100%, $E$9)</f>
        <v>11.942299999999999</v>
      </c>
      <c r="C401" s="10">
        <f>CHOOSE(CONTROL!$C$42, 11.9502, 11.9502) * CHOOSE(CONTROL!$C$21, $C$9, 100%, $E$9)</f>
        <v>11.950200000000001</v>
      </c>
      <c r="D401" s="10">
        <f>CHOOSE(CONTROL!$C$42, 12.1272, 12.1272) * CHOOSE(CONTROL!$C$21, $C$9, 100%, $E$9)</f>
        <v>12.1272</v>
      </c>
      <c r="E401" s="10">
        <f>CHOOSE(CONTROL!$C$42, 12.1583, 12.1583) * CHOOSE(CONTROL!$C$21, $C$9, 100%, $E$9)</f>
        <v>12.158300000000001</v>
      </c>
      <c r="F401" s="10">
        <f>CHOOSE(CONTROL!$C$42, 11.9057, 11.9057)*CHOOSE(CONTROL!$C$21, $C$9, 100%, $E$9)</f>
        <v>11.9057</v>
      </c>
      <c r="G401" s="10">
        <f>CHOOSE(CONTROL!$C$42, 11.9222, 11.9222)*CHOOSE(CONTROL!$C$21, $C$9, 100%, $E$9)</f>
        <v>11.9222</v>
      </c>
      <c r="H401" s="10">
        <f>CHOOSE(CONTROL!$C$42, 12.147, 12.147) * CHOOSE(CONTROL!$C$21, $C$9, 100%, $E$9)</f>
        <v>12.147</v>
      </c>
      <c r="I401" s="10">
        <f>CHOOSE(CONTROL!$C$42, 11.9269, 11.9269)* CHOOSE(CONTROL!$C$21, $C$9, 100%, $E$9)</f>
        <v>11.9269</v>
      </c>
      <c r="J401" s="10">
        <f>CHOOSE(CONTROL!$C$42, 11.8987, 11.8987)* CHOOSE(CONTROL!$C$21, $C$9, 100%, $E$9)</f>
        <v>11.8987</v>
      </c>
      <c r="K401" s="10">
        <f>CHOOSE(CONTROL!$C$42, 11.7225, 11.7225) * CHOOSE(CONTROL!$C$21, $C$9, 100%, $E$9)</f>
        <v>11.7225</v>
      </c>
      <c r="L401" s="10">
        <f>CHOOSE(CONTROL!$C$42, 12.734, 12.734) * CHOOSE(CONTROL!$C$21, $C$9, 100%, $E$9)</f>
        <v>12.734</v>
      </c>
      <c r="M401" s="10">
        <f>CHOOSE(CONTROL!$C$42, 11.7924, 11.7924) * CHOOSE(CONTROL!$C$21, $C$9, 100%, $E$9)</f>
        <v>11.792400000000001</v>
      </c>
      <c r="N401" s="10">
        <f>CHOOSE(CONTROL!$C$42, 11.8087, 11.8087) * CHOOSE(CONTROL!$C$21, $C$9, 100%, $E$9)</f>
        <v>11.8087</v>
      </c>
      <c r="O401" s="10">
        <f>CHOOSE(CONTROL!$C$42, 12.0382, 12.0382) * CHOOSE(CONTROL!$C$21, $C$9, 100%, $E$9)</f>
        <v>12.0382</v>
      </c>
      <c r="P401" s="10">
        <f>CHOOSE(CONTROL!$C$42, 11.8204, 11.8204) * CHOOSE(CONTROL!$C$21, $C$9, 100%, $E$9)</f>
        <v>11.820399999999999</v>
      </c>
      <c r="Q401" s="10">
        <f>CHOOSE(CONTROL!$C$42, 12.6335, 12.6335) * CHOOSE(CONTROL!$C$21, $C$9, 100%, $E$9)</f>
        <v>12.6335</v>
      </c>
      <c r="R401" s="10">
        <f>CHOOSE(CONTROL!$C$42, 13.2521, 13.2521) * CHOOSE(CONTROL!$C$21, $C$9, 100%, $E$9)</f>
        <v>13.2521</v>
      </c>
      <c r="S401" s="10">
        <f>CHOOSE(CONTROL!$C$42, 11.5929, 11.5929) * CHOOSE(CONTROL!$C$21, $C$9, 100%, $E$9)</f>
        <v>11.5929</v>
      </c>
      <c r="T4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38">
        <f>(1000*CHOOSE(CONTROL!$C$42, 695, 695)*CHOOSE(CONTROL!$C$42, 0.5599, 0.5599)*CHOOSE(CONTROL!$C$42, 31, 31))/1000000</f>
        <v>12.063045499999998</v>
      </c>
      <c r="V401" s="38">
        <f>(1000*CHOOSE(CONTROL!$C$42, 500, 500)*CHOOSE(CONTROL!$C$42, 0.275, 0.275)*CHOOSE(CONTROL!$C$42, 31, 31))/1000000</f>
        <v>4.2625000000000002</v>
      </c>
      <c r="W401" s="38">
        <f>(1000*CHOOSE(CONTROL!$C$42, 0.1146, 0.1146)*CHOOSE(CONTROL!$C$42, 121.5, 121.5)*CHOOSE(CONTROL!$C$42, 31, 31))/1000000</f>
        <v>0.43164089999999994</v>
      </c>
      <c r="X401" s="38">
        <f>(31*0.1790888*245000/1000000)+(31*0.2374*100000/1000000)</f>
        <v>2.0961194359999999</v>
      </c>
      <c r="Y401" s="38">
        <f>(1000*600*CHOOSE(CONTROL!$C$42, 1.0931, 1.0931)*CHOOSE(CONTROL!$C$42, 31, 31))/1000000</f>
        <v>20.331659999999999</v>
      </c>
      <c r="Z401" s="38"/>
      <c r="AA401" s="10"/>
      <c r="AB401" s="39"/>
      <c r="AC401" s="33">
        <f>(B401*194.205+C401*267.466+D401*133.845+E401*53.484+F401*40+G401*185+H401*0+I401*100+J401*300)/(194.205+267.466+133.845+53.484+0+40+185+100+300)</f>
        <v>11.956908293485087</v>
      </c>
      <c r="AD401" s="27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11.86914676258993</v>
      </c>
    </row>
    <row r="402" spans="1:30" ht="15.75" x14ac:dyDescent="0.25">
      <c r="A402" s="14">
        <v>53508</v>
      </c>
      <c r="B402" s="10">
        <f>CHOOSE(CONTROL!$C$42, 12.2809, 12.2809) * CHOOSE(CONTROL!$C$21, $C$9, 100%, $E$9)</f>
        <v>12.280900000000001</v>
      </c>
      <c r="C402" s="10">
        <f>CHOOSE(CONTROL!$C$42, 12.2888, 12.2888) * CHOOSE(CONTROL!$C$21, $C$9, 100%, $E$9)</f>
        <v>12.2888</v>
      </c>
      <c r="D402" s="10">
        <f>CHOOSE(CONTROL!$C$42, 12.4658, 12.4658) * CHOOSE(CONTROL!$C$21, $C$9, 100%, $E$9)</f>
        <v>12.4658</v>
      </c>
      <c r="E402" s="10">
        <f>CHOOSE(CONTROL!$C$42, 12.497, 12.497) * CHOOSE(CONTROL!$C$21, $C$9, 100%, $E$9)</f>
        <v>12.497</v>
      </c>
      <c r="F402" s="10">
        <f>CHOOSE(CONTROL!$C$42, 12.2444, 12.2444)*CHOOSE(CONTROL!$C$21, $C$9, 100%, $E$9)</f>
        <v>12.244400000000001</v>
      </c>
      <c r="G402" s="10">
        <f>CHOOSE(CONTROL!$C$42, 12.261, 12.261)*CHOOSE(CONTROL!$C$21, $C$9, 100%, $E$9)</f>
        <v>12.260999999999999</v>
      </c>
      <c r="H402" s="10">
        <f>CHOOSE(CONTROL!$C$42, 12.4856, 12.4856) * CHOOSE(CONTROL!$C$21, $C$9, 100%, $E$9)</f>
        <v>12.4856</v>
      </c>
      <c r="I402" s="10">
        <f>CHOOSE(CONTROL!$C$42, 12.2655, 12.2655)* CHOOSE(CONTROL!$C$21, $C$9, 100%, $E$9)</f>
        <v>12.265499999999999</v>
      </c>
      <c r="J402" s="10">
        <f>CHOOSE(CONTROL!$C$42, 12.2374, 12.2374)* CHOOSE(CONTROL!$C$21, $C$9, 100%, $E$9)</f>
        <v>12.237399999999999</v>
      </c>
      <c r="K402" s="10">
        <f>CHOOSE(CONTROL!$C$42, 12.0518, 12.0518) * CHOOSE(CONTROL!$C$21, $C$9, 100%, $E$9)</f>
        <v>12.0518</v>
      </c>
      <c r="L402" s="10">
        <f>CHOOSE(CONTROL!$C$42, 13.0726, 13.0726) * CHOOSE(CONTROL!$C$21, $C$9, 100%, $E$9)</f>
        <v>13.0726</v>
      </c>
      <c r="M402" s="10">
        <f>CHOOSE(CONTROL!$C$42, 12.1278, 12.1278) * CHOOSE(CONTROL!$C$21, $C$9, 100%, $E$9)</f>
        <v>12.127800000000001</v>
      </c>
      <c r="N402" s="10">
        <f>CHOOSE(CONTROL!$C$42, 12.1441, 12.1441) * CHOOSE(CONTROL!$C$21, $C$9, 100%, $E$9)</f>
        <v>12.1441</v>
      </c>
      <c r="O402" s="10">
        <f>CHOOSE(CONTROL!$C$42, 12.3734, 12.3734) * CHOOSE(CONTROL!$C$21, $C$9, 100%, $E$9)</f>
        <v>12.3734</v>
      </c>
      <c r="P402" s="10">
        <f>CHOOSE(CONTROL!$C$42, 12.1556, 12.1556) * CHOOSE(CONTROL!$C$21, $C$9, 100%, $E$9)</f>
        <v>12.1556</v>
      </c>
      <c r="Q402" s="10">
        <f>CHOOSE(CONTROL!$C$42, 12.9687, 12.9687) * CHOOSE(CONTROL!$C$21, $C$9, 100%, $E$9)</f>
        <v>12.9687</v>
      </c>
      <c r="R402" s="10">
        <f>CHOOSE(CONTROL!$C$42, 13.5881, 13.5881) * CHOOSE(CONTROL!$C$21, $C$9, 100%, $E$9)</f>
        <v>13.588100000000001</v>
      </c>
      <c r="S402" s="10">
        <f>CHOOSE(CONTROL!$C$42, 11.9217, 11.9217) * CHOOSE(CONTROL!$C$21, $C$9, 100%, $E$9)</f>
        <v>11.9217</v>
      </c>
      <c r="T4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38">
        <f>(1000*CHOOSE(CONTROL!$C$42, 695, 695)*CHOOSE(CONTROL!$C$42, 0.5599, 0.5599)*CHOOSE(CONTROL!$C$42, 30, 30))/1000000</f>
        <v>11.673914999999997</v>
      </c>
      <c r="V402" s="38">
        <f>(1000*CHOOSE(CONTROL!$C$42, 500, 500)*CHOOSE(CONTROL!$C$42, 0.275, 0.275)*CHOOSE(CONTROL!$C$42, 30, 30))/1000000</f>
        <v>4.125</v>
      </c>
      <c r="W402" s="38">
        <f>(1000*CHOOSE(CONTROL!$C$42, 0.1146, 0.1146)*CHOOSE(CONTROL!$C$42, 121.5, 121.5)*CHOOSE(CONTROL!$C$42, 30, 30))/1000000</f>
        <v>0.417717</v>
      </c>
      <c r="X402" s="38">
        <f>(30*0.1790888*245000/1000000)+(30*0.2374*100000/1000000)</f>
        <v>2.0285026799999999</v>
      </c>
      <c r="Y402" s="38">
        <f>(1000*600*CHOOSE(CONTROL!$C$42, 1.0931, 1.0931)*CHOOSE(CONTROL!$C$42, 30, 30))/1000000</f>
        <v>19.675799999999999</v>
      </c>
      <c r="Z402" s="38"/>
      <c r="AA402" s="10"/>
      <c r="AB402" s="39"/>
      <c r="AC402" s="33">
        <f>(B402*194.205+C402*267.466+D402*133.845+E402*53.484+F402*40+G402*185+H402*0+I402*100+J402*300)/(194.205+267.466+133.845+53.484+0+40+185+100+300)</f>
        <v>12.295568221585556</v>
      </c>
      <c r="AD402" s="27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12.204461870503598</v>
      </c>
    </row>
    <row r="403" spans="1:30" ht="15.75" x14ac:dyDescent="0.25">
      <c r="A403" s="14">
        <v>53539</v>
      </c>
      <c r="B403" s="10">
        <f>CHOOSE(CONTROL!$C$42, 12.0454, 12.0454) * CHOOSE(CONTROL!$C$21, $C$9, 100%, $E$9)</f>
        <v>12.045400000000001</v>
      </c>
      <c r="C403" s="10">
        <f>CHOOSE(CONTROL!$C$42, 12.0533, 12.0533) * CHOOSE(CONTROL!$C$21, $C$9, 100%, $E$9)</f>
        <v>12.0533</v>
      </c>
      <c r="D403" s="10">
        <f>CHOOSE(CONTROL!$C$42, 12.2303, 12.2303) * CHOOSE(CONTROL!$C$21, $C$9, 100%, $E$9)</f>
        <v>12.2303</v>
      </c>
      <c r="E403" s="10">
        <f>CHOOSE(CONTROL!$C$42, 12.2615, 12.2615) * CHOOSE(CONTROL!$C$21, $C$9, 100%, $E$9)</f>
        <v>12.2615</v>
      </c>
      <c r="F403" s="10">
        <f>CHOOSE(CONTROL!$C$42, 12.0092, 12.0092)*CHOOSE(CONTROL!$C$21, $C$9, 100%, $E$9)</f>
        <v>12.0092</v>
      </c>
      <c r="G403" s="10">
        <f>CHOOSE(CONTROL!$C$42, 12.0258, 12.0258)*CHOOSE(CONTROL!$C$21, $C$9, 100%, $E$9)</f>
        <v>12.0258</v>
      </c>
      <c r="H403" s="10">
        <f>CHOOSE(CONTROL!$C$42, 12.2501, 12.2501) * CHOOSE(CONTROL!$C$21, $C$9, 100%, $E$9)</f>
        <v>12.2501</v>
      </c>
      <c r="I403" s="10">
        <f>CHOOSE(CONTROL!$C$42, 12.03, 12.03)* CHOOSE(CONTROL!$C$21, $C$9, 100%, $E$9)</f>
        <v>12.03</v>
      </c>
      <c r="J403" s="10">
        <f>CHOOSE(CONTROL!$C$42, 12.0022, 12.0022)* CHOOSE(CONTROL!$C$21, $C$9, 100%, $E$9)</f>
        <v>12.0022</v>
      </c>
      <c r="K403" s="10">
        <f>CHOOSE(CONTROL!$C$42, 11.8236, 11.8236) * CHOOSE(CONTROL!$C$21, $C$9, 100%, $E$9)</f>
        <v>11.823600000000001</v>
      </c>
      <c r="L403" s="10">
        <f>CHOOSE(CONTROL!$C$42, 12.8371, 12.8371) * CHOOSE(CONTROL!$C$21, $C$9, 100%, $E$9)</f>
        <v>12.8371</v>
      </c>
      <c r="M403" s="10">
        <f>CHOOSE(CONTROL!$C$42, 11.8949, 11.8949) * CHOOSE(CONTROL!$C$21, $C$9, 100%, $E$9)</f>
        <v>11.8949</v>
      </c>
      <c r="N403" s="10">
        <f>CHOOSE(CONTROL!$C$42, 11.9113, 11.9113) * CHOOSE(CONTROL!$C$21, $C$9, 100%, $E$9)</f>
        <v>11.911300000000001</v>
      </c>
      <c r="O403" s="10">
        <f>CHOOSE(CONTROL!$C$42, 12.1403, 12.1403) * CHOOSE(CONTROL!$C$21, $C$9, 100%, $E$9)</f>
        <v>12.1403</v>
      </c>
      <c r="P403" s="10">
        <f>CHOOSE(CONTROL!$C$42, 11.9225, 11.9225) * CHOOSE(CONTROL!$C$21, $C$9, 100%, $E$9)</f>
        <v>11.922499999999999</v>
      </c>
      <c r="Q403" s="10">
        <f>CHOOSE(CONTROL!$C$42, 12.7356, 12.7356) * CHOOSE(CONTROL!$C$21, $C$9, 100%, $E$9)</f>
        <v>12.7356</v>
      </c>
      <c r="R403" s="10">
        <f>CHOOSE(CONTROL!$C$42, 13.3544, 13.3544) * CHOOSE(CONTROL!$C$21, $C$9, 100%, $E$9)</f>
        <v>13.3544</v>
      </c>
      <c r="S403" s="10">
        <f>CHOOSE(CONTROL!$C$42, 11.693, 11.693) * CHOOSE(CONTROL!$C$21, $C$9, 100%, $E$9)</f>
        <v>11.693</v>
      </c>
      <c r="T4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38">
        <f>(1000*CHOOSE(CONTROL!$C$42, 695, 695)*CHOOSE(CONTROL!$C$42, 0.5599, 0.5599)*CHOOSE(CONTROL!$C$42, 31, 31))/1000000</f>
        <v>12.063045499999998</v>
      </c>
      <c r="V403" s="38">
        <f>(1000*CHOOSE(CONTROL!$C$42, 500, 500)*CHOOSE(CONTROL!$C$42, 0.275, 0.275)*CHOOSE(CONTROL!$C$42, 31, 31))/1000000</f>
        <v>4.2625000000000002</v>
      </c>
      <c r="W403" s="38">
        <f>(1000*CHOOSE(CONTROL!$C$42, 0.1146, 0.1146)*CHOOSE(CONTROL!$C$42, 121.5, 121.5)*CHOOSE(CONTROL!$C$42, 31, 31))/1000000</f>
        <v>0.43164089999999994</v>
      </c>
      <c r="X403" s="38">
        <f>(31*0.1790888*245000/1000000)+(31*0.2374*100000/1000000)</f>
        <v>2.0961194359999999</v>
      </c>
      <c r="Y403" s="38">
        <f>(1000*600*CHOOSE(CONTROL!$C$42, 1.0931, 1.0931)*CHOOSE(CONTROL!$C$42, 31, 31))/1000000</f>
        <v>20.331659999999999</v>
      </c>
      <c r="Z403" s="38"/>
      <c r="AA403" s="10"/>
      <c r="AB403" s="39"/>
      <c r="AC403" s="33">
        <f>(B403*194.205+C403*267.466+D403*133.845+E403*53.484+F403*40+G403*185+H403*0+I403*100+J403*300)/(194.205+267.466+133.845+53.484+0+40+185+100+300)</f>
        <v>12.060191847959185</v>
      </c>
      <c r="AD403" s="27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11.971499999999999</v>
      </c>
    </row>
    <row r="404" spans="1:30" ht="15.75" x14ac:dyDescent="0.25">
      <c r="A404" s="14">
        <v>53570</v>
      </c>
      <c r="B404" s="10">
        <f>CHOOSE(CONTROL!$C$42, 11.4507, 11.4507) * CHOOSE(CONTROL!$C$21, $C$9, 100%, $E$9)</f>
        <v>11.450699999999999</v>
      </c>
      <c r="C404" s="10">
        <f>CHOOSE(CONTROL!$C$42, 11.4586, 11.4586) * CHOOSE(CONTROL!$C$21, $C$9, 100%, $E$9)</f>
        <v>11.458600000000001</v>
      </c>
      <c r="D404" s="10">
        <f>CHOOSE(CONTROL!$C$42, 11.6356, 11.6356) * CHOOSE(CONTROL!$C$21, $C$9, 100%, $E$9)</f>
        <v>11.6356</v>
      </c>
      <c r="E404" s="10">
        <f>CHOOSE(CONTROL!$C$42, 11.6667, 11.6667) * CHOOSE(CONTROL!$C$21, $C$9, 100%, $E$9)</f>
        <v>11.666700000000001</v>
      </c>
      <c r="F404" s="10">
        <f>CHOOSE(CONTROL!$C$42, 11.4145, 11.4145)*CHOOSE(CONTROL!$C$21, $C$9, 100%, $E$9)</f>
        <v>11.4145</v>
      </c>
      <c r="G404" s="10">
        <f>CHOOSE(CONTROL!$C$42, 11.4312, 11.4312)*CHOOSE(CONTROL!$C$21, $C$9, 100%, $E$9)</f>
        <v>11.4312</v>
      </c>
      <c r="H404" s="10">
        <f>CHOOSE(CONTROL!$C$42, 11.6554, 11.6554) * CHOOSE(CONTROL!$C$21, $C$9, 100%, $E$9)</f>
        <v>11.6554</v>
      </c>
      <c r="I404" s="10">
        <f>CHOOSE(CONTROL!$C$42, 11.4353, 11.4353)* CHOOSE(CONTROL!$C$21, $C$9, 100%, $E$9)</f>
        <v>11.4353</v>
      </c>
      <c r="J404" s="10">
        <f>CHOOSE(CONTROL!$C$42, 11.4075, 11.4075)* CHOOSE(CONTROL!$C$21, $C$9, 100%, $E$9)</f>
        <v>11.407500000000001</v>
      </c>
      <c r="K404" s="10">
        <f>CHOOSE(CONTROL!$C$42, 11.2459, 11.2459) * CHOOSE(CONTROL!$C$21, $C$9, 100%, $E$9)</f>
        <v>11.245900000000001</v>
      </c>
      <c r="L404" s="10">
        <f>CHOOSE(CONTROL!$C$42, 12.2424, 12.2424) * CHOOSE(CONTROL!$C$21, $C$9, 100%, $E$9)</f>
        <v>12.2424</v>
      </c>
      <c r="M404" s="10">
        <f>CHOOSE(CONTROL!$C$42, 11.3062, 11.3062) * CHOOSE(CONTROL!$C$21, $C$9, 100%, $E$9)</f>
        <v>11.3062</v>
      </c>
      <c r="N404" s="10">
        <f>CHOOSE(CONTROL!$C$42, 11.3227, 11.3227) * CHOOSE(CONTROL!$C$21, $C$9, 100%, $E$9)</f>
        <v>11.322699999999999</v>
      </c>
      <c r="O404" s="10">
        <f>CHOOSE(CONTROL!$C$42, 11.5516, 11.5516) * CHOOSE(CONTROL!$C$21, $C$9, 100%, $E$9)</f>
        <v>11.551600000000001</v>
      </c>
      <c r="P404" s="10">
        <f>CHOOSE(CONTROL!$C$42, 11.3338, 11.3338) * CHOOSE(CONTROL!$C$21, $C$9, 100%, $E$9)</f>
        <v>11.3338</v>
      </c>
      <c r="Q404" s="10">
        <f>CHOOSE(CONTROL!$C$42, 12.1469, 12.1469) * CHOOSE(CONTROL!$C$21, $C$9, 100%, $E$9)</f>
        <v>12.1469</v>
      </c>
      <c r="R404" s="10">
        <f>CHOOSE(CONTROL!$C$42, 12.7642, 12.7642) * CHOOSE(CONTROL!$C$21, $C$9, 100%, $E$9)</f>
        <v>12.764200000000001</v>
      </c>
      <c r="S404" s="10">
        <f>CHOOSE(CONTROL!$C$42, 11.1155, 11.1155) * CHOOSE(CONTROL!$C$21, $C$9, 100%, $E$9)</f>
        <v>11.115500000000001</v>
      </c>
      <c r="T4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38">
        <f>(1000*CHOOSE(CONTROL!$C$42, 695, 695)*CHOOSE(CONTROL!$C$42, 0.5599, 0.5599)*CHOOSE(CONTROL!$C$42, 31, 31))/1000000</f>
        <v>12.063045499999998</v>
      </c>
      <c r="V404" s="38">
        <f>(1000*CHOOSE(CONTROL!$C$42, 500, 500)*CHOOSE(CONTROL!$C$42, 0.275, 0.275)*CHOOSE(CONTROL!$C$42, 31, 31))/1000000</f>
        <v>4.2625000000000002</v>
      </c>
      <c r="W404" s="38">
        <f>(1000*CHOOSE(CONTROL!$C$42, 0.1146, 0.1146)*CHOOSE(CONTROL!$C$42, 121.5, 121.5)*CHOOSE(CONTROL!$C$42, 31, 31))/1000000</f>
        <v>0.43164089999999994</v>
      </c>
      <c r="X404" s="38">
        <f>(31*0.1790888*245000/1000000)+(31*0.2374*100000/1000000)</f>
        <v>2.0961194359999999</v>
      </c>
      <c r="Y404" s="38">
        <f>(1000*600*CHOOSE(CONTROL!$C$42, 1.0931, 1.0931)*CHOOSE(CONTROL!$C$42, 31, 31))/1000000</f>
        <v>20.331659999999999</v>
      </c>
      <c r="Z404" s="38"/>
      <c r="AA404" s="10"/>
      <c r="AB404" s="39"/>
      <c r="AC404" s="33">
        <f>(B404*194.205+C404*267.466+D404*133.845+E404*53.484+F404*40+G404*185+H404*0+I404*100+J404*300)/(194.205+267.466+133.845+53.484+0+40+185+100+300)</f>
        <v>11.465502171036107</v>
      </c>
      <c r="AD404" s="27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11.382823021582734</v>
      </c>
    </row>
    <row r="405" spans="1:30" ht="15.75" x14ac:dyDescent="0.25">
      <c r="A405" s="14">
        <v>53600</v>
      </c>
      <c r="B405" s="10">
        <f>CHOOSE(CONTROL!$C$42, 10.7241, 10.7241) * CHOOSE(CONTROL!$C$21, $C$9, 100%, $E$9)</f>
        <v>10.7241</v>
      </c>
      <c r="C405" s="10">
        <f>CHOOSE(CONTROL!$C$42, 10.732, 10.732) * CHOOSE(CONTROL!$C$21, $C$9, 100%, $E$9)</f>
        <v>10.731999999999999</v>
      </c>
      <c r="D405" s="10">
        <f>CHOOSE(CONTROL!$C$42, 10.909, 10.909) * CHOOSE(CONTROL!$C$21, $C$9, 100%, $E$9)</f>
        <v>10.909000000000001</v>
      </c>
      <c r="E405" s="10">
        <f>CHOOSE(CONTROL!$C$42, 10.9401, 10.9401) * CHOOSE(CONTROL!$C$21, $C$9, 100%, $E$9)</f>
        <v>10.940099999999999</v>
      </c>
      <c r="F405" s="10">
        <f>CHOOSE(CONTROL!$C$42, 10.6877, 10.6877)*CHOOSE(CONTROL!$C$21, $C$9, 100%, $E$9)</f>
        <v>10.6877</v>
      </c>
      <c r="G405" s="10">
        <f>CHOOSE(CONTROL!$C$42, 10.7042, 10.7042)*CHOOSE(CONTROL!$C$21, $C$9, 100%, $E$9)</f>
        <v>10.7042</v>
      </c>
      <c r="H405" s="10">
        <f>CHOOSE(CONTROL!$C$42, 10.9287, 10.9287) * CHOOSE(CONTROL!$C$21, $C$9, 100%, $E$9)</f>
        <v>10.928699999999999</v>
      </c>
      <c r="I405" s="10">
        <f>CHOOSE(CONTROL!$C$42, 10.7087, 10.7087)* CHOOSE(CONTROL!$C$21, $C$9, 100%, $E$9)</f>
        <v>10.7087</v>
      </c>
      <c r="J405" s="10">
        <f>CHOOSE(CONTROL!$C$42, 10.6807, 10.6807)* CHOOSE(CONTROL!$C$21, $C$9, 100%, $E$9)</f>
        <v>10.6807</v>
      </c>
      <c r="K405" s="10">
        <f>CHOOSE(CONTROL!$C$42, 10.5393, 10.5393) * CHOOSE(CONTROL!$C$21, $C$9, 100%, $E$9)</f>
        <v>10.539300000000001</v>
      </c>
      <c r="L405" s="10">
        <f>CHOOSE(CONTROL!$C$42, 11.5157, 11.5157) * CHOOSE(CONTROL!$C$21, $C$9, 100%, $E$9)</f>
        <v>11.515700000000001</v>
      </c>
      <c r="M405" s="10">
        <f>CHOOSE(CONTROL!$C$42, 10.5867, 10.5867) * CHOOSE(CONTROL!$C$21, $C$9, 100%, $E$9)</f>
        <v>10.5867</v>
      </c>
      <c r="N405" s="10">
        <f>CHOOSE(CONTROL!$C$42, 10.6031, 10.6031) * CHOOSE(CONTROL!$C$21, $C$9, 100%, $E$9)</f>
        <v>10.6031</v>
      </c>
      <c r="O405" s="10">
        <f>CHOOSE(CONTROL!$C$42, 10.8323, 10.8323) * CHOOSE(CONTROL!$C$21, $C$9, 100%, $E$9)</f>
        <v>10.8323</v>
      </c>
      <c r="P405" s="10">
        <f>CHOOSE(CONTROL!$C$42, 10.6145, 10.6145) * CHOOSE(CONTROL!$C$21, $C$9, 100%, $E$9)</f>
        <v>10.6145</v>
      </c>
      <c r="Q405" s="10">
        <f>CHOOSE(CONTROL!$C$42, 11.4276, 11.4276) * CHOOSE(CONTROL!$C$21, $C$9, 100%, $E$9)</f>
        <v>11.4276</v>
      </c>
      <c r="R405" s="10">
        <f>CHOOSE(CONTROL!$C$42, 12.0432, 12.0432) * CHOOSE(CONTROL!$C$21, $C$9, 100%, $E$9)</f>
        <v>12.043200000000001</v>
      </c>
      <c r="S405" s="10">
        <f>CHOOSE(CONTROL!$C$42, 10.4099, 10.4099) * CHOOSE(CONTROL!$C$21, $C$9, 100%, $E$9)</f>
        <v>10.4099</v>
      </c>
      <c r="T4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38">
        <f>(1000*CHOOSE(CONTROL!$C$42, 695, 695)*CHOOSE(CONTROL!$C$42, 0.5599, 0.5599)*CHOOSE(CONTROL!$C$42, 30, 30))/1000000</f>
        <v>11.673914999999997</v>
      </c>
      <c r="V405" s="38">
        <f>(1000*CHOOSE(CONTROL!$C$42, 500, 500)*CHOOSE(CONTROL!$C$42, 0.275, 0.275)*CHOOSE(CONTROL!$C$42, 30, 30))/1000000</f>
        <v>4.125</v>
      </c>
      <c r="W405" s="38">
        <f>(1000*CHOOSE(CONTROL!$C$42, 0.1146, 0.1146)*CHOOSE(CONTROL!$C$42, 121.5, 121.5)*CHOOSE(CONTROL!$C$42, 30, 30))/1000000</f>
        <v>0.417717</v>
      </c>
      <c r="X405" s="38">
        <f>(30*0.1790888*245000/1000000)+(30*0.2374*100000/1000000)</f>
        <v>2.0285026799999999</v>
      </c>
      <c r="Y405" s="38">
        <f>(1000*600*CHOOSE(CONTROL!$C$42, 1.0931, 1.0931)*CHOOSE(CONTROL!$C$42, 30, 30))/1000000</f>
        <v>19.675799999999999</v>
      </c>
      <c r="Z405" s="38"/>
      <c r="AA405" s="10"/>
      <c r="AB405" s="39"/>
      <c r="AC405" s="33">
        <f>(B405*194.205+C405*267.466+D405*133.845+E405*53.484+F405*40+G405*185+H405*0+I405*100+J405*300)/(194.205+267.466+133.845+53.484+0+40+185+100+300)</f>
        <v>10.738790711067503</v>
      </c>
      <c r="AD405" s="27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10.663384892086331</v>
      </c>
    </row>
    <row r="406" spans="1:30" ht="15.75" x14ac:dyDescent="0.25">
      <c r="A406" s="14">
        <v>53631</v>
      </c>
      <c r="B406" s="10">
        <f>CHOOSE(CONTROL!$C$42, 10.5043, 10.5043) * CHOOSE(CONTROL!$C$21, $C$9, 100%, $E$9)</f>
        <v>10.504300000000001</v>
      </c>
      <c r="C406" s="10">
        <f>CHOOSE(CONTROL!$C$42, 10.5095, 10.5095) * CHOOSE(CONTROL!$C$21, $C$9, 100%, $E$9)</f>
        <v>10.509499999999999</v>
      </c>
      <c r="D406" s="10">
        <f>CHOOSE(CONTROL!$C$42, 10.6915, 10.6915) * CHOOSE(CONTROL!$C$21, $C$9, 100%, $E$9)</f>
        <v>10.6915</v>
      </c>
      <c r="E406" s="10">
        <f>CHOOSE(CONTROL!$C$42, 10.7203, 10.7203) * CHOOSE(CONTROL!$C$21, $C$9, 100%, $E$9)</f>
        <v>10.7203</v>
      </c>
      <c r="F406" s="10">
        <f>CHOOSE(CONTROL!$C$42, 10.4699, 10.4699)*CHOOSE(CONTROL!$C$21, $C$9, 100%, $E$9)</f>
        <v>10.469900000000001</v>
      </c>
      <c r="G406" s="10">
        <f>CHOOSE(CONTROL!$C$42, 10.4861, 10.4861)*CHOOSE(CONTROL!$C$21, $C$9, 100%, $E$9)</f>
        <v>10.4861</v>
      </c>
      <c r="H406" s="10">
        <f>CHOOSE(CONTROL!$C$42, 10.7107, 10.7107) * CHOOSE(CONTROL!$C$21, $C$9, 100%, $E$9)</f>
        <v>10.710699999999999</v>
      </c>
      <c r="I406" s="10">
        <f>CHOOSE(CONTROL!$C$42, 10.4906, 10.4906)* CHOOSE(CONTROL!$C$21, $C$9, 100%, $E$9)</f>
        <v>10.490600000000001</v>
      </c>
      <c r="J406" s="10">
        <f>CHOOSE(CONTROL!$C$42, 10.4629, 10.4629)* CHOOSE(CONTROL!$C$21, $C$9, 100%, $E$9)</f>
        <v>10.462899999999999</v>
      </c>
      <c r="K406" s="10">
        <f>CHOOSE(CONTROL!$C$42, 10.3281, 10.3281) * CHOOSE(CONTROL!$C$21, $C$9, 100%, $E$9)</f>
        <v>10.328099999999999</v>
      </c>
      <c r="L406" s="10">
        <f>CHOOSE(CONTROL!$C$42, 11.2977, 11.2977) * CHOOSE(CONTROL!$C$21, $C$9, 100%, $E$9)</f>
        <v>11.297700000000001</v>
      </c>
      <c r="M406" s="10">
        <f>CHOOSE(CONTROL!$C$42, 10.3711, 10.3711) * CHOOSE(CONTROL!$C$21, $C$9, 100%, $E$9)</f>
        <v>10.3711</v>
      </c>
      <c r="N406" s="10">
        <f>CHOOSE(CONTROL!$C$42, 10.3872, 10.3872) * CHOOSE(CONTROL!$C$21, $C$9, 100%, $E$9)</f>
        <v>10.3872</v>
      </c>
      <c r="O406" s="10">
        <f>CHOOSE(CONTROL!$C$42, 10.6165, 10.6165) * CHOOSE(CONTROL!$C$21, $C$9, 100%, $E$9)</f>
        <v>10.6165</v>
      </c>
      <c r="P406" s="10">
        <f>CHOOSE(CONTROL!$C$42, 10.3986, 10.3986) * CHOOSE(CONTROL!$C$21, $C$9, 100%, $E$9)</f>
        <v>10.3986</v>
      </c>
      <c r="Q406" s="10">
        <f>CHOOSE(CONTROL!$C$42, 11.2118, 11.2118) * CHOOSE(CONTROL!$C$21, $C$9, 100%, $E$9)</f>
        <v>11.2118</v>
      </c>
      <c r="R406" s="10">
        <f>CHOOSE(CONTROL!$C$42, 11.8268, 11.8268) * CHOOSE(CONTROL!$C$21, $C$9, 100%, $E$9)</f>
        <v>11.8268</v>
      </c>
      <c r="S406" s="10">
        <f>CHOOSE(CONTROL!$C$42, 10.1982, 10.1982) * CHOOSE(CONTROL!$C$21, $C$9, 100%, $E$9)</f>
        <v>10.1982</v>
      </c>
      <c r="T4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38">
        <f>(1000*CHOOSE(CONTROL!$C$42, 695, 695)*CHOOSE(CONTROL!$C$42, 0.5599, 0.5599)*CHOOSE(CONTROL!$C$42, 31, 31))/1000000</f>
        <v>12.063045499999998</v>
      </c>
      <c r="V406" s="38">
        <f>(1000*CHOOSE(CONTROL!$C$42, 500, 500)*CHOOSE(CONTROL!$C$42, 0.275, 0.275)*CHOOSE(CONTROL!$C$42, 31, 31))/1000000</f>
        <v>4.2625000000000002</v>
      </c>
      <c r="W406" s="38">
        <f>(1000*CHOOSE(CONTROL!$C$42, 0.1146, 0.1146)*CHOOSE(CONTROL!$C$42, 121.5, 121.5)*CHOOSE(CONTROL!$C$42, 31, 31))/1000000</f>
        <v>0.43164089999999994</v>
      </c>
      <c r="X406" s="38">
        <f>(31*0.1790888*245000/1000000)+(31*0.2374*100000/1000000)</f>
        <v>2.0961194359999999</v>
      </c>
      <c r="Y406" s="38">
        <f>(1000*600*CHOOSE(CONTROL!$C$42, 1.0931, 1.0931)*CHOOSE(CONTROL!$C$42, 31, 31))/1000000</f>
        <v>20.331659999999999</v>
      </c>
      <c r="Z406" s="38"/>
      <c r="AA406" s="10"/>
      <c r="AB406" s="39"/>
      <c r="AC406" s="33">
        <f>(B406*131.881+C406*277.167+D406*79.08+E406*125.872+F406*40+G406*185+H406*0+I406*100+J406*300)/(131.881+277.167+79.08+125.872+0+40+185+100+300)</f>
        <v>10.524397172235673</v>
      </c>
      <c r="AD406" s="27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10.447616546762589</v>
      </c>
    </row>
    <row r="407" spans="1:30" ht="15.75" x14ac:dyDescent="0.25">
      <c r="A407" s="14">
        <v>53661</v>
      </c>
      <c r="B407" s="10">
        <f>CHOOSE(CONTROL!$C$42, 10.7805, 10.7805) * CHOOSE(CONTROL!$C$21, $C$9, 100%, $E$9)</f>
        <v>10.7805</v>
      </c>
      <c r="C407" s="10">
        <f>CHOOSE(CONTROL!$C$42, 10.7855, 10.7855) * CHOOSE(CONTROL!$C$21, $C$9, 100%, $E$9)</f>
        <v>10.785500000000001</v>
      </c>
      <c r="D407" s="10">
        <f>CHOOSE(CONTROL!$C$42, 10.8099, 10.8099) * CHOOSE(CONTROL!$C$21, $C$9, 100%, $E$9)</f>
        <v>10.809900000000001</v>
      </c>
      <c r="E407" s="10">
        <f>CHOOSE(CONTROL!$C$42, 10.8437, 10.8437) * CHOOSE(CONTROL!$C$21, $C$9, 100%, $E$9)</f>
        <v>10.8437</v>
      </c>
      <c r="F407" s="10">
        <f>CHOOSE(CONTROL!$C$42, 10.7498, 10.7498)*CHOOSE(CONTROL!$C$21, $C$9, 100%, $E$9)</f>
        <v>10.7498</v>
      </c>
      <c r="G407" s="10">
        <f>CHOOSE(CONTROL!$C$42, 10.7663, 10.7663)*CHOOSE(CONTROL!$C$21, $C$9, 100%, $E$9)</f>
        <v>10.766299999999999</v>
      </c>
      <c r="H407" s="10">
        <f>CHOOSE(CONTROL!$C$42, 10.8329, 10.8329) * CHOOSE(CONTROL!$C$21, $C$9, 100%, $E$9)</f>
        <v>10.8329</v>
      </c>
      <c r="I407" s="10">
        <f>CHOOSE(CONTROL!$C$42, 10.7673, 10.7673)* CHOOSE(CONTROL!$C$21, $C$9, 100%, $E$9)</f>
        <v>10.767300000000001</v>
      </c>
      <c r="J407" s="10">
        <f>CHOOSE(CONTROL!$C$42, 10.7428, 10.7428)* CHOOSE(CONTROL!$C$21, $C$9, 100%, $E$9)</f>
        <v>10.742800000000001</v>
      </c>
      <c r="K407" s="10">
        <f>CHOOSE(CONTROL!$C$42, 10.5984, 10.5984) * CHOOSE(CONTROL!$C$21, $C$9, 100%, $E$9)</f>
        <v>10.5984</v>
      </c>
      <c r="L407" s="10">
        <f>CHOOSE(CONTROL!$C$42, 11.4199, 11.4199) * CHOOSE(CONTROL!$C$21, $C$9, 100%, $E$9)</f>
        <v>11.4199</v>
      </c>
      <c r="M407" s="10">
        <f>CHOOSE(CONTROL!$C$42, 10.6483, 10.6483) * CHOOSE(CONTROL!$C$21, $C$9, 100%, $E$9)</f>
        <v>10.648300000000001</v>
      </c>
      <c r="N407" s="10">
        <f>CHOOSE(CONTROL!$C$42, 10.6645, 10.6645) * CHOOSE(CONTROL!$C$21, $C$9, 100%, $E$9)</f>
        <v>10.6645</v>
      </c>
      <c r="O407" s="10">
        <f>CHOOSE(CONTROL!$C$42, 10.7374, 10.7374) * CHOOSE(CONTROL!$C$21, $C$9, 100%, $E$9)</f>
        <v>10.737399999999999</v>
      </c>
      <c r="P407" s="10">
        <f>CHOOSE(CONTROL!$C$42, 10.6725, 10.6725) * CHOOSE(CONTROL!$C$21, $C$9, 100%, $E$9)</f>
        <v>10.672499999999999</v>
      </c>
      <c r="Q407" s="10">
        <f>CHOOSE(CONTROL!$C$42, 11.3327, 11.3327) * CHOOSE(CONTROL!$C$21, $C$9, 100%, $E$9)</f>
        <v>11.332700000000001</v>
      </c>
      <c r="R407" s="10">
        <f>CHOOSE(CONTROL!$C$42, 11.948, 11.948) * CHOOSE(CONTROL!$C$21, $C$9, 100%, $E$9)</f>
        <v>11.948</v>
      </c>
      <c r="S407" s="10">
        <f>CHOOSE(CONTROL!$C$42, 10.4668, 10.4668) * CHOOSE(CONTROL!$C$21, $C$9, 100%, $E$9)</f>
        <v>10.466799999999999</v>
      </c>
      <c r="T4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38">
        <f>(1000*CHOOSE(CONTROL!$C$42, 695, 695)*CHOOSE(CONTROL!$C$42, 0.5599, 0.5599)*CHOOSE(CONTROL!$C$42, 30, 30))/1000000</f>
        <v>11.673914999999997</v>
      </c>
      <c r="V407" s="38">
        <f>(1000*CHOOSE(CONTROL!$C$42, 500, 500)*CHOOSE(CONTROL!$C$42, 0.275, 0.275)*CHOOSE(CONTROL!$C$42, 30, 30))/1000000</f>
        <v>4.125</v>
      </c>
      <c r="W407" s="38">
        <f>(1000*CHOOSE(CONTROL!$C$42, 0.1146, 0.1146)*CHOOSE(CONTROL!$C$42, 121.5, 121.5)*CHOOSE(CONTROL!$C$42, 30, 30))/1000000</f>
        <v>0.417717</v>
      </c>
      <c r="X407" s="38">
        <f>(30*0.1790888*100000/1000000)+(30*0.2374*100000/1000000)</f>
        <v>1.2494664</v>
      </c>
      <c r="Y407" s="38">
        <f>(1000*600*CHOOSE(CONTROL!$C$42, 1.0931, 1.0931)*CHOOSE(CONTROL!$C$42, 30, 30))/1000000</f>
        <v>19.675799999999999</v>
      </c>
      <c r="Z407" s="38"/>
      <c r="AA407" s="10"/>
      <c r="AB407" s="39"/>
      <c r="AC407" s="33">
        <f>(B407*122.58+C407*297.941+D407*89.177+E407*40.302+F407*40+G407*160+H407*0+I407*100+J407*300)/(122.58+297.941+89.177+40.302+0+40+160+100+300)</f>
        <v>10.772263995826087</v>
      </c>
      <c r="AD407" s="27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10.693097841726617</v>
      </c>
    </row>
    <row r="408" spans="1:30" ht="15.75" x14ac:dyDescent="0.25">
      <c r="A408" s="14">
        <v>53692</v>
      </c>
      <c r="B408" s="10">
        <f>CHOOSE(CONTROL!$C$42, 11.5153, 11.5153) * CHOOSE(CONTROL!$C$21, $C$9, 100%, $E$9)</f>
        <v>11.5153</v>
      </c>
      <c r="C408" s="10">
        <f>CHOOSE(CONTROL!$C$42, 11.5203, 11.5203) * CHOOSE(CONTROL!$C$21, $C$9, 100%, $E$9)</f>
        <v>11.520300000000001</v>
      </c>
      <c r="D408" s="10">
        <f>CHOOSE(CONTROL!$C$42, 11.5447, 11.5447) * CHOOSE(CONTROL!$C$21, $C$9, 100%, $E$9)</f>
        <v>11.544700000000001</v>
      </c>
      <c r="E408" s="10">
        <f>CHOOSE(CONTROL!$C$42, 11.5785, 11.5785) * CHOOSE(CONTROL!$C$21, $C$9, 100%, $E$9)</f>
        <v>11.5785</v>
      </c>
      <c r="F408" s="10">
        <f>CHOOSE(CONTROL!$C$42, 11.487, 11.487)*CHOOSE(CONTROL!$C$21, $C$9, 100%, $E$9)</f>
        <v>11.487</v>
      </c>
      <c r="G408" s="10">
        <f>CHOOSE(CONTROL!$C$42, 11.504, 11.504)*CHOOSE(CONTROL!$C$21, $C$9, 100%, $E$9)</f>
        <v>11.504</v>
      </c>
      <c r="H408" s="10">
        <f>CHOOSE(CONTROL!$C$42, 11.5677, 11.5677) * CHOOSE(CONTROL!$C$21, $C$9, 100%, $E$9)</f>
        <v>11.5677</v>
      </c>
      <c r="I408" s="10">
        <f>CHOOSE(CONTROL!$C$42, 11.5021, 11.5021)* CHOOSE(CONTROL!$C$21, $C$9, 100%, $E$9)</f>
        <v>11.5021</v>
      </c>
      <c r="J408" s="10">
        <f>CHOOSE(CONTROL!$C$42, 11.48, 11.48)* CHOOSE(CONTROL!$C$21, $C$9, 100%, $E$9)</f>
        <v>11.48</v>
      </c>
      <c r="K408" s="10">
        <f>CHOOSE(CONTROL!$C$42, 11.3173, 11.3173) * CHOOSE(CONTROL!$C$21, $C$9, 100%, $E$9)</f>
        <v>11.317299999999999</v>
      </c>
      <c r="L408" s="10">
        <f>CHOOSE(CONTROL!$C$42, 12.1547, 12.1547) * CHOOSE(CONTROL!$C$21, $C$9, 100%, $E$9)</f>
        <v>12.1547</v>
      </c>
      <c r="M408" s="10">
        <f>CHOOSE(CONTROL!$C$42, 11.3779, 11.3779) * CHOOSE(CONTROL!$C$21, $C$9, 100%, $E$9)</f>
        <v>11.3779</v>
      </c>
      <c r="N408" s="10">
        <f>CHOOSE(CONTROL!$C$42, 11.3948, 11.3948) * CHOOSE(CONTROL!$C$21, $C$9, 100%, $E$9)</f>
        <v>11.3948</v>
      </c>
      <c r="O408" s="10">
        <f>CHOOSE(CONTROL!$C$42, 11.4648, 11.4648) * CHOOSE(CONTROL!$C$21, $C$9, 100%, $E$9)</f>
        <v>11.4648</v>
      </c>
      <c r="P408" s="10">
        <f>CHOOSE(CONTROL!$C$42, 11.3999, 11.3999) * CHOOSE(CONTROL!$C$21, $C$9, 100%, $E$9)</f>
        <v>11.399900000000001</v>
      </c>
      <c r="Q408" s="10">
        <f>CHOOSE(CONTROL!$C$42, 12.0601, 12.0601) * CHOOSE(CONTROL!$C$21, $C$9, 100%, $E$9)</f>
        <v>12.0601</v>
      </c>
      <c r="R408" s="10">
        <f>CHOOSE(CONTROL!$C$42, 12.6772, 12.6772) * CHOOSE(CONTROL!$C$21, $C$9, 100%, $E$9)</f>
        <v>12.677199999999999</v>
      </c>
      <c r="S408" s="10">
        <f>CHOOSE(CONTROL!$C$42, 11.1804, 11.1804) * CHOOSE(CONTROL!$C$21, $C$9, 100%, $E$9)</f>
        <v>11.180400000000001</v>
      </c>
      <c r="T4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38">
        <f>(1000*CHOOSE(CONTROL!$C$42, 695, 695)*CHOOSE(CONTROL!$C$42, 0.5599, 0.5599)*CHOOSE(CONTROL!$C$42, 31, 31))/1000000</f>
        <v>12.063045499999998</v>
      </c>
      <c r="V408" s="38">
        <f>(1000*CHOOSE(CONTROL!$C$42, 500, 500)*CHOOSE(CONTROL!$C$42, 0.275, 0.275)*CHOOSE(CONTROL!$C$42, 31, 31))/1000000</f>
        <v>4.2625000000000002</v>
      </c>
      <c r="W408" s="38">
        <f>(1000*CHOOSE(CONTROL!$C$42, 0.1146, 0.1146)*CHOOSE(CONTROL!$C$42, 121.5, 121.5)*CHOOSE(CONTROL!$C$42, 31, 31))/1000000</f>
        <v>0.43164089999999994</v>
      </c>
      <c r="X408" s="38">
        <f>(31*0.1790888*100000/1000000)+(31*0.2374*100000/1000000)</f>
        <v>1.2911152800000001</v>
      </c>
      <c r="Y408" s="38">
        <f>(1000*600*CHOOSE(CONTROL!$C$42, 1.0931, 1.0931)*CHOOSE(CONTROL!$C$42, 31, 31))/1000000</f>
        <v>20.331659999999999</v>
      </c>
      <c r="Z408" s="38"/>
      <c r="AA408" s="10"/>
      <c r="AB408" s="39"/>
      <c r="AC408" s="33">
        <f>(B408*122.58+C408*297.941+D408*89.177+E408*40.302+F408*40+G408*160+H408*0+I408*100+J408*300)/(122.58+297.941+89.177+40.302+0+40+160+100+300)</f>
        <v>11.508177039304346</v>
      </c>
      <c r="AD408" s="27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11.421424460431654</v>
      </c>
    </row>
    <row r="409" spans="1:30" ht="15.75" x14ac:dyDescent="0.25">
      <c r="A409" s="14">
        <v>53723</v>
      </c>
      <c r="B409" s="10">
        <f>CHOOSE(CONTROL!$C$42, 12.2923, 12.2923) * CHOOSE(CONTROL!$C$21, $C$9, 100%, $E$9)</f>
        <v>12.292299999999999</v>
      </c>
      <c r="C409" s="10">
        <f>CHOOSE(CONTROL!$C$42, 12.2973, 12.2973) * CHOOSE(CONTROL!$C$21, $C$9, 100%, $E$9)</f>
        <v>12.2973</v>
      </c>
      <c r="D409" s="10">
        <f>CHOOSE(CONTROL!$C$42, 12.3218, 12.3218) * CHOOSE(CONTROL!$C$21, $C$9, 100%, $E$9)</f>
        <v>12.3218</v>
      </c>
      <c r="E409" s="10">
        <f>CHOOSE(CONTROL!$C$42, 12.3555, 12.3555) * CHOOSE(CONTROL!$C$21, $C$9, 100%, $E$9)</f>
        <v>12.355499999999999</v>
      </c>
      <c r="F409" s="10">
        <f>CHOOSE(CONTROL!$C$42, 12.2753, 12.2753)*CHOOSE(CONTROL!$C$21, $C$9, 100%, $E$9)</f>
        <v>12.2753</v>
      </c>
      <c r="G409" s="10">
        <f>CHOOSE(CONTROL!$C$42, 12.2939, 12.2939)*CHOOSE(CONTROL!$C$21, $C$9, 100%, $E$9)</f>
        <v>12.293900000000001</v>
      </c>
      <c r="H409" s="10">
        <f>CHOOSE(CONTROL!$C$42, 12.3447, 12.3447) * CHOOSE(CONTROL!$C$21, $C$9, 100%, $E$9)</f>
        <v>12.3447</v>
      </c>
      <c r="I409" s="10">
        <f>CHOOSE(CONTROL!$C$42, 12.2868, 12.2868)* CHOOSE(CONTROL!$C$21, $C$9, 100%, $E$9)</f>
        <v>12.286799999999999</v>
      </c>
      <c r="J409" s="10">
        <f>CHOOSE(CONTROL!$C$42, 12.2683, 12.2683)* CHOOSE(CONTROL!$C$21, $C$9, 100%, $E$9)</f>
        <v>12.2683</v>
      </c>
      <c r="K409" s="10">
        <f>CHOOSE(CONTROL!$C$42, 12.0932, 12.0932) * CHOOSE(CONTROL!$C$21, $C$9, 100%, $E$9)</f>
        <v>12.0932</v>
      </c>
      <c r="L409" s="10">
        <f>CHOOSE(CONTROL!$C$42, 12.9317, 12.9317) * CHOOSE(CONTROL!$C$21, $C$9, 100%, $E$9)</f>
        <v>12.931699999999999</v>
      </c>
      <c r="M409" s="10">
        <f>CHOOSE(CONTROL!$C$42, 12.1583, 12.1583) * CHOOSE(CONTROL!$C$21, $C$9, 100%, $E$9)</f>
        <v>12.158300000000001</v>
      </c>
      <c r="N409" s="10">
        <f>CHOOSE(CONTROL!$C$42, 12.1768, 12.1768) * CHOOSE(CONTROL!$C$21, $C$9, 100%, $E$9)</f>
        <v>12.1768</v>
      </c>
      <c r="O409" s="10">
        <f>CHOOSE(CONTROL!$C$42, 12.234, 12.234) * CHOOSE(CONTROL!$C$21, $C$9, 100%, $E$9)</f>
        <v>12.234</v>
      </c>
      <c r="P409" s="10">
        <f>CHOOSE(CONTROL!$C$42, 12.1767, 12.1767) * CHOOSE(CONTROL!$C$21, $C$9, 100%, $E$9)</f>
        <v>12.1767</v>
      </c>
      <c r="Q409" s="10">
        <f>CHOOSE(CONTROL!$C$42, 12.8293, 12.8293) * CHOOSE(CONTROL!$C$21, $C$9, 100%, $E$9)</f>
        <v>12.8293</v>
      </c>
      <c r="R409" s="10">
        <f>CHOOSE(CONTROL!$C$42, 13.4483, 13.4483) * CHOOSE(CONTROL!$C$21, $C$9, 100%, $E$9)</f>
        <v>13.4483</v>
      </c>
      <c r="S409" s="10">
        <f>CHOOSE(CONTROL!$C$42, 11.935, 11.935) * CHOOSE(CONTROL!$C$21, $C$9, 100%, $E$9)</f>
        <v>11.935</v>
      </c>
      <c r="T4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38">
        <f>(1000*CHOOSE(CONTROL!$C$42, 695, 695)*CHOOSE(CONTROL!$C$42, 0.5599, 0.5599)*CHOOSE(CONTROL!$C$42, 31, 31))/1000000</f>
        <v>12.063045499999998</v>
      </c>
      <c r="V409" s="38">
        <f>(1000*CHOOSE(CONTROL!$C$42, 500, 500)*CHOOSE(CONTROL!$C$42, 0.275, 0.275)*CHOOSE(CONTROL!$C$42, 31, 31))/1000000</f>
        <v>4.2625000000000002</v>
      </c>
      <c r="W409" s="38">
        <f>(1000*CHOOSE(CONTROL!$C$42, 0.1146, 0.1146)*CHOOSE(CONTROL!$C$42, 121.5, 121.5)*CHOOSE(CONTROL!$C$42, 31, 31))/1000000</f>
        <v>0.43164089999999994</v>
      </c>
      <c r="X409" s="38">
        <f>(31*0.1790888*100000/1000000)+(31*0.2374*100000/1000000)</f>
        <v>1.2911152800000001</v>
      </c>
      <c r="Y409" s="38">
        <f>(1000*600*CHOOSE(CONTROL!$C$42, 1.0896, 1.0896)*CHOOSE(CONTROL!$C$42, 31, 31))/1000000</f>
        <v>20.266559999999995</v>
      </c>
      <c r="Z409" s="38"/>
      <c r="AA409" s="10"/>
      <c r="AB409" s="39"/>
      <c r="AC409" s="33">
        <f>(B409*122.58+C409*297.941+D409*89.177+E409*40.302+F409*40+G409*160+H409*0+I409*100+J409*300)/(122.58+297.941+89.177+40.302+0+40+160+100+300)</f>
        <v>12.29099001121739</v>
      </c>
      <c r="AD409" s="27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12.196322302158272</v>
      </c>
    </row>
    <row r="410" spans="1:30" ht="15.75" x14ac:dyDescent="0.25">
      <c r="A410" s="14">
        <v>53751</v>
      </c>
      <c r="B410" s="10">
        <f>CHOOSE(CONTROL!$C$42, 12.5111, 12.5111) * CHOOSE(CONTROL!$C$21, $C$9, 100%, $E$9)</f>
        <v>12.511100000000001</v>
      </c>
      <c r="C410" s="10">
        <f>CHOOSE(CONTROL!$C$42, 12.5161, 12.5161) * CHOOSE(CONTROL!$C$21, $C$9, 100%, $E$9)</f>
        <v>12.5161</v>
      </c>
      <c r="D410" s="10">
        <f>CHOOSE(CONTROL!$C$42, 12.5405, 12.5405) * CHOOSE(CONTROL!$C$21, $C$9, 100%, $E$9)</f>
        <v>12.5405</v>
      </c>
      <c r="E410" s="10">
        <f>CHOOSE(CONTROL!$C$42, 12.5743, 12.5743) * CHOOSE(CONTROL!$C$21, $C$9, 100%, $E$9)</f>
        <v>12.574299999999999</v>
      </c>
      <c r="F410" s="10">
        <f>CHOOSE(CONTROL!$C$42, 12.4934, 12.4934)*CHOOSE(CONTROL!$C$21, $C$9, 100%, $E$9)</f>
        <v>12.493399999999999</v>
      </c>
      <c r="G410" s="10">
        <f>CHOOSE(CONTROL!$C$42, 12.5119, 12.5119)*CHOOSE(CONTROL!$C$21, $C$9, 100%, $E$9)</f>
        <v>12.511900000000001</v>
      </c>
      <c r="H410" s="10">
        <f>CHOOSE(CONTROL!$C$42, 12.5635, 12.5635) * CHOOSE(CONTROL!$C$21, $C$9, 100%, $E$9)</f>
        <v>12.563499999999999</v>
      </c>
      <c r="I410" s="10">
        <f>CHOOSE(CONTROL!$C$42, 12.5056, 12.5056)* CHOOSE(CONTROL!$C$21, $C$9, 100%, $E$9)</f>
        <v>12.505599999999999</v>
      </c>
      <c r="J410" s="10">
        <f>CHOOSE(CONTROL!$C$42, 12.4864, 12.4864)* CHOOSE(CONTROL!$C$21, $C$9, 100%, $E$9)</f>
        <v>12.4864</v>
      </c>
      <c r="K410" s="10">
        <f>CHOOSE(CONTROL!$C$42, 12.3043, 12.3043) * CHOOSE(CONTROL!$C$21, $C$9, 100%, $E$9)</f>
        <v>12.3043</v>
      </c>
      <c r="L410" s="10">
        <f>CHOOSE(CONTROL!$C$42, 13.1505, 13.1505) * CHOOSE(CONTROL!$C$21, $C$9, 100%, $E$9)</f>
        <v>13.150499999999999</v>
      </c>
      <c r="M410" s="10">
        <f>CHOOSE(CONTROL!$C$42, 12.3742, 12.3742) * CHOOSE(CONTROL!$C$21, $C$9, 100%, $E$9)</f>
        <v>12.3742</v>
      </c>
      <c r="N410" s="10">
        <f>CHOOSE(CONTROL!$C$42, 12.3925, 12.3925) * CHOOSE(CONTROL!$C$21, $C$9, 100%, $E$9)</f>
        <v>12.3925</v>
      </c>
      <c r="O410" s="10">
        <f>CHOOSE(CONTROL!$C$42, 12.4505, 12.4505) * CHOOSE(CONTROL!$C$21, $C$9, 100%, $E$9)</f>
        <v>12.4505</v>
      </c>
      <c r="P410" s="10">
        <f>CHOOSE(CONTROL!$C$42, 12.3933, 12.3933) * CHOOSE(CONTROL!$C$21, $C$9, 100%, $E$9)</f>
        <v>12.3933</v>
      </c>
      <c r="Q410" s="10">
        <f>CHOOSE(CONTROL!$C$42, 13.0458, 13.0458) * CHOOSE(CONTROL!$C$21, $C$9, 100%, $E$9)</f>
        <v>13.0458</v>
      </c>
      <c r="R410" s="10">
        <f>CHOOSE(CONTROL!$C$42, 13.6655, 13.6655) * CHOOSE(CONTROL!$C$21, $C$9, 100%, $E$9)</f>
        <v>13.6655</v>
      </c>
      <c r="S410" s="10">
        <f>CHOOSE(CONTROL!$C$42, 12.1474, 12.1474) * CHOOSE(CONTROL!$C$21, $C$9, 100%, $E$9)</f>
        <v>12.147399999999999</v>
      </c>
      <c r="T4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38">
        <f>(1000*CHOOSE(CONTROL!$C$42, 695, 695)*CHOOSE(CONTROL!$C$42, 0.5599, 0.5599)*CHOOSE(CONTROL!$C$42, 28, 28))/1000000</f>
        <v>10.895653999999999</v>
      </c>
      <c r="V410" s="38">
        <f>(1000*CHOOSE(CONTROL!$C$42, 500, 500)*CHOOSE(CONTROL!$C$42, 0.275, 0.275)*CHOOSE(CONTROL!$C$42, 28, 28))/1000000</f>
        <v>3.85</v>
      </c>
      <c r="W410" s="38">
        <f>(1000*CHOOSE(CONTROL!$C$42, 0.1146, 0.1146)*CHOOSE(CONTROL!$C$42, 121.5, 121.5)*CHOOSE(CONTROL!$C$42, 28, 28))/1000000</f>
        <v>0.38986920000000003</v>
      </c>
      <c r="X410" s="38">
        <f>(28*0.1790888*100000/1000000)+(28*0.2374*100000/1000000)</f>
        <v>1.16616864</v>
      </c>
      <c r="Y410" s="38">
        <f>(1000*600*CHOOSE(CONTROL!$C$42, 1.0896, 1.0896)*CHOOSE(CONTROL!$C$42, 28, 28))/1000000</f>
        <v>18.305279999999996</v>
      </c>
      <c r="Z410" s="38"/>
      <c r="AA410" s="10"/>
      <c r="AB410" s="39"/>
      <c r="AC410" s="33">
        <f>(B410*122.58+C410*297.941+D410*89.177+E410*40.302+F410*40+G410*160+H410*0+I410*100+J410*300)/(122.58+297.941+89.177+40.302+0+40+160+100+300)</f>
        <v>12.509463995826087</v>
      </c>
      <c r="AD410" s="27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12.412583453237408</v>
      </c>
    </row>
    <row r="411" spans="1:30" ht="15.75" x14ac:dyDescent="0.25">
      <c r="A411" s="14">
        <v>53782</v>
      </c>
      <c r="B411" s="10">
        <f>CHOOSE(CONTROL!$C$42, 12.156, 12.156) * CHOOSE(CONTROL!$C$21, $C$9, 100%, $E$9)</f>
        <v>12.156000000000001</v>
      </c>
      <c r="C411" s="10">
        <f>CHOOSE(CONTROL!$C$42, 12.1609, 12.1609) * CHOOSE(CONTROL!$C$21, $C$9, 100%, $E$9)</f>
        <v>12.1609</v>
      </c>
      <c r="D411" s="10">
        <f>CHOOSE(CONTROL!$C$42, 12.1854, 12.1854) * CHOOSE(CONTROL!$C$21, $C$9, 100%, $E$9)</f>
        <v>12.1854</v>
      </c>
      <c r="E411" s="10">
        <f>CHOOSE(CONTROL!$C$42, 12.2192, 12.2192) * CHOOSE(CONTROL!$C$21, $C$9, 100%, $E$9)</f>
        <v>12.219200000000001</v>
      </c>
      <c r="F411" s="10">
        <f>CHOOSE(CONTROL!$C$42, 12.1367, 12.1367)*CHOOSE(CONTROL!$C$21, $C$9, 100%, $E$9)</f>
        <v>12.136699999999999</v>
      </c>
      <c r="G411" s="10">
        <f>CHOOSE(CONTROL!$C$42, 12.1548, 12.1548)*CHOOSE(CONTROL!$C$21, $C$9, 100%, $E$9)</f>
        <v>12.1548</v>
      </c>
      <c r="H411" s="10">
        <f>CHOOSE(CONTROL!$C$42, 12.2084, 12.2084) * CHOOSE(CONTROL!$C$21, $C$9, 100%, $E$9)</f>
        <v>12.208399999999999</v>
      </c>
      <c r="I411" s="10">
        <f>CHOOSE(CONTROL!$C$42, 12.1505, 12.1505)* CHOOSE(CONTROL!$C$21, $C$9, 100%, $E$9)</f>
        <v>12.150499999999999</v>
      </c>
      <c r="J411" s="10">
        <f>CHOOSE(CONTROL!$C$42, 12.1297, 12.1297)* CHOOSE(CONTROL!$C$21, $C$9, 100%, $E$9)</f>
        <v>12.1297</v>
      </c>
      <c r="K411" s="10">
        <f>CHOOSE(CONTROL!$C$42, 11.9559, 11.9559) * CHOOSE(CONTROL!$C$21, $C$9, 100%, $E$9)</f>
        <v>11.9559</v>
      </c>
      <c r="L411" s="10">
        <f>CHOOSE(CONTROL!$C$42, 12.7954, 12.7954) * CHOOSE(CONTROL!$C$21, $C$9, 100%, $E$9)</f>
        <v>12.795400000000001</v>
      </c>
      <c r="M411" s="10">
        <f>CHOOSE(CONTROL!$C$42, 12.0211, 12.0211) * CHOOSE(CONTROL!$C$21, $C$9, 100%, $E$9)</f>
        <v>12.021100000000001</v>
      </c>
      <c r="N411" s="10">
        <f>CHOOSE(CONTROL!$C$42, 12.039, 12.039) * CHOOSE(CONTROL!$C$21, $C$9, 100%, $E$9)</f>
        <v>12.039</v>
      </c>
      <c r="O411" s="10">
        <f>CHOOSE(CONTROL!$C$42, 12.099, 12.099) * CHOOSE(CONTROL!$C$21, $C$9, 100%, $E$9)</f>
        <v>12.099</v>
      </c>
      <c r="P411" s="10">
        <f>CHOOSE(CONTROL!$C$42, 12.0417, 12.0417) * CHOOSE(CONTROL!$C$21, $C$9, 100%, $E$9)</f>
        <v>12.041700000000001</v>
      </c>
      <c r="Q411" s="10">
        <f>CHOOSE(CONTROL!$C$42, 12.6943, 12.6943) * CHOOSE(CONTROL!$C$21, $C$9, 100%, $E$9)</f>
        <v>12.6943</v>
      </c>
      <c r="R411" s="10">
        <f>CHOOSE(CONTROL!$C$42, 13.313, 13.313) * CHOOSE(CONTROL!$C$21, $C$9, 100%, $E$9)</f>
        <v>13.313000000000001</v>
      </c>
      <c r="S411" s="10">
        <f>CHOOSE(CONTROL!$C$42, 11.8026, 11.8026) * CHOOSE(CONTROL!$C$21, $C$9, 100%, $E$9)</f>
        <v>11.8026</v>
      </c>
      <c r="T4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38">
        <f>(1000*CHOOSE(CONTROL!$C$42, 695, 695)*CHOOSE(CONTROL!$C$42, 0.5599, 0.5599)*CHOOSE(CONTROL!$C$42, 31, 31))/1000000</f>
        <v>12.063045499999998</v>
      </c>
      <c r="V411" s="38">
        <f>(1000*CHOOSE(CONTROL!$C$42, 500, 500)*CHOOSE(CONTROL!$C$42, 0.275, 0.275)*CHOOSE(CONTROL!$C$42, 31, 31))/1000000</f>
        <v>4.2625000000000002</v>
      </c>
      <c r="W411" s="38">
        <f>(1000*CHOOSE(CONTROL!$C$42, 0.1146, 0.1146)*CHOOSE(CONTROL!$C$42, 121.5, 121.5)*CHOOSE(CONTROL!$C$42, 31, 31))/1000000</f>
        <v>0.43164089999999994</v>
      </c>
      <c r="X411" s="38">
        <f>(31*0.1790888*100000/1000000)+(31*0.2374*100000/1000000)</f>
        <v>1.2911152800000001</v>
      </c>
      <c r="Y411" s="38">
        <f>(1000*600*CHOOSE(CONTROL!$C$42, 1.0896, 1.0896)*CHOOSE(CONTROL!$C$42, 31, 31))/1000000</f>
        <v>20.266559999999995</v>
      </c>
      <c r="Z411" s="38"/>
      <c r="AA411" s="10"/>
      <c r="AB411" s="39"/>
      <c r="AC411" s="33">
        <f>(B411*122.58+C411*297.941+D411*89.177+E411*40.302+F411*40+G411*160+H411*0+I411*100+J411*300)/(122.58+297.941+89.177+40.302+0+40+160+100+300)</f>
        <v>12.153586783565217</v>
      </c>
      <c r="AD411" s="27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12.06040143884892</v>
      </c>
    </row>
    <row r="412" spans="1:30" ht="15.75" x14ac:dyDescent="0.25">
      <c r="A412" s="14">
        <v>53812</v>
      </c>
      <c r="B412" s="10">
        <f>CHOOSE(CONTROL!$C$42, 12.1204, 12.1204) * CHOOSE(CONTROL!$C$21, $C$9, 100%, $E$9)</f>
        <v>12.1204</v>
      </c>
      <c r="C412" s="10">
        <f>CHOOSE(CONTROL!$C$42, 12.1248, 12.1248) * CHOOSE(CONTROL!$C$21, $C$9, 100%, $E$9)</f>
        <v>12.1248</v>
      </c>
      <c r="D412" s="10">
        <f>CHOOSE(CONTROL!$C$42, 12.3049, 12.3049) * CHOOSE(CONTROL!$C$21, $C$9, 100%, $E$9)</f>
        <v>12.3049</v>
      </c>
      <c r="E412" s="10">
        <f>CHOOSE(CONTROL!$C$42, 12.3367, 12.3367) * CHOOSE(CONTROL!$C$21, $C$9, 100%, $E$9)</f>
        <v>12.3367</v>
      </c>
      <c r="F412" s="10">
        <f>CHOOSE(CONTROL!$C$42, 12.0857, 12.0857)*CHOOSE(CONTROL!$C$21, $C$9, 100%, $E$9)</f>
        <v>12.085699999999999</v>
      </c>
      <c r="G412" s="10">
        <f>CHOOSE(CONTROL!$C$42, 12.102, 12.102)*CHOOSE(CONTROL!$C$21, $C$9, 100%, $E$9)</f>
        <v>12.102</v>
      </c>
      <c r="H412" s="10">
        <f>CHOOSE(CONTROL!$C$42, 12.3265, 12.3265) * CHOOSE(CONTROL!$C$21, $C$9, 100%, $E$9)</f>
        <v>12.326499999999999</v>
      </c>
      <c r="I412" s="10">
        <f>CHOOSE(CONTROL!$C$42, 12.1064, 12.1064)* CHOOSE(CONTROL!$C$21, $C$9, 100%, $E$9)</f>
        <v>12.106400000000001</v>
      </c>
      <c r="J412" s="10">
        <f>CHOOSE(CONTROL!$C$42, 12.0787, 12.0787)* CHOOSE(CONTROL!$C$21, $C$9, 100%, $E$9)</f>
        <v>12.0787</v>
      </c>
      <c r="K412" s="10">
        <f>CHOOSE(CONTROL!$C$42, 11.8981, 11.8981) * CHOOSE(CONTROL!$C$21, $C$9, 100%, $E$9)</f>
        <v>11.898099999999999</v>
      </c>
      <c r="L412" s="10">
        <f>CHOOSE(CONTROL!$C$42, 12.9135, 12.9135) * CHOOSE(CONTROL!$C$21, $C$9, 100%, $E$9)</f>
        <v>12.913500000000001</v>
      </c>
      <c r="M412" s="10">
        <f>CHOOSE(CONTROL!$C$42, 11.9706, 11.9706) * CHOOSE(CONTROL!$C$21, $C$9, 100%, $E$9)</f>
        <v>11.970599999999999</v>
      </c>
      <c r="N412" s="10">
        <f>CHOOSE(CONTROL!$C$42, 11.9867, 11.9867) * CHOOSE(CONTROL!$C$21, $C$9, 100%, $E$9)</f>
        <v>11.986700000000001</v>
      </c>
      <c r="O412" s="10">
        <f>CHOOSE(CONTROL!$C$42, 12.2159, 12.2159) * CHOOSE(CONTROL!$C$21, $C$9, 100%, $E$9)</f>
        <v>12.2159</v>
      </c>
      <c r="P412" s="10">
        <f>CHOOSE(CONTROL!$C$42, 11.9981, 11.9981) * CHOOSE(CONTROL!$C$21, $C$9, 100%, $E$9)</f>
        <v>11.998100000000001</v>
      </c>
      <c r="Q412" s="10">
        <f>CHOOSE(CONTROL!$C$42, 12.8112, 12.8112) * CHOOSE(CONTROL!$C$21, $C$9, 100%, $E$9)</f>
        <v>12.811199999999999</v>
      </c>
      <c r="R412" s="10">
        <f>CHOOSE(CONTROL!$C$42, 13.4302, 13.4302) * CHOOSE(CONTROL!$C$21, $C$9, 100%, $E$9)</f>
        <v>13.430199999999999</v>
      </c>
      <c r="S412" s="10">
        <f>CHOOSE(CONTROL!$C$42, 11.7672, 11.7672) * CHOOSE(CONTROL!$C$21, $C$9, 100%, $E$9)</f>
        <v>11.767200000000001</v>
      </c>
      <c r="T4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38">
        <f>(1000*CHOOSE(CONTROL!$C$42, 695, 695)*CHOOSE(CONTROL!$C$42, 0.5599, 0.5599)*CHOOSE(CONTROL!$C$42, 30, 30))/1000000</f>
        <v>11.673914999999997</v>
      </c>
      <c r="V412" s="38">
        <f>(1000*CHOOSE(CONTROL!$C$42, 500, 500)*CHOOSE(CONTROL!$C$42, 0.275, 0.275)*CHOOSE(CONTROL!$C$42, 30, 30))/1000000</f>
        <v>4.125</v>
      </c>
      <c r="W412" s="38">
        <f>(1000*CHOOSE(CONTROL!$C$42, 0.1146, 0.1146)*CHOOSE(CONTROL!$C$42, 121.5, 121.5)*CHOOSE(CONTROL!$C$42, 30, 30))/1000000</f>
        <v>0.417717</v>
      </c>
      <c r="X412" s="38">
        <f>(30*0.1790888*245000/1000000)+(30*0.2374*100000/1000000)</f>
        <v>2.0285026799999999</v>
      </c>
      <c r="Y412" s="38">
        <f>(1000*600*CHOOSE(CONTROL!$C$42, 1.0896, 1.0896)*CHOOSE(CONTROL!$C$42, 30, 30))/1000000</f>
        <v>19.612799999999996</v>
      </c>
      <c r="Z412" s="38"/>
      <c r="AA412" s="10"/>
      <c r="AB412" s="39"/>
      <c r="AC412" s="33">
        <f>(B412*141.293+C412*267.993+D412*115.016+E412*89.698+F412*40+G412*185+H412*0+I412*100+J412*300)/(141.293+267.993+115.016+89.698+0+40+185+100+300)</f>
        <v>12.139043501694916</v>
      </c>
      <c r="AD412" s="27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12.047088489208631</v>
      </c>
    </row>
    <row r="413" spans="1:30" ht="15.75" x14ac:dyDescent="0.25">
      <c r="A413" s="14">
        <v>53843</v>
      </c>
      <c r="B413" s="10">
        <f>CHOOSE(CONTROL!$C$42, 12.2291, 12.2291) * CHOOSE(CONTROL!$C$21, $C$9, 100%, $E$9)</f>
        <v>12.229100000000001</v>
      </c>
      <c r="C413" s="10">
        <f>CHOOSE(CONTROL!$C$42, 12.237, 12.237) * CHOOSE(CONTROL!$C$21, $C$9, 100%, $E$9)</f>
        <v>12.237</v>
      </c>
      <c r="D413" s="10">
        <f>CHOOSE(CONTROL!$C$42, 12.414, 12.414) * CHOOSE(CONTROL!$C$21, $C$9, 100%, $E$9)</f>
        <v>12.414</v>
      </c>
      <c r="E413" s="10">
        <f>CHOOSE(CONTROL!$C$42, 12.4452, 12.4452) * CHOOSE(CONTROL!$C$21, $C$9, 100%, $E$9)</f>
        <v>12.4452</v>
      </c>
      <c r="F413" s="10">
        <f>CHOOSE(CONTROL!$C$42, 12.1925, 12.1925)*CHOOSE(CONTROL!$C$21, $C$9, 100%, $E$9)</f>
        <v>12.192500000000001</v>
      </c>
      <c r="G413" s="10">
        <f>CHOOSE(CONTROL!$C$42, 12.209, 12.209)*CHOOSE(CONTROL!$C$21, $C$9, 100%, $E$9)</f>
        <v>12.209</v>
      </c>
      <c r="H413" s="10">
        <f>CHOOSE(CONTROL!$C$42, 12.4338, 12.4338) * CHOOSE(CONTROL!$C$21, $C$9, 100%, $E$9)</f>
        <v>12.4338</v>
      </c>
      <c r="I413" s="10">
        <f>CHOOSE(CONTROL!$C$42, 12.2137, 12.2137)* CHOOSE(CONTROL!$C$21, $C$9, 100%, $E$9)</f>
        <v>12.213699999999999</v>
      </c>
      <c r="J413" s="10">
        <f>CHOOSE(CONTROL!$C$42, 12.1855, 12.1855)* CHOOSE(CONTROL!$C$21, $C$9, 100%, $E$9)</f>
        <v>12.185499999999999</v>
      </c>
      <c r="K413" s="10">
        <f>CHOOSE(CONTROL!$C$42, 12.0011, 12.0011) * CHOOSE(CONTROL!$C$21, $C$9, 100%, $E$9)</f>
        <v>12.001099999999999</v>
      </c>
      <c r="L413" s="10">
        <f>CHOOSE(CONTROL!$C$42, 13.0208, 13.0208) * CHOOSE(CONTROL!$C$21, $C$9, 100%, $E$9)</f>
        <v>13.020799999999999</v>
      </c>
      <c r="M413" s="10">
        <f>CHOOSE(CONTROL!$C$42, 12.0763, 12.0763) * CHOOSE(CONTROL!$C$21, $C$9, 100%, $E$9)</f>
        <v>12.0763</v>
      </c>
      <c r="N413" s="10">
        <f>CHOOSE(CONTROL!$C$42, 12.0927, 12.0927) * CHOOSE(CONTROL!$C$21, $C$9, 100%, $E$9)</f>
        <v>12.092700000000001</v>
      </c>
      <c r="O413" s="10">
        <f>CHOOSE(CONTROL!$C$42, 12.3221, 12.3221) * CHOOSE(CONTROL!$C$21, $C$9, 100%, $E$9)</f>
        <v>12.322100000000001</v>
      </c>
      <c r="P413" s="10">
        <f>CHOOSE(CONTROL!$C$42, 12.1043, 12.1043) * CHOOSE(CONTROL!$C$21, $C$9, 100%, $E$9)</f>
        <v>12.1043</v>
      </c>
      <c r="Q413" s="10">
        <f>CHOOSE(CONTROL!$C$42, 12.9174, 12.9174) * CHOOSE(CONTROL!$C$21, $C$9, 100%, $E$9)</f>
        <v>12.917400000000001</v>
      </c>
      <c r="R413" s="10">
        <f>CHOOSE(CONTROL!$C$42, 13.5367, 13.5367) * CHOOSE(CONTROL!$C$21, $C$9, 100%, $E$9)</f>
        <v>13.5367</v>
      </c>
      <c r="S413" s="10">
        <f>CHOOSE(CONTROL!$C$42, 11.8714, 11.8714) * CHOOSE(CONTROL!$C$21, $C$9, 100%, $E$9)</f>
        <v>11.8714</v>
      </c>
      <c r="T4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38">
        <f>(1000*CHOOSE(CONTROL!$C$42, 695, 695)*CHOOSE(CONTROL!$C$42, 0.5599, 0.5599)*CHOOSE(CONTROL!$C$42, 31, 31))/1000000</f>
        <v>12.063045499999998</v>
      </c>
      <c r="V413" s="38">
        <f>(1000*CHOOSE(CONTROL!$C$42, 500, 500)*CHOOSE(CONTROL!$C$42, 0.275, 0.275)*CHOOSE(CONTROL!$C$42, 31, 31))/1000000</f>
        <v>4.2625000000000002</v>
      </c>
      <c r="W413" s="38">
        <f>(1000*CHOOSE(CONTROL!$C$42, 0.1146, 0.1146)*CHOOSE(CONTROL!$C$42, 121.5, 121.5)*CHOOSE(CONTROL!$C$42, 31, 31))/1000000</f>
        <v>0.43164089999999994</v>
      </c>
      <c r="X413" s="38">
        <f>(31*0.1790888*245000/1000000)+(31*0.2374*100000/1000000)</f>
        <v>2.0961194359999999</v>
      </c>
      <c r="Y413" s="38">
        <f>(1000*600*CHOOSE(CONTROL!$C$42, 1.0896, 1.0896)*CHOOSE(CONTROL!$C$42, 31, 31))/1000000</f>
        <v>20.266559999999995</v>
      </c>
      <c r="Z413" s="38"/>
      <c r="AA413" s="10"/>
      <c r="AB413" s="39"/>
      <c r="AC413" s="33">
        <f>(B413*194.205+C413*267.466+D413*133.845+E413*53.484+F413*40+G413*185+H413*0+I413*100+J413*300)/(194.205+267.466+133.845+53.484+0+40+185+100+300)</f>
        <v>12.243712491601256</v>
      </c>
      <c r="AD413" s="27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12.153069784172661</v>
      </c>
    </row>
    <row r="414" spans="1:30" ht="15.75" x14ac:dyDescent="0.25">
      <c r="A414" s="14">
        <v>53873</v>
      </c>
      <c r="B414" s="10">
        <f>CHOOSE(CONTROL!$C$42, 12.5759, 12.5759) * CHOOSE(CONTROL!$C$21, $C$9, 100%, $E$9)</f>
        <v>12.575900000000001</v>
      </c>
      <c r="C414" s="10">
        <f>CHOOSE(CONTROL!$C$42, 12.5838, 12.5838) * CHOOSE(CONTROL!$C$21, $C$9, 100%, $E$9)</f>
        <v>12.5838</v>
      </c>
      <c r="D414" s="10">
        <f>CHOOSE(CONTROL!$C$42, 12.7608, 12.7608) * CHOOSE(CONTROL!$C$21, $C$9, 100%, $E$9)</f>
        <v>12.7608</v>
      </c>
      <c r="E414" s="10">
        <f>CHOOSE(CONTROL!$C$42, 12.7919, 12.7919) * CHOOSE(CONTROL!$C$21, $C$9, 100%, $E$9)</f>
        <v>12.7919</v>
      </c>
      <c r="F414" s="10">
        <f>CHOOSE(CONTROL!$C$42, 12.5394, 12.5394)*CHOOSE(CONTROL!$C$21, $C$9, 100%, $E$9)</f>
        <v>12.539400000000001</v>
      </c>
      <c r="G414" s="10">
        <f>CHOOSE(CONTROL!$C$42, 12.5559, 12.5559)*CHOOSE(CONTROL!$C$21, $C$9, 100%, $E$9)</f>
        <v>12.555899999999999</v>
      </c>
      <c r="H414" s="10">
        <f>CHOOSE(CONTROL!$C$42, 12.7805, 12.7805) * CHOOSE(CONTROL!$C$21, $C$9, 100%, $E$9)</f>
        <v>12.7805</v>
      </c>
      <c r="I414" s="10">
        <f>CHOOSE(CONTROL!$C$42, 12.5604, 12.5604)* CHOOSE(CONTROL!$C$21, $C$9, 100%, $E$9)</f>
        <v>12.5604</v>
      </c>
      <c r="J414" s="10">
        <f>CHOOSE(CONTROL!$C$42, 12.5324, 12.5324)* CHOOSE(CONTROL!$C$21, $C$9, 100%, $E$9)</f>
        <v>12.532400000000001</v>
      </c>
      <c r="K414" s="10">
        <f>CHOOSE(CONTROL!$C$42, 12.3384, 12.3384) * CHOOSE(CONTROL!$C$21, $C$9, 100%, $E$9)</f>
        <v>12.3384</v>
      </c>
      <c r="L414" s="10">
        <f>CHOOSE(CONTROL!$C$42, 13.3675, 13.3675) * CHOOSE(CONTROL!$C$21, $C$9, 100%, $E$9)</f>
        <v>13.3675</v>
      </c>
      <c r="M414" s="10">
        <f>CHOOSE(CONTROL!$C$42, 12.4197, 12.4197) * CHOOSE(CONTROL!$C$21, $C$9, 100%, $E$9)</f>
        <v>12.419700000000001</v>
      </c>
      <c r="N414" s="10">
        <f>CHOOSE(CONTROL!$C$42, 12.4361, 12.4361) * CHOOSE(CONTROL!$C$21, $C$9, 100%, $E$9)</f>
        <v>12.4361</v>
      </c>
      <c r="O414" s="10">
        <f>CHOOSE(CONTROL!$C$42, 12.6654, 12.6654) * CHOOSE(CONTROL!$C$21, $C$9, 100%, $E$9)</f>
        <v>12.6654</v>
      </c>
      <c r="P414" s="10">
        <f>CHOOSE(CONTROL!$C$42, 12.4476, 12.4476) * CHOOSE(CONTROL!$C$21, $C$9, 100%, $E$9)</f>
        <v>12.4476</v>
      </c>
      <c r="Q414" s="10">
        <f>CHOOSE(CONTROL!$C$42, 13.2607, 13.2607) * CHOOSE(CONTROL!$C$21, $C$9, 100%, $E$9)</f>
        <v>13.2607</v>
      </c>
      <c r="R414" s="10">
        <f>CHOOSE(CONTROL!$C$42, 13.8808, 13.8808) * CHOOSE(CONTROL!$C$21, $C$9, 100%, $E$9)</f>
        <v>13.880800000000001</v>
      </c>
      <c r="S414" s="10">
        <f>CHOOSE(CONTROL!$C$42, 12.2082, 12.2082) * CHOOSE(CONTROL!$C$21, $C$9, 100%, $E$9)</f>
        <v>12.2082</v>
      </c>
      <c r="T4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38">
        <f>(1000*CHOOSE(CONTROL!$C$42, 695, 695)*CHOOSE(CONTROL!$C$42, 0.5599, 0.5599)*CHOOSE(CONTROL!$C$42, 30, 30))/1000000</f>
        <v>11.673914999999997</v>
      </c>
      <c r="V414" s="38">
        <f>(1000*CHOOSE(CONTROL!$C$42, 500, 500)*CHOOSE(CONTROL!$C$42, 0.275, 0.275)*CHOOSE(CONTROL!$C$42, 30, 30))/1000000</f>
        <v>4.125</v>
      </c>
      <c r="W414" s="38">
        <f>(1000*CHOOSE(CONTROL!$C$42, 0.1146, 0.1146)*CHOOSE(CONTROL!$C$42, 121.5, 121.5)*CHOOSE(CONTROL!$C$42, 30, 30))/1000000</f>
        <v>0.417717</v>
      </c>
      <c r="X414" s="38">
        <f>(30*0.1790888*245000/1000000)+(30*0.2374*100000/1000000)</f>
        <v>2.0285026799999999</v>
      </c>
      <c r="Y414" s="38">
        <f>(1000*600*CHOOSE(CONTROL!$C$42, 1.0896, 1.0896)*CHOOSE(CONTROL!$C$42, 30, 30))/1000000</f>
        <v>19.612799999999996</v>
      </c>
      <c r="Z414" s="38"/>
      <c r="AA414" s="10"/>
      <c r="AB414" s="39"/>
      <c r="AC414" s="33">
        <f>(B414*194.205+C414*267.466+D414*133.845+E414*53.484+F414*40+G414*185+H414*0+I414*100+J414*300)/(194.205+267.466+133.845+53.484+0+40+185+100+300)</f>
        <v>12.590541652982733</v>
      </c>
      <c r="AD414" s="27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12.496427338129497</v>
      </c>
    </row>
    <row r="415" spans="1:30" ht="15.75" x14ac:dyDescent="0.25">
      <c r="A415" s="14">
        <v>53904</v>
      </c>
      <c r="B415" s="10">
        <f>CHOOSE(CONTROL!$C$42, 12.3347, 12.3347) * CHOOSE(CONTROL!$C$21, $C$9, 100%, $E$9)</f>
        <v>12.3347</v>
      </c>
      <c r="C415" s="10">
        <f>CHOOSE(CONTROL!$C$42, 12.3426, 12.3426) * CHOOSE(CONTROL!$C$21, $C$9, 100%, $E$9)</f>
        <v>12.342599999999999</v>
      </c>
      <c r="D415" s="10">
        <f>CHOOSE(CONTROL!$C$42, 12.5196, 12.5196) * CHOOSE(CONTROL!$C$21, $C$9, 100%, $E$9)</f>
        <v>12.519600000000001</v>
      </c>
      <c r="E415" s="10">
        <f>CHOOSE(CONTROL!$C$42, 12.5507, 12.5507) * CHOOSE(CONTROL!$C$21, $C$9, 100%, $E$9)</f>
        <v>12.550700000000001</v>
      </c>
      <c r="F415" s="10">
        <f>CHOOSE(CONTROL!$C$42, 12.2985, 12.2985)*CHOOSE(CONTROL!$C$21, $C$9, 100%, $E$9)</f>
        <v>12.298500000000001</v>
      </c>
      <c r="G415" s="10">
        <f>CHOOSE(CONTROL!$C$42, 12.3151, 12.3151)*CHOOSE(CONTROL!$C$21, $C$9, 100%, $E$9)</f>
        <v>12.315099999999999</v>
      </c>
      <c r="H415" s="10">
        <f>CHOOSE(CONTROL!$C$42, 12.5394, 12.5394) * CHOOSE(CONTROL!$C$21, $C$9, 100%, $E$9)</f>
        <v>12.539400000000001</v>
      </c>
      <c r="I415" s="10">
        <f>CHOOSE(CONTROL!$C$42, 12.3193, 12.3193)* CHOOSE(CONTROL!$C$21, $C$9, 100%, $E$9)</f>
        <v>12.3193</v>
      </c>
      <c r="J415" s="10">
        <f>CHOOSE(CONTROL!$C$42, 12.2915, 12.2915)* CHOOSE(CONTROL!$C$21, $C$9, 100%, $E$9)</f>
        <v>12.291499999999999</v>
      </c>
      <c r="K415" s="10">
        <f>CHOOSE(CONTROL!$C$42, 12.1046, 12.1046) * CHOOSE(CONTROL!$C$21, $C$9, 100%, $E$9)</f>
        <v>12.1046</v>
      </c>
      <c r="L415" s="10">
        <f>CHOOSE(CONTROL!$C$42, 13.1264, 13.1264) * CHOOSE(CONTROL!$C$21, $C$9, 100%, $E$9)</f>
        <v>13.1264</v>
      </c>
      <c r="M415" s="10">
        <f>CHOOSE(CONTROL!$C$42, 12.1813, 12.1813) * CHOOSE(CONTROL!$C$21, $C$9, 100%, $E$9)</f>
        <v>12.1813</v>
      </c>
      <c r="N415" s="10">
        <f>CHOOSE(CONTROL!$C$42, 12.1977, 12.1977) * CHOOSE(CONTROL!$C$21, $C$9, 100%, $E$9)</f>
        <v>12.197699999999999</v>
      </c>
      <c r="O415" s="10">
        <f>CHOOSE(CONTROL!$C$42, 12.4267, 12.4267) * CHOOSE(CONTROL!$C$21, $C$9, 100%, $E$9)</f>
        <v>12.4267</v>
      </c>
      <c r="P415" s="10">
        <f>CHOOSE(CONTROL!$C$42, 12.2088, 12.2088) * CHOOSE(CONTROL!$C$21, $C$9, 100%, $E$9)</f>
        <v>12.2088</v>
      </c>
      <c r="Q415" s="10">
        <f>CHOOSE(CONTROL!$C$42, 13.022, 13.022) * CHOOSE(CONTROL!$C$21, $C$9, 100%, $E$9)</f>
        <v>13.022</v>
      </c>
      <c r="R415" s="10">
        <f>CHOOSE(CONTROL!$C$42, 13.6415, 13.6415) * CHOOSE(CONTROL!$C$21, $C$9, 100%, $E$9)</f>
        <v>13.641500000000001</v>
      </c>
      <c r="S415" s="10">
        <f>CHOOSE(CONTROL!$C$42, 11.974, 11.974) * CHOOSE(CONTROL!$C$21, $C$9, 100%, $E$9)</f>
        <v>11.974</v>
      </c>
      <c r="T4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38">
        <f>(1000*CHOOSE(CONTROL!$C$42, 695, 695)*CHOOSE(CONTROL!$C$42, 0.5599, 0.5599)*CHOOSE(CONTROL!$C$42, 31, 31))/1000000</f>
        <v>12.063045499999998</v>
      </c>
      <c r="V415" s="38">
        <f>(1000*CHOOSE(CONTROL!$C$42, 500, 500)*CHOOSE(CONTROL!$C$42, 0.275, 0.275)*CHOOSE(CONTROL!$C$42, 31, 31))/1000000</f>
        <v>4.2625000000000002</v>
      </c>
      <c r="W415" s="38">
        <f>(1000*CHOOSE(CONTROL!$C$42, 0.1146, 0.1146)*CHOOSE(CONTROL!$C$42, 121.5, 121.5)*CHOOSE(CONTROL!$C$42, 31, 31))/1000000</f>
        <v>0.43164089999999994</v>
      </c>
      <c r="X415" s="38">
        <f>(31*0.1790888*245000/1000000)+(31*0.2374*100000/1000000)</f>
        <v>2.0961194359999999</v>
      </c>
      <c r="Y415" s="38">
        <f>(1000*600*CHOOSE(CONTROL!$C$42, 1.0896, 1.0896)*CHOOSE(CONTROL!$C$42, 31, 31))/1000000</f>
        <v>20.266559999999995</v>
      </c>
      <c r="Z415" s="38"/>
      <c r="AA415" s="10"/>
      <c r="AB415" s="39"/>
      <c r="AC415" s="33">
        <f>(B415*194.205+C415*267.466+D415*133.845+E415*53.484+F415*40+G415*185+H415*0+I415*100+J415*300)/(194.205+267.466+133.845+53.484+0+40+185+100+300)</f>
        <v>12.349487649843013</v>
      </c>
      <c r="AD415" s="27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12.257885611510794</v>
      </c>
    </row>
    <row r="416" spans="1:30" ht="15.75" x14ac:dyDescent="0.25">
      <c r="A416" s="14">
        <v>53935</v>
      </c>
      <c r="B416" s="10">
        <f>CHOOSE(CONTROL!$C$42, 11.7257, 11.7257) * CHOOSE(CONTROL!$C$21, $C$9, 100%, $E$9)</f>
        <v>11.7257</v>
      </c>
      <c r="C416" s="10">
        <f>CHOOSE(CONTROL!$C$42, 11.7336, 11.7336) * CHOOSE(CONTROL!$C$21, $C$9, 100%, $E$9)</f>
        <v>11.733599999999999</v>
      </c>
      <c r="D416" s="10">
        <f>CHOOSE(CONTROL!$C$42, 11.9106, 11.9106) * CHOOSE(CONTROL!$C$21, $C$9, 100%, $E$9)</f>
        <v>11.910600000000001</v>
      </c>
      <c r="E416" s="10">
        <f>CHOOSE(CONTROL!$C$42, 11.9417, 11.9417) * CHOOSE(CONTROL!$C$21, $C$9, 100%, $E$9)</f>
        <v>11.941700000000001</v>
      </c>
      <c r="F416" s="10">
        <f>CHOOSE(CONTROL!$C$42, 11.6895, 11.6895)*CHOOSE(CONTROL!$C$21, $C$9, 100%, $E$9)</f>
        <v>11.689500000000001</v>
      </c>
      <c r="G416" s="10">
        <f>CHOOSE(CONTROL!$C$42, 11.7062, 11.7062)*CHOOSE(CONTROL!$C$21, $C$9, 100%, $E$9)</f>
        <v>11.706200000000001</v>
      </c>
      <c r="H416" s="10">
        <f>CHOOSE(CONTROL!$C$42, 11.9304, 11.9304) * CHOOSE(CONTROL!$C$21, $C$9, 100%, $E$9)</f>
        <v>11.930400000000001</v>
      </c>
      <c r="I416" s="10">
        <f>CHOOSE(CONTROL!$C$42, 11.7103, 11.7103)* CHOOSE(CONTROL!$C$21, $C$9, 100%, $E$9)</f>
        <v>11.7103</v>
      </c>
      <c r="J416" s="10">
        <f>CHOOSE(CONTROL!$C$42, 11.6825, 11.6825)* CHOOSE(CONTROL!$C$21, $C$9, 100%, $E$9)</f>
        <v>11.682499999999999</v>
      </c>
      <c r="K416" s="10">
        <f>CHOOSE(CONTROL!$C$42, 11.513, 11.513) * CHOOSE(CONTROL!$C$21, $C$9, 100%, $E$9)</f>
        <v>11.513</v>
      </c>
      <c r="L416" s="10">
        <f>CHOOSE(CONTROL!$C$42, 12.5174, 12.5174) * CHOOSE(CONTROL!$C$21, $C$9, 100%, $E$9)</f>
        <v>12.5174</v>
      </c>
      <c r="M416" s="10">
        <f>CHOOSE(CONTROL!$C$42, 11.5785, 11.5785) * CHOOSE(CONTROL!$C$21, $C$9, 100%, $E$9)</f>
        <v>11.5785</v>
      </c>
      <c r="N416" s="10">
        <f>CHOOSE(CONTROL!$C$42, 11.5949, 11.5949) * CHOOSE(CONTROL!$C$21, $C$9, 100%, $E$9)</f>
        <v>11.594900000000001</v>
      </c>
      <c r="O416" s="10">
        <f>CHOOSE(CONTROL!$C$42, 11.8238, 11.8238) * CHOOSE(CONTROL!$C$21, $C$9, 100%, $E$9)</f>
        <v>11.8238</v>
      </c>
      <c r="P416" s="10">
        <f>CHOOSE(CONTROL!$C$42, 11.606, 11.606) * CHOOSE(CONTROL!$C$21, $C$9, 100%, $E$9)</f>
        <v>11.606</v>
      </c>
      <c r="Q416" s="10">
        <f>CHOOSE(CONTROL!$C$42, 12.4191, 12.4191) * CHOOSE(CONTROL!$C$21, $C$9, 100%, $E$9)</f>
        <v>12.4191</v>
      </c>
      <c r="R416" s="10">
        <f>CHOOSE(CONTROL!$C$42, 13.0371, 13.0371) * CHOOSE(CONTROL!$C$21, $C$9, 100%, $E$9)</f>
        <v>13.037100000000001</v>
      </c>
      <c r="S416" s="10">
        <f>CHOOSE(CONTROL!$C$42, 11.3826, 11.3826) * CHOOSE(CONTROL!$C$21, $C$9, 100%, $E$9)</f>
        <v>11.3826</v>
      </c>
      <c r="T4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38">
        <f>(1000*CHOOSE(CONTROL!$C$42, 695, 695)*CHOOSE(CONTROL!$C$42, 0.5599, 0.5599)*CHOOSE(CONTROL!$C$42, 31, 31))/1000000</f>
        <v>12.063045499999998</v>
      </c>
      <c r="V416" s="38">
        <f>(1000*CHOOSE(CONTROL!$C$42, 500, 500)*CHOOSE(CONTROL!$C$42, 0.275, 0.275)*CHOOSE(CONTROL!$C$42, 31, 31))/1000000</f>
        <v>4.2625000000000002</v>
      </c>
      <c r="W416" s="38">
        <f>(1000*CHOOSE(CONTROL!$C$42, 0.1146, 0.1146)*CHOOSE(CONTROL!$C$42, 121.5, 121.5)*CHOOSE(CONTROL!$C$42, 31, 31))/1000000</f>
        <v>0.43164089999999994</v>
      </c>
      <c r="X416" s="38">
        <f>(31*0.1790888*245000/1000000)+(31*0.2374*100000/1000000)</f>
        <v>2.0961194359999999</v>
      </c>
      <c r="Y416" s="38">
        <f>(1000*600*CHOOSE(CONTROL!$C$42, 1.0896, 1.0896)*CHOOSE(CONTROL!$C$42, 31, 31))/1000000</f>
        <v>20.266559999999995</v>
      </c>
      <c r="Z416" s="38"/>
      <c r="AA416" s="10"/>
      <c r="AB416" s="39"/>
      <c r="AC416" s="33">
        <f>(B416*194.205+C416*267.466+D416*133.845+E416*53.484+F416*40+G416*185+H416*0+I416*100+J416*300)/(194.205+267.466+133.845+53.484+0+40+185+100+300)</f>
        <v>11.740502171036107</v>
      </c>
      <c r="AD416" s="27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11.655057553956837</v>
      </c>
    </row>
    <row r="417" spans="1:30" ht="15.75" x14ac:dyDescent="0.25">
      <c r="A417" s="14">
        <v>53965</v>
      </c>
      <c r="B417" s="10">
        <f>CHOOSE(CONTROL!$C$42, 10.9816, 10.9816) * CHOOSE(CONTROL!$C$21, $C$9, 100%, $E$9)</f>
        <v>10.9816</v>
      </c>
      <c r="C417" s="10">
        <f>CHOOSE(CONTROL!$C$42, 10.9895, 10.9895) * CHOOSE(CONTROL!$C$21, $C$9, 100%, $E$9)</f>
        <v>10.9895</v>
      </c>
      <c r="D417" s="10">
        <f>CHOOSE(CONTROL!$C$42, 11.1665, 11.1665) * CHOOSE(CONTROL!$C$21, $C$9, 100%, $E$9)</f>
        <v>11.166499999999999</v>
      </c>
      <c r="E417" s="10">
        <f>CHOOSE(CONTROL!$C$42, 11.1977, 11.1977) * CHOOSE(CONTROL!$C$21, $C$9, 100%, $E$9)</f>
        <v>11.197699999999999</v>
      </c>
      <c r="F417" s="10">
        <f>CHOOSE(CONTROL!$C$42, 10.9452, 10.9452)*CHOOSE(CONTROL!$C$21, $C$9, 100%, $E$9)</f>
        <v>10.9452</v>
      </c>
      <c r="G417" s="10">
        <f>CHOOSE(CONTROL!$C$42, 10.9618, 10.9618)*CHOOSE(CONTROL!$C$21, $C$9, 100%, $E$9)</f>
        <v>10.9618</v>
      </c>
      <c r="H417" s="10">
        <f>CHOOSE(CONTROL!$C$42, 11.1863, 11.1863) * CHOOSE(CONTROL!$C$21, $C$9, 100%, $E$9)</f>
        <v>11.186299999999999</v>
      </c>
      <c r="I417" s="10">
        <f>CHOOSE(CONTROL!$C$42, 10.9662, 10.9662)* CHOOSE(CONTROL!$C$21, $C$9, 100%, $E$9)</f>
        <v>10.966200000000001</v>
      </c>
      <c r="J417" s="10">
        <f>CHOOSE(CONTROL!$C$42, 10.9382, 10.9382)* CHOOSE(CONTROL!$C$21, $C$9, 100%, $E$9)</f>
        <v>10.9382</v>
      </c>
      <c r="K417" s="10">
        <f>CHOOSE(CONTROL!$C$42, 10.7896, 10.7896) * CHOOSE(CONTROL!$C$21, $C$9, 100%, $E$9)</f>
        <v>10.7896</v>
      </c>
      <c r="L417" s="10">
        <f>CHOOSE(CONTROL!$C$42, 11.7733, 11.7733) * CHOOSE(CONTROL!$C$21, $C$9, 100%, $E$9)</f>
        <v>11.773300000000001</v>
      </c>
      <c r="M417" s="10">
        <f>CHOOSE(CONTROL!$C$42, 10.8416, 10.8416) * CHOOSE(CONTROL!$C$21, $C$9, 100%, $E$9)</f>
        <v>10.8416</v>
      </c>
      <c r="N417" s="10">
        <f>CHOOSE(CONTROL!$C$42, 10.858, 10.858) * CHOOSE(CONTROL!$C$21, $C$9, 100%, $E$9)</f>
        <v>10.858000000000001</v>
      </c>
      <c r="O417" s="10">
        <f>CHOOSE(CONTROL!$C$42, 11.0872, 11.0872) * CHOOSE(CONTROL!$C$21, $C$9, 100%, $E$9)</f>
        <v>11.087199999999999</v>
      </c>
      <c r="P417" s="10">
        <f>CHOOSE(CONTROL!$C$42, 10.8694, 10.8694) * CHOOSE(CONTROL!$C$21, $C$9, 100%, $E$9)</f>
        <v>10.869400000000001</v>
      </c>
      <c r="Q417" s="10">
        <f>CHOOSE(CONTROL!$C$42, 11.6825, 11.6825) * CHOOSE(CONTROL!$C$21, $C$9, 100%, $E$9)</f>
        <v>11.682499999999999</v>
      </c>
      <c r="R417" s="10">
        <f>CHOOSE(CONTROL!$C$42, 12.2987, 12.2987) * CHOOSE(CONTROL!$C$21, $C$9, 100%, $E$9)</f>
        <v>12.2987</v>
      </c>
      <c r="S417" s="10">
        <f>CHOOSE(CONTROL!$C$42, 10.66, 10.66) * CHOOSE(CONTROL!$C$21, $C$9, 100%, $E$9)</f>
        <v>10.66</v>
      </c>
      <c r="T4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38">
        <f>(1000*CHOOSE(CONTROL!$C$42, 695, 695)*CHOOSE(CONTROL!$C$42, 0.5599, 0.5599)*CHOOSE(CONTROL!$C$42, 30, 30))/1000000</f>
        <v>11.673914999999997</v>
      </c>
      <c r="V417" s="38">
        <f>(1000*CHOOSE(CONTROL!$C$42, 500, 500)*CHOOSE(CONTROL!$C$42, 0.275, 0.275)*CHOOSE(CONTROL!$C$42, 30, 30))/1000000</f>
        <v>4.125</v>
      </c>
      <c r="W417" s="38">
        <f>(1000*CHOOSE(CONTROL!$C$42, 0.1146, 0.1146)*CHOOSE(CONTROL!$C$42, 121.5, 121.5)*CHOOSE(CONTROL!$C$42, 30, 30))/1000000</f>
        <v>0.417717</v>
      </c>
      <c r="X417" s="38">
        <f>(30*0.1790888*245000/1000000)+(30*0.2374*100000/1000000)</f>
        <v>2.0285026799999999</v>
      </c>
      <c r="Y417" s="38">
        <f>(1000*600*CHOOSE(CONTROL!$C$42, 1.0896, 1.0896)*CHOOSE(CONTROL!$C$42, 30, 30))/1000000</f>
        <v>19.612799999999996</v>
      </c>
      <c r="Z417" s="38"/>
      <c r="AA417" s="10"/>
      <c r="AB417" s="39"/>
      <c r="AC417" s="33">
        <f>(B417*194.205+C417*267.466+D417*133.845+E417*53.484+F417*40+G417*185+H417*0+I417*100+J417*300)/(194.205+267.466+133.845+53.484+0+40+185+100+300)</f>
        <v>10.996309430376767</v>
      </c>
      <c r="AD417" s="27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10.918284892086332</v>
      </c>
    </row>
    <row r="418" spans="1:30" ht="15.75" x14ac:dyDescent="0.25">
      <c r="A418" s="14">
        <v>53996</v>
      </c>
      <c r="B418" s="10">
        <f>CHOOSE(CONTROL!$C$42, 10.7566, 10.7566) * CHOOSE(CONTROL!$C$21, $C$9, 100%, $E$9)</f>
        <v>10.756600000000001</v>
      </c>
      <c r="C418" s="10">
        <f>CHOOSE(CONTROL!$C$42, 10.7618, 10.7618) * CHOOSE(CONTROL!$C$21, $C$9, 100%, $E$9)</f>
        <v>10.761799999999999</v>
      </c>
      <c r="D418" s="10">
        <f>CHOOSE(CONTROL!$C$42, 10.9438, 10.9438) * CHOOSE(CONTROL!$C$21, $C$9, 100%, $E$9)</f>
        <v>10.9438</v>
      </c>
      <c r="E418" s="10">
        <f>CHOOSE(CONTROL!$C$42, 10.9726, 10.9726) * CHOOSE(CONTROL!$C$21, $C$9, 100%, $E$9)</f>
        <v>10.9726</v>
      </c>
      <c r="F418" s="10">
        <f>CHOOSE(CONTROL!$C$42, 10.7222, 10.7222)*CHOOSE(CONTROL!$C$21, $C$9, 100%, $E$9)</f>
        <v>10.722200000000001</v>
      </c>
      <c r="G418" s="10">
        <f>CHOOSE(CONTROL!$C$42, 10.7384, 10.7384)*CHOOSE(CONTROL!$C$21, $C$9, 100%, $E$9)</f>
        <v>10.7384</v>
      </c>
      <c r="H418" s="10">
        <f>CHOOSE(CONTROL!$C$42, 10.963, 10.963) * CHOOSE(CONTROL!$C$21, $C$9, 100%, $E$9)</f>
        <v>10.962999999999999</v>
      </c>
      <c r="I418" s="10">
        <f>CHOOSE(CONTROL!$C$42, 10.743, 10.743)* CHOOSE(CONTROL!$C$21, $C$9, 100%, $E$9)</f>
        <v>10.743</v>
      </c>
      <c r="J418" s="10">
        <f>CHOOSE(CONTROL!$C$42, 10.7152, 10.7152)* CHOOSE(CONTROL!$C$21, $C$9, 100%, $E$9)</f>
        <v>10.715199999999999</v>
      </c>
      <c r="K418" s="10">
        <f>CHOOSE(CONTROL!$C$42, 10.5732, 10.5732) * CHOOSE(CONTROL!$C$21, $C$9, 100%, $E$9)</f>
        <v>10.5732</v>
      </c>
      <c r="L418" s="10">
        <f>CHOOSE(CONTROL!$C$42, 11.55, 11.55) * CHOOSE(CONTROL!$C$21, $C$9, 100%, $E$9)</f>
        <v>11.55</v>
      </c>
      <c r="M418" s="10">
        <f>CHOOSE(CONTROL!$C$42, 10.6209, 10.6209) * CHOOSE(CONTROL!$C$21, $C$9, 100%, $E$9)</f>
        <v>10.620900000000001</v>
      </c>
      <c r="N418" s="10">
        <f>CHOOSE(CONTROL!$C$42, 10.637, 10.637) * CHOOSE(CONTROL!$C$21, $C$9, 100%, $E$9)</f>
        <v>10.637</v>
      </c>
      <c r="O418" s="10">
        <f>CHOOSE(CONTROL!$C$42, 10.8662, 10.8662) * CHOOSE(CONTROL!$C$21, $C$9, 100%, $E$9)</f>
        <v>10.866199999999999</v>
      </c>
      <c r="P418" s="10">
        <f>CHOOSE(CONTROL!$C$42, 10.6484, 10.6484) * CHOOSE(CONTROL!$C$21, $C$9, 100%, $E$9)</f>
        <v>10.648400000000001</v>
      </c>
      <c r="Q418" s="10">
        <f>CHOOSE(CONTROL!$C$42, 11.4615, 11.4615) * CHOOSE(CONTROL!$C$21, $C$9, 100%, $E$9)</f>
        <v>11.461499999999999</v>
      </c>
      <c r="R418" s="10">
        <f>CHOOSE(CONTROL!$C$42, 12.0772, 12.0772) * CHOOSE(CONTROL!$C$21, $C$9, 100%, $E$9)</f>
        <v>12.077199999999999</v>
      </c>
      <c r="S418" s="10">
        <f>CHOOSE(CONTROL!$C$42, 10.4432, 10.4432) * CHOOSE(CONTROL!$C$21, $C$9, 100%, $E$9)</f>
        <v>10.443199999999999</v>
      </c>
      <c r="T4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38">
        <f>(1000*CHOOSE(CONTROL!$C$42, 695, 695)*CHOOSE(CONTROL!$C$42, 0.5599, 0.5599)*CHOOSE(CONTROL!$C$42, 31, 31))/1000000</f>
        <v>12.063045499999998</v>
      </c>
      <c r="V418" s="38">
        <f>(1000*CHOOSE(CONTROL!$C$42, 500, 500)*CHOOSE(CONTROL!$C$42, 0.275, 0.275)*CHOOSE(CONTROL!$C$42, 31, 31))/1000000</f>
        <v>4.2625000000000002</v>
      </c>
      <c r="W418" s="38">
        <f>(1000*CHOOSE(CONTROL!$C$42, 0.1146, 0.1146)*CHOOSE(CONTROL!$C$42, 121.5, 121.5)*CHOOSE(CONTROL!$C$42, 31, 31))/1000000</f>
        <v>0.43164089999999994</v>
      </c>
      <c r="X418" s="38">
        <f>(31*0.1790888*245000/1000000)+(31*0.2374*100000/1000000)</f>
        <v>2.0961194359999999</v>
      </c>
      <c r="Y418" s="38">
        <f>(1000*600*CHOOSE(CONTROL!$C$42, 1.0896, 1.0896)*CHOOSE(CONTROL!$C$42, 31, 31))/1000000</f>
        <v>20.266559999999995</v>
      </c>
      <c r="Z418" s="38"/>
      <c r="AA418" s="10"/>
      <c r="AB418" s="39"/>
      <c r="AC418" s="33">
        <f>(B418*131.881+C418*277.167+D418*79.08+E418*125.872+F418*40+G418*185+H418*0+I418*100+J418*300)/(131.881+277.167+79.08+125.872+0+40+185+100+300)</f>
        <v>10.776705243260691</v>
      </c>
      <c r="AD418" s="27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10.697388489208633</v>
      </c>
    </row>
    <row r="419" spans="1:30" ht="15.75" x14ac:dyDescent="0.25">
      <c r="A419" s="14">
        <v>54026</v>
      </c>
      <c r="B419" s="10">
        <f>CHOOSE(CONTROL!$C$42, 11.0395, 11.0395) * CHOOSE(CONTROL!$C$21, $C$9, 100%, $E$9)</f>
        <v>11.0395</v>
      </c>
      <c r="C419" s="10">
        <f>CHOOSE(CONTROL!$C$42, 11.0444, 11.0444) * CHOOSE(CONTROL!$C$21, $C$9, 100%, $E$9)</f>
        <v>11.0444</v>
      </c>
      <c r="D419" s="10">
        <f>CHOOSE(CONTROL!$C$42, 11.0689, 11.0689) * CHOOSE(CONTROL!$C$21, $C$9, 100%, $E$9)</f>
        <v>11.068899999999999</v>
      </c>
      <c r="E419" s="10">
        <f>CHOOSE(CONTROL!$C$42, 11.1027, 11.1027) * CHOOSE(CONTROL!$C$21, $C$9, 100%, $E$9)</f>
        <v>11.1027</v>
      </c>
      <c r="F419" s="10">
        <f>CHOOSE(CONTROL!$C$42, 11.0088, 11.0088)*CHOOSE(CONTROL!$C$21, $C$9, 100%, $E$9)</f>
        <v>11.008800000000001</v>
      </c>
      <c r="G419" s="10">
        <f>CHOOSE(CONTROL!$C$42, 11.0252, 11.0252)*CHOOSE(CONTROL!$C$21, $C$9, 100%, $E$9)</f>
        <v>11.0252</v>
      </c>
      <c r="H419" s="10">
        <f>CHOOSE(CONTROL!$C$42, 11.0919, 11.0919) * CHOOSE(CONTROL!$C$21, $C$9, 100%, $E$9)</f>
        <v>11.091900000000001</v>
      </c>
      <c r="I419" s="10">
        <f>CHOOSE(CONTROL!$C$42, 11.0262, 11.0262)* CHOOSE(CONTROL!$C$21, $C$9, 100%, $E$9)</f>
        <v>11.026199999999999</v>
      </c>
      <c r="J419" s="10">
        <f>CHOOSE(CONTROL!$C$42, 11.0018, 11.0018)* CHOOSE(CONTROL!$C$21, $C$9, 100%, $E$9)</f>
        <v>11.001799999999999</v>
      </c>
      <c r="K419" s="10">
        <f>CHOOSE(CONTROL!$C$42, 10.85, 10.85) * CHOOSE(CONTROL!$C$21, $C$9, 100%, $E$9)</f>
        <v>10.85</v>
      </c>
      <c r="L419" s="10">
        <f>CHOOSE(CONTROL!$C$42, 11.6789, 11.6789) * CHOOSE(CONTROL!$C$21, $C$9, 100%, $E$9)</f>
        <v>11.678900000000001</v>
      </c>
      <c r="M419" s="10">
        <f>CHOOSE(CONTROL!$C$42, 10.9046, 10.9046) * CHOOSE(CONTROL!$C$21, $C$9, 100%, $E$9)</f>
        <v>10.9046</v>
      </c>
      <c r="N419" s="10">
        <f>CHOOSE(CONTROL!$C$42, 10.9209, 10.9209) * CHOOSE(CONTROL!$C$21, $C$9, 100%, $E$9)</f>
        <v>10.9209</v>
      </c>
      <c r="O419" s="10">
        <f>CHOOSE(CONTROL!$C$42, 10.9938, 10.9938) * CHOOSE(CONTROL!$C$21, $C$9, 100%, $E$9)</f>
        <v>10.9938</v>
      </c>
      <c r="P419" s="10">
        <f>CHOOSE(CONTROL!$C$42, 10.9288, 10.9288) * CHOOSE(CONTROL!$C$21, $C$9, 100%, $E$9)</f>
        <v>10.928800000000001</v>
      </c>
      <c r="Q419" s="10">
        <f>CHOOSE(CONTROL!$C$42, 11.5891, 11.5891) * CHOOSE(CONTROL!$C$21, $C$9, 100%, $E$9)</f>
        <v>11.5891</v>
      </c>
      <c r="R419" s="10">
        <f>CHOOSE(CONTROL!$C$42, 12.205, 12.205) * CHOOSE(CONTROL!$C$21, $C$9, 100%, $E$9)</f>
        <v>12.205</v>
      </c>
      <c r="S419" s="10">
        <f>CHOOSE(CONTROL!$C$42, 10.7183, 10.7183) * CHOOSE(CONTROL!$C$21, $C$9, 100%, $E$9)</f>
        <v>10.718299999999999</v>
      </c>
      <c r="T4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38">
        <f>(1000*CHOOSE(CONTROL!$C$42, 695, 695)*CHOOSE(CONTROL!$C$42, 0.5599, 0.5599)*CHOOSE(CONTROL!$C$42, 30, 30))/1000000</f>
        <v>11.673914999999997</v>
      </c>
      <c r="V419" s="38">
        <f>(1000*CHOOSE(CONTROL!$C$42, 500, 500)*CHOOSE(CONTROL!$C$42, 0.275, 0.275)*CHOOSE(CONTROL!$C$42, 30, 30))/1000000</f>
        <v>4.125</v>
      </c>
      <c r="W419" s="38">
        <f>(1000*CHOOSE(CONTROL!$C$42, 0.1146, 0.1146)*CHOOSE(CONTROL!$C$42, 121.5, 121.5)*CHOOSE(CONTROL!$C$42, 30, 30))/1000000</f>
        <v>0.417717</v>
      </c>
      <c r="X419" s="38">
        <f>(30*0.1790888*100000/1000000)+(30*0.2374*100000/1000000)</f>
        <v>1.2494664</v>
      </c>
      <c r="Y419" s="38">
        <f>(1000*600*CHOOSE(CONTROL!$C$42, 1.0896, 1.0896)*CHOOSE(CONTROL!$C$42, 30, 30))/1000000</f>
        <v>19.612799999999996</v>
      </c>
      <c r="Z419" s="38"/>
      <c r="AA419" s="10"/>
      <c r="AB419" s="39"/>
      <c r="AC419" s="33">
        <f>(B419*122.58+C419*297.941+D419*89.177+E419*40.302+F419*40+G419*160+H419*0+I419*100+J419*300)/(122.58+297.941+89.177+40.302+0+40+160+100+300)</f>
        <v>11.031215479217391</v>
      </c>
      <c r="AD419" s="27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10.949448920863311</v>
      </c>
    </row>
    <row r="420" spans="1:30" ht="15.75" x14ac:dyDescent="0.25">
      <c r="A420" s="14">
        <v>54057</v>
      </c>
      <c r="B420" s="10">
        <f>CHOOSE(CONTROL!$C$42, 11.7919, 11.7919) * CHOOSE(CONTROL!$C$21, $C$9, 100%, $E$9)</f>
        <v>11.7919</v>
      </c>
      <c r="C420" s="10">
        <f>CHOOSE(CONTROL!$C$42, 11.7969, 11.7969) * CHOOSE(CONTROL!$C$21, $C$9, 100%, $E$9)</f>
        <v>11.796900000000001</v>
      </c>
      <c r="D420" s="10">
        <f>CHOOSE(CONTROL!$C$42, 11.8213, 11.8213) * CHOOSE(CONTROL!$C$21, $C$9, 100%, $E$9)</f>
        <v>11.821300000000001</v>
      </c>
      <c r="E420" s="10">
        <f>CHOOSE(CONTROL!$C$42, 11.8551, 11.8551) * CHOOSE(CONTROL!$C$21, $C$9, 100%, $E$9)</f>
        <v>11.8551</v>
      </c>
      <c r="F420" s="10">
        <f>CHOOSE(CONTROL!$C$42, 11.7636, 11.7636)*CHOOSE(CONTROL!$C$21, $C$9, 100%, $E$9)</f>
        <v>11.7636</v>
      </c>
      <c r="G420" s="10">
        <f>CHOOSE(CONTROL!$C$42, 11.7806, 11.7806)*CHOOSE(CONTROL!$C$21, $C$9, 100%, $E$9)</f>
        <v>11.7806</v>
      </c>
      <c r="H420" s="10">
        <f>CHOOSE(CONTROL!$C$42, 11.8443, 11.8443) * CHOOSE(CONTROL!$C$21, $C$9, 100%, $E$9)</f>
        <v>11.8443</v>
      </c>
      <c r="I420" s="10">
        <f>CHOOSE(CONTROL!$C$42, 11.7787, 11.7787)* CHOOSE(CONTROL!$C$21, $C$9, 100%, $E$9)</f>
        <v>11.778700000000001</v>
      </c>
      <c r="J420" s="10">
        <f>CHOOSE(CONTROL!$C$42, 11.7566, 11.7566)* CHOOSE(CONTROL!$C$21, $C$9, 100%, $E$9)</f>
        <v>11.756600000000001</v>
      </c>
      <c r="K420" s="10">
        <f>CHOOSE(CONTROL!$C$42, 11.5861, 11.5861) * CHOOSE(CONTROL!$C$21, $C$9, 100%, $E$9)</f>
        <v>11.5861</v>
      </c>
      <c r="L420" s="10">
        <f>CHOOSE(CONTROL!$C$42, 12.4313, 12.4313) * CHOOSE(CONTROL!$C$21, $C$9, 100%, $E$9)</f>
        <v>12.4313</v>
      </c>
      <c r="M420" s="10">
        <f>CHOOSE(CONTROL!$C$42, 11.6517, 11.6517) * CHOOSE(CONTROL!$C$21, $C$9, 100%, $E$9)</f>
        <v>11.6517</v>
      </c>
      <c r="N420" s="10">
        <f>CHOOSE(CONTROL!$C$42, 11.6686, 11.6686) * CHOOSE(CONTROL!$C$21, $C$9, 100%, $E$9)</f>
        <v>11.6686</v>
      </c>
      <c r="O420" s="10">
        <f>CHOOSE(CONTROL!$C$42, 11.7386, 11.7386) * CHOOSE(CONTROL!$C$21, $C$9, 100%, $E$9)</f>
        <v>11.7386</v>
      </c>
      <c r="P420" s="10">
        <f>CHOOSE(CONTROL!$C$42, 11.6737, 11.6737) * CHOOSE(CONTROL!$C$21, $C$9, 100%, $E$9)</f>
        <v>11.6737</v>
      </c>
      <c r="Q420" s="10">
        <f>CHOOSE(CONTROL!$C$42, 12.3339, 12.3339) * CHOOSE(CONTROL!$C$21, $C$9, 100%, $E$9)</f>
        <v>12.3339</v>
      </c>
      <c r="R420" s="10">
        <f>CHOOSE(CONTROL!$C$42, 12.9518, 12.9518) * CHOOSE(CONTROL!$C$21, $C$9, 100%, $E$9)</f>
        <v>12.9518</v>
      </c>
      <c r="S420" s="10">
        <f>CHOOSE(CONTROL!$C$42, 11.449, 11.449) * CHOOSE(CONTROL!$C$21, $C$9, 100%, $E$9)</f>
        <v>11.449</v>
      </c>
      <c r="T4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38">
        <f>(1000*CHOOSE(CONTROL!$C$42, 695, 695)*CHOOSE(CONTROL!$C$42, 0.5599, 0.5599)*CHOOSE(CONTROL!$C$42, 31, 31))/1000000</f>
        <v>12.063045499999998</v>
      </c>
      <c r="V420" s="38">
        <f>(1000*CHOOSE(CONTROL!$C$42, 500, 500)*CHOOSE(CONTROL!$C$42, 0.275, 0.275)*CHOOSE(CONTROL!$C$42, 31, 31))/1000000</f>
        <v>4.2625000000000002</v>
      </c>
      <c r="W420" s="38">
        <f>(1000*CHOOSE(CONTROL!$C$42, 0.1146, 0.1146)*CHOOSE(CONTROL!$C$42, 121.5, 121.5)*CHOOSE(CONTROL!$C$42, 31, 31))/1000000</f>
        <v>0.43164089999999994</v>
      </c>
      <c r="X420" s="38">
        <f>(31*0.1790888*100000/1000000)+(31*0.2374*100000/1000000)</f>
        <v>1.2911152800000001</v>
      </c>
      <c r="Y420" s="38">
        <f>(1000*600*CHOOSE(CONTROL!$C$42, 1.0896, 1.0896)*CHOOSE(CONTROL!$C$42, 31, 31))/1000000</f>
        <v>20.266559999999995</v>
      </c>
      <c r="Z420" s="38"/>
      <c r="AA420" s="10"/>
      <c r="AB420" s="39"/>
      <c r="AC420" s="33">
        <f>(B420*122.58+C420*297.941+D420*89.177+E420*40.302+F420*40+G420*160+H420*0+I420*100+J420*300)/(122.58+297.941+89.177+40.302+0+40+160+100+300)</f>
        <v>11.784777039304348</v>
      </c>
      <c r="AD420" s="27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11.695224460431653</v>
      </c>
    </row>
    <row r="421" spans="1:30" ht="15.75" x14ac:dyDescent="0.25">
      <c r="A421" s="14">
        <v>54088</v>
      </c>
      <c r="B421" s="10">
        <f>CHOOSE(CONTROL!$C$42, 12.5876, 12.5876) * CHOOSE(CONTROL!$C$21, $C$9, 100%, $E$9)</f>
        <v>12.5876</v>
      </c>
      <c r="C421" s="10">
        <f>CHOOSE(CONTROL!$C$42, 12.5926, 12.5926) * CHOOSE(CONTROL!$C$21, $C$9, 100%, $E$9)</f>
        <v>12.592599999999999</v>
      </c>
      <c r="D421" s="10">
        <f>CHOOSE(CONTROL!$C$42, 12.617, 12.617) * CHOOSE(CONTROL!$C$21, $C$9, 100%, $E$9)</f>
        <v>12.617000000000001</v>
      </c>
      <c r="E421" s="10">
        <f>CHOOSE(CONTROL!$C$42, 12.6508, 12.6508) * CHOOSE(CONTROL!$C$21, $C$9, 100%, $E$9)</f>
        <v>12.6508</v>
      </c>
      <c r="F421" s="10">
        <f>CHOOSE(CONTROL!$C$42, 12.5706, 12.5706)*CHOOSE(CONTROL!$C$21, $C$9, 100%, $E$9)</f>
        <v>12.570600000000001</v>
      </c>
      <c r="G421" s="10">
        <f>CHOOSE(CONTROL!$C$42, 12.5892, 12.5892)*CHOOSE(CONTROL!$C$21, $C$9, 100%, $E$9)</f>
        <v>12.5892</v>
      </c>
      <c r="H421" s="10">
        <f>CHOOSE(CONTROL!$C$42, 12.64, 12.64) * CHOOSE(CONTROL!$C$21, $C$9, 100%, $E$9)</f>
        <v>12.64</v>
      </c>
      <c r="I421" s="10">
        <f>CHOOSE(CONTROL!$C$42, 12.5821, 12.5821)* CHOOSE(CONTROL!$C$21, $C$9, 100%, $E$9)</f>
        <v>12.582100000000001</v>
      </c>
      <c r="J421" s="10">
        <f>CHOOSE(CONTROL!$C$42, 12.5636, 12.5636)* CHOOSE(CONTROL!$C$21, $C$9, 100%, $E$9)</f>
        <v>12.563599999999999</v>
      </c>
      <c r="K421" s="10">
        <f>CHOOSE(CONTROL!$C$42, 12.3801, 12.3801) * CHOOSE(CONTROL!$C$21, $C$9, 100%, $E$9)</f>
        <v>12.380100000000001</v>
      </c>
      <c r="L421" s="10">
        <f>CHOOSE(CONTROL!$C$42, 13.227, 13.227) * CHOOSE(CONTROL!$C$21, $C$9, 100%, $E$9)</f>
        <v>13.227</v>
      </c>
      <c r="M421" s="10">
        <f>CHOOSE(CONTROL!$C$42, 12.4506, 12.4506) * CHOOSE(CONTROL!$C$21, $C$9, 100%, $E$9)</f>
        <v>12.4506</v>
      </c>
      <c r="N421" s="10">
        <f>CHOOSE(CONTROL!$C$42, 12.4691, 12.4691) * CHOOSE(CONTROL!$C$21, $C$9, 100%, $E$9)</f>
        <v>12.469099999999999</v>
      </c>
      <c r="O421" s="10">
        <f>CHOOSE(CONTROL!$C$42, 12.5263, 12.5263) * CHOOSE(CONTROL!$C$21, $C$9, 100%, $E$9)</f>
        <v>12.526300000000001</v>
      </c>
      <c r="P421" s="10">
        <f>CHOOSE(CONTROL!$C$42, 12.469, 12.469) * CHOOSE(CONTROL!$C$21, $C$9, 100%, $E$9)</f>
        <v>12.468999999999999</v>
      </c>
      <c r="Q421" s="10">
        <f>CHOOSE(CONTROL!$C$42, 13.1216, 13.1216) * CHOOSE(CONTROL!$C$21, $C$9, 100%, $E$9)</f>
        <v>13.121600000000001</v>
      </c>
      <c r="R421" s="10">
        <f>CHOOSE(CONTROL!$C$42, 13.7414, 13.7414) * CHOOSE(CONTROL!$C$21, $C$9, 100%, $E$9)</f>
        <v>13.741400000000001</v>
      </c>
      <c r="S421" s="10">
        <f>CHOOSE(CONTROL!$C$42, 12.2217, 12.2217) * CHOOSE(CONTROL!$C$21, $C$9, 100%, $E$9)</f>
        <v>12.2217</v>
      </c>
      <c r="T4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38">
        <f>(1000*CHOOSE(CONTROL!$C$42, 695, 695)*CHOOSE(CONTROL!$C$42, 0.5599, 0.5599)*CHOOSE(CONTROL!$C$42, 31, 31))/1000000</f>
        <v>12.063045499999998</v>
      </c>
      <c r="V421" s="38">
        <f>(1000*CHOOSE(CONTROL!$C$42, 500, 500)*CHOOSE(CONTROL!$C$42, 0.275, 0.275)*CHOOSE(CONTROL!$C$42, 31, 31))/1000000</f>
        <v>4.2625000000000002</v>
      </c>
      <c r="W421" s="38">
        <f>(1000*CHOOSE(CONTROL!$C$42, 0.1146, 0.1146)*CHOOSE(CONTROL!$C$42, 121.5, 121.5)*CHOOSE(CONTROL!$C$42, 31, 31))/1000000</f>
        <v>0.43164089999999994</v>
      </c>
      <c r="X421" s="38">
        <f>(31*0.1790888*100000/1000000)+(31*0.2374*100000/1000000)</f>
        <v>1.2911152800000001</v>
      </c>
      <c r="Y421" s="38">
        <f>(1000*600*CHOOSE(CONTROL!$C$42, 1.0861, 1.0861)*CHOOSE(CONTROL!$C$42, 31, 31))/1000000</f>
        <v>20.201460000000001</v>
      </c>
      <c r="Z421" s="38"/>
      <c r="AA421" s="10"/>
      <c r="AB421" s="39"/>
      <c r="AC421" s="33">
        <f>(B421*122.58+C421*297.941+D421*89.177+E421*40.302+F421*40+G421*160+H421*0+I421*100+J421*300)/(122.58+297.941+89.177+40.302+0+40+160+100+300)</f>
        <v>12.586282256695652</v>
      </c>
      <c r="AD421" s="27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12.488622302158275</v>
      </c>
    </row>
    <row r="422" spans="1:30" ht="15.75" x14ac:dyDescent="0.25">
      <c r="A422" s="14">
        <v>54116</v>
      </c>
      <c r="B422" s="10">
        <f>CHOOSE(CONTROL!$C$42, 12.8116, 12.8116) * CHOOSE(CONTROL!$C$21, $C$9, 100%, $E$9)</f>
        <v>12.8116</v>
      </c>
      <c r="C422" s="10">
        <f>CHOOSE(CONTROL!$C$42, 12.8166, 12.8166) * CHOOSE(CONTROL!$C$21, $C$9, 100%, $E$9)</f>
        <v>12.816599999999999</v>
      </c>
      <c r="D422" s="10">
        <f>CHOOSE(CONTROL!$C$42, 12.8411, 12.8411) * CHOOSE(CONTROL!$C$21, $C$9, 100%, $E$9)</f>
        <v>12.841100000000001</v>
      </c>
      <c r="E422" s="10">
        <f>CHOOSE(CONTROL!$C$42, 12.8748, 12.8748) * CHOOSE(CONTROL!$C$21, $C$9, 100%, $E$9)</f>
        <v>12.8748</v>
      </c>
      <c r="F422" s="10">
        <f>CHOOSE(CONTROL!$C$42, 12.7939, 12.7939)*CHOOSE(CONTROL!$C$21, $C$9, 100%, $E$9)</f>
        <v>12.793900000000001</v>
      </c>
      <c r="G422" s="10">
        <f>CHOOSE(CONTROL!$C$42, 12.8124, 12.8124)*CHOOSE(CONTROL!$C$21, $C$9, 100%, $E$9)</f>
        <v>12.8124</v>
      </c>
      <c r="H422" s="10">
        <f>CHOOSE(CONTROL!$C$42, 12.864, 12.864) * CHOOSE(CONTROL!$C$21, $C$9, 100%, $E$9)</f>
        <v>12.864000000000001</v>
      </c>
      <c r="I422" s="10">
        <f>CHOOSE(CONTROL!$C$42, 12.8061, 12.8061)* CHOOSE(CONTROL!$C$21, $C$9, 100%, $E$9)</f>
        <v>12.806100000000001</v>
      </c>
      <c r="J422" s="10">
        <f>CHOOSE(CONTROL!$C$42, 12.7869, 12.7869)* CHOOSE(CONTROL!$C$21, $C$9, 100%, $E$9)</f>
        <v>12.786899999999999</v>
      </c>
      <c r="K422" s="10">
        <f>CHOOSE(CONTROL!$C$42, 12.5963, 12.5963) * CHOOSE(CONTROL!$C$21, $C$9, 100%, $E$9)</f>
        <v>12.596299999999999</v>
      </c>
      <c r="L422" s="10">
        <f>CHOOSE(CONTROL!$C$42, 13.451, 13.451) * CHOOSE(CONTROL!$C$21, $C$9, 100%, $E$9)</f>
        <v>13.451000000000001</v>
      </c>
      <c r="M422" s="10">
        <f>CHOOSE(CONTROL!$C$42, 12.6717, 12.6717) * CHOOSE(CONTROL!$C$21, $C$9, 100%, $E$9)</f>
        <v>12.6717</v>
      </c>
      <c r="N422" s="10">
        <f>CHOOSE(CONTROL!$C$42, 12.69, 12.69) * CHOOSE(CONTROL!$C$21, $C$9, 100%, $E$9)</f>
        <v>12.69</v>
      </c>
      <c r="O422" s="10">
        <f>CHOOSE(CONTROL!$C$42, 12.748, 12.748) * CHOOSE(CONTROL!$C$21, $C$9, 100%, $E$9)</f>
        <v>12.747999999999999</v>
      </c>
      <c r="P422" s="10">
        <f>CHOOSE(CONTROL!$C$42, 12.6908, 12.6908) * CHOOSE(CONTROL!$C$21, $C$9, 100%, $E$9)</f>
        <v>12.690799999999999</v>
      </c>
      <c r="Q422" s="10">
        <f>CHOOSE(CONTROL!$C$42, 13.3433, 13.3433) * CHOOSE(CONTROL!$C$21, $C$9, 100%, $E$9)</f>
        <v>13.343299999999999</v>
      </c>
      <c r="R422" s="10">
        <f>CHOOSE(CONTROL!$C$42, 13.9637, 13.9637) * CHOOSE(CONTROL!$C$21, $C$9, 100%, $E$9)</f>
        <v>13.963699999999999</v>
      </c>
      <c r="S422" s="10">
        <f>CHOOSE(CONTROL!$C$42, 12.4393, 12.4393) * CHOOSE(CONTROL!$C$21, $C$9, 100%, $E$9)</f>
        <v>12.439299999999999</v>
      </c>
      <c r="T42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22" s="38">
        <f>(1000*CHOOSE(CONTROL!$C$42, 695, 695)*CHOOSE(CONTROL!$C$42, 0.5599, 0.5599)*CHOOSE(CONTROL!$C$42, 29, 29))/1000000</f>
        <v>11.284784499999999</v>
      </c>
      <c r="V422" s="38">
        <f>(1000*CHOOSE(CONTROL!$C$42, 500, 500)*CHOOSE(CONTROL!$C$42, 0.275, 0.275)*CHOOSE(CONTROL!$C$42, 29, 29))/1000000</f>
        <v>3.9874999999999998</v>
      </c>
      <c r="W422" s="38">
        <f>(1000*CHOOSE(CONTROL!$C$42, 0.1146, 0.1146)*CHOOSE(CONTROL!$C$42, 121.5, 121.5)*CHOOSE(CONTROL!$C$42, 29, 29))/1000000</f>
        <v>0.40379309999999996</v>
      </c>
      <c r="X422" s="38">
        <f>(29*0.1790888*100000/1000000)+(29*0.2374*100000/1000000)</f>
        <v>1.2078175199999999</v>
      </c>
      <c r="Y422" s="38">
        <f>(1000*600*CHOOSE(CONTROL!$C$42, 1.0861, 1.0861)*CHOOSE(CONTROL!$C$42, 29, 29))/1000000</f>
        <v>18.898140000000001</v>
      </c>
      <c r="Z422" s="38"/>
      <c r="AA422" s="10"/>
      <c r="AB422" s="39"/>
      <c r="AC422" s="33">
        <f>(B422*122.58+C422*297.941+D422*89.177+E422*40.302+F422*40+G422*160+H422*0+I422*100+J422*300)/(122.58+297.941+89.177+40.302+0+40+160+100+300)</f>
        <v>12.809971750347826</v>
      </c>
      <c r="AD422" s="27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12.710083453237409</v>
      </c>
    </row>
    <row r="423" spans="1:30" ht="15.75" x14ac:dyDescent="0.25">
      <c r="A423" s="14">
        <v>54148</v>
      </c>
      <c r="B423" s="10">
        <f>CHOOSE(CONTROL!$C$42, 12.448, 12.448) * CHOOSE(CONTROL!$C$21, $C$9, 100%, $E$9)</f>
        <v>12.448</v>
      </c>
      <c r="C423" s="10">
        <f>CHOOSE(CONTROL!$C$42, 12.453, 12.453) * CHOOSE(CONTROL!$C$21, $C$9, 100%, $E$9)</f>
        <v>12.452999999999999</v>
      </c>
      <c r="D423" s="10">
        <f>CHOOSE(CONTROL!$C$42, 12.4774, 12.4774) * CHOOSE(CONTROL!$C$21, $C$9, 100%, $E$9)</f>
        <v>12.477399999999999</v>
      </c>
      <c r="E423" s="10">
        <f>CHOOSE(CONTROL!$C$42, 12.5112, 12.5112) * CHOOSE(CONTROL!$C$21, $C$9, 100%, $E$9)</f>
        <v>12.511200000000001</v>
      </c>
      <c r="F423" s="10">
        <f>CHOOSE(CONTROL!$C$42, 12.4287, 12.4287)*CHOOSE(CONTROL!$C$21, $C$9, 100%, $E$9)</f>
        <v>12.428699999999999</v>
      </c>
      <c r="G423" s="10">
        <f>CHOOSE(CONTROL!$C$42, 12.4468, 12.4468)*CHOOSE(CONTROL!$C$21, $C$9, 100%, $E$9)</f>
        <v>12.4468</v>
      </c>
      <c r="H423" s="10">
        <f>CHOOSE(CONTROL!$C$42, 12.5004, 12.5004) * CHOOSE(CONTROL!$C$21, $C$9, 100%, $E$9)</f>
        <v>12.500400000000001</v>
      </c>
      <c r="I423" s="10">
        <f>CHOOSE(CONTROL!$C$42, 12.4425, 12.4425)* CHOOSE(CONTROL!$C$21, $C$9, 100%, $E$9)</f>
        <v>12.442500000000001</v>
      </c>
      <c r="J423" s="10">
        <f>CHOOSE(CONTROL!$C$42, 12.4217, 12.4217)* CHOOSE(CONTROL!$C$21, $C$9, 100%, $E$9)</f>
        <v>12.4217</v>
      </c>
      <c r="K423" s="10">
        <f>CHOOSE(CONTROL!$C$42, 12.2396, 12.2396) * CHOOSE(CONTROL!$C$21, $C$9, 100%, $E$9)</f>
        <v>12.239599999999999</v>
      </c>
      <c r="L423" s="10">
        <f>CHOOSE(CONTROL!$C$42, 13.0874, 13.0874) * CHOOSE(CONTROL!$C$21, $C$9, 100%, $E$9)</f>
        <v>13.087400000000001</v>
      </c>
      <c r="M423" s="10">
        <f>CHOOSE(CONTROL!$C$42, 12.3102, 12.3102) * CHOOSE(CONTROL!$C$21, $C$9, 100%, $E$9)</f>
        <v>12.3102</v>
      </c>
      <c r="N423" s="10">
        <f>CHOOSE(CONTROL!$C$42, 12.3281, 12.3281) * CHOOSE(CONTROL!$C$21, $C$9, 100%, $E$9)</f>
        <v>12.328099999999999</v>
      </c>
      <c r="O423" s="10">
        <f>CHOOSE(CONTROL!$C$42, 12.3881, 12.3881) * CHOOSE(CONTROL!$C$21, $C$9, 100%, $E$9)</f>
        <v>12.3881</v>
      </c>
      <c r="P423" s="10">
        <f>CHOOSE(CONTROL!$C$42, 12.3308, 12.3308) * CHOOSE(CONTROL!$C$21, $C$9, 100%, $E$9)</f>
        <v>12.3308</v>
      </c>
      <c r="Q423" s="10">
        <f>CHOOSE(CONTROL!$C$42, 12.9834, 12.9834) * CHOOSE(CONTROL!$C$21, $C$9, 100%, $E$9)</f>
        <v>12.9834</v>
      </c>
      <c r="R423" s="10">
        <f>CHOOSE(CONTROL!$C$42, 13.6028, 13.6028) * CHOOSE(CONTROL!$C$21, $C$9, 100%, $E$9)</f>
        <v>13.6028</v>
      </c>
      <c r="S423" s="10">
        <f>CHOOSE(CONTROL!$C$42, 12.0861, 12.0861) * CHOOSE(CONTROL!$C$21, $C$9, 100%, $E$9)</f>
        <v>12.0861</v>
      </c>
      <c r="T4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38">
        <f>(1000*CHOOSE(CONTROL!$C$42, 695, 695)*CHOOSE(CONTROL!$C$42, 0.5599, 0.5599)*CHOOSE(CONTROL!$C$42, 31, 31))/1000000</f>
        <v>12.063045499999998</v>
      </c>
      <c r="V423" s="38">
        <f>(1000*CHOOSE(CONTROL!$C$42, 500, 500)*CHOOSE(CONTROL!$C$42, 0.275, 0.275)*CHOOSE(CONTROL!$C$42, 31, 31))/1000000</f>
        <v>4.2625000000000002</v>
      </c>
      <c r="W423" s="38">
        <f>(1000*CHOOSE(CONTROL!$C$42, 0.1146, 0.1146)*CHOOSE(CONTROL!$C$42, 121.5, 121.5)*CHOOSE(CONTROL!$C$42, 31, 31))/1000000</f>
        <v>0.43164089999999994</v>
      </c>
      <c r="X423" s="38">
        <f>(31*0.1790888*100000/1000000)+(31*0.2374*100000/1000000)</f>
        <v>1.2911152800000001</v>
      </c>
      <c r="Y423" s="38">
        <f>(1000*600*CHOOSE(CONTROL!$C$42, 1.0861, 1.0861)*CHOOSE(CONTROL!$C$42, 31, 31))/1000000</f>
        <v>20.201460000000001</v>
      </c>
      <c r="Z423" s="38"/>
      <c r="AA423" s="10"/>
      <c r="AB423" s="39"/>
      <c r="AC423" s="33">
        <f>(B423*122.58+C423*297.941+D423*89.177+E423*40.302+F423*40+G423*160+H423*0+I423*100+J423*300)/(122.58+297.941+89.177+40.302+0+40+160+100+300)</f>
        <v>12.44561269147826</v>
      </c>
      <c r="AD423" s="27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12.349501438848922</v>
      </c>
    </row>
    <row r="424" spans="1:30" ht="15.75" x14ac:dyDescent="0.25">
      <c r="A424" s="14">
        <v>54178</v>
      </c>
      <c r="B424" s="10">
        <f>CHOOSE(CONTROL!$C$42, 12.4115, 12.4115) * CHOOSE(CONTROL!$C$21, $C$9, 100%, $E$9)</f>
        <v>12.4115</v>
      </c>
      <c r="C424" s="10">
        <f>CHOOSE(CONTROL!$C$42, 12.4159, 12.4159) * CHOOSE(CONTROL!$C$21, $C$9, 100%, $E$9)</f>
        <v>12.415900000000001</v>
      </c>
      <c r="D424" s="10">
        <f>CHOOSE(CONTROL!$C$42, 12.596, 12.596) * CHOOSE(CONTROL!$C$21, $C$9, 100%, $E$9)</f>
        <v>12.596</v>
      </c>
      <c r="E424" s="10">
        <f>CHOOSE(CONTROL!$C$42, 12.6278, 12.6278) * CHOOSE(CONTROL!$C$21, $C$9, 100%, $E$9)</f>
        <v>12.627800000000001</v>
      </c>
      <c r="F424" s="10">
        <f>CHOOSE(CONTROL!$C$42, 12.3768, 12.3768)*CHOOSE(CONTROL!$C$21, $C$9, 100%, $E$9)</f>
        <v>12.376799999999999</v>
      </c>
      <c r="G424" s="10">
        <f>CHOOSE(CONTROL!$C$42, 12.3931, 12.3931)*CHOOSE(CONTROL!$C$21, $C$9, 100%, $E$9)</f>
        <v>12.3931</v>
      </c>
      <c r="H424" s="10">
        <f>CHOOSE(CONTROL!$C$42, 12.6176, 12.6176) * CHOOSE(CONTROL!$C$21, $C$9, 100%, $E$9)</f>
        <v>12.617599999999999</v>
      </c>
      <c r="I424" s="10">
        <f>CHOOSE(CONTROL!$C$42, 12.3975, 12.3975)* CHOOSE(CONTROL!$C$21, $C$9, 100%, $E$9)</f>
        <v>12.397500000000001</v>
      </c>
      <c r="J424" s="10">
        <f>CHOOSE(CONTROL!$C$42, 12.3698, 12.3698)* CHOOSE(CONTROL!$C$21, $C$9, 100%, $E$9)</f>
        <v>12.3698</v>
      </c>
      <c r="K424" s="10">
        <f>CHOOSE(CONTROL!$C$42, 12.1809, 12.1809) * CHOOSE(CONTROL!$C$21, $C$9, 100%, $E$9)</f>
        <v>12.180899999999999</v>
      </c>
      <c r="L424" s="10">
        <f>CHOOSE(CONTROL!$C$42, 13.2046, 13.2046) * CHOOSE(CONTROL!$C$21, $C$9, 100%, $E$9)</f>
        <v>13.204599999999999</v>
      </c>
      <c r="M424" s="10">
        <f>CHOOSE(CONTROL!$C$42, 12.2588, 12.2588) * CHOOSE(CONTROL!$C$21, $C$9, 100%, $E$9)</f>
        <v>12.258800000000001</v>
      </c>
      <c r="N424" s="10">
        <f>CHOOSE(CONTROL!$C$42, 12.2749, 12.2749) * CHOOSE(CONTROL!$C$21, $C$9, 100%, $E$9)</f>
        <v>12.274900000000001</v>
      </c>
      <c r="O424" s="10">
        <f>CHOOSE(CONTROL!$C$42, 12.5041, 12.5041) * CHOOSE(CONTROL!$C$21, $C$9, 100%, $E$9)</f>
        <v>12.504099999999999</v>
      </c>
      <c r="P424" s="10">
        <f>CHOOSE(CONTROL!$C$42, 12.2863, 12.2863) * CHOOSE(CONTROL!$C$21, $C$9, 100%, $E$9)</f>
        <v>12.286300000000001</v>
      </c>
      <c r="Q424" s="10">
        <f>CHOOSE(CONTROL!$C$42, 13.0994, 13.0994) * CHOOSE(CONTROL!$C$21, $C$9, 100%, $E$9)</f>
        <v>13.099399999999999</v>
      </c>
      <c r="R424" s="10">
        <f>CHOOSE(CONTROL!$C$42, 13.7191, 13.7191) * CHOOSE(CONTROL!$C$21, $C$9, 100%, $E$9)</f>
        <v>13.719099999999999</v>
      </c>
      <c r="S424" s="10">
        <f>CHOOSE(CONTROL!$C$42, 12.0499, 12.0499) * CHOOSE(CONTROL!$C$21, $C$9, 100%, $E$9)</f>
        <v>12.049899999999999</v>
      </c>
      <c r="T4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38">
        <f>(1000*CHOOSE(CONTROL!$C$42, 695, 695)*CHOOSE(CONTROL!$C$42, 0.5599, 0.5599)*CHOOSE(CONTROL!$C$42, 30, 30))/1000000</f>
        <v>11.673914999999997</v>
      </c>
      <c r="V424" s="38">
        <f>(1000*CHOOSE(CONTROL!$C$42, 500, 500)*CHOOSE(CONTROL!$C$42, 0.275, 0.275)*CHOOSE(CONTROL!$C$42, 30, 30))/1000000</f>
        <v>4.125</v>
      </c>
      <c r="W424" s="38">
        <f>(1000*CHOOSE(CONTROL!$C$42, 0.1146, 0.1146)*CHOOSE(CONTROL!$C$42, 121.5, 121.5)*CHOOSE(CONTROL!$C$42, 30, 30))/1000000</f>
        <v>0.417717</v>
      </c>
      <c r="X424" s="38">
        <f>(30*0.1790888*245000/1000000)+(30*0.2374*100000/1000000)</f>
        <v>2.0285026799999999</v>
      </c>
      <c r="Y424" s="38">
        <f>(1000*600*CHOOSE(CONTROL!$C$42, 1.0861, 1.0861)*CHOOSE(CONTROL!$C$42, 30, 30))/1000000</f>
        <v>19.549800000000001</v>
      </c>
      <c r="Z424" s="38"/>
      <c r="AA424" s="10"/>
      <c r="AB424" s="39"/>
      <c r="AC424" s="33">
        <f>(B424*141.293+C424*267.993+D424*115.016+E424*89.698+F424*40+G424*185+H424*0+I424*100+J424*300)/(141.293+267.993+115.016+89.698+0+40+185+100+300)</f>
        <v>12.430143501694916</v>
      </c>
      <c r="AD424" s="27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12.335288489208633</v>
      </c>
    </row>
    <row r="425" spans="1:30" ht="15.75" x14ac:dyDescent="0.25">
      <c r="A425" s="14">
        <v>54209</v>
      </c>
      <c r="B425" s="10">
        <f>CHOOSE(CONTROL!$C$42, 12.5228, 12.5228) * CHOOSE(CONTROL!$C$21, $C$9, 100%, $E$9)</f>
        <v>12.5228</v>
      </c>
      <c r="C425" s="10">
        <f>CHOOSE(CONTROL!$C$42, 12.5307, 12.5307) * CHOOSE(CONTROL!$C$21, $C$9, 100%, $E$9)</f>
        <v>12.5307</v>
      </c>
      <c r="D425" s="10">
        <f>CHOOSE(CONTROL!$C$42, 12.7077, 12.7077) * CHOOSE(CONTROL!$C$21, $C$9, 100%, $E$9)</f>
        <v>12.707700000000001</v>
      </c>
      <c r="E425" s="10">
        <f>CHOOSE(CONTROL!$C$42, 12.7389, 12.7389) * CHOOSE(CONTROL!$C$21, $C$9, 100%, $E$9)</f>
        <v>12.738899999999999</v>
      </c>
      <c r="F425" s="10">
        <f>CHOOSE(CONTROL!$C$42, 12.4862, 12.4862)*CHOOSE(CONTROL!$C$21, $C$9, 100%, $E$9)</f>
        <v>12.4862</v>
      </c>
      <c r="G425" s="10">
        <f>CHOOSE(CONTROL!$C$42, 12.5027, 12.5027)*CHOOSE(CONTROL!$C$21, $C$9, 100%, $E$9)</f>
        <v>12.502700000000001</v>
      </c>
      <c r="H425" s="10">
        <f>CHOOSE(CONTROL!$C$42, 12.7275, 12.7275) * CHOOSE(CONTROL!$C$21, $C$9, 100%, $E$9)</f>
        <v>12.727499999999999</v>
      </c>
      <c r="I425" s="10">
        <f>CHOOSE(CONTROL!$C$42, 12.5074, 12.5074)* CHOOSE(CONTROL!$C$21, $C$9, 100%, $E$9)</f>
        <v>12.507400000000001</v>
      </c>
      <c r="J425" s="10">
        <f>CHOOSE(CONTROL!$C$42, 12.4792, 12.4792)* CHOOSE(CONTROL!$C$21, $C$9, 100%, $E$9)</f>
        <v>12.479200000000001</v>
      </c>
      <c r="K425" s="10">
        <f>CHOOSE(CONTROL!$C$42, 12.2865, 12.2865) * CHOOSE(CONTROL!$C$21, $C$9, 100%, $E$9)</f>
        <v>12.2865</v>
      </c>
      <c r="L425" s="10">
        <f>CHOOSE(CONTROL!$C$42, 13.3145, 13.3145) * CHOOSE(CONTROL!$C$21, $C$9, 100%, $E$9)</f>
        <v>13.314500000000001</v>
      </c>
      <c r="M425" s="10">
        <f>CHOOSE(CONTROL!$C$42, 12.3671, 12.3671) * CHOOSE(CONTROL!$C$21, $C$9, 100%, $E$9)</f>
        <v>12.367100000000001</v>
      </c>
      <c r="N425" s="10">
        <f>CHOOSE(CONTROL!$C$42, 12.3834, 12.3834) * CHOOSE(CONTROL!$C$21, $C$9, 100%, $E$9)</f>
        <v>12.3834</v>
      </c>
      <c r="O425" s="10">
        <f>CHOOSE(CONTROL!$C$42, 12.6129, 12.6129) * CHOOSE(CONTROL!$C$21, $C$9, 100%, $E$9)</f>
        <v>12.6129</v>
      </c>
      <c r="P425" s="10">
        <f>CHOOSE(CONTROL!$C$42, 12.3951, 12.3951) * CHOOSE(CONTROL!$C$21, $C$9, 100%, $E$9)</f>
        <v>12.395099999999999</v>
      </c>
      <c r="Q425" s="10">
        <f>CHOOSE(CONTROL!$C$42, 13.2082, 13.2082) * CHOOSE(CONTROL!$C$21, $C$9, 100%, $E$9)</f>
        <v>13.2082</v>
      </c>
      <c r="R425" s="10">
        <f>CHOOSE(CONTROL!$C$42, 13.8282, 13.8282) * CHOOSE(CONTROL!$C$21, $C$9, 100%, $E$9)</f>
        <v>13.828200000000001</v>
      </c>
      <c r="S425" s="10">
        <f>CHOOSE(CONTROL!$C$42, 12.1567, 12.1567) * CHOOSE(CONTROL!$C$21, $C$9, 100%, $E$9)</f>
        <v>12.156700000000001</v>
      </c>
      <c r="T4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38">
        <f>(1000*CHOOSE(CONTROL!$C$42, 695, 695)*CHOOSE(CONTROL!$C$42, 0.5599, 0.5599)*CHOOSE(CONTROL!$C$42, 31, 31))/1000000</f>
        <v>12.063045499999998</v>
      </c>
      <c r="V425" s="38">
        <f>(1000*CHOOSE(CONTROL!$C$42, 500, 500)*CHOOSE(CONTROL!$C$42, 0.275, 0.275)*CHOOSE(CONTROL!$C$42, 31, 31))/1000000</f>
        <v>4.2625000000000002</v>
      </c>
      <c r="W425" s="38">
        <f>(1000*CHOOSE(CONTROL!$C$42, 0.1146, 0.1146)*CHOOSE(CONTROL!$C$42, 121.5, 121.5)*CHOOSE(CONTROL!$C$42, 31, 31))/1000000</f>
        <v>0.43164089999999994</v>
      </c>
      <c r="X425" s="38">
        <f>(31*0.1790888*245000/1000000)+(31*0.2374*100000/1000000)</f>
        <v>2.0961194359999999</v>
      </c>
      <c r="Y425" s="38">
        <f>(1000*600*CHOOSE(CONTROL!$C$42, 1.0861, 1.0861)*CHOOSE(CONTROL!$C$42, 31, 31))/1000000</f>
        <v>20.201460000000001</v>
      </c>
      <c r="Z425" s="38"/>
      <c r="AA425" s="10"/>
      <c r="AB425" s="39"/>
      <c r="AC425" s="33">
        <f>(B425*194.205+C425*267.466+D425*133.845+E425*53.484+F425*40+G425*185+H425*0+I425*100+J425*300)/(194.205+267.466+133.845+53.484+0+40+185+100+300)</f>
        <v>12.537412491601255</v>
      </c>
      <c r="AD425" s="27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12.443846762589928</v>
      </c>
    </row>
    <row r="426" spans="1:30" ht="15.75" x14ac:dyDescent="0.25">
      <c r="A426" s="14">
        <v>54239</v>
      </c>
      <c r="B426" s="10">
        <f>CHOOSE(CONTROL!$C$42, 12.8779, 12.8779) * CHOOSE(CONTROL!$C$21, $C$9, 100%, $E$9)</f>
        <v>12.8779</v>
      </c>
      <c r="C426" s="10">
        <f>CHOOSE(CONTROL!$C$42, 12.8858, 12.8858) * CHOOSE(CONTROL!$C$21, $C$9, 100%, $E$9)</f>
        <v>12.8858</v>
      </c>
      <c r="D426" s="10">
        <f>CHOOSE(CONTROL!$C$42, 13.0628, 13.0628) * CHOOSE(CONTROL!$C$21, $C$9, 100%, $E$9)</f>
        <v>13.062799999999999</v>
      </c>
      <c r="E426" s="10">
        <f>CHOOSE(CONTROL!$C$42, 13.0939, 13.0939) * CHOOSE(CONTROL!$C$21, $C$9, 100%, $E$9)</f>
        <v>13.0939</v>
      </c>
      <c r="F426" s="10">
        <f>CHOOSE(CONTROL!$C$42, 12.8414, 12.8414)*CHOOSE(CONTROL!$C$21, $C$9, 100%, $E$9)</f>
        <v>12.8414</v>
      </c>
      <c r="G426" s="10">
        <f>CHOOSE(CONTROL!$C$42, 12.858, 12.858)*CHOOSE(CONTROL!$C$21, $C$9, 100%, $E$9)</f>
        <v>12.858000000000001</v>
      </c>
      <c r="H426" s="10">
        <f>CHOOSE(CONTROL!$C$42, 13.0826, 13.0826) * CHOOSE(CONTROL!$C$21, $C$9, 100%, $E$9)</f>
        <v>13.082599999999999</v>
      </c>
      <c r="I426" s="10">
        <f>CHOOSE(CONTROL!$C$42, 12.8625, 12.8625)* CHOOSE(CONTROL!$C$21, $C$9, 100%, $E$9)</f>
        <v>12.862500000000001</v>
      </c>
      <c r="J426" s="10">
        <f>CHOOSE(CONTROL!$C$42, 12.8344, 12.8344)* CHOOSE(CONTROL!$C$21, $C$9, 100%, $E$9)</f>
        <v>12.8344</v>
      </c>
      <c r="K426" s="10">
        <f>CHOOSE(CONTROL!$C$42, 12.6318, 12.6318) * CHOOSE(CONTROL!$C$21, $C$9, 100%, $E$9)</f>
        <v>12.6318</v>
      </c>
      <c r="L426" s="10">
        <f>CHOOSE(CONTROL!$C$42, 13.6696, 13.6696) * CHOOSE(CONTROL!$C$21, $C$9, 100%, $E$9)</f>
        <v>13.669600000000001</v>
      </c>
      <c r="M426" s="10">
        <f>CHOOSE(CONTROL!$C$42, 12.7187, 12.7187) * CHOOSE(CONTROL!$C$21, $C$9, 100%, $E$9)</f>
        <v>12.7187</v>
      </c>
      <c r="N426" s="10">
        <f>CHOOSE(CONTROL!$C$42, 12.7351, 12.7351) * CHOOSE(CONTROL!$C$21, $C$9, 100%, $E$9)</f>
        <v>12.735099999999999</v>
      </c>
      <c r="O426" s="10">
        <f>CHOOSE(CONTROL!$C$42, 12.9644, 12.9644) * CHOOSE(CONTROL!$C$21, $C$9, 100%, $E$9)</f>
        <v>12.964399999999999</v>
      </c>
      <c r="P426" s="10">
        <f>CHOOSE(CONTROL!$C$42, 12.7465, 12.7465) * CHOOSE(CONTROL!$C$21, $C$9, 100%, $E$9)</f>
        <v>12.746499999999999</v>
      </c>
      <c r="Q426" s="10">
        <f>CHOOSE(CONTROL!$C$42, 13.5597, 13.5597) * CHOOSE(CONTROL!$C$21, $C$9, 100%, $E$9)</f>
        <v>13.559699999999999</v>
      </c>
      <c r="R426" s="10">
        <f>CHOOSE(CONTROL!$C$42, 14.1806, 14.1806) * CHOOSE(CONTROL!$C$21, $C$9, 100%, $E$9)</f>
        <v>14.1806</v>
      </c>
      <c r="S426" s="10">
        <f>CHOOSE(CONTROL!$C$42, 12.5015, 12.5015) * CHOOSE(CONTROL!$C$21, $C$9, 100%, $E$9)</f>
        <v>12.5015</v>
      </c>
      <c r="T4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38">
        <f>(1000*CHOOSE(CONTROL!$C$42, 695, 695)*CHOOSE(CONTROL!$C$42, 0.5599, 0.5599)*CHOOSE(CONTROL!$C$42, 30, 30))/1000000</f>
        <v>11.673914999999997</v>
      </c>
      <c r="V426" s="38">
        <f>(1000*CHOOSE(CONTROL!$C$42, 500, 500)*CHOOSE(CONTROL!$C$42, 0.275, 0.275)*CHOOSE(CONTROL!$C$42, 30, 30))/1000000</f>
        <v>4.125</v>
      </c>
      <c r="W426" s="38">
        <f>(1000*CHOOSE(CONTROL!$C$42, 0.1146, 0.1146)*CHOOSE(CONTROL!$C$42, 121.5, 121.5)*CHOOSE(CONTROL!$C$42, 30, 30))/1000000</f>
        <v>0.417717</v>
      </c>
      <c r="X426" s="38">
        <f>(30*0.1790888*245000/1000000)+(30*0.2374*100000/1000000)</f>
        <v>2.0285026799999999</v>
      </c>
      <c r="Y426" s="38">
        <f>(1000*600*CHOOSE(CONTROL!$C$42, 1.0861, 1.0861)*CHOOSE(CONTROL!$C$42, 30, 30))/1000000</f>
        <v>19.549800000000001</v>
      </c>
      <c r="Z426" s="38"/>
      <c r="AA426" s="10"/>
      <c r="AB426" s="39"/>
      <c r="AC426" s="33">
        <f>(B426*194.205+C426*267.466+D426*133.845+E426*53.484+F426*40+G426*185+H426*0+I426*100+J426*300)/(194.205+267.466+133.845+53.484+0+40+185+100+300)</f>
        <v>12.892564023469387</v>
      </c>
      <c r="AD426" s="27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12.795412949640287</v>
      </c>
    </row>
    <row r="427" spans="1:30" ht="15.75" x14ac:dyDescent="0.25">
      <c r="A427" s="14">
        <v>54270</v>
      </c>
      <c r="B427" s="10">
        <f>CHOOSE(CONTROL!$C$42, 12.6309, 12.6309) * CHOOSE(CONTROL!$C$21, $C$9, 100%, $E$9)</f>
        <v>12.6309</v>
      </c>
      <c r="C427" s="10">
        <f>CHOOSE(CONTROL!$C$42, 12.6389, 12.6389) * CHOOSE(CONTROL!$C$21, $C$9, 100%, $E$9)</f>
        <v>12.6389</v>
      </c>
      <c r="D427" s="10">
        <f>CHOOSE(CONTROL!$C$42, 12.8158, 12.8158) * CHOOSE(CONTROL!$C$21, $C$9, 100%, $E$9)</f>
        <v>12.815799999999999</v>
      </c>
      <c r="E427" s="10">
        <f>CHOOSE(CONTROL!$C$42, 12.847, 12.847) * CHOOSE(CONTROL!$C$21, $C$9, 100%, $E$9)</f>
        <v>12.847</v>
      </c>
      <c r="F427" s="10">
        <f>CHOOSE(CONTROL!$C$42, 12.5947, 12.5947)*CHOOSE(CONTROL!$C$21, $C$9, 100%, $E$9)</f>
        <v>12.5947</v>
      </c>
      <c r="G427" s="10">
        <f>CHOOSE(CONTROL!$C$42, 12.6113, 12.6113)*CHOOSE(CONTROL!$C$21, $C$9, 100%, $E$9)</f>
        <v>12.6113</v>
      </c>
      <c r="H427" s="10">
        <f>CHOOSE(CONTROL!$C$42, 12.8356, 12.8356) * CHOOSE(CONTROL!$C$21, $C$9, 100%, $E$9)</f>
        <v>12.835599999999999</v>
      </c>
      <c r="I427" s="10">
        <f>CHOOSE(CONTROL!$C$42, 12.6155, 12.6155)* CHOOSE(CONTROL!$C$21, $C$9, 100%, $E$9)</f>
        <v>12.615500000000001</v>
      </c>
      <c r="J427" s="10">
        <f>CHOOSE(CONTROL!$C$42, 12.5877, 12.5877)* CHOOSE(CONTROL!$C$21, $C$9, 100%, $E$9)</f>
        <v>12.5877</v>
      </c>
      <c r="K427" s="10">
        <f>CHOOSE(CONTROL!$C$42, 12.3924, 12.3924) * CHOOSE(CONTROL!$C$21, $C$9, 100%, $E$9)</f>
        <v>12.3924</v>
      </c>
      <c r="L427" s="10">
        <f>CHOOSE(CONTROL!$C$42, 13.4226, 13.4226) * CHOOSE(CONTROL!$C$21, $C$9, 100%, $E$9)</f>
        <v>13.422599999999999</v>
      </c>
      <c r="M427" s="10">
        <f>CHOOSE(CONTROL!$C$42, 12.4745, 12.4745) * CHOOSE(CONTROL!$C$21, $C$9, 100%, $E$9)</f>
        <v>12.474500000000001</v>
      </c>
      <c r="N427" s="10">
        <f>CHOOSE(CONTROL!$C$42, 12.491, 12.491) * CHOOSE(CONTROL!$C$21, $C$9, 100%, $E$9)</f>
        <v>12.491</v>
      </c>
      <c r="O427" s="10">
        <f>CHOOSE(CONTROL!$C$42, 12.7199, 12.7199) * CHOOSE(CONTROL!$C$21, $C$9, 100%, $E$9)</f>
        <v>12.719900000000001</v>
      </c>
      <c r="P427" s="10">
        <f>CHOOSE(CONTROL!$C$42, 12.5021, 12.5021) * CHOOSE(CONTROL!$C$21, $C$9, 100%, $E$9)</f>
        <v>12.5021</v>
      </c>
      <c r="Q427" s="10">
        <f>CHOOSE(CONTROL!$C$42, 13.3152, 13.3152) * CHOOSE(CONTROL!$C$21, $C$9, 100%, $E$9)</f>
        <v>13.315200000000001</v>
      </c>
      <c r="R427" s="10">
        <f>CHOOSE(CONTROL!$C$42, 13.9355, 13.9355) * CHOOSE(CONTROL!$C$21, $C$9, 100%, $E$9)</f>
        <v>13.935499999999999</v>
      </c>
      <c r="S427" s="10">
        <f>CHOOSE(CONTROL!$C$42, 12.2617, 12.2617) * CHOOSE(CONTROL!$C$21, $C$9, 100%, $E$9)</f>
        <v>12.261699999999999</v>
      </c>
      <c r="T4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38">
        <f>(1000*CHOOSE(CONTROL!$C$42, 695, 695)*CHOOSE(CONTROL!$C$42, 0.5599, 0.5599)*CHOOSE(CONTROL!$C$42, 31, 31))/1000000</f>
        <v>12.063045499999998</v>
      </c>
      <c r="V427" s="38">
        <f>(1000*CHOOSE(CONTROL!$C$42, 500, 500)*CHOOSE(CONTROL!$C$42, 0.275, 0.275)*CHOOSE(CONTROL!$C$42, 31, 31))/1000000</f>
        <v>4.2625000000000002</v>
      </c>
      <c r="W427" s="38">
        <f>(1000*CHOOSE(CONTROL!$C$42, 0.1146, 0.1146)*CHOOSE(CONTROL!$C$42, 121.5, 121.5)*CHOOSE(CONTROL!$C$42, 31, 31))/1000000</f>
        <v>0.43164089999999994</v>
      </c>
      <c r="X427" s="38">
        <f>(31*0.1790888*245000/1000000)+(31*0.2374*100000/1000000)</f>
        <v>2.0961194359999999</v>
      </c>
      <c r="Y427" s="38">
        <f>(1000*600*CHOOSE(CONTROL!$C$42, 1.0861, 1.0861)*CHOOSE(CONTROL!$C$42, 31, 31))/1000000</f>
        <v>20.201460000000001</v>
      </c>
      <c r="Z427" s="38"/>
      <c r="AA427" s="10"/>
      <c r="AB427" s="39"/>
      <c r="AC427" s="33">
        <f>(B427*194.205+C427*267.466+D427*133.845+E427*53.484+F427*40+G427*185+H427*0+I427*100+J427*300)/(194.205+267.466+133.845+53.484+0+40+185+100+300)</f>
        <v>12.645712842150706</v>
      </c>
      <c r="AD427" s="27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12.551123021582734</v>
      </c>
    </row>
    <row r="428" spans="1:30" ht="15.75" x14ac:dyDescent="0.25">
      <c r="A428" s="14">
        <v>54301</v>
      </c>
      <c r="B428" s="10">
        <f>CHOOSE(CONTROL!$C$42, 12.0073, 12.0073) * CHOOSE(CONTROL!$C$21, $C$9, 100%, $E$9)</f>
        <v>12.007300000000001</v>
      </c>
      <c r="C428" s="10">
        <f>CHOOSE(CONTROL!$C$42, 12.0152, 12.0152) * CHOOSE(CONTROL!$C$21, $C$9, 100%, $E$9)</f>
        <v>12.0152</v>
      </c>
      <c r="D428" s="10">
        <f>CHOOSE(CONTROL!$C$42, 12.1922, 12.1922) * CHOOSE(CONTROL!$C$21, $C$9, 100%, $E$9)</f>
        <v>12.1922</v>
      </c>
      <c r="E428" s="10">
        <f>CHOOSE(CONTROL!$C$42, 12.2233, 12.2233) * CHOOSE(CONTROL!$C$21, $C$9, 100%, $E$9)</f>
        <v>12.2233</v>
      </c>
      <c r="F428" s="10">
        <f>CHOOSE(CONTROL!$C$42, 11.9711, 11.9711)*CHOOSE(CONTROL!$C$21, $C$9, 100%, $E$9)</f>
        <v>11.9711</v>
      </c>
      <c r="G428" s="10">
        <f>CHOOSE(CONTROL!$C$42, 11.9878, 11.9878)*CHOOSE(CONTROL!$C$21, $C$9, 100%, $E$9)</f>
        <v>11.9878</v>
      </c>
      <c r="H428" s="10">
        <f>CHOOSE(CONTROL!$C$42, 12.212, 12.212) * CHOOSE(CONTROL!$C$21, $C$9, 100%, $E$9)</f>
        <v>12.212</v>
      </c>
      <c r="I428" s="10">
        <f>CHOOSE(CONTROL!$C$42, 11.9919, 11.9919)* CHOOSE(CONTROL!$C$21, $C$9, 100%, $E$9)</f>
        <v>11.991899999999999</v>
      </c>
      <c r="J428" s="10">
        <f>CHOOSE(CONTROL!$C$42, 11.9641, 11.9641)* CHOOSE(CONTROL!$C$21, $C$9, 100%, $E$9)</f>
        <v>11.9641</v>
      </c>
      <c r="K428" s="10">
        <f>CHOOSE(CONTROL!$C$42, 11.7866, 11.7866) * CHOOSE(CONTROL!$C$21, $C$9, 100%, $E$9)</f>
        <v>11.7866</v>
      </c>
      <c r="L428" s="10">
        <f>CHOOSE(CONTROL!$C$42, 12.799, 12.799) * CHOOSE(CONTROL!$C$21, $C$9, 100%, $E$9)</f>
        <v>12.798999999999999</v>
      </c>
      <c r="M428" s="10">
        <f>CHOOSE(CONTROL!$C$42, 11.8572, 11.8572) * CHOOSE(CONTROL!$C$21, $C$9, 100%, $E$9)</f>
        <v>11.857200000000001</v>
      </c>
      <c r="N428" s="10">
        <f>CHOOSE(CONTROL!$C$42, 11.8737, 11.8737) * CHOOSE(CONTROL!$C$21, $C$9, 100%, $E$9)</f>
        <v>11.873699999999999</v>
      </c>
      <c r="O428" s="10">
        <f>CHOOSE(CONTROL!$C$42, 12.1026, 12.1026) * CHOOSE(CONTROL!$C$21, $C$9, 100%, $E$9)</f>
        <v>12.102600000000001</v>
      </c>
      <c r="P428" s="10">
        <f>CHOOSE(CONTROL!$C$42, 11.8847, 11.8847) * CHOOSE(CONTROL!$C$21, $C$9, 100%, $E$9)</f>
        <v>11.8847</v>
      </c>
      <c r="Q428" s="10">
        <f>CHOOSE(CONTROL!$C$42, 12.6979, 12.6979) * CHOOSE(CONTROL!$C$21, $C$9, 100%, $E$9)</f>
        <v>12.697900000000001</v>
      </c>
      <c r="R428" s="10">
        <f>CHOOSE(CONTROL!$C$42, 13.3166, 13.3166) * CHOOSE(CONTROL!$C$21, $C$9, 100%, $E$9)</f>
        <v>13.316599999999999</v>
      </c>
      <c r="S428" s="10">
        <f>CHOOSE(CONTROL!$C$42, 11.656, 11.656) * CHOOSE(CONTROL!$C$21, $C$9, 100%, $E$9)</f>
        <v>11.656000000000001</v>
      </c>
      <c r="T4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38">
        <f>(1000*CHOOSE(CONTROL!$C$42, 695, 695)*CHOOSE(CONTROL!$C$42, 0.5599, 0.5599)*CHOOSE(CONTROL!$C$42, 31, 31))/1000000</f>
        <v>12.063045499999998</v>
      </c>
      <c r="V428" s="38">
        <f>(1000*CHOOSE(CONTROL!$C$42, 500, 500)*CHOOSE(CONTROL!$C$42, 0.275, 0.275)*CHOOSE(CONTROL!$C$42, 31, 31))/1000000</f>
        <v>4.2625000000000002</v>
      </c>
      <c r="W428" s="38">
        <f>(1000*CHOOSE(CONTROL!$C$42, 0.1146, 0.1146)*CHOOSE(CONTROL!$C$42, 121.5, 121.5)*CHOOSE(CONTROL!$C$42, 31, 31))/1000000</f>
        <v>0.43164089999999994</v>
      </c>
      <c r="X428" s="38">
        <f>(31*0.1790888*245000/1000000)+(31*0.2374*100000/1000000)</f>
        <v>2.0961194359999999</v>
      </c>
      <c r="Y428" s="38">
        <f>(1000*600*CHOOSE(CONTROL!$C$42, 1.0861, 1.0861)*CHOOSE(CONTROL!$C$42, 31, 31))/1000000</f>
        <v>20.201460000000001</v>
      </c>
      <c r="Z428" s="38"/>
      <c r="AA428" s="10"/>
      <c r="AB428" s="39"/>
      <c r="AC428" s="33">
        <f>(B428*194.205+C428*267.466+D428*133.845+E428*53.484+F428*40+G428*185+H428*0+I428*100+J428*300)/(194.205+267.466+133.845+53.484+0+40+185+100+300)</f>
        <v>12.022102171036106</v>
      </c>
      <c r="AD428" s="27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11.933808633093525</v>
      </c>
    </row>
    <row r="429" spans="1:30" ht="15.75" x14ac:dyDescent="0.25">
      <c r="A429" s="14">
        <v>54331</v>
      </c>
      <c r="B429" s="10">
        <f>CHOOSE(CONTROL!$C$42, 11.2453, 11.2453) * CHOOSE(CONTROL!$C$21, $C$9, 100%, $E$9)</f>
        <v>11.2453</v>
      </c>
      <c r="C429" s="10">
        <f>CHOOSE(CONTROL!$C$42, 11.2533, 11.2533) * CHOOSE(CONTROL!$C$21, $C$9, 100%, $E$9)</f>
        <v>11.253299999999999</v>
      </c>
      <c r="D429" s="10">
        <f>CHOOSE(CONTROL!$C$42, 11.4302, 11.4302) * CHOOSE(CONTROL!$C$21, $C$9, 100%, $E$9)</f>
        <v>11.430199999999999</v>
      </c>
      <c r="E429" s="10">
        <f>CHOOSE(CONTROL!$C$42, 11.4614, 11.4614) * CHOOSE(CONTROL!$C$21, $C$9, 100%, $E$9)</f>
        <v>11.461399999999999</v>
      </c>
      <c r="F429" s="10">
        <f>CHOOSE(CONTROL!$C$42, 11.2089, 11.2089)*CHOOSE(CONTROL!$C$21, $C$9, 100%, $E$9)</f>
        <v>11.2089</v>
      </c>
      <c r="G429" s="10">
        <f>CHOOSE(CONTROL!$C$42, 11.2255, 11.2255)*CHOOSE(CONTROL!$C$21, $C$9, 100%, $E$9)</f>
        <v>11.2255</v>
      </c>
      <c r="H429" s="10">
        <f>CHOOSE(CONTROL!$C$42, 11.45, 11.45) * CHOOSE(CONTROL!$C$21, $C$9, 100%, $E$9)</f>
        <v>11.45</v>
      </c>
      <c r="I429" s="10">
        <f>CHOOSE(CONTROL!$C$42, 11.2299, 11.2299)* CHOOSE(CONTROL!$C$21, $C$9, 100%, $E$9)</f>
        <v>11.229900000000001</v>
      </c>
      <c r="J429" s="10">
        <f>CHOOSE(CONTROL!$C$42, 11.2019, 11.2019)* CHOOSE(CONTROL!$C$21, $C$9, 100%, $E$9)</f>
        <v>11.2019</v>
      </c>
      <c r="K429" s="10">
        <f>CHOOSE(CONTROL!$C$42, 11.0458, 11.0458) * CHOOSE(CONTROL!$C$21, $C$9, 100%, $E$9)</f>
        <v>11.0458</v>
      </c>
      <c r="L429" s="10">
        <f>CHOOSE(CONTROL!$C$42, 12.037, 12.037) * CHOOSE(CONTROL!$C$21, $C$9, 100%, $E$9)</f>
        <v>12.037000000000001</v>
      </c>
      <c r="M429" s="10">
        <f>CHOOSE(CONTROL!$C$42, 11.1027, 11.1027) * CHOOSE(CONTROL!$C$21, $C$9, 100%, $E$9)</f>
        <v>11.1027</v>
      </c>
      <c r="N429" s="10">
        <f>CHOOSE(CONTROL!$C$42, 11.1191, 11.1191) * CHOOSE(CONTROL!$C$21, $C$9, 100%, $E$9)</f>
        <v>11.1191</v>
      </c>
      <c r="O429" s="10">
        <f>CHOOSE(CONTROL!$C$42, 11.3483, 11.3483) * CHOOSE(CONTROL!$C$21, $C$9, 100%, $E$9)</f>
        <v>11.3483</v>
      </c>
      <c r="P429" s="10">
        <f>CHOOSE(CONTROL!$C$42, 11.1305, 11.1305) * CHOOSE(CONTROL!$C$21, $C$9, 100%, $E$9)</f>
        <v>11.1305</v>
      </c>
      <c r="Q429" s="10">
        <f>CHOOSE(CONTROL!$C$42, 11.9436, 11.9436) * CHOOSE(CONTROL!$C$21, $C$9, 100%, $E$9)</f>
        <v>11.9436</v>
      </c>
      <c r="R429" s="10">
        <f>CHOOSE(CONTROL!$C$42, 12.5604, 12.5604) * CHOOSE(CONTROL!$C$21, $C$9, 100%, $E$9)</f>
        <v>12.5604</v>
      </c>
      <c r="S429" s="10">
        <f>CHOOSE(CONTROL!$C$42, 10.9161, 10.9161) * CHOOSE(CONTROL!$C$21, $C$9, 100%, $E$9)</f>
        <v>10.9161</v>
      </c>
      <c r="T4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38">
        <f>(1000*CHOOSE(CONTROL!$C$42, 695, 695)*CHOOSE(CONTROL!$C$42, 0.5599, 0.5599)*CHOOSE(CONTROL!$C$42, 30, 30))/1000000</f>
        <v>11.673914999999997</v>
      </c>
      <c r="V429" s="38">
        <f>(1000*CHOOSE(CONTROL!$C$42, 500, 500)*CHOOSE(CONTROL!$C$42, 0.275, 0.275)*CHOOSE(CONTROL!$C$42, 30, 30))/1000000</f>
        <v>4.125</v>
      </c>
      <c r="W429" s="38">
        <f>(1000*CHOOSE(CONTROL!$C$42, 0.1146, 0.1146)*CHOOSE(CONTROL!$C$42, 121.5, 121.5)*CHOOSE(CONTROL!$C$42, 30, 30))/1000000</f>
        <v>0.417717</v>
      </c>
      <c r="X429" s="38">
        <f>(30*0.1790888*245000/1000000)+(30*0.2374*100000/1000000)</f>
        <v>2.0285026799999999</v>
      </c>
      <c r="Y429" s="38">
        <f>(1000*600*CHOOSE(CONTROL!$C$42, 1.0861, 1.0861)*CHOOSE(CONTROL!$C$42, 30, 30))/1000000</f>
        <v>19.549800000000001</v>
      </c>
      <c r="Z429" s="38"/>
      <c r="AA429" s="10"/>
      <c r="AB429" s="39"/>
      <c r="AC429" s="33">
        <f>(B429*194.205+C429*267.466+D429*133.845+E429*53.484+F429*40+G429*185+H429*0+I429*100+J429*300)/(194.205+267.466+133.845+53.484+0+40+185+100+300)</f>
        <v>11.260030424568289</v>
      </c>
      <c r="AD429" s="27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11.179384892086331</v>
      </c>
    </row>
    <row r="430" spans="1:30" ht="15.75" x14ac:dyDescent="0.25">
      <c r="A430" s="14">
        <v>54362</v>
      </c>
      <c r="B430" s="10">
        <f>CHOOSE(CONTROL!$C$42, 11.015, 11.015) * CHOOSE(CONTROL!$C$21, $C$9, 100%, $E$9)</f>
        <v>11.015000000000001</v>
      </c>
      <c r="C430" s="10">
        <f>CHOOSE(CONTROL!$C$42, 11.0202, 11.0202) * CHOOSE(CONTROL!$C$21, $C$9, 100%, $E$9)</f>
        <v>11.020200000000001</v>
      </c>
      <c r="D430" s="10">
        <f>CHOOSE(CONTROL!$C$42, 11.2021, 11.2021) * CHOOSE(CONTROL!$C$21, $C$9, 100%, $E$9)</f>
        <v>11.2021</v>
      </c>
      <c r="E430" s="10">
        <f>CHOOSE(CONTROL!$C$42, 11.2309, 11.2309) * CHOOSE(CONTROL!$C$21, $C$9, 100%, $E$9)</f>
        <v>11.2309</v>
      </c>
      <c r="F430" s="10">
        <f>CHOOSE(CONTROL!$C$42, 10.9806, 10.9806)*CHOOSE(CONTROL!$C$21, $C$9, 100%, $E$9)</f>
        <v>10.980600000000001</v>
      </c>
      <c r="G430" s="10">
        <f>CHOOSE(CONTROL!$C$42, 10.9968, 10.9968)*CHOOSE(CONTROL!$C$21, $C$9, 100%, $E$9)</f>
        <v>10.9968</v>
      </c>
      <c r="H430" s="10">
        <f>CHOOSE(CONTROL!$C$42, 11.2214, 11.2214) * CHOOSE(CONTROL!$C$21, $C$9, 100%, $E$9)</f>
        <v>11.221399999999999</v>
      </c>
      <c r="I430" s="10">
        <f>CHOOSE(CONTROL!$C$42, 11.0013, 11.0013)* CHOOSE(CONTROL!$C$21, $C$9, 100%, $E$9)</f>
        <v>11.001300000000001</v>
      </c>
      <c r="J430" s="10">
        <f>CHOOSE(CONTROL!$C$42, 10.9736, 10.9736)* CHOOSE(CONTROL!$C$21, $C$9, 100%, $E$9)</f>
        <v>10.973599999999999</v>
      </c>
      <c r="K430" s="10">
        <f>CHOOSE(CONTROL!$C$42, 10.8243, 10.8243) * CHOOSE(CONTROL!$C$21, $C$9, 100%, $E$9)</f>
        <v>10.824299999999999</v>
      </c>
      <c r="L430" s="10">
        <f>CHOOSE(CONTROL!$C$42, 11.8084, 11.8084) * CHOOSE(CONTROL!$C$21, $C$9, 100%, $E$9)</f>
        <v>11.808400000000001</v>
      </c>
      <c r="M430" s="10">
        <f>CHOOSE(CONTROL!$C$42, 10.8767, 10.8767) * CHOOSE(CONTROL!$C$21, $C$9, 100%, $E$9)</f>
        <v>10.8767</v>
      </c>
      <c r="N430" s="10">
        <f>CHOOSE(CONTROL!$C$42, 10.8927, 10.8927) * CHOOSE(CONTROL!$C$21, $C$9, 100%, $E$9)</f>
        <v>10.8927</v>
      </c>
      <c r="O430" s="10">
        <f>CHOOSE(CONTROL!$C$42, 11.122, 11.122) * CHOOSE(CONTROL!$C$21, $C$9, 100%, $E$9)</f>
        <v>11.122</v>
      </c>
      <c r="P430" s="10">
        <f>CHOOSE(CONTROL!$C$42, 10.9042, 10.9042) * CHOOSE(CONTROL!$C$21, $C$9, 100%, $E$9)</f>
        <v>10.904199999999999</v>
      </c>
      <c r="Q430" s="10">
        <f>CHOOSE(CONTROL!$C$42, 11.7173, 11.7173) * CHOOSE(CONTROL!$C$21, $C$9, 100%, $E$9)</f>
        <v>11.7173</v>
      </c>
      <c r="R430" s="10">
        <f>CHOOSE(CONTROL!$C$42, 12.3336, 12.3336) * CHOOSE(CONTROL!$C$21, $C$9, 100%, $E$9)</f>
        <v>12.333600000000001</v>
      </c>
      <c r="S430" s="10">
        <f>CHOOSE(CONTROL!$C$42, 10.6941, 10.6941) * CHOOSE(CONTROL!$C$21, $C$9, 100%, $E$9)</f>
        <v>10.694100000000001</v>
      </c>
      <c r="T4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38">
        <f>(1000*CHOOSE(CONTROL!$C$42, 695, 695)*CHOOSE(CONTROL!$C$42, 0.5599, 0.5599)*CHOOSE(CONTROL!$C$42, 31, 31))/1000000</f>
        <v>12.063045499999998</v>
      </c>
      <c r="V430" s="38">
        <f>(1000*CHOOSE(CONTROL!$C$42, 500, 500)*CHOOSE(CONTROL!$C$42, 0.275, 0.275)*CHOOSE(CONTROL!$C$42, 31, 31))/1000000</f>
        <v>4.2625000000000002</v>
      </c>
      <c r="W430" s="38">
        <f>(1000*CHOOSE(CONTROL!$C$42, 0.1146, 0.1146)*CHOOSE(CONTROL!$C$42, 121.5, 121.5)*CHOOSE(CONTROL!$C$42, 31, 31))/1000000</f>
        <v>0.43164089999999994</v>
      </c>
      <c r="X430" s="38">
        <f>(31*0.1790888*245000/1000000)+(31*0.2374*100000/1000000)</f>
        <v>2.0961194359999999</v>
      </c>
      <c r="Y430" s="38">
        <f>(1000*600*CHOOSE(CONTROL!$C$42, 1.0861, 1.0861)*CHOOSE(CONTROL!$C$42, 31, 31))/1000000</f>
        <v>20.201460000000001</v>
      </c>
      <c r="Z430" s="38"/>
      <c r="AA430" s="10"/>
      <c r="AB430" s="39"/>
      <c r="AC430" s="33">
        <f>(B430*131.881+C430*277.167+D430*79.08+E430*125.872+F430*40+G430*185+H430*0+I430*100+J430*300)/(131.881+277.167+79.08+125.872+0+40+185+100+300)</f>
        <v>11.035080630508475</v>
      </c>
      <c r="AD430" s="27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10.953165467625899</v>
      </c>
    </row>
    <row r="431" spans="1:30" ht="15.75" x14ac:dyDescent="0.25">
      <c r="A431" s="14">
        <v>54392</v>
      </c>
      <c r="B431" s="10">
        <f>CHOOSE(CONTROL!$C$42, 11.3047, 11.3047) * CHOOSE(CONTROL!$C$21, $C$9, 100%, $E$9)</f>
        <v>11.3047</v>
      </c>
      <c r="C431" s="10">
        <f>CHOOSE(CONTROL!$C$42, 11.3096, 11.3096) * CHOOSE(CONTROL!$C$21, $C$9, 100%, $E$9)</f>
        <v>11.3096</v>
      </c>
      <c r="D431" s="10">
        <f>CHOOSE(CONTROL!$C$42, 11.3341, 11.3341) * CHOOSE(CONTROL!$C$21, $C$9, 100%, $E$9)</f>
        <v>11.334099999999999</v>
      </c>
      <c r="E431" s="10">
        <f>CHOOSE(CONTROL!$C$42, 11.3678, 11.3678) * CHOOSE(CONTROL!$C$21, $C$9, 100%, $E$9)</f>
        <v>11.367800000000001</v>
      </c>
      <c r="F431" s="10">
        <f>CHOOSE(CONTROL!$C$42, 11.274, 11.274)*CHOOSE(CONTROL!$C$21, $C$9, 100%, $E$9)</f>
        <v>11.273999999999999</v>
      </c>
      <c r="G431" s="10">
        <f>CHOOSE(CONTROL!$C$42, 11.2904, 11.2904)*CHOOSE(CONTROL!$C$21, $C$9, 100%, $E$9)</f>
        <v>11.2904</v>
      </c>
      <c r="H431" s="10">
        <f>CHOOSE(CONTROL!$C$42, 11.357, 11.357) * CHOOSE(CONTROL!$C$21, $C$9, 100%, $E$9)</f>
        <v>11.356999999999999</v>
      </c>
      <c r="I431" s="10">
        <f>CHOOSE(CONTROL!$C$42, 11.2914, 11.2914)* CHOOSE(CONTROL!$C$21, $C$9, 100%, $E$9)</f>
        <v>11.291399999999999</v>
      </c>
      <c r="J431" s="10">
        <f>CHOOSE(CONTROL!$C$42, 11.267, 11.267)* CHOOSE(CONTROL!$C$21, $C$9, 100%, $E$9)</f>
        <v>11.266999999999999</v>
      </c>
      <c r="K431" s="10">
        <f>CHOOSE(CONTROL!$C$42, 11.1076, 11.1076) * CHOOSE(CONTROL!$C$21, $C$9, 100%, $E$9)</f>
        <v>11.1076</v>
      </c>
      <c r="L431" s="10">
        <f>CHOOSE(CONTROL!$C$42, 11.944, 11.944) * CHOOSE(CONTROL!$C$21, $C$9, 100%, $E$9)</f>
        <v>11.944000000000001</v>
      </c>
      <c r="M431" s="10">
        <f>CHOOSE(CONTROL!$C$42, 11.1671, 11.1671) * CHOOSE(CONTROL!$C$21, $C$9, 100%, $E$9)</f>
        <v>11.1671</v>
      </c>
      <c r="N431" s="10">
        <f>CHOOSE(CONTROL!$C$42, 11.1834, 11.1834) * CHOOSE(CONTROL!$C$21, $C$9, 100%, $E$9)</f>
        <v>11.183400000000001</v>
      </c>
      <c r="O431" s="10">
        <f>CHOOSE(CONTROL!$C$42, 11.2563, 11.2563) * CHOOSE(CONTROL!$C$21, $C$9, 100%, $E$9)</f>
        <v>11.2563</v>
      </c>
      <c r="P431" s="10">
        <f>CHOOSE(CONTROL!$C$42, 11.1913, 11.1913) * CHOOSE(CONTROL!$C$21, $C$9, 100%, $E$9)</f>
        <v>11.1913</v>
      </c>
      <c r="Q431" s="10">
        <f>CHOOSE(CONTROL!$C$42, 11.8516, 11.8516) * CHOOSE(CONTROL!$C$21, $C$9, 100%, $E$9)</f>
        <v>11.851599999999999</v>
      </c>
      <c r="R431" s="10">
        <f>CHOOSE(CONTROL!$C$42, 12.4682, 12.4682) * CHOOSE(CONTROL!$C$21, $C$9, 100%, $E$9)</f>
        <v>12.4682</v>
      </c>
      <c r="S431" s="10">
        <f>CHOOSE(CONTROL!$C$42, 10.9758, 10.9758) * CHOOSE(CONTROL!$C$21, $C$9, 100%, $E$9)</f>
        <v>10.9758</v>
      </c>
      <c r="T4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38">
        <f>(1000*CHOOSE(CONTROL!$C$42, 695, 695)*CHOOSE(CONTROL!$C$42, 0.5599, 0.5599)*CHOOSE(CONTROL!$C$42, 30, 30))/1000000</f>
        <v>11.673914999999997</v>
      </c>
      <c r="V431" s="38">
        <f>(1000*CHOOSE(CONTROL!$C$42, 500, 500)*CHOOSE(CONTROL!$C$42, 0.275, 0.275)*CHOOSE(CONTROL!$C$42, 30, 30))/1000000</f>
        <v>4.125</v>
      </c>
      <c r="W431" s="38">
        <f>(1000*CHOOSE(CONTROL!$C$42, 0.1146, 0.1146)*CHOOSE(CONTROL!$C$42, 121.5, 121.5)*CHOOSE(CONTROL!$C$42, 30, 30))/1000000</f>
        <v>0.417717</v>
      </c>
      <c r="X431" s="38">
        <f>(30*0.1790888*100000/1000000)+(30*0.2374*100000/1000000)</f>
        <v>1.2494664</v>
      </c>
      <c r="Y431" s="38">
        <f>(1000*600*CHOOSE(CONTROL!$C$42, 1.0861, 1.0861)*CHOOSE(CONTROL!$C$42, 30, 30))/1000000</f>
        <v>19.549800000000001</v>
      </c>
      <c r="Z431" s="38"/>
      <c r="AA431" s="10"/>
      <c r="AB431" s="39"/>
      <c r="AC431" s="33">
        <f>(B431*122.58+C431*297.941+D431*89.177+E431*40.302+F431*40+G431*160+H431*0+I431*100+J431*300)/(122.58+297.941+89.177+40.302+0+40+160+100+300)</f>
        <v>11.296411974695651</v>
      </c>
      <c r="AD431" s="27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11.211948920863309</v>
      </c>
    </row>
    <row r="432" spans="1:30" ht="15.75" x14ac:dyDescent="0.25">
      <c r="A432" s="14">
        <v>54423</v>
      </c>
      <c r="B432" s="10">
        <f>CHOOSE(CONTROL!$C$42, 12.0752, 12.0752) * CHOOSE(CONTROL!$C$21, $C$9, 100%, $E$9)</f>
        <v>12.075200000000001</v>
      </c>
      <c r="C432" s="10">
        <f>CHOOSE(CONTROL!$C$42, 12.0801, 12.0801) * CHOOSE(CONTROL!$C$21, $C$9, 100%, $E$9)</f>
        <v>12.0801</v>
      </c>
      <c r="D432" s="10">
        <f>CHOOSE(CONTROL!$C$42, 12.1046, 12.1046) * CHOOSE(CONTROL!$C$21, $C$9, 100%, $E$9)</f>
        <v>12.1046</v>
      </c>
      <c r="E432" s="10">
        <f>CHOOSE(CONTROL!$C$42, 12.1384, 12.1384) * CHOOSE(CONTROL!$C$21, $C$9, 100%, $E$9)</f>
        <v>12.138400000000001</v>
      </c>
      <c r="F432" s="10">
        <f>CHOOSE(CONTROL!$C$42, 12.0468, 12.0468)*CHOOSE(CONTROL!$C$21, $C$9, 100%, $E$9)</f>
        <v>12.046799999999999</v>
      </c>
      <c r="G432" s="10">
        <f>CHOOSE(CONTROL!$C$42, 12.0639, 12.0639)*CHOOSE(CONTROL!$C$21, $C$9, 100%, $E$9)</f>
        <v>12.0639</v>
      </c>
      <c r="H432" s="10">
        <f>CHOOSE(CONTROL!$C$42, 12.1276, 12.1276) * CHOOSE(CONTROL!$C$21, $C$9, 100%, $E$9)</f>
        <v>12.127599999999999</v>
      </c>
      <c r="I432" s="10">
        <f>CHOOSE(CONTROL!$C$42, 12.062, 12.062)* CHOOSE(CONTROL!$C$21, $C$9, 100%, $E$9)</f>
        <v>12.061999999999999</v>
      </c>
      <c r="J432" s="10">
        <f>CHOOSE(CONTROL!$C$42, 12.0398, 12.0398)* CHOOSE(CONTROL!$C$21, $C$9, 100%, $E$9)</f>
        <v>12.0398</v>
      </c>
      <c r="K432" s="10">
        <f>CHOOSE(CONTROL!$C$42, 11.8613, 11.8613) * CHOOSE(CONTROL!$C$21, $C$9, 100%, $E$9)</f>
        <v>11.8613</v>
      </c>
      <c r="L432" s="10">
        <f>CHOOSE(CONTROL!$C$42, 12.7146, 12.7146) * CHOOSE(CONTROL!$C$21, $C$9, 100%, $E$9)</f>
        <v>12.714600000000001</v>
      </c>
      <c r="M432" s="10">
        <f>CHOOSE(CONTROL!$C$42, 11.9321, 11.9321) * CHOOSE(CONTROL!$C$21, $C$9, 100%, $E$9)</f>
        <v>11.9321</v>
      </c>
      <c r="N432" s="10">
        <f>CHOOSE(CONTROL!$C$42, 11.949, 11.949) * CHOOSE(CONTROL!$C$21, $C$9, 100%, $E$9)</f>
        <v>11.949</v>
      </c>
      <c r="O432" s="10">
        <f>CHOOSE(CONTROL!$C$42, 12.019, 12.019) * CHOOSE(CONTROL!$C$21, $C$9, 100%, $E$9)</f>
        <v>12.019</v>
      </c>
      <c r="P432" s="10">
        <f>CHOOSE(CONTROL!$C$42, 11.9541, 11.9541) * CHOOSE(CONTROL!$C$21, $C$9, 100%, $E$9)</f>
        <v>11.9541</v>
      </c>
      <c r="Q432" s="10">
        <f>CHOOSE(CONTROL!$C$42, 12.6143, 12.6143) * CHOOSE(CONTROL!$C$21, $C$9, 100%, $E$9)</f>
        <v>12.6143</v>
      </c>
      <c r="R432" s="10">
        <f>CHOOSE(CONTROL!$C$42, 13.2329, 13.2329) * CHOOSE(CONTROL!$C$21, $C$9, 100%, $E$9)</f>
        <v>13.232900000000001</v>
      </c>
      <c r="S432" s="10">
        <f>CHOOSE(CONTROL!$C$42, 11.7241, 11.7241) * CHOOSE(CONTROL!$C$21, $C$9, 100%, $E$9)</f>
        <v>11.7241</v>
      </c>
      <c r="T4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38">
        <f>(1000*CHOOSE(CONTROL!$C$42, 695, 695)*CHOOSE(CONTROL!$C$42, 0.5599, 0.5599)*CHOOSE(CONTROL!$C$42, 31, 31))/1000000</f>
        <v>12.063045499999998</v>
      </c>
      <c r="V432" s="38">
        <f>(1000*CHOOSE(CONTROL!$C$42, 500, 500)*CHOOSE(CONTROL!$C$42, 0.275, 0.275)*CHOOSE(CONTROL!$C$42, 31, 31))/1000000</f>
        <v>4.2625000000000002</v>
      </c>
      <c r="W432" s="38">
        <f>(1000*CHOOSE(CONTROL!$C$42, 0.1146, 0.1146)*CHOOSE(CONTROL!$C$42, 121.5, 121.5)*CHOOSE(CONTROL!$C$42, 31, 31))/1000000</f>
        <v>0.43164089999999994</v>
      </c>
      <c r="X432" s="38">
        <f>(31*0.1790888*100000/1000000)+(31*0.2374*100000/1000000)</f>
        <v>1.2911152800000001</v>
      </c>
      <c r="Y432" s="38">
        <f>(1000*600*CHOOSE(CONTROL!$C$42, 1.0861, 1.0861)*CHOOSE(CONTROL!$C$42, 31, 31))/1000000</f>
        <v>20.201460000000001</v>
      </c>
      <c r="Z432" s="38"/>
      <c r="AA432" s="10"/>
      <c r="AB432" s="39"/>
      <c r="AC432" s="33">
        <f>(B432*122.58+C432*297.941+D432*89.177+E432*40.302+F432*40+G432*160+H432*0+I432*100+J432*300)/(122.58+297.941+89.177+40.302+0+40+160+100+300)</f>
        <v>12.068021566173915</v>
      </c>
      <c r="AD432" s="27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11.975624460431657</v>
      </c>
    </row>
    <row r="433" spans="1:30" ht="15.75" x14ac:dyDescent="0.25">
      <c r="A433" s="14">
        <v>54454</v>
      </c>
      <c r="B433" s="10">
        <f>CHOOSE(CONTROL!$C$42, 12.89, 12.89) * CHOOSE(CONTROL!$C$21, $C$9, 100%, $E$9)</f>
        <v>12.89</v>
      </c>
      <c r="C433" s="10">
        <f>CHOOSE(CONTROL!$C$42, 12.895, 12.895) * CHOOSE(CONTROL!$C$21, $C$9, 100%, $E$9)</f>
        <v>12.895</v>
      </c>
      <c r="D433" s="10">
        <f>CHOOSE(CONTROL!$C$42, 12.9194, 12.9194) * CHOOSE(CONTROL!$C$21, $C$9, 100%, $E$9)</f>
        <v>12.9194</v>
      </c>
      <c r="E433" s="10">
        <f>CHOOSE(CONTROL!$C$42, 12.9532, 12.9532) * CHOOSE(CONTROL!$C$21, $C$9, 100%, $E$9)</f>
        <v>12.953200000000001</v>
      </c>
      <c r="F433" s="10">
        <f>CHOOSE(CONTROL!$C$42, 12.8729, 12.8729)*CHOOSE(CONTROL!$C$21, $C$9, 100%, $E$9)</f>
        <v>12.8729</v>
      </c>
      <c r="G433" s="10">
        <f>CHOOSE(CONTROL!$C$42, 12.8916, 12.8916)*CHOOSE(CONTROL!$C$21, $C$9, 100%, $E$9)</f>
        <v>12.8916</v>
      </c>
      <c r="H433" s="10">
        <f>CHOOSE(CONTROL!$C$42, 12.9424, 12.9424) * CHOOSE(CONTROL!$C$21, $C$9, 100%, $E$9)</f>
        <v>12.942399999999999</v>
      </c>
      <c r="I433" s="10">
        <f>CHOOSE(CONTROL!$C$42, 12.8845, 12.8845)* CHOOSE(CONTROL!$C$21, $C$9, 100%, $E$9)</f>
        <v>12.884499999999999</v>
      </c>
      <c r="J433" s="10">
        <f>CHOOSE(CONTROL!$C$42, 12.8659, 12.8659)* CHOOSE(CONTROL!$C$21, $C$9, 100%, $E$9)</f>
        <v>12.8659</v>
      </c>
      <c r="K433" s="10">
        <f>CHOOSE(CONTROL!$C$42, 12.6739, 12.6739) * CHOOSE(CONTROL!$C$21, $C$9, 100%, $E$9)</f>
        <v>12.6739</v>
      </c>
      <c r="L433" s="10">
        <f>CHOOSE(CONTROL!$C$42, 13.5294, 13.5294) * CHOOSE(CONTROL!$C$21, $C$9, 100%, $E$9)</f>
        <v>13.529400000000001</v>
      </c>
      <c r="M433" s="10">
        <f>CHOOSE(CONTROL!$C$42, 12.7499, 12.7499) * CHOOSE(CONTROL!$C$21, $C$9, 100%, $E$9)</f>
        <v>12.7499</v>
      </c>
      <c r="N433" s="10">
        <f>CHOOSE(CONTROL!$C$42, 12.7684, 12.7684) * CHOOSE(CONTROL!$C$21, $C$9, 100%, $E$9)</f>
        <v>12.7684</v>
      </c>
      <c r="O433" s="10">
        <f>CHOOSE(CONTROL!$C$42, 12.8256, 12.8256) * CHOOSE(CONTROL!$C$21, $C$9, 100%, $E$9)</f>
        <v>12.8256</v>
      </c>
      <c r="P433" s="10">
        <f>CHOOSE(CONTROL!$C$42, 12.7683, 12.7683) * CHOOSE(CONTROL!$C$21, $C$9, 100%, $E$9)</f>
        <v>12.7683</v>
      </c>
      <c r="Q433" s="10">
        <f>CHOOSE(CONTROL!$C$42, 13.4209, 13.4209) * CHOOSE(CONTROL!$C$21, $C$9, 100%, $E$9)</f>
        <v>13.4209</v>
      </c>
      <c r="R433" s="10">
        <f>CHOOSE(CONTROL!$C$42, 14.0415, 14.0415) * CHOOSE(CONTROL!$C$21, $C$9, 100%, $E$9)</f>
        <v>14.041499999999999</v>
      </c>
      <c r="S433" s="10">
        <f>CHOOSE(CONTROL!$C$42, 12.5153, 12.5153) * CHOOSE(CONTROL!$C$21, $C$9, 100%, $E$9)</f>
        <v>12.5153</v>
      </c>
      <c r="T4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38">
        <f>(1000*CHOOSE(CONTROL!$C$42, 695, 695)*CHOOSE(CONTROL!$C$42, 0.5599, 0.5599)*CHOOSE(CONTROL!$C$42, 31, 31))/1000000</f>
        <v>12.063045499999998</v>
      </c>
      <c r="V433" s="38">
        <f>(1000*CHOOSE(CONTROL!$C$42, 500, 500)*CHOOSE(CONTROL!$C$42, 0.275, 0.275)*CHOOSE(CONTROL!$C$42, 31, 31))/1000000</f>
        <v>4.2625000000000002</v>
      </c>
      <c r="W433" s="38">
        <f>(1000*CHOOSE(CONTROL!$C$42, 0.1146, 0.1146)*CHOOSE(CONTROL!$C$42, 121.5, 121.5)*CHOOSE(CONTROL!$C$42, 31, 31))/1000000</f>
        <v>0.43164089999999994</v>
      </c>
      <c r="X433" s="38">
        <f>(31*0.1790888*100000/1000000)+(31*0.2374*100000/1000000)</f>
        <v>1.2911152800000001</v>
      </c>
      <c r="Y433" s="38">
        <f>(1000*600*CHOOSE(CONTROL!$C$42, 1.0826, 1.0826)*CHOOSE(CONTROL!$C$42, 31, 31))/1000000</f>
        <v>20.13636</v>
      </c>
      <c r="Z433" s="38"/>
      <c r="AA433" s="10"/>
      <c r="AB433" s="39"/>
      <c r="AC433" s="33">
        <f>(B433*122.58+C433*297.941+D433*89.177+E433*40.302+F433*40+G433*160+H433*0+I433*100+J433*300)/(122.58+297.941+89.177+40.302+0+40+160+100+300)</f>
        <v>12.88865269147826</v>
      </c>
      <c r="AD433" s="27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12.787922302158274</v>
      </c>
    </row>
    <row r="434" spans="1:30" ht="15.75" x14ac:dyDescent="0.25">
      <c r="A434" s="14">
        <v>54482</v>
      </c>
      <c r="B434" s="10">
        <f>CHOOSE(CONTROL!$C$42, 13.1194, 13.1194) * CHOOSE(CONTROL!$C$21, $C$9, 100%, $E$9)</f>
        <v>13.119400000000001</v>
      </c>
      <c r="C434" s="10">
        <f>CHOOSE(CONTROL!$C$42, 13.1244, 13.1244) * CHOOSE(CONTROL!$C$21, $C$9, 100%, $E$9)</f>
        <v>13.1244</v>
      </c>
      <c r="D434" s="10">
        <f>CHOOSE(CONTROL!$C$42, 13.1488, 13.1488) * CHOOSE(CONTROL!$C$21, $C$9, 100%, $E$9)</f>
        <v>13.1488</v>
      </c>
      <c r="E434" s="10">
        <f>CHOOSE(CONTROL!$C$42, 13.1826, 13.1826) * CHOOSE(CONTROL!$C$21, $C$9, 100%, $E$9)</f>
        <v>13.182600000000001</v>
      </c>
      <c r="F434" s="10">
        <f>CHOOSE(CONTROL!$C$42, 13.1017, 13.1017)*CHOOSE(CONTROL!$C$21, $C$9, 100%, $E$9)</f>
        <v>13.101699999999999</v>
      </c>
      <c r="G434" s="10">
        <f>CHOOSE(CONTROL!$C$42, 13.1201, 13.1201)*CHOOSE(CONTROL!$C$21, $C$9, 100%, $E$9)</f>
        <v>13.120100000000001</v>
      </c>
      <c r="H434" s="10">
        <f>CHOOSE(CONTROL!$C$42, 13.1718, 13.1718) * CHOOSE(CONTROL!$C$21, $C$9, 100%, $E$9)</f>
        <v>13.171799999999999</v>
      </c>
      <c r="I434" s="10">
        <f>CHOOSE(CONTROL!$C$42, 13.1139, 13.1139)* CHOOSE(CONTROL!$C$21, $C$9, 100%, $E$9)</f>
        <v>13.113899999999999</v>
      </c>
      <c r="J434" s="10">
        <f>CHOOSE(CONTROL!$C$42, 13.0947, 13.0947)* CHOOSE(CONTROL!$C$21, $C$9, 100%, $E$9)</f>
        <v>13.0947</v>
      </c>
      <c r="K434" s="10">
        <f>CHOOSE(CONTROL!$C$42, 12.8953, 12.8953) * CHOOSE(CONTROL!$C$21, $C$9, 100%, $E$9)</f>
        <v>12.895300000000001</v>
      </c>
      <c r="L434" s="10">
        <f>CHOOSE(CONTROL!$C$42, 13.7588, 13.7588) * CHOOSE(CONTROL!$C$21, $C$9, 100%, $E$9)</f>
        <v>13.758800000000001</v>
      </c>
      <c r="M434" s="10">
        <f>CHOOSE(CONTROL!$C$42, 12.9763, 12.9763) * CHOOSE(CONTROL!$C$21, $C$9, 100%, $E$9)</f>
        <v>12.9763</v>
      </c>
      <c r="N434" s="10">
        <f>CHOOSE(CONTROL!$C$42, 12.9946, 12.9946) * CHOOSE(CONTROL!$C$21, $C$9, 100%, $E$9)</f>
        <v>12.9946</v>
      </c>
      <c r="O434" s="10">
        <f>CHOOSE(CONTROL!$C$42, 13.0527, 13.0527) * CHOOSE(CONTROL!$C$21, $C$9, 100%, $E$9)</f>
        <v>13.0527</v>
      </c>
      <c r="P434" s="10">
        <f>CHOOSE(CONTROL!$C$42, 12.9954, 12.9954) * CHOOSE(CONTROL!$C$21, $C$9, 100%, $E$9)</f>
        <v>12.9954</v>
      </c>
      <c r="Q434" s="10">
        <f>CHOOSE(CONTROL!$C$42, 13.648, 13.648) * CHOOSE(CONTROL!$C$21, $C$9, 100%, $E$9)</f>
        <v>13.648</v>
      </c>
      <c r="R434" s="10">
        <f>CHOOSE(CONTROL!$C$42, 14.2691, 14.2691) * CHOOSE(CONTROL!$C$21, $C$9, 100%, $E$9)</f>
        <v>14.2691</v>
      </c>
      <c r="S434" s="10">
        <f>CHOOSE(CONTROL!$C$42, 12.7381, 12.7381) * CHOOSE(CONTROL!$C$21, $C$9, 100%, $E$9)</f>
        <v>12.738099999999999</v>
      </c>
      <c r="T4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34" s="38">
        <f>(1000*CHOOSE(CONTROL!$C$42, 695, 695)*CHOOSE(CONTROL!$C$42, 0.5599, 0.5599)*CHOOSE(CONTROL!$C$42, 28, 28))/1000000</f>
        <v>10.895653999999999</v>
      </c>
      <c r="V434" s="38">
        <f>(1000*CHOOSE(CONTROL!$C$42, 500, 500)*CHOOSE(CONTROL!$C$42, 0.275, 0.275)*CHOOSE(CONTROL!$C$42, 28, 28))/1000000</f>
        <v>3.85</v>
      </c>
      <c r="W434" s="38">
        <f>(1000*CHOOSE(CONTROL!$C$42, 0.1146, 0.1146)*CHOOSE(CONTROL!$C$42, 121.5, 121.5)*CHOOSE(CONTROL!$C$42, 28, 28))/1000000</f>
        <v>0.38986920000000003</v>
      </c>
      <c r="X434" s="38">
        <f>(28*0.1790888*100000/1000000)+(28*0.2374*100000/1000000)</f>
        <v>1.16616864</v>
      </c>
      <c r="Y434" s="38">
        <f>(1000*600*CHOOSE(CONTROL!$C$42, 1.0826, 1.0826)*CHOOSE(CONTROL!$C$42, 28, 28))/1000000</f>
        <v>18.18768</v>
      </c>
      <c r="Z434" s="38"/>
      <c r="AA434" s="10"/>
      <c r="AB434" s="39"/>
      <c r="AC434" s="33">
        <f>(B434*122.58+C434*297.941+D434*89.177+E434*40.302+F434*40+G434*160+H434*0+I434*100+J434*300)/(122.58+297.941+89.177+40.302+0+40+160+100+300)</f>
        <v>13.117750082782608</v>
      </c>
      <c r="AD434" s="27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13.014728776978416</v>
      </c>
    </row>
    <row r="435" spans="1:30" ht="15.75" x14ac:dyDescent="0.25">
      <c r="A435" s="14">
        <v>54513</v>
      </c>
      <c r="B435" s="10">
        <f>CHOOSE(CONTROL!$C$42, 12.747, 12.747) * CHOOSE(CONTROL!$C$21, $C$9, 100%, $E$9)</f>
        <v>12.747</v>
      </c>
      <c r="C435" s="10">
        <f>CHOOSE(CONTROL!$C$42, 12.752, 12.752) * CHOOSE(CONTROL!$C$21, $C$9, 100%, $E$9)</f>
        <v>12.752000000000001</v>
      </c>
      <c r="D435" s="10">
        <f>CHOOSE(CONTROL!$C$42, 12.7764, 12.7764) * CHOOSE(CONTROL!$C$21, $C$9, 100%, $E$9)</f>
        <v>12.776400000000001</v>
      </c>
      <c r="E435" s="10">
        <f>CHOOSE(CONTROL!$C$42, 12.8102, 12.8102) * CHOOSE(CONTROL!$C$21, $C$9, 100%, $E$9)</f>
        <v>12.8102</v>
      </c>
      <c r="F435" s="10">
        <f>CHOOSE(CONTROL!$C$42, 12.7277, 12.7277)*CHOOSE(CONTROL!$C$21, $C$9, 100%, $E$9)</f>
        <v>12.7277</v>
      </c>
      <c r="G435" s="10">
        <f>CHOOSE(CONTROL!$C$42, 12.7458, 12.7458)*CHOOSE(CONTROL!$C$21, $C$9, 100%, $E$9)</f>
        <v>12.745799999999999</v>
      </c>
      <c r="H435" s="10">
        <f>CHOOSE(CONTROL!$C$42, 12.7994, 12.7994) * CHOOSE(CONTROL!$C$21, $C$9, 100%, $E$9)</f>
        <v>12.7994</v>
      </c>
      <c r="I435" s="10">
        <f>CHOOSE(CONTROL!$C$42, 12.7415, 12.7415)* CHOOSE(CONTROL!$C$21, $C$9, 100%, $E$9)</f>
        <v>12.7415</v>
      </c>
      <c r="J435" s="10">
        <f>CHOOSE(CONTROL!$C$42, 12.7207, 12.7207)* CHOOSE(CONTROL!$C$21, $C$9, 100%, $E$9)</f>
        <v>12.720700000000001</v>
      </c>
      <c r="K435" s="10">
        <f>CHOOSE(CONTROL!$C$42, 12.5302, 12.5302) * CHOOSE(CONTROL!$C$21, $C$9, 100%, $E$9)</f>
        <v>12.530200000000001</v>
      </c>
      <c r="L435" s="10">
        <f>CHOOSE(CONTROL!$C$42, 13.3864, 13.3864) * CHOOSE(CONTROL!$C$21, $C$9, 100%, $E$9)</f>
        <v>13.3864</v>
      </c>
      <c r="M435" s="10">
        <f>CHOOSE(CONTROL!$C$42, 12.6062, 12.6062) * CHOOSE(CONTROL!$C$21, $C$9, 100%, $E$9)</f>
        <v>12.606199999999999</v>
      </c>
      <c r="N435" s="10">
        <f>CHOOSE(CONTROL!$C$42, 12.6241, 12.6241) * CHOOSE(CONTROL!$C$21, $C$9, 100%, $E$9)</f>
        <v>12.6241</v>
      </c>
      <c r="O435" s="10">
        <f>CHOOSE(CONTROL!$C$42, 12.6841, 12.6841) * CHOOSE(CONTROL!$C$21, $C$9, 100%, $E$9)</f>
        <v>12.684100000000001</v>
      </c>
      <c r="P435" s="10">
        <f>CHOOSE(CONTROL!$C$42, 12.6268, 12.6268) * CHOOSE(CONTROL!$C$21, $C$9, 100%, $E$9)</f>
        <v>12.626799999999999</v>
      </c>
      <c r="Q435" s="10">
        <f>CHOOSE(CONTROL!$C$42, 13.2794, 13.2794) * CHOOSE(CONTROL!$C$21, $C$9, 100%, $E$9)</f>
        <v>13.279400000000001</v>
      </c>
      <c r="R435" s="10">
        <f>CHOOSE(CONTROL!$C$42, 13.8996, 13.8996) * CHOOSE(CONTROL!$C$21, $C$9, 100%, $E$9)</f>
        <v>13.8996</v>
      </c>
      <c r="S435" s="10">
        <f>CHOOSE(CONTROL!$C$42, 12.3765, 12.3765) * CHOOSE(CONTROL!$C$21, $C$9, 100%, $E$9)</f>
        <v>12.3765</v>
      </c>
      <c r="T4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38">
        <f>(1000*CHOOSE(CONTROL!$C$42, 695, 695)*CHOOSE(CONTROL!$C$42, 0.5599, 0.5599)*CHOOSE(CONTROL!$C$42, 31, 31))/1000000</f>
        <v>12.063045499999998</v>
      </c>
      <c r="V435" s="38">
        <f>(1000*CHOOSE(CONTROL!$C$42, 500, 500)*CHOOSE(CONTROL!$C$42, 0.275, 0.275)*CHOOSE(CONTROL!$C$42, 31, 31))/1000000</f>
        <v>4.2625000000000002</v>
      </c>
      <c r="W435" s="38">
        <f>(1000*CHOOSE(CONTROL!$C$42, 0.1146, 0.1146)*CHOOSE(CONTROL!$C$42, 121.5, 121.5)*CHOOSE(CONTROL!$C$42, 31, 31))/1000000</f>
        <v>0.43164089999999994</v>
      </c>
      <c r="X435" s="38">
        <f>(31*0.1790888*100000/1000000)+(31*0.2374*100000/1000000)</f>
        <v>1.2911152800000001</v>
      </c>
      <c r="Y435" s="38">
        <f>(1000*600*CHOOSE(CONTROL!$C$42, 1.0826, 1.0826)*CHOOSE(CONTROL!$C$42, 31, 31))/1000000</f>
        <v>20.13636</v>
      </c>
      <c r="Z435" s="38"/>
      <c r="AA435" s="10"/>
      <c r="AB435" s="39"/>
      <c r="AC435" s="33">
        <f>(B435*122.58+C435*297.941+D435*89.177+E435*40.302+F435*40+G435*160+H435*0+I435*100+J435*300)/(122.58+297.941+89.177+40.302+0+40+160+100+300)</f>
        <v>12.74461269147826</v>
      </c>
      <c r="AD435" s="27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12.645501438848921</v>
      </c>
    </row>
    <row r="436" spans="1:30" ht="15.75" x14ac:dyDescent="0.25">
      <c r="A436" s="14">
        <v>54543</v>
      </c>
      <c r="B436" s="10">
        <f>CHOOSE(CONTROL!$C$42, 12.7096, 12.7096) * CHOOSE(CONTROL!$C$21, $C$9, 100%, $E$9)</f>
        <v>12.7096</v>
      </c>
      <c r="C436" s="10">
        <f>CHOOSE(CONTROL!$C$42, 12.714, 12.714) * CHOOSE(CONTROL!$C$21, $C$9, 100%, $E$9)</f>
        <v>12.714</v>
      </c>
      <c r="D436" s="10">
        <f>CHOOSE(CONTROL!$C$42, 12.8942, 12.8942) * CHOOSE(CONTROL!$C$21, $C$9, 100%, $E$9)</f>
        <v>12.8942</v>
      </c>
      <c r="E436" s="10">
        <f>CHOOSE(CONTROL!$C$42, 12.9259, 12.9259) * CHOOSE(CONTROL!$C$21, $C$9, 100%, $E$9)</f>
        <v>12.9259</v>
      </c>
      <c r="F436" s="10">
        <f>CHOOSE(CONTROL!$C$42, 12.675, 12.675)*CHOOSE(CONTROL!$C$21, $C$9, 100%, $E$9)</f>
        <v>12.675000000000001</v>
      </c>
      <c r="G436" s="10">
        <f>CHOOSE(CONTROL!$C$42, 12.6912, 12.6912)*CHOOSE(CONTROL!$C$21, $C$9, 100%, $E$9)</f>
        <v>12.6912</v>
      </c>
      <c r="H436" s="10">
        <f>CHOOSE(CONTROL!$C$42, 12.9157, 12.9157) * CHOOSE(CONTROL!$C$21, $C$9, 100%, $E$9)</f>
        <v>12.915699999999999</v>
      </c>
      <c r="I436" s="10">
        <f>CHOOSE(CONTROL!$C$42, 12.6956, 12.6956)* CHOOSE(CONTROL!$C$21, $C$9, 100%, $E$9)</f>
        <v>12.695600000000001</v>
      </c>
      <c r="J436" s="10">
        <f>CHOOSE(CONTROL!$C$42, 12.668, 12.668)* CHOOSE(CONTROL!$C$21, $C$9, 100%, $E$9)</f>
        <v>12.667999999999999</v>
      </c>
      <c r="K436" s="10">
        <f>CHOOSE(CONTROL!$C$42, 12.4706, 12.4706) * CHOOSE(CONTROL!$C$21, $C$9, 100%, $E$9)</f>
        <v>12.470599999999999</v>
      </c>
      <c r="L436" s="10">
        <f>CHOOSE(CONTROL!$C$42, 13.5027, 13.5027) * CHOOSE(CONTROL!$C$21, $C$9, 100%, $E$9)</f>
        <v>13.502700000000001</v>
      </c>
      <c r="M436" s="10">
        <f>CHOOSE(CONTROL!$C$42, 12.554, 12.554) * CHOOSE(CONTROL!$C$21, $C$9, 100%, $E$9)</f>
        <v>12.554</v>
      </c>
      <c r="N436" s="10">
        <f>CHOOSE(CONTROL!$C$42, 12.57, 12.57) * CHOOSE(CONTROL!$C$21, $C$9, 100%, $E$9)</f>
        <v>12.57</v>
      </c>
      <c r="O436" s="10">
        <f>CHOOSE(CONTROL!$C$42, 12.7992, 12.7992) * CHOOSE(CONTROL!$C$21, $C$9, 100%, $E$9)</f>
        <v>12.799200000000001</v>
      </c>
      <c r="P436" s="10">
        <f>CHOOSE(CONTROL!$C$42, 12.5814, 12.5814) * CHOOSE(CONTROL!$C$21, $C$9, 100%, $E$9)</f>
        <v>12.5814</v>
      </c>
      <c r="Q436" s="10">
        <f>CHOOSE(CONTROL!$C$42, 13.3945, 13.3945) * CHOOSE(CONTROL!$C$21, $C$9, 100%, $E$9)</f>
        <v>13.394500000000001</v>
      </c>
      <c r="R436" s="10">
        <f>CHOOSE(CONTROL!$C$42, 14.015, 14.015) * CHOOSE(CONTROL!$C$21, $C$9, 100%, $E$9)</f>
        <v>14.015000000000001</v>
      </c>
      <c r="S436" s="10">
        <f>CHOOSE(CONTROL!$C$42, 12.3394, 12.3394) * CHOOSE(CONTROL!$C$21, $C$9, 100%, $E$9)</f>
        <v>12.339399999999999</v>
      </c>
      <c r="T4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38">
        <f>(1000*CHOOSE(CONTROL!$C$42, 695, 695)*CHOOSE(CONTROL!$C$42, 0.5599, 0.5599)*CHOOSE(CONTROL!$C$42, 30, 30))/1000000</f>
        <v>11.673914999999997</v>
      </c>
      <c r="V436" s="38">
        <f>(1000*CHOOSE(CONTROL!$C$42, 500, 500)*CHOOSE(CONTROL!$C$42, 0.275, 0.275)*CHOOSE(CONTROL!$C$42, 30, 30))/1000000</f>
        <v>4.125</v>
      </c>
      <c r="W436" s="38">
        <f>(1000*CHOOSE(CONTROL!$C$42, 0.1146, 0.1146)*CHOOSE(CONTROL!$C$42, 121.5, 121.5)*CHOOSE(CONTROL!$C$42, 30, 30))/1000000</f>
        <v>0.417717</v>
      </c>
      <c r="X436" s="38">
        <f>(30*0.1790888*245000/1000000)+(30*0.2374*100000/1000000)</f>
        <v>2.0285026799999999</v>
      </c>
      <c r="Y436" s="38">
        <f>(1000*600*CHOOSE(CONTROL!$C$42, 1.0826, 1.0826)*CHOOSE(CONTROL!$C$42, 30, 30))/1000000</f>
        <v>19.486799999999999</v>
      </c>
      <c r="Z436" s="38"/>
      <c r="AA436" s="10"/>
      <c r="AB436" s="39"/>
      <c r="AC436" s="33">
        <f>(B436*141.293+C436*267.993+D436*115.016+E436*89.698+F436*40+G436*185+H436*0+I436*100+J436*300)/(141.293+267.993+115.016+89.698+0+40+185+100+300)</f>
        <v>12.728280226150119</v>
      </c>
      <c r="AD436" s="27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12.630423021582734</v>
      </c>
    </row>
    <row r="437" spans="1:30" ht="15.75" x14ac:dyDescent="0.25">
      <c r="A437" s="14">
        <v>54574</v>
      </c>
      <c r="B437" s="10">
        <f>CHOOSE(CONTROL!$C$42, 12.8236, 12.8236) * CHOOSE(CONTROL!$C$21, $C$9, 100%, $E$9)</f>
        <v>12.823600000000001</v>
      </c>
      <c r="C437" s="10">
        <f>CHOOSE(CONTROL!$C$42, 12.8315, 12.8315) * CHOOSE(CONTROL!$C$21, $C$9, 100%, $E$9)</f>
        <v>12.8315</v>
      </c>
      <c r="D437" s="10">
        <f>CHOOSE(CONTROL!$C$42, 13.0085, 13.0085) * CHOOSE(CONTROL!$C$21, $C$9, 100%, $E$9)</f>
        <v>13.0085</v>
      </c>
      <c r="E437" s="10">
        <f>CHOOSE(CONTROL!$C$42, 13.0396, 13.0396) * CHOOSE(CONTROL!$C$21, $C$9, 100%, $E$9)</f>
        <v>13.0396</v>
      </c>
      <c r="F437" s="10">
        <f>CHOOSE(CONTROL!$C$42, 12.7869, 12.7869)*CHOOSE(CONTROL!$C$21, $C$9, 100%, $E$9)</f>
        <v>12.786899999999999</v>
      </c>
      <c r="G437" s="10">
        <f>CHOOSE(CONTROL!$C$42, 12.8034, 12.8034)*CHOOSE(CONTROL!$C$21, $C$9, 100%, $E$9)</f>
        <v>12.8034</v>
      </c>
      <c r="H437" s="10">
        <f>CHOOSE(CONTROL!$C$42, 13.0282, 13.0282) * CHOOSE(CONTROL!$C$21, $C$9, 100%, $E$9)</f>
        <v>13.0282</v>
      </c>
      <c r="I437" s="10">
        <f>CHOOSE(CONTROL!$C$42, 12.8082, 12.8082)* CHOOSE(CONTROL!$C$21, $C$9, 100%, $E$9)</f>
        <v>12.808199999999999</v>
      </c>
      <c r="J437" s="10">
        <f>CHOOSE(CONTROL!$C$42, 12.7799, 12.7799)* CHOOSE(CONTROL!$C$21, $C$9, 100%, $E$9)</f>
        <v>12.7799</v>
      </c>
      <c r="K437" s="10">
        <f>CHOOSE(CONTROL!$C$42, 12.5787, 12.5787) * CHOOSE(CONTROL!$C$21, $C$9, 100%, $E$9)</f>
        <v>12.5787</v>
      </c>
      <c r="L437" s="10">
        <f>CHOOSE(CONTROL!$C$42, 13.6152, 13.6152) * CHOOSE(CONTROL!$C$21, $C$9, 100%, $E$9)</f>
        <v>13.6152</v>
      </c>
      <c r="M437" s="10">
        <f>CHOOSE(CONTROL!$C$42, 12.6648, 12.6648) * CHOOSE(CONTROL!$C$21, $C$9, 100%, $E$9)</f>
        <v>12.6648</v>
      </c>
      <c r="N437" s="10">
        <f>CHOOSE(CONTROL!$C$42, 12.6811, 12.6811) * CHOOSE(CONTROL!$C$21, $C$9, 100%, $E$9)</f>
        <v>12.681100000000001</v>
      </c>
      <c r="O437" s="10">
        <f>CHOOSE(CONTROL!$C$42, 12.9106, 12.9106) * CHOOSE(CONTROL!$C$21, $C$9, 100%, $E$9)</f>
        <v>12.910600000000001</v>
      </c>
      <c r="P437" s="10">
        <f>CHOOSE(CONTROL!$C$42, 12.6928, 12.6928) * CHOOSE(CONTROL!$C$21, $C$9, 100%, $E$9)</f>
        <v>12.6928</v>
      </c>
      <c r="Q437" s="10">
        <f>CHOOSE(CONTROL!$C$42, 13.5059, 13.5059) * CHOOSE(CONTROL!$C$21, $C$9, 100%, $E$9)</f>
        <v>13.5059</v>
      </c>
      <c r="R437" s="10">
        <f>CHOOSE(CONTROL!$C$42, 14.1267, 14.1267) * CHOOSE(CONTROL!$C$21, $C$9, 100%, $E$9)</f>
        <v>14.1267</v>
      </c>
      <c r="S437" s="10">
        <f>CHOOSE(CONTROL!$C$42, 12.4487, 12.4487) * CHOOSE(CONTROL!$C$21, $C$9, 100%, $E$9)</f>
        <v>12.448700000000001</v>
      </c>
      <c r="T4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38">
        <f>(1000*CHOOSE(CONTROL!$C$42, 695, 695)*CHOOSE(CONTROL!$C$42, 0.5599, 0.5599)*CHOOSE(CONTROL!$C$42, 31, 31))/1000000</f>
        <v>12.063045499999998</v>
      </c>
      <c r="V437" s="38">
        <f>(1000*CHOOSE(CONTROL!$C$42, 500, 500)*CHOOSE(CONTROL!$C$42, 0.275, 0.275)*CHOOSE(CONTROL!$C$42, 31, 31))/1000000</f>
        <v>4.2625000000000002</v>
      </c>
      <c r="W437" s="38">
        <f>(1000*CHOOSE(CONTROL!$C$42, 0.1146, 0.1146)*CHOOSE(CONTROL!$C$42, 121.5, 121.5)*CHOOSE(CONTROL!$C$42, 31, 31))/1000000</f>
        <v>0.43164089999999994</v>
      </c>
      <c r="X437" s="38">
        <f>(31*0.1790888*245000/1000000)+(31*0.2374*100000/1000000)</f>
        <v>2.0961194359999999</v>
      </c>
      <c r="Y437" s="38">
        <f>(1000*600*CHOOSE(CONTROL!$C$42, 1.0826, 1.0826)*CHOOSE(CONTROL!$C$42, 31, 31))/1000000</f>
        <v>20.13636</v>
      </c>
      <c r="Z437" s="38"/>
      <c r="AA437" s="10"/>
      <c r="AB437" s="39"/>
      <c r="AC437" s="33">
        <f>(B437*194.205+C437*267.466+D437*133.845+E437*53.484+F437*40+G437*185+H437*0+I437*100+J437*300)/(194.205+267.466+133.845+53.484+0+40+185+100+300)</f>
        <v>12.838167084693877</v>
      </c>
      <c r="AD437" s="27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12.741546762589929</v>
      </c>
    </row>
    <row r="438" spans="1:30" ht="15.75" x14ac:dyDescent="0.25">
      <c r="A438" s="14">
        <v>54604</v>
      </c>
      <c r="B438" s="10">
        <f>CHOOSE(CONTROL!$C$42, 13.1872, 13.1872) * CHOOSE(CONTROL!$C$21, $C$9, 100%, $E$9)</f>
        <v>13.187200000000001</v>
      </c>
      <c r="C438" s="10">
        <f>CHOOSE(CONTROL!$C$42, 13.1951, 13.1951) * CHOOSE(CONTROL!$C$21, $C$9, 100%, $E$9)</f>
        <v>13.1951</v>
      </c>
      <c r="D438" s="10">
        <f>CHOOSE(CONTROL!$C$42, 13.3721, 13.3721) * CHOOSE(CONTROL!$C$21, $C$9, 100%, $E$9)</f>
        <v>13.3721</v>
      </c>
      <c r="E438" s="10">
        <f>CHOOSE(CONTROL!$C$42, 13.4032, 13.4032) * CHOOSE(CONTROL!$C$21, $C$9, 100%, $E$9)</f>
        <v>13.4032</v>
      </c>
      <c r="F438" s="10">
        <f>CHOOSE(CONTROL!$C$42, 13.1507, 13.1507)*CHOOSE(CONTROL!$C$21, $C$9, 100%, $E$9)</f>
        <v>13.150700000000001</v>
      </c>
      <c r="G438" s="10">
        <f>CHOOSE(CONTROL!$C$42, 13.1673, 13.1673)*CHOOSE(CONTROL!$C$21, $C$9, 100%, $E$9)</f>
        <v>13.167299999999999</v>
      </c>
      <c r="H438" s="10">
        <f>CHOOSE(CONTROL!$C$42, 13.3919, 13.3919) * CHOOSE(CONTROL!$C$21, $C$9, 100%, $E$9)</f>
        <v>13.3919</v>
      </c>
      <c r="I438" s="10">
        <f>CHOOSE(CONTROL!$C$42, 13.1718, 13.1718)* CHOOSE(CONTROL!$C$21, $C$9, 100%, $E$9)</f>
        <v>13.171799999999999</v>
      </c>
      <c r="J438" s="10">
        <f>CHOOSE(CONTROL!$C$42, 13.1437, 13.1437)* CHOOSE(CONTROL!$C$21, $C$9, 100%, $E$9)</f>
        <v>13.143700000000001</v>
      </c>
      <c r="K438" s="10">
        <f>CHOOSE(CONTROL!$C$42, 12.9323, 12.9323) * CHOOSE(CONTROL!$C$21, $C$9, 100%, $E$9)</f>
        <v>12.9323</v>
      </c>
      <c r="L438" s="10">
        <f>CHOOSE(CONTROL!$C$42, 13.9789, 13.9789) * CHOOSE(CONTROL!$C$21, $C$9, 100%, $E$9)</f>
        <v>13.978899999999999</v>
      </c>
      <c r="M438" s="10">
        <f>CHOOSE(CONTROL!$C$42, 13.0249, 13.0249) * CHOOSE(CONTROL!$C$21, $C$9, 100%, $E$9)</f>
        <v>13.024900000000001</v>
      </c>
      <c r="N438" s="10">
        <f>CHOOSE(CONTROL!$C$42, 13.0413, 13.0413) * CHOOSE(CONTROL!$C$21, $C$9, 100%, $E$9)</f>
        <v>13.0413</v>
      </c>
      <c r="O438" s="10">
        <f>CHOOSE(CONTROL!$C$42, 13.2705, 13.2705) * CHOOSE(CONTROL!$C$21, $C$9, 100%, $E$9)</f>
        <v>13.2705</v>
      </c>
      <c r="P438" s="10">
        <f>CHOOSE(CONTROL!$C$42, 13.0527, 13.0527) * CHOOSE(CONTROL!$C$21, $C$9, 100%, $E$9)</f>
        <v>13.0527</v>
      </c>
      <c r="Q438" s="10">
        <f>CHOOSE(CONTROL!$C$42, 13.8658, 13.8658) * CHOOSE(CONTROL!$C$21, $C$9, 100%, $E$9)</f>
        <v>13.8658</v>
      </c>
      <c r="R438" s="10">
        <f>CHOOSE(CONTROL!$C$42, 14.4875, 14.4875) * CHOOSE(CONTROL!$C$21, $C$9, 100%, $E$9)</f>
        <v>14.487500000000001</v>
      </c>
      <c r="S438" s="10">
        <f>CHOOSE(CONTROL!$C$42, 12.8018, 12.8018) * CHOOSE(CONTROL!$C$21, $C$9, 100%, $E$9)</f>
        <v>12.8018</v>
      </c>
      <c r="T4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38">
        <f>(1000*CHOOSE(CONTROL!$C$42, 695, 695)*CHOOSE(CONTROL!$C$42, 0.5599, 0.5599)*CHOOSE(CONTROL!$C$42, 30, 30))/1000000</f>
        <v>11.673914999999997</v>
      </c>
      <c r="V438" s="38">
        <f>(1000*CHOOSE(CONTROL!$C$42, 500, 500)*CHOOSE(CONTROL!$C$42, 0.275, 0.275)*CHOOSE(CONTROL!$C$42, 30, 30))/1000000</f>
        <v>4.125</v>
      </c>
      <c r="W438" s="38">
        <f>(1000*CHOOSE(CONTROL!$C$42, 0.1146, 0.1146)*CHOOSE(CONTROL!$C$42, 121.5, 121.5)*CHOOSE(CONTROL!$C$42, 30, 30))/1000000</f>
        <v>0.417717</v>
      </c>
      <c r="X438" s="38">
        <f>(30*0.1790888*245000/1000000)+(30*0.2374*100000/1000000)</f>
        <v>2.0285026799999999</v>
      </c>
      <c r="Y438" s="38">
        <f>(1000*600*CHOOSE(CONTROL!$C$42, 1.0826, 1.0826)*CHOOSE(CONTROL!$C$42, 30, 30))/1000000</f>
        <v>19.486799999999999</v>
      </c>
      <c r="Z438" s="38"/>
      <c r="AA438" s="10"/>
      <c r="AB438" s="39"/>
      <c r="AC438" s="33">
        <f>(B438*194.205+C438*267.466+D438*133.845+E438*53.484+F438*40+G438*185+H438*0+I438*100+J438*300)/(194.205+267.466+133.845+53.484+0+40+185+100+300)</f>
        <v>13.20186402346939</v>
      </c>
      <c r="AD438" s="27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13.101584892086333</v>
      </c>
    </row>
    <row r="439" spans="1:30" ht="15.75" x14ac:dyDescent="0.25">
      <c r="A439" s="14">
        <v>54635</v>
      </c>
      <c r="B439" s="10">
        <f>CHOOSE(CONTROL!$C$42, 12.9343, 12.9343) * CHOOSE(CONTROL!$C$21, $C$9, 100%, $E$9)</f>
        <v>12.9343</v>
      </c>
      <c r="C439" s="10">
        <f>CHOOSE(CONTROL!$C$42, 12.9422, 12.9422) * CHOOSE(CONTROL!$C$21, $C$9, 100%, $E$9)</f>
        <v>12.9422</v>
      </c>
      <c r="D439" s="10">
        <f>CHOOSE(CONTROL!$C$42, 13.1192, 13.1192) * CHOOSE(CONTROL!$C$21, $C$9, 100%, $E$9)</f>
        <v>13.119199999999999</v>
      </c>
      <c r="E439" s="10">
        <f>CHOOSE(CONTROL!$C$42, 13.1503, 13.1503) * CHOOSE(CONTROL!$C$21, $C$9, 100%, $E$9)</f>
        <v>13.1503</v>
      </c>
      <c r="F439" s="10">
        <f>CHOOSE(CONTROL!$C$42, 12.8981, 12.8981)*CHOOSE(CONTROL!$C$21, $C$9, 100%, $E$9)</f>
        <v>12.898099999999999</v>
      </c>
      <c r="G439" s="10">
        <f>CHOOSE(CONTROL!$C$42, 12.9147, 12.9147)*CHOOSE(CONTROL!$C$21, $C$9, 100%, $E$9)</f>
        <v>12.9147</v>
      </c>
      <c r="H439" s="10">
        <f>CHOOSE(CONTROL!$C$42, 13.139, 13.139) * CHOOSE(CONTROL!$C$21, $C$9, 100%, $E$9)</f>
        <v>13.138999999999999</v>
      </c>
      <c r="I439" s="10">
        <f>CHOOSE(CONTROL!$C$42, 12.9189, 12.9189)* CHOOSE(CONTROL!$C$21, $C$9, 100%, $E$9)</f>
        <v>12.918900000000001</v>
      </c>
      <c r="J439" s="10">
        <f>CHOOSE(CONTROL!$C$42, 12.8911, 12.8911)* CHOOSE(CONTROL!$C$21, $C$9, 100%, $E$9)</f>
        <v>12.8911</v>
      </c>
      <c r="K439" s="10">
        <f>CHOOSE(CONTROL!$C$42, 12.6872, 12.6872) * CHOOSE(CONTROL!$C$21, $C$9, 100%, $E$9)</f>
        <v>12.687200000000001</v>
      </c>
      <c r="L439" s="10">
        <f>CHOOSE(CONTROL!$C$42, 13.726, 13.726) * CHOOSE(CONTROL!$C$21, $C$9, 100%, $E$9)</f>
        <v>13.726000000000001</v>
      </c>
      <c r="M439" s="10">
        <f>CHOOSE(CONTROL!$C$42, 12.7748, 12.7748) * CHOOSE(CONTROL!$C$21, $C$9, 100%, $E$9)</f>
        <v>12.774800000000001</v>
      </c>
      <c r="N439" s="10">
        <f>CHOOSE(CONTROL!$C$42, 12.7912, 12.7912) * CHOOSE(CONTROL!$C$21, $C$9, 100%, $E$9)</f>
        <v>12.7912</v>
      </c>
      <c r="O439" s="10">
        <f>CHOOSE(CONTROL!$C$42, 13.0202, 13.0202) * CHOOSE(CONTROL!$C$21, $C$9, 100%, $E$9)</f>
        <v>13.020200000000001</v>
      </c>
      <c r="P439" s="10">
        <f>CHOOSE(CONTROL!$C$42, 12.8024, 12.8024) * CHOOSE(CONTROL!$C$21, $C$9, 100%, $E$9)</f>
        <v>12.8024</v>
      </c>
      <c r="Q439" s="10">
        <f>CHOOSE(CONTROL!$C$42, 13.6155, 13.6155) * CHOOSE(CONTROL!$C$21, $C$9, 100%, $E$9)</f>
        <v>13.615500000000001</v>
      </c>
      <c r="R439" s="10">
        <f>CHOOSE(CONTROL!$C$42, 14.2365, 14.2365) * CHOOSE(CONTROL!$C$21, $C$9, 100%, $E$9)</f>
        <v>14.236499999999999</v>
      </c>
      <c r="S439" s="10">
        <f>CHOOSE(CONTROL!$C$42, 12.5562, 12.5562) * CHOOSE(CONTROL!$C$21, $C$9, 100%, $E$9)</f>
        <v>12.5562</v>
      </c>
      <c r="T4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38">
        <f>(1000*CHOOSE(CONTROL!$C$42, 695, 695)*CHOOSE(CONTROL!$C$42, 0.5599, 0.5599)*CHOOSE(CONTROL!$C$42, 31, 31))/1000000</f>
        <v>12.063045499999998</v>
      </c>
      <c r="V439" s="38">
        <f>(1000*CHOOSE(CONTROL!$C$42, 500, 500)*CHOOSE(CONTROL!$C$42, 0.275, 0.275)*CHOOSE(CONTROL!$C$42, 31, 31))/1000000</f>
        <v>4.2625000000000002</v>
      </c>
      <c r="W439" s="38">
        <f>(1000*CHOOSE(CONTROL!$C$42, 0.1146, 0.1146)*CHOOSE(CONTROL!$C$42, 121.5, 121.5)*CHOOSE(CONTROL!$C$42, 31, 31))/1000000</f>
        <v>0.43164089999999994</v>
      </c>
      <c r="X439" s="38">
        <f>(31*0.1790888*245000/1000000)+(31*0.2374*100000/1000000)</f>
        <v>2.0961194359999999</v>
      </c>
      <c r="Y439" s="38">
        <f>(1000*600*CHOOSE(CONTROL!$C$42, 1.0826, 1.0826)*CHOOSE(CONTROL!$C$42, 31, 31))/1000000</f>
        <v>20.13636</v>
      </c>
      <c r="Z439" s="38"/>
      <c r="AA439" s="10"/>
      <c r="AB439" s="39"/>
      <c r="AC439" s="33">
        <f>(B439*194.205+C439*267.466+D439*133.845+E439*53.484+F439*40+G439*185+H439*0+I439*100+J439*300)/(194.205+267.466+133.845+53.484+0+40+185+100+300)</f>
        <v>12.949087649843015</v>
      </c>
      <c r="AD439" s="27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12.8514</v>
      </c>
    </row>
    <row r="440" spans="1:30" ht="15.75" x14ac:dyDescent="0.25">
      <c r="A440" s="14">
        <v>54666</v>
      </c>
      <c r="B440" s="10">
        <f>CHOOSE(CONTROL!$C$42, 12.2957, 12.2957) * CHOOSE(CONTROL!$C$21, $C$9, 100%, $E$9)</f>
        <v>12.2957</v>
      </c>
      <c r="C440" s="10">
        <f>CHOOSE(CONTROL!$C$42, 12.3036, 12.3036) * CHOOSE(CONTROL!$C$21, $C$9, 100%, $E$9)</f>
        <v>12.303599999999999</v>
      </c>
      <c r="D440" s="10">
        <f>CHOOSE(CONTROL!$C$42, 12.4806, 12.4806) * CHOOSE(CONTROL!$C$21, $C$9, 100%, $E$9)</f>
        <v>12.480600000000001</v>
      </c>
      <c r="E440" s="10">
        <f>CHOOSE(CONTROL!$C$42, 12.5117, 12.5117) * CHOOSE(CONTROL!$C$21, $C$9, 100%, $E$9)</f>
        <v>12.511699999999999</v>
      </c>
      <c r="F440" s="10">
        <f>CHOOSE(CONTROL!$C$42, 12.2595, 12.2595)*CHOOSE(CONTROL!$C$21, $C$9, 100%, $E$9)</f>
        <v>12.259499999999999</v>
      </c>
      <c r="G440" s="10">
        <f>CHOOSE(CONTROL!$C$42, 12.2761, 12.2761)*CHOOSE(CONTROL!$C$21, $C$9, 100%, $E$9)</f>
        <v>12.2761</v>
      </c>
      <c r="H440" s="10">
        <f>CHOOSE(CONTROL!$C$42, 12.5003, 12.5003) * CHOOSE(CONTROL!$C$21, $C$9, 100%, $E$9)</f>
        <v>12.500299999999999</v>
      </c>
      <c r="I440" s="10">
        <f>CHOOSE(CONTROL!$C$42, 12.2803, 12.2803)* CHOOSE(CONTROL!$C$21, $C$9, 100%, $E$9)</f>
        <v>12.2803</v>
      </c>
      <c r="J440" s="10">
        <f>CHOOSE(CONTROL!$C$42, 12.2525, 12.2525)* CHOOSE(CONTROL!$C$21, $C$9, 100%, $E$9)</f>
        <v>12.2525</v>
      </c>
      <c r="K440" s="10">
        <f>CHOOSE(CONTROL!$C$42, 12.0668, 12.0668) * CHOOSE(CONTROL!$C$21, $C$9, 100%, $E$9)</f>
        <v>12.066800000000001</v>
      </c>
      <c r="L440" s="10">
        <f>CHOOSE(CONTROL!$C$42, 13.0873, 13.0873) * CHOOSE(CONTROL!$C$21, $C$9, 100%, $E$9)</f>
        <v>13.087300000000001</v>
      </c>
      <c r="M440" s="10">
        <f>CHOOSE(CONTROL!$C$42, 12.1427, 12.1427) * CHOOSE(CONTROL!$C$21, $C$9, 100%, $E$9)</f>
        <v>12.1427</v>
      </c>
      <c r="N440" s="10">
        <f>CHOOSE(CONTROL!$C$42, 12.1591, 12.1591) * CHOOSE(CONTROL!$C$21, $C$9, 100%, $E$9)</f>
        <v>12.1591</v>
      </c>
      <c r="O440" s="10">
        <f>CHOOSE(CONTROL!$C$42, 12.388, 12.388) * CHOOSE(CONTROL!$C$21, $C$9, 100%, $E$9)</f>
        <v>12.388</v>
      </c>
      <c r="P440" s="10">
        <f>CHOOSE(CONTROL!$C$42, 12.1702, 12.1702) * CHOOSE(CONTROL!$C$21, $C$9, 100%, $E$9)</f>
        <v>12.170199999999999</v>
      </c>
      <c r="Q440" s="10">
        <f>CHOOSE(CONTROL!$C$42, 12.9833, 12.9833) * CHOOSE(CONTROL!$C$21, $C$9, 100%, $E$9)</f>
        <v>12.9833</v>
      </c>
      <c r="R440" s="10">
        <f>CHOOSE(CONTROL!$C$42, 13.6028, 13.6028) * CHOOSE(CONTROL!$C$21, $C$9, 100%, $E$9)</f>
        <v>13.6028</v>
      </c>
      <c r="S440" s="10">
        <f>CHOOSE(CONTROL!$C$42, 11.9361, 11.9361) * CHOOSE(CONTROL!$C$21, $C$9, 100%, $E$9)</f>
        <v>11.9361</v>
      </c>
      <c r="T4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38">
        <f>(1000*CHOOSE(CONTROL!$C$42, 695, 695)*CHOOSE(CONTROL!$C$42, 0.5599, 0.5599)*CHOOSE(CONTROL!$C$42, 31, 31))/1000000</f>
        <v>12.063045499999998</v>
      </c>
      <c r="V440" s="38">
        <f>(1000*CHOOSE(CONTROL!$C$42, 500, 500)*CHOOSE(CONTROL!$C$42, 0.275, 0.275)*CHOOSE(CONTROL!$C$42, 31, 31))/1000000</f>
        <v>4.2625000000000002</v>
      </c>
      <c r="W440" s="38">
        <f>(1000*CHOOSE(CONTROL!$C$42, 0.1146, 0.1146)*CHOOSE(CONTROL!$C$42, 121.5, 121.5)*CHOOSE(CONTROL!$C$42, 31, 31))/1000000</f>
        <v>0.43164089999999994</v>
      </c>
      <c r="X440" s="38">
        <f>(31*0.1790888*245000/1000000)+(31*0.2374*100000/1000000)</f>
        <v>2.0961194359999999</v>
      </c>
      <c r="Y440" s="38">
        <f>(1000*600*CHOOSE(CONTROL!$C$42, 1.0826, 1.0826)*CHOOSE(CONTROL!$C$42, 31, 31))/1000000</f>
        <v>20.13636</v>
      </c>
      <c r="Z440" s="38"/>
      <c r="AA440" s="10"/>
      <c r="AB440" s="39"/>
      <c r="AC440" s="33">
        <f>(B440*194.205+C440*267.466+D440*133.845+E440*53.484+F440*40+G440*185+H440*0+I440*100+J440*300)/(194.205+267.466+133.845+53.484+0+40+185+100+300)</f>
        <v>12.310487649843013</v>
      </c>
      <c r="AD440" s="27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12.219257553956835</v>
      </c>
    </row>
    <row r="441" spans="1:30" ht="15.75" x14ac:dyDescent="0.25">
      <c r="A441" s="14">
        <v>54696</v>
      </c>
      <c r="B441" s="10">
        <f>CHOOSE(CONTROL!$C$42, 11.5154, 11.5154) * CHOOSE(CONTROL!$C$21, $C$9, 100%, $E$9)</f>
        <v>11.5154</v>
      </c>
      <c r="C441" s="10">
        <f>CHOOSE(CONTROL!$C$42, 11.5233, 11.5233) * CHOOSE(CONTROL!$C$21, $C$9, 100%, $E$9)</f>
        <v>11.523300000000001</v>
      </c>
      <c r="D441" s="10">
        <f>CHOOSE(CONTROL!$C$42, 11.7003, 11.7003) * CHOOSE(CONTROL!$C$21, $C$9, 100%, $E$9)</f>
        <v>11.7003</v>
      </c>
      <c r="E441" s="10">
        <f>CHOOSE(CONTROL!$C$42, 11.7314, 11.7314) * CHOOSE(CONTROL!$C$21, $C$9, 100%, $E$9)</f>
        <v>11.731400000000001</v>
      </c>
      <c r="F441" s="10">
        <f>CHOOSE(CONTROL!$C$42, 11.479, 11.479)*CHOOSE(CONTROL!$C$21, $C$9, 100%, $E$9)</f>
        <v>11.478999999999999</v>
      </c>
      <c r="G441" s="10">
        <f>CHOOSE(CONTROL!$C$42, 11.4955, 11.4955)*CHOOSE(CONTROL!$C$21, $C$9, 100%, $E$9)</f>
        <v>11.4955</v>
      </c>
      <c r="H441" s="10">
        <f>CHOOSE(CONTROL!$C$42, 11.7201, 11.7201) * CHOOSE(CONTROL!$C$21, $C$9, 100%, $E$9)</f>
        <v>11.7201</v>
      </c>
      <c r="I441" s="10">
        <f>CHOOSE(CONTROL!$C$42, 11.5, 11.5)* CHOOSE(CONTROL!$C$21, $C$9, 100%, $E$9)</f>
        <v>11.5</v>
      </c>
      <c r="J441" s="10">
        <f>CHOOSE(CONTROL!$C$42, 11.472, 11.472)* CHOOSE(CONTROL!$C$21, $C$9, 100%, $E$9)</f>
        <v>11.472</v>
      </c>
      <c r="K441" s="10">
        <f>CHOOSE(CONTROL!$C$42, 11.3082, 11.3082) * CHOOSE(CONTROL!$C$21, $C$9, 100%, $E$9)</f>
        <v>11.308199999999999</v>
      </c>
      <c r="L441" s="10">
        <f>CHOOSE(CONTROL!$C$42, 12.3071, 12.3071) * CHOOSE(CONTROL!$C$21, $C$9, 100%, $E$9)</f>
        <v>12.3071</v>
      </c>
      <c r="M441" s="10">
        <f>CHOOSE(CONTROL!$C$42, 11.37, 11.37) * CHOOSE(CONTROL!$C$21, $C$9, 100%, $E$9)</f>
        <v>11.37</v>
      </c>
      <c r="N441" s="10">
        <f>CHOOSE(CONTROL!$C$42, 11.3864, 11.3864) * CHOOSE(CONTROL!$C$21, $C$9, 100%, $E$9)</f>
        <v>11.3864</v>
      </c>
      <c r="O441" s="10">
        <f>CHOOSE(CONTROL!$C$42, 11.6156, 11.6156) * CHOOSE(CONTROL!$C$21, $C$9, 100%, $E$9)</f>
        <v>11.615600000000001</v>
      </c>
      <c r="P441" s="10">
        <f>CHOOSE(CONTROL!$C$42, 11.3978, 11.3978) * CHOOSE(CONTROL!$C$21, $C$9, 100%, $E$9)</f>
        <v>11.3978</v>
      </c>
      <c r="Q441" s="10">
        <f>CHOOSE(CONTROL!$C$42, 12.2109, 12.2109) * CHOOSE(CONTROL!$C$21, $C$9, 100%, $E$9)</f>
        <v>12.210900000000001</v>
      </c>
      <c r="R441" s="10">
        <f>CHOOSE(CONTROL!$C$42, 12.8285, 12.8285) * CHOOSE(CONTROL!$C$21, $C$9, 100%, $E$9)</f>
        <v>12.8285</v>
      </c>
      <c r="S441" s="10">
        <f>CHOOSE(CONTROL!$C$42, 11.1784, 11.1784) * CHOOSE(CONTROL!$C$21, $C$9, 100%, $E$9)</f>
        <v>11.1784</v>
      </c>
      <c r="T4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38">
        <f>(1000*CHOOSE(CONTROL!$C$42, 695, 695)*CHOOSE(CONTROL!$C$42, 0.5599, 0.5599)*CHOOSE(CONTROL!$C$42, 30, 30))/1000000</f>
        <v>11.673914999999997</v>
      </c>
      <c r="V441" s="38">
        <f>(1000*CHOOSE(CONTROL!$C$42, 500, 500)*CHOOSE(CONTROL!$C$42, 0.275, 0.275)*CHOOSE(CONTROL!$C$42, 30, 30))/1000000</f>
        <v>4.125</v>
      </c>
      <c r="W441" s="38">
        <f>(1000*CHOOSE(CONTROL!$C$42, 0.1146, 0.1146)*CHOOSE(CONTROL!$C$42, 121.5, 121.5)*CHOOSE(CONTROL!$C$42, 30, 30))/1000000</f>
        <v>0.417717</v>
      </c>
      <c r="X441" s="38">
        <f>(30*0.1790888*245000/1000000)+(30*0.2374*100000/1000000)</f>
        <v>2.0285026799999999</v>
      </c>
      <c r="Y441" s="38">
        <f>(1000*600*CHOOSE(CONTROL!$C$42, 1.0826, 1.0826)*CHOOSE(CONTROL!$C$42, 30, 30))/1000000</f>
        <v>19.486799999999999</v>
      </c>
      <c r="Z441" s="38"/>
      <c r="AA441" s="10"/>
      <c r="AB441" s="39"/>
      <c r="AC441" s="33">
        <f>(B441*194.205+C441*267.466+D441*133.845+E441*53.484+F441*40+G441*185+H441*0+I441*100+J441*300)/(194.205+267.466+133.845+53.484+0+40+185+100+300)</f>
        <v>11.530090711067505</v>
      </c>
      <c r="AD441" s="27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11.44668489208633</v>
      </c>
    </row>
    <row r="442" spans="1:30" ht="15.75" x14ac:dyDescent="0.25">
      <c r="A442" s="14">
        <v>54727</v>
      </c>
      <c r="B442" s="10">
        <f>CHOOSE(CONTROL!$C$42, 11.2796, 11.2796) * CHOOSE(CONTROL!$C$21, $C$9, 100%, $E$9)</f>
        <v>11.2796</v>
      </c>
      <c r="C442" s="10">
        <f>CHOOSE(CONTROL!$C$42, 11.2848, 11.2848) * CHOOSE(CONTROL!$C$21, $C$9, 100%, $E$9)</f>
        <v>11.284800000000001</v>
      </c>
      <c r="D442" s="10">
        <f>CHOOSE(CONTROL!$C$42, 11.4667, 11.4667) * CHOOSE(CONTROL!$C$21, $C$9, 100%, $E$9)</f>
        <v>11.466699999999999</v>
      </c>
      <c r="E442" s="10">
        <f>CHOOSE(CONTROL!$C$42, 11.4955, 11.4955) * CHOOSE(CONTROL!$C$21, $C$9, 100%, $E$9)</f>
        <v>11.4955</v>
      </c>
      <c r="F442" s="10">
        <f>CHOOSE(CONTROL!$C$42, 11.2452, 11.2452)*CHOOSE(CONTROL!$C$21, $C$9, 100%, $E$9)</f>
        <v>11.245200000000001</v>
      </c>
      <c r="G442" s="10">
        <f>CHOOSE(CONTROL!$C$42, 11.2614, 11.2614)*CHOOSE(CONTROL!$C$21, $C$9, 100%, $E$9)</f>
        <v>11.2614</v>
      </c>
      <c r="H442" s="10">
        <f>CHOOSE(CONTROL!$C$42, 11.486, 11.486) * CHOOSE(CONTROL!$C$21, $C$9, 100%, $E$9)</f>
        <v>11.486000000000001</v>
      </c>
      <c r="I442" s="10">
        <f>CHOOSE(CONTROL!$C$42, 11.2659, 11.2659)* CHOOSE(CONTROL!$C$21, $C$9, 100%, $E$9)</f>
        <v>11.2659</v>
      </c>
      <c r="J442" s="10">
        <f>CHOOSE(CONTROL!$C$42, 11.2382, 11.2382)* CHOOSE(CONTROL!$C$21, $C$9, 100%, $E$9)</f>
        <v>11.238200000000001</v>
      </c>
      <c r="K442" s="10">
        <f>CHOOSE(CONTROL!$C$42, 11.0813, 11.0813) * CHOOSE(CONTROL!$C$21, $C$9, 100%, $E$9)</f>
        <v>11.081300000000001</v>
      </c>
      <c r="L442" s="10">
        <f>CHOOSE(CONTROL!$C$42, 12.073, 12.073) * CHOOSE(CONTROL!$C$21, $C$9, 100%, $E$9)</f>
        <v>12.073</v>
      </c>
      <c r="M442" s="10">
        <f>CHOOSE(CONTROL!$C$42, 11.1386, 11.1386) * CHOOSE(CONTROL!$C$21, $C$9, 100%, $E$9)</f>
        <v>11.1386</v>
      </c>
      <c r="N442" s="10">
        <f>CHOOSE(CONTROL!$C$42, 11.1546, 11.1546) * CHOOSE(CONTROL!$C$21, $C$9, 100%, $E$9)</f>
        <v>11.1546</v>
      </c>
      <c r="O442" s="10">
        <f>CHOOSE(CONTROL!$C$42, 11.3839, 11.3839) * CHOOSE(CONTROL!$C$21, $C$9, 100%, $E$9)</f>
        <v>11.383900000000001</v>
      </c>
      <c r="P442" s="10">
        <f>CHOOSE(CONTROL!$C$42, 11.1661, 11.1661) * CHOOSE(CONTROL!$C$21, $C$9, 100%, $E$9)</f>
        <v>11.1661</v>
      </c>
      <c r="Q442" s="10">
        <f>CHOOSE(CONTROL!$C$42, 11.9792, 11.9792) * CHOOSE(CONTROL!$C$21, $C$9, 100%, $E$9)</f>
        <v>11.979200000000001</v>
      </c>
      <c r="R442" s="10">
        <f>CHOOSE(CONTROL!$C$42, 12.5961, 12.5961) * CHOOSE(CONTROL!$C$21, $C$9, 100%, $E$9)</f>
        <v>12.5961</v>
      </c>
      <c r="S442" s="10">
        <f>CHOOSE(CONTROL!$C$42, 10.951, 10.951) * CHOOSE(CONTROL!$C$21, $C$9, 100%, $E$9)</f>
        <v>10.951000000000001</v>
      </c>
      <c r="T4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38">
        <f>(1000*CHOOSE(CONTROL!$C$42, 695, 695)*CHOOSE(CONTROL!$C$42, 0.5599, 0.5599)*CHOOSE(CONTROL!$C$42, 31, 31))/1000000</f>
        <v>12.063045499999998</v>
      </c>
      <c r="V442" s="38">
        <f>(1000*CHOOSE(CONTROL!$C$42, 500, 500)*CHOOSE(CONTROL!$C$42, 0.275, 0.275)*CHOOSE(CONTROL!$C$42, 31, 31))/1000000</f>
        <v>4.2625000000000002</v>
      </c>
      <c r="W442" s="38">
        <f>(1000*CHOOSE(CONTROL!$C$42, 0.1146, 0.1146)*CHOOSE(CONTROL!$C$42, 121.5, 121.5)*CHOOSE(CONTROL!$C$42, 31, 31))/1000000</f>
        <v>0.43164089999999994</v>
      </c>
      <c r="X442" s="38">
        <f>(31*0.1790888*245000/1000000)+(31*0.2374*100000/1000000)</f>
        <v>2.0961194359999999</v>
      </c>
      <c r="Y442" s="38">
        <f>(1000*600*CHOOSE(CONTROL!$C$42, 1.0826, 1.0826)*CHOOSE(CONTROL!$C$42, 31, 31))/1000000</f>
        <v>20.13636</v>
      </c>
      <c r="Z442" s="38"/>
      <c r="AA442" s="10"/>
      <c r="AB442" s="39"/>
      <c r="AC442" s="33">
        <f>(B442*131.881+C442*277.167+D442*79.08+E442*125.872+F442*40+G442*185+H442*0+I442*100+J442*300)/(131.881+277.167+79.08+125.872+0+40+185+100+300)</f>
        <v>11.299680630508472</v>
      </c>
      <c r="AD442" s="27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11.215065467625902</v>
      </c>
    </row>
    <row r="443" spans="1:30" ht="15.75" x14ac:dyDescent="0.25">
      <c r="A443" s="14">
        <v>54757</v>
      </c>
      <c r="B443" s="10">
        <f>CHOOSE(CONTROL!$C$42, 11.5762, 11.5762) * CHOOSE(CONTROL!$C$21, $C$9, 100%, $E$9)</f>
        <v>11.5762</v>
      </c>
      <c r="C443" s="10">
        <f>CHOOSE(CONTROL!$C$42, 11.5812, 11.5812) * CHOOSE(CONTROL!$C$21, $C$9, 100%, $E$9)</f>
        <v>11.581200000000001</v>
      </c>
      <c r="D443" s="10">
        <f>CHOOSE(CONTROL!$C$42, 11.6056, 11.6056) * CHOOSE(CONTROL!$C$21, $C$9, 100%, $E$9)</f>
        <v>11.605600000000001</v>
      </c>
      <c r="E443" s="10">
        <f>CHOOSE(CONTROL!$C$42, 11.6394, 11.6394) * CHOOSE(CONTROL!$C$21, $C$9, 100%, $E$9)</f>
        <v>11.6394</v>
      </c>
      <c r="F443" s="10">
        <f>CHOOSE(CONTROL!$C$42, 11.5455, 11.5455)*CHOOSE(CONTROL!$C$21, $C$9, 100%, $E$9)</f>
        <v>11.545500000000001</v>
      </c>
      <c r="G443" s="10">
        <f>CHOOSE(CONTROL!$C$42, 11.5619, 11.5619)*CHOOSE(CONTROL!$C$21, $C$9, 100%, $E$9)</f>
        <v>11.5619</v>
      </c>
      <c r="H443" s="10">
        <f>CHOOSE(CONTROL!$C$42, 11.6286, 11.6286) * CHOOSE(CONTROL!$C$21, $C$9, 100%, $E$9)</f>
        <v>11.6286</v>
      </c>
      <c r="I443" s="10">
        <f>CHOOSE(CONTROL!$C$42, 11.563, 11.563)* CHOOSE(CONTROL!$C$21, $C$9, 100%, $E$9)</f>
        <v>11.563000000000001</v>
      </c>
      <c r="J443" s="10">
        <f>CHOOSE(CONTROL!$C$42, 11.5385, 11.5385)* CHOOSE(CONTROL!$C$21, $C$9, 100%, $E$9)</f>
        <v>11.538500000000001</v>
      </c>
      <c r="K443" s="10">
        <f>CHOOSE(CONTROL!$C$42, 11.3714, 11.3714) * CHOOSE(CONTROL!$C$21, $C$9, 100%, $E$9)</f>
        <v>11.3714</v>
      </c>
      <c r="L443" s="10">
        <f>CHOOSE(CONTROL!$C$42, 12.2156, 12.2156) * CHOOSE(CONTROL!$C$21, $C$9, 100%, $E$9)</f>
        <v>12.2156</v>
      </c>
      <c r="M443" s="10">
        <f>CHOOSE(CONTROL!$C$42, 11.4359, 11.4359) * CHOOSE(CONTROL!$C$21, $C$9, 100%, $E$9)</f>
        <v>11.4359</v>
      </c>
      <c r="N443" s="10">
        <f>CHOOSE(CONTROL!$C$42, 11.4522, 11.4522) * CHOOSE(CONTROL!$C$21, $C$9, 100%, $E$9)</f>
        <v>11.452199999999999</v>
      </c>
      <c r="O443" s="10">
        <f>CHOOSE(CONTROL!$C$42, 11.5251, 11.5251) * CHOOSE(CONTROL!$C$21, $C$9, 100%, $E$9)</f>
        <v>11.5251</v>
      </c>
      <c r="P443" s="10">
        <f>CHOOSE(CONTROL!$C$42, 11.4601, 11.4601) * CHOOSE(CONTROL!$C$21, $C$9, 100%, $E$9)</f>
        <v>11.460100000000001</v>
      </c>
      <c r="Q443" s="10">
        <f>CHOOSE(CONTROL!$C$42, 12.1204, 12.1204) * CHOOSE(CONTROL!$C$21, $C$9, 100%, $E$9)</f>
        <v>12.1204</v>
      </c>
      <c r="R443" s="10">
        <f>CHOOSE(CONTROL!$C$42, 12.7377, 12.7377) * CHOOSE(CONTROL!$C$21, $C$9, 100%, $E$9)</f>
        <v>12.7377</v>
      </c>
      <c r="S443" s="10">
        <f>CHOOSE(CONTROL!$C$42, 11.2395, 11.2395) * CHOOSE(CONTROL!$C$21, $C$9, 100%, $E$9)</f>
        <v>11.2395</v>
      </c>
      <c r="T4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38">
        <f>(1000*CHOOSE(CONTROL!$C$42, 695, 695)*CHOOSE(CONTROL!$C$42, 0.5599, 0.5599)*CHOOSE(CONTROL!$C$42, 30, 30))/1000000</f>
        <v>11.673914999999997</v>
      </c>
      <c r="V443" s="38">
        <f>(1000*CHOOSE(CONTROL!$C$42, 500, 500)*CHOOSE(CONTROL!$C$42, 0.275, 0.275)*CHOOSE(CONTROL!$C$42, 30, 30))/1000000</f>
        <v>4.125</v>
      </c>
      <c r="W443" s="38">
        <f>(1000*CHOOSE(CONTROL!$C$42, 0.1146, 0.1146)*CHOOSE(CONTROL!$C$42, 121.5, 121.5)*CHOOSE(CONTROL!$C$42, 30, 30))/1000000</f>
        <v>0.417717</v>
      </c>
      <c r="X443" s="38">
        <f>(30*0.1790888*100000/1000000)+(30*0.2374*100000/1000000)</f>
        <v>1.2494664</v>
      </c>
      <c r="Y443" s="38">
        <f>(1000*600*CHOOSE(CONTROL!$C$42, 1.0826, 1.0826)*CHOOSE(CONTROL!$C$42, 30, 30))/1000000</f>
        <v>19.486799999999999</v>
      </c>
      <c r="Z443" s="38"/>
      <c r="AA443" s="10"/>
      <c r="AB443" s="39"/>
      <c r="AC443" s="33">
        <f>(B443*122.58+C443*297.941+D443*89.177+E443*40.302+F443*40+G443*160+H443*0+I443*100+J443*300)/(122.58+297.941+89.177+40.302+0+40+160+100+300)</f>
        <v>11.567950082782607</v>
      </c>
      <c r="AD443" s="27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11.480748920863309</v>
      </c>
    </row>
    <row r="444" spans="1:30" ht="15.75" x14ac:dyDescent="0.25">
      <c r="A444" s="14">
        <v>54788</v>
      </c>
      <c r="B444" s="10">
        <f>CHOOSE(CONTROL!$C$42, 12.3653, 12.3653) * CHOOSE(CONTROL!$C$21, $C$9, 100%, $E$9)</f>
        <v>12.3653</v>
      </c>
      <c r="C444" s="10">
        <f>CHOOSE(CONTROL!$C$42, 12.3702, 12.3702) * CHOOSE(CONTROL!$C$21, $C$9, 100%, $E$9)</f>
        <v>12.370200000000001</v>
      </c>
      <c r="D444" s="10">
        <f>CHOOSE(CONTROL!$C$42, 12.3947, 12.3947) * CHOOSE(CONTROL!$C$21, $C$9, 100%, $E$9)</f>
        <v>12.3947</v>
      </c>
      <c r="E444" s="10">
        <f>CHOOSE(CONTROL!$C$42, 12.4284, 12.4284) * CHOOSE(CONTROL!$C$21, $C$9, 100%, $E$9)</f>
        <v>12.4284</v>
      </c>
      <c r="F444" s="10">
        <f>CHOOSE(CONTROL!$C$42, 12.3369, 12.3369)*CHOOSE(CONTROL!$C$21, $C$9, 100%, $E$9)</f>
        <v>12.3369</v>
      </c>
      <c r="G444" s="10">
        <f>CHOOSE(CONTROL!$C$42, 12.3539, 12.3539)*CHOOSE(CONTROL!$C$21, $C$9, 100%, $E$9)</f>
        <v>12.353899999999999</v>
      </c>
      <c r="H444" s="10">
        <f>CHOOSE(CONTROL!$C$42, 12.4176, 12.4176) * CHOOSE(CONTROL!$C$21, $C$9, 100%, $E$9)</f>
        <v>12.4176</v>
      </c>
      <c r="I444" s="10">
        <f>CHOOSE(CONTROL!$C$42, 12.352, 12.352)* CHOOSE(CONTROL!$C$21, $C$9, 100%, $E$9)</f>
        <v>12.352</v>
      </c>
      <c r="J444" s="10">
        <f>CHOOSE(CONTROL!$C$42, 12.3299, 12.3299)* CHOOSE(CONTROL!$C$21, $C$9, 100%, $E$9)</f>
        <v>12.3299</v>
      </c>
      <c r="K444" s="10">
        <f>CHOOSE(CONTROL!$C$42, 12.1431, 12.1431) * CHOOSE(CONTROL!$C$21, $C$9, 100%, $E$9)</f>
        <v>12.1431</v>
      </c>
      <c r="L444" s="10">
        <f>CHOOSE(CONTROL!$C$42, 13.0046, 13.0046) * CHOOSE(CONTROL!$C$21, $C$9, 100%, $E$9)</f>
        <v>13.0046</v>
      </c>
      <c r="M444" s="10">
        <f>CHOOSE(CONTROL!$C$42, 12.2193, 12.2193) * CHOOSE(CONTROL!$C$21, $C$9, 100%, $E$9)</f>
        <v>12.2193</v>
      </c>
      <c r="N444" s="10">
        <f>CHOOSE(CONTROL!$C$42, 12.2361, 12.2361) * CHOOSE(CONTROL!$C$21, $C$9, 100%, $E$9)</f>
        <v>12.2361</v>
      </c>
      <c r="O444" s="10">
        <f>CHOOSE(CONTROL!$C$42, 12.3062, 12.3062) * CHOOSE(CONTROL!$C$21, $C$9, 100%, $E$9)</f>
        <v>12.3062</v>
      </c>
      <c r="P444" s="10">
        <f>CHOOSE(CONTROL!$C$42, 12.2412, 12.2412) * CHOOSE(CONTROL!$C$21, $C$9, 100%, $E$9)</f>
        <v>12.241199999999999</v>
      </c>
      <c r="Q444" s="10">
        <f>CHOOSE(CONTROL!$C$42, 12.9015, 12.9015) * CHOOSE(CONTROL!$C$21, $C$9, 100%, $E$9)</f>
        <v>12.9015</v>
      </c>
      <c r="R444" s="10">
        <f>CHOOSE(CONTROL!$C$42, 13.5207, 13.5207) * CHOOSE(CONTROL!$C$21, $C$9, 100%, $E$9)</f>
        <v>13.5207</v>
      </c>
      <c r="S444" s="10">
        <f>CHOOSE(CONTROL!$C$42, 12.0058, 12.0058) * CHOOSE(CONTROL!$C$21, $C$9, 100%, $E$9)</f>
        <v>12.005800000000001</v>
      </c>
      <c r="T4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38">
        <f>(1000*CHOOSE(CONTROL!$C$42, 695, 695)*CHOOSE(CONTROL!$C$42, 0.5599, 0.5599)*CHOOSE(CONTROL!$C$42, 31, 31))/1000000</f>
        <v>12.063045499999998</v>
      </c>
      <c r="V444" s="38">
        <f>(1000*CHOOSE(CONTROL!$C$42, 500, 500)*CHOOSE(CONTROL!$C$42, 0.275, 0.275)*CHOOSE(CONTROL!$C$42, 31, 31))/1000000</f>
        <v>4.2625000000000002</v>
      </c>
      <c r="W444" s="38">
        <f>(1000*CHOOSE(CONTROL!$C$42, 0.1146, 0.1146)*CHOOSE(CONTROL!$C$42, 121.5, 121.5)*CHOOSE(CONTROL!$C$42, 31, 31))/1000000</f>
        <v>0.43164089999999994</v>
      </c>
      <c r="X444" s="38">
        <f>(31*0.1790888*100000/1000000)+(31*0.2374*100000/1000000)</f>
        <v>1.2911152800000001</v>
      </c>
      <c r="Y444" s="38">
        <f>(1000*600*CHOOSE(CONTROL!$C$42, 1.0826, 1.0826)*CHOOSE(CONTROL!$C$42, 31, 31))/1000000</f>
        <v>20.13636</v>
      </c>
      <c r="Z444" s="38"/>
      <c r="AA444" s="10"/>
      <c r="AB444" s="39"/>
      <c r="AC444" s="33">
        <f>(B444*122.58+C444*297.941+D444*89.177+E444*40.302+F444*40+G444*160+H444*0+I444*100+J444*300)/(122.58+297.941+89.177+40.302+0+40+160+100+300)</f>
        <v>12.358095452956521</v>
      </c>
      <c r="AD444" s="27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12.262804316546765</v>
      </c>
    </row>
    <row r="445" spans="1:30" ht="15.75" x14ac:dyDescent="0.25">
      <c r="A445" s="14">
        <v>54819</v>
      </c>
      <c r="B445" s="10">
        <f>CHOOSE(CONTROL!$C$42, 13.1996, 13.1996) * CHOOSE(CONTROL!$C$21, $C$9, 100%, $E$9)</f>
        <v>13.1996</v>
      </c>
      <c r="C445" s="10">
        <f>CHOOSE(CONTROL!$C$42, 13.2046, 13.2046) * CHOOSE(CONTROL!$C$21, $C$9, 100%, $E$9)</f>
        <v>13.204599999999999</v>
      </c>
      <c r="D445" s="10">
        <f>CHOOSE(CONTROL!$C$42, 13.2291, 13.2291) * CHOOSE(CONTROL!$C$21, $C$9, 100%, $E$9)</f>
        <v>13.229100000000001</v>
      </c>
      <c r="E445" s="10">
        <f>CHOOSE(CONTROL!$C$42, 13.2628, 13.2628) * CHOOSE(CONTROL!$C$21, $C$9, 100%, $E$9)</f>
        <v>13.2628</v>
      </c>
      <c r="F445" s="10">
        <f>CHOOSE(CONTROL!$C$42, 13.1826, 13.1826)*CHOOSE(CONTROL!$C$21, $C$9, 100%, $E$9)</f>
        <v>13.182600000000001</v>
      </c>
      <c r="G445" s="10">
        <f>CHOOSE(CONTROL!$C$42, 13.2012, 13.2012)*CHOOSE(CONTROL!$C$21, $C$9, 100%, $E$9)</f>
        <v>13.2012</v>
      </c>
      <c r="H445" s="10">
        <f>CHOOSE(CONTROL!$C$42, 13.252, 13.252) * CHOOSE(CONTROL!$C$21, $C$9, 100%, $E$9)</f>
        <v>13.252000000000001</v>
      </c>
      <c r="I445" s="10">
        <f>CHOOSE(CONTROL!$C$42, 13.1941, 13.1941)* CHOOSE(CONTROL!$C$21, $C$9, 100%, $E$9)</f>
        <v>13.194100000000001</v>
      </c>
      <c r="J445" s="10">
        <f>CHOOSE(CONTROL!$C$42, 13.1756, 13.1756)* CHOOSE(CONTROL!$C$21, $C$9, 100%, $E$9)</f>
        <v>13.175599999999999</v>
      </c>
      <c r="K445" s="10">
        <f>CHOOSE(CONTROL!$C$42, 12.9747, 12.9747) * CHOOSE(CONTROL!$C$21, $C$9, 100%, $E$9)</f>
        <v>12.9747</v>
      </c>
      <c r="L445" s="10">
        <f>CHOOSE(CONTROL!$C$42, 13.839, 13.839) * CHOOSE(CONTROL!$C$21, $C$9, 100%, $E$9)</f>
        <v>13.839</v>
      </c>
      <c r="M445" s="10">
        <f>CHOOSE(CONTROL!$C$42, 13.0564, 13.0564) * CHOOSE(CONTROL!$C$21, $C$9, 100%, $E$9)</f>
        <v>13.0564</v>
      </c>
      <c r="N445" s="10">
        <f>CHOOSE(CONTROL!$C$42, 13.0749, 13.0749) * CHOOSE(CONTROL!$C$21, $C$9, 100%, $E$9)</f>
        <v>13.0749</v>
      </c>
      <c r="O445" s="10">
        <f>CHOOSE(CONTROL!$C$42, 13.1321, 13.1321) * CHOOSE(CONTROL!$C$21, $C$9, 100%, $E$9)</f>
        <v>13.132099999999999</v>
      </c>
      <c r="P445" s="10">
        <f>CHOOSE(CONTROL!$C$42, 13.0748, 13.0748) * CHOOSE(CONTROL!$C$21, $C$9, 100%, $E$9)</f>
        <v>13.0748</v>
      </c>
      <c r="Q445" s="10">
        <f>CHOOSE(CONTROL!$C$42, 13.7274, 13.7274) * CHOOSE(CONTROL!$C$21, $C$9, 100%, $E$9)</f>
        <v>13.727399999999999</v>
      </c>
      <c r="R445" s="10">
        <f>CHOOSE(CONTROL!$C$42, 14.3487, 14.3487) * CHOOSE(CONTROL!$C$21, $C$9, 100%, $E$9)</f>
        <v>14.348699999999999</v>
      </c>
      <c r="S445" s="10">
        <f>CHOOSE(CONTROL!$C$42, 12.816, 12.816) * CHOOSE(CONTROL!$C$21, $C$9, 100%, $E$9)</f>
        <v>12.816000000000001</v>
      </c>
      <c r="T4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38">
        <f>(1000*CHOOSE(CONTROL!$C$42, 695, 695)*CHOOSE(CONTROL!$C$42, 0.5599, 0.5599)*CHOOSE(CONTROL!$C$42, 31, 31))/1000000</f>
        <v>12.063045499999998</v>
      </c>
      <c r="V445" s="38">
        <f>(1000*CHOOSE(CONTROL!$C$42, 500, 500)*CHOOSE(CONTROL!$C$42, 0.275, 0.275)*CHOOSE(CONTROL!$C$42, 31, 31))/1000000</f>
        <v>4.2625000000000002</v>
      </c>
      <c r="W445" s="38">
        <f>(1000*CHOOSE(CONTROL!$C$42, 0.1146, 0.1146)*CHOOSE(CONTROL!$C$42, 121.5, 121.5)*CHOOSE(CONTROL!$C$42, 31, 31))/1000000</f>
        <v>0.43164089999999994</v>
      </c>
      <c r="X445" s="38">
        <f>(31*0.1790888*100000/1000000)+(31*0.2374*100000/1000000)</f>
        <v>1.2911152800000001</v>
      </c>
      <c r="Y445" s="38">
        <f>(1000*600*CHOOSE(CONTROL!$C$42, 1.0791, 1.0791)*CHOOSE(CONTROL!$C$42, 31, 31))/1000000</f>
        <v>20.071259999999999</v>
      </c>
      <c r="Z445" s="38"/>
      <c r="AA445" s="10"/>
      <c r="AB445" s="39"/>
      <c r="AC445" s="33">
        <f>(B445*122.58+C445*297.941+D445*89.177+E445*40.302+F445*40+G445*160+H445*0+I445*100+J445*300)/(122.58+297.941+89.177+40.302+0+40+160+100+300)</f>
        <v>13.198290011217392</v>
      </c>
      <c r="AD445" s="27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13.094422302158273</v>
      </c>
    </row>
    <row r="446" spans="1:30" ht="15.75" x14ac:dyDescent="0.25">
      <c r="A446" s="14">
        <v>54847</v>
      </c>
      <c r="B446" s="10">
        <f>CHOOSE(CONTROL!$C$42, 13.4346, 13.4346) * CHOOSE(CONTROL!$C$21, $C$9, 100%, $E$9)</f>
        <v>13.4346</v>
      </c>
      <c r="C446" s="10">
        <f>CHOOSE(CONTROL!$C$42, 13.4395, 13.4395) * CHOOSE(CONTROL!$C$21, $C$9, 100%, $E$9)</f>
        <v>13.439500000000001</v>
      </c>
      <c r="D446" s="10">
        <f>CHOOSE(CONTROL!$C$42, 13.464, 13.464) * CHOOSE(CONTROL!$C$21, $C$9, 100%, $E$9)</f>
        <v>13.464</v>
      </c>
      <c r="E446" s="10">
        <f>CHOOSE(CONTROL!$C$42, 13.4977, 13.4977) * CHOOSE(CONTROL!$C$21, $C$9, 100%, $E$9)</f>
        <v>13.4977</v>
      </c>
      <c r="F446" s="10">
        <f>CHOOSE(CONTROL!$C$42, 13.4168, 13.4168)*CHOOSE(CONTROL!$C$21, $C$9, 100%, $E$9)</f>
        <v>13.4168</v>
      </c>
      <c r="G446" s="10">
        <f>CHOOSE(CONTROL!$C$42, 13.4353, 13.4353)*CHOOSE(CONTROL!$C$21, $C$9, 100%, $E$9)</f>
        <v>13.4353</v>
      </c>
      <c r="H446" s="10">
        <f>CHOOSE(CONTROL!$C$42, 13.4869, 13.4869) * CHOOSE(CONTROL!$C$21, $C$9, 100%, $E$9)</f>
        <v>13.4869</v>
      </c>
      <c r="I446" s="10">
        <f>CHOOSE(CONTROL!$C$42, 13.429, 13.429)* CHOOSE(CONTROL!$C$21, $C$9, 100%, $E$9)</f>
        <v>13.429</v>
      </c>
      <c r="J446" s="10">
        <f>CHOOSE(CONTROL!$C$42, 13.4098, 13.4098)* CHOOSE(CONTROL!$C$21, $C$9, 100%, $E$9)</f>
        <v>13.409800000000001</v>
      </c>
      <c r="K446" s="10">
        <f>CHOOSE(CONTROL!$C$42, 13.2015, 13.2015) * CHOOSE(CONTROL!$C$21, $C$9, 100%, $E$9)</f>
        <v>13.201499999999999</v>
      </c>
      <c r="L446" s="10">
        <f>CHOOSE(CONTROL!$C$42, 14.0739, 14.0739) * CHOOSE(CONTROL!$C$21, $C$9, 100%, $E$9)</f>
        <v>14.0739</v>
      </c>
      <c r="M446" s="10">
        <f>CHOOSE(CONTROL!$C$42, 13.2883, 13.2883) * CHOOSE(CONTROL!$C$21, $C$9, 100%, $E$9)</f>
        <v>13.2883</v>
      </c>
      <c r="N446" s="10">
        <f>CHOOSE(CONTROL!$C$42, 13.3066, 13.3066) * CHOOSE(CONTROL!$C$21, $C$9, 100%, $E$9)</f>
        <v>13.3066</v>
      </c>
      <c r="O446" s="10">
        <f>CHOOSE(CONTROL!$C$42, 13.3647, 13.3647) * CHOOSE(CONTROL!$C$21, $C$9, 100%, $E$9)</f>
        <v>13.364699999999999</v>
      </c>
      <c r="P446" s="10">
        <f>CHOOSE(CONTROL!$C$42, 13.3074, 13.3074) * CHOOSE(CONTROL!$C$21, $C$9, 100%, $E$9)</f>
        <v>13.307399999999999</v>
      </c>
      <c r="Q446" s="10">
        <f>CHOOSE(CONTROL!$C$42, 13.96, 13.96) * CHOOSE(CONTROL!$C$21, $C$9, 100%, $E$9)</f>
        <v>13.96</v>
      </c>
      <c r="R446" s="10">
        <f>CHOOSE(CONTROL!$C$42, 14.5819, 14.5819) * CHOOSE(CONTROL!$C$21, $C$9, 100%, $E$9)</f>
        <v>14.581899999999999</v>
      </c>
      <c r="S446" s="10">
        <f>CHOOSE(CONTROL!$C$42, 13.0442, 13.0442) * CHOOSE(CONTROL!$C$21, $C$9, 100%, $E$9)</f>
        <v>13.0442</v>
      </c>
      <c r="T4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38">
        <f>(1000*CHOOSE(CONTROL!$C$42, 695, 695)*CHOOSE(CONTROL!$C$42, 0.5599, 0.5599)*CHOOSE(CONTROL!$C$42, 28, 28))/1000000</f>
        <v>10.895653999999999</v>
      </c>
      <c r="V446" s="38">
        <f>(1000*CHOOSE(CONTROL!$C$42, 500, 500)*CHOOSE(CONTROL!$C$42, 0.275, 0.275)*CHOOSE(CONTROL!$C$42, 28, 28))/1000000</f>
        <v>3.85</v>
      </c>
      <c r="W446" s="38">
        <f>(1000*CHOOSE(CONTROL!$C$42, 0.1146, 0.1146)*CHOOSE(CONTROL!$C$42, 121.5, 121.5)*CHOOSE(CONTROL!$C$42, 28, 28))/1000000</f>
        <v>0.38986920000000003</v>
      </c>
      <c r="X446" s="38">
        <f>(28*0.1790888*100000/1000000)+(28*0.2374*100000/1000000)</f>
        <v>1.16616864</v>
      </c>
      <c r="Y446" s="38">
        <f>(1000*600*CHOOSE(CONTROL!$C$42, 1.0791, 1.0791)*CHOOSE(CONTROL!$C$42, 28, 28))/1000000</f>
        <v>18.128879999999999</v>
      </c>
      <c r="Z446" s="38"/>
      <c r="AA446" s="10"/>
      <c r="AB446" s="39"/>
      <c r="AC446" s="33">
        <f>(B446*122.58+C446*297.941+D446*89.177+E446*40.302+F446*40+G446*160+H446*0+I446*100+J446*300)/(122.58+297.941+89.177+40.302+0+40+160+100+300)</f>
        <v>13.43288240947826</v>
      </c>
      <c r="AD446" s="27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13.326728776978417</v>
      </c>
    </row>
    <row r="447" spans="1:30" ht="15.75" x14ac:dyDescent="0.25">
      <c r="A447" s="14">
        <v>54878</v>
      </c>
      <c r="B447" s="10">
        <f>CHOOSE(CONTROL!$C$42, 13.0532, 13.0532) * CHOOSE(CONTROL!$C$21, $C$9, 100%, $E$9)</f>
        <v>13.0532</v>
      </c>
      <c r="C447" s="10">
        <f>CHOOSE(CONTROL!$C$42, 13.0582, 13.0582) * CHOOSE(CONTROL!$C$21, $C$9, 100%, $E$9)</f>
        <v>13.058199999999999</v>
      </c>
      <c r="D447" s="10">
        <f>CHOOSE(CONTROL!$C$42, 13.0826, 13.0826) * CHOOSE(CONTROL!$C$21, $C$9, 100%, $E$9)</f>
        <v>13.082599999999999</v>
      </c>
      <c r="E447" s="10">
        <f>CHOOSE(CONTROL!$C$42, 13.1164, 13.1164) * CHOOSE(CONTROL!$C$21, $C$9, 100%, $E$9)</f>
        <v>13.116400000000001</v>
      </c>
      <c r="F447" s="10">
        <f>CHOOSE(CONTROL!$C$42, 13.034, 13.034)*CHOOSE(CONTROL!$C$21, $C$9, 100%, $E$9)</f>
        <v>13.034000000000001</v>
      </c>
      <c r="G447" s="10">
        <f>CHOOSE(CONTROL!$C$42, 13.052, 13.052)*CHOOSE(CONTROL!$C$21, $C$9, 100%, $E$9)</f>
        <v>13.052</v>
      </c>
      <c r="H447" s="10">
        <f>CHOOSE(CONTROL!$C$42, 13.1056, 13.1056) * CHOOSE(CONTROL!$C$21, $C$9, 100%, $E$9)</f>
        <v>13.105600000000001</v>
      </c>
      <c r="I447" s="10">
        <f>CHOOSE(CONTROL!$C$42, 13.0477, 13.0477)* CHOOSE(CONTROL!$C$21, $C$9, 100%, $E$9)</f>
        <v>13.047700000000001</v>
      </c>
      <c r="J447" s="10">
        <f>CHOOSE(CONTROL!$C$42, 13.027, 13.027)* CHOOSE(CONTROL!$C$21, $C$9, 100%, $E$9)</f>
        <v>13.026999999999999</v>
      </c>
      <c r="K447" s="10">
        <f>CHOOSE(CONTROL!$C$42, 12.8277, 12.8277) * CHOOSE(CONTROL!$C$21, $C$9, 100%, $E$9)</f>
        <v>12.8277</v>
      </c>
      <c r="L447" s="10">
        <f>CHOOSE(CONTROL!$C$42, 13.6926, 13.6926) * CHOOSE(CONTROL!$C$21, $C$9, 100%, $E$9)</f>
        <v>13.692600000000001</v>
      </c>
      <c r="M447" s="10">
        <f>CHOOSE(CONTROL!$C$42, 12.9093, 12.9093) * CHOOSE(CONTROL!$C$21, $C$9, 100%, $E$9)</f>
        <v>12.9093</v>
      </c>
      <c r="N447" s="10">
        <f>CHOOSE(CONTROL!$C$42, 12.9272, 12.9272) * CHOOSE(CONTROL!$C$21, $C$9, 100%, $E$9)</f>
        <v>12.927199999999999</v>
      </c>
      <c r="O447" s="10">
        <f>CHOOSE(CONTROL!$C$42, 12.9872, 12.9872) * CHOOSE(CONTROL!$C$21, $C$9, 100%, $E$9)</f>
        <v>12.9872</v>
      </c>
      <c r="P447" s="10">
        <f>CHOOSE(CONTROL!$C$42, 12.9299, 12.9299) * CHOOSE(CONTROL!$C$21, $C$9, 100%, $E$9)</f>
        <v>12.9299</v>
      </c>
      <c r="Q447" s="10">
        <f>CHOOSE(CONTROL!$C$42, 13.5825, 13.5825) * CHOOSE(CONTROL!$C$21, $C$9, 100%, $E$9)</f>
        <v>13.5825</v>
      </c>
      <c r="R447" s="10">
        <f>CHOOSE(CONTROL!$C$42, 14.2034, 14.2034) * CHOOSE(CONTROL!$C$21, $C$9, 100%, $E$9)</f>
        <v>14.2034</v>
      </c>
      <c r="S447" s="10">
        <f>CHOOSE(CONTROL!$C$42, 12.6739, 12.6739) * CHOOSE(CONTROL!$C$21, $C$9, 100%, $E$9)</f>
        <v>12.6739</v>
      </c>
      <c r="T4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38">
        <f>(1000*CHOOSE(CONTROL!$C$42, 695, 695)*CHOOSE(CONTROL!$C$42, 0.5599, 0.5599)*CHOOSE(CONTROL!$C$42, 31, 31))/1000000</f>
        <v>12.063045499999998</v>
      </c>
      <c r="V447" s="38">
        <f>(1000*CHOOSE(CONTROL!$C$42, 500, 500)*CHOOSE(CONTROL!$C$42, 0.275, 0.275)*CHOOSE(CONTROL!$C$42, 31, 31))/1000000</f>
        <v>4.2625000000000002</v>
      </c>
      <c r="W447" s="38">
        <f>(1000*CHOOSE(CONTROL!$C$42, 0.1146, 0.1146)*CHOOSE(CONTROL!$C$42, 121.5, 121.5)*CHOOSE(CONTROL!$C$42, 31, 31))/1000000</f>
        <v>0.43164089999999994</v>
      </c>
      <c r="X447" s="38">
        <f>(31*0.1790888*100000/1000000)+(31*0.2374*100000/1000000)</f>
        <v>1.2911152800000001</v>
      </c>
      <c r="Y447" s="38">
        <f>(1000*600*CHOOSE(CONTROL!$C$42, 1.0791, 1.0791)*CHOOSE(CONTROL!$C$42, 31, 31))/1000000</f>
        <v>20.071259999999999</v>
      </c>
      <c r="Z447" s="38"/>
      <c r="AA447" s="10"/>
      <c r="AB447" s="39"/>
      <c r="AC447" s="33">
        <f>(B447*122.58+C447*297.941+D447*89.177+E447*40.302+F447*40+G447*160+H447*0+I447*100+J447*300)/(122.58+297.941+89.177+40.302+0+40+160+100+300)</f>
        <v>13.050842256695651</v>
      </c>
      <c r="AD447" s="27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12.948601438848922</v>
      </c>
    </row>
    <row r="448" spans="1:30" ht="15.75" x14ac:dyDescent="0.25">
      <c r="A448" s="14">
        <v>54908</v>
      </c>
      <c r="B448" s="10">
        <f>CHOOSE(CONTROL!$C$42, 13.0149, 13.0149) * CHOOSE(CONTROL!$C$21, $C$9, 100%, $E$9)</f>
        <v>13.014900000000001</v>
      </c>
      <c r="C448" s="10">
        <f>CHOOSE(CONTROL!$C$42, 13.0193, 13.0193) * CHOOSE(CONTROL!$C$21, $C$9, 100%, $E$9)</f>
        <v>13.019299999999999</v>
      </c>
      <c r="D448" s="10">
        <f>CHOOSE(CONTROL!$C$42, 13.1994, 13.1994) * CHOOSE(CONTROL!$C$21, $C$9, 100%, $E$9)</f>
        <v>13.199400000000001</v>
      </c>
      <c r="E448" s="10">
        <f>CHOOSE(CONTROL!$C$42, 13.2312, 13.2312) * CHOOSE(CONTROL!$C$21, $C$9, 100%, $E$9)</f>
        <v>13.231199999999999</v>
      </c>
      <c r="F448" s="10">
        <f>CHOOSE(CONTROL!$C$42, 12.9803, 12.9803)*CHOOSE(CONTROL!$C$21, $C$9, 100%, $E$9)</f>
        <v>12.9803</v>
      </c>
      <c r="G448" s="10">
        <f>CHOOSE(CONTROL!$C$42, 12.9965, 12.9965)*CHOOSE(CONTROL!$C$21, $C$9, 100%, $E$9)</f>
        <v>12.996499999999999</v>
      </c>
      <c r="H448" s="10">
        <f>CHOOSE(CONTROL!$C$42, 13.221, 13.221) * CHOOSE(CONTROL!$C$21, $C$9, 100%, $E$9)</f>
        <v>13.221</v>
      </c>
      <c r="I448" s="10">
        <f>CHOOSE(CONTROL!$C$42, 13.0009, 13.0009)* CHOOSE(CONTROL!$C$21, $C$9, 100%, $E$9)</f>
        <v>13.0009</v>
      </c>
      <c r="J448" s="10">
        <f>CHOOSE(CONTROL!$C$42, 12.9733, 12.9733)* CHOOSE(CONTROL!$C$21, $C$9, 100%, $E$9)</f>
        <v>12.9733</v>
      </c>
      <c r="K448" s="10">
        <f>CHOOSE(CONTROL!$C$42, 12.7672, 12.7672) * CHOOSE(CONTROL!$C$21, $C$9, 100%, $E$9)</f>
        <v>12.767200000000001</v>
      </c>
      <c r="L448" s="10">
        <f>CHOOSE(CONTROL!$C$42, 13.808, 13.808) * CHOOSE(CONTROL!$C$21, $C$9, 100%, $E$9)</f>
        <v>13.808</v>
      </c>
      <c r="M448" s="10">
        <f>CHOOSE(CONTROL!$C$42, 12.8562, 12.8562) * CHOOSE(CONTROL!$C$21, $C$9, 100%, $E$9)</f>
        <v>12.856199999999999</v>
      </c>
      <c r="N448" s="10">
        <f>CHOOSE(CONTROL!$C$42, 12.8723, 12.8723) * CHOOSE(CONTROL!$C$21, $C$9, 100%, $E$9)</f>
        <v>12.872299999999999</v>
      </c>
      <c r="O448" s="10">
        <f>CHOOSE(CONTROL!$C$42, 13.1014, 13.1014) * CHOOSE(CONTROL!$C$21, $C$9, 100%, $E$9)</f>
        <v>13.1014</v>
      </c>
      <c r="P448" s="10">
        <f>CHOOSE(CONTROL!$C$42, 12.8836, 12.8836) * CHOOSE(CONTROL!$C$21, $C$9, 100%, $E$9)</f>
        <v>12.883599999999999</v>
      </c>
      <c r="Q448" s="10">
        <f>CHOOSE(CONTROL!$C$42, 13.6967, 13.6967) * CHOOSE(CONTROL!$C$21, $C$9, 100%, $E$9)</f>
        <v>13.6967</v>
      </c>
      <c r="R448" s="10">
        <f>CHOOSE(CONTROL!$C$42, 14.3179, 14.3179) * CHOOSE(CONTROL!$C$21, $C$9, 100%, $E$9)</f>
        <v>14.3179</v>
      </c>
      <c r="S448" s="10">
        <f>CHOOSE(CONTROL!$C$42, 12.6359, 12.6359) * CHOOSE(CONTROL!$C$21, $C$9, 100%, $E$9)</f>
        <v>12.635899999999999</v>
      </c>
      <c r="T4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38">
        <f>(1000*CHOOSE(CONTROL!$C$42, 695, 695)*CHOOSE(CONTROL!$C$42, 0.5599, 0.5599)*CHOOSE(CONTROL!$C$42, 30, 30))/1000000</f>
        <v>11.673914999999997</v>
      </c>
      <c r="V448" s="38">
        <f>(1000*CHOOSE(CONTROL!$C$42, 500, 500)*CHOOSE(CONTROL!$C$42, 0.275, 0.275)*CHOOSE(CONTROL!$C$42, 30, 30))/1000000</f>
        <v>4.125</v>
      </c>
      <c r="W448" s="38">
        <f>(1000*CHOOSE(CONTROL!$C$42, 0.1146, 0.1146)*CHOOSE(CONTROL!$C$42, 121.5, 121.5)*CHOOSE(CONTROL!$C$42, 30, 30))/1000000</f>
        <v>0.417717</v>
      </c>
      <c r="X448" s="38">
        <f>(30*0.1790888*245000/1000000)+(30*0.2374*100000/1000000)</f>
        <v>2.0285026799999999</v>
      </c>
      <c r="Y448" s="38">
        <f>(1000*600*CHOOSE(CONTROL!$C$42, 1.0791, 1.0791)*CHOOSE(CONTROL!$C$42, 30, 30))/1000000</f>
        <v>19.4238</v>
      </c>
      <c r="Z448" s="38"/>
      <c r="AA448" s="10"/>
      <c r="AB448" s="39"/>
      <c r="AC448" s="33">
        <f>(B448*141.293+C448*267.993+D448*115.016+E448*89.698+F448*40+G448*185+H448*0+I448*100+J448*300)/(141.293+267.993+115.016+89.698+0+40+185+100+300)</f>
        <v>13.033570943179985</v>
      </c>
      <c r="AD448" s="27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12.932646043165468</v>
      </c>
    </row>
    <row r="449" spans="1:30" ht="15.75" x14ac:dyDescent="0.25">
      <c r="A449" s="14">
        <v>54939</v>
      </c>
      <c r="B449" s="10">
        <f>CHOOSE(CONTROL!$C$42, 13.1316, 13.1316) * CHOOSE(CONTROL!$C$21, $C$9, 100%, $E$9)</f>
        <v>13.131600000000001</v>
      </c>
      <c r="C449" s="10">
        <f>CHOOSE(CONTROL!$C$42, 13.1395, 13.1395) * CHOOSE(CONTROL!$C$21, $C$9, 100%, $E$9)</f>
        <v>13.1395</v>
      </c>
      <c r="D449" s="10">
        <f>CHOOSE(CONTROL!$C$42, 13.3165, 13.3165) * CHOOSE(CONTROL!$C$21, $C$9, 100%, $E$9)</f>
        <v>13.3165</v>
      </c>
      <c r="E449" s="10">
        <f>CHOOSE(CONTROL!$C$42, 13.3476, 13.3476) * CHOOSE(CONTROL!$C$21, $C$9, 100%, $E$9)</f>
        <v>13.3476</v>
      </c>
      <c r="F449" s="10">
        <f>CHOOSE(CONTROL!$C$42, 13.0949, 13.0949)*CHOOSE(CONTROL!$C$21, $C$9, 100%, $E$9)</f>
        <v>13.094900000000001</v>
      </c>
      <c r="G449" s="10">
        <f>CHOOSE(CONTROL!$C$42, 13.1114, 13.1114)*CHOOSE(CONTROL!$C$21, $C$9, 100%, $E$9)</f>
        <v>13.1114</v>
      </c>
      <c r="H449" s="10">
        <f>CHOOSE(CONTROL!$C$42, 13.3362, 13.3362) * CHOOSE(CONTROL!$C$21, $C$9, 100%, $E$9)</f>
        <v>13.3362</v>
      </c>
      <c r="I449" s="10">
        <f>CHOOSE(CONTROL!$C$42, 13.1161, 13.1161)* CHOOSE(CONTROL!$C$21, $C$9, 100%, $E$9)</f>
        <v>13.116099999999999</v>
      </c>
      <c r="J449" s="10">
        <f>CHOOSE(CONTROL!$C$42, 13.0879, 13.0879)* CHOOSE(CONTROL!$C$21, $C$9, 100%, $E$9)</f>
        <v>13.087899999999999</v>
      </c>
      <c r="K449" s="10">
        <f>CHOOSE(CONTROL!$C$42, 12.8779, 12.8779) * CHOOSE(CONTROL!$C$21, $C$9, 100%, $E$9)</f>
        <v>12.8779</v>
      </c>
      <c r="L449" s="10">
        <f>CHOOSE(CONTROL!$C$42, 13.9232, 13.9232) * CHOOSE(CONTROL!$C$21, $C$9, 100%, $E$9)</f>
        <v>13.9232</v>
      </c>
      <c r="M449" s="10">
        <f>CHOOSE(CONTROL!$C$42, 12.9697, 12.9697) * CHOOSE(CONTROL!$C$21, $C$9, 100%, $E$9)</f>
        <v>12.9697</v>
      </c>
      <c r="N449" s="10">
        <f>CHOOSE(CONTROL!$C$42, 12.986, 12.986) * CHOOSE(CONTROL!$C$21, $C$9, 100%, $E$9)</f>
        <v>12.986000000000001</v>
      </c>
      <c r="O449" s="10">
        <f>CHOOSE(CONTROL!$C$42, 13.2155, 13.2155) * CHOOSE(CONTROL!$C$21, $C$9, 100%, $E$9)</f>
        <v>13.2155</v>
      </c>
      <c r="P449" s="10">
        <f>CHOOSE(CONTROL!$C$42, 12.9977, 12.9977) * CHOOSE(CONTROL!$C$21, $C$9, 100%, $E$9)</f>
        <v>12.9977</v>
      </c>
      <c r="Q449" s="10">
        <f>CHOOSE(CONTROL!$C$42, 13.8108, 13.8108) * CHOOSE(CONTROL!$C$21, $C$9, 100%, $E$9)</f>
        <v>13.8108</v>
      </c>
      <c r="R449" s="10">
        <f>CHOOSE(CONTROL!$C$42, 14.4323, 14.4323) * CHOOSE(CONTROL!$C$21, $C$9, 100%, $E$9)</f>
        <v>14.4323</v>
      </c>
      <c r="S449" s="10">
        <f>CHOOSE(CONTROL!$C$42, 12.7478, 12.7478) * CHOOSE(CONTROL!$C$21, $C$9, 100%, $E$9)</f>
        <v>12.7478</v>
      </c>
      <c r="T4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38">
        <f>(1000*CHOOSE(CONTROL!$C$42, 695, 695)*CHOOSE(CONTROL!$C$42, 0.5599, 0.5599)*CHOOSE(CONTROL!$C$42, 31, 31))/1000000</f>
        <v>12.063045499999998</v>
      </c>
      <c r="V449" s="38">
        <f>(1000*CHOOSE(CONTROL!$C$42, 500, 500)*CHOOSE(CONTROL!$C$42, 0.275, 0.275)*CHOOSE(CONTROL!$C$42, 31, 31))/1000000</f>
        <v>4.2625000000000002</v>
      </c>
      <c r="W449" s="38">
        <f>(1000*CHOOSE(CONTROL!$C$42, 0.1146, 0.1146)*CHOOSE(CONTROL!$C$42, 121.5, 121.5)*CHOOSE(CONTROL!$C$42, 31, 31))/1000000</f>
        <v>0.43164089999999994</v>
      </c>
      <c r="X449" s="38">
        <f>(31*0.1790888*245000/1000000)+(31*0.2374*100000/1000000)</f>
        <v>2.0961194359999999</v>
      </c>
      <c r="Y449" s="38">
        <f>(1000*600*CHOOSE(CONTROL!$C$42, 1.0791, 1.0791)*CHOOSE(CONTROL!$C$42, 31, 31))/1000000</f>
        <v>20.071259999999999</v>
      </c>
      <c r="Z449" s="38"/>
      <c r="AA449" s="10"/>
      <c r="AB449" s="39"/>
      <c r="AC449" s="33">
        <f>(B449*194.205+C449*267.466+D449*133.845+E449*53.484+F449*40+G449*185+H449*0+I449*100+J449*300)/(194.205+267.466+133.845+53.484+0+40+185+100+300)</f>
        <v>13.146159235400313</v>
      </c>
      <c r="AD449" s="27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13.046446762589929</v>
      </c>
    </row>
    <row r="450" spans="1:30" ht="15.75" x14ac:dyDescent="0.25">
      <c r="A450" s="14">
        <v>54969</v>
      </c>
      <c r="B450" s="10">
        <f>CHOOSE(CONTROL!$C$42, 13.5039, 13.5039) * CHOOSE(CONTROL!$C$21, $C$9, 100%, $E$9)</f>
        <v>13.5039</v>
      </c>
      <c r="C450" s="10">
        <f>CHOOSE(CONTROL!$C$42, 13.5118, 13.5118) * CHOOSE(CONTROL!$C$21, $C$9, 100%, $E$9)</f>
        <v>13.511799999999999</v>
      </c>
      <c r="D450" s="10">
        <f>CHOOSE(CONTROL!$C$42, 13.6888, 13.6888) * CHOOSE(CONTROL!$C$21, $C$9, 100%, $E$9)</f>
        <v>13.688800000000001</v>
      </c>
      <c r="E450" s="10">
        <f>CHOOSE(CONTROL!$C$42, 13.7199, 13.7199) * CHOOSE(CONTROL!$C$21, $C$9, 100%, $E$9)</f>
        <v>13.719900000000001</v>
      </c>
      <c r="F450" s="10">
        <f>CHOOSE(CONTROL!$C$42, 13.4674, 13.4674)*CHOOSE(CONTROL!$C$21, $C$9, 100%, $E$9)</f>
        <v>13.4674</v>
      </c>
      <c r="G450" s="10">
        <f>CHOOSE(CONTROL!$C$42, 13.484, 13.484)*CHOOSE(CONTROL!$C$21, $C$9, 100%, $E$9)</f>
        <v>13.484</v>
      </c>
      <c r="H450" s="10">
        <f>CHOOSE(CONTROL!$C$42, 13.7086, 13.7086) * CHOOSE(CONTROL!$C$21, $C$9, 100%, $E$9)</f>
        <v>13.708600000000001</v>
      </c>
      <c r="I450" s="10">
        <f>CHOOSE(CONTROL!$C$42, 13.4885, 13.4885)* CHOOSE(CONTROL!$C$21, $C$9, 100%, $E$9)</f>
        <v>13.4885</v>
      </c>
      <c r="J450" s="10">
        <f>CHOOSE(CONTROL!$C$42, 13.4604, 13.4604)* CHOOSE(CONTROL!$C$21, $C$9, 100%, $E$9)</f>
        <v>13.4604</v>
      </c>
      <c r="K450" s="10">
        <f>CHOOSE(CONTROL!$C$42, 13.2401, 13.2401) * CHOOSE(CONTROL!$C$21, $C$9, 100%, $E$9)</f>
        <v>13.2401</v>
      </c>
      <c r="L450" s="10">
        <f>CHOOSE(CONTROL!$C$42, 14.2956, 14.2956) * CHOOSE(CONTROL!$C$21, $C$9, 100%, $E$9)</f>
        <v>14.2956</v>
      </c>
      <c r="M450" s="10">
        <f>CHOOSE(CONTROL!$C$42, 13.3384, 13.3384) * CHOOSE(CONTROL!$C$21, $C$9, 100%, $E$9)</f>
        <v>13.3384</v>
      </c>
      <c r="N450" s="10">
        <f>CHOOSE(CONTROL!$C$42, 13.3548, 13.3548) * CHOOSE(CONTROL!$C$21, $C$9, 100%, $E$9)</f>
        <v>13.354799999999999</v>
      </c>
      <c r="O450" s="10">
        <f>CHOOSE(CONTROL!$C$42, 13.5841, 13.5841) * CHOOSE(CONTROL!$C$21, $C$9, 100%, $E$9)</f>
        <v>13.584099999999999</v>
      </c>
      <c r="P450" s="10">
        <f>CHOOSE(CONTROL!$C$42, 13.3662, 13.3662) * CHOOSE(CONTROL!$C$21, $C$9, 100%, $E$9)</f>
        <v>13.366199999999999</v>
      </c>
      <c r="Q450" s="10">
        <f>CHOOSE(CONTROL!$C$42, 14.1794, 14.1794) * CHOOSE(CONTROL!$C$21, $C$9, 100%, $E$9)</f>
        <v>14.179399999999999</v>
      </c>
      <c r="R450" s="10">
        <f>CHOOSE(CONTROL!$C$42, 14.8018, 14.8018) * CHOOSE(CONTROL!$C$21, $C$9, 100%, $E$9)</f>
        <v>14.8018</v>
      </c>
      <c r="S450" s="10">
        <f>CHOOSE(CONTROL!$C$42, 13.1094, 13.1094) * CHOOSE(CONTROL!$C$21, $C$9, 100%, $E$9)</f>
        <v>13.109400000000001</v>
      </c>
      <c r="T4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38">
        <f>(1000*CHOOSE(CONTROL!$C$42, 695, 695)*CHOOSE(CONTROL!$C$42, 0.5599, 0.5599)*CHOOSE(CONTROL!$C$42, 30, 30))/1000000</f>
        <v>11.673914999999997</v>
      </c>
      <c r="V450" s="38">
        <f>(1000*CHOOSE(CONTROL!$C$42, 500, 500)*CHOOSE(CONTROL!$C$42, 0.275, 0.275)*CHOOSE(CONTROL!$C$42, 30, 30))/1000000</f>
        <v>4.125</v>
      </c>
      <c r="W450" s="38">
        <f>(1000*CHOOSE(CONTROL!$C$42, 0.1146, 0.1146)*CHOOSE(CONTROL!$C$42, 121.5, 121.5)*CHOOSE(CONTROL!$C$42, 30, 30))/1000000</f>
        <v>0.417717</v>
      </c>
      <c r="X450" s="38">
        <f>(30*0.1790888*245000/1000000)+(30*0.2374*100000/1000000)</f>
        <v>2.0285026799999999</v>
      </c>
      <c r="Y450" s="38">
        <f>(1000*600*CHOOSE(CONTROL!$C$42, 1.0791, 1.0791)*CHOOSE(CONTROL!$C$42, 30, 30))/1000000</f>
        <v>19.4238</v>
      </c>
      <c r="Z450" s="38"/>
      <c r="AA450" s="10"/>
      <c r="AB450" s="39"/>
      <c r="AC450" s="33">
        <f>(B450*194.205+C450*267.466+D450*133.845+E450*53.484+F450*40+G450*185+H450*0+I450*100+J450*300)/(194.205+267.466+133.845+53.484+0+40+185+100+300)</f>
        <v>13.518564023469388</v>
      </c>
      <c r="AD450" s="27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13.415112949640287</v>
      </c>
    </row>
    <row r="451" spans="1:30" ht="15.75" x14ac:dyDescent="0.25">
      <c r="A451" s="14">
        <v>55000</v>
      </c>
      <c r="B451" s="10">
        <f>CHOOSE(CONTROL!$C$42, 13.2449, 13.2449) * CHOOSE(CONTROL!$C$21, $C$9, 100%, $E$9)</f>
        <v>13.244899999999999</v>
      </c>
      <c r="C451" s="10">
        <f>CHOOSE(CONTROL!$C$42, 13.2529, 13.2529) * CHOOSE(CONTROL!$C$21, $C$9, 100%, $E$9)</f>
        <v>13.2529</v>
      </c>
      <c r="D451" s="10">
        <f>CHOOSE(CONTROL!$C$42, 13.4298, 13.4298) * CHOOSE(CONTROL!$C$21, $C$9, 100%, $E$9)</f>
        <v>13.4298</v>
      </c>
      <c r="E451" s="10">
        <f>CHOOSE(CONTROL!$C$42, 13.461, 13.461) * CHOOSE(CONTROL!$C$21, $C$9, 100%, $E$9)</f>
        <v>13.461</v>
      </c>
      <c r="F451" s="10">
        <f>CHOOSE(CONTROL!$C$42, 13.2087, 13.2087)*CHOOSE(CONTROL!$C$21, $C$9, 100%, $E$9)</f>
        <v>13.2087</v>
      </c>
      <c r="G451" s="10">
        <f>CHOOSE(CONTROL!$C$42, 13.2253, 13.2253)*CHOOSE(CONTROL!$C$21, $C$9, 100%, $E$9)</f>
        <v>13.225300000000001</v>
      </c>
      <c r="H451" s="10">
        <f>CHOOSE(CONTROL!$C$42, 13.4496, 13.4496) * CHOOSE(CONTROL!$C$21, $C$9, 100%, $E$9)</f>
        <v>13.4496</v>
      </c>
      <c r="I451" s="10">
        <f>CHOOSE(CONTROL!$C$42, 13.2295, 13.2295)* CHOOSE(CONTROL!$C$21, $C$9, 100%, $E$9)</f>
        <v>13.2295</v>
      </c>
      <c r="J451" s="10">
        <f>CHOOSE(CONTROL!$C$42, 13.2017, 13.2017)* CHOOSE(CONTROL!$C$21, $C$9, 100%, $E$9)</f>
        <v>13.201700000000001</v>
      </c>
      <c r="K451" s="10">
        <f>CHOOSE(CONTROL!$C$42, 12.989, 12.989) * CHOOSE(CONTROL!$C$21, $C$9, 100%, $E$9)</f>
        <v>12.989000000000001</v>
      </c>
      <c r="L451" s="10">
        <f>CHOOSE(CONTROL!$C$42, 14.0366, 14.0366) * CHOOSE(CONTROL!$C$21, $C$9, 100%, $E$9)</f>
        <v>14.0366</v>
      </c>
      <c r="M451" s="10">
        <f>CHOOSE(CONTROL!$C$42, 13.0823, 13.0823) * CHOOSE(CONTROL!$C$21, $C$9, 100%, $E$9)</f>
        <v>13.0823</v>
      </c>
      <c r="N451" s="10">
        <f>CHOOSE(CONTROL!$C$42, 13.0988, 13.0988) * CHOOSE(CONTROL!$C$21, $C$9, 100%, $E$9)</f>
        <v>13.098800000000001</v>
      </c>
      <c r="O451" s="10">
        <f>CHOOSE(CONTROL!$C$42, 13.3277, 13.3277) * CHOOSE(CONTROL!$C$21, $C$9, 100%, $E$9)</f>
        <v>13.3277</v>
      </c>
      <c r="P451" s="10">
        <f>CHOOSE(CONTROL!$C$42, 13.1099, 13.1099) * CHOOSE(CONTROL!$C$21, $C$9, 100%, $E$9)</f>
        <v>13.1099</v>
      </c>
      <c r="Q451" s="10">
        <f>CHOOSE(CONTROL!$C$42, 13.923, 13.923) * CHOOSE(CONTROL!$C$21, $C$9, 100%, $E$9)</f>
        <v>13.923</v>
      </c>
      <c r="R451" s="10">
        <f>CHOOSE(CONTROL!$C$42, 14.5448, 14.5448) * CHOOSE(CONTROL!$C$21, $C$9, 100%, $E$9)</f>
        <v>14.5448</v>
      </c>
      <c r="S451" s="10">
        <f>CHOOSE(CONTROL!$C$42, 12.8579, 12.8579) * CHOOSE(CONTROL!$C$21, $C$9, 100%, $E$9)</f>
        <v>12.857900000000001</v>
      </c>
      <c r="T4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38">
        <f>(1000*CHOOSE(CONTROL!$C$42, 695, 695)*CHOOSE(CONTROL!$C$42, 0.5599, 0.5599)*CHOOSE(CONTROL!$C$42, 31, 31))/1000000</f>
        <v>12.063045499999998</v>
      </c>
      <c r="V451" s="38">
        <f>(1000*CHOOSE(CONTROL!$C$42, 500, 500)*CHOOSE(CONTROL!$C$42, 0.275, 0.275)*CHOOSE(CONTROL!$C$42, 31, 31))/1000000</f>
        <v>4.2625000000000002</v>
      </c>
      <c r="W451" s="38">
        <f>(1000*CHOOSE(CONTROL!$C$42, 0.1146, 0.1146)*CHOOSE(CONTROL!$C$42, 121.5, 121.5)*CHOOSE(CONTROL!$C$42, 31, 31))/1000000</f>
        <v>0.43164089999999994</v>
      </c>
      <c r="X451" s="38">
        <f>(31*0.1790888*245000/1000000)+(31*0.2374*100000/1000000)</f>
        <v>2.0961194359999999</v>
      </c>
      <c r="Y451" s="38">
        <f>(1000*600*CHOOSE(CONTROL!$C$42, 1.0791, 1.0791)*CHOOSE(CONTROL!$C$42, 31, 31))/1000000</f>
        <v>20.071259999999999</v>
      </c>
      <c r="Z451" s="38"/>
      <c r="AA451" s="10"/>
      <c r="AB451" s="39"/>
      <c r="AC451" s="33">
        <f>(B451*194.205+C451*267.466+D451*133.845+E451*53.484+F451*40+G451*185+H451*0+I451*100+J451*300)/(194.205+267.466+133.845+53.484+0+40+185+100+300)</f>
        <v>13.259712842150705</v>
      </c>
      <c r="AD451" s="27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13.158923021582734</v>
      </c>
    </row>
    <row r="452" spans="1:30" ht="15.75" x14ac:dyDescent="0.25">
      <c r="A452" s="14">
        <v>55031</v>
      </c>
      <c r="B452" s="10">
        <f>CHOOSE(CONTROL!$C$42, 12.591, 12.591) * CHOOSE(CONTROL!$C$21, $C$9, 100%, $E$9)</f>
        <v>12.590999999999999</v>
      </c>
      <c r="C452" s="10">
        <f>CHOOSE(CONTROL!$C$42, 12.5989, 12.5989) * CHOOSE(CONTROL!$C$21, $C$9, 100%, $E$9)</f>
        <v>12.5989</v>
      </c>
      <c r="D452" s="10">
        <f>CHOOSE(CONTROL!$C$42, 12.7759, 12.7759) * CHOOSE(CONTROL!$C$21, $C$9, 100%, $E$9)</f>
        <v>12.7759</v>
      </c>
      <c r="E452" s="10">
        <f>CHOOSE(CONTROL!$C$42, 12.807, 12.807) * CHOOSE(CONTROL!$C$21, $C$9, 100%, $E$9)</f>
        <v>12.807</v>
      </c>
      <c r="F452" s="10">
        <f>CHOOSE(CONTROL!$C$42, 12.5548, 12.5548)*CHOOSE(CONTROL!$C$21, $C$9, 100%, $E$9)</f>
        <v>12.5548</v>
      </c>
      <c r="G452" s="10">
        <f>CHOOSE(CONTROL!$C$42, 12.5714, 12.5714)*CHOOSE(CONTROL!$C$21, $C$9, 100%, $E$9)</f>
        <v>12.571400000000001</v>
      </c>
      <c r="H452" s="10">
        <f>CHOOSE(CONTROL!$C$42, 12.7956, 12.7956) * CHOOSE(CONTROL!$C$21, $C$9, 100%, $E$9)</f>
        <v>12.7956</v>
      </c>
      <c r="I452" s="10">
        <f>CHOOSE(CONTROL!$C$42, 12.5756, 12.5756)* CHOOSE(CONTROL!$C$21, $C$9, 100%, $E$9)</f>
        <v>12.5756</v>
      </c>
      <c r="J452" s="10">
        <f>CHOOSE(CONTROL!$C$42, 12.5478, 12.5478)* CHOOSE(CONTROL!$C$21, $C$9, 100%, $E$9)</f>
        <v>12.547800000000001</v>
      </c>
      <c r="K452" s="10">
        <f>CHOOSE(CONTROL!$C$42, 12.3537, 12.3537) * CHOOSE(CONTROL!$C$21, $C$9, 100%, $E$9)</f>
        <v>12.3537</v>
      </c>
      <c r="L452" s="10">
        <f>CHOOSE(CONTROL!$C$42, 13.3826, 13.3826) * CHOOSE(CONTROL!$C$21, $C$9, 100%, $E$9)</f>
        <v>13.3826</v>
      </c>
      <c r="M452" s="10">
        <f>CHOOSE(CONTROL!$C$42, 12.435, 12.435) * CHOOSE(CONTROL!$C$21, $C$9, 100%, $E$9)</f>
        <v>12.435</v>
      </c>
      <c r="N452" s="10">
        <f>CHOOSE(CONTROL!$C$42, 12.4515, 12.4515) * CHOOSE(CONTROL!$C$21, $C$9, 100%, $E$9)</f>
        <v>12.451499999999999</v>
      </c>
      <c r="O452" s="10">
        <f>CHOOSE(CONTROL!$C$42, 12.6803, 12.6803) * CHOOSE(CONTROL!$C$21, $C$9, 100%, $E$9)</f>
        <v>12.680300000000001</v>
      </c>
      <c r="P452" s="10">
        <f>CHOOSE(CONTROL!$C$42, 12.4625, 12.4625) * CHOOSE(CONTROL!$C$21, $C$9, 100%, $E$9)</f>
        <v>12.4625</v>
      </c>
      <c r="Q452" s="10">
        <f>CHOOSE(CONTROL!$C$42, 13.2756, 13.2756) * CHOOSE(CONTROL!$C$21, $C$9, 100%, $E$9)</f>
        <v>13.275600000000001</v>
      </c>
      <c r="R452" s="10">
        <f>CHOOSE(CONTROL!$C$42, 13.8958, 13.8958) * CHOOSE(CONTROL!$C$21, $C$9, 100%, $E$9)</f>
        <v>13.895799999999999</v>
      </c>
      <c r="S452" s="10">
        <f>CHOOSE(CONTROL!$C$42, 12.2228, 12.2228) * CHOOSE(CONTROL!$C$21, $C$9, 100%, $E$9)</f>
        <v>12.222799999999999</v>
      </c>
      <c r="T4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38">
        <f>(1000*CHOOSE(CONTROL!$C$42, 695, 695)*CHOOSE(CONTROL!$C$42, 0.5599, 0.5599)*CHOOSE(CONTROL!$C$42, 31, 31))/1000000</f>
        <v>12.063045499999998</v>
      </c>
      <c r="V452" s="38">
        <f>(1000*CHOOSE(CONTROL!$C$42, 500, 500)*CHOOSE(CONTROL!$C$42, 0.275, 0.275)*CHOOSE(CONTROL!$C$42, 31, 31))/1000000</f>
        <v>4.2625000000000002</v>
      </c>
      <c r="W452" s="38">
        <f>(1000*CHOOSE(CONTROL!$C$42, 0.1146, 0.1146)*CHOOSE(CONTROL!$C$42, 121.5, 121.5)*CHOOSE(CONTROL!$C$42, 31, 31))/1000000</f>
        <v>0.43164089999999994</v>
      </c>
      <c r="X452" s="38">
        <f>(31*0.1790888*245000/1000000)+(31*0.2374*100000/1000000)</f>
        <v>2.0961194359999999</v>
      </c>
      <c r="Y452" s="38">
        <f>(1000*600*CHOOSE(CONTROL!$C$42, 1.0791, 1.0791)*CHOOSE(CONTROL!$C$42, 31, 31))/1000000</f>
        <v>20.071259999999999</v>
      </c>
      <c r="Z452" s="38"/>
      <c r="AA452" s="10"/>
      <c r="AB452" s="39"/>
      <c r="AC452" s="33">
        <f>(B452*194.205+C452*267.466+D452*133.845+E452*53.484+F452*40+G452*185+H452*0+I452*100+J452*300)/(194.205+267.466+133.845+53.484+0+40+185+100+300)</f>
        <v>12.605787649843016</v>
      </c>
      <c r="AD452" s="27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12.511580575539567</v>
      </c>
    </row>
    <row r="453" spans="1:30" ht="15.75" x14ac:dyDescent="0.25">
      <c r="A453" s="14">
        <v>55061</v>
      </c>
      <c r="B453" s="10">
        <f>CHOOSE(CONTROL!$C$42, 11.7919, 11.7919) * CHOOSE(CONTROL!$C$21, $C$9, 100%, $E$9)</f>
        <v>11.7919</v>
      </c>
      <c r="C453" s="10">
        <f>CHOOSE(CONTROL!$C$42, 11.7999, 11.7999) * CHOOSE(CONTROL!$C$21, $C$9, 100%, $E$9)</f>
        <v>11.799899999999999</v>
      </c>
      <c r="D453" s="10">
        <f>CHOOSE(CONTROL!$C$42, 11.9769, 11.9769) * CHOOSE(CONTROL!$C$21, $C$9, 100%, $E$9)</f>
        <v>11.976900000000001</v>
      </c>
      <c r="E453" s="10">
        <f>CHOOSE(CONTROL!$C$42, 12.008, 12.008) * CHOOSE(CONTROL!$C$21, $C$9, 100%, $E$9)</f>
        <v>12.007999999999999</v>
      </c>
      <c r="F453" s="10">
        <f>CHOOSE(CONTROL!$C$42, 11.7555, 11.7555)*CHOOSE(CONTROL!$C$21, $C$9, 100%, $E$9)</f>
        <v>11.7555</v>
      </c>
      <c r="G453" s="10">
        <f>CHOOSE(CONTROL!$C$42, 11.7721, 11.7721)*CHOOSE(CONTROL!$C$21, $C$9, 100%, $E$9)</f>
        <v>11.7721</v>
      </c>
      <c r="H453" s="10">
        <f>CHOOSE(CONTROL!$C$42, 11.9966, 11.9966) * CHOOSE(CONTROL!$C$21, $C$9, 100%, $E$9)</f>
        <v>11.996600000000001</v>
      </c>
      <c r="I453" s="10">
        <f>CHOOSE(CONTROL!$C$42, 11.7765, 11.7765)* CHOOSE(CONTROL!$C$21, $C$9, 100%, $E$9)</f>
        <v>11.7765</v>
      </c>
      <c r="J453" s="10">
        <f>CHOOSE(CONTROL!$C$42, 11.7485, 11.7485)* CHOOSE(CONTROL!$C$21, $C$9, 100%, $E$9)</f>
        <v>11.7485</v>
      </c>
      <c r="K453" s="10">
        <f>CHOOSE(CONTROL!$C$42, 11.5769, 11.5769) * CHOOSE(CONTROL!$C$21, $C$9, 100%, $E$9)</f>
        <v>11.5769</v>
      </c>
      <c r="L453" s="10">
        <f>CHOOSE(CONTROL!$C$42, 12.5836, 12.5836) * CHOOSE(CONTROL!$C$21, $C$9, 100%, $E$9)</f>
        <v>12.583600000000001</v>
      </c>
      <c r="M453" s="10">
        <f>CHOOSE(CONTROL!$C$42, 11.6438, 11.6438) * CHOOSE(CONTROL!$C$21, $C$9, 100%, $E$9)</f>
        <v>11.643800000000001</v>
      </c>
      <c r="N453" s="10">
        <f>CHOOSE(CONTROL!$C$42, 11.6602, 11.6602) * CHOOSE(CONTROL!$C$21, $C$9, 100%, $E$9)</f>
        <v>11.6602</v>
      </c>
      <c r="O453" s="10">
        <f>CHOOSE(CONTROL!$C$42, 11.8894, 11.8894) * CHOOSE(CONTROL!$C$21, $C$9, 100%, $E$9)</f>
        <v>11.8894</v>
      </c>
      <c r="P453" s="10">
        <f>CHOOSE(CONTROL!$C$42, 11.6716, 11.6716) * CHOOSE(CONTROL!$C$21, $C$9, 100%, $E$9)</f>
        <v>11.6716</v>
      </c>
      <c r="Q453" s="10">
        <f>CHOOSE(CONTROL!$C$42, 12.4847, 12.4847) * CHOOSE(CONTROL!$C$21, $C$9, 100%, $E$9)</f>
        <v>12.4847</v>
      </c>
      <c r="R453" s="10">
        <f>CHOOSE(CONTROL!$C$42, 13.1029, 13.1029) * CHOOSE(CONTROL!$C$21, $C$9, 100%, $E$9)</f>
        <v>13.1029</v>
      </c>
      <c r="S453" s="10">
        <f>CHOOSE(CONTROL!$C$42, 11.4469, 11.4469) * CHOOSE(CONTROL!$C$21, $C$9, 100%, $E$9)</f>
        <v>11.446899999999999</v>
      </c>
      <c r="T4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38">
        <f>(1000*CHOOSE(CONTROL!$C$42, 695, 695)*CHOOSE(CONTROL!$C$42, 0.5599, 0.5599)*CHOOSE(CONTROL!$C$42, 30, 30))/1000000</f>
        <v>11.673914999999997</v>
      </c>
      <c r="V453" s="38">
        <f>(1000*CHOOSE(CONTROL!$C$42, 500, 500)*CHOOSE(CONTROL!$C$42, 0.275, 0.275)*CHOOSE(CONTROL!$C$42, 30, 30))/1000000</f>
        <v>4.125</v>
      </c>
      <c r="W453" s="38">
        <f>(1000*CHOOSE(CONTROL!$C$42, 0.1146, 0.1146)*CHOOSE(CONTROL!$C$42, 121.5, 121.5)*CHOOSE(CONTROL!$C$42, 30, 30))/1000000</f>
        <v>0.417717</v>
      </c>
      <c r="X453" s="38">
        <f>(30*0.1790888*245000/1000000)+(30*0.2374*100000/1000000)</f>
        <v>2.0285026799999999</v>
      </c>
      <c r="Y453" s="38">
        <f>(1000*600*CHOOSE(CONTROL!$C$42, 1.0791, 1.0791)*CHOOSE(CONTROL!$C$42, 30, 30))/1000000</f>
        <v>19.4238</v>
      </c>
      <c r="Z453" s="38"/>
      <c r="AA453" s="10"/>
      <c r="AB453" s="39"/>
      <c r="AC453" s="33">
        <f>(B453*194.205+C453*267.466+D453*133.845+E453*53.484+F453*40+G453*185+H453*0+I453*100+J453*300)/(194.205+267.466+133.845+53.484+0+40+185+100+300)</f>
        <v>11.806640930455261</v>
      </c>
      <c r="AD453" s="27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11.720484892086331</v>
      </c>
    </row>
    <row r="454" spans="1:30" ht="15.75" x14ac:dyDescent="0.25">
      <c r="A454" s="14">
        <v>55092</v>
      </c>
      <c r="B454" s="10">
        <f>CHOOSE(CONTROL!$C$42, 11.5505, 11.5505) * CHOOSE(CONTROL!$C$21, $C$9, 100%, $E$9)</f>
        <v>11.5505</v>
      </c>
      <c r="C454" s="10">
        <f>CHOOSE(CONTROL!$C$42, 11.5557, 11.5557) * CHOOSE(CONTROL!$C$21, $C$9, 100%, $E$9)</f>
        <v>11.5557</v>
      </c>
      <c r="D454" s="10">
        <f>CHOOSE(CONTROL!$C$42, 11.7377, 11.7377) * CHOOSE(CONTROL!$C$21, $C$9, 100%, $E$9)</f>
        <v>11.7377</v>
      </c>
      <c r="E454" s="10">
        <f>CHOOSE(CONTROL!$C$42, 11.7665, 11.7665) * CHOOSE(CONTROL!$C$21, $C$9, 100%, $E$9)</f>
        <v>11.766500000000001</v>
      </c>
      <c r="F454" s="10">
        <f>CHOOSE(CONTROL!$C$42, 11.5161, 11.5161)*CHOOSE(CONTROL!$C$21, $C$9, 100%, $E$9)</f>
        <v>11.5161</v>
      </c>
      <c r="G454" s="10">
        <f>CHOOSE(CONTROL!$C$42, 11.5323, 11.5323)*CHOOSE(CONTROL!$C$21, $C$9, 100%, $E$9)</f>
        <v>11.532299999999999</v>
      </c>
      <c r="H454" s="10">
        <f>CHOOSE(CONTROL!$C$42, 11.7569, 11.7569) * CHOOSE(CONTROL!$C$21, $C$9, 100%, $E$9)</f>
        <v>11.7569</v>
      </c>
      <c r="I454" s="10">
        <f>CHOOSE(CONTROL!$C$42, 11.5368, 11.5368)* CHOOSE(CONTROL!$C$21, $C$9, 100%, $E$9)</f>
        <v>11.536799999999999</v>
      </c>
      <c r="J454" s="10">
        <f>CHOOSE(CONTROL!$C$42, 11.5091, 11.5091)* CHOOSE(CONTROL!$C$21, $C$9, 100%, $E$9)</f>
        <v>11.5091</v>
      </c>
      <c r="K454" s="10">
        <f>CHOOSE(CONTROL!$C$42, 11.3446, 11.3446) * CHOOSE(CONTROL!$C$21, $C$9, 100%, $E$9)</f>
        <v>11.3446</v>
      </c>
      <c r="L454" s="10">
        <f>CHOOSE(CONTROL!$C$42, 12.3439, 12.3439) * CHOOSE(CONTROL!$C$21, $C$9, 100%, $E$9)</f>
        <v>12.3439</v>
      </c>
      <c r="M454" s="10">
        <f>CHOOSE(CONTROL!$C$42, 11.4068, 11.4068) * CHOOSE(CONTROL!$C$21, $C$9, 100%, $E$9)</f>
        <v>11.4068</v>
      </c>
      <c r="N454" s="10">
        <f>CHOOSE(CONTROL!$C$42, 11.4228, 11.4228) * CHOOSE(CONTROL!$C$21, $C$9, 100%, $E$9)</f>
        <v>11.422800000000001</v>
      </c>
      <c r="O454" s="10">
        <f>CHOOSE(CONTROL!$C$42, 11.6521, 11.6521) * CHOOSE(CONTROL!$C$21, $C$9, 100%, $E$9)</f>
        <v>11.652100000000001</v>
      </c>
      <c r="P454" s="10">
        <f>CHOOSE(CONTROL!$C$42, 11.4343, 11.4343) * CHOOSE(CONTROL!$C$21, $C$9, 100%, $E$9)</f>
        <v>11.4343</v>
      </c>
      <c r="Q454" s="10">
        <f>CHOOSE(CONTROL!$C$42, 12.2474, 12.2474) * CHOOSE(CONTROL!$C$21, $C$9, 100%, $E$9)</f>
        <v>12.247400000000001</v>
      </c>
      <c r="R454" s="10">
        <f>CHOOSE(CONTROL!$C$42, 12.865, 12.865) * CHOOSE(CONTROL!$C$21, $C$9, 100%, $E$9)</f>
        <v>12.865</v>
      </c>
      <c r="S454" s="10">
        <f>CHOOSE(CONTROL!$C$42, 11.2141, 11.2141) * CHOOSE(CONTROL!$C$21, $C$9, 100%, $E$9)</f>
        <v>11.2141</v>
      </c>
      <c r="T4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38">
        <f>(1000*CHOOSE(CONTROL!$C$42, 695, 695)*CHOOSE(CONTROL!$C$42, 0.5599, 0.5599)*CHOOSE(CONTROL!$C$42, 31, 31))/1000000</f>
        <v>12.063045499999998</v>
      </c>
      <c r="V454" s="38">
        <f>(1000*CHOOSE(CONTROL!$C$42, 500, 500)*CHOOSE(CONTROL!$C$42, 0.275, 0.275)*CHOOSE(CONTROL!$C$42, 31, 31))/1000000</f>
        <v>4.2625000000000002</v>
      </c>
      <c r="W454" s="38">
        <f>(1000*CHOOSE(CONTROL!$C$42, 0.1146, 0.1146)*CHOOSE(CONTROL!$C$42, 121.5, 121.5)*CHOOSE(CONTROL!$C$42, 31, 31))/1000000</f>
        <v>0.43164089999999994</v>
      </c>
      <c r="X454" s="38">
        <f>(31*0.1790888*245000/1000000)+(31*0.2374*100000/1000000)</f>
        <v>2.0961194359999999</v>
      </c>
      <c r="Y454" s="38">
        <f>(1000*600*CHOOSE(CONTROL!$C$42, 1.0791, 1.0791)*CHOOSE(CONTROL!$C$42, 31, 31))/1000000</f>
        <v>20.071259999999999</v>
      </c>
      <c r="Z454" s="38"/>
      <c r="AA454" s="10"/>
      <c r="AB454" s="39"/>
      <c r="AC454" s="33">
        <f>(B454*131.881+C454*277.167+D454*79.08+E454*125.872+F454*40+G454*185+H454*0+I454*100+J454*300)/(131.881+277.167+79.08+125.872+0+40+185+100+300)</f>
        <v>11.570597172235674</v>
      </c>
      <c r="AD454" s="27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11.4832654676259</v>
      </c>
    </row>
    <row r="455" spans="1:30" ht="15.75" x14ac:dyDescent="0.25">
      <c r="A455" s="14">
        <v>55122</v>
      </c>
      <c r="B455" s="10">
        <f>CHOOSE(CONTROL!$C$42, 11.8543, 11.8543) * CHOOSE(CONTROL!$C$21, $C$9, 100%, $E$9)</f>
        <v>11.8543</v>
      </c>
      <c r="C455" s="10">
        <f>CHOOSE(CONTROL!$C$42, 11.8592, 11.8592) * CHOOSE(CONTROL!$C$21, $C$9, 100%, $E$9)</f>
        <v>11.8592</v>
      </c>
      <c r="D455" s="10">
        <f>CHOOSE(CONTROL!$C$42, 11.8837, 11.8837) * CHOOSE(CONTROL!$C$21, $C$9, 100%, $E$9)</f>
        <v>11.883699999999999</v>
      </c>
      <c r="E455" s="10">
        <f>CHOOSE(CONTROL!$C$42, 11.9175, 11.9175) * CHOOSE(CONTROL!$C$21, $C$9, 100%, $E$9)</f>
        <v>11.9175</v>
      </c>
      <c r="F455" s="10">
        <f>CHOOSE(CONTROL!$C$42, 11.8236, 11.8236)*CHOOSE(CONTROL!$C$21, $C$9, 100%, $E$9)</f>
        <v>11.823600000000001</v>
      </c>
      <c r="G455" s="10">
        <f>CHOOSE(CONTROL!$C$42, 11.84, 11.84)*CHOOSE(CONTROL!$C$21, $C$9, 100%, $E$9)</f>
        <v>11.84</v>
      </c>
      <c r="H455" s="10">
        <f>CHOOSE(CONTROL!$C$42, 11.9067, 11.9067) * CHOOSE(CONTROL!$C$21, $C$9, 100%, $E$9)</f>
        <v>11.906700000000001</v>
      </c>
      <c r="I455" s="10">
        <f>CHOOSE(CONTROL!$C$42, 11.841, 11.841)* CHOOSE(CONTROL!$C$21, $C$9, 100%, $E$9)</f>
        <v>11.840999999999999</v>
      </c>
      <c r="J455" s="10">
        <f>CHOOSE(CONTROL!$C$42, 11.8166, 11.8166)* CHOOSE(CONTROL!$C$21, $C$9, 100%, $E$9)</f>
        <v>11.816599999999999</v>
      </c>
      <c r="K455" s="10">
        <f>CHOOSE(CONTROL!$C$42, 11.6416, 11.6416) * CHOOSE(CONTROL!$C$21, $C$9, 100%, $E$9)</f>
        <v>11.6416</v>
      </c>
      <c r="L455" s="10">
        <f>CHOOSE(CONTROL!$C$42, 12.4937, 12.4937) * CHOOSE(CONTROL!$C$21, $C$9, 100%, $E$9)</f>
        <v>12.4937</v>
      </c>
      <c r="M455" s="10">
        <f>CHOOSE(CONTROL!$C$42, 11.7112, 11.7112) * CHOOSE(CONTROL!$C$21, $C$9, 100%, $E$9)</f>
        <v>11.7112</v>
      </c>
      <c r="N455" s="10">
        <f>CHOOSE(CONTROL!$C$42, 11.7274, 11.7274) * CHOOSE(CONTROL!$C$21, $C$9, 100%, $E$9)</f>
        <v>11.727399999999999</v>
      </c>
      <c r="O455" s="10">
        <f>CHOOSE(CONTROL!$C$42, 11.8003, 11.8003) * CHOOSE(CONTROL!$C$21, $C$9, 100%, $E$9)</f>
        <v>11.8003</v>
      </c>
      <c r="P455" s="10">
        <f>CHOOSE(CONTROL!$C$42, 11.7354, 11.7354) * CHOOSE(CONTROL!$C$21, $C$9, 100%, $E$9)</f>
        <v>11.7354</v>
      </c>
      <c r="Q455" s="10">
        <f>CHOOSE(CONTROL!$C$42, 12.3956, 12.3956) * CHOOSE(CONTROL!$C$21, $C$9, 100%, $E$9)</f>
        <v>12.3956</v>
      </c>
      <c r="R455" s="10">
        <f>CHOOSE(CONTROL!$C$42, 13.0136, 13.0136) * CHOOSE(CONTROL!$C$21, $C$9, 100%, $E$9)</f>
        <v>13.0136</v>
      </c>
      <c r="S455" s="10">
        <f>CHOOSE(CONTROL!$C$42, 11.5096, 11.5096) * CHOOSE(CONTROL!$C$21, $C$9, 100%, $E$9)</f>
        <v>11.509600000000001</v>
      </c>
      <c r="T4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38">
        <f>(1000*CHOOSE(CONTROL!$C$42, 695, 695)*CHOOSE(CONTROL!$C$42, 0.5599, 0.5599)*CHOOSE(CONTROL!$C$42, 30, 30))/1000000</f>
        <v>11.673914999999997</v>
      </c>
      <c r="V455" s="38">
        <f>(1000*CHOOSE(CONTROL!$C$42, 500, 500)*CHOOSE(CONTROL!$C$42, 0.275, 0.275)*CHOOSE(CONTROL!$C$42, 30, 30))/1000000</f>
        <v>4.125</v>
      </c>
      <c r="W455" s="38">
        <f>(1000*CHOOSE(CONTROL!$C$42, 0.1146, 0.1146)*CHOOSE(CONTROL!$C$42, 121.5, 121.5)*CHOOSE(CONTROL!$C$42, 30, 30))/1000000</f>
        <v>0.417717</v>
      </c>
      <c r="X455" s="38">
        <f>(30*0.1790888*100000/1000000)+(30*0.2374*100000/1000000)</f>
        <v>1.2494664</v>
      </c>
      <c r="Y455" s="38">
        <f>(1000*600*CHOOSE(CONTROL!$C$42, 1.0791, 1.0791)*CHOOSE(CONTROL!$C$42, 30, 30))/1000000</f>
        <v>19.4238</v>
      </c>
      <c r="Z455" s="38"/>
      <c r="AA455" s="10"/>
      <c r="AB455" s="39"/>
      <c r="AC455" s="33">
        <f>(B455*122.58+C455*297.941+D455*89.177+E455*40.302+F455*40+G455*160+H455*0+I455*100+J455*300)/(122.58+297.941+89.177+40.302+0+40+160+100+300)</f>
        <v>11.846015479217392</v>
      </c>
      <c r="AD455" s="27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11.75599784172662</v>
      </c>
    </row>
    <row r="456" spans="1:30" ht="15.75" x14ac:dyDescent="0.25">
      <c r="A456" s="14">
        <v>55153</v>
      </c>
      <c r="B456" s="10">
        <f>CHOOSE(CONTROL!$C$42, 12.6623, 12.6623) * CHOOSE(CONTROL!$C$21, $C$9, 100%, $E$9)</f>
        <v>12.6623</v>
      </c>
      <c r="C456" s="10">
        <f>CHOOSE(CONTROL!$C$42, 12.6672, 12.6672) * CHOOSE(CONTROL!$C$21, $C$9, 100%, $E$9)</f>
        <v>12.667199999999999</v>
      </c>
      <c r="D456" s="10">
        <f>CHOOSE(CONTROL!$C$42, 12.6917, 12.6917) * CHOOSE(CONTROL!$C$21, $C$9, 100%, $E$9)</f>
        <v>12.691700000000001</v>
      </c>
      <c r="E456" s="10">
        <f>CHOOSE(CONTROL!$C$42, 12.7255, 12.7255) * CHOOSE(CONTROL!$C$21, $C$9, 100%, $E$9)</f>
        <v>12.7255</v>
      </c>
      <c r="F456" s="10">
        <f>CHOOSE(CONTROL!$C$42, 12.6339, 12.6339)*CHOOSE(CONTROL!$C$21, $C$9, 100%, $E$9)</f>
        <v>12.633900000000001</v>
      </c>
      <c r="G456" s="10">
        <f>CHOOSE(CONTROL!$C$42, 12.651, 12.651)*CHOOSE(CONTROL!$C$21, $C$9, 100%, $E$9)</f>
        <v>12.651</v>
      </c>
      <c r="H456" s="10">
        <f>CHOOSE(CONTROL!$C$42, 12.7147, 12.7147) * CHOOSE(CONTROL!$C$21, $C$9, 100%, $E$9)</f>
        <v>12.714700000000001</v>
      </c>
      <c r="I456" s="10">
        <f>CHOOSE(CONTROL!$C$42, 12.6491, 12.6491)* CHOOSE(CONTROL!$C$21, $C$9, 100%, $E$9)</f>
        <v>12.649100000000001</v>
      </c>
      <c r="J456" s="10">
        <f>CHOOSE(CONTROL!$C$42, 12.6269, 12.6269)* CHOOSE(CONTROL!$C$21, $C$9, 100%, $E$9)</f>
        <v>12.626899999999999</v>
      </c>
      <c r="K456" s="10">
        <f>CHOOSE(CONTROL!$C$42, 12.4317, 12.4317) * CHOOSE(CONTROL!$C$21, $C$9, 100%, $E$9)</f>
        <v>12.431699999999999</v>
      </c>
      <c r="L456" s="10">
        <f>CHOOSE(CONTROL!$C$42, 13.3017, 13.3017) * CHOOSE(CONTROL!$C$21, $C$9, 100%, $E$9)</f>
        <v>13.3017</v>
      </c>
      <c r="M456" s="10">
        <f>CHOOSE(CONTROL!$C$42, 12.5133, 12.5133) * CHOOSE(CONTROL!$C$21, $C$9, 100%, $E$9)</f>
        <v>12.513299999999999</v>
      </c>
      <c r="N456" s="10">
        <f>CHOOSE(CONTROL!$C$42, 12.5302, 12.5302) * CHOOSE(CONTROL!$C$21, $C$9, 100%, $E$9)</f>
        <v>12.530200000000001</v>
      </c>
      <c r="O456" s="10">
        <f>CHOOSE(CONTROL!$C$42, 12.6002, 12.6002) * CHOOSE(CONTROL!$C$21, $C$9, 100%, $E$9)</f>
        <v>12.600199999999999</v>
      </c>
      <c r="P456" s="10">
        <f>CHOOSE(CONTROL!$C$42, 12.5353, 12.5353) * CHOOSE(CONTROL!$C$21, $C$9, 100%, $E$9)</f>
        <v>12.535299999999999</v>
      </c>
      <c r="Q456" s="10">
        <f>CHOOSE(CONTROL!$C$42, 13.1955, 13.1955) * CHOOSE(CONTROL!$C$21, $C$9, 100%, $E$9)</f>
        <v>13.195499999999999</v>
      </c>
      <c r="R456" s="10">
        <f>CHOOSE(CONTROL!$C$42, 13.8155, 13.8155) * CHOOSE(CONTROL!$C$21, $C$9, 100%, $E$9)</f>
        <v>13.8155</v>
      </c>
      <c r="S456" s="10">
        <f>CHOOSE(CONTROL!$C$42, 12.2942, 12.2942) * CHOOSE(CONTROL!$C$21, $C$9, 100%, $E$9)</f>
        <v>12.2942</v>
      </c>
      <c r="T4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38">
        <f>(1000*CHOOSE(CONTROL!$C$42, 695, 695)*CHOOSE(CONTROL!$C$42, 0.5599, 0.5599)*CHOOSE(CONTROL!$C$42, 31, 31))/1000000</f>
        <v>12.063045499999998</v>
      </c>
      <c r="V456" s="38">
        <f>(1000*CHOOSE(CONTROL!$C$42, 500, 500)*CHOOSE(CONTROL!$C$42, 0.275, 0.275)*CHOOSE(CONTROL!$C$42, 31, 31))/1000000</f>
        <v>4.2625000000000002</v>
      </c>
      <c r="W456" s="38">
        <f>(1000*CHOOSE(CONTROL!$C$42, 0.1146, 0.1146)*CHOOSE(CONTROL!$C$42, 121.5, 121.5)*CHOOSE(CONTROL!$C$42, 31, 31))/1000000</f>
        <v>0.43164089999999994</v>
      </c>
      <c r="X456" s="38">
        <f>(31*0.1790888*100000/1000000)+(31*0.2374*100000/1000000)</f>
        <v>1.2911152800000001</v>
      </c>
      <c r="Y456" s="38">
        <f>(1000*600*CHOOSE(CONTROL!$C$42, 1.0791, 1.0791)*CHOOSE(CONTROL!$C$42, 31, 31))/1000000</f>
        <v>20.071259999999999</v>
      </c>
      <c r="Z456" s="38"/>
      <c r="AA456" s="10"/>
      <c r="AB456" s="39"/>
      <c r="AC456" s="33">
        <f>(B456*122.58+C456*297.941+D456*89.177+E456*40.302+F456*40+G456*160+H456*0+I456*100+J456*300)/(122.58+297.941+89.177+40.302+0+40+160+100+300)</f>
        <v>12.655121566173911</v>
      </c>
      <c r="AD456" s="27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12.556824460431656</v>
      </c>
    </row>
    <row r="457" spans="1:30" ht="15.75" x14ac:dyDescent="0.25">
      <c r="A457" s="14">
        <v>55184</v>
      </c>
      <c r="B457" s="10">
        <f>CHOOSE(CONTROL!$C$42, 13.5167, 13.5167) * CHOOSE(CONTROL!$C$21, $C$9, 100%, $E$9)</f>
        <v>13.5167</v>
      </c>
      <c r="C457" s="10">
        <f>CHOOSE(CONTROL!$C$42, 13.5217, 13.5217) * CHOOSE(CONTROL!$C$21, $C$9, 100%, $E$9)</f>
        <v>13.521699999999999</v>
      </c>
      <c r="D457" s="10">
        <f>CHOOSE(CONTROL!$C$42, 13.5461, 13.5461) * CHOOSE(CONTROL!$C$21, $C$9, 100%, $E$9)</f>
        <v>13.546099999999999</v>
      </c>
      <c r="E457" s="10">
        <f>CHOOSE(CONTROL!$C$42, 13.5799, 13.5799) * CHOOSE(CONTROL!$C$21, $C$9, 100%, $E$9)</f>
        <v>13.5799</v>
      </c>
      <c r="F457" s="10">
        <f>CHOOSE(CONTROL!$C$42, 13.4997, 13.4997)*CHOOSE(CONTROL!$C$21, $C$9, 100%, $E$9)</f>
        <v>13.499700000000001</v>
      </c>
      <c r="G457" s="10">
        <f>CHOOSE(CONTROL!$C$42, 13.5183, 13.5183)*CHOOSE(CONTROL!$C$21, $C$9, 100%, $E$9)</f>
        <v>13.5183</v>
      </c>
      <c r="H457" s="10">
        <f>CHOOSE(CONTROL!$C$42, 13.5691, 13.5691) * CHOOSE(CONTROL!$C$21, $C$9, 100%, $E$9)</f>
        <v>13.569100000000001</v>
      </c>
      <c r="I457" s="10">
        <f>CHOOSE(CONTROL!$C$42, 13.5112, 13.5112)* CHOOSE(CONTROL!$C$21, $C$9, 100%, $E$9)</f>
        <v>13.511200000000001</v>
      </c>
      <c r="J457" s="10">
        <f>CHOOSE(CONTROL!$C$42, 13.4927, 13.4927)* CHOOSE(CONTROL!$C$21, $C$9, 100%, $E$9)</f>
        <v>13.492699999999999</v>
      </c>
      <c r="K457" s="10">
        <f>CHOOSE(CONTROL!$C$42, 13.2828, 13.2828) * CHOOSE(CONTROL!$C$21, $C$9, 100%, $E$9)</f>
        <v>13.2828</v>
      </c>
      <c r="L457" s="10">
        <f>CHOOSE(CONTROL!$C$42, 14.1561, 14.1561) * CHOOSE(CONTROL!$C$21, $C$9, 100%, $E$9)</f>
        <v>14.1561</v>
      </c>
      <c r="M457" s="10">
        <f>CHOOSE(CONTROL!$C$42, 13.3703, 13.3703) * CHOOSE(CONTROL!$C$21, $C$9, 100%, $E$9)</f>
        <v>13.3703</v>
      </c>
      <c r="N457" s="10">
        <f>CHOOSE(CONTROL!$C$42, 13.3888, 13.3888) * CHOOSE(CONTROL!$C$21, $C$9, 100%, $E$9)</f>
        <v>13.3888</v>
      </c>
      <c r="O457" s="10">
        <f>CHOOSE(CONTROL!$C$42, 13.446, 13.446) * CHOOSE(CONTROL!$C$21, $C$9, 100%, $E$9)</f>
        <v>13.446</v>
      </c>
      <c r="P457" s="10">
        <f>CHOOSE(CONTROL!$C$42, 13.3887, 13.3887) * CHOOSE(CONTROL!$C$21, $C$9, 100%, $E$9)</f>
        <v>13.3887</v>
      </c>
      <c r="Q457" s="10">
        <f>CHOOSE(CONTROL!$C$42, 14.0413, 14.0413) * CHOOSE(CONTROL!$C$21, $C$9, 100%, $E$9)</f>
        <v>14.0413</v>
      </c>
      <c r="R457" s="10">
        <f>CHOOSE(CONTROL!$C$42, 14.6634, 14.6634) * CHOOSE(CONTROL!$C$21, $C$9, 100%, $E$9)</f>
        <v>14.663399999999999</v>
      </c>
      <c r="S457" s="10">
        <f>CHOOSE(CONTROL!$C$42, 13.124, 13.124) * CHOOSE(CONTROL!$C$21, $C$9, 100%, $E$9)</f>
        <v>13.124000000000001</v>
      </c>
      <c r="T4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38">
        <f>(1000*CHOOSE(CONTROL!$C$42, 695, 695)*CHOOSE(CONTROL!$C$42, 0.5599, 0.5599)*CHOOSE(CONTROL!$C$42, 31, 31))/1000000</f>
        <v>12.063045499999998</v>
      </c>
      <c r="V457" s="38">
        <f>(1000*CHOOSE(CONTROL!$C$42, 500, 500)*CHOOSE(CONTROL!$C$42, 0.275, 0.275)*CHOOSE(CONTROL!$C$42, 31, 31))/1000000</f>
        <v>4.2625000000000002</v>
      </c>
      <c r="W457" s="38">
        <f>(1000*CHOOSE(CONTROL!$C$42, 0.1146, 0.1146)*CHOOSE(CONTROL!$C$42, 121.5, 121.5)*CHOOSE(CONTROL!$C$42, 31, 31))/1000000</f>
        <v>0.43164089999999994</v>
      </c>
      <c r="X457" s="38">
        <f>(31*0.1790888*100000/1000000)+(31*0.2374*100000/1000000)</f>
        <v>1.2911152800000001</v>
      </c>
      <c r="Y457" s="38">
        <f>(1000*600*CHOOSE(CONTROL!$C$42, 1.0757, 1.0757)*CHOOSE(CONTROL!$C$42, 31, 31))/1000000</f>
        <v>20.008020000000005</v>
      </c>
      <c r="Z457" s="38"/>
      <c r="AA457" s="10"/>
      <c r="AB457" s="39"/>
      <c r="AC457" s="33">
        <f>(B457*122.58+C457*297.941+D457*89.177+E457*40.302+F457*40+G457*160+H457*0+I457*100+J457*300)/(122.58+297.941+89.177+40.302+0+40+160+100+300)</f>
        <v>13.515382256695652</v>
      </c>
      <c r="AD457" s="27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13.408322302158274</v>
      </c>
    </row>
    <row r="458" spans="1:30" ht="15.75" x14ac:dyDescent="0.25">
      <c r="A458" s="14">
        <v>55212</v>
      </c>
      <c r="B458" s="10">
        <f>CHOOSE(CONTROL!$C$42, 13.7573, 13.7573) * CHOOSE(CONTROL!$C$21, $C$9, 100%, $E$9)</f>
        <v>13.757300000000001</v>
      </c>
      <c r="C458" s="10">
        <f>CHOOSE(CONTROL!$C$42, 13.7622, 13.7622) * CHOOSE(CONTROL!$C$21, $C$9, 100%, $E$9)</f>
        <v>13.7622</v>
      </c>
      <c r="D458" s="10">
        <f>CHOOSE(CONTROL!$C$42, 13.7867, 13.7867) * CHOOSE(CONTROL!$C$21, $C$9, 100%, $E$9)</f>
        <v>13.7867</v>
      </c>
      <c r="E458" s="10">
        <f>CHOOSE(CONTROL!$C$42, 13.8205, 13.8205) * CHOOSE(CONTROL!$C$21, $C$9, 100%, $E$9)</f>
        <v>13.820499999999999</v>
      </c>
      <c r="F458" s="10">
        <f>CHOOSE(CONTROL!$C$42, 13.7395, 13.7395)*CHOOSE(CONTROL!$C$21, $C$9, 100%, $E$9)</f>
        <v>13.7395</v>
      </c>
      <c r="G458" s="10">
        <f>CHOOSE(CONTROL!$C$42, 13.758, 13.758)*CHOOSE(CONTROL!$C$21, $C$9, 100%, $E$9)</f>
        <v>13.757999999999999</v>
      </c>
      <c r="H458" s="10">
        <f>CHOOSE(CONTROL!$C$42, 13.8097, 13.8097) * CHOOSE(CONTROL!$C$21, $C$9, 100%, $E$9)</f>
        <v>13.809699999999999</v>
      </c>
      <c r="I458" s="10">
        <f>CHOOSE(CONTROL!$C$42, 13.7518, 13.7518)* CHOOSE(CONTROL!$C$21, $C$9, 100%, $E$9)</f>
        <v>13.751799999999999</v>
      </c>
      <c r="J458" s="10">
        <f>CHOOSE(CONTROL!$C$42, 13.7325, 13.7325)* CHOOSE(CONTROL!$C$21, $C$9, 100%, $E$9)</f>
        <v>13.7325</v>
      </c>
      <c r="K458" s="10">
        <f>CHOOSE(CONTROL!$C$42, 13.5151, 13.5151) * CHOOSE(CONTROL!$C$21, $C$9, 100%, $E$9)</f>
        <v>13.5151</v>
      </c>
      <c r="L458" s="10">
        <f>CHOOSE(CONTROL!$C$42, 14.3967, 14.3967) * CHOOSE(CONTROL!$C$21, $C$9, 100%, $E$9)</f>
        <v>14.396699999999999</v>
      </c>
      <c r="M458" s="10">
        <f>CHOOSE(CONTROL!$C$42, 13.6078, 13.6078) * CHOOSE(CONTROL!$C$21, $C$9, 100%, $E$9)</f>
        <v>13.607799999999999</v>
      </c>
      <c r="N458" s="10">
        <f>CHOOSE(CONTROL!$C$42, 13.6261, 13.6261) * CHOOSE(CONTROL!$C$21, $C$9, 100%, $E$9)</f>
        <v>13.626099999999999</v>
      </c>
      <c r="O458" s="10">
        <f>CHOOSE(CONTROL!$C$42, 13.6841, 13.6841) * CHOOSE(CONTROL!$C$21, $C$9, 100%, $E$9)</f>
        <v>13.684100000000001</v>
      </c>
      <c r="P458" s="10">
        <f>CHOOSE(CONTROL!$C$42, 13.6269, 13.6269) * CHOOSE(CONTROL!$C$21, $C$9, 100%, $E$9)</f>
        <v>13.626899999999999</v>
      </c>
      <c r="Q458" s="10">
        <f>CHOOSE(CONTROL!$C$42, 14.2794, 14.2794) * CHOOSE(CONTROL!$C$21, $C$9, 100%, $E$9)</f>
        <v>14.279400000000001</v>
      </c>
      <c r="R458" s="10">
        <f>CHOOSE(CONTROL!$C$42, 14.9021, 14.9021) * CHOOSE(CONTROL!$C$21, $C$9, 100%, $E$9)</f>
        <v>14.902100000000001</v>
      </c>
      <c r="S458" s="10">
        <f>CHOOSE(CONTROL!$C$42, 13.3576, 13.3576) * CHOOSE(CONTROL!$C$21, $C$9, 100%, $E$9)</f>
        <v>13.3576</v>
      </c>
      <c r="T4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38">
        <f>(1000*CHOOSE(CONTROL!$C$42, 695, 695)*CHOOSE(CONTROL!$C$42, 0.5599, 0.5599)*CHOOSE(CONTROL!$C$42, 28, 28))/1000000</f>
        <v>10.895653999999999</v>
      </c>
      <c r="V458" s="38">
        <f>(1000*CHOOSE(CONTROL!$C$42, 500, 500)*CHOOSE(CONTROL!$C$42, 0.275, 0.275)*CHOOSE(CONTROL!$C$42, 28, 28))/1000000</f>
        <v>3.85</v>
      </c>
      <c r="W458" s="38">
        <f>(1000*CHOOSE(CONTROL!$C$42, 0.1146, 0.1146)*CHOOSE(CONTROL!$C$42, 121.5, 121.5)*CHOOSE(CONTROL!$C$42, 28, 28))/1000000</f>
        <v>0.38986920000000003</v>
      </c>
      <c r="X458" s="38">
        <f>(28*0.1790888*100000/1000000)+(28*0.2374*100000/1000000)</f>
        <v>1.16616864</v>
      </c>
      <c r="Y458" s="38">
        <f>(1000*600*CHOOSE(CONTROL!$C$42, 1.0757, 1.0757)*CHOOSE(CONTROL!$C$42, 28, 28))/1000000</f>
        <v>18.071760000000005</v>
      </c>
      <c r="Z458" s="38"/>
      <c r="AA458" s="10"/>
      <c r="AB458" s="39"/>
      <c r="AC458" s="33">
        <f>(B458*122.58+C458*297.941+D458*89.177+E458*40.302+F458*40+G458*160+H458*0+I458*100+J458*300)/(122.58+297.941+89.177+40.302+0+40+160+100+300)</f>
        <v>13.755594609652174</v>
      </c>
      <c r="AD458" s="27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13.646183453237409</v>
      </c>
    </row>
    <row r="459" spans="1:30" ht="15.75" x14ac:dyDescent="0.25">
      <c r="A459" s="14">
        <v>55243</v>
      </c>
      <c r="B459" s="10">
        <f>CHOOSE(CONTROL!$C$42, 13.3668, 13.3668) * CHOOSE(CONTROL!$C$21, $C$9, 100%, $E$9)</f>
        <v>13.3668</v>
      </c>
      <c r="C459" s="10">
        <f>CHOOSE(CONTROL!$C$42, 13.3717, 13.3717) * CHOOSE(CONTROL!$C$21, $C$9, 100%, $E$9)</f>
        <v>13.371700000000001</v>
      </c>
      <c r="D459" s="10">
        <f>CHOOSE(CONTROL!$C$42, 13.3962, 13.3962) * CHOOSE(CONTROL!$C$21, $C$9, 100%, $E$9)</f>
        <v>13.3962</v>
      </c>
      <c r="E459" s="10">
        <f>CHOOSE(CONTROL!$C$42, 13.43, 13.43) * CHOOSE(CONTROL!$C$21, $C$9, 100%, $E$9)</f>
        <v>13.43</v>
      </c>
      <c r="F459" s="10">
        <f>CHOOSE(CONTROL!$C$42, 13.3475, 13.3475)*CHOOSE(CONTROL!$C$21, $C$9, 100%, $E$9)</f>
        <v>13.3475</v>
      </c>
      <c r="G459" s="10">
        <f>CHOOSE(CONTROL!$C$42, 13.3656, 13.3656)*CHOOSE(CONTROL!$C$21, $C$9, 100%, $E$9)</f>
        <v>13.365600000000001</v>
      </c>
      <c r="H459" s="10">
        <f>CHOOSE(CONTROL!$C$42, 13.4192, 13.4192) * CHOOSE(CONTROL!$C$21, $C$9, 100%, $E$9)</f>
        <v>13.4192</v>
      </c>
      <c r="I459" s="10">
        <f>CHOOSE(CONTROL!$C$42, 13.3613, 13.3613)* CHOOSE(CONTROL!$C$21, $C$9, 100%, $E$9)</f>
        <v>13.3613</v>
      </c>
      <c r="J459" s="10">
        <f>CHOOSE(CONTROL!$C$42, 13.3405, 13.3405)* CHOOSE(CONTROL!$C$21, $C$9, 100%, $E$9)</f>
        <v>13.3405</v>
      </c>
      <c r="K459" s="10">
        <f>CHOOSE(CONTROL!$C$42, 13.1323, 13.1323) * CHOOSE(CONTROL!$C$21, $C$9, 100%, $E$9)</f>
        <v>13.132300000000001</v>
      </c>
      <c r="L459" s="10">
        <f>CHOOSE(CONTROL!$C$42, 14.0062, 14.0062) * CHOOSE(CONTROL!$C$21, $C$9, 100%, $E$9)</f>
        <v>14.0062</v>
      </c>
      <c r="M459" s="10">
        <f>CHOOSE(CONTROL!$C$42, 13.2197, 13.2197) * CHOOSE(CONTROL!$C$21, $C$9, 100%, $E$9)</f>
        <v>13.2197</v>
      </c>
      <c r="N459" s="10">
        <f>CHOOSE(CONTROL!$C$42, 13.2376, 13.2376) * CHOOSE(CONTROL!$C$21, $C$9, 100%, $E$9)</f>
        <v>13.2376</v>
      </c>
      <c r="O459" s="10">
        <f>CHOOSE(CONTROL!$C$42, 13.2976, 13.2976) * CHOOSE(CONTROL!$C$21, $C$9, 100%, $E$9)</f>
        <v>13.297599999999999</v>
      </c>
      <c r="P459" s="10">
        <f>CHOOSE(CONTROL!$C$42, 13.2403, 13.2403) * CHOOSE(CONTROL!$C$21, $C$9, 100%, $E$9)</f>
        <v>13.2403</v>
      </c>
      <c r="Q459" s="10">
        <f>CHOOSE(CONTROL!$C$42, 13.8929, 13.8929) * CHOOSE(CONTROL!$C$21, $C$9, 100%, $E$9)</f>
        <v>13.892899999999999</v>
      </c>
      <c r="R459" s="10">
        <f>CHOOSE(CONTROL!$C$42, 14.5146, 14.5146) * CHOOSE(CONTROL!$C$21, $C$9, 100%, $E$9)</f>
        <v>14.5146</v>
      </c>
      <c r="S459" s="10">
        <f>CHOOSE(CONTROL!$C$42, 12.9784, 12.9784) * CHOOSE(CONTROL!$C$21, $C$9, 100%, $E$9)</f>
        <v>12.978400000000001</v>
      </c>
      <c r="T4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38">
        <f>(1000*CHOOSE(CONTROL!$C$42, 695, 695)*CHOOSE(CONTROL!$C$42, 0.5599, 0.5599)*CHOOSE(CONTROL!$C$42, 31, 31))/1000000</f>
        <v>12.063045499999998</v>
      </c>
      <c r="V459" s="38">
        <f>(1000*CHOOSE(CONTROL!$C$42, 500, 500)*CHOOSE(CONTROL!$C$42, 0.275, 0.275)*CHOOSE(CONTROL!$C$42, 31, 31))/1000000</f>
        <v>4.2625000000000002</v>
      </c>
      <c r="W459" s="38">
        <f>(1000*CHOOSE(CONTROL!$C$42, 0.1146, 0.1146)*CHOOSE(CONTROL!$C$42, 121.5, 121.5)*CHOOSE(CONTROL!$C$42, 31, 31))/1000000</f>
        <v>0.43164089999999994</v>
      </c>
      <c r="X459" s="38">
        <f>(31*0.1790888*100000/1000000)+(31*0.2374*100000/1000000)</f>
        <v>1.2911152800000001</v>
      </c>
      <c r="Y459" s="38">
        <f>(1000*600*CHOOSE(CONTROL!$C$42, 1.0757, 1.0757)*CHOOSE(CONTROL!$C$42, 31, 31))/1000000</f>
        <v>20.008020000000005</v>
      </c>
      <c r="Z459" s="38"/>
      <c r="AA459" s="10"/>
      <c r="AB459" s="39"/>
      <c r="AC459" s="33">
        <f>(B459*122.58+C459*297.941+D459*89.177+E459*40.302+F459*40+G459*160+H459*0+I459*100+J459*300)/(122.58+297.941+89.177+40.302+0+40+160+100+300)</f>
        <v>13.364386783565216</v>
      </c>
      <c r="AD459" s="27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13.259001438848919</v>
      </c>
    </row>
    <row r="460" spans="1:30" ht="15.75" x14ac:dyDescent="0.25">
      <c r="A460" s="14">
        <v>55273</v>
      </c>
      <c r="B460" s="10">
        <f>CHOOSE(CONTROL!$C$42, 13.3276, 13.3276) * CHOOSE(CONTROL!$C$21, $C$9, 100%, $E$9)</f>
        <v>13.3276</v>
      </c>
      <c r="C460" s="10">
        <f>CHOOSE(CONTROL!$C$42, 13.3319, 13.3319) * CHOOSE(CONTROL!$C$21, $C$9, 100%, $E$9)</f>
        <v>13.331899999999999</v>
      </c>
      <c r="D460" s="10">
        <f>CHOOSE(CONTROL!$C$42, 13.5121, 13.5121) * CHOOSE(CONTROL!$C$21, $C$9, 100%, $E$9)</f>
        <v>13.5121</v>
      </c>
      <c r="E460" s="10">
        <f>CHOOSE(CONTROL!$C$42, 13.5438, 13.5438) * CHOOSE(CONTROL!$C$21, $C$9, 100%, $E$9)</f>
        <v>13.543799999999999</v>
      </c>
      <c r="F460" s="10">
        <f>CHOOSE(CONTROL!$C$42, 13.2929, 13.2929)*CHOOSE(CONTROL!$C$21, $C$9, 100%, $E$9)</f>
        <v>13.292899999999999</v>
      </c>
      <c r="G460" s="10">
        <f>CHOOSE(CONTROL!$C$42, 13.3091, 13.3091)*CHOOSE(CONTROL!$C$21, $C$9, 100%, $E$9)</f>
        <v>13.309100000000001</v>
      </c>
      <c r="H460" s="10">
        <f>CHOOSE(CONTROL!$C$42, 13.5336, 13.5336) * CHOOSE(CONTROL!$C$21, $C$9, 100%, $E$9)</f>
        <v>13.5336</v>
      </c>
      <c r="I460" s="10">
        <f>CHOOSE(CONTROL!$C$42, 13.3135, 13.3135)* CHOOSE(CONTROL!$C$21, $C$9, 100%, $E$9)</f>
        <v>13.313499999999999</v>
      </c>
      <c r="J460" s="10">
        <f>CHOOSE(CONTROL!$C$42, 13.2859, 13.2859)* CHOOSE(CONTROL!$C$21, $C$9, 100%, $E$9)</f>
        <v>13.2859</v>
      </c>
      <c r="K460" s="10">
        <f>CHOOSE(CONTROL!$C$42, 13.0709, 13.0709) * CHOOSE(CONTROL!$C$21, $C$9, 100%, $E$9)</f>
        <v>13.0709</v>
      </c>
      <c r="L460" s="10">
        <f>CHOOSE(CONTROL!$C$42, 14.1206, 14.1206) * CHOOSE(CONTROL!$C$21, $C$9, 100%, $E$9)</f>
        <v>14.1206</v>
      </c>
      <c r="M460" s="10">
        <f>CHOOSE(CONTROL!$C$42, 13.1656, 13.1656) * CHOOSE(CONTROL!$C$21, $C$9, 100%, $E$9)</f>
        <v>13.1656</v>
      </c>
      <c r="N460" s="10">
        <f>CHOOSE(CONTROL!$C$42, 13.1817, 13.1817) * CHOOSE(CONTROL!$C$21, $C$9, 100%, $E$9)</f>
        <v>13.181699999999999</v>
      </c>
      <c r="O460" s="10">
        <f>CHOOSE(CONTROL!$C$42, 13.4109, 13.4109) * CHOOSE(CONTROL!$C$21, $C$9, 100%, $E$9)</f>
        <v>13.4109</v>
      </c>
      <c r="P460" s="10">
        <f>CHOOSE(CONTROL!$C$42, 13.1931, 13.1931) * CHOOSE(CONTROL!$C$21, $C$9, 100%, $E$9)</f>
        <v>13.193099999999999</v>
      </c>
      <c r="Q460" s="10">
        <f>CHOOSE(CONTROL!$C$42, 14.0062, 14.0062) * CHOOSE(CONTROL!$C$21, $C$9, 100%, $E$9)</f>
        <v>14.0062</v>
      </c>
      <c r="R460" s="10">
        <f>CHOOSE(CONTROL!$C$42, 14.6282, 14.6282) * CHOOSE(CONTROL!$C$21, $C$9, 100%, $E$9)</f>
        <v>14.6282</v>
      </c>
      <c r="S460" s="10">
        <f>CHOOSE(CONTROL!$C$42, 12.9395, 12.9395) * CHOOSE(CONTROL!$C$21, $C$9, 100%, $E$9)</f>
        <v>12.939500000000001</v>
      </c>
      <c r="T4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38">
        <f>(1000*CHOOSE(CONTROL!$C$42, 695, 695)*CHOOSE(CONTROL!$C$42, 0.5599, 0.5599)*CHOOSE(CONTROL!$C$42, 30, 30))/1000000</f>
        <v>11.673914999999997</v>
      </c>
      <c r="V460" s="38">
        <f>(1000*CHOOSE(CONTROL!$C$42, 500, 500)*CHOOSE(CONTROL!$C$42, 0.275, 0.275)*CHOOSE(CONTROL!$C$42, 30, 30))/1000000</f>
        <v>4.125</v>
      </c>
      <c r="W460" s="38">
        <f>(1000*CHOOSE(CONTROL!$C$42, 0.1146, 0.1146)*CHOOSE(CONTROL!$C$42, 121.5, 121.5)*CHOOSE(CONTROL!$C$42, 30, 30))/1000000</f>
        <v>0.417717</v>
      </c>
      <c r="X460" s="38">
        <f>(30*0.1790888*245000/1000000)+(30*0.2374*100000/1000000)</f>
        <v>2.0285026799999999</v>
      </c>
      <c r="Y460" s="38">
        <f>(1000*600*CHOOSE(CONTROL!$C$42, 1.0757, 1.0757)*CHOOSE(CONTROL!$C$42, 30, 30))/1000000</f>
        <v>19.362600000000004</v>
      </c>
      <c r="Z460" s="38"/>
      <c r="AA460" s="10"/>
      <c r="AB460" s="39"/>
      <c r="AC460" s="33">
        <f>(B460*141.293+C460*267.993+D460*115.016+E460*89.698+F460*40+G460*185+H460*0+I460*100+J460*300)/(141.293+267.993+115.016+89.698+0+40+185+100+300)</f>
        <v>13.346191629943503</v>
      </c>
      <c r="AD460" s="27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13.242088489208633</v>
      </c>
    </row>
    <row r="461" spans="1:30" ht="15.75" x14ac:dyDescent="0.25">
      <c r="A461" s="14">
        <v>55304</v>
      </c>
      <c r="B461" s="10">
        <f>CHOOSE(CONTROL!$C$42, 13.4469, 13.4469) * CHOOSE(CONTROL!$C$21, $C$9, 100%, $E$9)</f>
        <v>13.446899999999999</v>
      </c>
      <c r="C461" s="10">
        <f>CHOOSE(CONTROL!$C$42, 13.4549, 13.4549) * CHOOSE(CONTROL!$C$21, $C$9, 100%, $E$9)</f>
        <v>13.4549</v>
      </c>
      <c r="D461" s="10">
        <f>CHOOSE(CONTROL!$C$42, 13.6318, 13.6318) * CHOOSE(CONTROL!$C$21, $C$9, 100%, $E$9)</f>
        <v>13.6318</v>
      </c>
      <c r="E461" s="10">
        <f>CHOOSE(CONTROL!$C$42, 13.663, 13.663) * CHOOSE(CONTROL!$C$21, $C$9, 100%, $E$9)</f>
        <v>13.663</v>
      </c>
      <c r="F461" s="10">
        <f>CHOOSE(CONTROL!$C$42, 13.4103, 13.4103)*CHOOSE(CONTROL!$C$21, $C$9, 100%, $E$9)</f>
        <v>13.410299999999999</v>
      </c>
      <c r="G461" s="10">
        <f>CHOOSE(CONTROL!$C$42, 13.4268, 13.4268)*CHOOSE(CONTROL!$C$21, $C$9, 100%, $E$9)</f>
        <v>13.4268</v>
      </c>
      <c r="H461" s="10">
        <f>CHOOSE(CONTROL!$C$42, 13.6516, 13.6516) * CHOOSE(CONTROL!$C$21, $C$9, 100%, $E$9)</f>
        <v>13.6516</v>
      </c>
      <c r="I461" s="10">
        <f>CHOOSE(CONTROL!$C$42, 13.4315, 13.4315)* CHOOSE(CONTROL!$C$21, $C$9, 100%, $E$9)</f>
        <v>13.4315</v>
      </c>
      <c r="J461" s="10">
        <f>CHOOSE(CONTROL!$C$42, 13.4033, 13.4033)* CHOOSE(CONTROL!$C$21, $C$9, 100%, $E$9)</f>
        <v>13.4033</v>
      </c>
      <c r="K461" s="10">
        <f>CHOOSE(CONTROL!$C$42, 13.1843, 13.1843) * CHOOSE(CONTROL!$C$21, $C$9, 100%, $E$9)</f>
        <v>13.1843</v>
      </c>
      <c r="L461" s="10">
        <f>CHOOSE(CONTROL!$C$42, 14.2386, 14.2386) * CHOOSE(CONTROL!$C$21, $C$9, 100%, $E$9)</f>
        <v>14.2386</v>
      </c>
      <c r="M461" s="10">
        <f>CHOOSE(CONTROL!$C$42, 13.2819, 13.2819) * CHOOSE(CONTROL!$C$21, $C$9, 100%, $E$9)</f>
        <v>13.2819</v>
      </c>
      <c r="N461" s="10">
        <f>CHOOSE(CONTROL!$C$42, 13.2982, 13.2982) * CHOOSE(CONTROL!$C$21, $C$9, 100%, $E$9)</f>
        <v>13.2982</v>
      </c>
      <c r="O461" s="10">
        <f>CHOOSE(CONTROL!$C$42, 13.5277, 13.5277) * CHOOSE(CONTROL!$C$21, $C$9, 100%, $E$9)</f>
        <v>13.527699999999999</v>
      </c>
      <c r="P461" s="10">
        <f>CHOOSE(CONTROL!$C$42, 13.3099, 13.3099) * CHOOSE(CONTROL!$C$21, $C$9, 100%, $E$9)</f>
        <v>13.309900000000001</v>
      </c>
      <c r="Q461" s="10">
        <f>CHOOSE(CONTROL!$C$42, 14.123, 14.123) * CHOOSE(CONTROL!$C$21, $C$9, 100%, $E$9)</f>
        <v>14.122999999999999</v>
      </c>
      <c r="R461" s="10">
        <f>CHOOSE(CONTROL!$C$42, 14.7453, 14.7453) * CHOOSE(CONTROL!$C$21, $C$9, 100%, $E$9)</f>
        <v>14.7453</v>
      </c>
      <c r="S461" s="10">
        <f>CHOOSE(CONTROL!$C$42, 13.0541, 13.0541) * CHOOSE(CONTROL!$C$21, $C$9, 100%, $E$9)</f>
        <v>13.0541</v>
      </c>
      <c r="T4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38">
        <f>(1000*CHOOSE(CONTROL!$C$42, 695, 695)*CHOOSE(CONTROL!$C$42, 0.5599, 0.5599)*CHOOSE(CONTROL!$C$42, 31, 31))/1000000</f>
        <v>12.063045499999998</v>
      </c>
      <c r="V461" s="38">
        <f>(1000*CHOOSE(CONTROL!$C$42, 500, 500)*CHOOSE(CONTROL!$C$42, 0.275, 0.275)*CHOOSE(CONTROL!$C$42, 31, 31))/1000000</f>
        <v>4.2625000000000002</v>
      </c>
      <c r="W461" s="38">
        <f>(1000*CHOOSE(CONTROL!$C$42, 0.1146, 0.1146)*CHOOSE(CONTROL!$C$42, 121.5, 121.5)*CHOOSE(CONTROL!$C$42, 31, 31))/1000000</f>
        <v>0.43164089999999994</v>
      </c>
      <c r="X461" s="38">
        <f>(31*0.1790888*245000/1000000)+(31*0.2374*100000/1000000)</f>
        <v>2.0961194359999999</v>
      </c>
      <c r="Y461" s="38">
        <f>(1000*600*CHOOSE(CONTROL!$C$42, 1.0757, 1.0757)*CHOOSE(CONTROL!$C$42, 31, 31))/1000000</f>
        <v>20.008020000000005</v>
      </c>
      <c r="Z461" s="38"/>
      <c r="AA461" s="10"/>
      <c r="AB461" s="39"/>
      <c r="AC461" s="33">
        <f>(B461*194.205+C461*267.466+D461*133.845+E461*53.484+F461*40+G461*185+H461*0+I461*100+J461*300)/(194.205+267.466+133.845+53.484+0+40+185+100+300)</f>
        <v>13.461533485792778</v>
      </c>
      <c r="AD461" s="27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13.358646762589927</v>
      </c>
    </row>
    <row r="462" spans="1:30" ht="15.75" x14ac:dyDescent="0.25">
      <c r="A462" s="14">
        <v>55334</v>
      </c>
      <c r="B462" s="10">
        <f>CHOOSE(CONTROL!$C$42, 13.8282, 13.8282) * CHOOSE(CONTROL!$C$21, $C$9, 100%, $E$9)</f>
        <v>13.828200000000001</v>
      </c>
      <c r="C462" s="10">
        <f>CHOOSE(CONTROL!$C$42, 13.8361, 13.8361) * CHOOSE(CONTROL!$C$21, $C$9, 100%, $E$9)</f>
        <v>13.8361</v>
      </c>
      <c r="D462" s="10">
        <f>CHOOSE(CONTROL!$C$42, 14.0131, 14.0131) * CHOOSE(CONTROL!$C$21, $C$9, 100%, $E$9)</f>
        <v>14.0131</v>
      </c>
      <c r="E462" s="10">
        <f>CHOOSE(CONTROL!$C$42, 14.0443, 14.0443) * CHOOSE(CONTROL!$C$21, $C$9, 100%, $E$9)</f>
        <v>14.0443</v>
      </c>
      <c r="F462" s="10">
        <f>CHOOSE(CONTROL!$C$42, 13.7918, 13.7918)*CHOOSE(CONTROL!$C$21, $C$9, 100%, $E$9)</f>
        <v>13.7918</v>
      </c>
      <c r="G462" s="10">
        <f>CHOOSE(CONTROL!$C$42, 13.8083, 13.8083)*CHOOSE(CONTROL!$C$21, $C$9, 100%, $E$9)</f>
        <v>13.808299999999999</v>
      </c>
      <c r="H462" s="10">
        <f>CHOOSE(CONTROL!$C$42, 14.0329, 14.0329) * CHOOSE(CONTROL!$C$21, $C$9, 100%, $E$9)</f>
        <v>14.0329</v>
      </c>
      <c r="I462" s="10">
        <f>CHOOSE(CONTROL!$C$42, 13.8128, 13.8128)* CHOOSE(CONTROL!$C$21, $C$9, 100%, $E$9)</f>
        <v>13.812799999999999</v>
      </c>
      <c r="J462" s="10">
        <f>CHOOSE(CONTROL!$C$42, 13.7848, 13.7848)* CHOOSE(CONTROL!$C$21, $C$9, 100%, $E$9)</f>
        <v>13.784800000000001</v>
      </c>
      <c r="K462" s="10">
        <f>CHOOSE(CONTROL!$C$42, 13.5552, 13.5552) * CHOOSE(CONTROL!$C$21, $C$9, 100%, $E$9)</f>
        <v>13.555199999999999</v>
      </c>
      <c r="L462" s="10">
        <f>CHOOSE(CONTROL!$C$42, 14.6199, 14.6199) * CHOOSE(CONTROL!$C$21, $C$9, 100%, $E$9)</f>
        <v>14.619899999999999</v>
      </c>
      <c r="M462" s="10">
        <f>CHOOSE(CONTROL!$C$42, 13.6595, 13.6595) * CHOOSE(CONTROL!$C$21, $C$9, 100%, $E$9)</f>
        <v>13.6595</v>
      </c>
      <c r="N462" s="10">
        <f>CHOOSE(CONTROL!$C$42, 13.6758, 13.6758) * CHOOSE(CONTROL!$C$21, $C$9, 100%, $E$9)</f>
        <v>13.675800000000001</v>
      </c>
      <c r="O462" s="10">
        <f>CHOOSE(CONTROL!$C$42, 13.9051, 13.9051) * CHOOSE(CONTROL!$C$21, $C$9, 100%, $E$9)</f>
        <v>13.905099999999999</v>
      </c>
      <c r="P462" s="10">
        <f>CHOOSE(CONTROL!$C$42, 13.6873, 13.6873) * CHOOSE(CONTROL!$C$21, $C$9, 100%, $E$9)</f>
        <v>13.6873</v>
      </c>
      <c r="Q462" s="10">
        <f>CHOOSE(CONTROL!$C$42, 14.5004, 14.5004) * CHOOSE(CONTROL!$C$21, $C$9, 100%, $E$9)</f>
        <v>14.500400000000001</v>
      </c>
      <c r="R462" s="10">
        <f>CHOOSE(CONTROL!$C$42, 15.1237, 15.1237) * CHOOSE(CONTROL!$C$21, $C$9, 100%, $E$9)</f>
        <v>15.123699999999999</v>
      </c>
      <c r="S462" s="10">
        <f>CHOOSE(CONTROL!$C$42, 13.4243, 13.4243) * CHOOSE(CONTROL!$C$21, $C$9, 100%, $E$9)</f>
        <v>13.424300000000001</v>
      </c>
      <c r="T4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38">
        <f>(1000*CHOOSE(CONTROL!$C$42, 695, 695)*CHOOSE(CONTROL!$C$42, 0.5599, 0.5599)*CHOOSE(CONTROL!$C$42, 30, 30))/1000000</f>
        <v>11.673914999999997</v>
      </c>
      <c r="V462" s="38">
        <f>(1000*CHOOSE(CONTROL!$C$42, 500, 500)*CHOOSE(CONTROL!$C$42, 0.275, 0.275)*CHOOSE(CONTROL!$C$42, 30, 30))/1000000</f>
        <v>4.125</v>
      </c>
      <c r="W462" s="38">
        <f>(1000*CHOOSE(CONTROL!$C$42, 0.1146, 0.1146)*CHOOSE(CONTROL!$C$42, 121.5, 121.5)*CHOOSE(CONTROL!$C$42, 30, 30))/1000000</f>
        <v>0.417717</v>
      </c>
      <c r="X462" s="38">
        <f>(30*0.1790888*245000/1000000)+(30*0.2374*100000/1000000)</f>
        <v>2.0285026799999999</v>
      </c>
      <c r="Y462" s="38">
        <f>(1000*600*CHOOSE(CONTROL!$C$42, 1.0757, 1.0757)*CHOOSE(CONTROL!$C$42, 30, 30))/1000000</f>
        <v>19.362600000000004</v>
      </c>
      <c r="Z462" s="38"/>
      <c r="AA462" s="10"/>
      <c r="AB462" s="39"/>
      <c r="AC462" s="33">
        <f>(B462*194.205+C462*267.466+D462*133.845+E462*53.484+F462*40+G462*185+H462*0+I462*100+J462*300)/(194.205+267.466+133.845+53.484+0+40+185+100+300)</f>
        <v>13.842894909183675</v>
      </c>
      <c r="AD462" s="27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13.736161870503597</v>
      </c>
    </row>
    <row r="463" spans="1:30" ht="15.75" x14ac:dyDescent="0.25">
      <c r="A463" s="14">
        <v>55365</v>
      </c>
      <c r="B463" s="10">
        <f>CHOOSE(CONTROL!$C$42, 13.563, 13.563) * CHOOSE(CONTROL!$C$21, $C$9, 100%, $E$9)</f>
        <v>13.563000000000001</v>
      </c>
      <c r="C463" s="10">
        <f>CHOOSE(CONTROL!$C$42, 13.571, 13.571) * CHOOSE(CONTROL!$C$21, $C$9, 100%, $E$9)</f>
        <v>13.571</v>
      </c>
      <c r="D463" s="10">
        <f>CHOOSE(CONTROL!$C$42, 13.7479, 13.7479) * CHOOSE(CONTROL!$C$21, $C$9, 100%, $E$9)</f>
        <v>13.7479</v>
      </c>
      <c r="E463" s="10">
        <f>CHOOSE(CONTROL!$C$42, 13.7791, 13.7791) * CHOOSE(CONTROL!$C$21, $C$9, 100%, $E$9)</f>
        <v>13.7791</v>
      </c>
      <c r="F463" s="10">
        <f>CHOOSE(CONTROL!$C$42, 13.5268, 13.5268)*CHOOSE(CONTROL!$C$21, $C$9, 100%, $E$9)</f>
        <v>13.5268</v>
      </c>
      <c r="G463" s="10">
        <f>CHOOSE(CONTROL!$C$42, 13.5434, 13.5434)*CHOOSE(CONTROL!$C$21, $C$9, 100%, $E$9)</f>
        <v>13.5434</v>
      </c>
      <c r="H463" s="10">
        <f>CHOOSE(CONTROL!$C$42, 13.7677, 13.7677) * CHOOSE(CONTROL!$C$21, $C$9, 100%, $E$9)</f>
        <v>13.7677</v>
      </c>
      <c r="I463" s="10">
        <f>CHOOSE(CONTROL!$C$42, 13.5476, 13.5476)* CHOOSE(CONTROL!$C$21, $C$9, 100%, $E$9)</f>
        <v>13.547599999999999</v>
      </c>
      <c r="J463" s="10">
        <f>CHOOSE(CONTROL!$C$42, 13.5198, 13.5198)* CHOOSE(CONTROL!$C$21, $C$9, 100%, $E$9)</f>
        <v>13.5198</v>
      </c>
      <c r="K463" s="10">
        <f>CHOOSE(CONTROL!$C$42, 13.2981, 13.2981) * CHOOSE(CONTROL!$C$21, $C$9, 100%, $E$9)</f>
        <v>13.2981</v>
      </c>
      <c r="L463" s="10">
        <f>CHOOSE(CONTROL!$C$42, 14.3547, 14.3547) * CHOOSE(CONTROL!$C$21, $C$9, 100%, $E$9)</f>
        <v>14.354699999999999</v>
      </c>
      <c r="M463" s="10">
        <f>CHOOSE(CONTROL!$C$42, 13.3972, 13.3972) * CHOOSE(CONTROL!$C$21, $C$9, 100%, $E$9)</f>
        <v>13.3972</v>
      </c>
      <c r="N463" s="10">
        <f>CHOOSE(CONTROL!$C$42, 13.4137, 13.4137) * CHOOSE(CONTROL!$C$21, $C$9, 100%, $E$9)</f>
        <v>13.4137</v>
      </c>
      <c r="O463" s="10">
        <f>CHOOSE(CONTROL!$C$42, 13.6426, 13.6426) * CHOOSE(CONTROL!$C$21, $C$9, 100%, $E$9)</f>
        <v>13.6426</v>
      </c>
      <c r="P463" s="10">
        <f>CHOOSE(CONTROL!$C$42, 13.4248, 13.4248) * CHOOSE(CONTROL!$C$21, $C$9, 100%, $E$9)</f>
        <v>13.424799999999999</v>
      </c>
      <c r="Q463" s="10">
        <f>CHOOSE(CONTROL!$C$42, 14.2379, 14.2379) * CHOOSE(CONTROL!$C$21, $C$9, 100%, $E$9)</f>
        <v>14.2379</v>
      </c>
      <c r="R463" s="10">
        <f>CHOOSE(CONTROL!$C$42, 14.8605, 14.8605) * CHOOSE(CONTROL!$C$21, $C$9, 100%, $E$9)</f>
        <v>14.8605</v>
      </c>
      <c r="S463" s="10">
        <f>CHOOSE(CONTROL!$C$42, 13.1668, 13.1668) * CHOOSE(CONTROL!$C$21, $C$9, 100%, $E$9)</f>
        <v>13.1668</v>
      </c>
      <c r="T4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38">
        <f>(1000*CHOOSE(CONTROL!$C$42, 695, 695)*CHOOSE(CONTROL!$C$42, 0.5599, 0.5599)*CHOOSE(CONTROL!$C$42, 31, 31))/1000000</f>
        <v>12.063045499999998</v>
      </c>
      <c r="V463" s="38">
        <f>(1000*CHOOSE(CONTROL!$C$42, 500, 500)*CHOOSE(CONTROL!$C$42, 0.275, 0.275)*CHOOSE(CONTROL!$C$42, 31, 31))/1000000</f>
        <v>4.2625000000000002</v>
      </c>
      <c r="W463" s="38">
        <f>(1000*CHOOSE(CONTROL!$C$42, 0.1146, 0.1146)*CHOOSE(CONTROL!$C$42, 121.5, 121.5)*CHOOSE(CONTROL!$C$42, 31, 31))/1000000</f>
        <v>0.43164089999999994</v>
      </c>
      <c r="X463" s="38">
        <f>(31*0.1790888*245000/1000000)+(31*0.2374*100000/1000000)</f>
        <v>2.0961194359999999</v>
      </c>
      <c r="Y463" s="38">
        <f>(1000*600*CHOOSE(CONTROL!$C$42, 1.0757, 1.0757)*CHOOSE(CONTROL!$C$42, 31, 31))/1000000</f>
        <v>20.008020000000005</v>
      </c>
      <c r="Z463" s="38"/>
      <c r="AA463" s="10"/>
      <c r="AB463" s="39"/>
      <c r="AC463" s="33">
        <f>(B463*194.205+C463*267.466+D463*133.845+E463*53.484+F463*40+G463*185+H463*0+I463*100+J463*300)/(194.205+267.466+133.845+53.484+0+40+185+100+300)</f>
        <v>13.577812842150708</v>
      </c>
      <c r="AD463" s="27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13.473823021582735</v>
      </c>
    </row>
    <row r="464" spans="1:30" ht="15.75" x14ac:dyDescent="0.25">
      <c r="A464" s="14">
        <v>55396</v>
      </c>
      <c r="B464" s="10">
        <f>CHOOSE(CONTROL!$C$42, 12.8934, 12.8934) * CHOOSE(CONTROL!$C$21, $C$9, 100%, $E$9)</f>
        <v>12.8934</v>
      </c>
      <c r="C464" s="10">
        <f>CHOOSE(CONTROL!$C$42, 12.9013, 12.9013) * CHOOSE(CONTROL!$C$21, $C$9, 100%, $E$9)</f>
        <v>12.901300000000001</v>
      </c>
      <c r="D464" s="10">
        <f>CHOOSE(CONTROL!$C$42, 13.0783, 13.0783) * CHOOSE(CONTROL!$C$21, $C$9, 100%, $E$9)</f>
        <v>13.0783</v>
      </c>
      <c r="E464" s="10">
        <f>CHOOSE(CONTROL!$C$42, 13.1094, 13.1094) * CHOOSE(CONTROL!$C$21, $C$9, 100%, $E$9)</f>
        <v>13.109400000000001</v>
      </c>
      <c r="F464" s="10">
        <f>CHOOSE(CONTROL!$C$42, 12.8572, 12.8572)*CHOOSE(CONTROL!$C$21, $C$9, 100%, $E$9)</f>
        <v>12.857200000000001</v>
      </c>
      <c r="G464" s="10">
        <f>CHOOSE(CONTROL!$C$42, 12.8738, 12.8738)*CHOOSE(CONTROL!$C$21, $C$9, 100%, $E$9)</f>
        <v>12.873799999999999</v>
      </c>
      <c r="H464" s="10">
        <f>CHOOSE(CONTROL!$C$42, 13.098, 13.098) * CHOOSE(CONTROL!$C$21, $C$9, 100%, $E$9)</f>
        <v>13.098000000000001</v>
      </c>
      <c r="I464" s="10">
        <f>CHOOSE(CONTROL!$C$42, 12.878, 12.878)* CHOOSE(CONTROL!$C$21, $C$9, 100%, $E$9)</f>
        <v>12.878</v>
      </c>
      <c r="J464" s="10">
        <f>CHOOSE(CONTROL!$C$42, 12.8502, 12.8502)* CHOOSE(CONTROL!$C$21, $C$9, 100%, $E$9)</f>
        <v>12.850199999999999</v>
      </c>
      <c r="K464" s="10">
        <f>CHOOSE(CONTROL!$C$42, 12.6475, 12.6475) * CHOOSE(CONTROL!$C$21, $C$9, 100%, $E$9)</f>
        <v>12.647500000000001</v>
      </c>
      <c r="L464" s="10">
        <f>CHOOSE(CONTROL!$C$42, 13.685, 13.685) * CHOOSE(CONTROL!$C$21, $C$9, 100%, $E$9)</f>
        <v>13.685</v>
      </c>
      <c r="M464" s="10">
        <f>CHOOSE(CONTROL!$C$42, 12.7343, 12.7343) * CHOOSE(CONTROL!$C$21, $C$9, 100%, $E$9)</f>
        <v>12.734299999999999</v>
      </c>
      <c r="N464" s="10">
        <f>CHOOSE(CONTROL!$C$42, 12.7508, 12.7508) * CHOOSE(CONTROL!$C$21, $C$9, 100%, $E$9)</f>
        <v>12.7508</v>
      </c>
      <c r="O464" s="10">
        <f>CHOOSE(CONTROL!$C$42, 12.9797, 12.9797) * CHOOSE(CONTROL!$C$21, $C$9, 100%, $E$9)</f>
        <v>12.979699999999999</v>
      </c>
      <c r="P464" s="10">
        <f>CHOOSE(CONTROL!$C$42, 12.7619, 12.7619) * CHOOSE(CONTROL!$C$21, $C$9, 100%, $E$9)</f>
        <v>12.761900000000001</v>
      </c>
      <c r="Q464" s="10">
        <f>CHOOSE(CONTROL!$C$42, 13.575, 13.575) * CHOOSE(CONTROL!$C$21, $C$9, 100%, $E$9)</f>
        <v>13.574999999999999</v>
      </c>
      <c r="R464" s="10">
        <f>CHOOSE(CONTROL!$C$42, 14.1959, 14.1959) * CHOOSE(CONTROL!$C$21, $C$9, 100%, $E$9)</f>
        <v>14.1959</v>
      </c>
      <c r="S464" s="10">
        <f>CHOOSE(CONTROL!$C$42, 12.5165, 12.5165) * CHOOSE(CONTROL!$C$21, $C$9, 100%, $E$9)</f>
        <v>12.516500000000001</v>
      </c>
      <c r="T4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38">
        <f>(1000*CHOOSE(CONTROL!$C$42, 695, 695)*CHOOSE(CONTROL!$C$42, 0.5599, 0.5599)*CHOOSE(CONTROL!$C$42, 31, 31))/1000000</f>
        <v>12.063045499999998</v>
      </c>
      <c r="V464" s="38">
        <f>(1000*CHOOSE(CONTROL!$C$42, 500, 500)*CHOOSE(CONTROL!$C$42, 0.275, 0.275)*CHOOSE(CONTROL!$C$42, 31, 31))/1000000</f>
        <v>4.2625000000000002</v>
      </c>
      <c r="W464" s="38">
        <f>(1000*CHOOSE(CONTROL!$C$42, 0.1146, 0.1146)*CHOOSE(CONTROL!$C$42, 121.5, 121.5)*CHOOSE(CONTROL!$C$42, 31, 31))/1000000</f>
        <v>0.43164089999999994</v>
      </c>
      <c r="X464" s="38">
        <f>(31*0.1790888*245000/1000000)+(31*0.2374*100000/1000000)</f>
        <v>2.0961194359999999</v>
      </c>
      <c r="Y464" s="38">
        <f>(1000*600*CHOOSE(CONTROL!$C$42, 1.0757, 1.0757)*CHOOSE(CONTROL!$C$42, 31, 31))/1000000</f>
        <v>20.008020000000005</v>
      </c>
      <c r="Z464" s="38"/>
      <c r="AA464" s="10"/>
      <c r="AB464" s="39"/>
      <c r="AC464" s="33">
        <f>(B464*194.205+C464*267.466+D464*133.845+E464*53.484+F464*40+G464*185+H464*0+I464*100+J464*300)/(194.205+267.466+133.845+53.484+0+40+185+100+300)</f>
        <v>12.908187649843017</v>
      </c>
      <c r="AD464" s="27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12.810923021582735</v>
      </c>
    </row>
    <row r="465" spans="1:30" ht="15.75" x14ac:dyDescent="0.25">
      <c r="A465" s="14">
        <v>55426</v>
      </c>
      <c r="B465" s="10">
        <f>CHOOSE(CONTROL!$C$42, 12.0751, 12.0751) * CHOOSE(CONTROL!$C$21, $C$9, 100%, $E$9)</f>
        <v>12.075100000000001</v>
      </c>
      <c r="C465" s="10">
        <f>CHOOSE(CONTROL!$C$42, 12.0831, 12.0831) * CHOOSE(CONTROL!$C$21, $C$9, 100%, $E$9)</f>
        <v>12.0831</v>
      </c>
      <c r="D465" s="10">
        <f>CHOOSE(CONTROL!$C$42, 12.2601, 12.2601) * CHOOSE(CONTROL!$C$21, $C$9, 100%, $E$9)</f>
        <v>12.2601</v>
      </c>
      <c r="E465" s="10">
        <f>CHOOSE(CONTROL!$C$42, 12.2912, 12.2912) * CHOOSE(CONTROL!$C$21, $C$9, 100%, $E$9)</f>
        <v>12.2912</v>
      </c>
      <c r="F465" s="10">
        <f>CHOOSE(CONTROL!$C$42, 12.0387, 12.0387)*CHOOSE(CONTROL!$C$21, $C$9, 100%, $E$9)</f>
        <v>12.0387</v>
      </c>
      <c r="G465" s="10">
        <f>CHOOSE(CONTROL!$C$42, 12.0553, 12.0553)*CHOOSE(CONTROL!$C$21, $C$9, 100%, $E$9)</f>
        <v>12.055300000000001</v>
      </c>
      <c r="H465" s="10">
        <f>CHOOSE(CONTROL!$C$42, 12.2798, 12.2798) * CHOOSE(CONTROL!$C$21, $C$9, 100%, $E$9)</f>
        <v>12.2798</v>
      </c>
      <c r="I465" s="10">
        <f>CHOOSE(CONTROL!$C$42, 12.0597, 12.0597)* CHOOSE(CONTROL!$C$21, $C$9, 100%, $E$9)</f>
        <v>12.059699999999999</v>
      </c>
      <c r="J465" s="10">
        <f>CHOOSE(CONTROL!$C$42, 12.0317, 12.0317)* CHOOSE(CONTROL!$C$21, $C$9, 100%, $E$9)</f>
        <v>12.031700000000001</v>
      </c>
      <c r="K465" s="10">
        <f>CHOOSE(CONTROL!$C$42, 11.852, 11.852) * CHOOSE(CONTROL!$C$21, $C$9, 100%, $E$9)</f>
        <v>11.852</v>
      </c>
      <c r="L465" s="10">
        <f>CHOOSE(CONTROL!$C$42, 12.8668, 12.8668) * CHOOSE(CONTROL!$C$21, $C$9, 100%, $E$9)</f>
        <v>12.8668</v>
      </c>
      <c r="M465" s="10">
        <f>CHOOSE(CONTROL!$C$42, 11.9241, 11.9241) * CHOOSE(CONTROL!$C$21, $C$9, 100%, $E$9)</f>
        <v>11.924099999999999</v>
      </c>
      <c r="N465" s="10">
        <f>CHOOSE(CONTROL!$C$42, 11.9405, 11.9405) * CHOOSE(CONTROL!$C$21, $C$9, 100%, $E$9)</f>
        <v>11.9405</v>
      </c>
      <c r="O465" s="10">
        <f>CHOOSE(CONTROL!$C$42, 12.1697, 12.1697) * CHOOSE(CONTROL!$C$21, $C$9, 100%, $E$9)</f>
        <v>12.169700000000001</v>
      </c>
      <c r="P465" s="10">
        <f>CHOOSE(CONTROL!$C$42, 11.9519, 11.9519) * CHOOSE(CONTROL!$C$21, $C$9, 100%, $E$9)</f>
        <v>11.9519</v>
      </c>
      <c r="Q465" s="10">
        <f>CHOOSE(CONTROL!$C$42, 12.765, 12.765) * CHOOSE(CONTROL!$C$21, $C$9, 100%, $E$9)</f>
        <v>12.765000000000001</v>
      </c>
      <c r="R465" s="10">
        <f>CHOOSE(CONTROL!$C$42, 13.3839, 13.3839) * CHOOSE(CONTROL!$C$21, $C$9, 100%, $E$9)</f>
        <v>13.383900000000001</v>
      </c>
      <c r="S465" s="10">
        <f>CHOOSE(CONTROL!$C$42, 11.7219, 11.7219) * CHOOSE(CONTROL!$C$21, $C$9, 100%, $E$9)</f>
        <v>11.7219</v>
      </c>
      <c r="T4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38">
        <f>(1000*CHOOSE(CONTROL!$C$42, 695, 695)*CHOOSE(CONTROL!$C$42, 0.5599, 0.5599)*CHOOSE(CONTROL!$C$42, 30, 30))/1000000</f>
        <v>11.673914999999997</v>
      </c>
      <c r="V465" s="38">
        <f>(1000*CHOOSE(CONTROL!$C$42, 500, 500)*CHOOSE(CONTROL!$C$42, 0.275, 0.275)*CHOOSE(CONTROL!$C$42, 30, 30))/1000000</f>
        <v>4.125</v>
      </c>
      <c r="W465" s="38">
        <f>(1000*CHOOSE(CONTROL!$C$42, 0.1146, 0.1146)*CHOOSE(CONTROL!$C$42, 121.5, 121.5)*CHOOSE(CONTROL!$C$42, 30, 30))/1000000</f>
        <v>0.417717</v>
      </c>
      <c r="X465" s="38">
        <f>(30*0.1790888*245000/1000000)+(30*0.2374*100000/1000000)</f>
        <v>2.0285026799999999</v>
      </c>
      <c r="Y465" s="38">
        <f>(1000*600*CHOOSE(CONTROL!$C$42, 1.0757, 1.0757)*CHOOSE(CONTROL!$C$42, 30, 30))/1000000</f>
        <v>19.362600000000004</v>
      </c>
      <c r="Z465" s="38"/>
      <c r="AA465" s="10"/>
      <c r="AB465" s="39"/>
      <c r="AC465" s="33">
        <f>(B465*194.205+C465*267.466+D465*133.845+E465*53.484+F465*40+G465*185+H465*0+I465*100+J465*300)/(194.205+267.466+133.845+53.484+0+40+185+100+300)</f>
        <v>12.089840930455258</v>
      </c>
      <c r="AD465" s="27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12.000784892086331</v>
      </c>
    </row>
    <row r="466" spans="1:30" ht="15.75" x14ac:dyDescent="0.25">
      <c r="A466" s="14">
        <v>55457</v>
      </c>
      <c r="B466" s="10">
        <f>CHOOSE(CONTROL!$C$42, 11.8279, 11.8279) * CHOOSE(CONTROL!$C$21, $C$9, 100%, $E$9)</f>
        <v>11.8279</v>
      </c>
      <c r="C466" s="10">
        <f>CHOOSE(CONTROL!$C$42, 11.8331, 11.8331) * CHOOSE(CONTROL!$C$21, $C$9, 100%, $E$9)</f>
        <v>11.8331</v>
      </c>
      <c r="D466" s="10">
        <f>CHOOSE(CONTROL!$C$42, 12.0151, 12.0151) * CHOOSE(CONTROL!$C$21, $C$9, 100%, $E$9)</f>
        <v>12.0151</v>
      </c>
      <c r="E466" s="10">
        <f>CHOOSE(CONTROL!$C$42, 12.0439, 12.0439) * CHOOSE(CONTROL!$C$21, $C$9, 100%, $E$9)</f>
        <v>12.043900000000001</v>
      </c>
      <c r="F466" s="10">
        <f>CHOOSE(CONTROL!$C$42, 11.7935, 11.7935)*CHOOSE(CONTROL!$C$21, $C$9, 100%, $E$9)</f>
        <v>11.7935</v>
      </c>
      <c r="G466" s="10">
        <f>CHOOSE(CONTROL!$C$42, 11.8098, 11.8098)*CHOOSE(CONTROL!$C$21, $C$9, 100%, $E$9)</f>
        <v>11.809799999999999</v>
      </c>
      <c r="H466" s="10">
        <f>CHOOSE(CONTROL!$C$42, 12.0344, 12.0344) * CHOOSE(CONTROL!$C$21, $C$9, 100%, $E$9)</f>
        <v>12.0344</v>
      </c>
      <c r="I466" s="10">
        <f>CHOOSE(CONTROL!$C$42, 11.8143, 11.8143)* CHOOSE(CONTROL!$C$21, $C$9, 100%, $E$9)</f>
        <v>11.814299999999999</v>
      </c>
      <c r="J466" s="10">
        <f>CHOOSE(CONTROL!$C$42, 11.7865, 11.7865)* CHOOSE(CONTROL!$C$21, $C$9, 100%, $E$9)</f>
        <v>11.7865</v>
      </c>
      <c r="K466" s="10">
        <f>CHOOSE(CONTROL!$C$42, 11.6141, 11.6141) * CHOOSE(CONTROL!$C$21, $C$9, 100%, $E$9)</f>
        <v>11.614100000000001</v>
      </c>
      <c r="L466" s="10">
        <f>CHOOSE(CONTROL!$C$42, 12.6214, 12.6214) * CHOOSE(CONTROL!$C$21, $C$9, 100%, $E$9)</f>
        <v>12.6214</v>
      </c>
      <c r="M466" s="10">
        <f>CHOOSE(CONTROL!$C$42, 11.6814, 11.6814) * CHOOSE(CONTROL!$C$21, $C$9, 100%, $E$9)</f>
        <v>11.6814</v>
      </c>
      <c r="N466" s="10">
        <f>CHOOSE(CONTROL!$C$42, 11.6975, 11.6975) * CHOOSE(CONTROL!$C$21, $C$9, 100%, $E$9)</f>
        <v>11.6975</v>
      </c>
      <c r="O466" s="10">
        <f>CHOOSE(CONTROL!$C$42, 11.9267, 11.9267) * CHOOSE(CONTROL!$C$21, $C$9, 100%, $E$9)</f>
        <v>11.9267</v>
      </c>
      <c r="P466" s="10">
        <f>CHOOSE(CONTROL!$C$42, 11.7089, 11.7089) * CHOOSE(CONTROL!$C$21, $C$9, 100%, $E$9)</f>
        <v>11.7089</v>
      </c>
      <c r="Q466" s="10">
        <f>CHOOSE(CONTROL!$C$42, 12.522, 12.522) * CHOOSE(CONTROL!$C$21, $C$9, 100%, $E$9)</f>
        <v>12.522</v>
      </c>
      <c r="R466" s="10">
        <f>CHOOSE(CONTROL!$C$42, 13.1404, 13.1404) * CHOOSE(CONTROL!$C$21, $C$9, 100%, $E$9)</f>
        <v>13.1404</v>
      </c>
      <c r="S466" s="10">
        <f>CHOOSE(CONTROL!$C$42, 11.4836, 11.4836) * CHOOSE(CONTROL!$C$21, $C$9, 100%, $E$9)</f>
        <v>11.483599999999999</v>
      </c>
      <c r="T4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38">
        <f>(1000*CHOOSE(CONTROL!$C$42, 695, 695)*CHOOSE(CONTROL!$C$42, 0.5599, 0.5599)*CHOOSE(CONTROL!$C$42, 31, 31))/1000000</f>
        <v>12.063045499999998</v>
      </c>
      <c r="V466" s="38">
        <f>(1000*CHOOSE(CONTROL!$C$42, 500, 500)*CHOOSE(CONTROL!$C$42, 0.275, 0.275)*CHOOSE(CONTROL!$C$42, 31, 31))/1000000</f>
        <v>4.2625000000000002</v>
      </c>
      <c r="W466" s="38">
        <f>(1000*CHOOSE(CONTROL!$C$42, 0.1146, 0.1146)*CHOOSE(CONTROL!$C$42, 121.5, 121.5)*CHOOSE(CONTROL!$C$42, 31, 31))/1000000</f>
        <v>0.43164089999999994</v>
      </c>
      <c r="X466" s="38">
        <f>(31*0.1790888*245000/1000000)+(31*0.2374*100000/1000000)</f>
        <v>2.0961194359999999</v>
      </c>
      <c r="Y466" s="38">
        <f>(1000*600*CHOOSE(CONTROL!$C$42, 1.0757, 1.0757)*CHOOSE(CONTROL!$C$42, 31, 31))/1000000</f>
        <v>20.008020000000005</v>
      </c>
      <c r="Z466" s="38"/>
      <c r="AA466" s="10"/>
      <c r="AB466" s="39"/>
      <c r="AC466" s="33">
        <f>(B466*131.881+C466*277.167+D466*79.08+E466*125.872+F466*40+G466*185+H466*0+I466*100+J466*300)/(131.881+277.167+79.08+125.872+0+40+185+100+300)</f>
        <v>11.848020174656982</v>
      </c>
      <c r="AD466" s="27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11.757888489208634</v>
      </c>
    </row>
    <row r="467" spans="1:30" ht="15.75" x14ac:dyDescent="0.25">
      <c r="A467" s="14">
        <v>55487</v>
      </c>
      <c r="B467" s="10">
        <f>CHOOSE(CONTROL!$C$42, 12.139, 12.139) * CHOOSE(CONTROL!$C$21, $C$9, 100%, $E$9)</f>
        <v>12.138999999999999</v>
      </c>
      <c r="C467" s="10">
        <f>CHOOSE(CONTROL!$C$42, 12.144, 12.144) * CHOOSE(CONTROL!$C$21, $C$9, 100%, $E$9)</f>
        <v>12.144</v>
      </c>
      <c r="D467" s="10">
        <f>CHOOSE(CONTROL!$C$42, 12.1684, 12.1684) * CHOOSE(CONTROL!$C$21, $C$9, 100%, $E$9)</f>
        <v>12.1684</v>
      </c>
      <c r="E467" s="10">
        <f>CHOOSE(CONTROL!$C$42, 12.2022, 12.2022) * CHOOSE(CONTROL!$C$21, $C$9, 100%, $E$9)</f>
        <v>12.202199999999999</v>
      </c>
      <c r="F467" s="10">
        <f>CHOOSE(CONTROL!$C$42, 12.1084, 12.1084)*CHOOSE(CONTROL!$C$21, $C$9, 100%, $E$9)</f>
        <v>12.1084</v>
      </c>
      <c r="G467" s="10">
        <f>CHOOSE(CONTROL!$C$42, 12.1248, 12.1248)*CHOOSE(CONTROL!$C$21, $C$9, 100%, $E$9)</f>
        <v>12.1248</v>
      </c>
      <c r="H467" s="10">
        <f>CHOOSE(CONTROL!$C$42, 12.1914, 12.1914) * CHOOSE(CONTROL!$C$21, $C$9, 100%, $E$9)</f>
        <v>12.1914</v>
      </c>
      <c r="I467" s="10">
        <f>CHOOSE(CONTROL!$C$42, 12.1258, 12.1258)* CHOOSE(CONTROL!$C$21, $C$9, 100%, $E$9)</f>
        <v>12.1258</v>
      </c>
      <c r="J467" s="10">
        <f>CHOOSE(CONTROL!$C$42, 12.1014, 12.1014)* CHOOSE(CONTROL!$C$21, $C$9, 100%, $E$9)</f>
        <v>12.1014</v>
      </c>
      <c r="K467" s="10">
        <f>CHOOSE(CONTROL!$C$42, 11.9183, 11.9183) * CHOOSE(CONTROL!$C$21, $C$9, 100%, $E$9)</f>
        <v>11.9183</v>
      </c>
      <c r="L467" s="10">
        <f>CHOOSE(CONTROL!$C$42, 12.7784, 12.7784) * CHOOSE(CONTROL!$C$21, $C$9, 100%, $E$9)</f>
        <v>12.7784</v>
      </c>
      <c r="M467" s="10">
        <f>CHOOSE(CONTROL!$C$42, 11.9931, 11.9931) * CHOOSE(CONTROL!$C$21, $C$9, 100%, $E$9)</f>
        <v>11.9931</v>
      </c>
      <c r="N467" s="10">
        <f>CHOOSE(CONTROL!$C$42, 12.0093, 12.0093) * CHOOSE(CONTROL!$C$21, $C$9, 100%, $E$9)</f>
        <v>12.0093</v>
      </c>
      <c r="O467" s="10">
        <f>CHOOSE(CONTROL!$C$42, 12.0822, 12.0822) * CHOOSE(CONTROL!$C$21, $C$9, 100%, $E$9)</f>
        <v>12.0822</v>
      </c>
      <c r="P467" s="10">
        <f>CHOOSE(CONTROL!$C$42, 12.0173, 12.0173) * CHOOSE(CONTROL!$C$21, $C$9, 100%, $E$9)</f>
        <v>12.017300000000001</v>
      </c>
      <c r="Q467" s="10">
        <f>CHOOSE(CONTROL!$C$42, 12.6775, 12.6775) * CHOOSE(CONTROL!$C$21, $C$9, 100%, $E$9)</f>
        <v>12.6775</v>
      </c>
      <c r="R467" s="10">
        <f>CHOOSE(CONTROL!$C$42, 13.2962, 13.2962) * CHOOSE(CONTROL!$C$21, $C$9, 100%, $E$9)</f>
        <v>13.296200000000001</v>
      </c>
      <c r="S467" s="10">
        <f>CHOOSE(CONTROL!$C$42, 11.7861, 11.7861) * CHOOSE(CONTROL!$C$21, $C$9, 100%, $E$9)</f>
        <v>11.786099999999999</v>
      </c>
      <c r="T4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38">
        <f>(1000*CHOOSE(CONTROL!$C$42, 695, 695)*CHOOSE(CONTROL!$C$42, 0.5599, 0.5599)*CHOOSE(CONTROL!$C$42, 30, 30))/1000000</f>
        <v>11.673914999999997</v>
      </c>
      <c r="V467" s="38">
        <f>(1000*CHOOSE(CONTROL!$C$42, 500, 500)*CHOOSE(CONTROL!$C$42, 0.275, 0.275)*CHOOSE(CONTROL!$C$42, 30, 30))/1000000</f>
        <v>4.125</v>
      </c>
      <c r="W467" s="38">
        <f>(1000*CHOOSE(CONTROL!$C$42, 0.1146, 0.1146)*CHOOSE(CONTROL!$C$42, 121.5, 121.5)*CHOOSE(CONTROL!$C$42, 30, 30))/1000000</f>
        <v>0.417717</v>
      </c>
      <c r="X467" s="38">
        <f>(30*0.1790888*100000/1000000)+(30*0.2374*100000/1000000)</f>
        <v>1.2494664</v>
      </c>
      <c r="Y467" s="38">
        <f>(1000*600*CHOOSE(CONTROL!$C$42, 1.0757, 1.0757)*CHOOSE(CONTROL!$C$42, 30, 30))/1000000</f>
        <v>19.362600000000004</v>
      </c>
      <c r="Z467" s="38"/>
      <c r="AA467" s="10"/>
      <c r="AB467" s="39"/>
      <c r="AC467" s="33">
        <f>(B467*122.58+C467*297.941+D467*89.177+E467*40.302+F467*40+G467*160+H467*0+I467*100+J467*300)/(122.58+297.941+89.177+40.302+0+40+160+100+300)</f>
        <v>12.130793561043479</v>
      </c>
      <c r="AD467" s="27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12.037897841726618</v>
      </c>
    </row>
    <row r="468" spans="1:30" ht="15.75" x14ac:dyDescent="0.25">
      <c r="A468" s="14">
        <v>55518</v>
      </c>
      <c r="B468" s="10">
        <f>CHOOSE(CONTROL!$C$42, 12.9665, 12.9665) * CHOOSE(CONTROL!$C$21, $C$9, 100%, $E$9)</f>
        <v>12.9665</v>
      </c>
      <c r="C468" s="10">
        <f>CHOOSE(CONTROL!$C$42, 12.9714, 12.9714) * CHOOSE(CONTROL!$C$21, $C$9, 100%, $E$9)</f>
        <v>12.971399999999999</v>
      </c>
      <c r="D468" s="10">
        <f>CHOOSE(CONTROL!$C$42, 12.9959, 12.9959) * CHOOSE(CONTROL!$C$21, $C$9, 100%, $E$9)</f>
        <v>12.995900000000001</v>
      </c>
      <c r="E468" s="10">
        <f>CHOOSE(CONTROL!$C$42, 13.0297, 13.0297) * CHOOSE(CONTROL!$C$21, $C$9, 100%, $E$9)</f>
        <v>13.0297</v>
      </c>
      <c r="F468" s="10">
        <f>CHOOSE(CONTROL!$C$42, 12.9381, 12.9381)*CHOOSE(CONTROL!$C$21, $C$9, 100%, $E$9)</f>
        <v>12.9381</v>
      </c>
      <c r="G468" s="10">
        <f>CHOOSE(CONTROL!$C$42, 12.9551, 12.9551)*CHOOSE(CONTROL!$C$21, $C$9, 100%, $E$9)</f>
        <v>12.9551</v>
      </c>
      <c r="H468" s="10">
        <f>CHOOSE(CONTROL!$C$42, 13.0188, 13.0188) * CHOOSE(CONTROL!$C$21, $C$9, 100%, $E$9)</f>
        <v>13.018800000000001</v>
      </c>
      <c r="I468" s="10">
        <f>CHOOSE(CONTROL!$C$42, 12.9532, 12.9532)* CHOOSE(CONTROL!$C$21, $C$9, 100%, $E$9)</f>
        <v>12.953200000000001</v>
      </c>
      <c r="J468" s="10">
        <f>CHOOSE(CONTROL!$C$42, 12.9311, 12.9311)* CHOOSE(CONTROL!$C$21, $C$9, 100%, $E$9)</f>
        <v>12.931100000000001</v>
      </c>
      <c r="K468" s="10">
        <f>CHOOSE(CONTROL!$C$42, 12.7272, 12.7272) * CHOOSE(CONTROL!$C$21, $C$9, 100%, $E$9)</f>
        <v>12.7272</v>
      </c>
      <c r="L468" s="10">
        <f>CHOOSE(CONTROL!$C$42, 13.6058, 13.6058) * CHOOSE(CONTROL!$C$21, $C$9, 100%, $E$9)</f>
        <v>13.6058</v>
      </c>
      <c r="M468" s="10">
        <f>CHOOSE(CONTROL!$C$42, 12.8144, 12.8144) * CHOOSE(CONTROL!$C$21, $C$9, 100%, $E$9)</f>
        <v>12.814399999999999</v>
      </c>
      <c r="N468" s="10">
        <f>CHOOSE(CONTROL!$C$42, 12.8313, 12.8313) * CHOOSE(CONTROL!$C$21, $C$9, 100%, $E$9)</f>
        <v>12.831300000000001</v>
      </c>
      <c r="O468" s="10">
        <f>CHOOSE(CONTROL!$C$42, 12.9013, 12.9013) * CHOOSE(CONTROL!$C$21, $C$9, 100%, $E$9)</f>
        <v>12.901300000000001</v>
      </c>
      <c r="P468" s="10">
        <f>CHOOSE(CONTROL!$C$42, 12.8364, 12.8364) * CHOOSE(CONTROL!$C$21, $C$9, 100%, $E$9)</f>
        <v>12.836399999999999</v>
      </c>
      <c r="Q468" s="10">
        <f>CHOOSE(CONTROL!$C$42, 13.4966, 13.4966) * CHOOSE(CONTROL!$C$21, $C$9, 100%, $E$9)</f>
        <v>13.496600000000001</v>
      </c>
      <c r="R468" s="10">
        <f>CHOOSE(CONTROL!$C$42, 14.1173, 14.1173) * CHOOSE(CONTROL!$C$21, $C$9, 100%, $E$9)</f>
        <v>14.1173</v>
      </c>
      <c r="S468" s="10">
        <f>CHOOSE(CONTROL!$C$42, 12.5896, 12.5896) * CHOOSE(CONTROL!$C$21, $C$9, 100%, $E$9)</f>
        <v>12.589600000000001</v>
      </c>
      <c r="T4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38">
        <f>(1000*CHOOSE(CONTROL!$C$42, 695, 695)*CHOOSE(CONTROL!$C$42, 0.5599, 0.5599)*CHOOSE(CONTROL!$C$42, 31, 31))/1000000</f>
        <v>12.063045499999998</v>
      </c>
      <c r="V468" s="38">
        <f>(1000*CHOOSE(CONTROL!$C$42, 500, 500)*CHOOSE(CONTROL!$C$42, 0.275, 0.275)*CHOOSE(CONTROL!$C$42, 31, 31))/1000000</f>
        <v>4.2625000000000002</v>
      </c>
      <c r="W468" s="38">
        <f>(1000*CHOOSE(CONTROL!$C$42, 0.1146, 0.1146)*CHOOSE(CONTROL!$C$42, 121.5, 121.5)*CHOOSE(CONTROL!$C$42, 31, 31))/1000000</f>
        <v>0.43164089999999994</v>
      </c>
      <c r="X468" s="38">
        <f>(31*0.1790888*100000/1000000)+(31*0.2374*100000/1000000)</f>
        <v>1.2911152800000001</v>
      </c>
      <c r="Y468" s="38">
        <f>(1000*600*CHOOSE(CONTROL!$C$42, 1.0757, 1.0757)*CHOOSE(CONTROL!$C$42, 31, 31))/1000000</f>
        <v>20.008020000000005</v>
      </c>
      <c r="Z468" s="38"/>
      <c r="AA468" s="10"/>
      <c r="AB468" s="39"/>
      <c r="AC468" s="33">
        <f>(B468*122.58+C468*297.941+D468*89.177+E468*40.302+F468*40+G468*160+H468*0+I468*100+J468*300)/(122.58+297.941+89.177+40.302+0+40+160+100+300)</f>
        <v>12.959298957478261</v>
      </c>
      <c r="AD468" s="27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12.857924460431654</v>
      </c>
    </row>
    <row r="469" spans="1:30" ht="15.75" x14ac:dyDescent="0.25">
      <c r="A469" s="14">
        <v>55549</v>
      </c>
      <c r="B469" s="10">
        <f>CHOOSE(CONTROL!$C$42, 13.8414, 13.8414) * CHOOSE(CONTROL!$C$21, $C$9, 100%, $E$9)</f>
        <v>13.8414</v>
      </c>
      <c r="C469" s="10">
        <f>CHOOSE(CONTROL!$C$42, 13.8464, 13.8464) * CHOOSE(CONTROL!$C$21, $C$9, 100%, $E$9)</f>
        <v>13.846399999999999</v>
      </c>
      <c r="D469" s="10">
        <f>CHOOSE(CONTROL!$C$42, 13.8708, 13.8708) * CHOOSE(CONTROL!$C$21, $C$9, 100%, $E$9)</f>
        <v>13.870799999999999</v>
      </c>
      <c r="E469" s="10">
        <f>CHOOSE(CONTROL!$C$42, 13.9046, 13.9046) * CHOOSE(CONTROL!$C$21, $C$9, 100%, $E$9)</f>
        <v>13.9046</v>
      </c>
      <c r="F469" s="10">
        <f>CHOOSE(CONTROL!$C$42, 13.8244, 13.8244)*CHOOSE(CONTROL!$C$21, $C$9, 100%, $E$9)</f>
        <v>13.824400000000001</v>
      </c>
      <c r="G469" s="10">
        <f>CHOOSE(CONTROL!$C$42, 13.843, 13.843)*CHOOSE(CONTROL!$C$21, $C$9, 100%, $E$9)</f>
        <v>13.843</v>
      </c>
      <c r="H469" s="10">
        <f>CHOOSE(CONTROL!$C$42, 13.8938, 13.8938) * CHOOSE(CONTROL!$C$21, $C$9, 100%, $E$9)</f>
        <v>13.893800000000001</v>
      </c>
      <c r="I469" s="10">
        <f>CHOOSE(CONTROL!$C$42, 13.8359, 13.8359)* CHOOSE(CONTROL!$C$21, $C$9, 100%, $E$9)</f>
        <v>13.835900000000001</v>
      </c>
      <c r="J469" s="10">
        <f>CHOOSE(CONTROL!$C$42, 13.8174, 13.8174)* CHOOSE(CONTROL!$C$21, $C$9, 100%, $E$9)</f>
        <v>13.817399999999999</v>
      </c>
      <c r="K469" s="10">
        <f>CHOOSE(CONTROL!$C$42, 13.5983, 13.5983) * CHOOSE(CONTROL!$C$21, $C$9, 100%, $E$9)</f>
        <v>13.5983</v>
      </c>
      <c r="L469" s="10">
        <f>CHOOSE(CONTROL!$C$42, 14.4808, 14.4808) * CHOOSE(CONTROL!$C$21, $C$9, 100%, $E$9)</f>
        <v>14.4808</v>
      </c>
      <c r="M469" s="10">
        <f>CHOOSE(CONTROL!$C$42, 13.6917, 13.6917) * CHOOSE(CONTROL!$C$21, $C$9, 100%, $E$9)</f>
        <v>13.691700000000001</v>
      </c>
      <c r="N469" s="10">
        <f>CHOOSE(CONTROL!$C$42, 13.7102, 13.7102) * CHOOSE(CONTROL!$C$21, $C$9, 100%, $E$9)</f>
        <v>13.7102</v>
      </c>
      <c r="O469" s="10">
        <f>CHOOSE(CONTROL!$C$42, 13.7674, 13.7674) * CHOOSE(CONTROL!$C$21, $C$9, 100%, $E$9)</f>
        <v>13.7674</v>
      </c>
      <c r="P469" s="10">
        <f>CHOOSE(CONTROL!$C$42, 13.7101, 13.7101) * CHOOSE(CONTROL!$C$21, $C$9, 100%, $E$9)</f>
        <v>13.710100000000001</v>
      </c>
      <c r="Q469" s="10">
        <f>CHOOSE(CONTROL!$C$42, 14.3627, 14.3627) * CHOOSE(CONTROL!$C$21, $C$9, 100%, $E$9)</f>
        <v>14.3627</v>
      </c>
      <c r="R469" s="10">
        <f>CHOOSE(CONTROL!$C$42, 14.9856, 14.9856) * CHOOSE(CONTROL!$C$21, $C$9, 100%, $E$9)</f>
        <v>14.9856</v>
      </c>
      <c r="S469" s="10">
        <f>CHOOSE(CONTROL!$C$42, 13.4393, 13.4393) * CHOOSE(CONTROL!$C$21, $C$9, 100%, $E$9)</f>
        <v>13.439299999999999</v>
      </c>
      <c r="T4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38">
        <f>(1000*CHOOSE(CONTROL!$C$42, 695, 695)*CHOOSE(CONTROL!$C$42, 0.5599, 0.5599)*CHOOSE(CONTROL!$C$42, 31, 31))/1000000</f>
        <v>12.063045499999998</v>
      </c>
      <c r="V469" s="38">
        <f>(1000*CHOOSE(CONTROL!$C$42, 500, 500)*CHOOSE(CONTROL!$C$42, 0.275, 0.275)*CHOOSE(CONTROL!$C$42, 31, 31))/1000000</f>
        <v>4.2625000000000002</v>
      </c>
      <c r="W469" s="38">
        <f>(1000*CHOOSE(CONTROL!$C$42, 0.1146, 0.1146)*CHOOSE(CONTROL!$C$42, 121.5, 121.5)*CHOOSE(CONTROL!$C$42, 31, 31))/1000000</f>
        <v>0.43164089999999994</v>
      </c>
      <c r="X469" s="38">
        <f>(31*0.1790888*100000/1000000)+(31*0.2374*100000/1000000)</f>
        <v>1.2911152800000001</v>
      </c>
      <c r="Y469" s="38">
        <f>(1000*600*CHOOSE(CONTROL!$C$42, 1.0722, 1.0722)*CHOOSE(CONTROL!$C$42, 31, 31))/1000000</f>
        <v>19.942920000000001</v>
      </c>
      <c r="Z469" s="38"/>
      <c r="AA469" s="10"/>
      <c r="AB469" s="39"/>
      <c r="AC469" s="33">
        <f>(B469*122.58+C469*297.941+D469*89.177+E469*40.302+F469*40+G469*160+H469*0+I469*100+J469*300)/(122.58+297.941+89.177+40.302+0+40+160+100+300)</f>
        <v>13.84008225669565</v>
      </c>
      <c r="AD469" s="27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13.729722302158272</v>
      </c>
    </row>
    <row r="470" spans="1:30" ht="15.75" x14ac:dyDescent="0.25">
      <c r="A470" s="14">
        <v>55577</v>
      </c>
      <c r="B470" s="10">
        <f>CHOOSE(CONTROL!$C$42, 14.0878, 14.0878) * CHOOSE(CONTROL!$C$21, $C$9, 100%, $E$9)</f>
        <v>14.0878</v>
      </c>
      <c r="C470" s="10">
        <f>CHOOSE(CONTROL!$C$42, 14.0927, 14.0927) * CHOOSE(CONTROL!$C$21, $C$9, 100%, $E$9)</f>
        <v>14.092700000000001</v>
      </c>
      <c r="D470" s="10">
        <f>CHOOSE(CONTROL!$C$42, 14.1172, 14.1172) * CHOOSE(CONTROL!$C$21, $C$9, 100%, $E$9)</f>
        <v>14.1172</v>
      </c>
      <c r="E470" s="10">
        <f>CHOOSE(CONTROL!$C$42, 14.151, 14.151) * CHOOSE(CONTROL!$C$21, $C$9, 100%, $E$9)</f>
        <v>14.151</v>
      </c>
      <c r="F470" s="10">
        <f>CHOOSE(CONTROL!$C$42, 14.07, 14.07)*CHOOSE(CONTROL!$C$21, $C$9, 100%, $E$9)</f>
        <v>14.07</v>
      </c>
      <c r="G470" s="10">
        <f>CHOOSE(CONTROL!$C$42, 14.0885, 14.0885)*CHOOSE(CONTROL!$C$21, $C$9, 100%, $E$9)</f>
        <v>14.0885</v>
      </c>
      <c r="H470" s="10">
        <f>CHOOSE(CONTROL!$C$42, 14.1402, 14.1402) * CHOOSE(CONTROL!$C$21, $C$9, 100%, $E$9)</f>
        <v>14.1402</v>
      </c>
      <c r="I470" s="10">
        <f>CHOOSE(CONTROL!$C$42, 14.0823, 14.0823)* CHOOSE(CONTROL!$C$21, $C$9, 100%, $E$9)</f>
        <v>14.0823</v>
      </c>
      <c r="J470" s="10">
        <f>CHOOSE(CONTROL!$C$42, 14.063, 14.063)* CHOOSE(CONTROL!$C$21, $C$9, 100%, $E$9)</f>
        <v>14.063000000000001</v>
      </c>
      <c r="K470" s="10">
        <f>CHOOSE(CONTROL!$C$42, 13.8362, 13.8362) * CHOOSE(CONTROL!$C$21, $C$9, 100%, $E$9)</f>
        <v>13.8362</v>
      </c>
      <c r="L470" s="10">
        <f>CHOOSE(CONTROL!$C$42, 14.7272, 14.7272) * CHOOSE(CONTROL!$C$21, $C$9, 100%, $E$9)</f>
        <v>14.7272</v>
      </c>
      <c r="M470" s="10">
        <f>CHOOSE(CONTROL!$C$42, 13.9349, 13.9349) * CHOOSE(CONTROL!$C$21, $C$9, 100%, $E$9)</f>
        <v>13.934900000000001</v>
      </c>
      <c r="N470" s="10">
        <f>CHOOSE(CONTROL!$C$42, 13.9532, 13.9532) * CHOOSE(CONTROL!$C$21, $C$9, 100%, $E$9)</f>
        <v>13.953200000000001</v>
      </c>
      <c r="O470" s="10">
        <f>CHOOSE(CONTROL!$C$42, 14.0113, 14.0113) * CHOOSE(CONTROL!$C$21, $C$9, 100%, $E$9)</f>
        <v>14.0113</v>
      </c>
      <c r="P470" s="10">
        <f>CHOOSE(CONTROL!$C$42, 13.954, 13.954) * CHOOSE(CONTROL!$C$21, $C$9, 100%, $E$9)</f>
        <v>13.954000000000001</v>
      </c>
      <c r="Q470" s="10">
        <f>CHOOSE(CONTROL!$C$42, 14.6066, 14.6066) * CHOOSE(CONTROL!$C$21, $C$9, 100%, $E$9)</f>
        <v>14.6066</v>
      </c>
      <c r="R470" s="10">
        <f>CHOOSE(CONTROL!$C$42, 15.2301, 15.2301) * CHOOSE(CONTROL!$C$21, $C$9, 100%, $E$9)</f>
        <v>15.2301</v>
      </c>
      <c r="S470" s="10">
        <f>CHOOSE(CONTROL!$C$42, 13.6785, 13.6785) * CHOOSE(CONTROL!$C$21, $C$9, 100%, $E$9)</f>
        <v>13.6785</v>
      </c>
      <c r="T47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70" s="38">
        <f>(1000*CHOOSE(CONTROL!$C$42, 695, 695)*CHOOSE(CONTROL!$C$42, 0.5599, 0.5599)*CHOOSE(CONTROL!$C$42, 29, 29))/1000000</f>
        <v>11.284784499999999</v>
      </c>
      <c r="V470" s="38">
        <f>(1000*CHOOSE(CONTROL!$C$42, 500, 500)*CHOOSE(CONTROL!$C$42, 0.275, 0.275)*CHOOSE(CONTROL!$C$42, 29, 29))/1000000</f>
        <v>3.9874999999999998</v>
      </c>
      <c r="W470" s="38">
        <f>(1000*CHOOSE(CONTROL!$C$42, 0.1146, 0.1146)*CHOOSE(CONTROL!$C$42, 121.5, 121.5)*CHOOSE(CONTROL!$C$42, 29, 29))/1000000</f>
        <v>0.40379309999999996</v>
      </c>
      <c r="X470" s="38">
        <f>(29*0.1790888*100000/1000000)+(29*0.2374*100000/1000000)</f>
        <v>1.2078175199999999</v>
      </c>
      <c r="Y470" s="38">
        <f>(1000*600*CHOOSE(CONTROL!$C$42, 1.0722, 1.0722)*CHOOSE(CONTROL!$C$42, 29, 29))/1000000</f>
        <v>18.656279999999999</v>
      </c>
      <c r="Z470" s="38"/>
      <c r="AA470" s="10"/>
      <c r="AB470" s="39"/>
      <c r="AC470" s="33">
        <f>(B470*122.58+C470*297.941+D470*89.177+E470*40.302+F470*40+G470*160+H470*0+I470*100+J470*300)/(122.58+297.941+89.177+40.302+0+40+160+100+300)</f>
        <v>14.086094609652175</v>
      </c>
      <c r="AD470" s="27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13.973328776978416</v>
      </c>
    </row>
    <row r="471" spans="1:30" ht="15.75" x14ac:dyDescent="0.25">
      <c r="A471" s="14">
        <v>55609</v>
      </c>
      <c r="B471" s="10">
        <f>CHOOSE(CONTROL!$C$42, 13.6879, 13.6879) * CHOOSE(CONTROL!$C$21, $C$9, 100%, $E$9)</f>
        <v>13.687900000000001</v>
      </c>
      <c r="C471" s="10">
        <f>CHOOSE(CONTROL!$C$42, 13.6928, 13.6928) * CHOOSE(CONTROL!$C$21, $C$9, 100%, $E$9)</f>
        <v>13.6928</v>
      </c>
      <c r="D471" s="10">
        <f>CHOOSE(CONTROL!$C$42, 13.7173, 13.7173) * CHOOSE(CONTROL!$C$21, $C$9, 100%, $E$9)</f>
        <v>13.7173</v>
      </c>
      <c r="E471" s="10">
        <f>CHOOSE(CONTROL!$C$42, 13.7511, 13.7511) * CHOOSE(CONTROL!$C$21, $C$9, 100%, $E$9)</f>
        <v>13.751099999999999</v>
      </c>
      <c r="F471" s="10">
        <f>CHOOSE(CONTROL!$C$42, 13.6686, 13.6686)*CHOOSE(CONTROL!$C$21, $C$9, 100%, $E$9)</f>
        <v>13.6686</v>
      </c>
      <c r="G471" s="10">
        <f>CHOOSE(CONTROL!$C$42, 13.6867, 13.6867)*CHOOSE(CONTROL!$C$21, $C$9, 100%, $E$9)</f>
        <v>13.6867</v>
      </c>
      <c r="H471" s="10">
        <f>CHOOSE(CONTROL!$C$42, 13.7403, 13.7403) * CHOOSE(CONTROL!$C$21, $C$9, 100%, $E$9)</f>
        <v>13.7403</v>
      </c>
      <c r="I471" s="10">
        <f>CHOOSE(CONTROL!$C$42, 13.6824, 13.6824)* CHOOSE(CONTROL!$C$21, $C$9, 100%, $E$9)</f>
        <v>13.682399999999999</v>
      </c>
      <c r="J471" s="10">
        <f>CHOOSE(CONTROL!$C$42, 13.6616, 13.6616)* CHOOSE(CONTROL!$C$21, $C$9, 100%, $E$9)</f>
        <v>13.6616</v>
      </c>
      <c r="K471" s="10">
        <f>CHOOSE(CONTROL!$C$42, 13.4443, 13.4443) * CHOOSE(CONTROL!$C$21, $C$9, 100%, $E$9)</f>
        <v>13.4443</v>
      </c>
      <c r="L471" s="10">
        <f>CHOOSE(CONTROL!$C$42, 14.3273, 14.3273) * CHOOSE(CONTROL!$C$21, $C$9, 100%, $E$9)</f>
        <v>14.327299999999999</v>
      </c>
      <c r="M471" s="10">
        <f>CHOOSE(CONTROL!$C$42, 13.5376, 13.5376) * CHOOSE(CONTROL!$C$21, $C$9, 100%, $E$9)</f>
        <v>13.537599999999999</v>
      </c>
      <c r="N471" s="10">
        <f>CHOOSE(CONTROL!$C$42, 13.5555, 13.5555) * CHOOSE(CONTROL!$C$21, $C$9, 100%, $E$9)</f>
        <v>13.5555</v>
      </c>
      <c r="O471" s="10">
        <f>CHOOSE(CONTROL!$C$42, 13.6154, 13.6154) * CHOOSE(CONTROL!$C$21, $C$9, 100%, $E$9)</f>
        <v>13.615399999999999</v>
      </c>
      <c r="P471" s="10">
        <f>CHOOSE(CONTROL!$C$42, 13.5582, 13.5582) * CHOOSE(CONTROL!$C$21, $C$9, 100%, $E$9)</f>
        <v>13.558199999999999</v>
      </c>
      <c r="Q471" s="10">
        <f>CHOOSE(CONTROL!$C$42, 14.2107, 14.2107) * CHOOSE(CONTROL!$C$21, $C$9, 100%, $E$9)</f>
        <v>14.210699999999999</v>
      </c>
      <c r="R471" s="10">
        <f>CHOOSE(CONTROL!$C$42, 14.8333, 14.8333) * CHOOSE(CONTROL!$C$21, $C$9, 100%, $E$9)</f>
        <v>14.833299999999999</v>
      </c>
      <c r="S471" s="10">
        <f>CHOOSE(CONTROL!$C$42, 13.2902, 13.2902) * CHOOSE(CONTROL!$C$21, $C$9, 100%, $E$9)</f>
        <v>13.2902</v>
      </c>
      <c r="T4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38">
        <f>(1000*CHOOSE(CONTROL!$C$42, 695, 695)*CHOOSE(CONTROL!$C$42, 0.5599, 0.5599)*CHOOSE(CONTROL!$C$42, 31, 31))/1000000</f>
        <v>12.063045499999998</v>
      </c>
      <c r="V471" s="38">
        <f>(1000*CHOOSE(CONTROL!$C$42, 500, 500)*CHOOSE(CONTROL!$C$42, 0.275, 0.275)*CHOOSE(CONTROL!$C$42, 31, 31))/1000000</f>
        <v>4.2625000000000002</v>
      </c>
      <c r="W471" s="38">
        <f>(1000*CHOOSE(CONTROL!$C$42, 0.1146, 0.1146)*CHOOSE(CONTROL!$C$42, 121.5, 121.5)*CHOOSE(CONTROL!$C$42, 31, 31))/1000000</f>
        <v>0.43164089999999994</v>
      </c>
      <c r="X471" s="38">
        <f>(31*0.1790888*100000/1000000)+(31*0.2374*100000/1000000)</f>
        <v>1.2911152800000001</v>
      </c>
      <c r="Y471" s="38">
        <f>(1000*600*CHOOSE(CONTROL!$C$42, 1.0722, 1.0722)*CHOOSE(CONTROL!$C$42, 31, 31))/1000000</f>
        <v>19.942920000000001</v>
      </c>
      <c r="Z471" s="38"/>
      <c r="AA471" s="10"/>
      <c r="AB471" s="39"/>
      <c r="AC471" s="33">
        <f>(B471*122.58+C471*297.941+D471*89.177+E471*40.302+F471*40+G471*160+H471*0+I471*100+J471*300)/(122.58+297.941+89.177+40.302+0+40+160+100+300)</f>
        <v>13.685486783565215</v>
      </c>
      <c r="AD471" s="27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13.576856115107912</v>
      </c>
    </row>
    <row r="472" spans="1:30" ht="15.75" x14ac:dyDescent="0.25">
      <c r="A472" s="14">
        <v>55639</v>
      </c>
      <c r="B472" s="10">
        <f>CHOOSE(CONTROL!$C$42, 13.6477, 13.6477) * CHOOSE(CONTROL!$C$21, $C$9, 100%, $E$9)</f>
        <v>13.6477</v>
      </c>
      <c r="C472" s="10">
        <f>CHOOSE(CONTROL!$C$42, 13.6521, 13.6521) * CHOOSE(CONTROL!$C$21, $C$9, 100%, $E$9)</f>
        <v>13.652100000000001</v>
      </c>
      <c r="D472" s="10">
        <f>CHOOSE(CONTROL!$C$42, 13.8322, 13.8322) * CHOOSE(CONTROL!$C$21, $C$9, 100%, $E$9)</f>
        <v>13.8322</v>
      </c>
      <c r="E472" s="10">
        <f>CHOOSE(CONTROL!$C$42, 13.864, 13.864) * CHOOSE(CONTROL!$C$21, $C$9, 100%, $E$9)</f>
        <v>13.864000000000001</v>
      </c>
      <c r="F472" s="10">
        <f>CHOOSE(CONTROL!$C$42, 13.613, 13.613)*CHOOSE(CONTROL!$C$21, $C$9, 100%, $E$9)</f>
        <v>13.613</v>
      </c>
      <c r="G472" s="10">
        <f>CHOOSE(CONTROL!$C$42, 13.6293, 13.6293)*CHOOSE(CONTROL!$C$21, $C$9, 100%, $E$9)</f>
        <v>13.629300000000001</v>
      </c>
      <c r="H472" s="10">
        <f>CHOOSE(CONTROL!$C$42, 13.8538, 13.8538) * CHOOSE(CONTROL!$C$21, $C$9, 100%, $E$9)</f>
        <v>13.8538</v>
      </c>
      <c r="I472" s="10">
        <f>CHOOSE(CONTROL!$C$42, 13.6337, 13.6337)* CHOOSE(CONTROL!$C$21, $C$9, 100%, $E$9)</f>
        <v>13.633699999999999</v>
      </c>
      <c r="J472" s="10">
        <f>CHOOSE(CONTROL!$C$42, 13.606, 13.606)* CHOOSE(CONTROL!$C$21, $C$9, 100%, $E$9)</f>
        <v>13.606</v>
      </c>
      <c r="K472" s="10">
        <f>CHOOSE(CONTROL!$C$42, 13.382, 13.382) * CHOOSE(CONTROL!$C$21, $C$9, 100%, $E$9)</f>
        <v>13.382</v>
      </c>
      <c r="L472" s="10">
        <f>CHOOSE(CONTROL!$C$42, 14.4408, 14.4408) * CHOOSE(CONTROL!$C$21, $C$9, 100%, $E$9)</f>
        <v>14.440799999999999</v>
      </c>
      <c r="M472" s="10">
        <f>CHOOSE(CONTROL!$C$42, 13.4825, 13.4825) * CHOOSE(CONTROL!$C$21, $C$9, 100%, $E$9)</f>
        <v>13.4825</v>
      </c>
      <c r="N472" s="10">
        <f>CHOOSE(CONTROL!$C$42, 13.4986, 13.4986) * CHOOSE(CONTROL!$C$21, $C$9, 100%, $E$9)</f>
        <v>13.4986</v>
      </c>
      <c r="O472" s="10">
        <f>CHOOSE(CONTROL!$C$42, 13.7278, 13.7278) * CHOOSE(CONTROL!$C$21, $C$9, 100%, $E$9)</f>
        <v>13.7278</v>
      </c>
      <c r="P472" s="10">
        <f>CHOOSE(CONTROL!$C$42, 13.51, 13.51) * CHOOSE(CONTROL!$C$21, $C$9, 100%, $E$9)</f>
        <v>13.51</v>
      </c>
      <c r="Q472" s="10">
        <f>CHOOSE(CONTROL!$C$42, 14.3231, 14.3231) * CHOOSE(CONTROL!$C$21, $C$9, 100%, $E$9)</f>
        <v>14.3231</v>
      </c>
      <c r="R472" s="10">
        <f>CHOOSE(CONTROL!$C$42, 14.9459, 14.9459) * CHOOSE(CONTROL!$C$21, $C$9, 100%, $E$9)</f>
        <v>14.9459</v>
      </c>
      <c r="S472" s="10">
        <f>CHOOSE(CONTROL!$C$42, 13.2504, 13.2504) * CHOOSE(CONTROL!$C$21, $C$9, 100%, $E$9)</f>
        <v>13.250400000000001</v>
      </c>
      <c r="T4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38">
        <f>(1000*CHOOSE(CONTROL!$C$42, 695, 695)*CHOOSE(CONTROL!$C$42, 0.5599, 0.5599)*CHOOSE(CONTROL!$C$42, 30, 30))/1000000</f>
        <v>11.673914999999997</v>
      </c>
      <c r="V472" s="38">
        <f>(1000*CHOOSE(CONTROL!$C$42, 500, 500)*CHOOSE(CONTROL!$C$42, 0.275, 0.275)*CHOOSE(CONTROL!$C$42, 30, 30))/1000000</f>
        <v>4.125</v>
      </c>
      <c r="W472" s="38">
        <f>(1000*CHOOSE(CONTROL!$C$42, 0.1146, 0.1146)*CHOOSE(CONTROL!$C$42, 121.5, 121.5)*CHOOSE(CONTROL!$C$42, 30, 30))/1000000</f>
        <v>0.417717</v>
      </c>
      <c r="X472" s="38">
        <f>(30*0.1790888*245000/1000000)+(30*0.2374*100000/1000000)</f>
        <v>2.0285026799999999</v>
      </c>
      <c r="Y472" s="38">
        <f>(1000*600*CHOOSE(CONTROL!$C$42, 1.0722, 1.0722)*CHOOSE(CONTROL!$C$42, 30, 30))/1000000</f>
        <v>19.299600000000002</v>
      </c>
      <c r="Z472" s="38"/>
      <c r="AA472" s="10"/>
      <c r="AB472" s="39"/>
      <c r="AC472" s="33">
        <f>(B472*141.293+C472*267.993+D472*115.016+E472*89.698+F472*40+G472*185+H472*0+I472*100+J472*300)/(141.293+267.993+115.016+89.698+0+40+185+100+300)</f>
        <v>13.666343501694914</v>
      </c>
      <c r="AD472" s="27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13.558988489208632</v>
      </c>
    </row>
    <row r="473" spans="1:30" ht="15.75" x14ac:dyDescent="0.25">
      <c r="A473" s="14">
        <v>55670</v>
      </c>
      <c r="B473" s="10">
        <f>CHOOSE(CONTROL!$C$42, 13.7699, 13.7699) * CHOOSE(CONTROL!$C$21, $C$9, 100%, $E$9)</f>
        <v>13.7699</v>
      </c>
      <c r="C473" s="10">
        <f>CHOOSE(CONTROL!$C$42, 13.7778, 13.7778) * CHOOSE(CONTROL!$C$21, $C$9, 100%, $E$9)</f>
        <v>13.777799999999999</v>
      </c>
      <c r="D473" s="10">
        <f>CHOOSE(CONTROL!$C$42, 13.9548, 13.9548) * CHOOSE(CONTROL!$C$21, $C$9, 100%, $E$9)</f>
        <v>13.954800000000001</v>
      </c>
      <c r="E473" s="10">
        <f>CHOOSE(CONTROL!$C$42, 13.9859, 13.9859) * CHOOSE(CONTROL!$C$21, $C$9, 100%, $E$9)</f>
        <v>13.985900000000001</v>
      </c>
      <c r="F473" s="10">
        <f>CHOOSE(CONTROL!$C$42, 13.7333, 13.7333)*CHOOSE(CONTROL!$C$21, $C$9, 100%, $E$9)</f>
        <v>13.7333</v>
      </c>
      <c r="G473" s="10">
        <f>CHOOSE(CONTROL!$C$42, 13.7498, 13.7498)*CHOOSE(CONTROL!$C$21, $C$9, 100%, $E$9)</f>
        <v>13.7498</v>
      </c>
      <c r="H473" s="10">
        <f>CHOOSE(CONTROL!$C$42, 13.9746, 13.9746) * CHOOSE(CONTROL!$C$21, $C$9, 100%, $E$9)</f>
        <v>13.974600000000001</v>
      </c>
      <c r="I473" s="10">
        <f>CHOOSE(CONTROL!$C$42, 13.7545, 13.7545)* CHOOSE(CONTROL!$C$21, $C$9, 100%, $E$9)</f>
        <v>13.7545</v>
      </c>
      <c r="J473" s="10">
        <f>CHOOSE(CONTROL!$C$42, 13.7263, 13.7263)* CHOOSE(CONTROL!$C$21, $C$9, 100%, $E$9)</f>
        <v>13.7263</v>
      </c>
      <c r="K473" s="10">
        <f>CHOOSE(CONTROL!$C$42, 13.4981, 13.4981) * CHOOSE(CONTROL!$C$21, $C$9, 100%, $E$9)</f>
        <v>13.498100000000001</v>
      </c>
      <c r="L473" s="10">
        <f>CHOOSE(CONTROL!$C$42, 14.5616, 14.5616) * CHOOSE(CONTROL!$C$21, $C$9, 100%, $E$9)</f>
        <v>14.5616</v>
      </c>
      <c r="M473" s="10">
        <f>CHOOSE(CONTROL!$C$42, 13.6016, 13.6016) * CHOOSE(CONTROL!$C$21, $C$9, 100%, $E$9)</f>
        <v>13.601599999999999</v>
      </c>
      <c r="N473" s="10">
        <f>CHOOSE(CONTROL!$C$42, 13.6179, 13.6179) * CHOOSE(CONTROL!$C$21, $C$9, 100%, $E$9)</f>
        <v>13.617900000000001</v>
      </c>
      <c r="O473" s="10">
        <f>CHOOSE(CONTROL!$C$42, 13.8474, 13.8474) * CHOOSE(CONTROL!$C$21, $C$9, 100%, $E$9)</f>
        <v>13.8474</v>
      </c>
      <c r="P473" s="10">
        <f>CHOOSE(CONTROL!$C$42, 13.6296, 13.6296) * CHOOSE(CONTROL!$C$21, $C$9, 100%, $E$9)</f>
        <v>13.6296</v>
      </c>
      <c r="Q473" s="10">
        <f>CHOOSE(CONTROL!$C$42, 14.4427, 14.4427) * CHOOSE(CONTROL!$C$21, $C$9, 100%, $E$9)</f>
        <v>14.4427</v>
      </c>
      <c r="R473" s="10">
        <f>CHOOSE(CONTROL!$C$42, 15.0658, 15.0658) * CHOOSE(CONTROL!$C$21, $C$9, 100%, $E$9)</f>
        <v>15.065799999999999</v>
      </c>
      <c r="S473" s="10">
        <f>CHOOSE(CONTROL!$C$42, 13.3677, 13.3677) * CHOOSE(CONTROL!$C$21, $C$9, 100%, $E$9)</f>
        <v>13.367699999999999</v>
      </c>
      <c r="T4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38">
        <f>(1000*CHOOSE(CONTROL!$C$42, 695, 695)*CHOOSE(CONTROL!$C$42, 0.5599, 0.5599)*CHOOSE(CONTROL!$C$42, 31, 31))/1000000</f>
        <v>12.063045499999998</v>
      </c>
      <c r="V473" s="38">
        <f>(1000*CHOOSE(CONTROL!$C$42, 500, 500)*CHOOSE(CONTROL!$C$42, 0.275, 0.275)*CHOOSE(CONTROL!$C$42, 31, 31))/1000000</f>
        <v>4.2625000000000002</v>
      </c>
      <c r="W473" s="38">
        <f>(1000*CHOOSE(CONTROL!$C$42, 0.1146, 0.1146)*CHOOSE(CONTROL!$C$42, 121.5, 121.5)*CHOOSE(CONTROL!$C$42, 31, 31))/1000000</f>
        <v>0.43164089999999994</v>
      </c>
      <c r="X473" s="38">
        <f>(31*0.1790888*245000/1000000)+(31*0.2374*100000/1000000)</f>
        <v>2.0961194359999999</v>
      </c>
      <c r="Y473" s="38">
        <f>(1000*600*CHOOSE(CONTROL!$C$42, 1.0722, 1.0722)*CHOOSE(CONTROL!$C$42, 31, 31))/1000000</f>
        <v>19.942920000000001</v>
      </c>
      <c r="Z473" s="38"/>
      <c r="AA473" s="10"/>
      <c r="AB473" s="39"/>
      <c r="AC473" s="33">
        <f>(B473*194.205+C473*267.466+D473*133.845+E473*53.484+F473*40+G473*185+H473*0+I473*100+J473*300)/(194.205+267.466+133.845+53.484+0+40+185+100+300)</f>
        <v>13.784508293485088</v>
      </c>
      <c r="AD473" s="27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13.67834676258993</v>
      </c>
    </row>
    <row r="474" spans="1:30" ht="15.75" x14ac:dyDescent="0.25">
      <c r="A474" s="14">
        <v>55700</v>
      </c>
      <c r="B474" s="10">
        <f>CHOOSE(CONTROL!$C$42, 14.1603, 14.1603) * CHOOSE(CONTROL!$C$21, $C$9, 100%, $E$9)</f>
        <v>14.160299999999999</v>
      </c>
      <c r="C474" s="10">
        <f>CHOOSE(CONTROL!$C$42, 14.1683, 14.1683) * CHOOSE(CONTROL!$C$21, $C$9, 100%, $E$9)</f>
        <v>14.1683</v>
      </c>
      <c r="D474" s="10">
        <f>CHOOSE(CONTROL!$C$42, 14.3453, 14.3453) * CHOOSE(CONTROL!$C$21, $C$9, 100%, $E$9)</f>
        <v>14.3453</v>
      </c>
      <c r="E474" s="10">
        <f>CHOOSE(CONTROL!$C$42, 14.3764, 14.3764) * CHOOSE(CONTROL!$C$21, $C$9, 100%, $E$9)</f>
        <v>14.3764</v>
      </c>
      <c r="F474" s="10">
        <f>CHOOSE(CONTROL!$C$42, 14.1239, 14.1239)*CHOOSE(CONTROL!$C$21, $C$9, 100%, $E$9)</f>
        <v>14.123900000000001</v>
      </c>
      <c r="G474" s="10">
        <f>CHOOSE(CONTROL!$C$42, 14.1404, 14.1404)*CHOOSE(CONTROL!$C$21, $C$9, 100%, $E$9)</f>
        <v>14.1404</v>
      </c>
      <c r="H474" s="10">
        <f>CHOOSE(CONTROL!$C$42, 14.365, 14.365) * CHOOSE(CONTROL!$C$21, $C$9, 100%, $E$9)</f>
        <v>14.365</v>
      </c>
      <c r="I474" s="10">
        <f>CHOOSE(CONTROL!$C$42, 14.1449, 14.1449)* CHOOSE(CONTROL!$C$21, $C$9, 100%, $E$9)</f>
        <v>14.1449</v>
      </c>
      <c r="J474" s="10">
        <f>CHOOSE(CONTROL!$C$42, 14.1169, 14.1169)* CHOOSE(CONTROL!$C$21, $C$9, 100%, $E$9)</f>
        <v>14.116899999999999</v>
      </c>
      <c r="K474" s="10">
        <f>CHOOSE(CONTROL!$C$42, 13.8779, 13.8779) * CHOOSE(CONTROL!$C$21, $C$9, 100%, $E$9)</f>
        <v>13.8779</v>
      </c>
      <c r="L474" s="10">
        <f>CHOOSE(CONTROL!$C$42, 14.952, 14.952) * CHOOSE(CONTROL!$C$21, $C$9, 100%, $E$9)</f>
        <v>14.952</v>
      </c>
      <c r="M474" s="10">
        <f>CHOOSE(CONTROL!$C$42, 13.9882, 13.9882) * CHOOSE(CONTROL!$C$21, $C$9, 100%, $E$9)</f>
        <v>13.988200000000001</v>
      </c>
      <c r="N474" s="10">
        <f>CHOOSE(CONTROL!$C$42, 14.0046, 14.0046) * CHOOSE(CONTROL!$C$21, $C$9, 100%, $E$9)</f>
        <v>14.0046</v>
      </c>
      <c r="O474" s="10">
        <f>CHOOSE(CONTROL!$C$42, 14.2339, 14.2339) * CHOOSE(CONTROL!$C$21, $C$9, 100%, $E$9)</f>
        <v>14.2339</v>
      </c>
      <c r="P474" s="10">
        <f>CHOOSE(CONTROL!$C$42, 14.0161, 14.0161) * CHOOSE(CONTROL!$C$21, $C$9, 100%, $E$9)</f>
        <v>14.0161</v>
      </c>
      <c r="Q474" s="10">
        <f>CHOOSE(CONTROL!$C$42, 14.8292, 14.8292) * CHOOSE(CONTROL!$C$21, $C$9, 100%, $E$9)</f>
        <v>14.8292</v>
      </c>
      <c r="R474" s="10">
        <f>CHOOSE(CONTROL!$C$42, 15.4533, 15.4533) * CHOOSE(CONTROL!$C$21, $C$9, 100%, $E$9)</f>
        <v>15.4533</v>
      </c>
      <c r="S474" s="10">
        <f>CHOOSE(CONTROL!$C$42, 13.7469, 13.7469) * CHOOSE(CONTROL!$C$21, $C$9, 100%, $E$9)</f>
        <v>13.7469</v>
      </c>
      <c r="T4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38">
        <f>(1000*CHOOSE(CONTROL!$C$42, 695, 695)*CHOOSE(CONTROL!$C$42, 0.5599, 0.5599)*CHOOSE(CONTROL!$C$42, 30, 30))/1000000</f>
        <v>11.673914999999997</v>
      </c>
      <c r="V474" s="38">
        <f>(1000*CHOOSE(CONTROL!$C$42, 500, 500)*CHOOSE(CONTROL!$C$42, 0.275, 0.275)*CHOOSE(CONTROL!$C$42, 30, 30))/1000000</f>
        <v>4.125</v>
      </c>
      <c r="W474" s="38">
        <f>(1000*CHOOSE(CONTROL!$C$42, 0.1146, 0.1146)*CHOOSE(CONTROL!$C$42, 121.5, 121.5)*CHOOSE(CONTROL!$C$42, 30, 30))/1000000</f>
        <v>0.417717</v>
      </c>
      <c r="X474" s="38">
        <f>(30*0.1790888*245000/1000000)+(30*0.2374*100000/1000000)</f>
        <v>2.0285026799999999</v>
      </c>
      <c r="Y474" s="38">
        <f>(1000*600*CHOOSE(CONTROL!$C$42, 1.0722, 1.0722)*CHOOSE(CONTROL!$C$42, 30, 30))/1000000</f>
        <v>19.299600000000002</v>
      </c>
      <c r="Z474" s="38"/>
      <c r="AA474" s="10"/>
      <c r="AB474" s="39"/>
      <c r="AC474" s="33">
        <f>(B474*194.205+C474*267.466+D474*133.845+E474*53.484+F474*40+G474*185+H474*0+I474*100+J474*300)/(194.205+267.466+133.845+53.484+0+40+185+100+300)</f>
        <v>14.17502640926217</v>
      </c>
      <c r="AD474" s="27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14.064927338129499</v>
      </c>
    </row>
    <row r="475" spans="1:30" ht="15.75" x14ac:dyDescent="0.25">
      <c r="A475" s="14">
        <v>55731</v>
      </c>
      <c r="B475" s="10">
        <f>CHOOSE(CONTROL!$C$42, 13.8888, 13.8888) * CHOOSE(CONTROL!$C$21, $C$9, 100%, $E$9)</f>
        <v>13.8888</v>
      </c>
      <c r="C475" s="10">
        <f>CHOOSE(CONTROL!$C$42, 13.8967, 13.8967) * CHOOSE(CONTROL!$C$21, $C$9, 100%, $E$9)</f>
        <v>13.896699999999999</v>
      </c>
      <c r="D475" s="10">
        <f>CHOOSE(CONTROL!$C$42, 14.0737, 14.0737) * CHOOSE(CONTROL!$C$21, $C$9, 100%, $E$9)</f>
        <v>14.073700000000001</v>
      </c>
      <c r="E475" s="10">
        <f>CHOOSE(CONTROL!$C$42, 14.1048, 14.1048) * CHOOSE(CONTROL!$C$21, $C$9, 100%, $E$9)</f>
        <v>14.104799999999999</v>
      </c>
      <c r="F475" s="10">
        <f>CHOOSE(CONTROL!$C$42, 13.8526, 13.8526)*CHOOSE(CONTROL!$C$21, $C$9, 100%, $E$9)</f>
        <v>13.852600000000001</v>
      </c>
      <c r="G475" s="10">
        <f>CHOOSE(CONTROL!$C$42, 13.8692, 13.8692)*CHOOSE(CONTROL!$C$21, $C$9, 100%, $E$9)</f>
        <v>13.869199999999999</v>
      </c>
      <c r="H475" s="10">
        <f>CHOOSE(CONTROL!$C$42, 14.0935, 14.0935) * CHOOSE(CONTROL!$C$21, $C$9, 100%, $E$9)</f>
        <v>14.093500000000001</v>
      </c>
      <c r="I475" s="10">
        <f>CHOOSE(CONTROL!$C$42, 13.8734, 13.8734)* CHOOSE(CONTROL!$C$21, $C$9, 100%, $E$9)</f>
        <v>13.8734</v>
      </c>
      <c r="J475" s="10">
        <f>CHOOSE(CONTROL!$C$42, 13.8456, 13.8456)* CHOOSE(CONTROL!$C$21, $C$9, 100%, $E$9)</f>
        <v>13.845599999999999</v>
      </c>
      <c r="K475" s="10">
        <f>CHOOSE(CONTROL!$C$42, 13.6146, 13.6146) * CHOOSE(CONTROL!$C$21, $C$9, 100%, $E$9)</f>
        <v>13.614599999999999</v>
      </c>
      <c r="L475" s="10">
        <f>CHOOSE(CONTROL!$C$42, 14.6805, 14.6805) * CHOOSE(CONTROL!$C$21, $C$9, 100%, $E$9)</f>
        <v>14.6805</v>
      </c>
      <c r="M475" s="10">
        <f>CHOOSE(CONTROL!$C$42, 13.7197, 13.7197) * CHOOSE(CONTROL!$C$21, $C$9, 100%, $E$9)</f>
        <v>13.7197</v>
      </c>
      <c r="N475" s="10">
        <f>CHOOSE(CONTROL!$C$42, 13.7361, 13.7361) * CHOOSE(CONTROL!$C$21, $C$9, 100%, $E$9)</f>
        <v>13.7361</v>
      </c>
      <c r="O475" s="10">
        <f>CHOOSE(CONTROL!$C$42, 13.9651, 13.9651) * CHOOSE(CONTROL!$C$21, $C$9, 100%, $E$9)</f>
        <v>13.9651</v>
      </c>
      <c r="P475" s="10">
        <f>CHOOSE(CONTROL!$C$42, 13.7472, 13.7472) * CHOOSE(CONTROL!$C$21, $C$9, 100%, $E$9)</f>
        <v>13.747199999999999</v>
      </c>
      <c r="Q475" s="10">
        <f>CHOOSE(CONTROL!$C$42, 14.5604, 14.5604) * CHOOSE(CONTROL!$C$21, $C$9, 100%, $E$9)</f>
        <v>14.5604</v>
      </c>
      <c r="R475" s="10">
        <f>CHOOSE(CONTROL!$C$42, 15.1838, 15.1838) * CHOOSE(CONTROL!$C$21, $C$9, 100%, $E$9)</f>
        <v>15.1838</v>
      </c>
      <c r="S475" s="10">
        <f>CHOOSE(CONTROL!$C$42, 13.4832, 13.4832) * CHOOSE(CONTROL!$C$21, $C$9, 100%, $E$9)</f>
        <v>13.4832</v>
      </c>
      <c r="T4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38">
        <f>(1000*CHOOSE(CONTROL!$C$42, 695, 695)*CHOOSE(CONTROL!$C$42, 0.5599, 0.5599)*CHOOSE(CONTROL!$C$42, 31, 31))/1000000</f>
        <v>12.063045499999998</v>
      </c>
      <c r="V475" s="38">
        <f>(1000*CHOOSE(CONTROL!$C$42, 500, 500)*CHOOSE(CONTROL!$C$42, 0.275, 0.275)*CHOOSE(CONTROL!$C$42, 31, 31))/1000000</f>
        <v>4.2625000000000002</v>
      </c>
      <c r="W475" s="38">
        <f>(1000*CHOOSE(CONTROL!$C$42, 0.1146, 0.1146)*CHOOSE(CONTROL!$C$42, 121.5, 121.5)*CHOOSE(CONTROL!$C$42, 31, 31))/1000000</f>
        <v>0.43164089999999994</v>
      </c>
      <c r="X475" s="38">
        <f>(31*0.1790888*245000/1000000)+(31*0.2374*100000/1000000)</f>
        <v>2.0961194359999999</v>
      </c>
      <c r="Y475" s="38">
        <f>(1000*600*CHOOSE(CONTROL!$C$42, 1.0722, 1.0722)*CHOOSE(CONTROL!$C$42, 31, 31))/1000000</f>
        <v>19.942920000000001</v>
      </c>
      <c r="Z475" s="38"/>
      <c r="AA475" s="10"/>
      <c r="AB475" s="39"/>
      <c r="AC475" s="33">
        <f>(B475*194.205+C475*267.466+D475*133.845+E475*53.484+F475*40+G475*185+H475*0+I475*100+J475*300)/(194.205+267.466+133.845+53.484+0+40+185+100+300)</f>
        <v>13.903587649843015</v>
      </c>
      <c r="AD475" s="27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13.796285611510791</v>
      </c>
    </row>
    <row r="476" spans="1:30" ht="15.75" x14ac:dyDescent="0.25">
      <c r="A476" s="14">
        <v>55762</v>
      </c>
      <c r="B476" s="10">
        <f>CHOOSE(CONTROL!$C$42, 13.203, 13.203) * CHOOSE(CONTROL!$C$21, $C$9, 100%, $E$9)</f>
        <v>13.202999999999999</v>
      </c>
      <c r="C476" s="10">
        <f>CHOOSE(CONTROL!$C$42, 13.2109, 13.2109) * CHOOSE(CONTROL!$C$21, $C$9, 100%, $E$9)</f>
        <v>13.210900000000001</v>
      </c>
      <c r="D476" s="10">
        <f>CHOOSE(CONTROL!$C$42, 13.3879, 13.3879) * CHOOSE(CONTROL!$C$21, $C$9, 100%, $E$9)</f>
        <v>13.3879</v>
      </c>
      <c r="E476" s="10">
        <f>CHOOSE(CONTROL!$C$42, 13.4191, 13.4191) * CHOOSE(CONTROL!$C$21, $C$9, 100%, $E$9)</f>
        <v>13.4191</v>
      </c>
      <c r="F476" s="10">
        <f>CHOOSE(CONTROL!$C$42, 13.1669, 13.1669)*CHOOSE(CONTROL!$C$21, $C$9, 100%, $E$9)</f>
        <v>13.1669</v>
      </c>
      <c r="G476" s="10">
        <f>CHOOSE(CONTROL!$C$42, 13.1835, 13.1835)*CHOOSE(CONTROL!$C$21, $C$9, 100%, $E$9)</f>
        <v>13.1835</v>
      </c>
      <c r="H476" s="10">
        <f>CHOOSE(CONTROL!$C$42, 13.4077, 13.4077) * CHOOSE(CONTROL!$C$21, $C$9, 100%, $E$9)</f>
        <v>13.4077</v>
      </c>
      <c r="I476" s="10">
        <f>CHOOSE(CONTROL!$C$42, 13.1876, 13.1876)* CHOOSE(CONTROL!$C$21, $C$9, 100%, $E$9)</f>
        <v>13.1876</v>
      </c>
      <c r="J476" s="10">
        <f>CHOOSE(CONTROL!$C$42, 13.1599, 13.1599)* CHOOSE(CONTROL!$C$21, $C$9, 100%, $E$9)</f>
        <v>13.1599</v>
      </c>
      <c r="K476" s="10">
        <f>CHOOSE(CONTROL!$C$42, 12.9484, 12.9484) * CHOOSE(CONTROL!$C$21, $C$9, 100%, $E$9)</f>
        <v>12.948399999999999</v>
      </c>
      <c r="L476" s="10">
        <f>CHOOSE(CONTROL!$C$42, 13.9947, 13.9947) * CHOOSE(CONTROL!$C$21, $C$9, 100%, $E$9)</f>
        <v>13.9947</v>
      </c>
      <c r="M476" s="10">
        <f>CHOOSE(CONTROL!$C$42, 13.0409, 13.0409) * CHOOSE(CONTROL!$C$21, $C$9, 100%, $E$9)</f>
        <v>13.040900000000001</v>
      </c>
      <c r="N476" s="10">
        <f>CHOOSE(CONTROL!$C$42, 13.0573, 13.0573) * CHOOSE(CONTROL!$C$21, $C$9, 100%, $E$9)</f>
        <v>13.0573</v>
      </c>
      <c r="O476" s="10">
        <f>CHOOSE(CONTROL!$C$42, 13.2862, 13.2862) * CHOOSE(CONTROL!$C$21, $C$9, 100%, $E$9)</f>
        <v>13.286199999999999</v>
      </c>
      <c r="P476" s="10">
        <f>CHOOSE(CONTROL!$C$42, 13.0684, 13.0684) * CHOOSE(CONTROL!$C$21, $C$9, 100%, $E$9)</f>
        <v>13.0684</v>
      </c>
      <c r="Q476" s="10">
        <f>CHOOSE(CONTROL!$C$42, 13.8815, 13.8815) * CHOOSE(CONTROL!$C$21, $C$9, 100%, $E$9)</f>
        <v>13.881500000000001</v>
      </c>
      <c r="R476" s="10">
        <f>CHOOSE(CONTROL!$C$42, 14.5032, 14.5032) * CHOOSE(CONTROL!$C$21, $C$9, 100%, $E$9)</f>
        <v>14.5032</v>
      </c>
      <c r="S476" s="10">
        <f>CHOOSE(CONTROL!$C$42, 12.8172, 12.8172) * CHOOSE(CONTROL!$C$21, $C$9, 100%, $E$9)</f>
        <v>12.8172</v>
      </c>
      <c r="T4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38">
        <f>(1000*CHOOSE(CONTROL!$C$42, 695, 695)*CHOOSE(CONTROL!$C$42, 0.5599, 0.5599)*CHOOSE(CONTROL!$C$42, 31, 31))/1000000</f>
        <v>12.063045499999998</v>
      </c>
      <c r="V476" s="38">
        <f>(1000*CHOOSE(CONTROL!$C$42, 500, 500)*CHOOSE(CONTROL!$C$42, 0.275, 0.275)*CHOOSE(CONTROL!$C$42, 31, 31))/1000000</f>
        <v>4.2625000000000002</v>
      </c>
      <c r="W476" s="38">
        <f>(1000*CHOOSE(CONTROL!$C$42, 0.1146, 0.1146)*CHOOSE(CONTROL!$C$42, 121.5, 121.5)*CHOOSE(CONTROL!$C$42, 31, 31))/1000000</f>
        <v>0.43164089999999994</v>
      </c>
      <c r="X476" s="38">
        <f>(31*0.1790888*245000/1000000)+(31*0.2374*100000/1000000)</f>
        <v>2.0961194359999999</v>
      </c>
      <c r="Y476" s="38">
        <f>(1000*600*CHOOSE(CONTROL!$C$42, 1.0722, 1.0722)*CHOOSE(CONTROL!$C$42, 31, 31))/1000000</f>
        <v>19.942920000000001</v>
      </c>
      <c r="Z476" s="38"/>
      <c r="AA476" s="10"/>
      <c r="AB476" s="39"/>
      <c r="AC476" s="33">
        <f>(B476*194.205+C476*267.466+D476*133.845+E476*53.484+F476*40+G476*185+H476*0+I476*100+J476*300)/(194.205+267.466+133.845+53.484+0+40+185+100+300)</f>
        <v>13.217833056750392</v>
      </c>
      <c r="AD476" s="27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13.117457553956834</v>
      </c>
    </row>
    <row r="477" spans="1:30" ht="15.75" x14ac:dyDescent="0.25">
      <c r="A477" s="14">
        <v>55792</v>
      </c>
      <c r="B477" s="10">
        <f>CHOOSE(CONTROL!$C$42, 12.3651, 12.3651) * CHOOSE(CONTROL!$C$21, $C$9, 100%, $E$9)</f>
        <v>12.3651</v>
      </c>
      <c r="C477" s="10">
        <f>CHOOSE(CONTROL!$C$42, 12.3731, 12.3731) * CHOOSE(CONTROL!$C$21, $C$9, 100%, $E$9)</f>
        <v>12.373100000000001</v>
      </c>
      <c r="D477" s="10">
        <f>CHOOSE(CONTROL!$C$42, 12.5501, 12.5501) * CHOOSE(CONTROL!$C$21, $C$9, 100%, $E$9)</f>
        <v>12.5501</v>
      </c>
      <c r="E477" s="10">
        <f>CHOOSE(CONTROL!$C$42, 12.5812, 12.5812) * CHOOSE(CONTROL!$C$21, $C$9, 100%, $E$9)</f>
        <v>12.581200000000001</v>
      </c>
      <c r="F477" s="10">
        <f>CHOOSE(CONTROL!$C$42, 12.3287, 12.3287)*CHOOSE(CONTROL!$C$21, $C$9, 100%, $E$9)</f>
        <v>12.3287</v>
      </c>
      <c r="G477" s="10">
        <f>CHOOSE(CONTROL!$C$42, 12.3453, 12.3453)*CHOOSE(CONTROL!$C$21, $C$9, 100%, $E$9)</f>
        <v>12.3453</v>
      </c>
      <c r="H477" s="10">
        <f>CHOOSE(CONTROL!$C$42, 12.5698, 12.5698) * CHOOSE(CONTROL!$C$21, $C$9, 100%, $E$9)</f>
        <v>12.569800000000001</v>
      </c>
      <c r="I477" s="10">
        <f>CHOOSE(CONTROL!$C$42, 12.3497, 12.3497)* CHOOSE(CONTROL!$C$21, $C$9, 100%, $E$9)</f>
        <v>12.3497</v>
      </c>
      <c r="J477" s="10">
        <f>CHOOSE(CONTROL!$C$42, 12.3217, 12.3217)* CHOOSE(CONTROL!$C$21, $C$9, 100%, $E$9)</f>
        <v>12.3217</v>
      </c>
      <c r="K477" s="10">
        <f>CHOOSE(CONTROL!$C$42, 12.1338, 12.1338) * CHOOSE(CONTROL!$C$21, $C$9, 100%, $E$9)</f>
        <v>12.133800000000001</v>
      </c>
      <c r="L477" s="10">
        <f>CHOOSE(CONTROL!$C$42, 13.1568, 13.1568) * CHOOSE(CONTROL!$C$21, $C$9, 100%, $E$9)</f>
        <v>13.1568</v>
      </c>
      <c r="M477" s="10">
        <f>CHOOSE(CONTROL!$C$42, 12.2112, 12.2112) * CHOOSE(CONTROL!$C$21, $C$9, 100%, $E$9)</f>
        <v>12.2112</v>
      </c>
      <c r="N477" s="10">
        <f>CHOOSE(CONTROL!$C$42, 12.2276, 12.2276) * CHOOSE(CONTROL!$C$21, $C$9, 100%, $E$9)</f>
        <v>12.227600000000001</v>
      </c>
      <c r="O477" s="10">
        <f>CHOOSE(CONTROL!$C$42, 12.4568, 12.4568) * CHOOSE(CONTROL!$C$21, $C$9, 100%, $E$9)</f>
        <v>12.456799999999999</v>
      </c>
      <c r="P477" s="10">
        <f>CHOOSE(CONTROL!$C$42, 12.239, 12.239) * CHOOSE(CONTROL!$C$21, $C$9, 100%, $E$9)</f>
        <v>12.239000000000001</v>
      </c>
      <c r="Q477" s="10">
        <f>CHOOSE(CONTROL!$C$42, 13.0521, 13.0521) * CHOOSE(CONTROL!$C$21, $C$9, 100%, $E$9)</f>
        <v>13.052099999999999</v>
      </c>
      <c r="R477" s="10">
        <f>CHOOSE(CONTROL!$C$42, 13.6717, 13.6717) * CHOOSE(CONTROL!$C$21, $C$9, 100%, $E$9)</f>
        <v>13.6717</v>
      </c>
      <c r="S477" s="10">
        <f>CHOOSE(CONTROL!$C$42, 12.0035, 12.0035) * CHOOSE(CONTROL!$C$21, $C$9, 100%, $E$9)</f>
        <v>12.003500000000001</v>
      </c>
      <c r="T4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38">
        <f>(1000*CHOOSE(CONTROL!$C$42, 695, 695)*CHOOSE(CONTROL!$C$42, 0.5599, 0.5599)*CHOOSE(CONTROL!$C$42, 30, 30))/1000000</f>
        <v>11.673914999999997</v>
      </c>
      <c r="V477" s="38">
        <f>(1000*CHOOSE(CONTROL!$C$42, 500, 500)*CHOOSE(CONTROL!$C$42, 0.275, 0.275)*CHOOSE(CONTROL!$C$42, 30, 30))/1000000</f>
        <v>4.125</v>
      </c>
      <c r="W477" s="38">
        <f>(1000*CHOOSE(CONTROL!$C$42, 0.1146, 0.1146)*CHOOSE(CONTROL!$C$42, 121.5, 121.5)*CHOOSE(CONTROL!$C$42, 30, 30))/1000000</f>
        <v>0.417717</v>
      </c>
      <c r="X477" s="38">
        <f>(30*0.1790888*245000/1000000)+(30*0.2374*100000/1000000)</f>
        <v>2.0285026799999999</v>
      </c>
      <c r="Y477" s="38">
        <f>(1000*600*CHOOSE(CONTROL!$C$42, 1.0722, 1.0722)*CHOOSE(CONTROL!$C$42, 30, 30))/1000000</f>
        <v>19.299600000000002</v>
      </c>
      <c r="Z477" s="38"/>
      <c r="AA477" s="10"/>
      <c r="AB477" s="39"/>
      <c r="AC477" s="33">
        <f>(B477*194.205+C477*267.466+D477*133.845+E477*53.484+F477*40+G477*185+H477*0+I477*100+J477*300)/(194.205+267.466+133.845+53.484+0+40+185+100+300)</f>
        <v>12.379840930455259</v>
      </c>
      <c r="AD477" s="27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12.28788489208633</v>
      </c>
    </row>
    <row r="478" spans="1:30" ht="15.75" x14ac:dyDescent="0.25">
      <c r="A478" s="14">
        <v>55823</v>
      </c>
      <c r="B478" s="10">
        <f>CHOOSE(CONTROL!$C$42, 12.112, 12.112) * CHOOSE(CONTROL!$C$21, $C$9, 100%, $E$9)</f>
        <v>12.112</v>
      </c>
      <c r="C478" s="10">
        <f>CHOOSE(CONTROL!$C$42, 12.1173, 12.1173) * CHOOSE(CONTROL!$C$21, $C$9, 100%, $E$9)</f>
        <v>12.1173</v>
      </c>
      <c r="D478" s="10">
        <f>CHOOSE(CONTROL!$C$42, 12.2992, 12.2992) * CHOOSE(CONTROL!$C$21, $C$9, 100%, $E$9)</f>
        <v>12.299200000000001</v>
      </c>
      <c r="E478" s="10">
        <f>CHOOSE(CONTROL!$C$42, 12.328, 12.328) * CHOOSE(CONTROL!$C$21, $C$9, 100%, $E$9)</f>
        <v>12.327999999999999</v>
      </c>
      <c r="F478" s="10">
        <f>CHOOSE(CONTROL!$C$42, 12.0777, 12.0777)*CHOOSE(CONTROL!$C$21, $C$9, 100%, $E$9)</f>
        <v>12.0777</v>
      </c>
      <c r="G478" s="10">
        <f>CHOOSE(CONTROL!$C$42, 12.0939, 12.0939)*CHOOSE(CONTROL!$C$21, $C$9, 100%, $E$9)</f>
        <v>12.0939</v>
      </c>
      <c r="H478" s="10">
        <f>CHOOSE(CONTROL!$C$42, 12.3185, 12.3185) * CHOOSE(CONTROL!$C$21, $C$9, 100%, $E$9)</f>
        <v>12.3185</v>
      </c>
      <c r="I478" s="10">
        <f>CHOOSE(CONTROL!$C$42, 12.0984, 12.0984)* CHOOSE(CONTROL!$C$21, $C$9, 100%, $E$9)</f>
        <v>12.0984</v>
      </c>
      <c r="J478" s="10">
        <f>CHOOSE(CONTROL!$C$42, 12.0707, 12.0707)* CHOOSE(CONTROL!$C$21, $C$9, 100%, $E$9)</f>
        <v>12.0707</v>
      </c>
      <c r="K478" s="10">
        <f>CHOOSE(CONTROL!$C$42, 11.8902, 11.8902) * CHOOSE(CONTROL!$C$21, $C$9, 100%, $E$9)</f>
        <v>11.8902</v>
      </c>
      <c r="L478" s="10">
        <f>CHOOSE(CONTROL!$C$42, 12.9055, 12.9055) * CHOOSE(CONTROL!$C$21, $C$9, 100%, $E$9)</f>
        <v>12.9055</v>
      </c>
      <c r="M478" s="10">
        <f>CHOOSE(CONTROL!$C$42, 11.9627, 11.9627) * CHOOSE(CONTROL!$C$21, $C$9, 100%, $E$9)</f>
        <v>11.9627</v>
      </c>
      <c r="N478" s="10">
        <f>CHOOSE(CONTROL!$C$42, 11.9787, 11.9787) * CHOOSE(CONTROL!$C$21, $C$9, 100%, $E$9)</f>
        <v>11.9787</v>
      </c>
      <c r="O478" s="10">
        <f>CHOOSE(CONTROL!$C$42, 12.208, 12.208) * CHOOSE(CONTROL!$C$21, $C$9, 100%, $E$9)</f>
        <v>12.208</v>
      </c>
      <c r="P478" s="10">
        <f>CHOOSE(CONTROL!$C$42, 11.9902, 11.9902) * CHOOSE(CONTROL!$C$21, $C$9, 100%, $E$9)</f>
        <v>11.9902</v>
      </c>
      <c r="Q478" s="10">
        <f>CHOOSE(CONTROL!$C$42, 12.8033, 12.8033) * CHOOSE(CONTROL!$C$21, $C$9, 100%, $E$9)</f>
        <v>12.8033</v>
      </c>
      <c r="R478" s="10">
        <f>CHOOSE(CONTROL!$C$42, 13.4223, 13.4223) * CHOOSE(CONTROL!$C$21, $C$9, 100%, $E$9)</f>
        <v>13.4223</v>
      </c>
      <c r="S478" s="10">
        <f>CHOOSE(CONTROL!$C$42, 11.7595, 11.7595) * CHOOSE(CONTROL!$C$21, $C$9, 100%, $E$9)</f>
        <v>11.759499999999999</v>
      </c>
      <c r="T4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38">
        <f>(1000*CHOOSE(CONTROL!$C$42, 695, 695)*CHOOSE(CONTROL!$C$42, 0.5599, 0.5599)*CHOOSE(CONTROL!$C$42, 31, 31))/1000000</f>
        <v>12.063045499999998</v>
      </c>
      <c r="V478" s="38">
        <f>(1000*CHOOSE(CONTROL!$C$42, 500, 500)*CHOOSE(CONTROL!$C$42, 0.275, 0.275)*CHOOSE(CONTROL!$C$42, 31, 31))/1000000</f>
        <v>4.2625000000000002</v>
      </c>
      <c r="W478" s="38">
        <f>(1000*CHOOSE(CONTROL!$C$42, 0.1146, 0.1146)*CHOOSE(CONTROL!$C$42, 121.5, 121.5)*CHOOSE(CONTROL!$C$42, 31, 31))/1000000</f>
        <v>0.43164089999999994</v>
      </c>
      <c r="X478" s="38">
        <f>(31*0.1790888*245000/1000000)+(31*0.2374*100000/1000000)</f>
        <v>2.0961194359999999</v>
      </c>
      <c r="Y478" s="38">
        <f>(1000*600*CHOOSE(CONTROL!$C$42, 1.0722, 1.0722)*CHOOSE(CONTROL!$C$42, 31, 31))/1000000</f>
        <v>19.942920000000001</v>
      </c>
      <c r="Z478" s="38"/>
      <c r="AA478" s="10"/>
      <c r="AB478" s="39"/>
      <c r="AC478" s="33">
        <f>(B478*131.881+C478*277.167+D478*79.08+E478*125.872+F478*40+G478*185+H478*0+I478*100+J478*300)/(131.881+277.167+79.08+125.872+0+40+185+100+300)</f>
        <v>12.132169986359967</v>
      </c>
      <c r="AD478" s="27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12.039165467625898</v>
      </c>
    </row>
    <row r="479" spans="1:30" ht="15.75" x14ac:dyDescent="0.25">
      <c r="A479" s="14">
        <v>55853</v>
      </c>
      <c r="B479" s="10">
        <f>CHOOSE(CONTROL!$C$42, 12.4306, 12.4306) * CHOOSE(CONTROL!$C$21, $C$9, 100%, $E$9)</f>
        <v>12.4306</v>
      </c>
      <c r="C479" s="10">
        <f>CHOOSE(CONTROL!$C$42, 12.4356, 12.4356) * CHOOSE(CONTROL!$C$21, $C$9, 100%, $E$9)</f>
        <v>12.435600000000001</v>
      </c>
      <c r="D479" s="10">
        <f>CHOOSE(CONTROL!$C$42, 12.46, 12.46) * CHOOSE(CONTROL!$C$21, $C$9, 100%, $E$9)</f>
        <v>12.46</v>
      </c>
      <c r="E479" s="10">
        <f>CHOOSE(CONTROL!$C$42, 12.4938, 12.4938) * CHOOSE(CONTROL!$C$21, $C$9, 100%, $E$9)</f>
        <v>12.4938</v>
      </c>
      <c r="F479" s="10">
        <f>CHOOSE(CONTROL!$C$42, 12.4, 12.4)*CHOOSE(CONTROL!$C$21, $C$9, 100%, $E$9)</f>
        <v>12.4</v>
      </c>
      <c r="G479" s="10">
        <f>CHOOSE(CONTROL!$C$42, 12.4164, 12.4164)*CHOOSE(CONTROL!$C$21, $C$9, 100%, $E$9)</f>
        <v>12.416399999999999</v>
      </c>
      <c r="H479" s="10">
        <f>CHOOSE(CONTROL!$C$42, 12.483, 12.483) * CHOOSE(CONTROL!$C$21, $C$9, 100%, $E$9)</f>
        <v>12.483000000000001</v>
      </c>
      <c r="I479" s="10">
        <f>CHOOSE(CONTROL!$C$42, 12.4174, 12.4174)* CHOOSE(CONTROL!$C$21, $C$9, 100%, $E$9)</f>
        <v>12.417400000000001</v>
      </c>
      <c r="J479" s="10">
        <f>CHOOSE(CONTROL!$C$42, 12.393, 12.393)* CHOOSE(CONTROL!$C$21, $C$9, 100%, $E$9)</f>
        <v>12.393000000000001</v>
      </c>
      <c r="K479" s="10">
        <f>CHOOSE(CONTROL!$C$42, 12.2016, 12.2016) * CHOOSE(CONTROL!$C$21, $C$9, 100%, $E$9)</f>
        <v>12.201599999999999</v>
      </c>
      <c r="L479" s="10">
        <f>CHOOSE(CONTROL!$C$42, 13.07, 13.07) * CHOOSE(CONTROL!$C$21, $C$9, 100%, $E$9)</f>
        <v>13.07</v>
      </c>
      <c r="M479" s="10">
        <f>CHOOSE(CONTROL!$C$42, 12.2817, 12.2817) * CHOOSE(CONTROL!$C$21, $C$9, 100%, $E$9)</f>
        <v>12.281700000000001</v>
      </c>
      <c r="N479" s="10">
        <f>CHOOSE(CONTROL!$C$42, 12.298, 12.298) * CHOOSE(CONTROL!$C$21, $C$9, 100%, $E$9)</f>
        <v>12.298</v>
      </c>
      <c r="O479" s="10">
        <f>CHOOSE(CONTROL!$C$42, 12.3709, 12.3709) * CHOOSE(CONTROL!$C$21, $C$9, 100%, $E$9)</f>
        <v>12.370900000000001</v>
      </c>
      <c r="P479" s="10">
        <f>CHOOSE(CONTROL!$C$42, 12.306, 12.306) * CHOOSE(CONTROL!$C$21, $C$9, 100%, $E$9)</f>
        <v>12.305999999999999</v>
      </c>
      <c r="Q479" s="10">
        <f>CHOOSE(CONTROL!$C$42, 12.9662, 12.9662) * CHOOSE(CONTROL!$C$21, $C$9, 100%, $E$9)</f>
        <v>12.966200000000001</v>
      </c>
      <c r="R479" s="10">
        <f>CHOOSE(CONTROL!$C$42, 13.5856, 13.5856) * CHOOSE(CONTROL!$C$21, $C$9, 100%, $E$9)</f>
        <v>13.585599999999999</v>
      </c>
      <c r="S479" s="10">
        <f>CHOOSE(CONTROL!$C$42, 12.0692, 12.0692) * CHOOSE(CONTROL!$C$21, $C$9, 100%, $E$9)</f>
        <v>12.0692</v>
      </c>
      <c r="T4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38">
        <f>(1000*CHOOSE(CONTROL!$C$42, 695, 695)*CHOOSE(CONTROL!$C$42, 0.5599, 0.5599)*CHOOSE(CONTROL!$C$42, 30, 30))/1000000</f>
        <v>11.673914999999997</v>
      </c>
      <c r="V479" s="38">
        <f>(1000*CHOOSE(CONTROL!$C$42, 500, 500)*CHOOSE(CONTROL!$C$42, 0.275, 0.275)*CHOOSE(CONTROL!$C$42, 30, 30))/1000000</f>
        <v>4.125</v>
      </c>
      <c r="W479" s="38">
        <f>(1000*CHOOSE(CONTROL!$C$42, 0.1146, 0.1146)*CHOOSE(CONTROL!$C$42, 121.5, 121.5)*CHOOSE(CONTROL!$C$42, 30, 30))/1000000</f>
        <v>0.417717</v>
      </c>
      <c r="X479" s="38">
        <f>(30*0.1790888*100000/1000000)+(30*0.2374*100000/1000000)</f>
        <v>1.2494664</v>
      </c>
      <c r="Y479" s="38">
        <f>(1000*600*CHOOSE(CONTROL!$C$42, 1.0722, 1.0722)*CHOOSE(CONTROL!$C$42, 30, 30))/1000000</f>
        <v>19.299600000000002</v>
      </c>
      <c r="Z479" s="38"/>
      <c r="AA479" s="10"/>
      <c r="AB479" s="39"/>
      <c r="AC479" s="33">
        <f>(B479*122.58+C479*297.941+D479*89.177+E479*40.302+F479*40+G479*160+H479*0+I479*100+J479*300)/(122.58+297.941+89.177+40.302+0+40+160+100+300)</f>
        <v>12.422393561043478</v>
      </c>
      <c r="AD479" s="27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12.326563309352521</v>
      </c>
    </row>
    <row r="480" spans="1:30" ht="15.75" x14ac:dyDescent="0.25">
      <c r="A480" s="14">
        <v>55884</v>
      </c>
      <c r="B480" s="10">
        <f>CHOOSE(CONTROL!$C$42, 13.2779, 13.2779) * CHOOSE(CONTROL!$C$21, $C$9, 100%, $E$9)</f>
        <v>13.277900000000001</v>
      </c>
      <c r="C480" s="10">
        <f>CHOOSE(CONTROL!$C$42, 13.2829, 13.2829) * CHOOSE(CONTROL!$C$21, $C$9, 100%, $E$9)</f>
        <v>13.2829</v>
      </c>
      <c r="D480" s="10">
        <f>CHOOSE(CONTROL!$C$42, 13.3074, 13.3074) * CHOOSE(CONTROL!$C$21, $C$9, 100%, $E$9)</f>
        <v>13.307399999999999</v>
      </c>
      <c r="E480" s="10">
        <f>CHOOSE(CONTROL!$C$42, 13.3411, 13.3411) * CHOOSE(CONTROL!$C$21, $C$9, 100%, $E$9)</f>
        <v>13.341100000000001</v>
      </c>
      <c r="F480" s="10">
        <f>CHOOSE(CONTROL!$C$42, 13.2496, 13.2496)*CHOOSE(CONTROL!$C$21, $C$9, 100%, $E$9)</f>
        <v>13.249599999999999</v>
      </c>
      <c r="G480" s="10">
        <f>CHOOSE(CONTROL!$C$42, 13.2666, 13.2666)*CHOOSE(CONTROL!$C$21, $C$9, 100%, $E$9)</f>
        <v>13.2666</v>
      </c>
      <c r="H480" s="10">
        <f>CHOOSE(CONTROL!$C$42, 13.3303, 13.3303) * CHOOSE(CONTROL!$C$21, $C$9, 100%, $E$9)</f>
        <v>13.330299999999999</v>
      </c>
      <c r="I480" s="10">
        <f>CHOOSE(CONTROL!$C$42, 13.2647, 13.2647)* CHOOSE(CONTROL!$C$21, $C$9, 100%, $E$9)</f>
        <v>13.264699999999999</v>
      </c>
      <c r="J480" s="10">
        <f>CHOOSE(CONTROL!$C$42, 13.2426, 13.2426)* CHOOSE(CONTROL!$C$21, $C$9, 100%, $E$9)</f>
        <v>13.242599999999999</v>
      </c>
      <c r="K480" s="10">
        <f>CHOOSE(CONTROL!$C$42, 13.0298, 13.0298) * CHOOSE(CONTROL!$C$21, $C$9, 100%, $E$9)</f>
        <v>13.0298</v>
      </c>
      <c r="L480" s="10">
        <f>CHOOSE(CONTROL!$C$42, 13.9173, 13.9173) * CHOOSE(CONTROL!$C$21, $C$9, 100%, $E$9)</f>
        <v>13.917299999999999</v>
      </c>
      <c r="M480" s="10">
        <f>CHOOSE(CONTROL!$C$42, 13.1228, 13.1228) * CHOOSE(CONTROL!$C$21, $C$9, 100%, $E$9)</f>
        <v>13.1228</v>
      </c>
      <c r="N480" s="10">
        <f>CHOOSE(CONTROL!$C$42, 13.1396, 13.1396) * CHOOSE(CONTROL!$C$21, $C$9, 100%, $E$9)</f>
        <v>13.1396</v>
      </c>
      <c r="O480" s="10">
        <f>CHOOSE(CONTROL!$C$42, 13.2096, 13.2096) * CHOOSE(CONTROL!$C$21, $C$9, 100%, $E$9)</f>
        <v>13.2096</v>
      </c>
      <c r="P480" s="10">
        <f>CHOOSE(CONTROL!$C$42, 13.1447, 13.1447) * CHOOSE(CONTROL!$C$21, $C$9, 100%, $E$9)</f>
        <v>13.1447</v>
      </c>
      <c r="Q480" s="10">
        <f>CHOOSE(CONTROL!$C$42, 13.8049, 13.8049) * CHOOSE(CONTROL!$C$21, $C$9, 100%, $E$9)</f>
        <v>13.8049</v>
      </c>
      <c r="R480" s="10">
        <f>CHOOSE(CONTROL!$C$42, 14.4264, 14.4264) * CHOOSE(CONTROL!$C$21, $C$9, 100%, $E$9)</f>
        <v>14.426399999999999</v>
      </c>
      <c r="S480" s="10">
        <f>CHOOSE(CONTROL!$C$42, 12.8921, 12.8921) * CHOOSE(CONTROL!$C$21, $C$9, 100%, $E$9)</f>
        <v>12.892099999999999</v>
      </c>
      <c r="T4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38">
        <f>(1000*CHOOSE(CONTROL!$C$42, 695, 695)*CHOOSE(CONTROL!$C$42, 0.5599, 0.5599)*CHOOSE(CONTROL!$C$42, 31, 31))/1000000</f>
        <v>12.063045499999998</v>
      </c>
      <c r="V480" s="38">
        <f>(1000*CHOOSE(CONTROL!$C$42, 500, 500)*CHOOSE(CONTROL!$C$42, 0.275, 0.275)*CHOOSE(CONTROL!$C$42, 31, 31))/1000000</f>
        <v>4.2625000000000002</v>
      </c>
      <c r="W480" s="38">
        <f>(1000*CHOOSE(CONTROL!$C$42, 0.1146, 0.1146)*CHOOSE(CONTROL!$C$42, 121.5, 121.5)*CHOOSE(CONTROL!$C$42, 31, 31))/1000000</f>
        <v>0.43164089999999994</v>
      </c>
      <c r="X480" s="38">
        <f>(31*0.1790888*100000/1000000)+(31*0.2374*100000/1000000)</f>
        <v>1.2911152800000001</v>
      </c>
      <c r="Y480" s="38">
        <f>(1000*600*CHOOSE(CONTROL!$C$42, 1.0722, 1.0722)*CHOOSE(CONTROL!$C$42, 31, 31))/1000000</f>
        <v>19.942920000000001</v>
      </c>
      <c r="Z480" s="38"/>
      <c r="AA480" s="10"/>
      <c r="AB480" s="39"/>
      <c r="AC480" s="33">
        <f>(B480*122.58+C480*297.941+D480*89.177+E480*40.302+F480*40+G480*160+H480*0+I480*100+J480*300)/(122.58+297.941+89.177+40.302+0+40+160+100+300)</f>
        <v>13.270784793826087</v>
      </c>
      <c r="AD480" s="27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13.166258992805755</v>
      </c>
    </row>
    <row r="481" spans="1:30" ht="15.75" x14ac:dyDescent="0.25">
      <c r="A481" s="14">
        <v>55915</v>
      </c>
      <c r="B481" s="10">
        <f>CHOOSE(CONTROL!$C$42, 14.1739, 14.1739) * CHOOSE(CONTROL!$C$21, $C$9, 100%, $E$9)</f>
        <v>14.1739</v>
      </c>
      <c r="C481" s="10">
        <f>CHOOSE(CONTROL!$C$42, 14.1789, 14.1789) * CHOOSE(CONTROL!$C$21, $C$9, 100%, $E$9)</f>
        <v>14.178900000000001</v>
      </c>
      <c r="D481" s="10">
        <f>CHOOSE(CONTROL!$C$42, 14.2033, 14.2033) * CHOOSE(CONTROL!$C$21, $C$9, 100%, $E$9)</f>
        <v>14.2033</v>
      </c>
      <c r="E481" s="10">
        <f>CHOOSE(CONTROL!$C$42, 14.2371, 14.2371) * CHOOSE(CONTROL!$C$21, $C$9, 100%, $E$9)</f>
        <v>14.2371</v>
      </c>
      <c r="F481" s="10">
        <f>CHOOSE(CONTROL!$C$42, 14.1569, 14.1569)*CHOOSE(CONTROL!$C$21, $C$9, 100%, $E$9)</f>
        <v>14.1569</v>
      </c>
      <c r="G481" s="10">
        <f>CHOOSE(CONTROL!$C$42, 14.1755, 14.1755)*CHOOSE(CONTROL!$C$21, $C$9, 100%, $E$9)</f>
        <v>14.1755</v>
      </c>
      <c r="H481" s="10">
        <f>CHOOSE(CONTROL!$C$42, 14.2263, 14.2263) * CHOOSE(CONTROL!$C$21, $C$9, 100%, $E$9)</f>
        <v>14.2263</v>
      </c>
      <c r="I481" s="10">
        <f>CHOOSE(CONTROL!$C$42, 14.1684, 14.1684)* CHOOSE(CONTROL!$C$21, $C$9, 100%, $E$9)</f>
        <v>14.1684</v>
      </c>
      <c r="J481" s="10">
        <f>CHOOSE(CONTROL!$C$42, 14.1499, 14.1499)* CHOOSE(CONTROL!$C$21, $C$9, 100%, $E$9)</f>
        <v>14.149900000000001</v>
      </c>
      <c r="K481" s="10">
        <f>CHOOSE(CONTROL!$C$42, 13.9213, 13.9213) * CHOOSE(CONTROL!$C$21, $C$9, 100%, $E$9)</f>
        <v>13.9213</v>
      </c>
      <c r="L481" s="10">
        <f>CHOOSE(CONTROL!$C$42, 14.8133, 14.8133) * CHOOSE(CONTROL!$C$21, $C$9, 100%, $E$9)</f>
        <v>14.8133</v>
      </c>
      <c r="M481" s="10">
        <f>CHOOSE(CONTROL!$C$42, 14.0209, 14.0209) * CHOOSE(CONTROL!$C$21, $C$9, 100%, $E$9)</f>
        <v>14.020899999999999</v>
      </c>
      <c r="N481" s="10">
        <f>CHOOSE(CONTROL!$C$42, 14.0394, 14.0394) * CHOOSE(CONTROL!$C$21, $C$9, 100%, $E$9)</f>
        <v>14.039400000000001</v>
      </c>
      <c r="O481" s="10">
        <f>CHOOSE(CONTROL!$C$42, 14.0966, 14.0966) * CHOOSE(CONTROL!$C$21, $C$9, 100%, $E$9)</f>
        <v>14.0966</v>
      </c>
      <c r="P481" s="10">
        <f>CHOOSE(CONTROL!$C$42, 14.0393, 14.0393) * CHOOSE(CONTROL!$C$21, $C$9, 100%, $E$9)</f>
        <v>14.039300000000001</v>
      </c>
      <c r="Q481" s="10">
        <f>CHOOSE(CONTROL!$C$42, 14.6919, 14.6919) * CHOOSE(CONTROL!$C$21, $C$9, 100%, $E$9)</f>
        <v>14.6919</v>
      </c>
      <c r="R481" s="10">
        <f>CHOOSE(CONTROL!$C$42, 15.3156, 15.3156) * CHOOSE(CONTROL!$C$21, $C$9, 100%, $E$9)</f>
        <v>15.3156</v>
      </c>
      <c r="S481" s="10">
        <f>CHOOSE(CONTROL!$C$42, 13.7622, 13.7622) * CHOOSE(CONTROL!$C$21, $C$9, 100%, $E$9)</f>
        <v>13.7622</v>
      </c>
      <c r="T4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38">
        <f>(1000*CHOOSE(CONTROL!$C$42, 695, 695)*CHOOSE(CONTROL!$C$42, 0.5599, 0.5599)*CHOOSE(CONTROL!$C$42, 31, 31))/1000000</f>
        <v>12.063045499999998</v>
      </c>
      <c r="V481" s="38">
        <f>(1000*CHOOSE(CONTROL!$C$42, 500, 500)*CHOOSE(CONTROL!$C$42, 0.275, 0.275)*CHOOSE(CONTROL!$C$42, 31, 31))/1000000</f>
        <v>4.2625000000000002</v>
      </c>
      <c r="W481" s="38">
        <f>(1000*CHOOSE(CONTROL!$C$42, 0.1146, 0.1146)*CHOOSE(CONTROL!$C$42, 121.5, 121.5)*CHOOSE(CONTROL!$C$42, 31, 31))/1000000</f>
        <v>0.43164089999999994</v>
      </c>
      <c r="X481" s="38">
        <f>(31*0.1790888*100000/1000000)+(31*0.2374*100000/1000000)</f>
        <v>1.2911152800000001</v>
      </c>
      <c r="Y481" s="38">
        <f>(1000*600*CHOOSE(CONTROL!$C$42, 1.0687, 1.0687)*CHOOSE(CONTROL!$C$42, 31, 31))/1000000</f>
        <v>19.87782</v>
      </c>
      <c r="Z481" s="38"/>
      <c r="AA481" s="10"/>
      <c r="AB481" s="39"/>
      <c r="AC481" s="33">
        <f>(B481*122.58+C481*297.941+D481*89.177+E481*40.302+F481*40+G481*160+H481*0+I481*100+J481*300)/(122.58+297.941+89.177+40.302+0+40+160+100+300)</f>
        <v>14.172582256695652</v>
      </c>
      <c r="AD481" s="27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14.058922302158274</v>
      </c>
    </row>
    <row r="482" spans="1:30" ht="15.75" x14ac:dyDescent="0.25">
      <c r="A482" s="14">
        <v>55943</v>
      </c>
      <c r="B482" s="10">
        <f>CHOOSE(CONTROL!$C$42, 14.4262, 14.4262) * CHOOSE(CONTROL!$C$21, $C$9, 100%, $E$9)</f>
        <v>14.4262</v>
      </c>
      <c r="C482" s="10">
        <f>CHOOSE(CONTROL!$C$42, 14.4311, 14.4311) * CHOOSE(CONTROL!$C$21, $C$9, 100%, $E$9)</f>
        <v>14.431100000000001</v>
      </c>
      <c r="D482" s="10">
        <f>CHOOSE(CONTROL!$C$42, 14.4556, 14.4556) * CHOOSE(CONTROL!$C$21, $C$9, 100%, $E$9)</f>
        <v>14.4556</v>
      </c>
      <c r="E482" s="10">
        <f>CHOOSE(CONTROL!$C$42, 14.4894, 14.4894) * CHOOSE(CONTROL!$C$21, $C$9, 100%, $E$9)</f>
        <v>14.4894</v>
      </c>
      <c r="F482" s="10">
        <f>CHOOSE(CONTROL!$C$42, 14.4084, 14.4084)*CHOOSE(CONTROL!$C$21, $C$9, 100%, $E$9)</f>
        <v>14.4084</v>
      </c>
      <c r="G482" s="10">
        <f>CHOOSE(CONTROL!$C$42, 14.4269, 14.4269)*CHOOSE(CONTROL!$C$21, $C$9, 100%, $E$9)</f>
        <v>14.4269</v>
      </c>
      <c r="H482" s="10">
        <f>CHOOSE(CONTROL!$C$42, 14.4786, 14.4786) * CHOOSE(CONTROL!$C$21, $C$9, 100%, $E$9)</f>
        <v>14.4786</v>
      </c>
      <c r="I482" s="10">
        <f>CHOOSE(CONTROL!$C$42, 14.4207, 14.4207)* CHOOSE(CONTROL!$C$21, $C$9, 100%, $E$9)</f>
        <v>14.4207</v>
      </c>
      <c r="J482" s="10">
        <f>CHOOSE(CONTROL!$C$42, 14.4014, 14.4014)* CHOOSE(CONTROL!$C$21, $C$9, 100%, $E$9)</f>
        <v>14.401400000000001</v>
      </c>
      <c r="K482" s="10">
        <f>CHOOSE(CONTROL!$C$42, 14.165, 14.165) * CHOOSE(CONTROL!$C$21, $C$9, 100%, $E$9)</f>
        <v>14.164999999999999</v>
      </c>
      <c r="L482" s="10">
        <f>CHOOSE(CONTROL!$C$42, 15.0656, 15.0656) * CHOOSE(CONTROL!$C$21, $C$9, 100%, $E$9)</f>
        <v>15.0656</v>
      </c>
      <c r="M482" s="10">
        <f>CHOOSE(CONTROL!$C$42, 14.2699, 14.2699) * CHOOSE(CONTROL!$C$21, $C$9, 100%, $E$9)</f>
        <v>14.2699</v>
      </c>
      <c r="N482" s="10">
        <f>CHOOSE(CONTROL!$C$42, 14.2882, 14.2882) * CHOOSE(CONTROL!$C$21, $C$9, 100%, $E$9)</f>
        <v>14.2882</v>
      </c>
      <c r="O482" s="10">
        <f>CHOOSE(CONTROL!$C$42, 14.3463, 14.3463) * CHOOSE(CONTROL!$C$21, $C$9, 100%, $E$9)</f>
        <v>14.346299999999999</v>
      </c>
      <c r="P482" s="10">
        <f>CHOOSE(CONTROL!$C$42, 14.289, 14.289) * CHOOSE(CONTROL!$C$21, $C$9, 100%, $E$9)</f>
        <v>14.289</v>
      </c>
      <c r="Q482" s="10">
        <f>CHOOSE(CONTROL!$C$42, 14.9416, 14.9416) * CHOOSE(CONTROL!$C$21, $C$9, 100%, $E$9)</f>
        <v>14.941599999999999</v>
      </c>
      <c r="R482" s="10">
        <f>CHOOSE(CONTROL!$C$42, 15.5659, 15.5659) * CHOOSE(CONTROL!$C$21, $C$9, 100%, $E$9)</f>
        <v>15.565899999999999</v>
      </c>
      <c r="S482" s="10">
        <f>CHOOSE(CONTROL!$C$42, 14.0071, 14.0071) * CHOOSE(CONTROL!$C$21, $C$9, 100%, $E$9)</f>
        <v>14.007099999999999</v>
      </c>
      <c r="T4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82" s="38">
        <f>(1000*CHOOSE(CONTROL!$C$42, 695, 695)*CHOOSE(CONTROL!$C$42, 0.5599, 0.5599)*CHOOSE(CONTROL!$C$42, 28, 28))/1000000</f>
        <v>10.895653999999999</v>
      </c>
      <c r="V482" s="38">
        <f>(1000*CHOOSE(CONTROL!$C$42, 500, 500)*CHOOSE(CONTROL!$C$42, 0.275, 0.275)*CHOOSE(CONTROL!$C$42, 28, 28))/1000000</f>
        <v>3.85</v>
      </c>
      <c r="W482" s="38">
        <f>(1000*CHOOSE(CONTROL!$C$42, 0.1146, 0.1146)*CHOOSE(CONTROL!$C$42, 121.5, 121.5)*CHOOSE(CONTROL!$C$42, 28, 28))/1000000</f>
        <v>0.38986920000000003</v>
      </c>
      <c r="X482" s="38">
        <f>(28*0.1790888*100000/1000000)+(28*0.2374*100000/1000000)</f>
        <v>1.16616864</v>
      </c>
      <c r="Y482" s="38">
        <f>(1000*600*CHOOSE(CONTROL!$C$42, 1.0687, 1.0687)*CHOOSE(CONTROL!$C$42, 28, 28))/1000000</f>
        <v>17.954160000000002</v>
      </c>
      <c r="Z482" s="38"/>
      <c r="AA482" s="10"/>
      <c r="AB482" s="39"/>
      <c r="AC482" s="33">
        <f>(B482*122.58+C482*297.941+D482*89.177+E482*40.302+F482*40+G482*160+H482*0+I482*100+J482*300)/(122.58+297.941+89.177+40.302+0+40+160+100+300)</f>
        <v>14.424494609652175</v>
      </c>
      <c r="AD482" s="27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14.308328776978419</v>
      </c>
    </row>
    <row r="483" spans="1:30" ht="15.75" x14ac:dyDescent="0.25">
      <c r="A483" s="14">
        <v>55974</v>
      </c>
      <c r="B483" s="10">
        <f>CHOOSE(CONTROL!$C$42, 14.0167, 14.0167) * CHOOSE(CONTROL!$C$21, $C$9, 100%, $E$9)</f>
        <v>14.0167</v>
      </c>
      <c r="C483" s="10">
        <f>CHOOSE(CONTROL!$C$42, 14.0217, 14.0217) * CHOOSE(CONTROL!$C$21, $C$9, 100%, $E$9)</f>
        <v>14.021699999999999</v>
      </c>
      <c r="D483" s="10">
        <f>CHOOSE(CONTROL!$C$42, 14.0461, 14.0461) * CHOOSE(CONTROL!$C$21, $C$9, 100%, $E$9)</f>
        <v>14.046099999999999</v>
      </c>
      <c r="E483" s="10">
        <f>CHOOSE(CONTROL!$C$42, 14.0799, 14.0799) * CHOOSE(CONTROL!$C$21, $C$9, 100%, $E$9)</f>
        <v>14.0799</v>
      </c>
      <c r="F483" s="10">
        <f>CHOOSE(CONTROL!$C$42, 13.9974, 13.9974)*CHOOSE(CONTROL!$C$21, $C$9, 100%, $E$9)</f>
        <v>13.997400000000001</v>
      </c>
      <c r="G483" s="10">
        <f>CHOOSE(CONTROL!$C$42, 14.0155, 14.0155)*CHOOSE(CONTROL!$C$21, $C$9, 100%, $E$9)</f>
        <v>14.015499999999999</v>
      </c>
      <c r="H483" s="10">
        <f>CHOOSE(CONTROL!$C$42, 14.0691, 14.0691) * CHOOSE(CONTROL!$C$21, $C$9, 100%, $E$9)</f>
        <v>14.069100000000001</v>
      </c>
      <c r="I483" s="10">
        <f>CHOOSE(CONTROL!$C$42, 14.0112, 14.0112)* CHOOSE(CONTROL!$C$21, $C$9, 100%, $E$9)</f>
        <v>14.011200000000001</v>
      </c>
      <c r="J483" s="10">
        <f>CHOOSE(CONTROL!$C$42, 13.9904, 13.9904)* CHOOSE(CONTROL!$C$21, $C$9, 100%, $E$9)</f>
        <v>13.990399999999999</v>
      </c>
      <c r="K483" s="10">
        <f>CHOOSE(CONTROL!$C$42, 13.7638, 13.7638) * CHOOSE(CONTROL!$C$21, $C$9, 100%, $E$9)</f>
        <v>13.7638</v>
      </c>
      <c r="L483" s="10">
        <f>CHOOSE(CONTROL!$C$42, 14.6561, 14.6561) * CHOOSE(CONTROL!$C$21, $C$9, 100%, $E$9)</f>
        <v>14.6561</v>
      </c>
      <c r="M483" s="10">
        <f>CHOOSE(CONTROL!$C$42, 13.8631, 13.8631) * CHOOSE(CONTROL!$C$21, $C$9, 100%, $E$9)</f>
        <v>13.863099999999999</v>
      </c>
      <c r="N483" s="10">
        <f>CHOOSE(CONTROL!$C$42, 13.881, 13.881) * CHOOSE(CONTROL!$C$21, $C$9, 100%, $E$9)</f>
        <v>13.881</v>
      </c>
      <c r="O483" s="10">
        <f>CHOOSE(CONTROL!$C$42, 13.9409, 13.9409) * CHOOSE(CONTROL!$C$21, $C$9, 100%, $E$9)</f>
        <v>13.940899999999999</v>
      </c>
      <c r="P483" s="10">
        <f>CHOOSE(CONTROL!$C$42, 13.8837, 13.8837) * CHOOSE(CONTROL!$C$21, $C$9, 100%, $E$9)</f>
        <v>13.883699999999999</v>
      </c>
      <c r="Q483" s="10">
        <f>CHOOSE(CONTROL!$C$42, 14.5362, 14.5362) * CHOOSE(CONTROL!$C$21, $C$9, 100%, $E$9)</f>
        <v>14.536199999999999</v>
      </c>
      <c r="R483" s="10">
        <f>CHOOSE(CONTROL!$C$42, 15.1596, 15.1596) * CHOOSE(CONTROL!$C$21, $C$9, 100%, $E$9)</f>
        <v>15.159599999999999</v>
      </c>
      <c r="S483" s="10">
        <f>CHOOSE(CONTROL!$C$42, 13.6095, 13.6095) * CHOOSE(CONTROL!$C$21, $C$9, 100%, $E$9)</f>
        <v>13.609500000000001</v>
      </c>
      <c r="T4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38">
        <f>(1000*CHOOSE(CONTROL!$C$42, 695, 695)*CHOOSE(CONTROL!$C$42, 0.5599, 0.5599)*CHOOSE(CONTROL!$C$42, 31, 31))/1000000</f>
        <v>12.063045499999998</v>
      </c>
      <c r="V483" s="38">
        <f>(1000*CHOOSE(CONTROL!$C$42, 500, 500)*CHOOSE(CONTROL!$C$42, 0.275, 0.275)*CHOOSE(CONTROL!$C$42, 31, 31))/1000000</f>
        <v>4.2625000000000002</v>
      </c>
      <c r="W483" s="38">
        <f>(1000*CHOOSE(CONTROL!$C$42, 0.1146, 0.1146)*CHOOSE(CONTROL!$C$42, 121.5, 121.5)*CHOOSE(CONTROL!$C$42, 31, 31))/1000000</f>
        <v>0.43164089999999994</v>
      </c>
      <c r="X483" s="38">
        <f>(31*0.1790888*100000/1000000)+(31*0.2374*100000/1000000)</f>
        <v>1.2911152800000001</v>
      </c>
      <c r="Y483" s="38">
        <f>(1000*600*CHOOSE(CONTROL!$C$42, 1.0687, 1.0687)*CHOOSE(CONTROL!$C$42, 31, 31))/1000000</f>
        <v>19.87782</v>
      </c>
      <c r="Z483" s="38"/>
      <c r="AA483" s="10"/>
      <c r="AB483" s="39"/>
      <c r="AC483" s="33">
        <f>(B483*122.58+C483*297.941+D483*89.177+E483*40.302+F483*40+G483*160+H483*0+I483*100+J483*300)/(122.58+297.941+89.177+40.302+0+40+160+100+300)</f>
        <v>14.01431269147826</v>
      </c>
      <c r="AD483" s="27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13.902356115107915</v>
      </c>
    </row>
    <row r="484" spans="1:30" ht="15.75" x14ac:dyDescent="0.25">
      <c r="A484" s="14">
        <v>56004</v>
      </c>
      <c r="B484" s="10">
        <f>CHOOSE(CONTROL!$C$42, 13.9755, 13.9755) * CHOOSE(CONTROL!$C$21, $C$9, 100%, $E$9)</f>
        <v>13.9755</v>
      </c>
      <c r="C484" s="10">
        <f>CHOOSE(CONTROL!$C$42, 13.9799, 13.9799) * CHOOSE(CONTROL!$C$21, $C$9, 100%, $E$9)</f>
        <v>13.979900000000001</v>
      </c>
      <c r="D484" s="10">
        <f>CHOOSE(CONTROL!$C$42, 14.16, 14.16) * CHOOSE(CONTROL!$C$21, $C$9, 100%, $E$9)</f>
        <v>14.16</v>
      </c>
      <c r="E484" s="10">
        <f>CHOOSE(CONTROL!$C$42, 14.1918, 14.1918) * CHOOSE(CONTROL!$C$21, $C$9, 100%, $E$9)</f>
        <v>14.191800000000001</v>
      </c>
      <c r="F484" s="10">
        <f>CHOOSE(CONTROL!$C$42, 13.9408, 13.9408)*CHOOSE(CONTROL!$C$21, $C$9, 100%, $E$9)</f>
        <v>13.940799999999999</v>
      </c>
      <c r="G484" s="10">
        <f>CHOOSE(CONTROL!$C$42, 13.9571, 13.9571)*CHOOSE(CONTROL!$C$21, $C$9, 100%, $E$9)</f>
        <v>13.957100000000001</v>
      </c>
      <c r="H484" s="10">
        <f>CHOOSE(CONTROL!$C$42, 14.1816, 14.1816) * CHOOSE(CONTROL!$C$21, $C$9, 100%, $E$9)</f>
        <v>14.1816</v>
      </c>
      <c r="I484" s="10">
        <f>CHOOSE(CONTROL!$C$42, 13.9615, 13.9615)* CHOOSE(CONTROL!$C$21, $C$9, 100%, $E$9)</f>
        <v>13.961499999999999</v>
      </c>
      <c r="J484" s="10">
        <f>CHOOSE(CONTROL!$C$42, 13.9338, 13.9338)* CHOOSE(CONTROL!$C$21, $C$9, 100%, $E$9)</f>
        <v>13.9338</v>
      </c>
      <c r="K484" s="10">
        <f>CHOOSE(CONTROL!$C$42, 13.7005, 13.7005) * CHOOSE(CONTROL!$C$21, $C$9, 100%, $E$9)</f>
        <v>13.7005</v>
      </c>
      <c r="L484" s="10">
        <f>CHOOSE(CONTROL!$C$42, 14.7686, 14.7686) * CHOOSE(CONTROL!$C$21, $C$9, 100%, $E$9)</f>
        <v>14.768599999999999</v>
      </c>
      <c r="M484" s="10">
        <f>CHOOSE(CONTROL!$C$42, 13.8071, 13.8071) * CHOOSE(CONTROL!$C$21, $C$9, 100%, $E$9)</f>
        <v>13.8071</v>
      </c>
      <c r="N484" s="10">
        <f>CHOOSE(CONTROL!$C$42, 13.8231, 13.8231) * CHOOSE(CONTROL!$C$21, $C$9, 100%, $E$9)</f>
        <v>13.8231</v>
      </c>
      <c r="O484" s="10">
        <f>CHOOSE(CONTROL!$C$42, 14.0523, 14.0523) * CHOOSE(CONTROL!$C$21, $C$9, 100%, $E$9)</f>
        <v>14.052300000000001</v>
      </c>
      <c r="P484" s="10">
        <f>CHOOSE(CONTROL!$C$42, 13.8345, 13.8345) * CHOOSE(CONTROL!$C$21, $C$9, 100%, $E$9)</f>
        <v>13.8345</v>
      </c>
      <c r="Q484" s="10">
        <f>CHOOSE(CONTROL!$C$42, 14.6476, 14.6476) * CHOOSE(CONTROL!$C$21, $C$9, 100%, $E$9)</f>
        <v>14.647600000000001</v>
      </c>
      <c r="R484" s="10">
        <f>CHOOSE(CONTROL!$C$42, 15.2712, 15.2712) * CHOOSE(CONTROL!$C$21, $C$9, 100%, $E$9)</f>
        <v>15.2712</v>
      </c>
      <c r="S484" s="10">
        <f>CHOOSE(CONTROL!$C$42, 13.5687, 13.5687) * CHOOSE(CONTROL!$C$21, $C$9, 100%, $E$9)</f>
        <v>13.5687</v>
      </c>
      <c r="T4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38">
        <f>(1000*CHOOSE(CONTROL!$C$42, 695, 695)*CHOOSE(CONTROL!$C$42, 0.5599, 0.5599)*CHOOSE(CONTROL!$C$42, 30, 30))/1000000</f>
        <v>11.673914999999997</v>
      </c>
      <c r="V484" s="38">
        <f>(1000*CHOOSE(CONTROL!$C$42, 500, 500)*CHOOSE(CONTROL!$C$42, 0.275, 0.275)*CHOOSE(CONTROL!$C$42, 30, 30))/1000000</f>
        <v>4.125</v>
      </c>
      <c r="W484" s="38">
        <f>(1000*CHOOSE(CONTROL!$C$42, 0.1146, 0.1146)*CHOOSE(CONTROL!$C$42, 121.5, 121.5)*CHOOSE(CONTROL!$C$42, 30, 30))/1000000</f>
        <v>0.417717</v>
      </c>
      <c r="X484" s="38">
        <f>(30*0.1790888*245000/1000000)+(30*0.2374*100000/1000000)</f>
        <v>2.0285026799999999</v>
      </c>
      <c r="Y484" s="38">
        <f>(1000*600*CHOOSE(CONTROL!$C$42, 1.0687, 1.0687)*CHOOSE(CONTROL!$C$42, 30, 30))/1000000</f>
        <v>19.236599999999999</v>
      </c>
      <c r="Z484" s="38"/>
      <c r="AA484" s="10"/>
      <c r="AB484" s="39"/>
      <c r="AC484" s="33">
        <f>(B484*141.293+C484*267.993+D484*115.016+E484*89.698+F484*40+G484*185+H484*0+I484*100+J484*300)/(141.293+267.993+115.016+89.698+0+40+185+100+300)</f>
        <v>13.994143501694916</v>
      </c>
      <c r="AD484" s="27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13.883523021582734</v>
      </c>
    </row>
    <row r="485" spans="1:30" ht="15.75" x14ac:dyDescent="0.25">
      <c r="A485" s="14">
        <v>56035</v>
      </c>
      <c r="B485" s="10">
        <f>CHOOSE(CONTROL!$C$42, 14.1006, 14.1006) * CHOOSE(CONTROL!$C$21, $C$9, 100%, $E$9)</f>
        <v>14.1006</v>
      </c>
      <c r="C485" s="10">
        <f>CHOOSE(CONTROL!$C$42, 14.1085, 14.1085) * CHOOSE(CONTROL!$C$21, $C$9, 100%, $E$9)</f>
        <v>14.108499999999999</v>
      </c>
      <c r="D485" s="10">
        <f>CHOOSE(CONTROL!$C$42, 14.2855, 14.2855) * CHOOSE(CONTROL!$C$21, $C$9, 100%, $E$9)</f>
        <v>14.285500000000001</v>
      </c>
      <c r="E485" s="10">
        <f>CHOOSE(CONTROL!$C$42, 14.3167, 14.3167) * CHOOSE(CONTROL!$C$21, $C$9, 100%, $E$9)</f>
        <v>14.316700000000001</v>
      </c>
      <c r="F485" s="10">
        <f>CHOOSE(CONTROL!$C$42, 14.064, 14.064)*CHOOSE(CONTROL!$C$21, $C$9, 100%, $E$9)</f>
        <v>14.064</v>
      </c>
      <c r="G485" s="10">
        <f>CHOOSE(CONTROL!$C$42, 14.0805, 14.0805)*CHOOSE(CONTROL!$C$21, $C$9, 100%, $E$9)</f>
        <v>14.080500000000001</v>
      </c>
      <c r="H485" s="10">
        <f>CHOOSE(CONTROL!$C$42, 14.3053, 14.3053) * CHOOSE(CONTROL!$C$21, $C$9, 100%, $E$9)</f>
        <v>14.305300000000001</v>
      </c>
      <c r="I485" s="10">
        <f>CHOOSE(CONTROL!$C$42, 14.0852, 14.0852)* CHOOSE(CONTROL!$C$21, $C$9, 100%, $E$9)</f>
        <v>14.0852</v>
      </c>
      <c r="J485" s="10">
        <f>CHOOSE(CONTROL!$C$42, 14.057, 14.057)* CHOOSE(CONTROL!$C$21, $C$9, 100%, $E$9)</f>
        <v>14.057</v>
      </c>
      <c r="K485" s="10">
        <f>CHOOSE(CONTROL!$C$42, 13.8195, 13.8195) * CHOOSE(CONTROL!$C$21, $C$9, 100%, $E$9)</f>
        <v>13.8195</v>
      </c>
      <c r="L485" s="10">
        <f>CHOOSE(CONTROL!$C$42, 14.8923, 14.8923) * CHOOSE(CONTROL!$C$21, $C$9, 100%, $E$9)</f>
        <v>14.892300000000001</v>
      </c>
      <c r="M485" s="10">
        <f>CHOOSE(CONTROL!$C$42, 13.929, 13.929) * CHOOSE(CONTROL!$C$21, $C$9, 100%, $E$9)</f>
        <v>13.929</v>
      </c>
      <c r="N485" s="10">
        <f>CHOOSE(CONTROL!$C$42, 13.9453, 13.9453) * CHOOSE(CONTROL!$C$21, $C$9, 100%, $E$9)</f>
        <v>13.9453</v>
      </c>
      <c r="O485" s="10">
        <f>CHOOSE(CONTROL!$C$42, 14.1748, 14.1748) * CHOOSE(CONTROL!$C$21, $C$9, 100%, $E$9)</f>
        <v>14.174799999999999</v>
      </c>
      <c r="P485" s="10">
        <f>CHOOSE(CONTROL!$C$42, 13.9569, 13.9569) * CHOOSE(CONTROL!$C$21, $C$9, 100%, $E$9)</f>
        <v>13.956899999999999</v>
      </c>
      <c r="Q485" s="10">
        <f>CHOOSE(CONTROL!$C$42, 14.7701, 14.7701) * CHOOSE(CONTROL!$C$21, $C$9, 100%, $E$9)</f>
        <v>14.770099999999999</v>
      </c>
      <c r="R485" s="10">
        <f>CHOOSE(CONTROL!$C$42, 15.394, 15.394) * CHOOSE(CONTROL!$C$21, $C$9, 100%, $E$9)</f>
        <v>15.394</v>
      </c>
      <c r="S485" s="10">
        <f>CHOOSE(CONTROL!$C$42, 13.6889, 13.6889) * CHOOSE(CONTROL!$C$21, $C$9, 100%, $E$9)</f>
        <v>13.6889</v>
      </c>
      <c r="T4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38">
        <f>(1000*CHOOSE(CONTROL!$C$42, 695, 695)*CHOOSE(CONTROL!$C$42, 0.5599, 0.5599)*CHOOSE(CONTROL!$C$42, 31, 31))/1000000</f>
        <v>12.063045499999998</v>
      </c>
      <c r="V485" s="38">
        <f>(1000*CHOOSE(CONTROL!$C$42, 500, 500)*CHOOSE(CONTROL!$C$42, 0.275, 0.275)*CHOOSE(CONTROL!$C$42, 31, 31))/1000000</f>
        <v>4.2625000000000002</v>
      </c>
      <c r="W485" s="38">
        <f>(1000*CHOOSE(CONTROL!$C$42, 0.1146, 0.1146)*CHOOSE(CONTROL!$C$42, 121.5, 121.5)*CHOOSE(CONTROL!$C$42, 31, 31))/1000000</f>
        <v>0.43164089999999994</v>
      </c>
      <c r="X485" s="38">
        <f>(31*0.1790888*245000/1000000)+(31*0.2374*100000/1000000)</f>
        <v>2.0961194359999999</v>
      </c>
      <c r="Y485" s="38">
        <f>(1000*600*CHOOSE(CONTROL!$C$42, 1.0687, 1.0687)*CHOOSE(CONTROL!$C$42, 31, 31))/1000000</f>
        <v>19.87782</v>
      </c>
      <c r="Z485" s="38"/>
      <c r="AA485" s="10"/>
      <c r="AB485" s="39"/>
      <c r="AC485" s="33">
        <f>(B485*194.205+C485*267.466+D485*133.845+E485*53.484+F485*40+G485*185+H485*0+I485*100+J485*300)/(194.205+267.466+133.845+53.484+0+40+185+100+300)</f>
        <v>14.115212491601259</v>
      </c>
      <c r="AD485" s="27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14.00573237410072</v>
      </c>
    </row>
    <row r="486" spans="1:30" ht="15.75" x14ac:dyDescent="0.25">
      <c r="A486" s="14">
        <v>56065</v>
      </c>
      <c r="B486" s="10">
        <f>CHOOSE(CONTROL!$C$42, 14.5005, 14.5005) * CHOOSE(CONTROL!$C$21, $C$9, 100%, $E$9)</f>
        <v>14.500500000000001</v>
      </c>
      <c r="C486" s="10">
        <f>CHOOSE(CONTROL!$C$42, 14.5084, 14.5084) * CHOOSE(CONTROL!$C$21, $C$9, 100%, $E$9)</f>
        <v>14.5084</v>
      </c>
      <c r="D486" s="10">
        <f>CHOOSE(CONTROL!$C$42, 14.6854, 14.6854) * CHOOSE(CONTROL!$C$21, $C$9, 100%, $E$9)</f>
        <v>14.6854</v>
      </c>
      <c r="E486" s="10">
        <f>CHOOSE(CONTROL!$C$42, 14.7165, 14.7165) * CHOOSE(CONTROL!$C$21, $C$9, 100%, $E$9)</f>
        <v>14.7165</v>
      </c>
      <c r="F486" s="10">
        <f>CHOOSE(CONTROL!$C$42, 14.464, 14.464)*CHOOSE(CONTROL!$C$21, $C$9, 100%, $E$9)</f>
        <v>14.464</v>
      </c>
      <c r="G486" s="10">
        <f>CHOOSE(CONTROL!$C$42, 14.4805, 14.4805)*CHOOSE(CONTROL!$C$21, $C$9, 100%, $E$9)</f>
        <v>14.480499999999999</v>
      </c>
      <c r="H486" s="10">
        <f>CHOOSE(CONTROL!$C$42, 14.7051, 14.7051) * CHOOSE(CONTROL!$C$21, $C$9, 100%, $E$9)</f>
        <v>14.7051</v>
      </c>
      <c r="I486" s="10">
        <f>CHOOSE(CONTROL!$C$42, 14.485, 14.485)* CHOOSE(CONTROL!$C$21, $C$9, 100%, $E$9)</f>
        <v>14.484999999999999</v>
      </c>
      <c r="J486" s="10">
        <f>CHOOSE(CONTROL!$C$42, 14.457, 14.457)* CHOOSE(CONTROL!$C$21, $C$9, 100%, $E$9)</f>
        <v>14.457000000000001</v>
      </c>
      <c r="K486" s="10">
        <f>CHOOSE(CONTROL!$C$42, 14.2083, 14.2083) * CHOOSE(CONTROL!$C$21, $C$9, 100%, $E$9)</f>
        <v>14.208299999999999</v>
      </c>
      <c r="L486" s="10">
        <f>CHOOSE(CONTROL!$C$42, 15.2921, 15.2921) * CHOOSE(CONTROL!$C$21, $C$9, 100%, $E$9)</f>
        <v>15.2921</v>
      </c>
      <c r="M486" s="10">
        <f>CHOOSE(CONTROL!$C$42, 14.3249, 14.3249) * CHOOSE(CONTROL!$C$21, $C$9, 100%, $E$9)</f>
        <v>14.3249</v>
      </c>
      <c r="N486" s="10">
        <f>CHOOSE(CONTROL!$C$42, 14.3413, 14.3413) * CHOOSE(CONTROL!$C$21, $C$9, 100%, $E$9)</f>
        <v>14.3413</v>
      </c>
      <c r="O486" s="10">
        <f>CHOOSE(CONTROL!$C$42, 14.5706, 14.5706) * CHOOSE(CONTROL!$C$21, $C$9, 100%, $E$9)</f>
        <v>14.570600000000001</v>
      </c>
      <c r="P486" s="10">
        <f>CHOOSE(CONTROL!$C$42, 14.3527, 14.3527) * CHOOSE(CONTROL!$C$21, $C$9, 100%, $E$9)</f>
        <v>14.3527</v>
      </c>
      <c r="Q486" s="10">
        <f>CHOOSE(CONTROL!$C$42, 15.1659, 15.1659) * CHOOSE(CONTROL!$C$21, $C$9, 100%, $E$9)</f>
        <v>15.165900000000001</v>
      </c>
      <c r="R486" s="10">
        <f>CHOOSE(CONTROL!$C$42, 15.7908, 15.7908) * CHOOSE(CONTROL!$C$21, $C$9, 100%, $E$9)</f>
        <v>15.790800000000001</v>
      </c>
      <c r="S486" s="10">
        <f>CHOOSE(CONTROL!$C$42, 14.0771, 14.0771) * CHOOSE(CONTROL!$C$21, $C$9, 100%, $E$9)</f>
        <v>14.0771</v>
      </c>
      <c r="T4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38">
        <f>(1000*CHOOSE(CONTROL!$C$42, 695, 695)*CHOOSE(CONTROL!$C$42, 0.5599, 0.5599)*CHOOSE(CONTROL!$C$42, 30, 30))/1000000</f>
        <v>11.673914999999997</v>
      </c>
      <c r="V486" s="38">
        <f>(1000*CHOOSE(CONTROL!$C$42, 500, 500)*CHOOSE(CONTROL!$C$42, 0.275, 0.275)*CHOOSE(CONTROL!$C$42, 30, 30))/1000000</f>
        <v>4.125</v>
      </c>
      <c r="W486" s="38">
        <f>(1000*CHOOSE(CONTROL!$C$42, 0.1146, 0.1146)*CHOOSE(CONTROL!$C$42, 121.5, 121.5)*CHOOSE(CONTROL!$C$42, 30, 30))/1000000</f>
        <v>0.417717</v>
      </c>
      <c r="X486" s="38">
        <f>(30*0.1790888*245000/1000000)+(30*0.2374*100000/1000000)</f>
        <v>2.0285026799999999</v>
      </c>
      <c r="Y486" s="38">
        <f>(1000*600*CHOOSE(CONTROL!$C$42, 1.0687, 1.0687)*CHOOSE(CONTROL!$C$42, 30, 30))/1000000</f>
        <v>19.236599999999999</v>
      </c>
      <c r="Z486" s="38"/>
      <c r="AA486" s="10"/>
      <c r="AB486" s="39"/>
      <c r="AC486" s="33">
        <f>(B486*194.205+C486*267.466+D486*133.845+E486*53.484+F486*40+G486*185+H486*0+I486*100+J486*300)/(194.205+267.466+133.845+53.484+0+40+185+100+300)</f>
        <v>14.515141652982729</v>
      </c>
      <c r="AD486" s="27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14.40161294964029</v>
      </c>
    </row>
    <row r="487" spans="1:30" ht="15.75" x14ac:dyDescent="0.25">
      <c r="A487" s="14">
        <v>56096</v>
      </c>
      <c r="B487" s="10">
        <f>CHOOSE(CONTROL!$C$42, 14.2224, 14.2224) * CHOOSE(CONTROL!$C$21, $C$9, 100%, $E$9)</f>
        <v>14.2224</v>
      </c>
      <c r="C487" s="10">
        <f>CHOOSE(CONTROL!$C$42, 14.2303, 14.2303) * CHOOSE(CONTROL!$C$21, $C$9, 100%, $E$9)</f>
        <v>14.2303</v>
      </c>
      <c r="D487" s="10">
        <f>CHOOSE(CONTROL!$C$42, 14.4073, 14.4073) * CHOOSE(CONTROL!$C$21, $C$9, 100%, $E$9)</f>
        <v>14.407299999999999</v>
      </c>
      <c r="E487" s="10">
        <f>CHOOSE(CONTROL!$C$42, 14.4384, 14.4384) * CHOOSE(CONTROL!$C$21, $C$9, 100%, $E$9)</f>
        <v>14.4384</v>
      </c>
      <c r="F487" s="10">
        <f>CHOOSE(CONTROL!$C$42, 14.1862, 14.1862)*CHOOSE(CONTROL!$C$21, $C$9, 100%, $E$9)</f>
        <v>14.186199999999999</v>
      </c>
      <c r="G487" s="10">
        <f>CHOOSE(CONTROL!$C$42, 14.2028, 14.2028)*CHOOSE(CONTROL!$C$21, $C$9, 100%, $E$9)</f>
        <v>14.2028</v>
      </c>
      <c r="H487" s="10">
        <f>CHOOSE(CONTROL!$C$42, 14.427, 14.427) * CHOOSE(CONTROL!$C$21, $C$9, 100%, $E$9)</f>
        <v>14.427</v>
      </c>
      <c r="I487" s="10">
        <f>CHOOSE(CONTROL!$C$42, 14.207, 14.207)* CHOOSE(CONTROL!$C$21, $C$9, 100%, $E$9)</f>
        <v>14.207000000000001</v>
      </c>
      <c r="J487" s="10">
        <f>CHOOSE(CONTROL!$C$42, 14.1792, 14.1792)* CHOOSE(CONTROL!$C$21, $C$9, 100%, $E$9)</f>
        <v>14.1792</v>
      </c>
      <c r="K487" s="10">
        <f>CHOOSE(CONTROL!$C$42, 13.9387, 13.9387) * CHOOSE(CONTROL!$C$21, $C$9, 100%, $E$9)</f>
        <v>13.938700000000001</v>
      </c>
      <c r="L487" s="10">
        <f>CHOOSE(CONTROL!$C$42, 15.014, 15.014) * CHOOSE(CONTROL!$C$21, $C$9, 100%, $E$9)</f>
        <v>15.013999999999999</v>
      </c>
      <c r="M487" s="10">
        <f>CHOOSE(CONTROL!$C$42, 14.0499, 14.0499) * CHOOSE(CONTROL!$C$21, $C$9, 100%, $E$9)</f>
        <v>14.049899999999999</v>
      </c>
      <c r="N487" s="10">
        <f>CHOOSE(CONTROL!$C$42, 14.0663, 14.0663) * CHOOSE(CONTROL!$C$21, $C$9, 100%, $E$9)</f>
        <v>14.0663</v>
      </c>
      <c r="O487" s="10">
        <f>CHOOSE(CONTROL!$C$42, 14.2953, 14.2953) * CHOOSE(CONTROL!$C$21, $C$9, 100%, $E$9)</f>
        <v>14.295299999999999</v>
      </c>
      <c r="P487" s="10">
        <f>CHOOSE(CONTROL!$C$42, 14.0775, 14.0775) * CHOOSE(CONTROL!$C$21, $C$9, 100%, $E$9)</f>
        <v>14.077500000000001</v>
      </c>
      <c r="Q487" s="10">
        <f>CHOOSE(CONTROL!$C$42, 14.8906, 14.8906) * CHOOSE(CONTROL!$C$21, $C$9, 100%, $E$9)</f>
        <v>14.890599999999999</v>
      </c>
      <c r="R487" s="10">
        <f>CHOOSE(CONTROL!$C$42, 15.5148, 15.5148) * CHOOSE(CONTROL!$C$21, $C$9, 100%, $E$9)</f>
        <v>15.514799999999999</v>
      </c>
      <c r="S487" s="10">
        <f>CHOOSE(CONTROL!$C$42, 13.8071, 13.8071) * CHOOSE(CONTROL!$C$21, $C$9, 100%, $E$9)</f>
        <v>13.8071</v>
      </c>
      <c r="T4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38">
        <f>(1000*CHOOSE(CONTROL!$C$42, 695, 695)*CHOOSE(CONTROL!$C$42, 0.5599, 0.5599)*CHOOSE(CONTROL!$C$42, 31, 31))/1000000</f>
        <v>12.063045499999998</v>
      </c>
      <c r="V487" s="38">
        <f>(1000*CHOOSE(CONTROL!$C$42, 500, 500)*CHOOSE(CONTROL!$C$42, 0.275, 0.275)*CHOOSE(CONTROL!$C$42, 31, 31))/1000000</f>
        <v>4.2625000000000002</v>
      </c>
      <c r="W487" s="38">
        <f>(1000*CHOOSE(CONTROL!$C$42, 0.1146, 0.1146)*CHOOSE(CONTROL!$C$42, 121.5, 121.5)*CHOOSE(CONTROL!$C$42, 31, 31))/1000000</f>
        <v>0.43164089999999994</v>
      </c>
      <c r="X487" s="38">
        <f>(31*0.1790888*245000/1000000)+(31*0.2374*100000/1000000)</f>
        <v>2.0961194359999999</v>
      </c>
      <c r="Y487" s="38">
        <f>(1000*600*CHOOSE(CONTROL!$C$42, 1.0687, 1.0687)*CHOOSE(CONTROL!$C$42, 31, 31))/1000000</f>
        <v>19.87782</v>
      </c>
      <c r="Z487" s="38"/>
      <c r="AA487" s="10"/>
      <c r="AB487" s="39"/>
      <c r="AC487" s="33">
        <f>(B487*194.205+C487*267.466+D487*133.845+E487*53.484+F487*40+G487*185+H487*0+I487*100+J487*300)/(194.205+267.466+133.845+53.484+0+40+185+100+300)</f>
        <v>14.237187649843017</v>
      </c>
      <c r="AD487" s="27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14.1265</v>
      </c>
    </row>
    <row r="488" spans="1:30" ht="15.75" x14ac:dyDescent="0.25">
      <c r="A488" s="14">
        <v>56127</v>
      </c>
      <c r="B488" s="10">
        <f>CHOOSE(CONTROL!$C$42, 13.5201, 13.5201) * CHOOSE(CONTROL!$C$21, $C$9, 100%, $E$9)</f>
        <v>13.520099999999999</v>
      </c>
      <c r="C488" s="10">
        <f>CHOOSE(CONTROL!$C$42, 13.528, 13.528) * CHOOSE(CONTROL!$C$21, $C$9, 100%, $E$9)</f>
        <v>13.528</v>
      </c>
      <c r="D488" s="10">
        <f>CHOOSE(CONTROL!$C$42, 13.705, 13.705) * CHOOSE(CONTROL!$C$21, $C$9, 100%, $E$9)</f>
        <v>13.705</v>
      </c>
      <c r="E488" s="10">
        <f>CHOOSE(CONTROL!$C$42, 13.7362, 13.7362) * CHOOSE(CONTROL!$C$21, $C$9, 100%, $E$9)</f>
        <v>13.7362</v>
      </c>
      <c r="F488" s="10">
        <f>CHOOSE(CONTROL!$C$42, 13.484, 13.484)*CHOOSE(CONTROL!$C$21, $C$9, 100%, $E$9)</f>
        <v>13.484</v>
      </c>
      <c r="G488" s="10">
        <f>CHOOSE(CONTROL!$C$42, 13.5006, 13.5006)*CHOOSE(CONTROL!$C$21, $C$9, 100%, $E$9)</f>
        <v>13.5006</v>
      </c>
      <c r="H488" s="10">
        <f>CHOOSE(CONTROL!$C$42, 13.7248, 13.7248) * CHOOSE(CONTROL!$C$21, $C$9, 100%, $E$9)</f>
        <v>13.7248</v>
      </c>
      <c r="I488" s="10">
        <f>CHOOSE(CONTROL!$C$42, 13.5047, 13.5047)* CHOOSE(CONTROL!$C$21, $C$9, 100%, $E$9)</f>
        <v>13.5047</v>
      </c>
      <c r="J488" s="10">
        <f>CHOOSE(CONTROL!$C$42, 13.477, 13.477)* CHOOSE(CONTROL!$C$21, $C$9, 100%, $E$9)</f>
        <v>13.477</v>
      </c>
      <c r="K488" s="10">
        <f>CHOOSE(CONTROL!$C$42, 13.2565, 13.2565) * CHOOSE(CONTROL!$C$21, $C$9, 100%, $E$9)</f>
        <v>13.256500000000001</v>
      </c>
      <c r="L488" s="10">
        <f>CHOOSE(CONTROL!$C$42, 14.3118, 14.3118) * CHOOSE(CONTROL!$C$21, $C$9, 100%, $E$9)</f>
        <v>14.3118</v>
      </c>
      <c r="M488" s="10">
        <f>CHOOSE(CONTROL!$C$42, 13.3548, 13.3548) * CHOOSE(CONTROL!$C$21, $C$9, 100%, $E$9)</f>
        <v>13.354799999999999</v>
      </c>
      <c r="N488" s="10">
        <f>CHOOSE(CONTROL!$C$42, 13.3712, 13.3712) * CHOOSE(CONTROL!$C$21, $C$9, 100%, $E$9)</f>
        <v>13.3712</v>
      </c>
      <c r="O488" s="10">
        <f>CHOOSE(CONTROL!$C$42, 13.6001, 13.6001) * CHOOSE(CONTROL!$C$21, $C$9, 100%, $E$9)</f>
        <v>13.600099999999999</v>
      </c>
      <c r="P488" s="10">
        <f>CHOOSE(CONTROL!$C$42, 13.3823, 13.3823) * CHOOSE(CONTROL!$C$21, $C$9, 100%, $E$9)</f>
        <v>13.382300000000001</v>
      </c>
      <c r="Q488" s="10">
        <f>CHOOSE(CONTROL!$C$42, 14.1954, 14.1954) * CHOOSE(CONTROL!$C$21, $C$9, 100%, $E$9)</f>
        <v>14.195399999999999</v>
      </c>
      <c r="R488" s="10">
        <f>CHOOSE(CONTROL!$C$42, 14.8179, 14.8179) * CHOOSE(CONTROL!$C$21, $C$9, 100%, $E$9)</f>
        <v>14.8179</v>
      </c>
      <c r="S488" s="10">
        <f>CHOOSE(CONTROL!$C$42, 13.1251, 13.1251) * CHOOSE(CONTROL!$C$21, $C$9, 100%, $E$9)</f>
        <v>13.1251</v>
      </c>
      <c r="T4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38">
        <f>(1000*CHOOSE(CONTROL!$C$42, 695, 695)*CHOOSE(CONTROL!$C$42, 0.5599, 0.5599)*CHOOSE(CONTROL!$C$42, 31, 31))/1000000</f>
        <v>12.063045499999998</v>
      </c>
      <c r="V488" s="38">
        <f>(1000*CHOOSE(CONTROL!$C$42, 500, 500)*CHOOSE(CONTROL!$C$42, 0.275, 0.275)*CHOOSE(CONTROL!$C$42, 31, 31))/1000000</f>
        <v>4.2625000000000002</v>
      </c>
      <c r="W488" s="38">
        <f>(1000*CHOOSE(CONTROL!$C$42, 0.1146, 0.1146)*CHOOSE(CONTROL!$C$42, 121.5, 121.5)*CHOOSE(CONTROL!$C$42, 31, 31))/1000000</f>
        <v>0.43164089999999994</v>
      </c>
      <c r="X488" s="38">
        <f>(31*0.1790888*245000/1000000)+(31*0.2374*100000/1000000)</f>
        <v>2.0961194359999999</v>
      </c>
      <c r="Y488" s="38">
        <f>(1000*600*CHOOSE(CONTROL!$C$42, 1.0687, 1.0687)*CHOOSE(CONTROL!$C$42, 31, 31))/1000000</f>
        <v>19.87782</v>
      </c>
      <c r="Z488" s="38"/>
      <c r="AA488" s="10"/>
      <c r="AB488" s="39"/>
      <c r="AC488" s="33">
        <f>(B488*194.205+C488*267.466+D488*133.845+E488*53.484+F488*40+G488*185+H488*0+I488*100+J488*300)/(194.205+267.466+133.845+53.484+0+40+185+100+300)</f>
        <v>13.534933056750393</v>
      </c>
      <c r="AD488" s="27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13.431357553956834</v>
      </c>
    </row>
    <row r="489" spans="1:30" ht="15.75" x14ac:dyDescent="0.25">
      <c r="A489" s="14">
        <v>56157</v>
      </c>
      <c r="B489" s="10">
        <f>CHOOSE(CONTROL!$C$42, 12.6621, 12.6621) * CHOOSE(CONTROL!$C$21, $C$9, 100%, $E$9)</f>
        <v>12.662100000000001</v>
      </c>
      <c r="C489" s="10">
        <f>CHOOSE(CONTROL!$C$42, 12.67, 12.67) * CHOOSE(CONTROL!$C$21, $C$9, 100%, $E$9)</f>
        <v>12.67</v>
      </c>
      <c r="D489" s="10">
        <f>CHOOSE(CONTROL!$C$42, 12.847, 12.847) * CHOOSE(CONTROL!$C$21, $C$9, 100%, $E$9)</f>
        <v>12.847</v>
      </c>
      <c r="E489" s="10">
        <f>CHOOSE(CONTROL!$C$42, 12.8782, 12.8782) * CHOOSE(CONTROL!$C$21, $C$9, 100%, $E$9)</f>
        <v>12.8782</v>
      </c>
      <c r="F489" s="10">
        <f>CHOOSE(CONTROL!$C$42, 12.6257, 12.6257)*CHOOSE(CONTROL!$C$21, $C$9, 100%, $E$9)</f>
        <v>12.6257</v>
      </c>
      <c r="G489" s="10">
        <f>CHOOSE(CONTROL!$C$42, 12.6423, 12.6423)*CHOOSE(CONTROL!$C$21, $C$9, 100%, $E$9)</f>
        <v>12.642300000000001</v>
      </c>
      <c r="H489" s="10">
        <f>CHOOSE(CONTROL!$C$42, 12.8668, 12.8668) * CHOOSE(CONTROL!$C$21, $C$9, 100%, $E$9)</f>
        <v>12.8668</v>
      </c>
      <c r="I489" s="10">
        <f>CHOOSE(CONTROL!$C$42, 12.6467, 12.6467)* CHOOSE(CONTROL!$C$21, $C$9, 100%, $E$9)</f>
        <v>12.646699999999999</v>
      </c>
      <c r="J489" s="10">
        <f>CHOOSE(CONTROL!$C$42, 12.6187, 12.6187)* CHOOSE(CONTROL!$C$21, $C$9, 100%, $E$9)</f>
        <v>12.6187</v>
      </c>
      <c r="K489" s="10">
        <f>CHOOSE(CONTROL!$C$42, 12.4223, 12.4223) * CHOOSE(CONTROL!$C$21, $C$9, 100%, $E$9)</f>
        <v>12.4223</v>
      </c>
      <c r="L489" s="10">
        <f>CHOOSE(CONTROL!$C$42, 13.4538, 13.4538) * CHOOSE(CONTROL!$C$21, $C$9, 100%, $E$9)</f>
        <v>13.453799999999999</v>
      </c>
      <c r="M489" s="10">
        <f>CHOOSE(CONTROL!$C$42, 12.5052, 12.5052) * CHOOSE(CONTROL!$C$21, $C$9, 100%, $E$9)</f>
        <v>12.5052</v>
      </c>
      <c r="N489" s="10">
        <f>CHOOSE(CONTROL!$C$42, 12.5216, 12.5216) * CHOOSE(CONTROL!$C$21, $C$9, 100%, $E$9)</f>
        <v>12.521599999999999</v>
      </c>
      <c r="O489" s="10">
        <f>CHOOSE(CONTROL!$C$42, 12.7508, 12.7508) * CHOOSE(CONTROL!$C$21, $C$9, 100%, $E$9)</f>
        <v>12.7508</v>
      </c>
      <c r="P489" s="10">
        <f>CHOOSE(CONTROL!$C$42, 12.5329, 12.5329) * CHOOSE(CONTROL!$C$21, $C$9, 100%, $E$9)</f>
        <v>12.5329</v>
      </c>
      <c r="Q489" s="10">
        <f>CHOOSE(CONTROL!$C$42, 13.3461, 13.3461) * CHOOSE(CONTROL!$C$21, $C$9, 100%, $E$9)</f>
        <v>13.3461</v>
      </c>
      <c r="R489" s="10">
        <f>CHOOSE(CONTROL!$C$42, 13.9664, 13.9664) * CHOOSE(CONTROL!$C$21, $C$9, 100%, $E$9)</f>
        <v>13.9664</v>
      </c>
      <c r="S489" s="10">
        <f>CHOOSE(CONTROL!$C$42, 12.2919, 12.2919) * CHOOSE(CONTROL!$C$21, $C$9, 100%, $E$9)</f>
        <v>12.2919</v>
      </c>
      <c r="T4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38">
        <f>(1000*CHOOSE(CONTROL!$C$42, 695, 695)*CHOOSE(CONTROL!$C$42, 0.5599, 0.5599)*CHOOSE(CONTROL!$C$42, 30, 30))/1000000</f>
        <v>11.673914999999997</v>
      </c>
      <c r="V489" s="38">
        <f>(1000*CHOOSE(CONTROL!$C$42, 500, 500)*CHOOSE(CONTROL!$C$42, 0.275, 0.275)*CHOOSE(CONTROL!$C$42, 30, 30))/1000000</f>
        <v>4.125</v>
      </c>
      <c r="W489" s="38">
        <f>(1000*CHOOSE(CONTROL!$C$42, 0.1146, 0.1146)*CHOOSE(CONTROL!$C$42, 121.5, 121.5)*CHOOSE(CONTROL!$C$42, 30, 30))/1000000</f>
        <v>0.417717</v>
      </c>
      <c r="X489" s="38">
        <f>(30*0.1790888*245000/1000000)+(30*0.2374*100000/1000000)</f>
        <v>2.0285026799999999</v>
      </c>
      <c r="Y489" s="38">
        <f>(1000*600*CHOOSE(CONTROL!$C$42, 1.0687, 1.0687)*CHOOSE(CONTROL!$C$42, 30, 30))/1000000</f>
        <v>19.236599999999999</v>
      </c>
      <c r="Z489" s="38"/>
      <c r="AA489" s="10"/>
      <c r="AB489" s="39"/>
      <c r="AC489" s="33">
        <f>(B489*194.205+C489*267.466+D489*133.845+E489*53.484+F489*40+G489*185+H489*0+I489*100+J489*300)/(194.205+267.466+133.845+53.484+0+40+185+100+300)</f>
        <v>12.676809430376768</v>
      </c>
      <c r="AD489" s="27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12.581870503597122</v>
      </c>
    </row>
    <row r="490" spans="1:30" ht="15.75" x14ac:dyDescent="0.25">
      <c r="A490" s="14">
        <v>56188</v>
      </c>
      <c r="B490" s="10">
        <f>CHOOSE(CONTROL!$C$42, 12.403, 12.403) * CHOOSE(CONTROL!$C$21, $C$9, 100%, $E$9)</f>
        <v>12.403</v>
      </c>
      <c r="C490" s="10">
        <f>CHOOSE(CONTROL!$C$42, 12.4082, 12.4082) * CHOOSE(CONTROL!$C$21, $C$9, 100%, $E$9)</f>
        <v>12.408200000000001</v>
      </c>
      <c r="D490" s="10">
        <f>CHOOSE(CONTROL!$C$42, 12.5902, 12.5902) * CHOOSE(CONTROL!$C$21, $C$9, 100%, $E$9)</f>
        <v>12.590199999999999</v>
      </c>
      <c r="E490" s="10">
        <f>CHOOSE(CONTROL!$C$42, 12.619, 12.619) * CHOOSE(CONTROL!$C$21, $C$9, 100%, $E$9)</f>
        <v>12.619</v>
      </c>
      <c r="F490" s="10">
        <f>CHOOSE(CONTROL!$C$42, 12.3686, 12.3686)*CHOOSE(CONTROL!$C$21, $C$9, 100%, $E$9)</f>
        <v>12.368600000000001</v>
      </c>
      <c r="G490" s="10">
        <f>CHOOSE(CONTROL!$C$42, 12.3848, 12.3848)*CHOOSE(CONTROL!$C$21, $C$9, 100%, $E$9)</f>
        <v>12.3848</v>
      </c>
      <c r="H490" s="10">
        <f>CHOOSE(CONTROL!$C$42, 12.6094, 12.6094) * CHOOSE(CONTROL!$C$21, $C$9, 100%, $E$9)</f>
        <v>12.609400000000001</v>
      </c>
      <c r="I490" s="10">
        <f>CHOOSE(CONTROL!$C$42, 12.3893, 12.3893)* CHOOSE(CONTROL!$C$21, $C$9, 100%, $E$9)</f>
        <v>12.3893</v>
      </c>
      <c r="J490" s="10">
        <f>CHOOSE(CONTROL!$C$42, 12.3616, 12.3616)* CHOOSE(CONTROL!$C$21, $C$9, 100%, $E$9)</f>
        <v>12.361599999999999</v>
      </c>
      <c r="K490" s="10">
        <f>CHOOSE(CONTROL!$C$42, 12.1728, 12.1728) * CHOOSE(CONTROL!$C$21, $C$9, 100%, $E$9)</f>
        <v>12.172800000000001</v>
      </c>
      <c r="L490" s="10">
        <f>CHOOSE(CONTROL!$C$42, 13.1964, 13.1964) * CHOOSE(CONTROL!$C$21, $C$9, 100%, $E$9)</f>
        <v>13.196400000000001</v>
      </c>
      <c r="M490" s="10">
        <f>CHOOSE(CONTROL!$C$42, 12.2507, 12.2507) * CHOOSE(CONTROL!$C$21, $C$9, 100%, $E$9)</f>
        <v>12.2507</v>
      </c>
      <c r="N490" s="10">
        <f>CHOOSE(CONTROL!$C$42, 12.2667, 12.2667) * CHOOSE(CONTROL!$C$21, $C$9, 100%, $E$9)</f>
        <v>12.2667</v>
      </c>
      <c r="O490" s="10">
        <f>CHOOSE(CONTROL!$C$42, 12.496, 12.496) * CHOOSE(CONTROL!$C$21, $C$9, 100%, $E$9)</f>
        <v>12.496</v>
      </c>
      <c r="P490" s="10">
        <f>CHOOSE(CONTROL!$C$42, 12.2782, 12.2782) * CHOOSE(CONTROL!$C$21, $C$9, 100%, $E$9)</f>
        <v>12.2782</v>
      </c>
      <c r="Q490" s="10">
        <f>CHOOSE(CONTROL!$C$42, 13.0913, 13.0913) * CHOOSE(CONTROL!$C$21, $C$9, 100%, $E$9)</f>
        <v>13.0913</v>
      </c>
      <c r="R490" s="10">
        <f>CHOOSE(CONTROL!$C$42, 13.711, 13.711) * CHOOSE(CONTROL!$C$21, $C$9, 100%, $E$9)</f>
        <v>13.711</v>
      </c>
      <c r="S490" s="10">
        <f>CHOOSE(CONTROL!$C$42, 12.042, 12.042) * CHOOSE(CONTROL!$C$21, $C$9, 100%, $E$9)</f>
        <v>12.042</v>
      </c>
      <c r="T4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38">
        <f>(1000*CHOOSE(CONTROL!$C$42, 695, 695)*CHOOSE(CONTROL!$C$42, 0.5599, 0.5599)*CHOOSE(CONTROL!$C$42, 31, 31))/1000000</f>
        <v>12.063045499999998</v>
      </c>
      <c r="V490" s="38">
        <f>(1000*CHOOSE(CONTROL!$C$42, 500, 500)*CHOOSE(CONTROL!$C$42, 0.275, 0.275)*CHOOSE(CONTROL!$C$42, 31, 31))/1000000</f>
        <v>4.2625000000000002</v>
      </c>
      <c r="W490" s="38">
        <f>(1000*CHOOSE(CONTROL!$C$42, 0.1146, 0.1146)*CHOOSE(CONTROL!$C$42, 121.5, 121.5)*CHOOSE(CONTROL!$C$42, 31, 31))/1000000</f>
        <v>0.43164089999999994</v>
      </c>
      <c r="X490" s="38">
        <f>(31*0.1790888*245000/1000000)+(31*0.2374*100000/1000000)</f>
        <v>2.0961194359999999</v>
      </c>
      <c r="Y490" s="38">
        <f>(1000*600*CHOOSE(CONTROL!$C$42, 1.0687, 1.0687)*CHOOSE(CONTROL!$C$42, 31, 31))/1000000</f>
        <v>19.87782</v>
      </c>
      <c r="Z490" s="38"/>
      <c r="AA490" s="10"/>
      <c r="AB490" s="39"/>
      <c r="AC490" s="33">
        <f>(B490*131.881+C490*277.167+D490*79.08+E490*125.872+F490*40+G490*185+H490*0+I490*100+J490*300)/(131.881+277.167+79.08+125.872+0+40+185+100+300)</f>
        <v>12.423097172235673</v>
      </c>
      <c r="AD490" s="27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12.327165467625901</v>
      </c>
    </row>
    <row r="491" spans="1:30" ht="15.75" x14ac:dyDescent="0.25">
      <c r="A491" s="14">
        <v>56218</v>
      </c>
      <c r="B491" s="10">
        <f>CHOOSE(CONTROL!$C$42, 12.7292, 12.7292) * CHOOSE(CONTROL!$C$21, $C$9, 100%, $E$9)</f>
        <v>12.729200000000001</v>
      </c>
      <c r="C491" s="10">
        <f>CHOOSE(CONTROL!$C$42, 12.7342, 12.7342) * CHOOSE(CONTROL!$C$21, $C$9, 100%, $E$9)</f>
        <v>12.7342</v>
      </c>
      <c r="D491" s="10">
        <f>CHOOSE(CONTROL!$C$42, 12.7586, 12.7586) * CHOOSE(CONTROL!$C$21, $C$9, 100%, $E$9)</f>
        <v>12.758599999999999</v>
      </c>
      <c r="E491" s="10">
        <f>CHOOSE(CONTROL!$C$42, 12.7924, 12.7924) * CHOOSE(CONTROL!$C$21, $C$9, 100%, $E$9)</f>
        <v>12.792400000000001</v>
      </c>
      <c r="F491" s="10">
        <f>CHOOSE(CONTROL!$C$42, 12.6986, 12.6986)*CHOOSE(CONTROL!$C$21, $C$9, 100%, $E$9)</f>
        <v>12.698600000000001</v>
      </c>
      <c r="G491" s="10">
        <f>CHOOSE(CONTROL!$C$42, 12.715, 12.715)*CHOOSE(CONTROL!$C$21, $C$9, 100%, $E$9)</f>
        <v>12.715</v>
      </c>
      <c r="H491" s="10">
        <f>CHOOSE(CONTROL!$C$42, 12.7816, 12.7816) * CHOOSE(CONTROL!$C$21, $C$9, 100%, $E$9)</f>
        <v>12.781599999999999</v>
      </c>
      <c r="I491" s="10">
        <f>CHOOSE(CONTROL!$C$42, 12.716, 12.716)* CHOOSE(CONTROL!$C$21, $C$9, 100%, $E$9)</f>
        <v>12.715999999999999</v>
      </c>
      <c r="J491" s="10">
        <f>CHOOSE(CONTROL!$C$42, 12.6916, 12.6916)* CHOOSE(CONTROL!$C$21, $C$9, 100%, $E$9)</f>
        <v>12.691599999999999</v>
      </c>
      <c r="K491" s="10">
        <f>CHOOSE(CONTROL!$C$42, 12.4917, 12.4917) * CHOOSE(CONTROL!$C$21, $C$9, 100%, $E$9)</f>
        <v>12.4917</v>
      </c>
      <c r="L491" s="10">
        <f>CHOOSE(CONTROL!$C$42, 13.3686, 13.3686) * CHOOSE(CONTROL!$C$21, $C$9, 100%, $E$9)</f>
        <v>13.368600000000001</v>
      </c>
      <c r="M491" s="10">
        <f>CHOOSE(CONTROL!$C$42, 12.5773, 12.5773) * CHOOSE(CONTROL!$C$21, $C$9, 100%, $E$9)</f>
        <v>12.577299999999999</v>
      </c>
      <c r="N491" s="10">
        <f>CHOOSE(CONTROL!$C$42, 12.5936, 12.5936) * CHOOSE(CONTROL!$C$21, $C$9, 100%, $E$9)</f>
        <v>12.5936</v>
      </c>
      <c r="O491" s="10">
        <f>CHOOSE(CONTROL!$C$42, 12.6665, 12.6665) * CHOOSE(CONTROL!$C$21, $C$9, 100%, $E$9)</f>
        <v>12.666499999999999</v>
      </c>
      <c r="P491" s="10">
        <f>CHOOSE(CONTROL!$C$42, 12.6015, 12.6015) * CHOOSE(CONTROL!$C$21, $C$9, 100%, $E$9)</f>
        <v>12.6015</v>
      </c>
      <c r="Q491" s="10">
        <f>CHOOSE(CONTROL!$C$42, 13.2618, 13.2618) * CHOOSE(CONTROL!$C$21, $C$9, 100%, $E$9)</f>
        <v>13.261799999999999</v>
      </c>
      <c r="R491" s="10">
        <f>CHOOSE(CONTROL!$C$42, 13.8819, 13.8819) * CHOOSE(CONTROL!$C$21, $C$9, 100%, $E$9)</f>
        <v>13.8819</v>
      </c>
      <c r="S491" s="10">
        <f>CHOOSE(CONTROL!$C$42, 12.3592, 12.3592) * CHOOSE(CONTROL!$C$21, $C$9, 100%, $E$9)</f>
        <v>12.3592</v>
      </c>
      <c r="T4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38">
        <f>(1000*CHOOSE(CONTROL!$C$42, 695, 695)*CHOOSE(CONTROL!$C$42, 0.5599, 0.5599)*CHOOSE(CONTROL!$C$42, 30, 30))/1000000</f>
        <v>11.673914999999997</v>
      </c>
      <c r="V491" s="38">
        <f>(1000*CHOOSE(CONTROL!$C$42, 500, 500)*CHOOSE(CONTROL!$C$42, 0.275, 0.275)*CHOOSE(CONTROL!$C$42, 30, 30))/1000000</f>
        <v>4.125</v>
      </c>
      <c r="W491" s="38">
        <f>(1000*CHOOSE(CONTROL!$C$42, 0.1146, 0.1146)*CHOOSE(CONTROL!$C$42, 121.5, 121.5)*CHOOSE(CONTROL!$C$42, 30, 30))/1000000</f>
        <v>0.417717</v>
      </c>
      <c r="X491" s="38">
        <f>(30*0.1790888*100000/1000000)+(30*0.2374*100000/1000000)</f>
        <v>1.2494664</v>
      </c>
      <c r="Y491" s="38">
        <f>(1000*600*CHOOSE(CONTROL!$C$42, 1.0687, 1.0687)*CHOOSE(CONTROL!$C$42, 30, 30))/1000000</f>
        <v>19.236599999999999</v>
      </c>
      <c r="Z491" s="38"/>
      <c r="AA491" s="10"/>
      <c r="AB491" s="39"/>
      <c r="AC491" s="33">
        <f>(B491*122.58+C491*297.941+D491*89.177+E491*40.302+F491*40+G491*160+H491*0+I491*100+J491*300)/(122.58+297.941+89.177+40.302+0+40+160+100+300)</f>
        <v>12.720993561043478</v>
      </c>
      <c r="AD491" s="27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12.62214892086331</v>
      </c>
    </row>
    <row r="492" spans="1:30" ht="15.75" x14ac:dyDescent="0.25">
      <c r="A492" s="14">
        <v>56249</v>
      </c>
      <c r="B492" s="10">
        <f>CHOOSE(CONTROL!$C$42, 13.5969, 13.5969) * CHOOSE(CONTROL!$C$21, $C$9, 100%, $E$9)</f>
        <v>13.5969</v>
      </c>
      <c r="C492" s="10">
        <f>CHOOSE(CONTROL!$C$42, 13.6019, 13.6019) * CHOOSE(CONTROL!$C$21, $C$9, 100%, $E$9)</f>
        <v>13.601900000000001</v>
      </c>
      <c r="D492" s="10">
        <f>CHOOSE(CONTROL!$C$42, 13.6263, 13.6263) * CHOOSE(CONTROL!$C$21, $C$9, 100%, $E$9)</f>
        <v>13.626300000000001</v>
      </c>
      <c r="E492" s="10">
        <f>CHOOSE(CONTROL!$C$42, 13.6601, 13.6601) * CHOOSE(CONTROL!$C$21, $C$9, 100%, $E$9)</f>
        <v>13.6601</v>
      </c>
      <c r="F492" s="10">
        <f>CHOOSE(CONTROL!$C$42, 13.5685, 13.5685)*CHOOSE(CONTROL!$C$21, $C$9, 100%, $E$9)</f>
        <v>13.5685</v>
      </c>
      <c r="G492" s="10">
        <f>CHOOSE(CONTROL!$C$42, 13.5856, 13.5856)*CHOOSE(CONTROL!$C$21, $C$9, 100%, $E$9)</f>
        <v>13.585599999999999</v>
      </c>
      <c r="H492" s="10">
        <f>CHOOSE(CONTROL!$C$42, 13.6493, 13.6493) * CHOOSE(CONTROL!$C$21, $C$9, 100%, $E$9)</f>
        <v>13.6493</v>
      </c>
      <c r="I492" s="10">
        <f>CHOOSE(CONTROL!$C$42, 13.5837, 13.5837)* CHOOSE(CONTROL!$C$21, $C$9, 100%, $E$9)</f>
        <v>13.5837</v>
      </c>
      <c r="J492" s="10">
        <f>CHOOSE(CONTROL!$C$42, 13.5615, 13.5615)* CHOOSE(CONTROL!$C$21, $C$9, 100%, $E$9)</f>
        <v>13.561500000000001</v>
      </c>
      <c r="K492" s="10">
        <f>CHOOSE(CONTROL!$C$42, 13.3397, 13.3397) * CHOOSE(CONTROL!$C$21, $C$9, 100%, $E$9)</f>
        <v>13.339700000000001</v>
      </c>
      <c r="L492" s="10">
        <f>CHOOSE(CONTROL!$C$42, 14.2363, 14.2363) * CHOOSE(CONTROL!$C$21, $C$9, 100%, $E$9)</f>
        <v>14.2363</v>
      </c>
      <c r="M492" s="10">
        <f>CHOOSE(CONTROL!$C$42, 13.4385, 13.4385) * CHOOSE(CONTROL!$C$21, $C$9, 100%, $E$9)</f>
        <v>13.438499999999999</v>
      </c>
      <c r="N492" s="10">
        <f>CHOOSE(CONTROL!$C$42, 13.4554, 13.4554) * CHOOSE(CONTROL!$C$21, $C$9, 100%, $E$9)</f>
        <v>13.455399999999999</v>
      </c>
      <c r="O492" s="10">
        <f>CHOOSE(CONTROL!$C$42, 13.5254, 13.5254) * CHOOSE(CONTROL!$C$21, $C$9, 100%, $E$9)</f>
        <v>13.525399999999999</v>
      </c>
      <c r="P492" s="10">
        <f>CHOOSE(CONTROL!$C$42, 13.4605, 13.4605) * CHOOSE(CONTROL!$C$21, $C$9, 100%, $E$9)</f>
        <v>13.4605</v>
      </c>
      <c r="Q492" s="10">
        <f>CHOOSE(CONTROL!$C$42, 14.1207, 14.1207) * CHOOSE(CONTROL!$C$21, $C$9, 100%, $E$9)</f>
        <v>14.120699999999999</v>
      </c>
      <c r="R492" s="10">
        <f>CHOOSE(CONTROL!$C$42, 14.743, 14.743) * CHOOSE(CONTROL!$C$21, $C$9, 100%, $E$9)</f>
        <v>14.743</v>
      </c>
      <c r="S492" s="10">
        <f>CHOOSE(CONTROL!$C$42, 13.2018, 13.2018) * CHOOSE(CONTROL!$C$21, $C$9, 100%, $E$9)</f>
        <v>13.2018</v>
      </c>
      <c r="T4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38">
        <f>(1000*CHOOSE(CONTROL!$C$42, 695, 695)*CHOOSE(CONTROL!$C$42, 0.5599, 0.5599)*CHOOSE(CONTROL!$C$42, 31, 31))/1000000</f>
        <v>12.063045499999998</v>
      </c>
      <c r="V492" s="38">
        <f>(1000*CHOOSE(CONTROL!$C$42, 500, 500)*CHOOSE(CONTROL!$C$42, 0.275, 0.275)*CHOOSE(CONTROL!$C$42, 31, 31))/1000000</f>
        <v>4.2625000000000002</v>
      </c>
      <c r="W492" s="38">
        <f>(1000*CHOOSE(CONTROL!$C$42, 0.1146, 0.1146)*CHOOSE(CONTROL!$C$42, 121.5, 121.5)*CHOOSE(CONTROL!$C$42, 31, 31))/1000000</f>
        <v>0.43164089999999994</v>
      </c>
      <c r="X492" s="38">
        <f>(31*0.1790888*100000/1000000)+(31*0.2374*100000/1000000)</f>
        <v>1.2911152800000001</v>
      </c>
      <c r="Y492" s="38">
        <f>(1000*600*CHOOSE(CONTROL!$C$42, 1.0687, 1.0687)*CHOOSE(CONTROL!$C$42, 31, 31))/1000000</f>
        <v>19.87782</v>
      </c>
      <c r="Z492" s="38"/>
      <c r="AA492" s="10"/>
      <c r="AB492" s="39"/>
      <c r="AC492" s="33">
        <f>(B492*122.58+C492*297.941+D492*89.177+E492*40.302+F492*40+G492*160+H492*0+I492*100+J492*300)/(122.58+297.941+89.177+40.302+0+40+160+100+300)</f>
        <v>13.589747474086957</v>
      </c>
      <c r="AD492" s="27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13.482024460431655</v>
      </c>
    </row>
    <row r="493" spans="1:30" ht="15.75" x14ac:dyDescent="0.25">
      <c r="A493" s="14">
        <v>56280</v>
      </c>
      <c r="B493" s="10">
        <f>CHOOSE(CONTROL!$C$42, 14.5144, 14.5144) * CHOOSE(CONTROL!$C$21, $C$9, 100%, $E$9)</f>
        <v>14.5144</v>
      </c>
      <c r="C493" s="10">
        <f>CHOOSE(CONTROL!$C$42, 14.5194, 14.5194) * CHOOSE(CONTROL!$C$21, $C$9, 100%, $E$9)</f>
        <v>14.519399999999999</v>
      </c>
      <c r="D493" s="10">
        <f>CHOOSE(CONTROL!$C$42, 14.5438, 14.5438) * CHOOSE(CONTROL!$C$21, $C$9, 100%, $E$9)</f>
        <v>14.543799999999999</v>
      </c>
      <c r="E493" s="10">
        <f>CHOOSE(CONTROL!$C$42, 14.5776, 14.5776) * CHOOSE(CONTROL!$C$21, $C$9, 100%, $E$9)</f>
        <v>14.5776</v>
      </c>
      <c r="F493" s="10">
        <f>CHOOSE(CONTROL!$C$42, 14.4973, 14.4973)*CHOOSE(CONTROL!$C$21, $C$9, 100%, $E$9)</f>
        <v>14.497299999999999</v>
      </c>
      <c r="G493" s="10">
        <f>CHOOSE(CONTROL!$C$42, 14.516, 14.516)*CHOOSE(CONTROL!$C$21, $C$9, 100%, $E$9)</f>
        <v>14.516</v>
      </c>
      <c r="H493" s="10">
        <f>CHOOSE(CONTROL!$C$42, 14.5668, 14.5668) * CHOOSE(CONTROL!$C$21, $C$9, 100%, $E$9)</f>
        <v>14.566800000000001</v>
      </c>
      <c r="I493" s="10">
        <f>CHOOSE(CONTROL!$C$42, 14.5089, 14.5089)* CHOOSE(CONTROL!$C$21, $C$9, 100%, $E$9)</f>
        <v>14.508900000000001</v>
      </c>
      <c r="J493" s="10">
        <f>CHOOSE(CONTROL!$C$42, 14.4903, 14.4903)* CHOOSE(CONTROL!$C$21, $C$9, 100%, $E$9)</f>
        <v>14.4903</v>
      </c>
      <c r="K493" s="10">
        <f>CHOOSE(CONTROL!$C$42, 14.2522, 14.2522) * CHOOSE(CONTROL!$C$21, $C$9, 100%, $E$9)</f>
        <v>14.2522</v>
      </c>
      <c r="L493" s="10">
        <f>CHOOSE(CONTROL!$C$42, 15.1538, 15.1538) * CHOOSE(CONTROL!$C$21, $C$9, 100%, $E$9)</f>
        <v>15.1538</v>
      </c>
      <c r="M493" s="10">
        <f>CHOOSE(CONTROL!$C$42, 14.3579, 14.3579) * CHOOSE(CONTROL!$C$21, $C$9, 100%, $E$9)</f>
        <v>14.357900000000001</v>
      </c>
      <c r="N493" s="10">
        <f>CHOOSE(CONTROL!$C$42, 14.3764, 14.3764) * CHOOSE(CONTROL!$C$21, $C$9, 100%, $E$9)</f>
        <v>14.3764</v>
      </c>
      <c r="O493" s="10">
        <f>CHOOSE(CONTROL!$C$42, 14.4336, 14.4336) * CHOOSE(CONTROL!$C$21, $C$9, 100%, $E$9)</f>
        <v>14.4336</v>
      </c>
      <c r="P493" s="10">
        <f>CHOOSE(CONTROL!$C$42, 14.3764, 14.3764) * CHOOSE(CONTROL!$C$21, $C$9, 100%, $E$9)</f>
        <v>14.3764</v>
      </c>
      <c r="Q493" s="10">
        <f>CHOOSE(CONTROL!$C$42, 15.0289, 15.0289) * CHOOSE(CONTROL!$C$21, $C$9, 100%, $E$9)</f>
        <v>15.0289</v>
      </c>
      <c r="R493" s="10">
        <f>CHOOSE(CONTROL!$C$42, 15.6535, 15.6535) * CHOOSE(CONTROL!$C$21, $C$9, 100%, $E$9)</f>
        <v>15.653499999999999</v>
      </c>
      <c r="S493" s="10">
        <f>CHOOSE(CONTROL!$C$42, 14.0928, 14.0928) * CHOOSE(CONTROL!$C$21, $C$9, 100%, $E$9)</f>
        <v>14.0928</v>
      </c>
      <c r="T4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38">
        <f>(1000*CHOOSE(CONTROL!$C$42, 695, 695)*CHOOSE(CONTROL!$C$42, 0.5599, 0.5599)*CHOOSE(CONTROL!$C$42, 31, 31))/1000000</f>
        <v>12.063045499999998</v>
      </c>
      <c r="V493" s="38">
        <f>(1000*CHOOSE(CONTROL!$C$42, 500, 500)*CHOOSE(CONTROL!$C$42, 0.275, 0.275)*CHOOSE(CONTROL!$C$42, 31, 31))/1000000</f>
        <v>4.2625000000000002</v>
      </c>
      <c r="W493" s="38">
        <f>(1000*CHOOSE(CONTROL!$C$42, 0.1146, 0.1146)*CHOOSE(CONTROL!$C$42, 121.5, 121.5)*CHOOSE(CONTROL!$C$42, 31, 31))/1000000</f>
        <v>0.43164089999999994</v>
      </c>
      <c r="X493" s="38">
        <f>(31*0.1790888*100000/1000000)+(31*0.2374*100000/1000000)</f>
        <v>1.2911152800000001</v>
      </c>
      <c r="Y493" s="38">
        <f>(1000*600*CHOOSE(CONTROL!$C$42, 1.0653, 1.0653)*CHOOSE(CONTROL!$C$42, 31, 31))/1000000</f>
        <v>19.814579999999999</v>
      </c>
      <c r="Z493" s="38"/>
      <c r="AA493" s="10"/>
      <c r="AB493" s="39"/>
      <c r="AC493" s="33">
        <f>(B493*122.58+C493*297.941+D493*89.177+E493*40.302+F493*40+G493*160+H493*0+I493*100+J493*300)/(122.58+297.941+89.177+40.302+0+40+160+100+300)</f>
        <v>14.51305269147826</v>
      </c>
      <c r="AD493" s="27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14.395936690647481</v>
      </c>
    </row>
    <row r="494" spans="1:30" ht="15.75" x14ac:dyDescent="0.25">
      <c r="A494" s="14">
        <v>56308</v>
      </c>
      <c r="B494" s="10">
        <f>CHOOSE(CONTROL!$C$42, 14.7727, 14.7727) * CHOOSE(CONTROL!$C$21, $C$9, 100%, $E$9)</f>
        <v>14.7727</v>
      </c>
      <c r="C494" s="10">
        <f>CHOOSE(CONTROL!$C$42, 14.7777, 14.7777) * CHOOSE(CONTROL!$C$21, $C$9, 100%, $E$9)</f>
        <v>14.777699999999999</v>
      </c>
      <c r="D494" s="10">
        <f>CHOOSE(CONTROL!$C$42, 14.8022, 14.8022) * CHOOSE(CONTROL!$C$21, $C$9, 100%, $E$9)</f>
        <v>14.802199999999999</v>
      </c>
      <c r="E494" s="10">
        <f>CHOOSE(CONTROL!$C$42, 14.8359, 14.8359) * CHOOSE(CONTROL!$C$21, $C$9, 100%, $E$9)</f>
        <v>14.835900000000001</v>
      </c>
      <c r="F494" s="10">
        <f>CHOOSE(CONTROL!$C$42, 14.755, 14.755)*CHOOSE(CONTROL!$C$21, $C$9, 100%, $E$9)</f>
        <v>14.755000000000001</v>
      </c>
      <c r="G494" s="10">
        <f>CHOOSE(CONTROL!$C$42, 14.7735, 14.7735)*CHOOSE(CONTROL!$C$21, $C$9, 100%, $E$9)</f>
        <v>14.7735</v>
      </c>
      <c r="H494" s="10">
        <f>CHOOSE(CONTROL!$C$42, 14.8251, 14.8251) * CHOOSE(CONTROL!$C$21, $C$9, 100%, $E$9)</f>
        <v>14.825100000000001</v>
      </c>
      <c r="I494" s="10">
        <f>CHOOSE(CONTROL!$C$42, 14.7672, 14.7672)* CHOOSE(CONTROL!$C$21, $C$9, 100%, $E$9)</f>
        <v>14.767200000000001</v>
      </c>
      <c r="J494" s="10">
        <f>CHOOSE(CONTROL!$C$42, 14.748, 14.748)* CHOOSE(CONTROL!$C$21, $C$9, 100%, $E$9)</f>
        <v>14.747999999999999</v>
      </c>
      <c r="K494" s="10">
        <f>CHOOSE(CONTROL!$C$42, 14.5017, 14.5017) * CHOOSE(CONTROL!$C$21, $C$9, 100%, $E$9)</f>
        <v>14.5017</v>
      </c>
      <c r="L494" s="10">
        <f>CHOOSE(CONTROL!$C$42, 15.4121, 15.4121) * CHOOSE(CONTROL!$C$21, $C$9, 100%, $E$9)</f>
        <v>15.412100000000001</v>
      </c>
      <c r="M494" s="10">
        <f>CHOOSE(CONTROL!$C$42, 14.613, 14.613) * CHOOSE(CONTROL!$C$21, $C$9, 100%, $E$9)</f>
        <v>14.613</v>
      </c>
      <c r="N494" s="10">
        <f>CHOOSE(CONTROL!$C$42, 14.6313, 14.6313) * CHOOSE(CONTROL!$C$21, $C$9, 100%, $E$9)</f>
        <v>14.6313</v>
      </c>
      <c r="O494" s="10">
        <f>CHOOSE(CONTROL!$C$42, 14.6893, 14.6893) * CHOOSE(CONTROL!$C$21, $C$9, 100%, $E$9)</f>
        <v>14.689299999999999</v>
      </c>
      <c r="P494" s="10">
        <f>CHOOSE(CONTROL!$C$42, 14.6321, 14.6321) * CHOOSE(CONTROL!$C$21, $C$9, 100%, $E$9)</f>
        <v>14.632099999999999</v>
      </c>
      <c r="Q494" s="10">
        <f>CHOOSE(CONTROL!$C$42, 15.2846, 15.2846) * CHOOSE(CONTROL!$C$21, $C$9, 100%, $E$9)</f>
        <v>15.284599999999999</v>
      </c>
      <c r="R494" s="10">
        <f>CHOOSE(CONTROL!$C$42, 15.9099, 15.9099) * CHOOSE(CONTROL!$C$21, $C$9, 100%, $E$9)</f>
        <v>15.9099</v>
      </c>
      <c r="S494" s="10">
        <f>CHOOSE(CONTROL!$C$42, 14.3437, 14.3437) * CHOOSE(CONTROL!$C$21, $C$9, 100%, $E$9)</f>
        <v>14.3437</v>
      </c>
      <c r="T4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38">
        <f>(1000*CHOOSE(CONTROL!$C$42, 695, 695)*CHOOSE(CONTROL!$C$42, 0.5599, 0.5599)*CHOOSE(CONTROL!$C$42, 28, 28))/1000000</f>
        <v>10.895653999999999</v>
      </c>
      <c r="V494" s="38">
        <f>(1000*CHOOSE(CONTROL!$C$42, 500, 500)*CHOOSE(CONTROL!$C$42, 0.275, 0.275)*CHOOSE(CONTROL!$C$42, 28, 28))/1000000</f>
        <v>3.85</v>
      </c>
      <c r="W494" s="38">
        <f>(1000*CHOOSE(CONTROL!$C$42, 0.1146, 0.1146)*CHOOSE(CONTROL!$C$42, 121.5, 121.5)*CHOOSE(CONTROL!$C$42, 28, 28))/1000000</f>
        <v>0.38986920000000003</v>
      </c>
      <c r="X494" s="38">
        <f>(28*0.1790888*100000/1000000)+(28*0.2374*100000/1000000)</f>
        <v>1.16616864</v>
      </c>
      <c r="Y494" s="38">
        <f>(1000*600*CHOOSE(CONTROL!$C$42, 1.0653, 1.0653)*CHOOSE(CONTROL!$C$42, 28, 28))/1000000</f>
        <v>17.897040000000001</v>
      </c>
      <c r="Z494" s="38"/>
      <c r="AA494" s="10"/>
      <c r="AB494" s="39"/>
      <c r="AC494" s="33">
        <f>(B494*122.58+C494*297.941+D494*89.177+E494*40.302+F494*40+G494*160+H494*0+I494*100+J494*300)/(122.58+297.941+89.177+40.302+0+40+160+100+300)</f>
        <v>14.771071750347827</v>
      </c>
      <c r="AD494" s="27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14.651383453237411</v>
      </c>
    </row>
    <row r="495" spans="1:30" ht="15.75" x14ac:dyDescent="0.25">
      <c r="A495" s="14">
        <v>56339</v>
      </c>
      <c r="B495" s="10">
        <f>CHOOSE(CONTROL!$C$42, 14.3534, 14.3534) * CHOOSE(CONTROL!$C$21, $C$9, 100%, $E$9)</f>
        <v>14.353400000000001</v>
      </c>
      <c r="C495" s="10">
        <f>CHOOSE(CONTROL!$C$42, 14.3584, 14.3584) * CHOOSE(CONTROL!$C$21, $C$9, 100%, $E$9)</f>
        <v>14.3584</v>
      </c>
      <c r="D495" s="10">
        <f>CHOOSE(CONTROL!$C$42, 14.3828, 14.3828) * CHOOSE(CONTROL!$C$21, $C$9, 100%, $E$9)</f>
        <v>14.3828</v>
      </c>
      <c r="E495" s="10">
        <f>CHOOSE(CONTROL!$C$42, 14.4166, 14.4166) * CHOOSE(CONTROL!$C$21, $C$9, 100%, $E$9)</f>
        <v>14.416600000000001</v>
      </c>
      <c r="F495" s="10">
        <f>CHOOSE(CONTROL!$C$42, 14.3341, 14.3341)*CHOOSE(CONTROL!$C$21, $C$9, 100%, $E$9)</f>
        <v>14.334099999999999</v>
      </c>
      <c r="G495" s="10">
        <f>CHOOSE(CONTROL!$C$42, 14.3522, 14.3522)*CHOOSE(CONTROL!$C$21, $C$9, 100%, $E$9)</f>
        <v>14.3522</v>
      </c>
      <c r="H495" s="10">
        <f>CHOOSE(CONTROL!$C$42, 14.4058, 14.4058) * CHOOSE(CONTROL!$C$21, $C$9, 100%, $E$9)</f>
        <v>14.405799999999999</v>
      </c>
      <c r="I495" s="10">
        <f>CHOOSE(CONTROL!$C$42, 14.3479, 14.3479)* CHOOSE(CONTROL!$C$21, $C$9, 100%, $E$9)</f>
        <v>14.347899999999999</v>
      </c>
      <c r="J495" s="10">
        <f>CHOOSE(CONTROL!$C$42, 14.3271, 14.3271)* CHOOSE(CONTROL!$C$21, $C$9, 100%, $E$9)</f>
        <v>14.3271</v>
      </c>
      <c r="K495" s="10">
        <f>CHOOSE(CONTROL!$C$42, 14.0909, 14.0909) * CHOOSE(CONTROL!$C$21, $C$9, 100%, $E$9)</f>
        <v>14.0909</v>
      </c>
      <c r="L495" s="10">
        <f>CHOOSE(CONTROL!$C$42, 14.9928, 14.9928) * CHOOSE(CONTROL!$C$21, $C$9, 100%, $E$9)</f>
        <v>14.992800000000001</v>
      </c>
      <c r="M495" s="10">
        <f>CHOOSE(CONTROL!$C$42, 14.1964, 14.1964) * CHOOSE(CONTROL!$C$21, $C$9, 100%, $E$9)</f>
        <v>14.196400000000001</v>
      </c>
      <c r="N495" s="10">
        <f>CHOOSE(CONTROL!$C$42, 14.2143, 14.2143) * CHOOSE(CONTROL!$C$21, $C$9, 100%, $E$9)</f>
        <v>14.2143</v>
      </c>
      <c r="O495" s="10">
        <f>CHOOSE(CONTROL!$C$42, 14.2742, 14.2742) * CHOOSE(CONTROL!$C$21, $C$9, 100%, $E$9)</f>
        <v>14.2742</v>
      </c>
      <c r="P495" s="10">
        <f>CHOOSE(CONTROL!$C$42, 14.217, 14.217) * CHOOSE(CONTROL!$C$21, $C$9, 100%, $E$9)</f>
        <v>14.217000000000001</v>
      </c>
      <c r="Q495" s="10">
        <f>CHOOSE(CONTROL!$C$42, 14.8695, 14.8695) * CHOOSE(CONTROL!$C$21, $C$9, 100%, $E$9)</f>
        <v>14.8695</v>
      </c>
      <c r="R495" s="10">
        <f>CHOOSE(CONTROL!$C$42, 15.4937, 15.4937) * CHOOSE(CONTROL!$C$21, $C$9, 100%, $E$9)</f>
        <v>15.4937</v>
      </c>
      <c r="S495" s="10">
        <f>CHOOSE(CONTROL!$C$42, 13.9365, 13.9365) * CHOOSE(CONTROL!$C$21, $C$9, 100%, $E$9)</f>
        <v>13.936500000000001</v>
      </c>
      <c r="T4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38">
        <f>(1000*CHOOSE(CONTROL!$C$42, 695, 695)*CHOOSE(CONTROL!$C$42, 0.5599, 0.5599)*CHOOSE(CONTROL!$C$42, 31, 31))/1000000</f>
        <v>12.063045499999998</v>
      </c>
      <c r="V495" s="38">
        <f>(1000*CHOOSE(CONTROL!$C$42, 500, 500)*CHOOSE(CONTROL!$C$42, 0.275, 0.275)*CHOOSE(CONTROL!$C$42, 31, 31))/1000000</f>
        <v>4.2625000000000002</v>
      </c>
      <c r="W495" s="38">
        <f>(1000*CHOOSE(CONTROL!$C$42, 0.1146, 0.1146)*CHOOSE(CONTROL!$C$42, 121.5, 121.5)*CHOOSE(CONTROL!$C$42, 31, 31))/1000000</f>
        <v>0.43164089999999994</v>
      </c>
      <c r="X495" s="38">
        <f>(31*0.1790888*100000/1000000)+(31*0.2374*100000/1000000)</f>
        <v>1.2911152800000001</v>
      </c>
      <c r="Y495" s="38">
        <f>(1000*600*CHOOSE(CONTROL!$C$42, 1.0653, 1.0653)*CHOOSE(CONTROL!$C$42, 31, 31))/1000000</f>
        <v>19.814579999999999</v>
      </c>
      <c r="Z495" s="38"/>
      <c r="AA495" s="10"/>
      <c r="AB495" s="39"/>
      <c r="AC495" s="33">
        <f>(B495*122.58+C495*297.941+D495*89.177+E495*40.302+F495*40+G495*160+H495*0+I495*100+J495*300)/(122.58+297.941+89.177+40.302+0+40+160+100+300)</f>
        <v>14.35101269147826</v>
      </c>
      <c r="AD495" s="27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14.235656115107915</v>
      </c>
    </row>
    <row r="496" spans="1:30" ht="15.75" x14ac:dyDescent="0.25">
      <c r="A496" s="14">
        <v>56369</v>
      </c>
      <c r="B496" s="10">
        <f>CHOOSE(CONTROL!$C$42, 14.3112, 14.3112) * CHOOSE(CONTROL!$C$21, $C$9, 100%, $E$9)</f>
        <v>14.311199999999999</v>
      </c>
      <c r="C496" s="10">
        <f>CHOOSE(CONTROL!$C$42, 14.3156, 14.3156) * CHOOSE(CONTROL!$C$21, $C$9, 100%, $E$9)</f>
        <v>14.3156</v>
      </c>
      <c r="D496" s="10">
        <f>CHOOSE(CONTROL!$C$42, 14.4957, 14.4957) * CHOOSE(CONTROL!$C$21, $C$9, 100%, $E$9)</f>
        <v>14.495699999999999</v>
      </c>
      <c r="E496" s="10">
        <f>CHOOSE(CONTROL!$C$42, 14.5275, 14.5275) * CHOOSE(CONTROL!$C$21, $C$9, 100%, $E$9)</f>
        <v>14.5275</v>
      </c>
      <c r="F496" s="10">
        <f>CHOOSE(CONTROL!$C$42, 14.2766, 14.2766)*CHOOSE(CONTROL!$C$21, $C$9, 100%, $E$9)</f>
        <v>14.2766</v>
      </c>
      <c r="G496" s="10">
        <f>CHOOSE(CONTROL!$C$42, 14.2928, 14.2928)*CHOOSE(CONTROL!$C$21, $C$9, 100%, $E$9)</f>
        <v>14.2928</v>
      </c>
      <c r="H496" s="10">
        <f>CHOOSE(CONTROL!$C$42, 14.5173, 14.5173) * CHOOSE(CONTROL!$C$21, $C$9, 100%, $E$9)</f>
        <v>14.517300000000001</v>
      </c>
      <c r="I496" s="10">
        <f>CHOOSE(CONTROL!$C$42, 14.2972, 14.2972)* CHOOSE(CONTROL!$C$21, $C$9, 100%, $E$9)</f>
        <v>14.2972</v>
      </c>
      <c r="J496" s="10">
        <f>CHOOSE(CONTROL!$C$42, 14.2696, 14.2696)* CHOOSE(CONTROL!$C$21, $C$9, 100%, $E$9)</f>
        <v>14.269600000000001</v>
      </c>
      <c r="K496" s="10">
        <f>CHOOSE(CONTROL!$C$42, 14.0267, 14.0267) * CHOOSE(CONTROL!$C$21, $C$9, 100%, $E$9)</f>
        <v>14.0267</v>
      </c>
      <c r="L496" s="10">
        <f>CHOOSE(CONTROL!$C$42, 15.1043, 15.1043) * CHOOSE(CONTROL!$C$21, $C$9, 100%, $E$9)</f>
        <v>15.1043</v>
      </c>
      <c r="M496" s="10">
        <f>CHOOSE(CONTROL!$C$42, 14.1394, 14.1394) * CHOOSE(CONTROL!$C$21, $C$9, 100%, $E$9)</f>
        <v>14.1394</v>
      </c>
      <c r="N496" s="10">
        <f>CHOOSE(CONTROL!$C$42, 14.1555, 14.1555) * CHOOSE(CONTROL!$C$21, $C$9, 100%, $E$9)</f>
        <v>14.1555</v>
      </c>
      <c r="O496" s="10">
        <f>CHOOSE(CONTROL!$C$42, 14.3846, 14.3846) * CHOOSE(CONTROL!$C$21, $C$9, 100%, $E$9)</f>
        <v>14.384600000000001</v>
      </c>
      <c r="P496" s="10">
        <f>CHOOSE(CONTROL!$C$42, 14.1668, 14.1668) * CHOOSE(CONTROL!$C$21, $C$9, 100%, $E$9)</f>
        <v>14.1668</v>
      </c>
      <c r="Q496" s="10">
        <f>CHOOSE(CONTROL!$C$42, 14.9799, 14.9799) * CHOOSE(CONTROL!$C$21, $C$9, 100%, $E$9)</f>
        <v>14.979900000000001</v>
      </c>
      <c r="R496" s="10">
        <f>CHOOSE(CONTROL!$C$42, 15.6044, 15.6044) * CHOOSE(CONTROL!$C$21, $C$9, 100%, $E$9)</f>
        <v>15.6044</v>
      </c>
      <c r="S496" s="10">
        <f>CHOOSE(CONTROL!$C$42, 13.8947, 13.8947) * CHOOSE(CONTROL!$C$21, $C$9, 100%, $E$9)</f>
        <v>13.8947</v>
      </c>
      <c r="T4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38">
        <f>(1000*CHOOSE(CONTROL!$C$42, 695, 695)*CHOOSE(CONTROL!$C$42, 0.5599, 0.5599)*CHOOSE(CONTROL!$C$42, 30, 30))/1000000</f>
        <v>11.673914999999997</v>
      </c>
      <c r="V496" s="38">
        <f>(1000*CHOOSE(CONTROL!$C$42, 500, 500)*CHOOSE(CONTROL!$C$42, 0.275, 0.275)*CHOOSE(CONTROL!$C$42, 30, 30))/1000000</f>
        <v>4.125</v>
      </c>
      <c r="W496" s="38">
        <f>(1000*CHOOSE(CONTROL!$C$42, 0.1146, 0.1146)*CHOOSE(CONTROL!$C$42, 121.5, 121.5)*CHOOSE(CONTROL!$C$42, 30, 30))/1000000</f>
        <v>0.417717</v>
      </c>
      <c r="X496" s="38">
        <f>(30*0.1790888*245000/1000000)+(30*0.2374*100000/1000000)</f>
        <v>2.0285026799999999</v>
      </c>
      <c r="Y496" s="38">
        <f>(1000*600*CHOOSE(CONTROL!$C$42, 1.0653, 1.0653)*CHOOSE(CONTROL!$C$42, 30, 30))/1000000</f>
        <v>19.1754</v>
      </c>
      <c r="Z496" s="38"/>
      <c r="AA496" s="10"/>
      <c r="AB496" s="39"/>
      <c r="AC496" s="33">
        <f>(B496*141.293+C496*267.993+D496*115.016+E496*89.698+F496*40+G496*185+H496*0+I496*100+J496*300)/(141.293+267.993+115.016+89.698+0+40+185+100+300)</f>
        <v>14.329870943179984</v>
      </c>
      <c r="AD496" s="27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14.215846043165469</v>
      </c>
    </row>
    <row r="497" spans="1:30" ht="15.75" x14ac:dyDescent="0.25">
      <c r="A497" s="14">
        <v>56400</v>
      </c>
      <c r="B497" s="10">
        <f>CHOOSE(CONTROL!$C$42, 14.4393, 14.4393) * CHOOSE(CONTROL!$C$21, $C$9, 100%, $E$9)</f>
        <v>14.439299999999999</v>
      </c>
      <c r="C497" s="10">
        <f>CHOOSE(CONTROL!$C$42, 14.4472, 14.4472) * CHOOSE(CONTROL!$C$21, $C$9, 100%, $E$9)</f>
        <v>14.4472</v>
      </c>
      <c r="D497" s="10">
        <f>CHOOSE(CONTROL!$C$42, 14.6242, 14.6242) * CHOOSE(CONTROL!$C$21, $C$9, 100%, $E$9)</f>
        <v>14.6242</v>
      </c>
      <c r="E497" s="10">
        <f>CHOOSE(CONTROL!$C$42, 14.6553, 14.6553) * CHOOSE(CONTROL!$C$21, $C$9, 100%, $E$9)</f>
        <v>14.6553</v>
      </c>
      <c r="F497" s="10">
        <f>CHOOSE(CONTROL!$C$42, 14.4027, 14.4027)*CHOOSE(CONTROL!$C$21, $C$9, 100%, $E$9)</f>
        <v>14.402699999999999</v>
      </c>
      <c r="G497" s="10">
        <f>CHOOSE(CONTROL!$C$42, 14.4191, 14.4191)*CHOOSE(CONTROL!$C$21, $C$9, 100%, $E$9)</f>
        <v>14.4191</v>
      </c>
      <c r="H497" s="10">
        <f>CHOOSE(CONTROL!$C$42, 14.644, 14.644) * CHOOSE(CONTROL!$C$21, $C$9, 100%, $E$9)</f>
        <v>14.644</v>
      </c>
      <c r="I497" s="10">
        <f>CHOOSE(CONTROL!$C$42, 14.4239, 14.4239)* CHOOSE(CONTROL!$C$21, $C$9, 100%, $E$9)</f>
        <v>14.4239</v>
      </c>
      <c r="J497" s="10">
        <f>CHOOSE(CONTROL!$C$42, 14.3957, 14.3957)* CHOOSE(CONTROL!$C$21, $C$9, 100%, $E$9)</f>
        <v>14.3957</v>
      </c>
      <c r="K497" s="10">
        <f>CHOOSE(CONTROL!$C$42, 14.1485, 14.1485) * CHOOSE(CONTROL!$C$21, $C$9, 100%, $E$9)</f>
        <v>14.1485</v>
      </c>
      <c r="L497" s="10">
        <f>CHOOSE(CONTROL!$C$42, 15.231, 15.231) * CHOOSE(CONTROL!$C$21, $C$9, 100%, $E$9)</f>
        <v>15.231</v>
      </c>
      <c r="M497" s="10">
        <f>CHOOSE(CONTROL!$C$42, 14.2642, 14.2642) * CHOOSE(CONTROL!$C$21, $C$9, 100%, $E$9)</f>
        <v>14.264200000000001</v>
      </c>
      <c r="N497" s="10">
        <f>CHOOSE(CONTROL!$C$42, 14.2805, 14.2805) * CHOOSE(CONTROL!$C$21, $C$9, 100%, $E$9)</f>
        <v>14.2805</v>
      </c>
      <c r="O497" s="10">
        <f>CHOOSE(CONTROL!$C$42, 14.51, 14.51) * CHOOSE(CONTROL!$C$21, $C$9, 100%, $E$9)</f>
        <v>14.51</v>
      </c>
      <c r="P497" s="10">
        <f>CHOOSE(CONTROL!$C$42, 14.2922, 14.2922) * CHOOSE(CONTROL!$C$21, $C$9, 100%, $E$9)</f>
        <v>14.292199999999999</v>
      </c>
      <c r="Q497" s="10">
        <f>CHOOSE(CONTROL!$C$42, 15.1053, 15.1053) * CHOOSE(CONTROL!$C$21, $C$9, 100%, $E$9)</f>
        <v>15.1053</v>
      </c>
      <c r="R497" s="10">
        <f>CHOOSE(CONTROL!$C$42, 15.7301, 15.7301) * CHOOSE(CONTROL!$C$21, $C$9, 100%, $E$9)</f>
        <v>15.7301</v>
      </c>
      <c r="S497" s="10">
        <f>CHOOSE(CONTROL!$C$42, 14.0177, 14.0177) * CHOOSE(CONTROL!$C$21, $C$9, 100%, $E$9)</f>
        <v>14.0177</v>
      </c>
      <c r="T4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38">
        <f>(1000*CHOOSE(CONTROL!$C$42, 695, 695)*CHOOSE(CONTROL!$C$42, 0.5599, 0.5599)*CHOOSE(CONTROL!$C$42, 31, 31))/1000000</f>
        <v>12.063045499999998</v>
      </c>
      <c r="V497" s="38">
        <f>(1000*CHOOSE(CONTROL!$C$42, 500, 500)*CHOOSE(CONTROL!$C$42, 0.275, 0.275)*CHOOSE(CONTROL!$C$42, 31, 31))/1000000</f>
        <v>4.2625000000000002</v>
      </c>
      <c r="W497" s="38">
        <f>(1000*CHOOSE(CONTROL!$C$42, 0.1146, 0.1146)*CHOOSE(CONTROL!$C$42, 121.5, 121.5)*CHOOSE(CONTROL!$C$42, 31, 31))/1000000</f>
        <v>0.43164089999999994</v>
      </c>
      <c r="X497" s="38">
        <f>(31*0.1790888*245000/1000000)+(31*0.2374*100000/1000000)</f>
        <v>2.0961194359999999</v>
      </c>
      <c r="Y497" s="38">
        <f>(1000*600*CHOOSE(CONTROL!$C$42, 1.0653, 1.0653)*CHOOSE(CONTROL!$C$42, 31, 31))/1000000</f>
        <v>19.814579999999999</v>
      </c>
      <c r="Z497" s="38"/>
      <c r="AA497" s="10"/>
      <c r="AB497" s="39"/>
      <c r="AC497" s="33">
        <f>(B497*194.205+C497*267.466+D497*133.845+E497*53.484+F497*40+G497*185+H497*0+I497*100+J497*300)/(194.205+267.466+133.845+53.484+0+40+185+100+300)</f>
        <v>14.453893772291995</v>
      </c>
      <c r="AD497" s="27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14.34094676258993</v>
      </c>
    </row>
    <row r="498" spans="1:30" ht="15.75" x14ac:dyDescent="0.25">
      <c r="A498" s="14">
        <v>56430</v>
      </c>
      <c r="B498" s="10">
        <f>CHOOSE(CONTROL!$C$42, 14.8487, 14.8487) * CHOOSE(CONTROL!$C$21, $C$9, 100%, $E$9)</f>
        <v>14.848699999999999</v>
      </c>
      <c r="C498" s="10">
        <f>CHOOSE(CONTROL!$C$42, 14.8566, 14.8566) * CHOOSE(CONTROL!$C$21, $C$9, 100%, $E$9)</f>
        <v>14.8566</v>
      </c>
      <c r="D498" s="10">
        <f>CHOOSE(CONTROL!$C$42, 15.0336, 15.0336) * CHOOSE(CONTROL!$C$21, $C$9, 100%, $E$9)</f>
        <v>15.0336</v>
      </c>
      <c r="E498" s="10">
        <f>CHOOSE(CONTROL!$C$42, 15.0648, 15.0648) * CHOOSE(CONTROL!$C$21, $C$9, 100%, $E$9)</f>
        <v>15.0648</v>
      </c>
      <c r="F498" s="10">
        <f>CHOOSE(CONTROL!$C$42, 14.8123, 14.8123)*CHOOSE(CONTROL!$C$21, $C$9, 100%, $E$9)</f>
        <v>14.8123</v>
      </c>
      <c r="G498" s="10">
        <f>CHOOSE(CONTROL!$C$42, 14.8288, 14.8288)*CHOOSE(CONTROL!$C$21, $C$9, 100%, $E$9)</f>
        <v>14.828799999999999</v>
      </c>
      <c r="H498" s="10">
        <f>CHOOSE(CONTROL!$C$42, 15.0534, 15.0534) * CHOOSE(CONTROL!$C$21, $C$9, 100%, $E$9)</f>
        <v>15.0534</v>
      </c>
      <c r="I498" s="10">
        <f>CHOOSE(CONTROL!$C$42, 14.8333, 14.8333)* CHOOSE(CONTROL!$C$21, $C$9, 100%, $E$9)</f>
        <v>14.833299999999999</v>
      </c>
      <c r="J498" s="10">
        <f>CHOOSE(CONTROL!$C$42, 14.8053, 14.8053)* CHOOSE(CONTROL!$C$21, $C$9, 100%, $E$9)</f>
        <v>14.805300000000001</v>
      </c>
      <c r="K498" s="10">
        <f>CHOOSE(CONTROL!$C$42, 14.5467, 14.5467) * CHOOSE(CONTROL!$C$21, $C$9, 100%, $E$9)</f>
        <v>14.5467</v>
      </c>
      <c r="L498" s="10">
        <f>CHOOSE(CONTROL!$C$42, 15.6404, 15.6404) * CHOOSE(CONTROL!$C$21, $C$9, 100%, $E$9)</f>
        <v>15.6404</v>
      </c>
      <c r="M498" s="10">
        <f>CHOOSE(CONTROL!$C$42, 14.6697, 14.6697) * CHOOSE(CONTROL!$C$21, $C$9, 100%, $E$9)</f>
        <v>14.669700000000001</v>
      </c>
      <c r="N498" s="10">
        <f>CHOOSE(CONTROL!$C$42, 14.6861, 14.6861) * CHOOSE(CONTROL!$C$21, $C$9, 100%, $E$9)</f>
        <v>14.6861</v>
      </c>
      <c r="O498" s="10">
        <f>CHOOSE(CONTROL!$C$42, 14.9153, 14.9153) * CHOOSE(CONTROL!$C$21, $C$9, 100%, $E$9)</f>
        <v>14.9153</v>
      </c>
      <c r="P498" s="10">
        <f>CHOOSE(CONTROL!$C$42, 14.6975, 14.6975) * CHOOSE(CONTROL!$C$21, $C$9, 100%, $E$9)</f>
        <v>14.6975</v>
      </c>
      <c r="Q498" s="10">
        <f>CHOOSE(CONTROL!$C$42, 15.5106, 15.5106) * CHOOSE(CONTROL!$C$21, $C$9, 100%, $E$9)</f>
        <v>15.5106</v>
      </c>
      <c r="R498" s="10">
        <f>CHOOSE(CONTROL!$C$42, 16.1364, 16.1364) * CHOOSE(CONTROL!$C$21, $C$9, 100%, $E$9)</f>
        <v>16.136399999999998</v>
      </c>
      <c r="S498" s="10">
        <f>CHOOSE(CONTROL!$C$42, 14.4153, 14.4153) * CHOOSE(CONTROL!$C$21, $C$9, 100%, $E$9)</f>
        <v>14.4153</v>
      </c>
      <c r="T4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38">
        <f>(1000*CHOOSE(CONTROL!$C$42, 695, 695)*CHOOSE(CONTROL!$C$42, 0.5599, 0.5599)*CHOOSE(CONTROL!$C$42, 30, 30))/1000000</f>
        <v>11.673914999999997</v>
      </c>
      <c r="V498" s="38">
        <f>(1000*CHOOSE(CONTROL!$C$42, 500, 500)*CHOOSE(CONTROL!$C$42, 0.275, 0.275)*CHOOSE(CONTROL!$C$42, 30, 30))/1000000</f>
        <v>4.125</v>
      </c>
      <c r="W498" s="38">
        <f>(1000*CHOOSE(CONTROL!$C$42, 0.1146, 0.1146)*CHOOSE(CONTROL!$C$42, 121.5, 121.5)*CHOOSE(CONTROL!$C$42, 30, 30))/1000000</f>
        <v>0.417717</v>
      </c>
      <c r="X498" s="38">
        <f>(30*0.1790888*245000/1000000)+(30*0.2374*100000/1000000)</f>
        <v>2.0285026799999999</v>
      </c>
      <c r="Y498" s="38">
        <f>(1000*600*CHOOSE(CONTROL!$C$42, 1.0653, 1.0653)*CHOOSE(CONTROL!$C$42, 30, 30))/1000000</f>
        <v>19.1754</v>
      </c>
      <c r="Z498" s="38"/>
      <c r="AA498" s="10"/>
      <c r="AB498" s="39"/>
      <c r="AC498" s="33">
        <f>(B498*194.205+C498*267.466+D498*133.845+E498*53.484+F498*40+G498*185+H498*0+I498*100+J498*300)/(194.205+267.466+133.845+53.484+0+40+185+100+300)</f>
        <v>14.863394909183674</v>
      </c>
      <c r="AD498" s="27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14.746384892086329</v>
      </c>
    </row>
    <row r="499" spans="1:30" ht="15.75" x14ac:dyDescent="0.25">
      <c r="A499" s="14">
        <v>56461</v>
      </c>
      <c r="B499" s="10">
        <f>CHOOSE(CONTROL!$C$42, 14.564, 14.564) * CHOOSE(CONTROL!$C$21, $C$9, 100%, $E$9)</f>
        <v>14.564</v>
      </c>
      <c r="C499" s="10">
        <f>CHOOSE(CONTROL!$C$42, 14.5719, 14.5719) * CHOOSE(CONTROL!$C$21, $C$9, 100%, $E$9)</f>
        <v>14.571899999999999</v>
      </c>
      <c r="D499" s="10">
        <f>CHOOSE(CONTROL!$C$42, 14.7489, 14.7489) * CHOOSE(CONTROL!$C$21, $C$9, 100%, $E$9)</f>
        <v>14.748900000000001</v>
      </c>
      <c r="E499" s="10">
        <f>CHOOSE(CONTROL!$C$42, 14.78, 14.78) * CHOOSE(CONTROL!$C$21, $C$9, 100%, $E$9)</f>
        <v>14.78</v>
      </c>
      <c r="F499" s="10">
        <f>CHOOSE(CONTROL!$C$42, 14.5277, 14.5277)*CHOOSE(CONTROL!$C$21, $C$9, 100%, $E$9)</f>
        <v>14.527699999999999</v>
      </c>
      <c r="G499" s="10">
        <f>CHOOSE(CONTROL!$C$42, 14.5444, 14.5444)*CHOOSE(CONTROL!$C$21, $C$9, 100%, $E$9)</f>
        <v>14.5444</v>
      </c>
      <c r="H499" s="10">
        <f>CHOOSE(CONTROL!$C$42, 14.7686, 14.7686) * CHOOSE(CONTROL!$C$21, $C$9, 100%, $E$9)</f>
        <v>14.768599999999999</v>
      </c>
      <c r="I499" s="10">
        <f>CHOOSE(CONTROL!$C$42, 14.5486, 14.5486)* CHOOSE(CONTROL!$C$21, $C$9, 100%, $E$9)</f>
        <v>14.5486</v>
      </c>
      <c r="J499" s="10">
        <f>CHOOSE(CONTROL!$C$42, 14.5207, 14.5207)* CHOOSE(CONTROL!$C$21, $C$9, 100%, $E$9)</f>
        <v>14.5207</v>
      </c>
      <c r="K499" s="10">
        <f>CHOOSE(CONTROL!$C$42, 14.2705, 14.2705) * CHOOSE(CONTROL!$C$21, $C$9, 100%, $E$9)</f>
        <v>14.2705</v>
      </c>
      <c r="L499" s="10">
        <f>CHOOSE(CONTROL!$C$42, 15.3556, 15.3556) * CHOOSE(CONTROL!$C$21, $C$9, 100%, $E$9)</f>
        <v>15.355600000000001</v>
      </c>
      <c r="M499" s="10">
        <f>CHOOSE(CONTROL!$C$42, 14.388, 14.388) * CHOOSE(CONTROL!$C$21, $C$9, 100%, $E$9)</f>
        <v>14.388</v>
      </c>
      <c r="N499" s="10">
        <f>CHOOSE(CONTROL!$C$42, 14.4045, 14.4045) * CHOOSE(CONTROL!$C$21, $C$9, 100%, $E$9)</f>
        <v>14.404500000000001</v>
      </c>
      <c r="O499" s="10">
        <f>CHOOSE(CONTROL!$C$42, 14.6334, 14.6334) * CHOOSE(CONTROL!$C$21, $C$9, 100%, $E$9)</f>
        <v>14.6334</v>
      </c>
      <c r="P499" s="10">
        <f>CHOOSE(CONTROL!$C$42, 14.4156, 14.4156) * CHOOSE(CONTROL!$C$21, $C$9, 100%, $E$9)</f>
        <v>14.4156</v>
      </c>
      <c r="Q499" s="10">
        <f>CHOOSE(CONTROL!$C$42, 15.2287, 15.2287) * CHOOSE(CONTROL!$C$21, $C$9, 100%, $E$9)</f>
        <v>15.2287</v>
      </c>
      <c r="R499" s="10">
        <f>CHOOSE(CONTROL!$C$42, 15.8538, 15.8538) * CHOOSE(CONTROL!$C$21, $C$9, 100%, $E$9)</f>
        <v>15.8538</v>
      </c>
      <c r="S499" s="10">
        <f>CHOOSE(CONTROL!$C$42, 14.1388, 14.1388) * CHOOSE(CONTROL!$C$21, $C$9, 100%, $E$9)</f>
        <v>14.1388</v>
      </c>
      <c r="T4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38">
        <f>(1000*CHOOSE(CONTROL!$C$42, 695, 695)*CHOOSE(CONTROL!$C$42, 0.5599, 0.5599)*CHOOSE(CONTROL!$C$42, 31, 31))/1000000</f>
        <v>12.063045499999998</v>
      </c>
      <c r="V499" s="38">
        <f>(1000*CHOOSE(CONTROL!$C$42, 500, 500)*CHOOSE(CONTROL!$C$42, 0.275, 0.275)*CHOOSE(CONTROL!$C$42, 31, 31))/1000000</f>
        <v>4.2625000000000002</v>
      </c>
      <c r="W499" s="38">
        <f>(1000*CHOOSE(CONTROL!$C$42, 0.1146, 0.1146)*CHOOSE(CONTROL!$C$42, 121.5, 121.5)*CHOOSE(CONTROL!$C$42, 31, 31))/1000000</f>
        <v>0.43164089999999994</v>
      </c>
      <c r="X499" s="38">
        <f>(31*0.1790888*245000/1000000)+(31*0.2374*100000/1000000)</f>
        <v>2.0961194359999999</v>
      </c>
      <c r="Y499" s="38">
        <f>(1000*600*CHOOSE(CONTROL!$C$42, 1.0653, 1.0653)*CHOOSE(CONTROL!$C$42, 31, 31))/1000000</f>
        <v>19.814579999999999</v>
      </c>
      <c r="Z499" s="38"/>
      <c r="AA499" s="10"/>
      <c r="AB499" s="39"/>
      <c r="AC499" s="33">
        <f>(B499*194.205+C499*267.466+D499*133.845+E499*53.484+F499*40+G499*185+H499*0+I499*100+J499*300)/(194.205+267.466+133.845+53.484+0+40+185+100+300)</f>
        <v>14.578760962244898</v>
      </c>
      <c r="AD499" s="27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14.464623021582732</v>
      </c>
    </row>
    <row r="500" spans="1:30" ht="15.75" x14ac:dyDescent="0.25">
      <c r="A500" s="14">
        <v>56492</v>
      </c>
      <c r="B500" s="10">
        <f>CHOOSE(CONTROL!$C$42, 13.8448, 13.8448) * CHOOSE(CONTROL!$C$21, $C$9, 100%, $E$9)</f>
        <v>13.844799999999999</v>
      </c>
      <c r="C500" s="10">
        <f>CHOOSE(CONTROL!$C$42, 13.8528, 13.8528) * CHOOSE(CONTROL!$C$21, $C$9, 100%, $E$9)</f>
        <v>13.8528</v>
      </c>
      <c r="D500" s="10">
        <f>CHOOSE(CONTROL!$C$42, 14.0298, 14.0298) * CHOOSE(CONTROL!$C$21, $C$9, 100%, $E$9)</f>
        <v>14.0298</v>
      </c>
      <c r="E500" s="10">
        <f>CHOOSE(CONTROL!$C$42, 14.0609, 14.0609) * CHOOSE(CONTROL!$C$21, $C$9, 100%, $E$9)</f>
        <v>14.0609</v>
      </c>
      <c r="F500" s="10">
        <f>CHOOSE(CONTROL!$C$42, 13.8087, 13.8087)*CHOOSE(CONTROL!$C$21, $C$9, 100%, $E$9)</f>
        <v>13.8087</v>
      </c>
      <c r="G500" s="10">
        <f>CHOOSE(CONTROL!$C$42, 13.8253, 13.8253)*CHOOSE(CONTROL!$C$21, $C$9, 100%, $E$9)</f>
        <v>13.8253</v>
      </c>
      <c r="H500" s="10">
        <f>CHOOSE(CONTROL!$C$42, 14.0495, 14.0495) * CHOOSE(CONTROL!$C$21, $C$9, 100%, $E$9)</f>
        <v>14.0495</v>
      </c>
      <c r="I500" s="10">
        <f>CHOOSE(CONTROL!$C$42, 13.8294, 13.8294)* CHOOSE(CONTROL!$C$21, $C$9, 100%, $E$9)</f>
        <v>13.8294</v>
      </c>
      <c r="J500" s="10">
        <f>CHOOSE(CONTROL!$C$42, 13.8017, 13.8017)* CHOOSE(CONTROL!$C$21, $C$9, 100%, $E$9)</f>
        <v>13.8017</v>
      </c>
      <c r="K500" s="10">
        <f>CHOOSE(CONTROL!$C$42, 13.572, 13.572) * CHOOSE(CONTROL!$C$21, $C$9, 100%, $E$9)</f>
        <v>13.571999999999999</v>
      </c>
      <c r="L500" s="10">
        <f>CHOOSE(CONTROL!$C$42, 14.6365, 14.6365) * CHOOSE(CONTROL!$C$21, $C$9, 100%, $E$9)</f>
        <v>14.6365</v>
      </c>
      <c r="M500" s="10">
        <f>CHOOSE(CONTROL!$C$42, 13.6762, 13.6762) * CHOOSE(CONTROL!$C$21, $C$9, 100%, $E$9)</f>
        <v>13.6762</v>
      </c>
      <c r="N500" s="10">
        <f>CHOOSE(CONTROL!$C$42, 13.6927, 13.6927) * CHOOSE(CONTROL!$C$21, $C$9, 100%, $E$9)</f>
        <v>13.6927</v>
      </c>
      <c r="O500" s="10">
        <f>CHOOSE(CONTROL!$C$42, 13.9216, 13.9216) * CHOOSE(CONTROL!$C$21, $C$9, 100%, $E$9)</f>
        <v>13.9216</v>
      </c>
      <c r="P500" s="10">
        <f>CHOOSE(CONTROL!$C$42, 13.7037, 13.7037) * CHOOSE(CONTROL!$C$21, $C$9, 100%, $E$9)</f>
        <v>13.7037</v>
      </c>
      <c r="Q500" s="10">
        <f>CHOOSE(CONTROL!$C$42, 14.5169, 14.5169) * CHOOSE(CONTROL!$C$21, $C$9, 100%, $E$9)</f>
        <v>14.5169</v>
      </c>
      <c r="R500" s="10">
        <f>CHOOSE(CONTROL!$C$42, 15.1402, 15.1402) * CHOOSE(CONTROL!$C$21, $C$9, 100%, $E$9)</f>
        <v>15.1402</v>
      </c>
      <c r="S500" s="10">
        <f>CHOOSE(CONTROL!$C$42, 13.4405, 13.4405) * CHOOSE(CONTROL!$C$21, $C$9, 100%, $E$9)</f>
        <v>13.4405</v>
      </c>
      <c r="T5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38">
        <f>(1000*CHOOSE(CONTROL!$C$42, 695, 695)*CHOOSE(CONTROL!$C$42, 0.5599, 0.5599)*CHOOSE(CONTROL!$C$42, 31, 31))/1000000</f>
        <v>12.063045499999998</v>
      </c>
      <c r="V500" s="38">
        <f>(1000*CHOOSE(CONTROL!$C$42, 500, 500)*CHOOSE(CONTROL!$C$42, 0.275, 0.275)*CHOOSE(CONTROL!$C$42, 31, 31))/1000000</f>
        <v>4.2625000000000002</v>
      </c>
      <c r="W500" s="38">
        <f>(1000*CHOOSE(CONTROL!$C$42, 0.1146, 0.1146)*CHOOSE(CONTROL!$C$42, 121.5, 121.5)*CHOOSE(CONTROL!$C$42, 31, 31))/1000000</f>
        <v>0.43164089999999994</v>
      </c>
      <c r="X500" s="38">
        <f>(31*0.1790888*245000/1000000)+(31*0.2374*100000/1000000)</f>
        <v>2.0961194359999999</v>
      </c>
      <c r="Y500" s="38">
        <f>(1000*600*CHOOSE(CONTROL!$C$42, 1.0653, 1.0653)*CHOOSE(CONTROL!$C$42, 31, 31))/1000000</f>
        <v>19.814579999999999</v>
      </c>
      <c r="Z500" s="38"/>
      <c r="AA500" s="10"/>
      <c r="AB500" s="39"/>
      <c r="AC500" s="33">
        <f>(B500*194.205+C500*267.466+D500*133.845+E500*53.484+F500*40+G500*185+H500*0+I500*100+J500*300)/(194.205+267.466+133.845+53.484+0+40+185+100+300)</f>
        <v>13.859664556828887</v>
      </c>
      <c r="AD500" s="27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13.752808633093526</v>
      </c>
    </row>
    <row r="501" spans="1:30" ht="15.75" x14ac:dyDescent="0.25">
      <c r="A501" s="14">
        <v>56522</v>
      </c>
      <c r="B501" s="10">
        <f>CHOOSE(CONTROL!$C$42, 12.9662, 12.9662) * CHOOSE(CONTROL!$C$21, $C$9, 100%, $E$9)</f>
        <v>12.966200000000001</v>
      </c>
      <c r="C501" s="10">
        <f>CHOOSE(CONTROL!$C$42, 12.9741, 12.9741) * CHOOSE(CONTROL!$C$21, $C$9, 100%, $E$9)</f>
        <v>12.9741</v>
      </c>
      <c r="D501" s="10">
        <f>CHOOSE(CONTROL!$C$42, 13.1511, 13.1511) * CHOOSE(CONTROL!$C$21, $C$9, 100%, $E$9)</f>
        <v>13.1511</v>
      </c>
      <c r="E501" s="10">
        <f>CHOOSE(CONTROL!$C$42, 13.1823, 13.1823) * CHOOSE(CONTROL!$C$21, $C$9, 100%, $E$9)</f>
        <v>13.1823</v>
      </c>
      <c r="F501" s="10">
        <f>CHOOSE(CONTROL!$C$42, 12.9298, 12.9298)*CHOOSE(CONTROL!$C$21, $C$9, 100%, $E$9)</f>
        <v>12.9298</v>
      </c>
      <c r="G501" s="10">
        <f>CHOOSE(CONTROL!$C$42, 12.9464, 12.9464)*CHOOSE(CONTROL!$C$21, $C$9, 100%, $E$9)</f>
        <v>12.946400000000001</v>
      </c>
      <c r="H501" s="10">
        <f>CHOOSE(CONTROL!$C$42, 13.1709, 13.1709) * CHOOSE(CONTROL!$C$21, $C$9, 100%, $E$9)</f>
        <v>13.1709</v>
      </c>
      <c r="I501" s="10">
        <f>CHOOSE(CONTROL!$C$42, 12.9508, 12.9508)* CHOOSE(CONTROL!$C$21, $C$9, 100%, $E$9)</f>
        <v>12.950799999999999</v>
      </c>
      <c r="J501" s="10">
        <f>CHOOSE(CONTROL!$C$42, 12.9228, 12.9228)* CHOOSE(CONTROL!$C$21, $C$9, 100%, $E$9)</f>
        <v>12.922800000000001</v>
      </c>
      <c r="K501" s="10">
        <f>CHOOSE(CONTROL!$C$42, 12.7178, 12.7178) * CHOOSE(CONTROL!$C$21, $C$9, 100%, $E$9)</f>
        <v>12.7178</v>
      </c>
      <c r="L501" s="10">
        <f>CHOOSE(CONTROL!$C$42, 13.7579, 13.7579) * CHOOSE(CONTROL!$C$21, $C$9, 100%, $E$9)</f>
        <v>13.757899999999999</v>
      </c>
      <c r="M501" s="10">
        <f>CHOOSE(CONTROL!$C$42, 12.8062, 12.8062) * CHOOSE(CONTROL!$C$21, $C$9, 100%, $E$9)</f>
        <v>12.8062</v>
      </c>
      <c r="N501" s="10">
        <f>CHOOSE(CONTROL!$C$42, 12.8226, 12.8226) * CHOOSE(CONTROL!$C$21, $C$9, 100%, $E$9)</f>
        <v>12.8226</v>
      </c>
      <c r="O501" s="10">
        <f>CHOOSE(CONTROL!$C$42, 13.0518, 13.0518) * CHOOSE(CONTROL!$C$21, $C$9, 100%, $E$9)</f>
        <v>13.0518</v>
      </c>
      <c r="P501" s="10">
        <f>CHOOSE(CONTROL!$C$42, 12.834, 12.834) * CHOOSE(CONTROL!$C$21, $C$9, 100%, $E$9)</f>
        <v>12.834</v>
      </c>
      <c r="Q501" s="10">
        <f>CHOOSE(CONTROL!$C$42, 13.6471, 13.6471) * CHOOSE(CONTROL!$C$21, $C$9, 100%, $E$9)</f>
        <v>13.6471</v>
      </c>
      <c r="R501" s="10">
        <f>CHOOSE(CONTROL!$C$42, 14.2682, 14.2682) * CHOOSE(CONTROL!$C$21, $C$9, 100%, $E$9)</f>
        <v>14.2682</v>
      </c>
      <c r="S501" s="10">
        <f>CHOOSE(CONTROL!$C$42, 12.5872, 12.5872) * CHOOSE(CONTROL!$C$21, $C$9, 100%, $E$9)</f>
        <v>12.587199999999999</v>
      </c>
      <c r="T5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38">
        <f>(1000*CHOOSE(CONTROL!$C$42, 695, 695)*CHOOSE(CONTROL!$C$42, 0.5599, 0.5599)*CHOOSE(CONTROL!$C$42, 30, 30))/1000000</f>
        <v>11.673914999999997</v>
      </c>
      <c r="V501" s="38">
        <f>(1000*CHOOSE(CONTROL!$C$42, 500, 500)*CHOOSE(CONTROL!$C$42, 0.275, 0.275)*CHOOSE(CONTROL!$C$42, 30, 30))/1000000</f>
        <v>4.125</v>
      </c>
      <c r="W501" s="38">
        <f>(1000*CHOOSE(CONTROL!$C$42, 0.1146, 0.1146)*CHOOSE(CONTROL!$C$42, 121.5, 121.5)*CHOOSE(CONTROL!$C$42, 30, 30))/1000000</f>
        <v>0.417717</v>
      </c>
      <c r="X501" s="38">
        <f>(30*0.1790888*245000/1000000)+(30*0.2374*100000/1000000)</f>
        <v>2.0285026799999999</v>
      </c>
      <c r="Y501" s="38">
        <f>(1000*600*CHOOSE(CONTROL!$C$42, 1.0653, 1.0653)*CHOOSE(CONTROL!$C$42, 30, 30))/1000000</f>
        <v>19.1754</v>
      </c>
      <c r="Z501" s="38"/>
      <c r="AA501" s="10"/>
      <c r="AB501" s="39"/>
      <c r="AC501" s="33">
        <f>(B501*194.205+C501*267.466+D501*133.845+E501*53.484+F501*40+G501*185+H501*0+I501*100+J501*300)/(194.205+267.466+133.845+53.484+0+40+185+100+300)</f>
        <v>12.980909430376768</v>
      </c>
      <c r="AD501" s="27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12.882884892086331</v>
      </c>
    </row>
    <row r="502" spans="1:30" ht="15.75" x14ac:dyDescent="0.25">
      <c r="A502" s="14">
        <v>56553</v>
      </c>
      <c r="B502" s="10">
        <f>CHOOSE(CONTROL!$C$42, 12.7009, 12.7009) * CHOOSE(CONTROL!$C$21, $C$9, 100%, $E$9)</f>
        <v>12.700900000000001</v>
      </c>
      <c r="C502" s="10">
        <f>CHOOSE(CONTROL!$C$42, 12.7061, 12.7061) * CHOOSE(CONTROL!$C$21, $C$9, 100%, $E$9)</f>
        <v>12.706099999999999</v>
      </c>
      <c r="D502" s="10">
        <f>CHOOSE(CONTROL!$C$42, 12.8881, 12.8881) * CHOOSE(CONTROL!$C$21, $C$9, 100%, $E$9)</f>
        <v>12.8881</v>
      </c>
      <c r="E502" s="10">
        <f>CHOOSE(CONTROL!$C$42, 12.9169, 12.9169) * CHOOSE(CONTROL!$C$21, $C$9, 100%, $E$9)</f>
        <v>12.9169</v>
      </c>
      <c r="F502" s="10">
        <f>CHOOSE(CONTROL!$C$42, 12.6665, 12.6665)*CHOOSE(CONTROL!$C$21, $C$9, 100%, $E$9)</f>
        <v>12.666499999999999</v>
      </c>
      <c r="G502" s="10">
        <f>CHOOSE(CONTROL!$C$42, 12.6828, 12.6828)*CHOOSE(CONTROL!$C$21, $C$9, 100%, $E$9)</f>
        <v>12.6828</v>
      </c>
      <c r="H502" s="10">
        <f>CHOOSE(CONTROL!$C$42, 12.9073, 12.9073) * CHOOSE(CONTROL!$C$21, $C$9, 100%, $E$9)</f>
        <v>12.907299999999999</v>
      </c>
      <c r="I502" s="10">
        <f>CHOOSE(CONTROL!$C$42, 12.6873, 12.6873)* CHOOSE(CONTROL!$C$21, $C$9, 100%, $E$9)</f>
        <v>12.6873</v>
      </c>
      <c r="J502" s="10">
        <f>CHOOSE(CONTROL!$C$42, 12.6595, 12.6595)* CHOOSE(CONTROL!$C$21, $C$9, 100%, $E$9)</f>
        <v>12.6595</v>
      </c>
      <c r="K502" s="10">
        <f>CHOOSE(CONTROL!$C$42, 12.4623, 12.4623) * CHOOSE(CONTROL!$C$21, $C$9, 100%, $E$9)</f>
        <v>12.462300000000001</v>
      </c>
      <c r="L502" s="10">
        <f>CHOOSE(CONTROL!$C$42, 13.4943, 13.4943) * CHOOSE(CONTROL!$C$21, $C$9, 100%, $E$9)</f>
        <v>13.494300000000001</v>
      </c>
      <c r="M502" s="10">
        <f>CHOOSE(CONTROL!$C$42, 12.5456, 12.5456) * CHOOSE(CONTROL!$C$21, $C$9, 100%, $E$9)</f>
        <v>12.5456</v>
      </c>
      <c r="N502" s="10">
        <f>CHOOSE(CONTROL!$C$42, 12.5617, 12.5617) * CHOOSE(CONTROL!$C$21, $C$9, 100%, $E$9)</f>
        <v>12.5617</v>
      </c>
      <c r="O502" s="10">
        <f>CHOOSE(CONTROL!$C$42, 12.7909, 12.7909) * CHOOSE(CONTROL!$C$21, $C$9, 100%, $E$9)</f>
        <v>12.790900000000001</v>
      </c>
      <c r="P502" s="10">
        <f>CHOOSE(CONTROL!$C$42, 12.5731, 12.5731) * CHOOSE(CONTROL!$C$21, $C$9, 100%, $E$9)</f>
        <v>12.5731</v>
      </c>
      <c r="Q502" s="10">
        <f>CHOOSE(CONTROL!$C$42, 13.3862, 13.3862) * CHOOSE(CONTROL!$C$21, $C$9, 100%, $E$9)</f>
        <v>13.386200000000001</v>
      </c>
      <c r="R502" s="10">
        <f>CHOOSE(CONTROL!$C$42, 14.0067, 14.0067) * CHOOSE(CONTROL!$C$21, $C$9, 100%, $E$9)</f>
        <v>14.0067</v>
      </c>
      <c r="S502" s="10">
        <f>CHOOSE(CONTROL!$C$42, 12.3313, 12.3313) * CHOOSE(CONTROL!$C$21, $C$9, 100%, $E$9)</f>
        <v>12.331300000000001</v>
      </c>
      <c r="T5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38">
        <f>(1000*CHOOSE(CONTROL!$C$42, 695, 695)*CHOOSE(CONTROL!$C$42, 0.5599, 0.5599)*CHOOSE(CONTROL!$C$42, 31, 31))/1000000</f>
        <v>12.063045499999998</v>
      </c>
      <c r="V502" s="38">
        <f>(1000*CHOOSE(CONTROL!$C$42, 500, 500)*CHOOSE(CONTROL!$C$42, 0.275, 0.275)*CHOOSE(CONTROL!$C$42, 31, 31))/1000000</f>
        <v>4.2625000000000002</v>
      </c>
      <c r="W502" s="38">
        <f>(1000*CHOOSE(CONTROL!$C$42, 0.1146, 0.1146)*CHOOSE(CONTROL!$C$42, 121.5, 121.5)*CHOOSE(CONTROL!$C$42, 31, 31))/1000000</f>
        <v>0.43164089999999994</v>
      </c>
      <c r="X502" s="38">
        <f>(31*0.1790888*245000/1000000)+(31*0.2374*100000/1000000)</f>
        <v>2.0961194359999999</v>
      </c>
      <c r="Y502" s="38">
        <f>(1000*600*CHOOSE(CONTROL!$C$42, 1.0653, 1.0653)*CHOOSE(CONTROL!$C$42, 31, 31))/1000000</f>
        <v>19.814579999999999</v>
      </c>
      <c r="Z502" s="38"/>
      <c r="AA502" s="10"/>
      <c r="AB502" s="39"/>
      <c r="AC502" s="33">
        <f>(B502*131.881+C502*277.167+D502*79.08+E502*125.872+F502*40+G502*185+H502*0+I502*100+J502*300)/(131.881+277.167+79.08+125.872+0+40+185+100+300)</f>
        <v>12.721020174656982</v>
      </c>
      <c r="AD502" s="27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12.622088489208631</v>
      </c>
    </row>
    <row r="503" spans="1:30" ht="15.75" x14ac:dyDescent="0.25">
      <c r="A503" s="14">
        <v>56583</v>
      </c>
      <c r="B503" s="10">
        <f>CHOOSE(CONTROL!$C$42, 13.035, 13.035) * CHOOSE(CONTROL!$C$21, $C$9, 100%, $E$9)</f>
        <v>13.035</v>
      </c>
      <c r="C503" s="10">
        <f>CHOOSE(CONTROL!$C$42, 13.04, 13.04) * CHOOSE(CONTROL!$C$21, $C$9, 100%, $E$9)</f>
        <v>13.04</v>
      </c>
      <c r="D503" s="10">
        <f>CHOOSE(CONTROL!$C$42, 13.0644, 13.0644) * CHOOSE(CONTROL!$C$21, $C$9, 100%, $E$9)</f>
        <v>13.064399999999999</v>
      </c>
      <c r="E503" s="10">
        <f>CHOOSE(CONTROL!$C$42, 13.0982, 13.0982) * CHOOSE(CONTROL!$C$21, $C$9, 100%, $E$9)</f>
        <v>13.0982</v>
      </c>
      <c r="F503" s="10">
        <f>CHOOSE(CONTROL!$C$42, 13.0043, 13.0043)*CHOOSE(CONTROL!$C$21, $C$9, 100%, $E$9)</f>
        <v>13.004300000000001</v>
      </c>
      <c r="G503" s="10">
        <f>CHOOSE(CONTROL!$C$42, 13.0208, 13.0208)*CHOOSE(CONTROL!$C$21, $C$9, 100%, $E$9)</f>
        <v>13.020799999999999</v>
      </c>
      <c r="H503" s="10">
        <f>CHOOSE(CONTROL!$C$42, 13.0874, 13.0874) * CHOOSE(CONTROL!$C$21, $C$9, 100%, $E$9)</f>
        <v>13.087400000000001</v>
      </c>
      <c r="I503" s="10">
        <f>CHOOSE(CONTROL!$C$42, 13.0218, 13.0218)* CHOOSE(CONTROL!$C$21, $C$9, 100%, $E$9)</f>
        <v>13.021800000000001</v>
      </c>
      <c r="J503" s="10">
        <f>CHOOSE(CONTROL!$C$42, 12.9973, 12.9973)* CHOOSE(CONTROL!$C$21, $C$9, 100%, $E$9)</f>
        <v>12.997299999999999</v>
      </c>
      <c r="K503" s="10">
        <f>CHOOSE(CONTROL!$C$42, 12.7888, 12.7888) * CHOOSE(CONTROL!$C$21, $C$9, 100%, $E$9)</f>
        <v>12.7888</v>
      </c>
      <c r="L503" s="10">
        <f>CHOOSE(CONTROL!$C$42, 13.6744, 13.6744) * CHOOSE(CONTROL!$C$21, $C$9, 100%, $E$9)</f>
        <v>13.6744</v>
      </c>
      <c r="M503" s="10">
        <f>CHOOSE(CONTROL!$C$42, 12.88, 12.88) * CHOOSE(CONTROL!$C$21, $C$9, 100%, $E$9)</f>
        <v>12.88</v>
      </c>
      <c r="N503" s="10">
        <f>CHOOSE(CONTROL!$C$42, 12.8963, 12.8963) * CHOOSE(CONTROL!$C$21, $C$9, 100%, $E$9)</f>
        <v>12.8963</v>
      </c>
      <c r="O503" s="10">
        <f>CHOOSE(CONTROL!$C$42, 12.9692, 12.9692) * CHOOSE(CONTROL!$C$21, $C$9, 100%, $E$9)</f>
        <v>12.969200000000001</v>
      </c>
      <c r="P503" s="10">
        <f>CHOOSE(CONTROL!$C$42, 12.9042, 12.9042) * CHOOSE(CONTROL!$C$21, $C$9, 100%, $E$9)</f>
        <v>12.904199999999999</v>
      </c>
      <c r="Q503" s="10">
        <f>CHOOSE(CONTROL!$C$42, 13.5645, 13.5645) * CHOOSE(CONTROL!$C$21, $C$9, 100%, $E$9)</f>
        <v>13.564500000000001</v>
      </c>
      <c r="R503" s="10">
        <f>CHOOSE(CONTROL!$C$42, 14.1854, 14.1854) * CHOOSE(CONTROL!$C$21, $C$9, 100%, $E$9)</f>
        <v>14.1854</v>
      </c>
      <c r="S503" s="10">
        <f>CHOOSE(CONTROL!$C$42, 12.6562, 12.6562) * CHOOSE(CONTROL!$C$21, $C$9, 100%, $E$9)</f>
        <v>12.6562</v>
      </c>
      <c r="T5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38">
        <f>(1000*CHOOSE(CONTROL!$C$42, 695, 695)*CHOOSE(CONTROL!$C$42, 0.5599, 0.5599)*CHOOSE(CONTROL!$C$42, 30, 30))/1000000</f>
        <v>11.673914999999997</v>
      </c>
      <c r="V503" s="38">
        <f>(1000*CHOOSE(CONTROL!$C$42, 500, 500)*CHOOSE(CONTROL!$C$42, 0.275, 0.275)*CHOOSE(CONTROL!$C$42, 30, 30))/1000000</f>
        <v>4.125</v>
      </c>
      <c r="W503" s="38">
        <f>(1000*CHOOSE(CONTROL!$C$42, 0.1146, 0.1146)*CHOOSE(CONTROL!$C$42, 121.5, 121.5)*CHOOSE(CONTROL!$C$42, 30, 30))/1000000</f>
        <v>0.417717</v>
      </c>
      <c r="X503" s="38">
        <f>(30*0.1790888*100000/1000000)+(30*0.2374*100000/1000000)</f>
        <v>1.2494664</v>
      </c>
      <c r="Y503" s="38">
        <f>(1000*600*CHOOSE(CONTROL!$C$42, 1.0653, 1.0653)*CHOOSE(CONTROL!$C$42, 30, 30))/1000000</f>
        <v>19.1754</v>
      </c>
      <c r="Z503" s="38"/>
      <c r="AA503" s="10"/>
      <c r="AB503" s="39"/>
      <c r="AC503" s="33">
        <f>(B503*122.58+C503*297.941+D503*89.177+E503*40.302+F503*40+G503*160+H503*0+I503*100+J503*300)/(122.58+297.941+89.177+40.302+0+40+160+100+300)</f>
        <v>13.026763995826085</v>
      </c>
      <c r="AD503" s="27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12.92484892086331</v>
      </c>
    </row>
    <row r="504" spans="1:30" ht="15.75" x14ac:dyDescent="0.25">
      <c r="A504" s="14">
        <v>56614</v>
      </c>
      <c r="B504" s="10">
        <f>CHOOSE(CONTROL!$C$42, 13.9235, 13.9235) * CHOOSE(CONTROL!$C$21, $C$9, 100%, $E$9)</f>
        <v>13.923500000000001</v>
      </c>
      <c r="C504" s="10">
        <f>CHOOSE(CONTROL!$C$42, 13.9285, 13.9285) * CHOOSE(CONTROL!$C$21, $C$9, 100%, $E$9)</f>
        <v>13.9285</v>
      </c>
      <c r="D504" s="10">
        <f>CHOOSE(CONTROL!$C$42, 13.9529, 13.9529) * CHOOSE(CONTROL!$C$21, $C$9, 100%, $E$9)</f>
        <v>13.9529</v>
      </c>
      <c r="E504" s="10">
        <f>CHOOSE(CONTROL!$C$42, 13.9867, 13.9867) * CHOOSE(CONTROL!$C$21, $C$9, 100%, $E$9)</f>
        <v>13.986700000000001</v>
      </c>
      <c r="F504" s="10">
        <f>CHOOSE(CONTROL!$C$42, 13.8952, 13.8952)*CHOOSE(CONTROL!$C$21, $C$9, 100%, $E$9)</f>
        <v>13.895200000000001</v>
      </c>
      <c r="G504" s="10">
        <f>CHOOSE(CONTROL!$C$42, 13.9122, 13.9122)*CHOOSE(CONTROL!$C$21, $C$9, 100%, $E$9)</f>
        <v>13.9122</v>
      </c>
      <c r="H504" s="10">
        <f>CHOOSE(CONTROL!$C$42, 13.9759, 13.9759) * CHOOSE(CONTROL!$C$21, $C$9, 100%, $E$9)</f>
        <v>13.975899999999999</v>
      </c>
      <c r="I504" s="10">
        <f>CHOOSE(CONTROL!$C$42, 13.9103, 13.9103)* CHOOSE(CONTROL!$C$21, $C$9, 100%, $E$9)</f>
        <v>13.910299999999999</v>
      </c>
      <c r="J504" s="10">
        <f>CHOOSE(CONTROL!$C$42, 13.8882, 13.8882)* CHOOSE(CONTROL!$C$21, $C$9, 100%, $E$9)</f>
        <v>13.888199999999999</v>
      </c>
      <c r="K504" s="10">
        <f>CHOOSE(CONTROL!$C$42, 13.6571, 13.6571) * CHOOSE(CONTROL!$C$21, $C$9, 100%, $E$9)</f>
        <v>13.6571</v>
      </c>
      <c r="L504" s="10">
        <f>CHOOSE(CONTROL!$C$42, 14.5629, 14.5629) * CHOOSE(CONTROL!$C$21, $C$9, 100%, $E$9)</f>
        <v>14.562900000000001</v>
      </c>
      <c r="M504" s="10">
        <f>CHOOSE(CONTROL!$C$42, 13.7618, 13.7618) * CHOOSE(CONTROL!$C$21, $C$9, 100%, $E$9)</f>
        <v>13.761799999999999</v>
      </c>
      <c r="N504" s="10">
        <f>CHOOSE(CONTROL!$C$42, 13.7787, 13.7787) * CHOOSE(CONTROL!$C$21, $C$9, 100%, $E$9)</f>
        <v>13.778700000000001</v>
      </c>
      <c r="O504" s="10">
        <f>CHOOSE(CONTROL!$C$42, 13.8487, 13.8487) * CHOOSE(CONTROL!$C$21, $C$9, 100%, $E$9)</f>
        <v>13.848699999999999</v>
      </c>
      <c r="P504" s="10">
        <f>CHOOSE(CONTROL!$C$42, 13.7838, 13.7838) * CHOOSE(CONTROL!$C$21, $C$9, 100%, $E$9)</f>
        <v>13.783799999999999</v>
      </c>
      <c r="Q504" s="10">
        <f>CHOOSE(CONTROL!$C$42, 14.444, 14.444) * CHOOSE(CONTROL!$C$21, $C$9, 100%, $E$9)</f>
        <v>14.444000000000001</v>
      </c>
      <c r="R504" s="10">
        <f>CHOOSE(CONTROL!$C$42, 15.0671, 15.0671) * CHOOSE(CONTROL!$C$21, $C$9, 100%, $E$9)</f>
        <v>15.0671</v>
      </c>
      <c r="S504" s="10">
        <f>CHOOSE(CONTROL!$C$42, 13.519, 13.519) * CHOOSE(CONTROL!$C$21, $C$9, 100%, $E$9)</f>
        <v>13.519</v>
      </c>
      <c r="T5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38">
        <f>(1000*CHOOSE(CONTROL!$C$42, 695, 695)*CHOOSE(CONTROL!$C$42, 0.5599, 0.5599)*CHOOSE(CONTROL!$C$42, 31, 31))/1000000</f>
        <v>12.063045499999998</v>
      </c>
      <c r="V504" s="38">
        <f>(1000*CHOOSE(CONTROL!$C$42, 500, 500)*CHOOSE(CONTROL!$C$42, 0.275, 0.275)*CHOOSE(CONTROL!$C$42, 31, 31))/1000000</f>
        <v>4.2625000000000002</v>
      </c>
      <c r="W504" s="38">
        <f>(1000*CHOOSE(CONTROL!$C$42, 0.1146, 0.1146)*CHOOSE(CONTROL!$C$42, 121.5, 121.5)*CHOOSE(CONTROL!$C$42, 31, 31))/1000000</f>
        <v>0.43164089999999994</v>
      </c>
      <c r="X504" s="38">
        <f>(31*0.1790888*100000/1000000)+(31*0.2374*100000/1000000)</f>
        <v>1.2911152800000001</v>
      </c>
      <c r="Y504" s="38">
        <f>(1000*600*CHOOSE(CONTROL!$C$42, 1.0653, 1.0653)*CHOOSE(CONTROL!$C$42, 31, 31))/1000000</f>
        <v>19.814579999999999</v>
      </c>
      <c r="Z504" s="38"/>
      <c r="AA504" s="10"/>
      <c r="AB504" s="39"/>
      <c r="AC504" s="33">
        <f>(B504*122.58+C504*297.941+D504*89.177+E504*40.302+F504*40+G504*160+H504*0+I504*100+J504*300)/(122.58+297.941+89.177+40.302+0+40+160+100+300)</f>
        <v>13.916377039304349</v>
      </c>
      <c r="AD504" s="27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13.805324460431653</v>
      </c>
    </row>
    <row r="505" spans="1:30" ht="15.75" x14ac:dyDescent="0.25">
      <c r="A505" s="13">
        <v>56645</v>
      </c>
      <c r="B505" s="10">
        <f>CHOOSE(CONTROL!$C$42, 14.8631, 14.8631) * CHOOSE(CONTROL!$C$21, $C$9, 100%, $E$9)</f>
        <v>14.863099999999999</v>
      </c>
      <c r="C505" s="10">
        <f>CHOOSE(CONTROL!$C$42, 14.868, 14.868) * CHOOSE(CONTROL!$C$21, $C$9, 100%, $E$9)</f>
        <v>14.868</v>
      </c>
      <c r="D505" s="10">
        <f>CHOOSE(CONTROL!$C$42, 14.8925, 14.8925) * CHOOSE(CONTROL!$C$21, $C$9, 100%, $E$9)</f>
        <v>14.8925</v>
      </c>
      <c r="E505" s="10">
        <f>CHOOSE(CONTROL!$C$42, 14.9263, 14.9263) * CHOOSE(CONTROL!$C$21, $C$9, 100%, $E$9)</f>
        <v>14.926299999999999</v>
      </c>
      <c r="F505" s="10">
        <f>CHOOSE(CONTROL!$C$42, 14.846, 14.846)*CHOOSE(CONTROL!$C$21, $C$9, 100%, $E$9)</f>
        <v>14.846</v>
      </c>
      <c r="G505" s="10">
        <f>CHOOSE(CONTROL!$C$42, 14.8647, 14.8647)*CHOOSE(CONTROL!$C$21, $C$9, 100%, $E$9)</f>
        <v>14.864699999999999</v>
      </c>
      <c r="H505" s="10">
        <f>CHOOSE(CONTROL!$C$42, 14.9155, 14.9155) * CHOOSE(CONTROL!$C$21, $C$9, 100%, $E$9)</f>
        <v>14.9155</v>
      </c>
      <c r="I505" s="10">
        <f>CHOOSE(CONTROL!$C$42, 14.8576, 14.8576)* CHOOSE(CONTROL!$C$21, $C$9, 100%, $E$9)</f>
        <v>14.8576</v>
      </c>
      <c r="J505" s="10">
        <f>CHOOSE(CONTROL!$C$42, 14.839, 14.839)* CHOOSE(CONTROL!$C$21, $C$9, 100%, $E$9)</f>
        <v>14.839</v>
      </c>
      <c r="K505" s="10">
        <f>CHOOSE(CONTROL!$C$42, 14.5909, 14.5909) * CHOOSE(CONTROL!$C$21, $C$9, 100%, $E$9)</f>
        <v>14.5909</v>
      </c>
      <c r="L505" s="10">
        <f>CHOOSE(CONTROL!$C$42, 15.5025, 15.5025) * CHOOSE(CONTROL!$C$21, $C$9, 100%, $E$9)</f>
        <v>15.5025</v>
      </c>
      <c r="M505" s="10">
        <f>CHOOSE(CONTROL!$C$42, 14.7031, 14.7031) * CHOOSE(CONTROL!$C$21, $C$9, 100%, $E$9)</f>
        <v>14.703099999999999</v>
      </c>
      <c r="N505" s="10">
        <f>CHOOSE(CONTROL!$C$42, 14.7216, 14.7216) * CHOOSE(CONTROL!$C$21, $C$9, 100%, $E$9)</f>
        <v>14.7216</v>
      </c>
      <c r="O505" s="10">
        <f>CHOOSE(CONTROL!$C$42, 14.7788, 14.7788) * CHOOSE(CONTROL!$C$21, $C$9, 100%, $E$9)</f>
        <v>14.7788</v>
      </c>
      <c r="P505" s="10">
        <f>CHOOSE(CONTROL!$C$42, 14.7215, 14.7215) * CHOOSE(CONTROL!$C$21, $C$9, 100%, $E$9)</f>
        <v>14.721500000000001</v>
      </c>
      <c r="Q505" s="10">
        <f>CHOOSE(CONTROL!$C$42, 15.3741, 15.3741) * CHOOSE(CONTROL!$C$21, $C$9, 100%, $E$9)</f>
        <v>15.3741</v>
      </c>
      <c r="R505" s="10">
        <f>CHOOSE(CONTROL!$C$42, 15.9995, 15.9995) * CHOOSE(CONTROL!$C$21, $C$9, 100%, $E$9)</f>
        <v>15.999499999999999</v>
      </c>
      <c r="S505" s="10">
        <f>CHOOSE(CONTROL!$C$42, 14.4314, 14.4314) * CHOOSE(CONTROL!$C$21, $C$9, 100%, $E$9)</f>
        <v>14.4314</v>
      </c>
      <c r="T5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38">
        <f>(1000*CHOOSE(CONTROL!$C$42, 695, 695)*CHOOSE(CONTROL!$C$42, 0.5599, 0.5599)*CHOOSE(CONTROL!$C$42, 31, 31))/1000000</f>
        <v>12.063045499999998</v>
      </c>
      <c r="V505" s="38">
        <f>(1000*CHOOSE(CONTROL!$C$42, 500, 500)*CHOOSE(CONTROL!$C$42, 0.275, 0.275)*CHOOSE(CONTROL!$C$42, 31, 31))/1000000</f>
        <v>4.2625000000000002</v>
      </c>
      <c r="W505" s="38">
        <f>(1000*CHOOSE(CONTROL!$C$42, 0.1146, 0.1146)*CHOOSE(CONTROL!$C$42, 121.5, 121.5)*CHOOSE(CONTROL!$C$42, 31, 31))/1000000</f>
        <v>0.43164089999999994</v>
      </c>
      <c r="X505" s="38">
        <f>(31*0.1790888*100000/1000000)+(31*0.2374*100000/1000000)</f>
        <v>1.2911152800000001</v>
      </c>
      <c r="Y505" s="38">
        <f>(1000*600*CHOOSE(CONTROL!$C$42, 1.0619, 1.0619)*CHOOSE(CONTROL!$C$42, 31, 31))/1000000</f>
        <v>19.751339999999999</v>
      </c>
      <c r="Z505" s="38"/>
      <c r="AA505" s="10"/>
      <c r="AB505" s="39"/>
      <c r="AC505" s="33">
        <f>(B505*122.58+C505*297.941+D505*89.177+E505*40.302+F505*40+G505*160+H505*0+I505*100+J505*300)/(122.58+297.941+89.177+40.302+0+40+160+100+300)</f>
        <v>14.861726783565217</v>
      </c>
      <c r="AD505" s="27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14.741122302158272</v>
      </c>
    </row>
    <row r="506" spans="1:30" ht="15.75" x14ac:dyDescent="0.25">
      <c r="A506" s="13">
        <v>56673</v>
      </c>
      <c r="B506" s="10">
        <f>CHOOSE(CONTROL!$C$42, 15.1276, 15.1276) * CHOOSE(CONTROL!$C$21, $C$9, 100%, $E$9)</f>
        <v>15.127599999999999</v>
      </c>
      <c r="C506" s="10">
        <f>CHOOSE(CONTROL!$C$42, 15.1326, 15.1326) * CHOOSE(CONTROL!$C$21, $C$9, 100%, $E$9)</f>
        <v>15.1326</v>
      </c>
      <c r="D506" s="10">
        <f>CHOOSE(CONTROL!$C$42, 15.157, 15.157) * CHOOSE(CONTROL!$C$21, $C$9, 100%, $E$9)</f>
        <v>15.157</v>
      </c>
      <c r="E506" s="10">
        <f>CHOOSE(CONTROL!$C$42, 15.1908, 15.1908) * CHOOSE(CONTROL!$C$21, $C$9, 100%, $E$9)</f>
        <v>15.190799999999999</v>
      </c>
      <c r="F506" s="10">
        <f>CHOOSE(CONTROL!$C$42, 15.1099, 15.1099)*CHOOSE(CONTROL!$C$21, $C$9, 100%, $E$9)</f>
        <v>15.1099</v>
      </c>
      <c r="G506" s="10">
        <f>CHOOSE(CONTROL!$C$42, 15.1284, 15.1284)*CHOOSE(CONTROL!$C$21, $C$9, 100%, $E$9)</f>
        <v>15.128399999999999</v>
      </c>
      <c r="H506" s="10">
        <f>CHOOSE(CONTROL!$C$42, 15.18, 15.18) * CHOOSE(CONTROL!$C$21, $C$9, 100%, $E$9)</f>
        <v>15.18</v>
      </c>
      <c r="I506" s="10">
        <f>CHOOSE(CONTROL!$C$42, 15.1221, 15.1221)* CHOOSE(CONTROL!$C$21, $C$9, 100%, $E$9)</f>
        <v>15.1221</v>
      </c>
      <c r="J506" s="10">
        <f>CHOOSE(CONTROL!$C$42, 15.1029, 15.1029)* CHOOSE(CONTROL!$C$21, $C$9, 100%, $E$9)</f>
        <v>15.1029</v>
      </c>
      <c r="K506" s="10">
        <f>CHOOSE(CONTROL!$C$42, 14.8465, 14.8465) * CHOOSE(CONTROL!$C$21, $C$9, 100%, $E$9)</f>
        <v>14.846500000000001</v>
      </c>
      <c r="L506" s="10">
        <f>CHOOSE(CONTROL!$C$42, 15.767, 15.767) * CHOOSE(CONTROL!$C$21, $C$9, 100%, $E$9)</f>
        <v>15.766999999999999</v>
      </c>
      <c r="M506" s="10">
        <f>CHOOSE(CONTROL!$C$42, 14.9643, 14.9643) * CHOOSE(CONTROL!$C$21, $C$9, 100%, $E$9)</f>
        <v>14.9643</v>
      </c>
      <c r="N506" s="10">
        <f>CHOOSE(CONTROL!$C$42, 14.9826, 14.9826) * CHOOSE(CONTROL!$C$21, $C$9, 100%, $E$9)</f>
        <v>14.9826</v>
      </c>
      <c r="O506" s="10">
        <f>CHOOSE(CONTROL!$C$42, 15.0406, 15.0406) * CHOOSE(CONTROL!$C$21, $C$9, 100%, $E$9)</f>
        <v>15.0406</v>
      </c>
      <c r="P506" s="10">
        <f>CHOOSE(CONTROL!$C$42, 14.9834, 14.9834) * CHOOSE(CONTROL!$C$21, $C$9, 100%, $E$9)</f>
        <v>14.9834</v>
      </c>
      <c r="Q506" s="10">
        <f>CHOOSE(CONTROL!$C$42, 15.6359, 15.6359) * CHOOSE(CONTROL!$C$21, $C$9, 100%, $E$9)</f>
        <v>15.635899999999999</v>
      </c>
      <c r="R506" s="10">
        <f>CHOOSE(CONTROL!$C$42, 16.262, 16.262) * CHOOSE(CONTROL!$C$21, $C$9, 100%, $E$9)</f>
        <v>16.262</v>
      </c>
      <c r="S506" s="10">
        <f>CHOOSE(CONTROL!$C$42, 14.6883, 14.6883) * CHOOSE(CONTROL!$C$21, $C$9, 100%, $E$9)</f>
        <v>14.6883</v>
      </c>
      <c r="T5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38">
        <f>(1000*CHOOSE(CONTROL!$C$42, 695, 695)*CHOOSE(CONTROL!$C$42, 0.5599, 0.5599)*CHOOSE(CONTROL!$C$42, 28, 28))/1000000</f>
        <v>10.895653999999999</v>
      </c>
      <c r="V506" s="38">
        <f>(1000*CHOOSE(CONTROL!$C$42, 500, 500)*CHOOSE(CONTROL!$C$42, 0.275, 0.275)*CHOOSE(CONTROL!$C$42, 28, 28))/1000000</f>
        <v>3.85</v>
      </c>
      <c r="W506" s="38">
        <f>(1000*CHOOSE(CONTROL!$C$42, 0.1146, 0.1146)*CHOOSE(CONTROL!$C$42, 121.5, 121.5)*CHOOSE(CONTROL!$C$42, 28, 28))/1000000</f>
        <v>0.38986920000000003</v>
      </c>
      <c r="X506" s="38">
        <f>(28*0.1790888*100000/1000000)+(28*0.2374*100000/1000000)</f>
        <v>1.16616864</v>
      </c>
      <c r="Y506" s="38">
        <f>(1000*600*CHOOSE(CONTROL!$C$42, 1.0619, 1.0619)*CHOOSE(CONTROL!$C$42, 28, 28))/1000000</f>
        <v>17.839919999999999</v>
      </c>
      <c r="Z506" s="38"/>
      <c r="AA506" s="10"/>
      <c r="AB506" s="39"/>
      <c r="AC506" s="33">
        <f>(B506*122.58+C506*297.941+D506*89.177+E506*40.302+F506*40+G506*160+H506*0+I506*100+J506*300)/(122.58+297.941+89.177+40.302+0+40+160+100+300)</f>
        <v>15.125963995826087</v>
      </c>
      <c r="AD506" s="27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15.00268345323741</v>
      </c>
    </row>
    <row r="507" spans="1:30" ht="15.75" x14ac:dyDescent="0.25">
      <c r="A507" s="13">
        <v>56704</v>
      </c>
      <c r="B507" s="10">
        <f>CHOOSE(CONTROL!$C$42, 14.6982, 14.6982) * CHOOSE(CONTROL!$C$21, $C$9, 100%, $E$9)</f>
        <v>14.6982</v>
      </c>
      <c r="C507" s="10">
        <f>CHOOSE(CONTROL!$C$42, 14.7032, 14.7032) * CHOOSE(CONTROL!$C$21, $C$9, 100%, $E$9)</f>
        <v>14.703200000000001</v>
      </c>
      <c r="D507" s="10">
        <f>CHOOSE(CONTROL!$C$42, 14.7276, 14.7276) * CHOOSE(CONTROL!$C$21, $C$9, 100%, $E$9)</f>
        <v>14.727600000000001</v>
      </c>
      <c r="E507" s="10">
        <f>CHOOSE(CONTROL!$C$42, 14.7614, 14.7614) * CHOOSE(CONTROL!$C$21, $C$9, 100%, $E$9)</f>
        <v>14.7614</v>
      </c>
      <c r="F507" s="10">
        <f>CHOOSE(CONTROL!$C$42, 14.6789, 14.6789)*CHOOSE(CONTROL!$C$21, $C$9, 100%, $E$9)</f>
        <v>14.678900000000001</v>
      </c>
      <c r="G507" s="10">
        <f>CHOOSE(CONTROL!$C$42, 14.697, 14.697)*CHOOSE(CONTROL!$C$21, $C$9, 100%, $E$9)</f>
        <v>14.696999999999999</v>
      </c>
      <c r="H507" s="10">
        <f>CHOOSE(CONTROL!$C$42, 14.7506, 14.7506) * CHOOSE(CONTROL!$C$21, $C$9, 100%, $E$9)</f>
        <v>14.7506</v>
      </c>
      <c r="I507" s="10">
        <f>CHOOSE(CONTROL!$C$42, 14.6927, 14.6927)* CHOOSE(CONTROL!$C$21, $C$9, 100%, $E$9)</f>
        <v>14.6927</v>
      </c>
      <c r="J507" s="10">
        <f>CHOOSE(CONTROL!$C$42, 14.6719, 14.6719)* CHOOSE(CONTROL!$C$21, $C$9, 100%, $E$9)</f>
        <v>14.671900000000001</v>
      </c>
      <c r="K507" s="10">
        <f>CHOOSE(CONTROL!$C$42, 14.4259, 14.4259) * CHOOSE(CONTROL!$C$21, $C$9, 100%, $E$9)</f>
        <v>14.4259</v>
      </c>
      <c r="L507" s="10">
        <f>CHOOSE(CONTROL!$C$42, 15.3376, 15.3376) * CHOOSE(CONTROL!$C$21, $C$9, 100%, $E$9)</f>
        <v>15.3376</v>
      </c>
      <c r="M507" s="10">
        <f>CHOOSE(CONTROL!$C$42, 14.5377, 14.5377) * CHOOSE(CONTROL!$C$21, $C$9, 100%, $E$9)</f>
        <v>14.537699999999999</v>
      </c>
      <c r="N507" s="10">
        <f>CHOOSE(CONTROL!$C$42, 14.5556, 14.5556) * CHOOSE(CONTROL!$C$21, $C$9, 100%, $E$9)</f>
        <v>14.5556</v>
      </c>
      <c r="O507" s="10">
        <f>CHOOSE(CONTROL!$C$42, 14.6156, 14.6156) * CHOOSE(CONTROL!$C$21, $C$9, 100%, $E$9)</f>
        <v>14.615600000000001</v>
      </c>
      <c r="P507" s="10">
        <f>CHOOSE(CONTROL!$C$42, 14.5583, 14.5583) * CHOOSE(CONTROL!$C$21, $C$9, 100%, $E$9)</f>
        <v>14.558299999999999</v>
      </c>
      <c r="Q507" s="10">
        <f>CHOOSE(CONTROL!$C$42, 15.2109, 15.2109) * CHOOSE(CONTROL!$C$21, $C$9, 100%, $E$9)</f>
        <v>15.210900000000001</v>
      </c>
      <c r="R507" s="10">
        <f>CHOOSE(CONTROL!$C$42, 15.8359, 15.8359) * CHOOSE(CONTROL!$C$21, $C$9, 100%, $E$9)</f>
        <v>15.835900000000001</v>
      </c>
      <c r="S507" s="10">
        <f>CHOOSE(CONTROL!$C$42, 14.2713, 14.2713) * CHOOSE(CONTROL!$C$21, $C$9, 100%, $E$9)</f>
        <v>14.2713</v>
      </c>
      <c r="T5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38">
        <f>(1000*CHOOSE(CONTROL!$C$42, 695, 695)*CHOOSE(CONTROL!$C$42, 0.5599, 0.5599)*CHOOSE(CONTROL!$C$42, 31, 31))/1000000</f>
        <v>12.063045499999998</v>
      </c>
      <c r="V507" s="38">
        <f>(1000*CHOOSE(CONTROL!$C$42, 500, 500)*CHOOSE(CONTROL!$C$42, 0.275, 0.275)*CHOOSE(CONTROL!$C$42, 31, 31))/1000000</f>
        <v>4.2625000000000002</v>
      </c>
      <c r="W507" s="38">
        <f>(1000*CHOOSE(CONTROL!$C$42, 0.1146, 0.1146)*CHOOSE(CONTROL!$C$42, 121.5, 121.5)*CHOOSE(CONTROL!$C$42, 31, 31))/1000000</f>
        <v>0.43164089999999994</v>
      </c>
      <c r="X507" s="38">
        <f>(31*0.1790888*100000/1000000)+(31*0.2374*100000/1000000)</f>
        <v>1.2911152800000001</v>
      </c>
      <c r="Y507" s="38">
        <f>(1000*600*CHOOSE(CONTROL!$C$42, 1.0619, 1.0619)*CHOOSE(CONTROL!$C$42, 31, 31))/1000000</f>
        <v>19.751339999999999</v>
      </c>
      <c r="Z507" s="38"/>
      <c r="AA507" s="10"/>
      <c r="AB507" s="39"/>
      <c r="AC507" s="33">
        <f>(B507*122.58+C507*297.941+D507*89.177+E507*40.302+F507*40+G507*160+H507*0+I507*100+J507*300)/(122.58+297.941+89.177+40.302+0+40+160+100+300)</f>
        <v>14.695812691478261</v>
      </c>
      <c r="AD507" s="27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14.577001438848921</v>
      </c>
    </row>
    <row r="508" spans="1:30" ht="15.75" x14ac:dyDescent="0.25">
      <c r="A508" s="13">
        <v>56734</v>
      </c>
      <c r="B508" s="10">
        <f>CHOOSE(CONTROL!$C$42, 14.655, 14.655) * CHOOSE(CONTROL!$C$21, $C$9, 100%, $E$9)</f>
        <v>14.654999999999999</v>
      </c>
      <c r="C508" s="10">
        <f>CHOOSE(CONTROL!$C$42, 14.6594, 14.6594) * CHOOSE(CONTROL!$C$21, $C$9, 100%, $E$9)</f>
        <v>14.6594</v>
      </c>
      <c r="D508" s="10">
        <f>CHOOSE(CONTROL!$C$42, 14.8395, 14.8395) * CHOOSE(CONTROL!$C$21, $C$9, 100%, $E$9)</f>
        <v>14.839499999999999</v>
      </c>
      <c r="E508" s="10">
        <f>CHOOSE(CONTROL!$C$42, 14.8713, 14.8713) * CHOOSE(CONTROL!$C$21, $C$9, 100%, $E$9)</f>
        <v>14.8713</v>
      </c>
      <c r="F508" s="10">
        <f>CHOOSE(CONTROL!$C$42, 14.6203, 14.6203)*CHOOSE(CONTROL!$C$21, $C$9, 100%, $E$9)</f>
        <v>14.6203</v>
      </c>
      <c r="G508" s="10">
        <f>CHOOSE(CONTROL!$C$42, 14.6366, 14.6366)*CHOOSE(CONTROL!$C$21, $C$9, 100%, $E$9)</f>
        <v>14.6366</v>
      </c>
      <c r="H508" s="10">
        <f>CHOOSE(CONTROL!$C$42, 14.8611, 14.8611) * CHOOSE(CONTROL!$C$21, $C$9, 100%, $E$9)</f>
        <v>14.8611</v>
      </c>
      <c r="I508" s="10">
        <f>CHOOSE(CONTROL!$C$42, 14.641, 14.641)* CHOOSE(CONTROL!$C$21, $C$9, 100%, $E$9)</f>
        <v>14.641</v>
      </c>
      <c r="J508" s="10">
        <f>CHOOSE(CONTROL!$C$42, 14.6133, 14.6133)* CHOOSE(CONTROL!$C$21, $C$9, 100%, $E$9)</f>
        <v>14.613300000000001</v>
      </c>
      <c r="K508" s="10">
        <f>CHOOSE(CONTROL!$C$42, 14.3607, 14.3607) * CHOOSE(CONTROL!$C$21, $C$9, 100%, $E$9)</f>
        <v>14.3607</v>
      </c>
      <c r="L508" s="10">
        <f>CHOOSE(CONTROL!$C$42, 15.4481, 15.4481) * CHOOSE(CONTROL!$C$21, $C$9, 100%, $E$9)</f>
        <v>15.4481</v>
      </c>
      <c r="M508" s="10">
        <f>CHOOSE(CONTROL!$C$42, 14.4797, 14.4797) * CHOOSE(CONTROL!$C$21, $C$9, 100%, $E$9)</f>
        <v>14.479699999999999</v>
      </c>
      <c r="N508" s="10">
        <f>CHOOSE(CONTROL!$C$42, 14.4958, 14.4958) * CHOOSE(CONTROL!$C$21, $C$9, 100%, $E$9)</f>
        <v>14.495799999999999</v>
      </c>
      <c r="O508" s="10">
        <f>CHOOSE(CONTROL!$C$42, 14.7249, 14.7249) * CHOOSE(CONTROL!$C$21, $C$9, 100%, $E$9)</f>
        <v>14.7249</v>
      </c>
      <c r="P508" s="10">
        <f>CHOOSE(CONTROL!$C$42, 14.5071, 14.5071) * CHOOSE(CONTROL!$C$21, $C$9, 100%, $E$9)</f>
        <v>14.507099999999999</v>
      </c>
      <c r="Q508" s="10">
        <f>CHOOSE(CONTROL!$C$42, 15.3202, 15.3202) * CHOOSE(CONTROL!$C$21, $C$9, 100%, $E$9)</f>
        <v>15.3202</v>
      </c>
      <c r="R508" s="10">
        <f>CHOOSE(CONTROL!$C$42, 15.9455, 15.9455) * CHOOSE(CONTROL!$C$21, $C$9, 100%, $E$9)</f>
        <v>15.945499999999999</v>
      </c>
      <c r="S508" s="10">
        <f>CHOOSE(CONTROL!$C$42, 14.2286, 14.2286) * CHOOSE(CONTROL!$C$21, $C$9, 100%, $E$9)</f>
        <v>14.2286</v>
      </c>
      <c r="T5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38">
        <f>(1000*CHOOSE(CONTROL!$C$42, 695, 695)*CHOOSE(CONTROL!$C$42, 0.5599, 0.5599)*CHOOSE(CONTROL!$C$42, 30, 30))/1000000</f>
        <v>11.673914999999997</v>
      </c>
      <c r="V508" s="38">
        <f>(1000*CHOOSE(CONTROL!$C$42, 500, 500)*CHOOSE(CONTROL!$C$42, 0.275, 0.275)*CHOOSE(CONTROL!$C$42, 30, 30))/1000000</f>
        <v>4.125</v>
      </c>
      <c r="W508" s="38">
        <f>(1000*CHOOSE(CONTROL!$C$42, 0.1146, 0.1146)*CHOOSE(CONTROL!$C$42, 121.5, 121.5)*CHOOSE(CONTROL!$C$42, 30, 30))/1000000</f>
        <v>0.417717</v>
      </c>
      <c r="X508" s="38">
        <f>(30*0.1790888*245000/1000000)+(30*0.2374*100000/1000000)</f>
        <v>2.0285026799999999</v>
      </c>
      <c r="Y508" s="38">
        <f>(1000*600*CHOOSE(CONTROL!$C$42, 1.0619, 1.0619)*CHOOSE(CONTROL!$C$42, 30, 30))/1000000</f>
        <v>19.1142</v>
      </c>
      <c r="Z508" s="38"/>
      <c r="AA508" s="10"/>
      <c r="AB508" s="39"/>
      <c r="AC508" s="33">
        <f>(B508*141.293+C508*267.993+D508*115.016+E508*89.698+F508*40+G508*185+H508*0+I508*100+J508*300)/(141.293+267.993+115.016+89.698+0+40+185+100+300)</f>
        <v>14.673643501694915</v>
      </c>
      <c r="AD508" s="27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14.556146043165466</v>
      </c>
    </row>
    <row r="509" spans="1:30" ht="15.75" x14ac:dyDescent="0.25">
      <c r="A509" s="13">
        <v>56765</v>
      </c>
      <c r="B509" s="10">
        <f>CHOOSE(CONTROL!$C$42, 14.7861, 14.7861) * CHOOSE(CONTROL!$C$21, $C$9, 100%, $E$9)</f>
        <v>14.786099999999999</v>
      </c>
      <c r="C509" s="10">
        <f>CHOOSE(CONTROL!$C$42, 14.794, 14.794) * CHOOSE(CONTROL!$C$21, $C$9, 100%, $E$9)</f>
        <v>14.794</v>
      </c>
      <c r="D509" s="10">
        <f>CHOOSE(CONTROL!$C$42, 14.971, 14.971) * CHOOSE(CONTROL!$C$21, $C$9, 100%, $E$9)</f>
        <v>14.971</v>
      </c>
      <c r="E509" s="10">
        <f>CHOOSE(CONTROL!$C$42, 15.0021, 15.0021) * CHOOSE(CONTROL!$C$21, $C$9, 100%, $E$9)</f>
        <v>15.0021</v>
      </c>
      <c r="F509" s="10">
        <f>CHOOSE(CONTROL!$C$42, 14.7495, 14.7495)*CHOOSE(CONTROL!$C$21, $C$9, 100%, $E$9)</f>
        <v>14.749499999999999</v>
      </c>
      <c r="G509" s="10">
        <f>CHOOSE(CONTROL!$C$42, 14.766, 14.766)*CHOOSE(CONTROL!$C$21, $C$9, 100%, $E$9)</f>
        <v>14.766</v>
      </c>
      <c r="H509" s="10">
        <f>CHOOSE(CONTROL!$C$42, 14.9908, 14.9908) * CHOOSE(CONTROL!$C$21, $C$9, 100%, $E$9)</f>
        <v>14.9908</v>
      </c>
      <c r="I509" s="10">
        <f>CHOOSE(CONTROL!$C$42, 14.7707, 14.7707)* CHOOSE(CONTROL!$C$21, $C$9, 100%, $E$9)</f>
        <v>14.7707</v>
      </c>
      <c r="J509" s="10">
        <f>CHOOSE(CONTROL!$C$42, 14.7425, 14.7425)* CHOOSE(CONTROL!$C$21, $C$9, 100%, $E$9)</f>
        <v>14.7425</v>
      </c>
      <c r="K509" s="10">
        <f>CHOOSE(CONTROL!$C$42, 14.4854, 14.4854) * CHOOSE(CONTROL!$C$21, $C$9, 100%, $E$9)</f>
        <v>14.4854</v>
      </c>
      <c r="L509" s="10">
        <f>CHOOSE(CONTROL!$C$42, 15.5778, 15.5778) * CHOOSE(CONTROL!$C$21, $C$9, 100%, $E$9)</f>
        <v>15.5778</v>
      </c>
      <c r="M509" s="10">
        <f>CHOOSE(CONTROL!$C$42, 14.6075, 14.6075) * CHOOSE(CONTROL!$C$21, $C$9, 100%, $E$9)</f>
        <v>14.6075</v>
      </c>
      <c r="N509" s="10">
        <f>CHOOSE(CONTROL!$C$42, 14.6238, 14.6238) * CHOOSE(CONTROL!$C$21, $C$9, 100%, $E$9)</f>
        <v>14.623799999999999</v>
      </c>
      <c r="O509" s="10">
        <f>CHOOSE(CONTROL!$C$42, 14.8533, 14.8533) * CHOOSE(CONTROL!$C$21, $C$9, 100%, $E$9)</f>
        <v>14.853300000000001</v>
      </c>
      <c r="P509" s="10">
        <f>CHOOSE(CONTROL!$C$42, 14.6355, 14.6355) * CHOOSE(CONTROL!$C$21, $C$9, 100%, $E$9)</f>
        <v>14.6355</v>
      </c>
      <c r="Q509" s="10">
        <f>CHOOSE(CONTROL!$C$42, 15.4486, 15.4486) * CHOOSE(CONTROL!$C$21, $C$9, 100%, $E$9)</f>
        <v>15.448600000000001</v>
      </c>
      <c r="R509" s="10">
        <f>CHOOSE(CONTROL!$C$42, 16.0742, 16.0742) * CHOOSE(CONTROL!$C$21, $C$9, 100%, $E$9)</f>
        <v>16.074200000000001</v>
      </c>
      <c r="S509" s="10">
        <f>CHOOSE(CONTROL!$C$42, 14.3545, 14.3545) * CHOOSE(CONTROL!$C$21, $C$9, 100%, $E$9)</f>
        <v>14.3545</v>
      </c>
      <c r="T5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38">
        <f>(1000*CHOOSE(CONTROL!$C$42, 695, 695)*CHOOSE(CONTROL!$C$42, 0.5599, 0.5599)*CHOOSE(CONTROL!$C$42, 31, 31))/1000000</f>
        <v>12.063045499999998</v>
      </c>
      <c r="V509" s="38">
        <f>(1000*CHOOSE(CONTROL!$C$42, 500, 500)*CHOOSE(CONTROL!$C$42, 0.275, 0.275)*CHOOSE(CONTROL!$C$42, 31, 31))/1000000</f>
        <v>4.2625000000000002</v>
      </c>
      <c r="W509" s="38">
        <f>(1000*CHOOSE(CONTROL!$C$42, 0.1146, 0.1146)*CHOOSE(CONTROL!$C$42, 121.5, 121.5)*CHOOSE(CONTROL!$C$42, 31, 31))/1000000</f>
        <v>0.43164089999999994</v>
      </c>
      <c r="X509" s="38">
        <f>(31*0.1790888*245000/1000000)+(31*0.2374*100000/1000000)</f>
        <v>2.0961194359999999</v>
      </c>
      <c r="Y509" s="38">
        <f>(1000*600*CHOOSE(CONTROL!$C$42, 1.0619, 1.0619)*CHOOSE(CONTROL!$C$42, 31, 31))/1000000</f>
        <v>19.751339999999999</v>
      </c>
      <c r="Z509" s="38"/>
      <c r="AA509" s="10"/>
      <c r="AB509" s="39"/>
      <c r="AC509" s="33">
        <f>(B509*194.205+C509*267.466+D509*133.845+E509*53.484+F509*40+G509*185+H509*0+I509*100+J509*300)/(194.205+267.466+133.845+53.484+0+40+185+100+300)</f>
        <v>14.800708293485085</v>
      </c>
      <c r="AD509" s="27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14.684246762589927</v>
      </c>
    </row>
    <row r="510" spans="1:30" ht="15.75" x14ac:dyDescent="0.25">
      <c r="A510" s="13">
        <v>56795</v>
      </c>
      <c r="B510" s="10">
        <f>CHOOSE(CONTROL!$C$42, 15.2054, 15.2054) * CHOOSE(CONTROL!$C$21, $C$9, 100%, $E$9)</f>
        <v>15.205399999999999</v>
      </c>
      <c r="C510" s="10">
        <f>CHOOSE(CONTROL!$C$42, 15.2133, 15.2133) * CHOOSE(CONTROL!$C$21, $C$9, 100%, $E$9)</f>
        <v>15.2133</v>
      </c>
      <c r="D510" s="10">
        <f>CHOOSE(CONTROL!$C$42, 15.3903, 15.3903) * CHOOSE(CONTROL!$C$21, $C$9, 100%, $E$9)</f>
        <v>15.3903</v>
      </c>
      <c r="E510" s="10">
        <f>CHOOSE(CONTROL!$C$42, 15.4214, 15.4214) * CHOOSE(CONTROL!$C$21, $C$9, 100%, $E$9)</f>
        <v>15.4214</v>
      </c>
      <c r="F510" s="10">
        <f>CHOOSE(CONTROL!$C$42, 15.1689, 15.1689)*CHOOSE(CONTROL!$C$21, $C$9, 100%, $E$9)</f>
        <v>15.168900000000001</v>
      </c>
      <c r="G510" s="10">
        <f>CHOOSE(CONTROL!$C$42, 15.1854, 15.1854)*CHOOSE(CONTROL!$C$21, $C$9, 100%, $E$9)</f>
        <v>15.1854</v>
      </c>
      <c r="H510" s="10">
        <f>CHOOSE(CONTROL!$C$42, 15.41, 15.41) * CHOOSE(CONTROL!$C$21, $C$9, 100%, $E$9)</f>
        <v>15.41</v>
      </c>
      <c r="I510" s="10">
        <f>CHOOSE(CONTROL!$C$42, 15.19, 15.19)* CHOOSE(CONTROL!$C$21, $C$9, 100%, $E$9)</f>
        <v>15.19</v>
      </c>
      <c r="J510" s="10">
        <f>CHOOSE(CONTROL!$C$42, 15.1619, 15.1619)* CHOOSE(CONTROL!$C$21, $C$9, 100%, $E$9)</f>
        <v>15.161899999999999</v>
      </c>
      <c r="K510" s="10">
        <f>CHOOSE(CONTROL!$C$42, 14.8932, 14.8932) * CHOOSE(CONTROL!$C$21, $C$9, 100%, $E$9)</f>
        <v>14.8932</v>
      </c>
      <c r="L510" s="10">
        <f>CHOOSE(CONTROL!$C$42, 15.997, 15.997) * CHOOSE(CONTROL!$C$21, $C$9, 100%, $E$9)</f>
        <v>15.997</v>
      </c>
      <c r="M510" s="10">
        <f>CHOOSE(CONTROL!$C$42, 15.0227, 15.0227) * CHOOSE(CONTROL!$C$21, $C$9, 100%, $E$9)</f>
        <v>15.0227</v>
      </c>
      <c r="N510" s="10">
        <f>CHOOSE(CONTROL!$C$42, 15.0391, 15.0391) * CHOOSE(CONTROL!$C$21, $C$9, 100%, $E$9)</f>
        <v>15.039099999999999</v>
      </c>
      <c r="O510" s="10">
        <f>CHOOSE(CONTROL!$C$42, 15.2684, 15.2684) * CHOOSE(CONTROL!$C$21, $C$9, 100%, $E$9)</f>
        <v>15.2684</v>
      </c>
      <c r="P510" s="10">
        <f>CHOOSE(CONTROL!$C$42, 15.0505, 15.0505) * CHOOSE(CONTROL!$C$21, $C$9, 100%, $E$9)</f>
        <v>15.0505</v>
      </c>
      <c r="Q510" s="10">
        <f>CHOOSE(CONTROL!$C$42, 15.8637, 15.8637) * CHOOSE(CONTROL!$C$21, $C$9, 100%, $E$9)</f>
        <v>15.8637</v>
      </c>
      <c r="R510" s="10">
        <f>CHOOSE(CONTROL!$C$42, 16.4903, 16.4903) * CHOOSE(CONTROL!$C$21, $C$9, 100%, $E$9)</f>
        <v>16.490300000000001</v>
      </c>
      <c r="S510" s="10">
        <f>CHOOSE(CONTROL!$C$42, 14.7617, 14.7617) * CHOOSE(CONTROL!$C$21, $C$9, 100%, $E$9)</f>
        <v>14.761699999999999</v>
      </c>
      <c r="T5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38">
        <f>(1000*CHOOSE(CONTROL!$C$42, 695, 695)*CHOOSE(CONTROL!$C$42, 0.5599, 0.5599)*CHOOSE(CONTROL!$C$42, 30, 30))/1000000</f>
        <v>11.673914999999997</v>
      </c>
      <c r="V510" s="38">
        <f>(1000*CHOOSE(CONTROL!$C$42, 500, 500)*CHOOSE(CONTROL!$C$42, 0.275, 0.275)*CHOOSE(CONTROL!$C$42, 30, 30))/1000000</f>
        <v>4.125</v>
      </c>
      <c r="W510" s="38">
        <f>(1000*CHOOSE(CONTROL!$C$42, 0.1146, 0.1146)*CHOOSE(CONTROL!$C$42, 121.5, 121.5)*CHOOSE(CONTROL!$C$42, 30, 30))/1000000</f>
        <v>0.417717</v>
      </c>
      <c r="X510" s="38">
        <f>(30*0.1790888*245000/1000000)+(30*0.2374*100000/1000000)</f>
        <v>2.0285026799999999</v>
      </c>
      <c r="Y510" s="38">
        <f>(1000*600*CHOOSE(CONTROL!$C$42, 1.0619, 1.0619)*CHOOSE(CONTROL!$C$42, 30, 30))/1000000</f>
        <v>19.1142</v>
      </c>
      <c r="Z510" s="38"/>
      <c r="AA510" s="10"/>
      <c r="AB510" s="39"/>
      <c r="AC510" s="33">
        <f>(B510*194.205+C510*267.466+D510*133.845+E510*53.484+F510*40+G510*185+H510*0+I510*100+J510*300)/(194.205+267.466+133.845+53.484+0+40+185+100+300)</f>
        <v>15.220049502276295</v>
      </c>
      <c r="AD510" s="27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15.099412949640286</v>
      </c>
    </row>
    <row r="511" spans="1:30" ht="15.75" x14ac:dyDescent="0.25">
      <c r="A511" s="13">
        <v>56826</v>
      </c>
      <c r="B511" s="10">
        <f>CHOOSE(CONTROL!$C$42, 14.9138, 14.9138) * CHOOSE(CONTROL!$C$21, $C$9, 100%, $E$9)</f>
        <v>14.9138</v>
      </c>
      <c r="C511" s="10">
        <f>CHOOSE(CONTROL!$C$42, 14.9217, 14.9217) * CHOOSE(CONTROL!$C$21, $C$9, 100%, $E$9)</f>
        <v>14.9217</v>
      </c>
      <c r="D511" s="10">
        <f>CHOOSE(CONTROL!$C$42, 15.0987, 15.0987) * CHOOSE(CONTROL!$C$21, $C$9, 100%, $E$9)</f>
        <v>15.098699999999999</v>
      </c>
      <c r="E511" s="10">
        <f>CHOOSE(CONTROL!$C$42, 15.1298, 15.1298) * CHOOSE(CONTROL!$C$21, $C$9, 100%, $E$9)</f>
        <v>15.129799999999999</v>
      </c>
      <c r="F511" s="10">
        <f>CHOOSE(CONTROL!$C$42, 14.8775, 14.8775)*CHOOSE(CONTROL!$C$21, $C$9, 100%, $E$9)</f>
        <v>14.8775</v>
      </c>
      <c r="G511" s="10">
        <f>CHOOSE(CONTROL!$C$42, 14.8942, 14.8942)*CHOOSE(CONTROL!$C$21, $C$9, 100%, $E$9)</f>
        <v>14.8942</v>
      </c>
      <c r="H511" s="10">
        <f>CHOOSE(CONTROL!$C$42, 15.1184, 15.1184) * CHOOSE(CONTROL!$C$21, $C$9, 100%, $E$9)</f>
        <v>15.118399999999999</v>
      </c>
      <c r="I511" s="10">
        <f>CHOOSE(CONTROL!$C$42, 14.8984, 14.8984)* CHOOSE(CONTROL!$C$21, $C$9, 100%, $E$9)</f>
        <v>14.898400000000001</v>
      </c>
      <c r="J511" s="10">
        <f>CHOOSE(CONTROL!$C$42, 14.8705, 14.8705)* CHOOSE(CONTROL!$C$21, $C$9, 100%, $E$9)</f>
        <v>14.8705</v>
      </c>
      <c r="K511" s="10">
        <f>CHOOSE(CONTROL!$C$42, 14.6104, 14.6104) * CHOOSE(CONTROL!$C$21, $C$9, 100%, $E$9)</f>
        <v>14.6104</v>
      </c>
      <c r="L511" s="10">
        <f>CHOOSE(CONTROL!$C$42, 15.7054, 15.7054) * CHOOSE(CONTROL!$C$21, $C$9, 100%, $E$9)</f>
        <v>15.705399999999999</v>
      </c>
      <c r="M511" s="10">
        <f>CHOOSE(CONTROL!$C$42, 14.7343, 14.7343) * CHOOSE(CONTROL!$C$21, $C$9, 100%, $E$9)</f>
        <v>14.734299999999999</v>
      </c>
      <c r="N511" s="10">
        <f>CHOOSE(CONTROL!$C$42, 14.7507, 14.7507) * CHOOSE(CONTROL!$C$21, $C$9, 100%, $E$9)</f>
        <v>14.7507</v>
      </c>
      <c r="O511" s="10">
        <f>CHOOSE(CONTROL!$C$42, 14.9797, 14.9797) * CHOOSE(CONTROL!$C$21, $C$9, 100%, $E$9)</f>
        <v>14.979699999999999</v>
      </c>
      <c r="P511" s="10">
        <f>CHOOSE(CONTROL!$C$42, 14.7619, 14.7619) * CHOOSE(CONTROL!$C$21, $C$9, 100%, $E$9)</f>
        <v>14.761900000000001</v>
      </c>
      <c r="Q511" s="10">
        <f>CHOOSE(CONTROL!$C$42, 15.575, 15.575) * CHOOSE(CONTROL!$C$21, $C$9, 100%, $E$9)</f>
        <v>15.574999999999999</v>
      </c>
      <c r="R511" s="10">
        <f>CHOOSE(CONTROL!$C$42, 16.2009, 16.2009) * CHOOSE(CONTROL!$C$21, $C$9, 100%, $E$9)</f>
        <v>16.200900000000001</v>
      </c>
      <c r="S511" s="10">
        <f>CHOOSE(CONTROL!$C$42, 14.4785, 14.4785) * CHOOSE(CONTROL!$C$21, $C$9, 100%, $E$9)</f>
        <v>14.4785</v>
      </c>
      <c r="T5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38">
        <f>(1000*CHOOSE(CONTROL!$C$42, 695, 695)*CHOOSE(CONTROL!$C$42, 0.5599, 0.5599)*CHOOSE(CONTROL!$C$42, 31, 31))/1000000</f>
        <v>12.063045499999998</v>
      </c>
      <c r="V511" s="38">
        <f>(1000*CHOOSE(CONTROL!$C$42, 500, 500)*CHOOSE(CONTROL!$C$42, 0.275, 0.275)*CHOOSE(CONTROL!$C$42, 31, 31))/1000000</f>
        <v>4.2625000000000002</v>
      </c>
      <c r="W511" s="38">
        <f>(1000*CHOOSE(CONTROL!$C$42, 0.1146, 0.1146)*CHOOSE(CONTROL!$C$42, 121.5, 121.5)*CHOOSE(CONTROL!$C$42, 31, 31))/1000000</f>
        <v>0.43164089999999994</v>
      </c>
      <c r="X511" s="38">
        <f>(31*0.1790888*245000/1000000)+(31*0.2374*100000/1000000)</f>
        <v>2.0961194359999999</v>
      </c>
      <c r="Y511" s="38">
        <f>(1000*600*CHOOSE(CONTROL!$C$42, 1.0619, 1.0619)*CHOOSE(CONTROL!$C$42, 31, 31))/1000000</f>
        <v>19.751339999999999</v>
      </c>
      <c r="Z511" s="38"/>
      <c r="AA511" s="10"/>
      <c r="AB511" s="39"/>
      <c r="AC511" s="33">
        <f>(B511*194.205+C511*267.466+D511*133.845+E511*53.484+F511*40+G511*185+H511*0+I511*100+J511*300)/(194.205+267.466+133.845+53.484+0+40+185+100+300)</f>
        <v>14.928560962244898</v>
      </c>
      <c r="AD511" s="27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14.810900000000002</v>
      </c>
    </row>
    <row r="512" spans="1:30" ht="15.75" x14ac:dyDescent="0.25">
      <c r="A512" s="13">
        <v>56857</v>
      </c>
      <c r="B512" s="10">
        <f>CHOOSE(CONTROL!$C$42, 14.1774, 14.1774) * CHOOSE(CONTROL!$C$21, $C$9, 100%, $E$9)</f>
        <v>14.1774</v>
      </c>
      <c r="C512" s="10">
        <f>CHOOSE(CONTROL!$C$42, 14.1853, 14.1853) * CHOOSE(CONTROL!$C$21, $C$9, 100%, $E$9)</f>
        <v>14.1853</v>
      </c>
      <c r="D512" s="10">
        <f>CHOOSE(CONTROL!$C$42, 14.3623, 14.3623) * CHOOSE(CONTROL!$C$21, $C$9, 100%, $E$9)</f>
        <v>14.362299999999999</v>
      </c>
      <c r="E512" s="10">
        <f>CHOOSE(CONTROL!$C$42, 14.3934, 14.3934) * CHOOSE(CONTROL!$C$21, $C$9, 100%, $E$9)</f>
        <v>14.3934</v>
      </c>
      <c r="F512" s="10">
        <f>CHOOSE(CONTROL!$C$42, 14.1412, 14.1412)*CHOOSE(CONTROL!$C$21, $C$9, 100%, $E$9)</f>
        <v>14.1412</v>
      </c>
      <c r="G512" s="10">
        <f>CHOOSE(CONTROL!$C$42, 14.1578, 14.1578)*CHOOSE(CONTROL!$C$21, $C$9, 100%, $E$9)</f>
        <v>14.1578</v>
      </c>
      <c r="H512" s="10">
        <f>CHOOSE(CONTROL!$C$42, 14.382, 14.382) * CHOOSE(CONTROL!$C$21, $C$9, 100%, $E$9)</f>
        <v>14.382</v>
      </c>
      <c r="I512" s="10">
        <f>CHOOSE(CONTROL!$C$42, 14.162, 14.162)* CHOOSE(CONTROL!$C$21, $C$9, 100%, $E$9)</f>
        <v>14.162000000000001</v>
      </c>
      <c r="J512" s="10">
        <f>CHOOSE(CONTROL!$C$42, 14.1342, 14.1342)* CHOOSE(CONTROL!$C$21, $C$9, 100%, $E$9)</f>
        <v>14.1342</v>
      </c>
      <c r="K512" s="10">
        <f>CHOOSE(CONTROL!$C$42, 13.8951, 13.8951) * CHOOSE(CONTROL!$C$21, $C$9, 100%, $E$9)</f>
        <v>13.895099999999999</v>
      </c>
      <c r="L512" s="10">
        <f>CHOOSE(CONTROL!$C$42, 14.969, 14.969) * CHOOSE(CONTROL!$C$21, $C$9, 100%, $E$9)</f>
        <v>14.968999999999999</v>
      </c>
      <c r="M512" s="10">
        <f>CHOOSE(CONTROL!$C$42, 14.0054, 14.0054) * CHOOSE(CONTROL!$C$21, $C$9, 100%, $E$9)</f>
        <v>14.0054</v>
      </c>
      <c r="N512" s="10">
        <f>CHOOSE(CONTROL!$C$42, 14.0218, 14.0218) * CHOOSE(CONTROL!$C$21, $C$9, 100%, $E$9)</f>
        <v>14.021800000000001</v>
      </c>
      <c r="O512" s="10">
        <f>CHOOSE(CONTROL!$C$42, 14.2507, 14.2507) * CHOOSE(CONTROL!$C$21, $C$9, 100%, $E$9)</f>
        <v>14.2507</v>
      </c>
      <c r="P512" s="10">
        <f>CHOOSE(CONTROL!$C$42, 14.0329, 14.0329) * CHOOSE(CONTROL!$C$21, $C$9, 100%, $E$9)</f>
        <v>14.0329</v>
      </c>
      <c r="Q512" s="10">
        <f>CHOOSE(CONTROL!$C$42, 14.846, 14.846) * CHOOSE(CONTROL!$C$21, $C$9, 100%, $E$9)</f>
        <v>14.846</v>
      </c>
      <c r="R512" s="10">
        <f>CHOOSE(CONTROL!$C$42, 15.4701, 15.4701) * CHOOSE(CONTROL!$C$21, $C$9, 100%, $E$9)</f>
        <v>15.4701</v>
      </c>
      <c r="S512" s="10">
        <f>CHOOSE(CONTROL!$C$42, 13.7634, 13.7634) * CHOOSE(CONTROL!$C$21, $C$9, 100%, $E$9)</f>
        <v>13.763400000000001</v>
      </c>
      <c r="T5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38">
        <f>(1000*CHOOSE(CONTROL!$C$42, 695, 695)*CHOOSE(CONTROL!$C$42, 0.5599, 0.5599)*CHOOSE(CONTROL!$C$42, 31, 31))/1000000</f>
        <v>12.063045499999998</v>
      </c>
      <c r="V512" s="38">
        <f>(1000*CHOOSE(CONTROL!$C$42, 500, 500)*CHOOSE(CONTROL!$C$42, 0.275, 0.275)*CHOOSE(CONTROL!$C$42, 31, 31))/1000000</f>
        <v>4.2625000000000002</v>
      </c>
      <c r="W512" s="38">
        <f>(1000*CHOOSE(CONTROL!$C$42, 0.1146, 0.1146)*CHOOSE(CONTROL!$C$42, 121.5, 121.5)*CHOOSE(CONTROL!$C$42, 31, 31))/1000000</f>
        <v>0.43164089999999994</v>
      </c>
      <c r="X512" s="38">
        <f>(31*0.1790888*245000/1000000)+(31*0.2374*100000/1000000)</f>
        <v>2.0961194359999999</v>
      </c>
      <c r="Y512" s="38">
        <f>(1000*600*CHOOSE(CONTROL!$C$42, 1.0619, 1.0619)*CHOOSE(CONTROL!$C$42, 31, 31))/1000000</f>
        <v>19.751339999999999</v>
      </c>
      <c r="Z512" s="38"/>
      <c r="AA512" s="10"/>
      <c r="AB512" s="39"/>
      <c r="AC512" s="33">
        <f>(B512*194.205+C512*267.466+D512*133.845+E512*53.484+F512*40+G512*185+H512*0+I512*100+J512*300)/(194.205+267.466+133.845+53.484+0+40+185+100+300)</f>
        <v>14.192187649843016</v>
      </c>
      <c r="AD512" s="27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14.081957553956837</v>
      </c>
    </row>
    <row r="513" spans="1:30" ht="15.75" x14ac:dyDescent="0.25">
      <c r="A513" s="13">
        <v>56887</v>
      </c>
      <c r="B513" s="10">
        <f>CHOOSE(CONTROL!$C$42, 13.2776, 13.2776) * CHOOSE(CONTROL!$C$21, $C$9, 100%, $E$9)</f>
        <v>13.2776</v>
      </c>
      <c r="C513" s="10">
        <f>CHOOSE(CONTROL!$C$42, 13.2855, 13.2855) * CHOOSE(CONTROL!$C$21, $C$9, 100%, $E$9)</f>
        <v>13.285500000000001</v>
      </c>
      <c r="D513" s="10">
        <f>CHOOSE(CONTROL!$C$42, 13.4625, 13.4625) * CHOOSE(CONTROL!$C$21, $C$9, 100%, $E$9)</f>
        <v>13.4625</v>
      </c>
      <c r="E513" s="10">
        <f>CHOOSE(CONTROL!$C$42, 13.4937, 13.4937) * CHOOSE(CONTROL!$C$21, $C$9, 100%, $E$9)</f>
        <v>13.4937</v>
      </c>
      <c r="F513" s="10">
        <f>CHOOSE(CONTROL!$C$42, 13.2412, 13.2412)*CHOOSE(CONTROL!$C$21, $C$9, 100%, $E$9)</f>
        <v>13.241199999999999</v>
      </c>
      <c r="G513" s="10">
        <f>CHOOSE(CONTROL!$C$42, 13.2578, 13.2578)*CHOOSE(CONTROL!$C$21, $C$9, 100%, $E$9)</f>
        <v>13.2578</v>
      </c>
      <c r="H513" s="10">
        <f>CHOOSE(CONTROL!$C$42, 13.4823, 13.4823) * CHOOSE(CONTROL!$C$21, $C$9, 100%, $E$9)</f>
        <v>13.4823</v>
      </c>
      <c r="I513" s="10">
        <f>CHOOSE(CONTROL!$C$42, 13.2622, 13.2622)* CHOOSE(CONTROL!$C$21, $C$9, 100%, $E$9)</f>
        <v>13.2622</v>
      </c>
      <c r="J513" s="10">
        <f>CHOOSE(CONTROL!$C$42, 13.2342, 13.2342)* CHOOSE(CONTROL!$C$21, $C$9, 100%, $E$9)</f>
        <v>13.2342</v>
      </c>
      <c r="K513" s="10">
        <f>CHOOSE(CONTROL!$C$42, 13.0203, 13.0203) * CHOOSE(CONTROL!$C$21, $C$9, 100%, $E$9)</f>
        <v>13.020300000000001</v>
      </c>
      <c r="L513" s="10">
        <f>CHOOSE(CONTROL!$C$42, 14.0693, 14.0693) * CHOOSE(CONTROL!$C$21, $C$9, 100%, $E$9)</f>
        <v>14.0693</v>
      </c>
      <c r="M513" s="10">
        <f>CHOOSE(CONTROL!$C$42, 13.1145, 13.1145) * CHOOSE(CONTROL!$C$21, $C$9, 100%, $E$9)</f>
        <v>13.1145</v>
      </c>
      <c r="N513" s="10">
        <f>CHOOSE(CONTROL!$C$42, 13.1309, 13.1309) * CHOOSE(CONTROL!$C$21, $C$9, 100%, $E$9)</f>
        <v>13.1309</v>
      </c>
      <c r="O513" s="10">
        <f>CHOOSE(CONTROL!$C$42, 13.3601, 13.3601) * CHOOSE(CONTROL!$C$21, $C$9, 100%, $E$9)</f>
        <v>13.360099999999999</v>
      </c>
      <c r="P513" s="10">
        <f>CHOOSE(CONTROL!$C$42, 13.1422, 13.1422) * CHOOSE(CONTROL!$C$21, $C$9, 100%, $E$9)</f>
        <v>13.142200000000001</v>
      </c>
      <c r="Q513" s="10">
        <f>CHOOSE(CONTROL!$C$42, 13.9554, 13.9554) * CHOOSE(CONTROL!$C$21, $C$9, 100%, $E$9)</f>
        <v>13.955399999999999</v>
      </c>
      <c r="R513" s="10">
        <f>CHOOSE(CONTROL!$C$42, 14.5773, 14.5773) * CHOOSE(CONTROL!$C$21, $C$9, 100%, $E$9)</f>
        <v>14.577299999999999</v>
      </c>
      <c r="S513" s="10">
        <f>CHOOSE(CONTROL!$C$42, 12.8897, 12.8897) * CHOOSE(CONTROL!$C$21, $C$9, 100%, $E$9)</f>
        <v>12.889699999999999</v>
      </c>
      <c r="T5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38">
        <f>(1000*CHOOSE(CONTROL!$C$42, 695, 695)*CHOOSE(CONTROL!$C$42, 0.5599, 0.5599)*CHOOSE(CONTROL!$C$42, 30, 30))/1000000</f>
        <v>11.673914999999997</v>
      </c>
      <c r="V513" s="38">
        <f>(1000*CHOOSE(CONTROL!$C$42, 500, 500)*CHOOSE(CONTROL!$C$42, 0.275, 0.275)*CHOOSE(CONTROL!$C$42, 30, 30))/1000000</f>
        <v>4.125</v>
      </c>
      <c r="W513" s="38">
        <f>(1000*CHOOSE(CONTROL!$C$42, 0.1146, 0.1146)*CHOOSE(CONTROL!$C$42, 121.5, 121.5)*CHOOSE(CONTROL!$C$42, 30, 30))/1000000</f>
        <v>0.417717</v>
      </c>
      <c r="X513" s="38">
        <f>(30*0.1790888*245000/1000000)+(30*0.2374*100000/1000000)</f>
        <v>2.0285026799999999</v>
      </c>
      <c r="Y513" s="38">
        <f>(1000*600*CHOOSE(CONTROL!$C$42, 1.0619, 1.0619)*CHOOSE(CONTROL!$C$42, 30, 30))/1000000</f>
        <v>19.1142</v>
      </c>
      <c r="Z513" s="38"/>
      <c r="AA513" s="10"/>
      <c r="AB513" s="39"/>
      <c r="AC513" s="33">
        <f>(B513*194.205+C513*267.466+D513*133.845+E513*53.484+F513*40+G513*185+H513*0+I513*100+J513*300)/(194.205+267.466+133.845+53.484+0+40+185+100+300)</f>
        <v>13.292309430376763</v>
      </c>
      <c r="AD513" s="27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13.191170503597121</v>
      </c>
    </row>
    <row r="514" spans="1:30" ht="15.75" x14ac:dyDescent="0.25">
      <c r="A514" s="13">
        <v>56918</v>
      </c>
      <c r="B514" s="10">
        <f>CHOOSE(CONTROL!$C$42, 13.006, 13.006) * CHOOSE(CONTROL!$C$21, $C$9, 100%, $E$9)</f>
        <v>13.006</v>
      </c>
      <c r="C514" s="10">
        <f>CHOOSE(CONTROL!$C$42, 13.0112, 13.0112) * CHOOSE(CONTROL!$C$21, $C$9, 100%, $E$9)</f>
        <v>13.011200000000001</v>
      </c>
      <c r="D514" s="10">
        <f>CHOOSE(CONTROL!$C$42, 13.1932, 13.1932) * CHOOSE(CONTROL!$C$21, $C$9, 100%, $E$9)</f>
        <v>13.193199999999999</v>
      </c>
      <c r="E514" s="10">
        <f>CHOOSE(CONTROL!$C$42, 13.222, 13.222) * CHOOSE(CONTROL!$C$21, $C$9, 100%, $E$9)</f>
        <v>13.222</v>
      </c>
      <c r="F514" s="10">
        <f>CHOOSE(CONTROL!$C$42, 12.9716, 12.9716)*CHOOSE(CONTROL!$C$21, $C$9, 100%, $E$9)</f>
        <v>12.9716</v>
      </c>
      <c r="G514" s="10">
        <f>CHOOSE(CONTROL!$C$42, 12.9878, 12.9878)*CHOOSE(CONTROL!$C$21, $C$9, 100%, $E$9)</f>
        <v>12.9878</v>
      </c>
      <c r="H514" s="10">
        <f>CHOOSE(CONTROL!$C$42, 13.2124, 13.2124) * CHOOSE(CONTROL!$C$21, $C$9, 100%, $E$9)</f>
        <v>13.212400000000001</v>
      </c>
      <c r="I514" s="10">
        <f>CHOOSE(CONTROL!$C$42, 12.9924, 12.9924)* CHOOSE(CONTROL!$C$21, $C$9, 100%, $E$9)</f>
        <v>12.9924</v>
      </c>
      <c r="J514" s="10">
        <f>CHOOSE(CONTROL!$C$42, 12.9646, 12.9646)* CHOOSE(CONTROL!$C$21, $C$9, 100%, $E$9)</f>
        <v>12.964600000000001</v>
      </c>
      <c r="K514" s="10">
        <f>CHOOSE(CONTROL!$C$42, 12.7587, 12.7587) * CHOOSE(CONTROL!$C$21, $C$9, 100%, $E$9)</f>
        <v>12.758699999999999</v>
      </c>
      <c r="L514" s="10">
        <f>CHOOSE(CONTROL!$C$42, 13.7994, 13.7994) * CHOOSE(CONTROL!$C$21, $C$9, 100%, $E$9)</f>
        <v>13.7994</v>
      </c>
      <c r="M514" s="10">
        <f>CHOOSE(CONTROL!$C$42, 12.8476, 12.8476) * CHOOSE(CONTROL!$C$21, $C$9, 100%, $E$9)</f>
        <v>12.8476</v>
      </c>
      <c r="N514" s="10">
        <f>CHOOSE(CONTROL!$C$42, 12.8637, 12.8637) * CHOOSE(CONTROL!$C$21, $C$9, 100%, $E$9)</f>
        <v>12.8637</v>
      </c>
      <c r="O514" s="10">
        <f>CHOOSE(CONTROL!$C$42, 13.0929, 13.0929) * CHOOSE(CONTROL!$C$21, $C$9, 100%, $E$9)</f>
        <v>13.0929</v>
      </c>
      <c r="P514" s="10">
        <f>CHOOSE(CONTROL!$C$42, 12.8751, 12.8751) * CHOOSE(CONTROL!$C$21, $C$9, 100%, $E$9)</f>
        <v>12.8751</v>
      </c>
      <c r="Q514" s="10">
        <f>CHOOSE(CONTROL!$C$42, 13.6882, 13.6882) * CHOOSE(CONTROL!$C$21, $C$9, 100%, $E$9)</f>
        <v>13.6882</v>
      </c>
      <c r="R514" s="10">
        <f>CHOOSE(CONTROL!$C$42, 14.3094, 14.3094) * CHOOSE(CONTROL!$C$21, $C$9, 100%, $E$9)</f>
        <v>14.3094</v>
      </c>
      <c r="S514" s="10">
        <f>CHOOSE(CONTROL!$C$42, 12.6276, 12.6276) * CHOOSE(CONTROL!$C$21, $C$9, 100%, $E$9)</f>
        <v>12.627599999999999</v>
      </c>
      <c r="T5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38">
        <f>(1000*CHOOSE(CONTROL!$C$42, 695, 695)*CHOOSE(CONTROL!$C$42, 0.5599, 0.5599)*CHOOSE(CONTROL!$C$42, 31, 31))/1000000</f>
        <v>12.063045499999998</v>
      </c>
      <c r="V514" s="38">
        <f>(1000*CHOOSE(CONTROL!$C$42, 500, 500)*CHOOSE(CONTROL!$C$42, 0.275, 0.275)*CHOOSE(CONTROL!$C$42, 31, 31))/1000000</f>
        <v>4.2625000000000002</v>
      </c>
      <c r="W514" s="38">
        <f>(1000*CHOOSE(CONTROL!$C$42, 0.1146, 0.1146)*CHOOSE(CONTROL!$C$42, 121.5, 121.5)*CHOOSE(CONTROL!$C$42, 31, 31))/1000000</f>
        <v>0.43164089999999994</v>
      </c>
      <c r="X514" s="38">
        <f>(31*0.1790888*245000/1000000)+(31*0.2374*100000/1000000)</f>
        <v>2.0961194359999999</v>
      </c>
      <c r="Y514" s="38">
        <f>(1000*600*CHOOSE(CONTROL!$C$42, 1.0619, 1.0619)*CHOOSE(CONTROL!$C$42, 31, 31))/1000000</f>
        <v>19.751339999999999</v>
      </c>
      <c r="Z514" s="38"/>
      <c r="AA514" s="10"/>
      <c r="AB514" s="39"/>
      <c r="AC514" s="33">
        <f>(B514*131.881+C514*277.167+D514*79.08+E514*125.872+F514*40+G514*185+H514*0+I514*100+J514*300)/(131.881+277.167+79.08+125.872+0+40+185+100+300)</f>
        <v>13.026105243260695</v>
      </c>
      <c r="AD514" s="27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12.924088489208634</v>
      </c>
    </row>
    <row r="515" spans="1:30" ht="15.75" x14ac:dyDescent="0.25">
      <c r="A515" s="13">
        <v>56948</v>
      </c>
      <c r="B515" s="10">
        <f>CHOOSE(CONTROL!$C$42, 13.3481, 13.3481) * CHOOSE(CONTROL!$C$21, $C$9, 100%, $E$9)</f>
        <v>13.348100000000001</v>
      </c>
      <c r="C515" s="10">
        <f>CHOOSE(CONTROL!$C$42, 13.3531, 13.3531) * CHOOSE(CONTROL!$C$21, $C$9, 100%, $E$9)</f>
        <v>13.3531</v>
      </c>
      <c r="D515" s="10">
        <f>CHOOSE(CONTROL!$C$42, 13.3776, 13.3776) * CHOOSE(CONTROL!$C$21, $C$9, 100%, $E$9)</f>
        <v>13.377599999999999</v>
      </c>
      <c r="E515" s="10">
        <f>CHOOSE(CONTROL!$C$42, 13.4113, 13.4113) * CHOOSE(CONTROL!$C$21, $C$9, 100%, $E$9)</f>
        <v>13.411300000000001</v>
      </c>
      <c r="F515" s="10">
        <f>CHOOSE(CONTROL!$C$42, 13.3175, 13.3175)*CHOOSE(CONTROL!$C$21, $C$9, 100%, $E$9)</f>
        <v>13.317500000000001</v>
      </c>
      <c r="G515" s="10">
        <f>CHOOSE(CONTROL!$C$42, 13.3339, 13.3339)*CHOOSE(CONTROL!$C$21, $C$9, 100%, $E$9)</f>
        <v>13.3339</v>
      </c>
      <c r="H515" s="10">
        <f>CHOOSE(CONTROL!$C$42, 13.4005, 13.4005) * CHOOSE(CONTROL!$C$21, $C$9, 100%, $E$9)</f>
        <v>13.400499999999999</v>
      </c>
      <c r="I515" s="10">
        <f>CHOOSE(CONTROL!$C$42, 13.3349, 13.3349)* CHOOSE(CONTROL!$C$21, $C$9, 100%, $E$9)</f>
        <v>13.334899999999999</v>
      </c>
      <c r="J515" s="10">
        <f>CHOOSE(CONTROL!$C$42, 13.3105, 13.3105)* CHOOSE(CONTROL!$C$21, $C$9, 100%, $E$9)</f>
        <v>13.310499999999999</v>
      </c>
      <c r="K515" s="10">
        <f>CHOOSE(CONTROL!$C$42, 13.093, 13.093) * CHOOSE(CONTROL!$C$21, $C$9, 100%, $E$9)</f>
        <v>13.093</v>
      </c>
      <c r="L515" s="10">
        <f>CHOOSE(CONTROL!$C$42, 13.9875, 13.9875) * CHOOSE(CONTROL!$C$21, $C$9, 100%, $E$9)</f>
        <v>13.987500000000001</v>
      </c>
      <c r="M515" s="10">
        <f>CHOOSE(CONTROL!$C$42, 13.19, 13.19) * CHOOSE(CONTROL!$C$21, $C$9, 100%, $E$9)</f>
        <v>13.19</v>
      </c>
      <c r="N515" s="10">
        <f>CHOOSE(CONTROL!$C$42, 13.2062, 13.2062) * CHOOSE(CONTROL!$C$21, $C$9, 100%, $E$9)</f>
        <v>13.206200000000001</v>
      </c>
      <c r="O515" s="10">
        <f>CHOOSE(CONTROL!$C$42, 13.2791, 13.2791) * CHOOSE(CONTROL!$C$21, $C$9, 100%, $E$9)</f>
        <v>13.2791</v>
      </c>
      <c r="P515" s="10">
        <f>CHOOSE(CONTROL!$C$42, 13.2142, 13.2142) * CHOOSE(CONTROL!$C$21, $C$9, 100%, $E$9)</f>
        <v>13.2142</v>
      </c>
      <c r="Q515" s="10">
        <f>CHOOSE(CONTROL!$C$42, 13.8744, 13.8744) * CHOOSE(CONTROL!$C$21, $C$9, 100%, $E$9)</f>
        <v>13.8744</v>
      </c>
      <c r="R515" s="10">
        <f>CHOOSE(CONTROL!$C$42, 14.4961, 14.4961) * CHOOSE(CONTROL!$C$21, $C$9, 100%, $E$9)</f>
        <v>14.4961</v>
      </c>
      <c r="S515" s="10">
        <f>CHOOSE(CONTROL!$C$42, 12.9602, 12.9602) * CHOOSE(CONTROL!$C$21, $C$9, 100%, $E$9)</f>
        <v>12.9602</v>
      </c>
      <c r="T5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38">
        <f>(1000*CHOOSE(CONTROL!$C$42, 695, 695)*CHOOSE(CONTROL!$C$42, 0.5599, 0.5599)*CHOOSE(CONTROL!$C$42, 30, 30))/1000000</f>
        <v>11.673914999999997</v>
      </c>
      <c r="V515" s="38">
        <f>(1000*CHOOSE(CONTROL!$C$42, 500, 500)*CHOOSE(CONTROL!$C$42, 0.275, 0.275)*CHOOSE(CONTROL!$C$42, 30, 30))/1000000</f>
        <v>4.125</v>
      </c>
      <c r="W515" s="38">
        <f>(1000*CHOOSE(CONTROL!$C$42, 0.1146, 0.1146)*CHOOSE(CONTROL!$C$42, 121.5, 121.5)*CHOOSE(CONTROL!$C$42, 30, 30))/1000000</f>
        <v>0.417717</v>
      </c>
      <c r="X515" s="38">
        <f>(30*0.1790888*100000/1000000)+(30*0.2374*100000/1000000)</f>
        <v>1.2494664</v>
      </c>
      <c r="Y515" s="38">
        <f>(1000*600*CHOOSE(CONTROL!$C$42, 1.0619, 1.0619)*CHOOSE(CONTROL!$C$42, 30, 30))/1000000</f>
        <v>19.1142</v>
      </c>
      <c r="Z515" s="38"/>
      <c r="AA515" s="10"/>
      <c r="AB515" s="39"/>
      <c r="AC515" s="33">
        <f>(B515*122.58+C515*297.941+D515*89.177+E515*40.302+F515*40+G515*160+H515*0+I515*100+J515*300)/(122.58+297.941+89.177+40.302+0+40+160+100+300)</f>
        <v>13.339901315565218</v>
      </c>
      <c r="AD515" s="27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13.234797841726618</v>
      </c>
    </row>
    <row r="516" spans="1:30" ht="15.75" x14ac:dyDescent="0.25">
      <c r="A516" s="13">
        <v>56979</v>
      </c>
      <c r="B516" s="10">
        <f>CHOOSE(CONTROL!$C$42, 14.258, 14.258) * CHOOSE(CONTROL!$C$21, $C$9, 100%, $E$9)</f>
        <v>14.257999999999999</v>
      </c>
      <c r="C516" s="10">
        <f>CHOOSE(CONTROL!$C$42, 14.263, 14.263) * CHOOSE(CONTROL!$C$21, $C$9, 100%, $E$9)</f>
        <v>14.263</v>
      </c>
      <c r="D516" s="10">
        <f>CHOOSE(CONTROL!$C$42, 14.2874, 14.2874) * CHOOSE(CONTROL!$C$21, $C$9, 100%, $E$9)</f>
        <v>14.2874</v>
      </c>
      <c r="E516" s="10">
        <f>CHOOSE(CONTROL!$C$42, 14.3212, 14.3212) * CHOOSE(CONTROL!$C$21, $C$9, 100%, $E$9)</f>
        <v>14.321199999999999</v>
      </c>
      <c r="F516" s="10">
        <f>CHOOSE(CONTROL!$C$42, 14.2296, 14.2296)*CHOOSE(CONTROL!$C$21, $C$9, 100%, $E$9)</f>
        <v>14.2296</v>
      </c>
      <c r="G516" s="10">
        <f>CHOOSE(CONTROL!$C$42, 14.2467, 14.2467)*CHOOSE(CONTROL!$C$21, $C$9, 100%, $E$9)</f>
        <v>14.246700000000001</v>
      </c>
      <c r="H516" s="10">
        <f>CHOOSE(CONTROL!$C$42, 14.3104, 14.3104) * CHOOSE(CONTROL!$C$21, $C$9, 100%, $E$9)</f>
        <v>14.3104</v>
      </c>
      <c r="I516" s="10">
        <f>CHOOSE(CONTROL!$C$42, 14.2448, 14.2448)* CHOOSE(CONTROL!$C$21, $C$9, 100%, $E$9)</f>
        <v>14.2448</v>
      </c>
      <c r="J516" s="10">
        <f>CHOOSE(CONTROL!$C$42, 14.2226, 14.2226)* CHOOSE(CONTROL!$C$21, $C$9, 100%, $E$9)</f>
        <v>14.2226</v>
      </c>
      <c r="K516" s="10">
        <f>CHOOSE(CONTROL!$C$42, 13.9821, 13.9821) * CHOOSE(CONTROL!$C$21, $C$9, 100%, $E$9)</f>
        <v>13.982100000000001</v>
      </c>
      <c r="L516" s="10">
        <f>CHOOSE(CONTROL!$C$42, 14.8974, 14.8974) * CHOOSE(CONTROL!$C$21, $C$9, 100%, $E$9)</f>
        <v>14.897399999999999</v>
      </c>
      <c r="M516" s="10">
        <f>CHOOSE(CONTROL!$C$42, 14.0929, 14.0929) * CHOOSE(CONTROL!$C$21, $C$9, 100%, $E$9)</f>
        <v>14.0929</v>
      </c>
      <c r="N516" s="10">
        <f>CHOOSE(CONTROL!$C$42, 14.1098, 14.1098) * CHOOSE(CONTROL!$C$21, $C$9, 100%, $E$9)</f>
        <v>14.1098</v>
      </c>
      <c r="O516" s="10">
        <f>CHOOSE(CONTROL!$C$42, 14.1798, 14.1798) * CHOOSE(CONTROL!$C$21, $C$9, 100%, $E$9)</f>
        <v>14.1798</v>
      </c>
      <c r="P516" s="10">
        <f>CHOOSE(CONTROL!$C$42, 14.1149, 14.1149) * CHOOSE(CONTROL!$C$21, $C$9, 100%, $E$9)</f>
        <v>14.1149</v>
      </c>
      <c r="Q516" s="10">
        <f>CHOOSE(CONTROL!$C$42, 14.7751, 14.7751) * CHOOSE(CONTROL!$C$21, $C$9, 100%, $E$9)</f>
        <v>14.7751</v>
      </c>
      <c r="R516" s="10">
        <f>CHOOSE(CONTROL!$C$42, 15.399, 15.399) * CHOOSE(CONTROL!$C$21, $C$9, 100%, $E$9)</f>
        <v>15.398999999999999</v>
      </c>
      <c r="S516" s="10">
        <f>CHOOSE(CONTROL!$C$42, 13.8438, 13.8438) * CHOOSE(CONTROL!$C$21, $C$9, 100%, $E$9)</f>
        <v>13.8438</v>
      </c>
      <c r="T5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38">
        <f>(1000*CHOOSE(CONTROL!$C$42, 695, 695)*CHOOSE(CONTROL!$C$42, 0.5599, 0.5599)*CHOOSE(CONTROL!$C$42, 31, 31))/1000000</f>
        <v>12.063045499999998</v>
      </c>
      <c r="V516" s="38">
        <f>(1000*CHOOSE(CONTROL!$C$42, 500, 500)*CHOOSE(CONTROL!$C$42, 0.275, 0.275)*CHOOSE(CONTROL!$C$42, 31, 31))/1000000</f>
        <v>4.2625000000000002</v>
      </c>
      <c r="W516" s="38">
        <f>(1000*CHOOSE(CONTROL!$C$42, 0.1146, 0.1146)*CHOOSE(CONTROL!$C$42, 121.5, 121.5)*CHOOSE(CONTROL!$C$42, 31, 31))/1000000</f>
        <v>0.43164089999999994</v>
      </c>
      <c r="X516" s="38">
        <f>(31*0.1790888*100000/1000000)+(31*0.2374*100000/1000000)</f>
        <v>1.2911152800000001</v>
      </c>
      <c r="Y516" s="38">
        <f>(1000*600*CHOOSE(CONTROL!$C$42, 1.0619, 1.0619)*CHOOSE(CONTROL!$C$42, 31, 31))/1000000</f>
        <v>19.751339999999999</v>
      </c>
      <c r="Z516" s="38"/>
      <c r="AA516" s="10"/>
      <c r="AB516" s="39"/>
      <c r="AC516" s="33">
        <f>(B516*122.58+C516*297.941+D516*89.177+E516*40.302+F516*40+G516*160+H516*0+I516*100+J516*300)/(122.58+297.941+89.177+40.302+0+40+160+100+300)</f>
        <v>14.250847474086955</v>
      </c>
      <c r="AD516" s="27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14.136424460431655</v>
      </c>
    </row>
    <row r="517" spans="1:30" ht="15.75" x14ac:dyDescent="0.25">
      <c r="A517" s="13">
        <v>57010</v>
      </c>
      <c r="B517" s="10">
        <f>CHOOSE(CONTROL!$C$42, 15.2201, 15.2201) * CHOOSE(CONTROL!$C$21, $C$9, 100%, $E$9)</f>
        <v>15.2201</v>
      </c>
      <c r="C517" s="10">
        <f>CHOOSE(CONTROL!$C$42, 15.2251, 15.2251) * CHOOSE(CONTROL!$C$21, $C$9, 100%, $E$9)</f>
        <v>15.225099999999999</v>
      </c>
      <c r="D517" s="10">
        <f>CHOOSE(CONTROL!$C$42, 15.2495, 15.2495) * CHOOSE(CONTROL!$C$21, $C$9, 100%, $E$9)</f>
        <v>15.249499999999999</v>
      </c>
      <c r="E517" s="10">
        <f>CHOOSE(CONTROL!$C$42, 15.2833, 15.2833) * CHOOSE(CONTROL!$C$21, $C$9, 100%, $E$9)</f>
        <v>15.283300000000001</v>
      </c>
      <c r="F517" s="10">
        <f>CHOOSE(CONTROL!$C$42, 15.2031, 15.2031)*CHOOSE(CONTROL!$C$21, $C$9, 100%, $E$9)</f>
        <v>15.203099999999999</v>
      </c>
      <c r="G517" s="10">
        <f>CHOOSE(CONTROL!$C$42, 15.2217, 15.2217)*CHOOSE(CONTROL!$C$21, $C$9, 100%, $E$9)</f>
        <v>15.2217</v>
      </c>
      <c r="H517" s="10">
        <f>CHOOSE(CONTROL!$C$42, 15.2725, 15.2725) * CHOOSE(CONTROL!$C$21, $C$9, 100%, $E$9)</f>
        <v>15.272500000000001</v>
      </c>
      <c r="I517" s="10">
        <f>CHOOSE(CONTROL!$C$42, 15.2146, 15.2146)* CHOOSE(CONTROL!$C$21, $C$9, 100%, $E$9)</f>
        <v>15.214600000000001</v>
      </c>
      <c r="J517" s="10">
        <f>CHOOSE(CONTROL!$C$42, 15.1961, 15.1961)* CHOOSE(CONTROL!$C$21, $C$9, 100%, $E$9)</f>
        <v>15.196099999999999</v>
      </c>
      <c r="K517" s="10">
        <f>CHOOSE(CONTROL!$C$42, 14.9378, 14.9378) * CHOOSE(CONTROL!$C$21, $C$9, 100%, $E$9)</f>
        <v>14.937799999999999</v>
      </c>
      <c r="L517" s="10">
        <f>CHOOSE(CONTROL!$C$42, 15.8595, 15.8595) * CHOOSE(CONTROL!$C$21, $C$9, 100%, $E$9)</f>
        <v>15.859500000000001</v>
      </c>
      <c r="M517" s="10">
        <f>CHOOSE(CONTROL!$C$42, 15.0565, 15.0565) * CHOOSE(CONTROL!$C$21, $C$9, 100%, $E$9)</f>
        <v>15.0565</v>
      </c>
      <c r="N517" s="10">
        <f>CHOOSE(CONTROL!$C$42, 15.075, 15.075) * CHOOSE(CONTROL!$C$21, $C$9, 100%, $E$9)</f>
        <v>15.074999999999999</v>
      </c>
      <c r="O517" s="10">
        <f>CHOOSE(CONTROL!$C$42, 15.1322, 15.1322) * CHOOSE(CONTROL!$C$21, $C$9, 100%, $E$9)</f>
        <v>15.132199999999999</v>
      </c>
      <c r="P517" s="10">
        <f>CHOOSE(CONTROL!$C$42, 15.075, 15.075) * CHOOSE(CONTROL!$C$21, $C$9, 100%, $E$9)</f>
        <v>15.074999999999999</v>
      </c>
      <c r="Q517" s="10">
        <f>CHOOSE(CONTROL!$C$42, 15.7275, 15.7275) * CHOOSE(CONTROL!$C$21, $C$9, 100%, $E$9)</f>
        <v>15.727499999999999</v>
      </c>
      <c r="R517" s="10">
        <f>CHOOSE(CONTROL!$C$42, 16.3538, 16.3538) * CHOOSE(CONTROL!$C$21, $C$9, 100%, $E$9)</f>
        <v>16.3538</v>
      </c>
      <c r="S517" s="10">
        <f>CHOOSE(CONTROL!$C$42, 14.7781, 14.7781) * CHOOSE(CONTROL!$C$21, $C$9, 100%, $E$9)</f>
        <v>14.7781</v>
      </c>
      <c r="T5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38">
        <f>(1000*CHOOSE(CONTROL!$C$42, 695, 695)*CHOOSE(CONTROL!$C$42, 0.5599, 0.5599)*CHOOSE(CONTROL!$C$42, 31, 31))/1000000</f>
        <v>12.063045499999998</v>
      </c>
      <c r="V517" s="38">
        <f>(1000*CHOOSE(CONTROL!$C$42, 500, 500)*CHOOSE(CONTROL!$C$42, 0.275, 0.275)*CHOOSE(CONTROL!$C$42, 31, 31))/1000000</f>
        <v>4.2625000000000002</v>
      </c>
      <c r="W517" s="38">
        <f>(1000*CHOOSE(CONTROL!$C$42, 0.1146, 0.1146)*CHOOSE(CONTROL!$C$42, 121.5, 121.5)*CHOOSE(CONTROL!$C$42, 31, 31))/1000000</f>
        <v>0.43164089999999994</v>
      </c>
      <c r="X517" s="38">
        <f>(31*0.1790888*100000/1000000)+(31*0.2374*100000/1000000)</f>
        <v>1.2911152800000001</v>
      </c>
      <c r="Y517" s="38">
        <f>(1000*600*CHOOSE(CONTROL!$C$42, 1.0585, 1.0585)*CHOOSE(CONTROL!$C$42, 31, 31))/1000000</f>
        <v>19.688099999999999</v>
      </c>
      <c r="Z517" s="38"/>
      <c r="AA517" s="10"/>
      <c r="AB517" s="39"/>
      <c r="AC517" s="33">
        <f>(B517*122.58+C517*297.941+D517*89.177+E517*40.302+F517*40+G517*160+H517*0+I517*100+J517*300)/(122.58+297.941+89.177+40.302+0+40+160+100+300)</f>
        <v>15.218782256695654</v>
      </c>
      <c r="AD517" s="27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15.094536690647482</v>
      </c>
    </row>
    <row r="518" spans="1:30" ht="15.75" x14ac:dyDescent="0.25">
      <c r="A518" s="13">
        <v>57038</v>
      </c>
      <c r="B518" s="10">
        <f>CHOOSE(CONTROL!$C$42, 15.491, 15.491) * CHOOSE(CONTROL!$C$21, $C$9, 100%, $E$9)</f>
        <v>15.491</v>
      </c>
      <c r="C518" s="10">
        <f>CHOOSE(CONTROL!$C$42, 15.496, 15.496) * CHOOSE(CONTROL!$C$21, $C$9, 100%, $E$9)</f>
        <v>15.496</v>
      </c>
      <c r="D518" s="10">
        <f>CHOOSE(CONTROL!$C$42, 15.5204, 15.5204) * CHOOSE(CONTROL!$C$21, $C$9, 100%, $E$9)</f>
        <v>15.5204</v>
      </c>
      <c r="E518" s="10">
        <f>CHOOSE(CONTROL!$C$42, 15.5542, 15.5542) * CHOOSE(CONTROL!$C$21, $C$9, 100%, $E$9)</f>
        <v>15.5542</v>
      </c>
      <c r="F518" s="10">
        <f>CHOOSE(CONTROL!$C$42, 15.4733, 15.4733)*CHOOSE(CONTROL!$C$21, $C$9, 100%, $E$9)</f>
        <v>15.4733</v>
      </c>
      <c r="G518" s="10">
        <f>CHOOSE(CONTROL!$C$42, 15.4918, 15.4918)*CHOOSE(CONTROL!$C$21, $C$9, 100%, $E$9)</f>
        <v>15.4918</v>
      </c>
      <c r="H518" s="10">
        <f>CHOOSE(CONTROL!$C$42, 15.5434, 15.5434) * CHOOSE(CONTROL!$C$21, $C$9, 100%, $E$9)</f>
        <v>15.5434</v>
      </c>
      <c r="I518" s="10">
        <f>CHOOSE(CONTROL!$C$42, 15.4855, 15.4855)* CHOOSE(CONTROL!$C$21, $C$9, 100%, $E$9)</f>
        <v>15.4855</v>
      </c>
      <c r="J518" s="10">
        <f>CHOOSE(CONTROL!$C$42, 15.4663, 15.4663)* CHOOSE(CONTROL!$C$21, $C$9, 100%, $E$9)</f>
        <v>15.4663</v>
      </c>
      <c r="K518" s="10">
        <f>CHOOSE(CONTROL!$C$42, 15.1995, 15.1995) * CHOOSE(CONTROL!$C$21, $C$9, 100%, $E$9)</f>
        <v>15.1995</v>
      </c>
      <c r="L518" s="10">
        <f>CHOOSE(CONTROL!$C$42, 16.1304, 16.1304) * CHOOSE(CONTROL!$C$21, $C$9, 100%, $E$9)</f>
        <v>16.130400000000002</v>
      </c>
      <c r="M518" s="10">
        <f>CHOOSE(CONTROL!$C$42, 15.324, 15.324) * CHOOSE(CONTROL!$C$21, $C$9, 100%, $E$9)</f>
        <v>15.324</v>
      </c>
      <c r="N518" s="10">
        <f>CHOOSE(CONTROL!$C$42, 15.3423, 15.3423) * CHOOSE(CONTROL!$C$21, $C$9, 100%, $E$9)</f>
        <v>15.3423</v>
      </c>
      <c r="O518" s="10">
        <f>CHOOSE(CONTROL!$C$42, 15.4004, 15.4004) * CHOOSE(CONTROL!$C$21, $C$9, 100%, $E$9)</f>
        <v>15.400399999999999</v>
      </c>
      <c r="P518" s="10">
        <f>CHOOSE(CONTROL!$C$42, 15.3431, 15.3431) * CHOOSE(CONTROL!$C$21, $C$9, 100%, $E$9)</f>
        <v>15.3431</v>
      </c>
      <c r="Q518" s="10">
        <f>CHOOSE(CONTROL!$C$42, 15.9957, 15.9957) * CHOOSE(CONTROL!$C$21, $C$9, 100%, $E$9)</f>
        <v>15.995699999999999</v>
      </c>
      <c r="R518" s="10">
        <f>CHOOSE(CONTROL!$C$42, 16.6227, 16.6227) * CHOOSE(CONTROL!$C$21, $C$9, 100%, $E$9)</f>
        <v>16.622699999999998</v>
      </c>
      <c r="S518" s="10">
        <f>CHOOSE(CONTROL!$C$42, 15.0412, 15.0412) * CHOOSE(CONTROL!$C$21, $C$9, 100%, $E$9)</f>
        <v>15.0412</v>
      </c>
      <c r="T51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18" s="38">
        <f>(1000*CHOOSE(CONTROL!$C$42, 695, 695)*CHOOSE(CONTROL!$C$42, 0.5599, 0.5599)*CHOOSE(CONTROL!$C$42, 29, 29))/1000000</f>
        <v>11.284784499999999</v>
      </c>
      <c r="V518" s="38">
        <f>(1000*CHOOSE(CONTROL!$C$42, 500, 500)*CHOOSE(CONTROL!$C$42, 0.275, 0.275)*CHOOSE(CONTROL!$C$42, 29, 29))/1000000</f>
        <v>3.9874999999999998</v>
      </c>
      <c r="W518" s="38">
        <f>(1000*CHOOSE(CONTROL!$C$42, 0.1146, 0.1146)*CHOOSE(CONTROL!$C$42, 121.5, 121.5)*CHOOSE(CONTROL!$C$42, 29, 29))/1000000</f>
        <v>0.40379309999999996</v>
      </c>
      <c r="X518" s="38">
        <f>(29*0.1790888*100000/1000000)+(29*0.2374*100000/1000000)</f>
        <v>1.2078175199999999</v>
      </c>
      <c r="Y518" s="38">
        <f>(1000*600*CHOOSE(CONTROL!$C$42, 1.0585, 1.0585)*CHOOSE(CONTROL!$C$42, 29, 29))/1000000</f>
        <v>18.417899999999999</v>
      </c>
      <c r="Z518" s="38"/>
      <c r="AA518" s="10"/>
      <c r="AB518" s="39"/>
      <c r="AC518" s="33">
        <f>(B518*122.58+C518*297.941+D518*89.177+E518*40.302+F518*40+G518*160+H518*0+I518*100+J518*300)/(122.58+297.941+89.177+40.302+0+40+160+100+300)</f>
        <v>15.489363995826086</v>
      </c>
      <c r="AD518" s="27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15.362428776978415</v>
      </c>
    </row>
    <row r="519" spans="1:30" ht="15.75" x14ac:dyDescent="0.25">
      <c r="A519" s="13">
        <v>57070</v>
      </c>
      <c r="B519" s="10">
        <f>CHOOSE(CONTROL!$C$42, 15.0513, 15.0513) * CHOOSE(CONTROL!$C$21, $C$9, 100%, $E$9)</f>
        <v>15.051299999999999</v>
      </c>
      <c r="C519" s="10">
        <f>CHOOSE(CONTROL!$C$42, 15.0563, 15.0563) * CHOOSE(CONTROL!$C$21, $C$9, 100%, $E$9)</f>
        <v>15.0563</v>
      </c>
      <c r="D519" s="10">
        <f>CHOOSE(CONTROL!$C$42, 15.0807, 15.0807) * CHOOSE(CONTROL!$C$21, $C$9, 100%, $E$9)</f>
        <v>15.0807</v>
      </c>
      <c r="E519" s="10">
        <f>CHOOSE(CONTROL!$C$42, 15.1145, 15.1145) * CHOOSE(CONTROL!$C$21, $C$9, 100%, $E$9)</f>
        <v>15.1145</v>
      </c>
      <c r="F519" s="10">
        <f>CHOOSE(CONTROL!$C$42, 15.032, 15.032)*CHOOSE(CONTROL!$C$21, $C$9, 100%, $E$9)</f>
        <v>15.032</v>
      </c>
      <c r="G519" s="10">
        <f>CHOOSE(CONTROL!$C$42, 15.0501, 15.0501)*CHOOSE(CONTROL!$C$21, $C$9, 100%, $E$9)</f>
        <v>15.0501</v>
      </c>
      <c r="H519" s="10">
        <f>CHOOSE(CONTROL!$C$42, 15.1037, 15.1037) * CHOOSE(CONTROL!$C$21, $C$9, 100%, $E$9)</f>
        <v>15.1037</v>
      </c>
      <c r="I519" s="10">
        <f>CHOOSE(CONTROL!$C$42, 15.0458, 15.0458)* CHOOSE(CONTROL!$C$21, $C$9, 100%, $E$9)</f>
        <v>15.0458</v>
      </c>
      <c r="J519" s="10">
        <f>CHOOSE(CONTROL!$C$42, 15.025, 15.025)* CHOOSE(CONTROL!$C$21, $C$9, 100%, $E$9)</f>
        <v>15.025</v>
      </c>
      <c r="K519" s="10">
        <f>CHOOSE(CONTROL!$C$42, 14.769, 14.769) * CHOOSE(CONTROL!$C$21, $C$9, 100%, $E$9)</f>
        <v>14.769</v>
      </c>
      <c r="L519" s="10">
        <f>CHOOSE(CONTROL!$C$42, 15.6907, 15.6907) * CHOOSE(CONTROL!$C$21, $C$9, 100%, $E$9)</f>
        <v>15.6907</v>
      </c>
      <c r="M519" s="10">
        <f>CHOOSE(CONTROL!$C$42, 14.8872, 14.8872) * CHOOSE(CONTROL!$C$21, $C$9, 100%, $E$9)</f>
        <v>14.8872</v>
      </c>
      <c r="N519" s="10">
        <f>CHOOSE(CONTROL!$C$42, 14.9051, 14.9051) * CHOOSE(CONTROL!$C$21, $C$9, 100%, $E$9)</f>
        <v>14.905099999999999</v>
      </c>
      <c r="O519" s="10">
        <f>CHOOSE(CONTROL!$C$42, 14.9651, 14.9651) * CHOOSE(CONTROL!$C$21, $C$9, 100%, $E$9)</f>
        <v>14.9651</v>
      </c>
      <c r="P519" s="10">
        <f>CHOOSE(CONTROL!$C$42, 14.9078, 14.9078) * CHOOSE(CONTROL!$C$21, $C$9, 100%, $E$9)</f>
        <v>14.9078</v>
      </c>
      <c r="Q519" s="10">
        <f>CHOOSE(CONTROL!$C$42, 15.5604, 15.5604) * CHOOSE(CONTROL!$C$21, $C$9, 100%, $E$9)</f>
        <v>15.5604</v>
      </c>
      <c r="R519" s="10">
        <f>CHOOSE(CONTROL!$C$42, 16.1863, 16.1863) * CHOOSE(CONTROL!$C$21, $C$9, 100%, $E$9)</f>
        <v>16.186299999999999</v>
      </c>
      <c r="S519" s="10">
        <f>CHOOSE(CONTROL!$C$42, 14.6142, 14.6142) * CHOOSE(CONTROL!$C$21, $C$9, 100%, $E$9)</f>
        <v>14.6142</v>
      </c>
      <c r="T5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38">
        <f>(1000*CHOOSE(CONTROL!$C$42, 695, 695)*CHOOSE(CONTROL!$C$42, 0.5599, 0.5599)*CHOOSE(CONTROL!$C$42, 31, 31))/1000000</f>
        <v>12.063045499999998</v>
      </c>
      <c r="V519" s="38">
        <f>(1000*CHOOSE(CONTROL!$C$42, 500, 500)*CHOOSE(CONTROL!$C$42, 0.275, 0.275)*CHOOSE(CONTROL!$C$42, 31, 31))/1000000</f>
        <v>4.2625000000000002</v>
      </c>
      <c r="W519" s="38">
        <f>(1000*CHOOSE(CONTROL!$C$42, 0.1146, 0.1146)*CHOOSE(CONTROL!$C$42, 121.5, 121.5)*CHOOSE(CONTROL!$C$42, 31, 31))/1000000</f>
        <v>0.43164089999999994</v>
      </c>
      <c r="X519" s="38">
        <f>(31*0.1790888*100000/1000000)+(31*0.2374*100000/1000000)</f>
        <v>1.2911152800000001</v>
      </c>
      <c r="Y519" s="38">
        <f>(1000*600*CHOOSE(CONTROL!$C$42, 1.0585, 1.0585)*CHOOSE(CONTROL!$C$42, 31, 31))/1000000</f>
        <v>19.688099999999999</v>
      </c>
      <c r="Z519" s="38"/>
      <c r="AA519" s="10"/>
      <c r="AB519" s="39"/>
      <c r="AC519" s="33">
        <f>(B519*122.58+C519*297.941+D519*89.177+E519*40.302+F519*40+G519*160+H519*0+I519*100+J519*300)/(122.58+297.941+89.177+40.302+0+40+160+100+300)</f>
        <v>15.048912691478263</v>
      </c>
      <c r="AD519" s="27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14.92650143884892</v>
      </c>
    </row>
    <row r="520" spans="1:30" ht="15.75" x14ac:dyDescent="0.25">
      <c r="A520" s="13">
        <v>57100</v>
      </c>
      <c r="B520" s="10">
        <f>CHOOSE(CONTROL!$C$42, 15.007, 15.007) * CHOOSE(CONTROL!$C$21, $C$9, 100%, $E$9)</f>
        <v>15.007</v>
      </c>
      <c r="C520" s="10">
        <f>CHOOSE(CONTROL!$C$42, 15.0114, 15.0114) * CHOOSE(CONTROL!$C$21, $C$9, 100%, $E$9)</f>
        <v>15.0114</v>
      </c>
      <c r="D520" s="10">
        <f>CHOOSE(CONTROL!$C$42, 15.1915, 15.1915) * CHOOSE(CONTROL!$C$21, $C$9, 100%, $E$9)</f>
        <v>15.1915</v>
      </c>
      <c r="E520" s="10">
        <f>CHOOSE(CONTROL!$C$42, 15.2233, 15.2233) * CHOOSE(CONTROL!$C$21, $C$9, 100%, $E$9)</f>
        <v>15.2233</v>
      </c>
      <c r="F520" s="10">
        <f>CHOOSE(CONTROL!$C$42, 14.9724, 14.9724)*CHOOSE(CONTROL!$C$21, $C$9, 100%, $E$9)</f>
        <v>14.9724</v>
      </c>
      <c r="G520" s="10">
        <f>CHOOSE(CONTROL!$C$42, 14.9886, 14.9886)*CHOOSE(CONTROL!$C$21, $C$9, 100%, $E$9)</f>
        <v>14.9886</v>
      </c>
      <c r="H520" s="10">
        <f>CHOOSE(CONTROL!$C$42, 15.2131, 15.2131) * CHOOSE(CONTROL!$C$21, $C$9, 100%, $E$9)</f>
        <v>15.213100000000001</v>
      </c>
      <c r="I520" s="10">
        <f>CHOOSE(CONTROL!$C$42, 14.993, 14.993)* CHOOSE(CONTROL!$C$21, $C$9, 100%, $E$9)</f>
        <v>14.993</v>
      </c>
      <c r="J520" s="10">
        <f>CHOOSE(CONTROL!$C$42, 14.9654, 14.9654)* CHOOSE(CONTROL!$C$21, $C$9, 100%, $E$9)</f>
        <v>14.965400000000001</v>
      </c>
      <c r="K520" s="10">
        <f>CHOOSE(CONTROL!$C$42, 14.7027, 14.7027) * CHOOSE(CONTROL!$C$21, $C$9, 100%, $E$9)</f>
        <v>14.7027</v>
      </c>
      <c r="L520" s="10">
        <f>CHOOSE(CONTROL!$C$42, 15.8001, 15.8001) * CHOOSE(CONTROL!$C$21, $C$9, 100%, $E$9)</f>
        <v>15.8001</v>
      </c>
      <c r="M520" s="10">
        <f>CHOOSE(CONTROL!$C$42, 14.8282, 14.8282) * CHOOSE(CONTROL!$C$21, $C$9, 100%, $E$9)</f>
        <v>14.828200000000001</v>
      </c>
      <c r="N520" s="10">
        <f>CHOOSE(CONTROL!$C$42, 14.8442, 14.8442) * CHOOSE(CONTROL!$C$21, $C$9, 100%, $E$9)</f>
        <v>14.844200000000001</v>
      </c>
      <c r="O520" s="10">
        <f>CHOOSE(CONTROL!$C$42, 15.0734, 15.0734) * CHOOSE(CONTROL!$C$21, $C$9, 100%, $E$9)</f>
        <v>15.073399999999999</v>
      </c>
      <c r="P520" s="10">
        <f>CHOOSE(CONTROL!$C$42, 14.8556, 14.8556) * CHOOSE(CONTROL!$C$21, $C$9, 100%, $E$9)</f>
        <v>14.855600000000001</v>
      </c>
      <c r="Q520" s="10">
        <f>CHOOSE(CONTROL!$C$42, 15.6687, 15.6687) * CHOOSE(CONTROL!$C$21, $C$9, 100%, $E$9)</f>
        <v>15.668699999999999</v>
      </c>
      <c r="R520" s="10">
        <f>CHOOSE(CONTROL!$C$42, 16.2949, 16.2949) * CHOOSE(CONTROL!$C$21, $C$9, 100%, $E$9)</f>
        <v>16.294899999999998</v>
      </c>
      <c r="S520" s="10">
        <f>CHOOSE(CONTROL!$C$42, 14.5704, 14.5704) * CHOOSE(CONTROL!$C$21, $C$9, 100%, $E$9)</f>
        <v>14.570399999999999</v>
      </c>
      <c r="T5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38">
        <f>(1000*CHOOSE(CONTROL!$C$42, 695, 695)*CHOOSE(CONTROL!$C$42, 0.5599, 0.5599)*CHOOSE(CONTROL!$C$42, 30, 30))/1000000</f>
        <v>11.673914999999997</v>
      </c>
      <c r="V520" s="38">
        <f>(1000*CHOOSE(CONTROL!$C$42, 500, 500)*CHOOSE(CONTROL!$C$42, 0.275, 0.275)*CHOOSE(CONTROL!$C$42, 30, 30))/1000000</f>
        <v>4.125</v>
      </c>
      <c r="W520" s="38">
        <f>(1000*CHOOSE(CONTROL!$C$42, 0.1146, 0.1146)*CHOOSE(CONTROL!$C$42, 121.5, 121.5)*CHOOSE(CONTROL!$C$42, 30, 30))/1000000</f>
        <v>0.417717</v>
      </c>
      <c r="X520" s="38">
        <f>(30*0.1790888*245000/1000000)+(30*0.2374*100000/1000000)</f>
        <v>2.0285026799999999</v>
      </c>
      <c r="Y520" s="38">
        <f>(1000*600*CHOOSE(CONTROL!$C$42, 1.0585, 1.0585)*CHOOSE(CONTROL!$C$42, 30, 30))/1000000</f>
        <v>19.053000000000001</v>
      </c>
      <c r="Z520" s="38"/>
      <c r="AA520" s="10"/>
      <c r="AB520" s="39"/>
      <c r="AC520" s="33">
        <f>(B520*141.293+C520*267.993+D520*115.016+E520*89.698+F520*40+G520*185+H520*0+I520*100+J520*300)/(141.293+267.993+115.016+89.698+0+40+185+100+300)</f>
        <v>15.025670943179984</v>
      </c>
      <c r="AD520" s="27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14.904623021582733</v>
      </c>
    </row>
    <row r="521" spans="1:30" ht="15.75" x14ac:dyDescent="0.25">
      <c r="A521" s="13">
        <v>57131</v>
      </c>
      <c r="B521" s="10">
        <f>CHOOSE(CONTROL!$C$42, 15.1412, 15.1412) * CHOOSE(CONTROL!$C$21, $C$9, 100%, $E$9)</f>
        <v>15.1412</v>
      </c>
      <c r="C521" s="10">
        <f>CHOOSE(CONTROL!$C$42, 15.1492, 15.1492) * CHOOSE(CONTROL!$C$21, $C$9, 100%, $E$9)</f>
        <v>15.1492</v>
      </c>
      <c r="D521" s="10">
        <f>CHOOSE(CONTROL!$C$42, 15.3261, 15.3261) * CHOOSE(CONTROL!$C$21, $C$9, 100%, $E$9)</f>
        <v>15.3261</v>
      </c>
      <c r="E521" s="10">
        <f>CHOOSE(CONTROL!$C$42, 15.3573, 15.3573) * CHOOSE(CONTROL!$C$21, $C$9, 100%, $E$9)</f>
        <v>15.3573</v>
      </c>
      <c r="F521" s="10">
        <f>CHOOSE(CONTROL!$C$42, 15.1046, 15.1046)*CHOOSE(CONTROL!$C$21, $C$9, 100%, $E$9)</f>
        <v>15.1046</v>
      </c>
      <c r="G521" s="10">
        <f>CHOOSE(CONTROL!$C$42, 15.1211, 15.1211)*CHOOSE(CONTROL!$C$21, $C$9, 100%, $E$9)</f>
        <v>15.1211</v>
      </c>
      <c r="H521" s="10">
        <f>CHOOSE(CONTROL!$C$42, 15.3459, 15.3459) * CHOOSE(CONTROL!$C$21, $C$9, 100%, $E$9)</f>
        <v>15.3459</v>
      </c>
      <c r="I521" s="10">
        <f>CHOOSE(CONTROL!$C$42, 15.1258, 15.1258)* CHOOSE(CONTROL!$C$21, $C$9, 100%, $E$9)</f>
        <v>15.1258</v>
      </c>
      <c r="J521" s="10">
        <f>CHOOSE(CONTROL!$C$42, 15.0976, 15.0976)* CHOOSE(CONTROL!$C$21, $C$9, 100%, $E$9)</f>
        <v>15.0976</v>
      </c>
      <c r="K521" s="10">
        <f>CHOOSE(CONTROL!$C$42, 14.8305, 14.8305) * CHOOSE(CONTROL!$C$21, $C$9, 100%, $E$9)</f>
        <v>14.830500000000001</v>
      </c>
      <c r="L521" s="10">
        <f>CHOOSE(CONTROL!$C$42, 15.9329, 15.9329) * CHOOSE(CONTROL!$C$21, $C$9, 100%, $E$9)</f>
        <v>15.9329</v>
      </c>
      <c r="M521" s="10">
        <f>CHOOSE(CONTROL!$C$42, 14.9591, 14.9591) * CHOOSE(CONTROL!$C$21, $C$9, 100%, $E$9)</f>
        <v>14.959099999999999</v>
      </c>
      <c r="N521" s="10">
        <f>CHOOSE(CONTROL!$C$42, 14.9754, 14.9754) * CHOOSE(CONTROL!$C$21, $C$9, 100%, $E$9)</f>
        <v>14.9754</v>
      </c>
      <c r="O521" s="10">
        <f>CHOOSE(CONTROL!$C$42, 15.2049, 15.2049) * CHOOSE(CONTROL!$C$21, $C$9, 100%, $E$9)</f>
        <v>15.2049</v>
      </c>
      <c r="P521" s="10">
        <f>CHOOSE(CONTROL!$C$42, 14.987, 14.987) * CHOOSE(CONTROL!$C$21, $C$9, 100%, $E$9)</f>
        <v>14.987</v>
      </c>
      <c r="Q521" s="10">
        <f>CHOOSE(CONTROL!$C$42, 15.8002, 15.8002) * CHOOSE(CONTROL!$C$21, $C$9, 100%, $E$9)</f>
        <v>15.8002</v>
      </c>
      <c r="R521" s="10">
        <f>CHOOSE(CONTROL!$C$42, 16.4267, 16.4267) * CHOOSE(CONTROL!$C$21, $C$9, 100%, $E$9)</f>
        <v>16.4267</v>
      </c>
      <c r="S521" s="10">
        <f>CHOOSE(CONTROL!$C$42, 14.6994, 14.6994) * CHOOSE(CONTROL!$C$21, $C$9, 100%, $E$9)</f>
        <v>14.699400000000001</v>
      </c>
      <c r="T5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38">
        <f>(1000*CHOOSE(CONTROL!$C$42, 695, 695)*CHOOSE(CONTROL!$C$42, 0.5599, 0.5599)*CHOOSE(CONTROL!$C$42, 31, 31))/1000000</f>
        <v>12.063045499999998</v>
      </c>
      <c r="V521" s="38">
        <f>(1000*CHOOSE(CONTROL!$C$42, 500, 500)*CHOOSE(CONTROL!$C$42, 0.275, 0.275)*CHOOSE(CONTROL!$C$42, 31, 31))/1000000</f>
        <v>4.2625000000000002</v>
      </c>
      <c r="W521" s="38">
        <f>(1000*CHOOSE(CONTROL!$C$42, 0.1146, 0.1146)*CHOOSE(CONTROL!$C$42, 121.5, 121.5)*CHOOSE(CONTROL!$C$42, 31, 31))/1000000</f>
        <v>0.43164089999999994</v>
      </c>
      <c r="X521" s="38">
        <f>(31*0.1790888*245000/1000000)+(31*0.2374*100000/1000000)</f>
        <v>2.0961194359999999</v>
      </c>
      <c r="Y521" s="38">
        <f>(1000*600*CHOOSE(CONTROL!$C$42, 1.0585, 1.0585)*CHOOSE(CONTROL!$C$42, 31, 31))/1000000</f>
        <v>19.688099999999999</v>
      </c>
      <c r="Z521" s="38"/>
      <c r="AA521" s="10"/>
      <c r="AB521" s="39"/>
      <c r="AC521" s="33">
        <f>(B521*194.205+C521*267.466+D521*133.845+E521*53.484+F521*40+G521*185+H521*0+I521*100+J521*300)/(194.205+267.466+133.845+53.484+0+40+185+100+300)</f>
        <v>15.155833485792778</v>
      </c>
      <c r="AD521" s="27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15.035832374100719</v>
      </c>
    </row>
    <row r="522" spans="1:30" ht="15.75" x14ac:dyDescent="0.25">
      <c r="A522" s="13">
        <v>57161</v>
      </c>
      <c r="B522" s="10">
        <f>CHOOSE(CONTROL!$C$42, 15.5706, 15.5706) * CHOOSE(CONTROL!$C$21, $C$9, 100%, $E$9)</f>
        <v>15.570600000000001</v>
      </c>
      <c r="C522" s="10">
        <f>CHOOSE(CONTROL!$C$42, 15.5785, 15.5785) * CHOOSE(CONTROL!$C$21, $C$9, 100%, $E$9)</f>
        <v>15.5785</v>
      </c>
      <c r="D522" s="10">
        <f>CHOOSE(CONTROL!$C$42, 15.7555, 15.7555) * CHOOSE(CONTROL!$C$21, $C$9, 100%, $E$9)</f>
        <v>15.7555</v>
      </c>
      <c r="E522" s="10">
        <f>CHOOSE(CONTROL!$C$42, 15.7866, 15.7866) * CHOOSE(CONTROL!$C$21, $C$9, 100%, $E$9)</f>
        <v>15.7866</v>
      </c>
      <c r="F522" s="10">
        <f>CHOOSE(CONTROL!$C$42, 15.5341, 15.5341)*CHOOSE(CONTROL!$C$21, $C$9, 100%, $E$9)</f>
        <v>15.5341</v>
      </c>
      <c r="G522" s="10">
        <f>CHOOSE(CONTROL!$C$42, 15.5507, 15.5507)*CHOOSE(CONTROL!$C$21, $C$9, 100%, $E$9)</f>
        <v>15.550700000000001</v>
      </c>
      <c r="H522" s="10">
        <f>CHOOSE(CONTROL!$C$42, 15.7753, 15.7753) * CHOOSE(CONTROL!$C$21, $C$9, 100%, $E$9)</f>
        <v>15.7753</v>
      </c>
      <c r="I522" s="10">
        <f>CHOOSE(CONTROL!$C$42, 15.5552, 15.5552)* CHOOSE(CONTROL!$C$21, $C$9, 100%, $E$9)</f>
        <v>15.555199999999999</v>
      </c>
      <c r="J522" s="10">
        <f>CHOOSE(CONTROL!$C$42, 15.5271, 15.5271)* CHOOSE(CONTROL!$C$21, $C$9, 100%, $E$9)</f>
        <v>15.527100000000001</v>
      </c>
      <c r="K522" s="10">
        <f>CHOOSE(CONTROL!$C$42, 15.248, 15.248) * CHOOSE(CONTROL!$C$21, $C$9, 100%, $E$9)</f>
        <v>15.247999999999999</v>
      </c>
      <c r="L522" s="10">
        <f>CHOOSE(CONTROL!$C$42, 16.3623, 16.3623) * CHOOSE(CONTROL!$C$21, $C$9, 100%, $E$9)</f>
        <v>16.362300000000001</v>
      </c>
      <c r="M522" s="10">
        <f>CHOOSE(CONTROL!$C$42, 15.3842, 15.3842) * CHOOSE(CONTROL!$C$21, $C$9, 100%, $E$9)</f>
        <v>15.3842</v>
      </c>
      <c r="N522" s="10">
        <f>CHOOSE(CONTROL!$C$42, 15.4006, 15.4006) * CHOOSE(CONTROL!$C$21, $C$9, 100%, $E$9)</f>
        <v>15.400600000000001</v>
      </c>
      <c r="O522" s="10">
        <f>CHOOSE(CONTROL!$C$42, 15.6299, 15.6299) * CHOOSE(CONTROL!$C$21, $C$9, 100%, $E$9)</f>
        <v>15.629899999999999</v>
      </c>
      <c r="P522" s="10">
        <f>CHOOSE(CONTROL!$C$42, 15.4121, 15.4121) * CHOOSE(CONTROL!$C$21, $C$9, 100%, $E$9)</f>
        <v>15.412100000000001</v>
      </c>
      <c r="Q522" s="10">
        <f>CHOOSE(CONTROL!$C$42, 16.2252, 16.2252) * CHOOSE(CONTROL!$C$21, $C$9, 100%, $E$9)</f>
        <v>16.225200000000001</v>
      </c>
      <c r="R522" s="10">
        <f>CHOOSE(CONTROL!$C$42, 16.8527, 16.8527) * CHOOSE(CONTROL!$C$21, $C$9, 100%, $E$9)</f>
        <v>16.852699999999999</v>
      </c>
      <c r="S522" s="10">
        <f>CHOOSE(CONTROL!$C$42, 15.1163, 15.1163) * CHOOSE(CONTROL!$C$21, $C$9, 100%, $E$9)</f>
        <v>15.116300000000001</v>
      </c>
      <c r="T5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38">
        <f>(1000*CHOOSE(CONTROL!$C$42, 695, 695)*CHOOSE(CONTROL!$C$42, 0.5599, 0.5599)*CHOOSE(CONTROL!$C$42, 30, 30))/1000000</f>
        <v>11.673914999999997</v>
      </c>
      <c r="V522" s="38">
        <f>(1000*CHOOSE(CONTROL!$C$42, 500, 500)*CHOOSE(CONTROL!$C$42, 0.275, 0.275)*CHOOSE(CONTROL!$C$42, 30, 30))/1000000</f>
        <v>4.125</v>
      </c>
      <c r="W522" s="38">
        <f>(1000*CHOOSE(CONTROL!$C$42, 0.1146, 0.1146)*CHOOSE(CONTROL!$C$42, 121.5, 121.5)*CHOOSE(CONTROL!$C$42, 30, 30))/1000000</f>
        <v>0.417717</v>
      </c>
      <c r="X522" s="38">
        <f>(30*0.1790888*245000/1000000)+(30*0.2374*100000/1000000)</f>
        <v>2.0285026799999999</v>
      </c>
      <c r="Y522" s="38">
        <f>(1000*600*CHOOSE(CONTROL!$C$42, 1.0585, 1.0585)*CHOOSE(CONTROL!$C$42, 30, 30))/1000000</f>
        <v>19.053000000000001</v>
      </c>
      <c r="Z522" s="38"/>
      <c r="AA522" s="10"/>
      <c r="AB522" s="39"/>
      <c r="AC522" s="33">
        <f>(B522*194.205+C522*267.466+D522*133.845+E522*53.484+F522*40+G522*185+H522*0+I522*100+J522*300)/(194.205+267.466+133.845+53.484+0+40+185+100+300)</f>
        <v>15.58526402346939</v>
      </c>
      <c r="AD522" s="27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15.460927338129496</v>
      </c>
    </row>
    <row r="523" spans="1:30" ht="15.75" x14ac:dyDescent="0.25">
      <c r="A523" s="13">
        <v>57192</v>
      </c>
      <c r="B523" s="10">
        <f>CHOOSE(CONTROL!$C$42, 15.272, 15.272) * CHOOSE(CONTROL!$C$21, $C$9, 100%, $E$9)</f>
        <v>15.272</v>
      </c>
      <c r="C523" s="10">
        <f>CHOOSE(CONTROL!$C$42, 15.2799, 15.2799) * CHOOSE(CONTROL!$C$21, $C$9, 100%, $E$9)</f>
        <v>15.2799</v>
      </c>
      <c r="D523" s="10">
        <f>CHOOSE(CONTROL!$C$42, 15.4569, 15.4569) * CHOOSE(CONTROL!$C$21, $C$9, 100%, $E$9)</f>
        <v>15.456899999999999</v>
      </c>
      <c r="E523" s="10">
        <f>CHOOSE(CONTROL!$C$42, 15.488, 15.488) * CHOOSE(CONTROL!$C$21, $C$9, 100%, $E$9)</f>
        <v>15.488</v>
      </c>
      <c r="F523" s="10">
        <f>CHOOSE(CONTROL!$C$42, 15.2358, 15.2358)*CHOOSE(CONTROL!$C$21, $C$9, 100%, $E$9)</f>
        <v>15.235799999999999</v>
      </c>
      <c r="G523" s="10">
        <f>CHOOSE(CONTROL!$C$42, 15.2524, 15.2524)*CHOOSE(CONTROL!$C$21, $C$9, 100%, $E$9)</f>
        <v>15.2524</v>
      </c>
      <c r="H523" s="10">
        <f>CHOOSE(CONTROL!$C$42, 15.4766, 15.4766) * CHOOSE(CONTROL!$C$21, $C$9, 100%, $E$9)</f>
        <v>15.476599999999999</v>
      </c>
      <c r="I523" s="10">
        <f>CHOOSE(CONTROL!$C$42, 15.2566, 15.2566)* CHOOSE(CONTROL!$C$21, $C$9, 100%, $E$9)</f>
        <v>15.256600000000001</v>
      </c>
      <c r="J523" s="10">
        <f>CHOOSE(CONTROL!$C$42, 15.2288, 15.2288)* CHOOSE(CONTROL!$C$21, $C$9, 100%, $E$9)</f>
        <v>15.2288</v>
      </c>
      <c r="K523" s="10">
        <f>CHOOSE(CONTROL!$C$42, 14.9584, 14.9584) * CHOOSE(CONTROL!$C$21, $C$9, 100%, $E$9)</f>
        <v>14.958399999999999</v>
      </c>
      <c r="L523" s="10">
        <f>CHOOSE(CONTROL!$C$42, 16.0636, 16.0636) * CHOOSE(CONTROL!$C$21, $C$9, 100%, $E$9)</f>
        <v>16.063600000000001</v>
      </c>
      <c r="M523" s="10">
        <f>CHOOSE(CONTROL!$C$42, 15.0889, 15.0889) * CHOOSE(CONTROL!$C$21, $C$9, 100%, $E$9)</f>
        <v>15.088900000000001</v>
      </c>
      <c r="N523" s="10">
        <f>CHOOSE(CONTROL!$C$42, 15.1053, 15.1053) * CHOOSE(CONTROL!$C$21, $C$9, 100%, $E$9)</f>
        <v>15.1053</v>
      </c>
      <c r="O523" s="10">
        <f>CHOOSE(CONTROL!$C$42, 15.3343, 15.3343) * CHOOSE(CONTROL!$C$21, $C$9, 100%, $E$9)</f>
        <v>15.334300000000001</v>
      </c>
      <c r="P523" s="10">
        <f>CHOOSE(CONTROL!$C$42, 15.1165, 15.1165) * CHOOSE(CONTROL!$C$21, $C$9, 100%, $E$9)</f>
        <v>15.1165</v>
      </c>
      <c r="Q523" s="10">
        <f>CHOOSE(CONTROL!$C$42, 15.9296, 15.9296) * CHOOSE(CONTROL!$C$21, $C$9, 100%, $E$9)</f>
        <v>15.929600000000001</v>
      </c>
      <c r="R523" s="10">
        <f>CHOOSE(CONTROL!$C$42, 16.5564, 16.5564) * CHOOSE(CONTROL!$C$21, $C$9, 100%, $E$9)</f>
        <v>16.5564</v>
      </c>
      <c r="S523" s="10">
        <f>CHOOSE(CONTROL!$C$42, 14.8264, 14.8264) * CHOOSE(CONTROL!$C$21, $C$9, 100%, $E$9)</f>
        <v>14.8264</v>
      </c>
      <c r="T5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38">
        <f>(1000*CHOOSE(CONTROL!$C$42, 695, 695)*CHOOSE(CONTROL!$C$42, 0.5599, 0.5599)*CHOOSE(CONTROL!$C$42, 31, 31))/1000000</f>
        <v>12.063045499999998</v>
      </c>
      <c r="V523" s="38">
        <f>(1000*CHOOSE(CONTROL!$C$42, 500, 500)*CHOOSE(CONTROL!$C$42, 0.275, 0.275)*CHOOSE(CONTROL!$C$42, 31, 31))/1000000</f>
        <v>4.2625000000000002</v>
      </c>
      <c r="W523" s="38">
        <f>(1000*CHOOSE(CONTROL!$C$42, 0.1146, 0.1146)*CHOOSE(CONTROL!$C$42, 121.5, 121.5)*CHOOSE(CONTROL!$C$42, 31, 31))/1000000</f>
        <v>0.43164089999999994</v>
      </c>
      <c r="X523" s="38">
        <f>(31*0.1790888*245000/1000000)+(31*0.2374*100000/1000000)</f>
        <v>2.0961194359999999</v>
      </c>
      <c r="Y523" s="38">
        <f>(1000*600*CHOOSE(CONTROL!$C$42, 1.0585, 1.0585)*CHOOSE(CONTROL!$C$42, 31, 31))/1000000</f>
        <v>19.688099999999999</v>
      </c>
      <c r="Z523" s="38"/>
      <c r="AA523" s="10"/>
      <c r="AB523" s="39"/>
      <c r="AC523" s="33">
        <f>(B523*194.205+C523*267.466+D523*133.845+E523*53.484+F523*40+G523*185+H523*0+I523*100+J523*300)/(194.205+267.466+133.845+53.484+0+40+185+100+300)</f>
        <v>15.286787649843014</v>
      </c>
      <c r="AD523" s="27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15.165500000000002</v>
      </c>
    </row>
    <row r="524" spans="1:30" ht="15.75" x14ac:dyDescent="0.25">
      <c r="A524" s="13">
        <v>57223</v>
      </c>
      <c r="B524" s="10">
        <f>CHOOSE(CONTROL!$C$42, 14.5179, 14.5179) * CHOOSE(CONTROL!$C$21, $C$9, 100%, $E$9)</f>
        <v>14.517899999999999</v>
      </c>
      <c r="C524" s="10">
        <f>CHOOSE(CONTROL!$C$42, 14.5258, 14.5258) * CHOOSE(CONTROL!$C$21, $C$9, 100%, $E$9)</f>
        <v>14.5258</v>
      </c>
      <c r="D524" s="10">
        <f>CHOOSE(CONTROL!$C$42, 14.7028, 14.7028) * CHOOSE(CONTROL!$C$21, $C$9, 100%, $E$9)</f>
        <v>14.7028</v>
      </c>
      <c r="E524" s="10">
        <f>CHOOSE(CONTROL!$C$42, 14.7339, 14.7339) * CHOOSE(CONTROL!$C$21, $C$9, 100%, $E$9)</f>
        <v>14.7339</v>
      </c>
      <c r="F524" s="10">
        <f>CHOOSE(CONTROL!$C$42, 14.4817, 14.4817)*CHOOSE(CONTROL!$C$21, $C$9, 100%, $E$9)</f>
        <v>14.4817</v>
      </c>
      <c r="G524" s="10">
        <f>CHOOSE(CONTROL!$C$42, 14.4983, 14.4983)*CHOOSE(CONTROL!$C$21, $C$9, 100%, $E$9)</f>
        <v>14.4983</v>
      </c>
      <c r="H524" s="10">
        <f>CHOOSE(CONTROL!$C$42, 14.7226, 14.7226) * CHOOSE(CONTROL!$C$21, $C$9, 100%, $E$9)</f>
        <v>14.7226</v>
      </c>
      <c r="I524" s="10">
        <f>CHOOSE(CONTROL!$C$42, 14.5025, 14.5025)* CHOOSE(CONTROL!$C$21, $C$9, 100%, $E$9)</f>
        <v>14.5025</v>
      </c>
      <c r="J524" s="10">
        <f>CHOOSE(CONTROL!$C$42, 14.4747, 14.4747)* CHOOSE(CONTROL!$C$21, $C$9, 100%, $E$9)</f>
        <v>14.4747</v>
      </c>
      <c r="K524" s="10">
        <f>CHOOSE(CONTROL!$C$42, 14.2259, 14.2259) * CHOOSE(CONTROL!$C$21, $C$9, 100%, $E$9)</f>
        <v>14.225899999999999</v>
      </c>
      <c r="L524" s="10">
        <f>CHOOSE(CONTROL!$C$42, 15.3096, 15.3096) * CHOOSE(CONTROL!$C$21, $C$9, 100%, $E$9)</f>
        <v>15.3096</v>
      </c>
      <c r="M524" s="10">
        <f>CHOOSE(CONTROL!$C$42, 14.3425, 14.3425) * CHOOSE(CONTROL!$C$21, $C$9, 100%, $E$9)</f>
        <v>14.342499999999999</v>
      </c>
      <c r="N524" s="10">
        <f>CHOOSE(CONTROL!$C$42, 14.3589, 14.3589) * CHOOSE(CONTROL!$C$21, $C$9, 100%, $E$9)</f>
        <v>14.3589</v>
      </c>
      <c r="O524" s="10">
        <f>CHOOSE(CONTROL!$C$42, 14.5878, 14.5878) * CHOOSE(CONTROL!$C$21, $C$9, 100%, $E$9)</f>
        <v>14.5878</v>
      </c>
      <c r="P524" s="10">
        <f>CHOOSE(CONTROL!$C$42, 14.37, 14.37) * CHOOSE(CONTROL!$C$21, $C$9, 100%, $E$9)</f>
        <v>14.37</v>
      </c>
      <c r="Q524" s="10">
        <f>CHOOSE(CONTROL!$C$42, 15.1831, 15.1831) * CHOOSE(CONTROL!$C$21, $C$9, 100%, $E$9)</f>
        <v>15.1831</v>
      </c>
      <c r="R524" s="10">
        <f>CHOOSE(CONTROL!$C$42, 15.8081, 15.8081) * CHOOSE(CONTROL!$C$21, $C$9, 100%, $E$9)</f>
        <v>15.8081</v>
      </c>
      <c r="S524" s="10">
        <f>CHOOSE(CONTROL!$C$42, 14.0941, 14.0941) * CHOOSE(CONTROL!$C$21, $C$9, 100%, $E$9)</f>
        <v>14.094099999999999</v>
      </c>
      <c r="T5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38">
        <f>(1000*CHOOSE(CONTROL!$C$42, 695, 695)*CHOOSE(CONTROL!$C$42, 0.5599, 0.5599)*CHOOSE(CONTROL!$C$42, 31, 31))/1000000</f>
        <v>12.063045499999998</v>
      </c>
      <c r="V524" s="38">
        <f>(1000*CHOOSE(CONTROL!$C$42, 500, 500)*CHOOSE(CONTROL!$C$42, 0.275, 0.275)*CHOOSE(CONTROL!$C$42, 31, 31))/1000000</f>
        <v>4.2625000000000002</v>
      </c>
      <c r="W524" s="38">
        <f>(1000*CHOOSE(CONTROL!$C$42, 0.1146, 0.1146)*CHOOSE(CONTROL!$C$42, 121.5, 121.5)*CHOOSE(CONTROL!$C$42, 31, 31))/1000000</f>
        <v>0.43164089999999994</v>
      </c>
      <c r="X524" s="38">
        <f>(31*0.1790888*245000/1000000)+(31*0.2374*100000/1000000)</f>
        <v>2.0961194359999999</v>
      </c>
      <c r="Y524" s="38">
        <f>(1000*600*CHOOSE(CONTROL!$C$42, 1.0585, 1.0585)*CHOOSE(CONTROL!$C$42, 31, 31))/1000000</f>
        <v>19.688099999999999</v>
      </c>
      <c r="Z524" s="38"/>
      <c r="AA524" s="10"/>
      <c r="AB524" s="39"/>
      <c r="AC524" s="33">
        <f>(B524*194.205+C524*267.466+D524*133.845+E524*53.484+F524*40+G524*185+H524*0+I524*100+J524*300)/(194.205+267.466+133.845+53.484+0+40+185+100+300)</f>
        <v>14.532687649843014</v>
      </c>
      <c r="AD524" s="27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14.419057553956833</v>
      </c>
    </row>
    <row r="525" spans="1:30" ht="15.75" x14ac:dyDescent="0.25">
      <c r="A525" s="13">
        <v>57253</v>
      </c>
      <c r="B525" s="10">
        <f>CHOOSE(CONTROL!$C$42, 13.5965, 13.5965) * CHOOSE(CONTROL!$C$21, $C$9, 100%, $E$9)</f>
        <v>13.596500000000001</v>
      </c>
      <c r="C525" s="10">
        <f>CHOOSE(CONTROL!$C$42, 13.6044, 13.6044) * CHOOSE(CONTROL!$C$21, $C$9, 100%, $E$9)</f>
        <v>13.6044</v>
      </c>
      <c r="D525" s="10">
        <f>CHOOSE(CONTROL!$C$42, 13.7814, 13.7814) * CHOOSE(CONTROL!$C$21, $C$9, 100%, $E$9)</f>
        <v>13.7814</v>
      </c>
      <c r="E525" s="10">
        <f>CHOOSE(CONTROL!$C$42, 13.8126, 13.8126) * CHOOSE(CONTROL!$C$21, $C$9, 100%, $E$9)</f>
        <v>13.8126</v>
      </c>
      <c r="F525" s="10">
        <f>CHOOSE(CONTROL!$C$42, 13.5601, 13.5601)*CHOOSE(CONTROL!$C$21, $C$9, 100%, $E$9)</f>
        <v>13.5601</v>
      </c>
      <c r="G525" s="10">
        <f>CHOOSE(CONTROL!$C$42, 13.5767, 13.5767)*CHOOSE(CONTROL!$C$21, $C$9, 100%, $E$9)</f>
        <v>13.576700000000001</v>
      </c>
      <c r="H525" s="10">
        <f>CHOOSE(CONTROL!$C$42, 13.8012, 13.8012) * CHOOSE(CONTROL!$C$21, $C$9, 100%, $E$9)</f>
        <v>13.8012</v>
      </c>
      <c r="I525" s="10">
        <f>CHOOSE(CONTROL!$C$42, 13.5811, 13.5811)* CHOOSE(CONTROL!$C$21, $C$9, 100%, $E$9)</f>
        <v>13.581099999999999</v>
      </c>
      <c r="J525" s="10">
        <f>CHOOSE(CONTROL!$C$42, 13.5531, 13.5531)* CHOOSE(CONTROL!$C$21, $C$9, 100%, $E$9)</f>
        <v>13.553100000000001</v>
      </c>
      <c r="K525" s="10">
        <f>CHOOSE(CONTROL!$C$42, 13.3302, 13.3302) * CHOOSE(CONTROL!$C$21, $C$9, 100%, $E$9)</f>
        <v>13.3302</v>
      </c>
      <c r="L525" s="10">
        <f>CHOOSE(CONTROL!$C$42, 14.3882, 14.3882) * CHOOSE(CONTROL!$C$21, $C$9, 100%, $E$9)</f>
        <v>14.388199999999999</v>
      </c>
      <c r="M525" s="10">
        <f>CHOOSE(CONTROL!$C$42, 13.4302, 13.4302) * CHOOSE(CONTROL!$C$21, $C$9, 100%, $E$9)</f>
        <v>13.430199999999999</v>
      </c>
      <c r="N525" s="10">
        <f>CHOOSE(CONTROL!$C$42, 13.4466, 13.4466) * CHOOSE(CONTROL!$C$21, $C$9, 100%, $E$9)</f>
        <v>13.4466</v>
      </c>
      <c r="O525" s="10">
        <f>CHOOSE(CONTROL!$C$42, 13.6757, 13.6757) * CHOOSE(CONTROL!$C$21, $C$9, 100%, $E$9)</f>
        <v>13.675700000000001</v>
      </c>
      <c r="P525" s="10">
        <f>CHOOSE(CONTROL!$C$42, 13.4579, 13.4579) * CHOOSE(CONTROL!$C$21, $C$9, 100%, $E$9)</f>
        <v>13.4579</v>
      </c>
      <c r="Q525" s="10">
        <f>CHOOSE(CONTROL!$C$42, 14.271, 14.271) * CHOOSE(CONTROL!$C$21, $C$9, 100%, $E$9)</f>
        <v>14.271000000000001</v>
      </c>
      <c r="R525" s="10">
        <f>CHOOSE(CONTROL!$C$42, 14.8937, 14.8937) * CHOOSE(CONTROL!$C$21, $C$9, 100%, $E$9)</f>
        <v>14.893700000000001</v>
      </c>
      <c r="S525" s="10">
        <f>CHOOSE(CONTROL!$C$42, 13.1993, 13.1993) * CHOOSE(CONTROL!$C$21, $C$9, 100%, $E$9)</f>
        <v>13.199299999999999</v>
      </c>
      <c r="T5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38">
        <f>(1000*CHOOSE(CONTROL!$C$42, 695, 695)*CHOOSE(CONTROL!$C$42, 0.5599, 0.5599)*CHOOSE(CONTROL!$C$42, 30, 30))/1000000</f>
        <v>11.673914999999997</v>
      </c>
      <c r="V525" s="38">
        <f>(1000*CHOOSE(CONTROL!$C$42, 500, 500)*CHOOSE(CONTROL!$C$42, 0.275, 0.275)*CHOOSE(CONTROL!$C$42, 30, 30))/1000000</f>
        <v>4.125</v>
      </c>
      <c r="W525" s="38">
        <f>(1000*CHOOSE(CONTROL!$C$42, 0.1146, 0.1146)*CHOOSE(CONTROL!$C$42, 121.5, 121.5)*CHOOSE(CONTROL!$C$42, 30, 30))/1000000</f>
        <v>0.417717</v>
      </c>
      <c r="X525" s="38">
        <f>(30*0.1790888*245000/1000000)+(30*0.2374*100000/1000000)</f>
        <v>2.0285026799999999</v>
      </c>
      <c r="Y525" s="38">
        <f>(1000*600*CHOOSE(CONTROL!$C$42, 1.0585, 1.0585)*CHOOSE(CONTROL!$C$42, 30, 30))/1000000</f>
        <v>19.053000000000001</v>
      </c>
      <c r="Z525" s="38"/>
      <c r="AA525" s="10"/>
      <c r="AB525" s="39"/>
      <c r="AC525" s="33">
        <f>(B525*194.205+C525*267.466+D525*133.845+E525*53.484+F525*40+G525*185+H525*0+I525*100+J525*300)/(194.205+267.466+133.845+53.484+0+40+185+100+300)</f>
        <v>13.611209430376768</v>
      </c>
      <c r="AD525" s="27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13.506842446043164</v>
      </c>
    </row>
    <row r="526" spans="1:30" ht="15.75" x14ac:dyDescent="0.25">
      <c r="A526" s="13">
        <v>57284</v>
      </c>
      <c r="B526" s="10">
        <f>CHOOSE(CONTROL!$C$42, 13.3184, 13.3184) * CHOOSE(CONTROL!$C$21, $C$9, 100%, $E$9)</f>
        <v>13.3184</v>
      </c>
      <c r="C526" s="10">
        <f>CHOOSE(CONTROL!$C$42, 13.3236, 13.3236) * CHOOSE(CONTROL!$C$21, $C$9, 100%, $E$9)</f>
        <v>13.323600000000001</v>
      </c>
      <c r="D526" s="10">
        <f>CHOOSE(CONTROL!$C$42, 13.5056, 13.5056) * CHOOSE(CONTROL!$C$21, $C$9, 100%, $E$9)</f>
        <v>13.505599999999999</v>
      </c>
      <c r="E526" s="10">
        <f>CHOOSE(CONTROL!$C$42, 13.5344, 13.5344) * CHOOSE(CONTROL!$C$21, $C$9, 100%, $E$9)</f>
        <v>13.5344</v>
      </c>
      <c r="F526" s="10">
        <f>CHOOSE(CONTROL!$C$42, 13.284, 13.284)*CHOOSE(CONTROL!$C$21, $C$9, 100%, $E$9)</f>
        <v>13.284000000000001</v>
      </c>
      <c r="G526" s="10">
        <f>CHOOSE(CONTROL!$C$42, 13.3003, 13.3003)*CHOOSE(CONTROL!$C$21, $C$9, 100%, $E$9)</f>
        <v>13.3003</v>
      </c>
      <c r="H526" s="10">
        <f>CHOOSE(CONTROL!$C$42, 13.5249, 13.5249) * CHOOSE(CONTROL!$C$21, $C$9, 100%, $E$9)</f>
        <v>13.524900000000001</v>
      </c>
      <c r="I526" s="10">
        <f>CHOOSE(CONTROL!$C$42, 13.3048, 13.3048)* CHOOSE(CONTROL!$C$21, $C$9, 100%, $E$9)</f>
        <v>13.3048</v>
      </c>
      <c r="J526" s="10">
        <f>CHOOSE(CONTROL!$C$42, 13.277, 13.277)* CHOOSE(CONTROL!$C$21, $C$9, 100%, $E$9)</f>
        <v>13.276999999999999</v>
      </c>
      <c r="K526" s="10">
        <f>CHOOSE(CONTROL!$C$42, 13.0623, 13.0623) * CHOOSE(CONTROL!$C$21, $C$9, 100%, $E$9)</f>
        <v>13.0623</v>
      </c>
      <c r="L526" s="10">
        <f>CHOOSE(CONTROL!$C$42, 14.1119, 14.1119) * CHOOSE(CONTROL!$C$21, $C$9, 100%, $E$9)</f>
        <v>14.1119</v>
      </c>
      <c r="M526" s="10">
        <f>CHOOSE(CONTROL!$C$42, 13.1569, 13.1569) * CHOOSE(CONTROL!$C$21, $C$9, 100%, $E$9)</f>
        <v>13.1569</v>
      </c>
      <c r="N526" s="10">
        <f>CHOOSE(CONTROL!$C$42, 13.1729, 13.1729) * CHOOSE(CONTROL!$C$21, $C$9, 100%, $E$9)</f>
        <v>13.1729</v>
      </c>
      <c r="O526" s="10">
        <f>CHOOSE(CONTROL!$C$42, 13.4022, 13.4022) * CHOOSE(CONTROL!$C$21, $C$9, 100%, $E$9)</f>
        <v>13.402200000000001</v>
      </c>
      <c r="P526" s="10">
        <f>CHOOSE(CONTROL!$C$42, 13.1844, 13.1844) * CHOOSE(CONTROL!$C$21, $C$9, 100%, $E$9)</f>
        <v>13.1844</v>
      </c>
      <c r="Q526" s="10">
        <f>CHOOSE(CONTROL!$C$42, 13.9975, 13.9975) * CHOOSE(CONTROL!$C$21, $C$9, 100%, $E$9)</f>
        <v>13.9975</v>
      </c>
      <c r="R526" s="10">
        <f>CHOOSE(CONTROL!$C$42, 14.6195, 14.6195) * CHOOSE(CONTROL!$C$21, $C$9, 100%, $E$9)</f>
        <v>14.6195</v>
      </c>
      <c r="S526" s="10">
        <f>CHOOSE(CONTROL!$C$42, 12.931, 12.931) * CHOOSE(CONTROL!$C$21, $C$9, 100%, $E$9)</f>
        <v>12.930999999999999</v>
      </c>
      <c r="T5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38">
        <f>(1000*CHOOSE(CONTROL!$C$42, 695, 695)*CHOOSE(CONTROL!$C$42, 0.5599, 0.5599)*CHOOSE(CONTROL!$C$42, 31, 31))/1000000</f>
        <v>12.063045499999998</v>
      </c>
      <c r="V526" s="38">
        <f>(1000*CHOOSE(CONTROL!$C$42, 500, 500)*CHOOSE(CONTROL!$C$42, 0.275, 0.275)*CHOOSE(CONTROL!$C$42, 31, 31))/1000000</f>
        <v>4.2625000000000002</v>
      </c>
      <c r="W526" s="38">
        <f>(1000*CHOOSE(CONTROL!$C$42, 0.1146, 0.1146)*CHOOSE(CONTROL!$C$42, 121.5, 121.5)*CHOOSE(CONTROL!$C$42, 31, 31))/1000000</f>
        <v>0.43164089999999994</v>
      </c>
      <c r="X526" s="38">
        <f>(31*0.1790888*245000/1000000)+(31*0.2374*100000/1000000)</f>
        <v>2.0961194359999999</v>
      </c>
      <c r="Y526" s="38">
        <f>(1000*600*CHOOSE(CONTROL!$C$42, 1.0585, 1.0585)*CHOOSE(CONTROL!$C$42, 31, 31))/1000000</f>
        <v>19.688099999999999</v>
      </c>
      <c r="Z526" s="38"/>
      <c r="AA526" s="10"/>
      <c r="AB526" s="39"/>
      <c r="AC526" s="33">
        <f>(B526*131.881+C526*277.167+D526*79.08+E526*125.872+F526*40+G526*185+H526*0+I526*100+J526*300)/(131.881+277.167+79.08+125.872+0+40+185+100+300)</f>
        <v>13.338520174656981</v>
      </c>
      <c r="AD526" s="27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13.2333654676259</v>
      </c>
    </row>
    <row r="527" spans="1:30" ht="15.75" x14ac:dyDescent="0.25">
      <c r="A527" s="13">
        <v>57314</v>
      </c>
      <c r="B527" s="10">
        <f>CHOOSE(CONTROL!$C$42, 13.6688, 13.6688) * CHOOSE(CONTROL!$C$21, $C$9, 100%, $E$9)</f>
        <v>13.668799999999999</v>
      </c>
      <c r="C527" s="10">
        <f>CHOOSE(CONTROL!$C$42, 13.6737, 13.6737) * CHOOSE(CONTROL!$C$21, $C$9, 100%, $E$9)</f>
        <v>13.6737</v>
      </c>
      <c r="D527" s="10">
        <f>CHOOSE(CONTROL!$C$42, 13.6982, 13.6982) * CHOOSE(CONTROL!$C$21, $C$9, 100%, $E$9)</f>
        <v>13.6982</v>
      </c>
      <c r="E527" s="10">
        <f>CHOOSE(CONTROL!$C$42, 13.732, 13.732) * CHOOSE(CONTROL!$C$21, $C$9, 100%, $E$9)</f>
        <v>13.731999999999999</v>
      </c>
      <c r="F527" s="10">
        <f>CHOOSE(CONTROL!$C$42, 13.6381, 13.6381)*CHOOSE(CONTROL!$C$21, $C$9, 100%, $E$9)</f>
        <v>13.6381</v>
      </c>
      <c r="G527" s="10">
        <f>CHOOSE(CONTROL!$C$42, 13.6545, 13.6545)*CHOOSE(CONTROL!$C$21, $C$9, 100%, $E$9)</f>
        <v>13.654500000000001</v>
      </c>
      <c r="H527" s="10">
        <f>CHOOSE(CONTROL!$C$42, 13.7212, 13.7212) * CHOOSE(CONTROL!$C$21, $C$9, 100%, $E$9)</f>
        <v>13.7212</v>
      </c>
      <c r="I527" s="10">
        <f>CHOOSE(CONTROL!$C$42, 13.6556, 13.6556)* CHOOSE(CONTROL!$C$21, $C$9, 100%, $E$9)</f>
        <v>13.6556</v>
      </c>
      <c r="J527" s="10">
        <f>CHOOSE(CONTROL!$C$42, 13.6311, 13.6311)* CHOOSE(CONTROL!$C$21, $C$9, 100%, $E$9)</f>
        <v>13.6311</v>
      </c>
      <c r="K527" s="10">
        <f>CHOOSE(CONTROL!$C$42, 13.4046, 13.4046) * CHOOSE(CONTROL!$C$21, $C$9, 100%, $E$9)</f>
        <v>13.4046</v>
      </c>
      <c r="L527" s="10">
        <f>CHOOSE(CONTROL!$C$42, 14.3082, 14.3082) * CHOOSE(CONTROL!$C$21, $C$9, 100%, $E$9)</f>
        <v>14.308199999999999</v>
      </c>
      <c r="M527" s="10">
        <f>CHOOSE(CONTROL!$C$42, 13.5074, 13.5074) * CHOOSE(CONTROL!$C$21, $C$9, 100%, $E$9)</f>
        <v>13.507400000000001</v>
      </c>
      <c r="N527" s="10">
        <f>CHOOSE(CONTROL!$C$42, 13.5236, 13.5236) * CHOOSE(CONTROL!$C$21, $C$9, 100%, $E$9)</f>
        <v>13.5236</v>
      </c>
      <c r="O527" s="10">
        <f>CHOOSE(CONTROL!$C$42, 13.5965, 13.5965) * CHOOSE(CONTROL!$C$21, $C$9, 100%, $E$9)</f>
        <v>13.596500000000001</v>
      </c>
      <c r="P527" s="10">
        <f>CHOOSE(CONTROL!$C$42, 13.5316, 13.5316) * CHOOSE(CONTROL!$C$21, $C$9, 100%, $E$9)</f>
        <v>13.531599999999999</v>
      </c>
      <c r="Q527" s="10">
        <f>CHOOSE(CONTROL!$C$42, 14.1918, 14.1918) * CHOOSE(CONTROL!$C$21, $C$9, 100%, $E$9)</f>
        <v>14.191800000000001</v>
      </c>
      <c r="R527" s="10">
        <f>CHOOSE(CONTROL!$C$42, 14.8143, 14.8143) * CHOOSE(CONTROL!$C$21, $C$9, 100%, $E$9)</f>
        <v>14.814299999999999</v>
      </c>
      <c r="S527" s="10">
        <f>CHOOSE(CONTROL!$C$42, 13.2716, 13.2716) * CHOOSE(CONTROL!$C$21, $C$9, 100%, $E$9)</f>
        <v>13.271599999999999</v>
      </c>
      <c r="T5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38">
        <f>(1000*CHOOSE(CONTROL!$C$42, 695, 695)*CHOOSE(CONTROL!$C$42, 0.5599, 0.5599)*CHOOSE(CONTROL!$C$42, 30, 30))/1000000</f>
        <v>11.673914999999997</v>
      </c>
      <c r="V527" s="38">
        <f>(1000*CHOOSE(CONTROL!$C$42, 500, 500)*CHOOSE(CONTROL!$C$42, 0.275, 0.275)*CHOOSE(CONTROL!$C$42, 30, 30))/1000000</f>
        <v>4.125</v>
      </c>
      <c r="W527" s="38">
        <f>(1000*CHOOSE(CONTROL!$C$42, 0.1146, 0.1146)*CHOOSE(CONTROL!$C$42, 121.5, 121.5)*CHOOSE(CONTROL!$C$42, 30, 30))/1000000</f>
        <v>0.417717</v>
      </c>
      <c r="X527" s="38">
        <f>(30*0.1790888*100000/1000000)+(30*0.2374*100000/1000000)</f>
        <v>1.2494664</v>
      </c>
      <c r="Y527" s="38">
        <f>(1000*600*CHOOSE(CONTROL!$C$42, 1.0585, 1.0585)*CHOOSE(CONTROL!$C$42, 30, 30))/1000000</f>
        <v>19.053000000000001</v>
      </c>
      <c r="Z527" s="38"/>
      <c r="AA527" s="10"/>
      <c r="AB527" s="39"/>
      <c r="AC527" s="33">
        <f>(B527*122.58+C527*297.941+D527*89.177+E527*40.302+F527*40+G527*160+H527*0+I527*100+J527*300)/(122.58+297.941+89.177+40.302+0+40+160+100+300)</f>
        <v>13.660524174869563</v>
      </c>
      <c r="AD527" s="27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13.552197841726619</v>
      </c>
    </row>
    <row r="528" spans="1:30" ht="15.75" x14ac:dyDescent="0.25">
      <c r="A528" s="13">
        <v>57345</v>
      </c>
      <c r="B528" s="10">
        <f>CHOOSE(CONTROL!$C$42, 14.6005, 14.6005) * CHOOSE(CONTROL!$C$21, $C$9, 100%, $E$9)</f>
        <v>14.6005</v>
      </c>
      <c r="C528" s="10">
        <f>CHOOSE(CONTROL!$C$42, 14.6055, 14.6055) * CHOOSE(CONTROL!$C$21, $C$9, 100%, $E$9)</f>
        <v>14.605499999999999</v>
      </c>
      <c r="D528" s="10">
        <f>CHOOSE(CONTROL!$C$42, 14.6299, 14.6299) * CHOOSE(CONTROL!$C$21, $C$9, 100%, $E$9)</f>
        <v>14.629899999999999</v>
      </c>
      <c r="E528" s="10">
        <f>CHOOSE(CONTROL!$C$42, 14.6637, 14.6637) * CHOOSE(CONTROL!$C$21, $C$9, 100%, $E$9)</f>
        <v>14.6637</v>
      </c>
      <c r="F528" s="10">
        <f>CHOOSE(CONTROL!$C$42, 14.5721, 14.5721)*CHOOSE(CONTROL!$C$21, $C$9, 100%, $E$9)</f>
        <v>14.572100000000001</v>
      </c>
      <c r="G528" s="10">
        <f>CHOOSE(CONTROL!$C$42, 14.5892, 14.5892)*CHOOSE(CONTROL!$C$21, $C$9, 100%, $E$9)</f>
        <v>14.5892</v>
      </c>
      <c r="H528" s="10">
        <f>CHOOSE(CONTROL!$C$42, 14.6529, 14.6529) * CHOOSE(CONTROL!$C$21, $C$9, 100%, $E$9)</f>
        <v>14.652900000000001</v>
      </c>
      <c r="I528" s="10">
        <f>CHOOSE(CONTROL!$C$42, 14.5873, 14.5873)* CHOOSE(CONTROL!$C$21, $C$9, 100%, $E$9)</f>
        <v>14.587300000000001</v>
      </c>
      <c r="J528" s="10">
        <f>CHOOSE(CONTROL!$C$42, 14.5651, 14.5651)* CHOOSE(CONTROL!$C$21, $C$9, 100%, $E$9)</f>
        <v>14.565099999999999</v>
      </c>
      <c r="K528" s="10">
        <f>CHOOSE(CONTROL!$C$42, 14.3148, 14.3148) * CHOOSE(CONTROL!$C$21, $C$9, 100%, $E$9)</f>
        <v>14.3148</v>
      </c>
      <c r="L528" s="10">
        <f>CHOOSE(CONTROL!$C$42, 15.2399, 15.2399) * CHOOSE(CONTROL!$C$21, $C$9, 100%, $E$9)</f>
        <v>15.2399</v>
      </c>
      <c r="M528" s="10">
        <f>CHOOSE(CONTROL!$C$42, 14.432, 14.432) * CHOOSE(CONTROL!$C$21, $C$9, 100%, $E$9)</f>
        <v>14.432</v>
      </c>
      <c r="N528" s="10">
        <f>CHOOSE(CONTROL!$C$42, 14.4488, 14.4488) * CHOOSE(CONTROL!$C$21, $C$9, 100%, $E$9)</f>
        <v>14.4488</v>
      </c>
      <c r="O528" s="10">
        <f>CHOOSE(CONTROL!$C$42, 14.5189, 14.5189) * CHOOSE(CONTROL!$C$21, $C$9, 100%, $E$9)</f>
        <v>14.5189</v>
      </c>
      <c r="P528" s="10">
        <f>CHOOSE(CONTROL!$C$42, 14.4539, 14.4539) * CHOOSE(CONTROL!$C$21, $C$9, 100%, $E$9)</f>
        <v>14.453900000000001</v>
      </c>
      <c r="Q528" s="10">
        <f>CHOOSE(CONTROL!$C$42, 15.1142, 15.1142) * CHOOSE(CONTROL!$C$21, $C$9, 100%, $E$9)</f>
        <v>15.1142</v>
      </c>
      <c r="R528" s="10">
        <f>CHOOSE(CONTROL!$C$42, 15.7389, 15.7389) * CHOOSE(CONTROL!$C$21, $C$9, 100%, $E$9)</f>
        <v>15.738899999999999</v>
      </c>
      <c r="S528" s="10">
        <f>CHOOSE(CONTROL!$C$42, 14.1764, 14.1764) * CHOOSE(CONTROL!$C$21, $C$9, 100%, $E$9)</f>
        <v>14.176399999999999</v>
      </c>
      <c r="T5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38">
        <f>(1000*CHOOSE(CONTROL!$C$42, 695, 695)*CHOOSE(CONTROL!$C$42, 0.5599, 0.5599)*CHOOSE(CONTROL!$C$42, 31, 31))/1000000</f>
        <v>12.063045499999998</v>
      </c>
      <c r="V528" s="38">
        <f>(1000*CHOOSE(CONTROL!$C$42, 500, 500)*CHOOSE(CONTROL!$C$42, 0.275, 0.275)*CHOOSE(CONTROL!$C$42, 31, 31))/1000000</f>
        <v>4.2625000000000002</v>
      </c>
      <c r="W528" s="38">
        <f>(1000*CHOOSE(CONTROL!$C$42, 0.1146, 0.1146)*CHOOSE(CONTROL!$C$42, 121.5, 121.5)*CHOOSE(CONTROL!$C$42, 31, 31))/1000000</f>
        <v>0.43164089999999994</v>
      </c>
      <c r="X528" s="38">
        <f>(31*0.1790888*100000/1000000)+(31*0.2374*100000/1000000)</f>
        <v>1.2911152800000001</v>
      </c>
      <c r="Y528" s="38">
        <f>(1000*600*CHOOSE(CONTROL!$C$42, 1.0585, 1.0585)*CHOOSE(CONTROL!$C$42, 31, 31))/1000000</f>
        <v>19.688099999999999</v>
      </c>
      <c r="Z528" s="38"/>
      <c r="AA528" s="10"/>
      <c r="AB528" s="39"/>
      <c r="AC528" s="33">
        <f>(B528*122.58+C528*297.941+D528*89.177+E528*40.302+F528*40+G528*160+H528*0+I528*100+J528*300)/(122.58+297.941+89.177+40.302+0+40+160+100+300)</f>
        <v>14.593347474086954</v>
      </c>
      <c r="AD528" s="27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14.475504316546763</v>
      </c>
    </row>
    <row r="529" spans="1:30" ht="15.75" x14ac:dyDescent="0.25">
      <c r="A529" s="13">
        <v>57376</v>
      </c>
      <c r="B529" s="10">
        <f>CHOOSE(CONTROL!$C$42, 15.5858, 15.5858) * CHOOSE(CONTROL!$C$21, $C$9, 100%, $E$9)</f>
        <v>15.585800000000001</v>
      </c>
      <c r="C529" s="10">
        <f>CHOOSE(CONTROL!$C$42, 15.5907, 15.5907) * CHOOSE(CONTROL!$C$21, $C$9, 100%, $E$9)</f>
        <v>15.5907</v>
      </c>
      <c r="D529" s="10">
        <f>CHOOSE(CONTROL!$C$42, 15.6152, 15.6152) * CHOOSE(CONTROL!$C$21, $C$9, 100%, $E$9)</f>
        <v>15.6152</v>
      </c>
      <c r="E529" s="10">
        <f>CHOOSE(CONTROL!$C$42, 15.649, 15.649) * CHOOSE(CONTROL!$C$21, $C$9, 100%, $E$9)</f>
        <v>15.648999999999999</v>
      </c>
      <c r="F529" s="10">
        <f>CHOOSE(CONTROL!$C$42, 15.5687, 15.5687)*CHOOSE(CONTROL!$C$21, $C$9, 100%, $E$9)</f>
        <v>15.5687</v>
      </c>
      <c r="G529" s="10">
        <f>CHOOSE(CONTROL!$C$42, 15.5874, 15.5874)*CHOOSE(CONTROL!$C$21, $C$9, 100%, $E$9)</f>
        <v>15.587400000000001</v>
      </c>
      <c r="H529" s="10">
        <f>CHOOSE(CONTROL!$C$42, 15.6381, 15.6381) * CHOOSE(CONTROL!$C$21, $C$9, 100%, $E$9)</f>
        <v>15.6381</v>
      </c>
      <c r="I529" s="10">
        <f>CHOOSE(CONTROL!$C$42, 15.5803, 15.5803)* CHOOSE(CONTROL!$C$21, $C$9, 100%, $E$9)</f>
        <v>15.580299999999999</v>
      </c>
      <c r="J529" s="10">
        <f>CHOOSE(CONTROL!$C$42, 15.5617, 15.5617)* CHOOSE(CONTROL!$C$21, $C$9, 100%, $E$9)</f>
        <v>15.5617</v>
      </c>
      <c r="K529" s="10">
        <f>CHOOSE(CONTROL!$C$42, 15.2931, 15.2931) * CHOOSE(CONTROL!$C$21, $C$9, 100%, $E$9)</f>
        <v>15.293100000000001</v>
      </c>
      <c r="L529" s="10">
        <f>CHOOSE(CONTROL!$C$42, 16.2251, 16.2251) * CHOOSE(CONTROL!$C$21, $C$9, 100%, $E$9)</f>
        <v>16.225100000000001</v>
      </c>
      <c r="M529" s="10">
        <f>CHOOSE(CONTROL!$C$42, 15.4185, 15.4185) * CHOOSE(CONTROL!$C$21, $C$9, 100%, $E$9)</f>
        <v>15.4185</v>
      </c>
      <c r="N529" s="10">
        <f>CHOOSE(CONTROL!$C$42, 15.437, 15.437) * CHOOSE(CONTROL!$C$21, $C$9, 100%, $E$9)</f>
        <v>15.436999999999999</v>
      </c>
      <c r="O529" s="10">
        <f>CHOOSE(CONTROL!$C$42, 15.4942, 15.4942) * CHOOSE(CONTROL!$C$21, $C$9, 100%, $E$9)</f>
        <v>15.494199999999999</v>
      </c>
      <c r="P529" s="10">
        <f>CHOOSE(CONTROL!$C$42, 15.4369, 15.4369) * CHOOSE(CONTROL!$C$21, $C$9, 100%, $E$9)</f>
        <v>15.4369</v>
      </c>
      <c r="Q529" s="10">
        <f>CHOOSE(CONTROL!$C$42, 16.0895, 16.0895) * CHOOSE(CONTROL!$C$21, $C$9, 100%, $E$9)</f>
        <v>16.089500000000001</v>
      </c>
      <c r="R529" s="10">
        <f>CHOOSE(CONTROL!$C$42, 16.7167, 16.7167) * CHOOSE(CONTROL!$C$21, $C$9, 100%, $E$9)</f>
        <v>16.716699999999999</v>
      </c>
      <c r="S529" s="10">
        <f>CHOOSE(CONTROL!$C$42, 15.1332, 15.1332) * CHOOSE(CONTROL!$C$21, $C$9, 100%, $E$9)</f>
        <v>15.1332</v>
      </c>
      <c r="T5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38">
        <f>(1000*CHOOSE(CONTROL!$C$42, 695, 695)*CHOOSE(CONTROL!$C$42, 0.5599, 0.5599)*CHOOSE(CONTROL!$C$42, 31, 31))/1000000</f>
        <v>12.063045499999998</v>
      </c>
      <c r="V529" s="38">
        <f>(1000*CHOOSE(CONTROL!$C$42, 500, 500)*CHOOSE(CONTROL!$C$42, 0.275, 0.275)*CHOOSE(CONTROL!$C$42, 31, 31))/1000000</f>
        <v>4.2625000000000002</v>
      </c>
      <c r="W529" s="38">
        <f>(1000*CHOOSE(CONTROL!$C$42, 0.1146, 0.1146)*CHOOSE(CONTROL!$C$42, 121.5, 121.5)*CHOOSE(CONTROL!$C$42, 31, 31))/1000000</f>
        <v>0.43164089999999994</v>
      </c>
      <c r="X529" s="38">
        <f>(31*0.1790888*100000/1000000)+(31*0.2374*100000/1000000)</f>
        <v>1.2911152800000001</v>
      </c>
      <c r="Y529" s="38">
        <f>(1000*600*CHOOSE(CONTROL!$C$42, 1.0585, 1.0585)*CHOOSE(CONTROL!$C$42, 31, 31))/1000000</f>
        <v>19.688099999999999</v>
      </c>
      <c r="Z529" s="38"/>
      <c r="AA529" s="10"/>
      <c r="AB529" s="39"/>
      <c r="AC529" s="33">
        <f>(B529*122.58+C529*297.941+D529*89.177+E529*40.302+F529*40+G529*160+H529*0+I529*100+J529*300)/(122.58+297.941+89.177+40.302+0+40+160+100+300)</f>
        <v>15.584426783565217</v>
      </c>
      <c r="AD529" s="27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15.456522302158275</v>
      </c>
    </row>
    <row r="530" spans="1:30" ht="15.75" x14ac:dyDescent="0.25">
      <c r="A530" s="13">
        <v>57404</v>
      </c>
      <c r="B530" s="10">
        <f>CHOOSE(CONTROL!$C$42, 15.8632, 15.8632) * CHOOSE(CONTROL!$C$21, $C$9, 100%, $E$9)</f>
        <v>15.863200000000001</v>
      </c>
      <c r="C530" s="10">
        <f>CHOOSE(CONTROL!$C$42, 15.8681, 15.8681) * CHOOSE(CONTROL!$C$21, $C$9, 100%, $E$9)</f>
        <v>15.8681</v>
      </c>
      <c r="D530" s="10">
        <f>CHOOSE(CONTROL!$C$42, 15.8926, 15.8926) * CHOOSE(CONTROL!$C$21, $C$9, 100%, $E$9)</f>
        <v>15.8926</v>
      </c>
      <c r="E530" s="10">
        <f>CHOOSE(CONTROL!$C$42, 15.9263, 15.9263) * CHOOSE(CONTROL!$C$21, $C$9, 100%, $E$9)</f>
        <v>15.926299999999999</v>
      </c>
      <c r="F530" s="10">
        <f>CHOOSE(CONTROL!$C$42, 15.8454, 15.8454)*CHOOSE(CONTROL!$C$21, $C$9, 100%, $E$9)</f>
        <v>15.8454</v>
      </c>
      <c r="G530" s="10">
        <f>CHOOSE(CONTROL!$C$42, 15.8639, 15.8639)*CHOOSE(CONTROL!$C$21, $C$9, 100%, $E$9)</f>
        <v>15.863899999999999</v>
      </c>
      <c r="H530" s="10">
        <f>CHOOSE(CONTROL!$C$42, 15.9155, 15.9155) * CHOOSE(CONTROL!$C$21, $C$9, 100%, $E$9)</f>
        <v>15.9155</v>
      </c>
      <c r="I530" s="10">
        <f>CHOOSE(CONTROL!$C$42, 15.8577, 15.8577)* CHOOSE(CONTROL!$C$21, $C$9, 100%, $E$9)</f>
        <v>15.857699999999999</v>
      </c>
      <c r="J530" s="10">
        <f>CHOOSE(CONTROL!$C$42, 15.8384, 15.8384)* CHOOSE(CONTROL!$C$21, $C$9, 100%, $E$9)</f>
        <v>15.8384</v>
      </c>
      <c r="K530" s="10">
        <f>CHOOSE(CONTROL!$C$42, 15.5611, 15.5611) * CHOOSE(CONTROL!$C$21, $C$9, 100%, $E$9)</f>
        <v>15.5611</v>
      </c>
      <c r="L530" s="10">
        <f>CHOOSE(CONTROL!$C$42, 16.5025, 16.5025) * CHOOSE(CONTROL!$C$21, $C$9, 100%, $E$9)</f>
        <v>16.502500000000001</v>
      </c>
      <c r="M530" s="10">
        <f>CHOOSE(CONTROL!$C$42, 15.6924, 15.6924) * CHOOSE(CONTROL!$C$21, $C$9, 100%, $E$9)</f>
        <v>15.692399999999999</v>
      </c>
      <c r="N530" s="10">
        <f>CHOOSE(CONTROL!$C$42, 15.7107, 15.7107) * CHOOSE(CONTROL!$C$21, $C$9, 100%, $E$9)</f>
        <v>15.710699999999999</v>
      </c>
      <c r="O530" s="10">
        <f>CHOOSE(CONTROL!$C$42, 15.7688, 15.7688) * CHOOSE(CONTROL!$C$21, $C$9, 100%, $E$9)</f>
        <v>15.768800000000001</v>
      </c>
      <c r="P530" s="10">
        <f>CHOOSE(CONTROL!$C$42, 15.7115, 15.7115) * CHOOSE(CONTROL!$C$21, $C$9, 100%, $E$9)</f>
        <v>15.711499999999999</v>
      </c>
      <c r="Q530" s="10">
        <f>CHOOSE(CONTROL!$C$42, 16.3641, 16.3641) * CHOOSE(CONTROL!$C$21, $C$9, 100%, $E$9)</f>
        <v>16.364100000000001</v>
      </c>
      <c r="R530" s="10">
        <f>CHOOSE(CONTROL!$C$42, 16.992, 16.992) * CHOOSE(CONTROL!$C$21, $C$9, 100%, $E$9)</f>
        <v>16.992000000000001</v>
      </c>
      <c r="S530" s="10">
        <f>CHOOSE(CONTROL!$C$42, 15.4026, 15.4026) * CHOOSE(CONTROL!$C$21, $C$9, 100%, $E$9)</f>
        <v>15.4026</v>
      </c>
      <c r="T5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30" s="38">
        <f>(1000*CHOOSE(CONTROL!$C$42, 695, 695)*CHOOSE(CONTROL!$C$42, 0.5599, 0.5599)*CHOOSE(CONTROL!$C$42, 28, 28))/1000000</f>
        <v>10.895653999999999</v>
      </c>
      <c r="V530" s="38">
        <f>(1000*CHOOSE(CONTROL!$C$42, 500, 500)*CHOOSE(CONTROL!$C$42, 0.275, 0.275)*CHOOSE(CONTROL!$C$42, 28, 28))/1000000</f>
        <v>3.85</v>
      </c>
      <c r="W530" s="38">
        <f>(1000*CHOOSE(CONTROL!$C$42, 0.1146, 0.1146)*CHOOSE(CONTROL!$C$42, 121.5, 121.5)*CHOOSE(CONTROL!$C$42, 28, 28))/1000000</f>
        <v>0.38986920000000003</v>
      </c>
      <c r="X530" s="38">
        <f>(28*0.1790888*100000/1000000)+(28*0.2374*100000/1000000)</f>
        <v>1.16616864</v>
      </c>
      <c r="Y530" s="38">
        <f>(1000*600*CHOOSE(CONTROL!$C$42, 1.0585, 1.0585)*CHOOSE(CONTROL!$C$42, 28, 28))/1000000</f>
        <v>17.782800000000002</v>
      </c>
      <c r="Z530" s="38"/>
      <c r="AA530" s="10"/>
      <c r="AB530" s="39"/>
      <c r="AC530" s="33">
        <f>(B530*122.58+C530*297.941+D530*89.177+E530*40.302+F530*40+G530*160+H530*0+I530*100+J530*300)/(122.58+297.941+89.177+40.302+0+40+160+100+300)</f>
        <v>15.861491105130437</v>
      </c>
      <c r="AD530" s="27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15.730828776978418</v>
      </c>
    </row>
    <row r="531" spans="1:30" ht="15.75" x14ac:dyDescent="0.25">
      <c r="A531" s="13">
        <v>57435</v>
      </c>
      <c r="B531" s="10">
        <f>CHOOSE(CONTROL!$C$42, 15.4129, 15.4129) * CHOOSE(CONTROL!$C$21, $C$9, 100%, $E$9)</f>
        <v>15.4129</v>
      </c>
      <c r="C531" s="10">
        <f>CHOOSE(CONTROL!$C$42, 15.4178, 15.4178) * CHOOSE(CONTROL!$C$21, $C$9, 100%, $E$9)</f>
        <v>15.4178</v>
      </c>
      <c r="D531" s="10">
        <f>CHOOSE(CONTROL!$C$42, 15.4423, 15.4423) * CHOOSE(CONTROL!$C$21, $C$9, 100%, $E$9)</f>
        <v>15.442299999999999</v>
      </c>
      <c r="E531" s="10">
        <f>CHOOSE(CONTROL!$C$42, 15.4761, 15.4761) * CHOOSE(CONTROL!$C$21, $C$9, 100%, $E$9)</f>
        <v>15.476100000000001</v>
      </c>
      <c r="F531" s="10">
        <f>CHOOSE(CONTROL!$C$42, 15.3936, 15.3936)*CHOOSE(CONTROL!$C$21, $C$9, 100%, $E$9)</f>
        <v>15.393599999999999</v>
      </c>
      <c r="G531" s="10">
        <f>CHOOSE(CONTROL!$C$42, 15.4117, 15.4117)*CHOOSE(CONTROL!$C$21, $C$9, 100%, $E$9)</f>
        <v>15.4117</v>
      </c>
      <c r="H531" s="10">
        <f>CHOOSE(CONTROL!$C$42, 15.4653, 15.4653) * CHOOSE(CONTROL!$C$21, $C$9, 100%, $E$9)</f>
        <v>15.465299999999999</v>
      </c>
      <c r="I531" s="10">
        <f>CHOOSE(CONTROL!$C$42, 15.4074, 15.4074)* CHOOSE(CONTROL!$C$21, $C$9, 100%, $E$9)</f>
        <v>15.407400000000001</v>
      </c>
      <c r="J531" s="10">
        <f>CHOOSE(CONTROL!$C$42, 15.3866, 15.3866)* CHOOSE(CONTROL!$C$21, $C$9, 100%, $E$9)</f>
        <v>15.3866</v>
      </c>
      <c r="K531" s="10">
        <f>CHOOSE(CONTROL!$C$42, 15.1203, 15.1203) * CHOOSE(CONTROL!$C$21, $C$9, 100%, $E$9)</f>
        <v>15.1203</v>
      </c>
      <c r="L531" s="10">
        <f>CHOOSE(CONTROL!$C$42, 16.0523, 16.0523) * CHOOSE(CONTROL!$C$21, $C$9, 100%, $E$9)</f>
        <v>16.052299999999999</v>
      </c>
      <c r="M531" s="10">
        <f>CHOOSE(CONTROL!$C$42, 15.2452, 15.2452) * CHOOSE(CONTROL!$C$21, $C$9, 100%, $E$9)</f>
        <v>15.245200000000001</v>
      </c>
      <c r="N531" s="10">
        <f>CHOOSE(CONTROL!$C$42, 15.263, 15.263) * CHOOSE(CONTROL!$C$21, $C$9, 100%, $E$9)</f>
        <v>15.263</v>
      </c>
      <c r="O531" s="10">
        <f>CHOOSE(CONTROL!$C$42, 15.323, 15.323) * CHOOSE(CONTROL!$C$21, $C$9, 100%, $E$9)</f>
        <v>15.323</v>
      </c>
      <c r="P531" s="10">
        <f>CHOOSE(CONTROL!$C$42, 15.2657, 15.2657) * CHOOSE(CONTROL!$C$21, $C$9, 100%, $E$9)</f>
        <v>15.265700000000001</v>
      </c>
      <c r="Q531" s="10">
        <f>CHOOSE(CONTROL!$C$42, 15.9183, 15.9183) * CHOOSE(CONTROL!$C$21, $C$9, 100%, $E$9)</f>
        <v>15.9183</v>
      </c>
      <c r="R531" s="10">
        <f>CHOOSE(CONTROL!$C$42, 16.5451, 16.5451) * CHOOSE(CONTROL!$C$21, $C$9, 100%, $E$9)</f>
        <v>16.545100000000001</v>
      </c>
      <c r="S531" s="10">
        <f>CHOOSE(CONTROL!$C$42, 14.9653, 14.9653) * CHOOSE(CONTROL!$C$21, $C$9, 100%, $E$9)</f>
        <v>14.965299999999999</v>
      </c>
      <c r="T5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38">
        <f>(1000*CHOOSE(CONTROL!$C$42, 695, 695)*CHOOSE(CONTROL!$C$42, 0.5599, 0.5599)*CHOOSE(CONTROL!$C$42, 31, 31))/1000000</f>
        <v>12.063045499999998</v>
      </c>
      <c r="V531" s="38">
        <f>(1000*CHOOSE(CONTROL!$C$42, 500, 500)*CHOOSE(CONTROL!$C$42, 0.275, 0.275)*CHOOSE(CONTROL!$C$42, 31, 31))/1000000</f>
        <v>4.2625000000000002</v>
      </c>
      <c r="W531" s="38">
        <f>(1000*CHOOSE(CONTROL!$C$42, 0.1146, 0.1146)*CHOOSE(CONTROL!$C$42, 121.5, 121.5)*CHOOSE(CONTROL!$C$42, 31, 31))/1000000</f>
        <v>0.43164089999999994</v>
      </c>
      <c r="X531" s="38">
        <f>(31*0.1790888*100000/1000000)+(31*0.2374*100000/1000000)</f>
        <v>1.2911152800000001</v>
      </c>
      <c r="Y531" s="38">
        <f>(1000*600*CHOOSE(CONTROL!$C$42, 1.0585, 1.0585)*CHOOSE(CONTROL!$C$42, 31, 31))/1000000</f>
        <v>19.688099999999999</v>
      </c>
      <c r="Z531" s="38"/>
      <c r="AA531" s="10"/>
      <c r="AB531" s="39"/>
      <c r="AC531" s="33">
        <f>(B531*122.58+C531*297.941+D531*89.177+E531*40.302+F531*40+G531*160+H531*0+I531*100+J531*300)/(122.58+297.941+89.177+40.302+0+40+160+100+300)</f>
        <v>15.410486783565215</v>
      </c>
      <c r="AD531" s="27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15.284435971223022</v>
      </c>
    </row>
    <row r="532" spans="1:30" ht="15.75" x14ac:dyDescent="0.25">
      <c r="A532" s="13">
        <v>57465</v>
      </c>
      <c r="B532" s="10">
        <f>CHOOSE(CONTROL!$C$42, 15.3675, 15.3675) * CHOOSE(CONTROL!$C$21, $C$9, 100%, $E$9)</f>
        <v>15.3675</v>
      </c>
      <c r="C532" s="10">
        <f>CHOOSE(CONTROL!$C$42, 15.3719, 15.3719) * CHOOSE(CONTROL!$C$21, $C$9, 100%, $E$9)</f>
        <v>15.3719</v>
      </c>
      <c r="D532" s="10">
        <f>CHOOSE(CONTROL!$C$42, 15.552, 15.552) * CHOOSE(CONTROL!$C$21, $C$9, 100%, $E$9)</f>
        <v>15.552</v>
      </c>
      <c r="E532" s="10">
        <f>CHOOSE(CONTROL!$C$42, 15.5838, 15.5838) * CHOOSE(CONTROL!$C$21, $C$9, 100%, $E$9)</f>
        <v>15.5838</v>
      </c>
      <c r="F532" s="10">
        <f>CHOOSE(CONTROL!$C$42, 15.3328, 15.3328)*CHOOSE(CONTROL!$C$21, $C$9, 100%, $E$9)</f>
        <v>15.332800000000001</v>
      </c>
      <c r="G532" s="10">
        <f>CHOOSE(CONTROL!$C$42, 15.3491, 15.3491)*CHOOSE(CONTROL!$C$21, $C$9, 100%, $E$9)</f>
        <v>15.3491</v>
      </c>
      <c r="H532" s="10">
        <f>CHOOSE(CONTROL!$C$42, 15.5736, 15.5736) * CHOOSE(CONTROL!$C$21, $C$9, 100%, $E$9)</f>
        <v>15.573600000000001</v>
      </c>
      <c r="I532" s="10">
        <f>CHOOSE(CONTROL!$C$42, 15.3535, 15.3535)* CHOOSE(CONTROL!$C$21, $C$9, 100%, $E$9)</f>
        <v>15.3535</v>
      </c>
      <c r="J532" s="10">
        <f>CHOOSE(CONTROL!$C$42, 15.3258, 15.3258)* CHOOSE(CONTROL!$C$21, $C$9, 100%, $E$9)</f>
        <v>15.325799999999999</v>
      </c>
      <c r="K532" s="10">
        <f>CHOOSE(CONTROL!$C$42, 15.0529, 15.0529) * CHOOSE(CONTROL!$C$21, $C$9, 100%, $E$9)</f>
        <v>15.052899999999999</v>
      </c>
      <c r="L532" s="10">
        <f>CHOOSE(CONTROL!$C$42, 16.1606, 16.1606) * CHOOSE(CONTROL!$C$21, $C$9, 100%, $E$9)</f>
        <v>16.160599999999999</v>
      </c>
      <c r="M532" s="10">
        <f>CHOOSE(CONTROL!$C$42, 15.185, 15.185) * CHOOSE(CONTROL!$C$21, $C$9, 100%, $E$9)</f>
        <v>15.185</v>
      </c>
      <c r="N532" s="10">
        <f>CHOOSE(CONTROL!$C$42, 15.2011, 15.2011) * CHOOSE(CONTROL!$C$21, $C$9, 100%, $E$9)</f>
        <v>15.2011</v>
      </c>
      <c r="O532" s="10">
        <f>CHOOSE(CONTROL!$C$42, 15.4303, 15.4303) * CHOOSE(CONTROL!$C$21, $C$9, 100%, $E$9)</f>
        <v>15.430300000000001</v>
      </c>
      <c r="P532" s="10">
        <f>CHOOSE(CONTROL!$C$42, 15.2124, 15.2124) * CHOOSE(CONTROL!$C$21, $C$9, 100%, $E$9)</f>
        <v>15.212400000000001</v>
      </c>
      <c r="Q532" s="10">
        <f>CHOOSE(CONTROL!$C$42, 16.0256, 16.0256) * CHOOSE(CONTROL!$C$21, $C$9, 100%, $E$9)</f>
        <v>16.025600000000001</v>
      </c>
      <c r="R532" s="10">
        <f>CHOOSE(CONTROL!$C$42, 16.6526, 16.6526) * CHOOSE(CONTROL!$C$21, $C$9, 100%, $E$9)</f>
        <v>16.6526</v>
      </c>
      <c r="S532" s="10">
        <f>CHOOSE(CONTROL!$C$42, 14.9205, 14.9205) * CHOOSE(CONTROL!$C$21, $C$9, 100%, $E$9)</f>
        <v>14.920500000000001</v>
      </c>
      <c r="T5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38">
        <f>(1000*CHOOSE(CONTROL!$C$42, 695, 695)*CHOOSE(CONTROL!$C$42, 0.5599, 0.5599)*CHOOSE(CONTROL!$C$42, 30, 30))/1000000</f>
        <v>11.673914999999997</v>
      </c>
      <c r="V532" s="38">
        <f>(1000*CHOOSE(CONTROL!$C$42, 500, 500)*CHOOSE(CONTROL!$C$42, 0.275, 0.275)*CHOOSE(CONTROL!$C$42, 30, 30))/1000000</f>
        <v>4.125</v>
      </c>
      <c r="W532" s="38">
        <f>(1000*CHOOSE(CONTROL!$C$42, 0.1146, 0.1146)*CHOOSE(CONTROL!$C$42, 121.5, 121.5)*CHOOSE(CONTROL!$C$42, 30, 30))/1000000</f>
        <v>0.417717</v>
      </c>
      <c r="X532" s="38">
        <f>(30*0.1790888*245000/1000000)+(30*0.2374*100000/1000000)</f>
        <v>2.0285026799999999</v>
      </c>
      <c r="Y532" s="38">
        <f>(1000*600*CHOOSE(CONTROL!$C$42, 1.0585, 1.0585)*CHOOSE(CONTROL!$C$42, 30, 30))/1000000</f>
        <v>19.053000000000001</v>
      </c>
      <c r="Z532" s="38"/>
      <c r="AA532" s="10"/>
      <c r="AB532" s="39"/>
      <c r="AC532" s="33">
        <f>(B532*141.293+C532*267.993+D532*115.016+E532*89.698+F532*40+G532*185+H532*0+I532*100+J532*300)/(141.293+267.993+115.016+89.698+0+40+185+100+300)</f>
        <v>15.386143501694917</v>
      </c>
      <c r="AD532" s="27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15.261474100719425</v>
      </c>
    </row>
    <row r="533" spans="1:30" ht="15.75" x14ac:dyDescent="0.25">
      <c r="A533" s="13">
        <v>57496</v>
      </c>
      <c r="B533" s="10">
        <f>CHOOSE(CONTROL!$C$42, 15.5049, 15.5049) * CHOOSE(CONTROL!$C$21, $C$9, 100%, $E$9)</f>
        <v>15.504899999999999</v>
      </c>
      <c r="C533" s="10">
        <f>CHOOSE(CONTROL!$C$42, 15.5128, 15.5128) * CHOOSE(CONTROL!$C$21, $C$9, 100%, $E$9)</f>
        <v>15.5128</v>
      </c>
      <c r="D533" s="10">
        <f>CHOOSE(CONTROL!$C$42, 15.6898, 15.6898) * CHOOSE(CONTROL!$C$21, $C$9, 100%, $E$9)</f>
        <v>15.6898</v>
      </c>
      <c r="E533" s="10">
        <f>CHOOSE(CONTROL!$C$42, 15.7209, 15.7209) * CHOOSE(CONTROL!$C$21, $C$9, 100%, $E$9)</f>
        <v>15.7209</v>
      </c>
      <c r="F533" s="10">
        <f>CHOOSE(CONTROL!$C$42, 15.4683, 15.4683)*CHOOSE(CONTROL!$C$21, $C$9, 100%, $E$9)</f>
        <v>15.468299999999999</v>
      </c>
      <c r="G533" s="10">
        <f>CHOOSE(CONTROL!$C$42, 15.4848, 15.4848)*CHOOSE(CONTROL!$C$21, $C$9, 100%, $E$9)</f>
        <v>15.4848</v>
      </c>
      <c r="H533" s="10">
        <f>CHOOSE(CONTROL!$C$42, 15.7096, 15.7096) * CHOOSE(CONTROL!$C$21, $C$9, 100%, $E$9)</f>
        <v>15.7096</v>
      </c>
      <c r="I533" s="10">
        <f>CHOOSE(CONTROL!$C$42, 15.4895, 15.4895)* CHOOSE(CONTROL!$C$21, $C$9, 100%, $E$9)</f>
        <v>15.4895</v>
      </c>
      <c r="J533" s="10">
        <f>CHOOSE(CONTROL!$C$42, 15.4613, 15.4613)* CHOOSE(CONTROL!$C$21, $C$9, 100%, $E$9)</f>
        <v>15.4613</v>
      </c>
      <c r="K533" s="10">
        <f>CHOOSE(CONTROL!$C$42, 15.1838, 15.1838) * CHOOSE(CONTROL!$C$21, $C$9, 100%, $E$9)</f>
        <v>15.1838</v>
      </c>
      <c r="L533" s="10">
        <f>CHOOSE(CONTROL!$C$42, 16.2966, 16.2966) * CHOOSE(CONTROL!$C$21, $C$9, 100%, $E$9)</f>
        <v>16.296600000000002</v>
      </c>
      <c r="M533" s="10">
        <f>CHOOSE(CONTROL!$C$42, 15.3191, 15.3191) * CHOOSE(CONTROL!$C$21, $C$9, 100%, $E$9)</f>
        <v>15.319100000000001</v>
      </c>
      <c r="N533" s="10">
        <f>CHOOSE(CONTROL!$C$42, 15.3354, 15.3354) * CHOOSE(CONTROL!$C$21, $C$9, 100%, $E$9)</f>
        <v>15.3354</v>
      </c>
      <c r="O533" s="10">
        <f>CHOOSE(CONTROL!$C$42, 15.5649, 15.5649) * CHOOSE(CONTROL!$C$21, $C$9, 100%, $E$9)</f>
        <v>15.5649</v>
      </c>
      <c r="P533" s="10">
        <f>CHOOSE(CONTROL!$C$42, 15.347, 15.347) * CHOOSE(CONTROL!$C$21, $C$9, 100%, $E$9)</f>
        <v>15.347</v>
      </c>
      <c r="Q533" s="10">
        <f>CHOOSE(CONTROL!$C$42, 16.1602, 16.1602) * CHOOSE(CONTROL!$C$21, $C$9, 100%, $E$9)</f>
        <v>16.1602</v>
      </c>
      <c r="R533" s="10">
        <f>CHOOSE(CONTROL!$C$42, 16.7876, 16.7876) * CHOOSE(CONTROL!$C$21, $C$9, 100%, $E$9)</f>
        <v>16.787600000000001</v>
      </c>
      <c r="S533" s="10">
        <f>CHOOSE(CONTROL!$C$42, 15.0526, 15.0526) * CHOOSE(CONTROL!$C$21, $C$9, 100%, $E$9)</f>
        <v>15.0526</v>
      </c>
      <c r="T5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38">
        <f>(1000*CHOOSE(CONTROL!$C$42, 695, 695)*CHOOSE(CONTROL!$C$42, 0.5599, 0.5599)*CHOOSE(CONTROL!$C$42, 31, 31))/1000000</f>
        <v>12.063045499999998</v>
      </c>
      <c r="V533" s="38">
        <f>(1000*CHOOSE(CONTROL!$C$42, 500, 500)*CHOOSE(CONTROL!$C$42, 0.275, 0.275)*CHOOSE(CONTROL!$C$42, 31, 31))/1000000</f>
        <v>4.2625000000000002</v>
      </c>
      <c r="W533" s="38">
        <f>(1000*CHOOSE(CONTROL!$C$42, 0.1146, 0.1146)*CHOOSE(CONTROL!$C$42, 121.5, 121.5)*CHOOSE(CONTROL!$C$42, 31, 31))/1000000</f>
        <v>0.43164089999999994</v>
      </c>
      <c r="X533" s="38">
        <f>(31*0.1790888*245000/1000000)+(31*0.2374*100000/1000000)</f>
        <v>2.0961194359999999</v>
      </c>
      <c r="Y533" s="38">
        <f>(1000*600*CHOOSE(CONTROL!$C$42, 1.0585, 1.0585)*CHOOSE(CONTROL!$C$42, 31, 31))/1000000</f>
        <v>19.688099999999999</v>
      </c>
      <c r="Z533" s="38"/>
      <c r="AA533" s="10"/>
      <c r="AB533" s="39"/>
      <c r="AC533" s="33">
        <f>(B533*194.205+C533*267.466+D533*133.845+E533*53.484+F533*40+G533*185+H533*0+I533*100+J533*300)/(194.205+267.466+133.845+53.484+0+40+185+100+300)</f>
        <v>15.519508293485091</v>
      </c>
      <c r="AD533" s="27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15.395832374100721</v>
      </c>
    </row>
    <row r="534" spans="1:30" ht="15.75" x14ac:dyDescent="0.25">
      <c r="A534" s="13">
        <v>57526</v>
      </c>
      <c r="B534" s="10">
        <f>CHOOSE(CONTROL!$C$42, 15.9446, 15.9446) * CHOOSE(CONTROL!$C$21, $C$9, 100%, $E$9)</f>
        <v>15.944599999999999</v>
      </c>
      <c r="C534" s="10">
        <f>CHOOSE(CONTROL!$C$42, 15.9525, 15.9525) * CHOOSE(CONTROL!$C$21, $C$9, 100%, $E$9)</f>
        <v>15.952500000000001</v>
      </c>
      <c r="D534" s="10">
        <f>CHOOSE(CONTROL!$C$42, 16.1295, 16.1295) * CHOOSE(CONTROL!$C$21, $C$9, 100%, $E$9)</f>
        <v>16.1295</v>
      </c>
      <c r="E534" s="10">
        <f>CHOOSE(CONTROL!$C$42, 16.1606, 16.1606) * CHOOSE(CONTROL!$C$21, $C$9, 100%, $E$9)</f>
        <v>16.160599999999999</v>
      </c>
      <c r="F534" s="10">
        <f>CHOOSE(CONTROL!$C$42, 15.9081, 15.9081)*CHOOSE(CONTROL!$C$21, $C$9, 100%, $E$9)</f>
        <v>15.908099999999999</v>
      </c>
      <c r="G534" s="10">
        <f>CHOOSE(CONTROL!$C$42, 15.9246, 15.9246)*CHOOSE(CONTROL!$C$21, $C$9, 100%, $E$9)</f>
        <v>15.9246</v>
      </c>
      <c r="H534" s="10">
        <f>CHOOSE(CONTROL!$C$42, 16.1492, 16.1492) * CHOOSE(CONTROL!$C$21, $C$9, 100%, $E$9)</f>
        <v>16.1492</v>
      </c>
      <c r="I534" s="10">
        <f>CHOOSE(CONTROL!$C$42, 15.9292, 15.9292)* CHOOSE(CONTROL!$C$21, $C$9, 100%, $E$9)</f>
        <v>15.9292</v>
      </c>
      <c r="J534" s="10">
        <f>CHOOSE(CONTROL!$C$42, 15.9011, 15.9011)* CHOOSE(CONTROL!$C$21, $C$9, 100%, $E$9)</f>
        <v>15.9011</v>
      </c>
      <c r="K534" s="10">
        <f>CHOOSE(CONTROL!$C$42, 15.6114, 15.6114) * CHOOSE(CONTROL!$C$21, $C$9, 100%, $E$9)</f>
        <v>15.6114</v>
      </c>
      <c r="L534" s="10">
        <f>CHOOSE(CONTROL!$C$42, 16.7362, 16.7362) * CHOOSE(CONTROL!$C$21, $C$9, 100%, $E$9)</f>
        <v>16.7362</v>
      </c>
      <c r="M534" s="10">
        <f>CHOOSE(CONTROL!$C$42, 15.7545, 15.7545) * CHOOSE(CONTROL!$C$21, $C$9, 100%, $E$9)</f>
        <v>15.7545</v>
      </c>
      <c r="N534" s="10">
        <f>CHOOSE(CONTROL!$C$42, 15.7708, 15.7708) * CHOOSE(CONTROL!$C$21, $C$9, 100%, $E$9)</f>
        <v>15.770799999999999</v>
      </c>
      <c r="O534" s="10">
        <f>CHOOSE(CONTROL!$C$42, 16.0001, 16.0001) * CHOOSE(CONTROL!$C$21, $C$9, 100%, $E$9)</f>
        <v>16.0001</v>
      </c>
      <c r="P534" s="10">
        <f>CHOOSE(CONTROL!$C$42, 15.7823, 15.7823) * CHOOSE(CONTROL!$C$21, $C$9, 100%, $E$9)</f>
        <v>15.782299999999999</v>
      </c>
      <c r="Q534" s="10">
        <f>CHOOSE(CONTROL!$C$42, 16.5954, 16.5954) * CHOOSE(CONTROL!$C$21, $C$9, 100%, $E$9)</f>
        <v>16.595400000000001</v>
      </c>
      <c r="R534" s="10">
        <f>CHOOSE(CONTROL!$C$42, 17.2239, 17.2239) * CHOOSE(CONTROL!$C$21, $C$9, 100%, $E$9)</f>
        <v>17.2239</v>
      </c>
      <c r="S534" s="10">
        <f>CHOOSE(CONTROL!$C$42, 15.4795, 15.4795) * CHOOSE(CONTROL!$C$21, $C$9, 100%, $E$9)</f>
        <v>15.4795</v>
      </c>
      <c r="T5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38">
        <f>(1000*CHOOSE(CONTROL!$C$42, 695, 695)*CHOOSE(CONTROL!$C$42, 0.5599, 0.5599)*CHOOSE(CONTROL!$C$42, 30, 30))/1000000</f>
        <v>11.673914999999997</v>
      </c>
      <c r="V534" s="38">
        <f>(1000*CHOOSE(CONTROL!$C$42, 500, 500)*CHOOSE(CONTROL!$C$42, 0.275, 0.275)*CHOOSE(CONTROL!$C$42, 30, 30))/1000000</f>
        <v>4.125</v>
      </c>
      <c r="W534" s="38">
        <f>(1000*CHOOSE(CONTROL!$C$42, 0.1146, 0.1146)*CHOOSE(CONTROL!$C$42, 121.5, 121.5)*CHOOSE(CONTROL!$C$42, 30, 30))/1000000</f>
        <v>0.417717</v>
      </c>
      <c r="X534" s="38">
        <f>(30*0.1790888*245000/1000000)+(30*0.2374*100000/1000000)</f>
        <v>2.0285026799999999</v>
      </c>
      <c r="Y534" s="38">
        <f>(1000*600*CHOOSE(CONTROL!$C$42, 1.0585, 1.0585)*CHOOSE(CONTROL!$C$42, 30, 30))/1000000</f>
        <v>19.053000000000001</v>
      </c>
      <c r="Z534" s="38"/>
      <c r="AA534" s="10"/>
      <c r="AB534" s="39"/>
      <c r="AC534" s="33">
        <f>(B534*194.205+C534*267.466+D534*133.845+E534*53.484+F534*40+G534*185+H534*0+I534*100+J534*300)/(194.205+267.466+133.845+53.484+0+40+185+100+300)</f>
        <v>15.959249502276295</v>
      </c>
      <c r="AD534" s="27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15.831161870503596</v>
      </c>
    </row>
    <row r="535" spans="1:30" ht="15.75" x14ac:dyDescent="0.25">
      <c r="A535" s="13">
        <v>57557</v>
      </c>
      <c r="B535" s="10">
        <f>CHOOSE(CONTROL!$C$42, 15.6388, 15.6388) * CHOOSE(CONTROL!$C$21, $C$9, 100%, $E$9)</f>
        <v>15.6388</v>
      </c>
      <c r="C535" s="10">
        <f>CHOOSE(CONTROL!$C$42, 15.6467, 15.6467) * CHOOSE(CONTROL!$C$21, $C$9, 100%, $E$9)</f>
        <v>15.646699999999999</v>
      </c>
      <c r="D535" s="10">
        <f>CHOOSE(CONTROL!$C$42, 15.8237, 15.8237) * CHOOSE(CONTROL!$C$21, $C$9, 100%, $E$9)</f>
        <v>15.823700000000001</v>
      </c>
      <c r="E535" s="10">
        <f>CHOOSE(CONTROL!$C$42, 15.8548, 15.8548) * CHOOSE(CONTROL!$C$21, $C$9, 100%, $E$9)</f>
        <v>15.854799999999999</v>
      </c>
      <c r="F535" s="10">
        <f>CHOOSE(CONTROL!$C$42, 15.6026, 15.6026)*CHOOSE(CONTROL!$C$21, $C$9, 100%, $E$9)</f>
        <v>15.602600000000001</v>
      </c>
      <c r="G535" s="10">
        <f>CHOOSE(CONTROL!$C$42, 15.6192, 15.6192)*CHOOSE(CONTROL!$C$21, $C$9, 100%, $E$9)</f>
        <v>15.619199999999999</v>
      </c>
      <c r="H535" s="10">
        <f>CHOOSE(CONTROL!$C$42, 15.8435, 15.8435) * CHOOSE(CONTROL!$C$21, $C$9, 100%, $E$9)</f>
        <v>15.843500000000001</v>
      </c>
      <c r="I535" s="10">
        <f>CHOOSE(CONTROL!$C$42, 15.6234, 15.6234)* CHOOSE(CONTROL!$C$21, $C$9, 100%, $E$9)</f>
        <v>15.6234</v>
      </c>
      <c r="J535" s="10">
        <f>CHOOSE(CONTROL!$C$42, 15.5956, 15.5956)* CHOOSE(CONTROL!$C$21, $C$9, 100%, $E$9)</f>
        <v>15.595599999999999</v>
      </c>
      <c r="K535" s="10">
        <f>CHOOSE(CONTROL!$C$42, 15.3148, 15.3148) * CHOOSE(CONTROL!$C$21, $C$9, 100%, $E$9)</f>
        <v>15.3148</v>
      </c>
      <c r="L535" s="10">
        <f>CHOOSE(CONTROL!$C$42, 16.4305, 16.4305) * CHOOSE(CONTROL!$C$21, $C$9, 100%, $E$9)</f>
        <v>16.430499999999999</v>
      </c>
      <c r="M535" s="10">
        <f>CHOOSE(CONTROL!$C$42, 15.452, 15.452) * CHOOSE(CONTROL!$C$21, $C$9, 100%, $E$9)</f>
        <v>15.452</v>
      </c>
      <c r="N535" s="10">
        <f>CHOOSE(CONTROL!$C$42, 15.4684, 15.4684) * CHOOSE(CONTROL!$C$21, $C$9, 100%, $E$9)</f>
        <v>15.468400000000001</v>
      </c>
      <c r="O535" s="10">
        <f>CHOOSE(CONTROL!$C$42, 15.6974, 15.6974) * CHOOSE(CONTROL!$C$21, $C$9, 100%, $E$9)</f>
        <v>15.6974</v>
      </c>
      <c r="P535" s="10">
        <f>CHOOSE(CONTROL!$C$42, 15.4796, 15.4796) * CHOOSE(CONTROL!$C$21, $C$9, 100%, $E$9)</f>
        <v>15.4796</v>
      </c>
      <c r="Q535" s="10">
        <f>CHOOSE(CONTROL!$C$42, 16.2927, 16.2927) * CHOOSE(CONTROL!$C$21, $C$9, 100%, $E$9)</f>
        <v>16.2927</v>
      </c>
      <c r="R535" s="10">
        <f>CHOOSE(CONTROL!$C$42, 16.9204, 16.9204) * CHOOSE(CONTROL!$C$21, $C$9, 100%, $E$9)</f>
        <v>16.920400000000001</v>
      </c>
      <c r="S535" s="10">
        <f>CHOOSE(CONTROL!$C$42, 15.1826, 15.1826) * CHOOSE(CONTROL!$C$21, $C$9, 100%, $E$9)</f>
        <v>15.182600000000001</v>
      </c>
      <c r="T5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38">
        <f>(1000*CHOOSE(CONTROL!$C$42, 695, 695)*CHOOSE(CONTROL!$C$42, 0.5599, 0.5599)*CHOOSE(CONTROL!$C$42, 31, 31))/1000000</f>
        <v>12.063045499999998</v>
      </c>
      <c r="V535" s="38">
        <f>(1000*CHOOSE(CONTROL!$C$42, 500, 500)*CHOOSE(CONTROL!$C$42, 0.275, 0.275)*CHOOSE(CONTROL!$C$42, 31, 31))/1000000</f>
        <v>4.2625000000000002</v>
      </c>
      <c r="W535" s="38">
        <f>(1000*CHOOSE(CONTROL!$C$42, 0.1146, 0.1146)*CHOOSE(CONTROL!$C$42, 121.5, 121.5)*CHOOSE(CONTROL!$C$42, 31, 31))/1000000</f>
        <v>0.43164089999999994</v>
      </c>
      <c r="X535" s="38">
        <f>(31*0.1790888*245000/1000000)+(31*0.2374*100000/1000000)</f>
        <v>2.0961194359999999</v>
      </c>
      <c r="Y535" s="38">
        <f>(1000*600*CHOOSE(CONTROL!$C$42, 1.0585, 1.0585)*CHOOSE(CONTROL!$C$42, 31, 31))/1000000</f>
        <v>19.688099999999999</v>
      </c>
      <c r="Z535" s="38"/>
      <c r="AA535" s="10"/>
      <c r="AB535" s="39"/>
      <c r="AC535" s="33">
        <f>(B535*194.205+C535*267.466+D535*133.845+E535*53.484+F535*40+G535*185+H535*0+I535*100+J535*300)/(194.205+267.466+133.845+53.484+0+40+185+100+300)</f>
        <v>15.653587649843011</v>
      </c>
      <c r="AD535" s="27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15.528600000000001</v>
      </c>
    </row>
    <row r="536" spans="1:30" ht="15.75" x14ac:dyDescent="0.25">
      <c r="A536" s="13">
        <v>57588</v>
      </c>
      <c r="B536" s="10">
        <f>CHOOSE(CONTROL!$C$42, 14.8666, 14.8666) * CHOOSE(CONTROL!$C$21, $C$9, 100%, $E$9)</f>
        <v>14.8666</v>
      </c>
      <c r="C536" s="10">
        <f>CHOOSE(CONTROL!$C$42, 14.8745, 14.8745) * CHOOSE(CONTROL!$C$21, $C$9, 100%, $E$9)</f>
        <v>14.874499999999999</v>
      </c>
      <c r="D536" s="10">
        <f>CHOOSE(CONTROL!$C$42, 15.0515, 15.0515) * CHOOSE(CONTROL!$C$21, $C$9, 100%, $E$9)</f>
        <v>15.051500000000001</v>
      </c>
      <c r="E536" s="10">
        <f>CHOOSE(CONTROL!$C$42, 15.0826, 15.0826) * CHOOSE(CONTROL!$C$21, $C$9, 100%, $E$9)</f>
        <v>15.082599999999999</v>
      </c>
      <c r="F536" s="10">
        <f>CHOOSE(CONTROL!$C$42, 14.8304, 14.8304)*CHOOSE(CONTROL!$C$21, $C$9, 100%, $E$9)</f>
        <v>14.830399999999999</v>
      </c>
      <c r="G536" s="10">
        <f>CHOOSE(CONTROL!$C$42, 14.847, 14.847)*CHOOSE(CONTROL!$C$21, $C$9, 100%, $E$9)</f>
        <v>14.847</v>
      </c>
      <c r="H536" s="10">
        <f>CHOOSE(CONTROL!$C$42, 15.0712, 15.0712) * CHOOSE(CONTROL!$C$21, $C$9, 100%, $E$9)</f>
        <v>15.071199999999999</v>
      </c>
      <c r="I536" s="10">
        <f>CHOOSE(CONTROL!$C$42, 14.8512, 14.8512)* CHOOSE(CONTROL!$C$21, $C$9, 100%, $E$9)</f>
        <v>14.8512</v>
      </c>
      <c r="J536" s="10">
        <f>CHOOSE(CONTROL!$C$42, 14.8234, 14.8234)* CHOOSE(CONTROL!$C$21, $C$9, 100%, $E$9)</f>
        <v>14.823399999999999</v>
      </c>
      <c r="K536" s="10">
        <f>CHOOSE(CONTROL!$C$42, 14.5647, 14.5647) * CHOOSE(CONTROL!$C$21, $C$9, 100%, $E$9)</f>
        <v>14.5647</v>
      </c>
      <c r="L536" s="10">
        <f>CHOOSE(CONTROL!$C$42, 15.6582, 15.6582) * CHOOSE(CONTROL!$C$21, $C$9, 100%, $E$9)</f>
        <v>15.658200000000001</v>
      </c>
      <c r="M536" s="10">
        <f>CHOOSE(CONTROL!$C$42, 14.6876, 14.6876) * CHOOSE(CONTROL!$C$21, $C$9, 100%, $E$9)</f>
        <v>14.6876</v>
      </c>
      <c r="N536" s="10">
        <f>CHOOSE(CONTROL!$C$42, 14.7041, 14.7041) * CHOOSE(CONTROL!$C$21, $C$9, 100%, $E$9)</f>
        <v>14.7041</v>
      </c>
      <c r="O536" s="10">
        <f>CHOOSE(CONTROL!$C$42, 14.933, 14.933) * CHOOSE(CONTROL!$C$21, $C$9, 100%, $E$9)</f>
        <v>14.933</v>
      </c>
      <c r="P536" s="10">
        <f>CHOOSE(CONTROL!$C$42, 14.7152, 14.7152) * CHOOSE(CONTROL!$C$21, $C$9, 100%, $E$9)</f>
        <v>14.715199999999999</v>
      </c>
      <c r="Q536" s="10">
        <f>CHOOSE(CONTROL!$C$42, 15.5283, 15.5283) * CHOOSE(CONTROL!$C$21, $C$9, 100%, $E$9)</f>
        <v>15.5283</v>
      </c>
      <c r="R536" s="10">
        <f>CHOOSE(CONTROL!$C$42, 16.1541, 16.1541) * CHOOSE(CONTROL!$C$21, $C$9, 100%, $E$9)</f>
        <v>16.1541</v>
      </c>
      <c r="S536" s="10">
        <f>CHOOSE(CONTROL!$C$42, 14.4327, 14.4327) * CHOOSE(CONTROL!$C$21, $C$9, 100%, $E$9)</f>
        <v>14.432700000000001</v>
      </c>
      <c r="T5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38">
        <f>(1000*CHOOSE(CONTROL!$C$42, 695, 695)*CHOOSE(CONTROL!$C$42, 0.5599, 0.5599)*CHOOSE(CONTROL!$C$42, 31, 31))/1000000</f>
        <v>12.063045499999998</v>
      </c>
      <c r="V536" s="38">
        <f>(1000*CHOOSE(CONTROL!$C$42, 500, 500)*CHOOSE(CONTROL!$C$42, 0.275, 0.275)*CHOOSE(CONTROL!$C$42, 31, 31))/1000000</f>
        <v>4.2625000000000002</v>
      </c>
      <c r="W536" s="38">
        <f>(1000*CHOOSE(CONTROL!$C$42, 0.1146, 0.1146)*CHOOSE(CONTROL!$C$42, 121.5, 121.5)*CHOOSE(CONTROL!$C$42, 31, 31))/1000000</f>
        <v>0.43164089999999994</v>
      </c>
      <c r="X536" s="38">
        <f>(31*0.1790888*245000/1000000)+(31*0.2374*100000/1000000)</f>
        <v>2.0961194359999999</v>
      </c>
      <c r="Y536" s="38">
        <f>(1000*600*CHOOSE(CONTROL!$C$42, 1.0585, 1.0585)*CHOOSE(CONTROL!$C$42, 31, 31))/1000000</f>
        <v>19.688099999999999</v>
      </c>
      <c r="Z536" s="38"/>
      <c r="AA536" s="10"/>
      <c r="AB536" s="39"/>
      <c r="AC536" s="33">
        <f>(B536*194.205+C536*267.466+D536*133.845+E536*53.484+F536*40+G536*185+H536*0+I536*100+J536*300)/(194.205+267.466+133.845+53.484+0+40+185+100+300)</f>
        <v>14.881387649843015</v>
      </c>
      <c r="AD536" s="27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14.764223021582733</v>
      </c>
    </row>
    <row r="537" spans="1:30" ht="15.75" x14ac:dyDescent="0.25">
      <c r="A537" s="13">
        <v>57618</v>
      </c>
      <c r="B537" s="10">
        <f>CHOOSE(CONTROL!$C$42, 13.9231, 13.9231) * CHOOSE(CONTROL!$C$21, $C$9, 100%, $E$9)</f>
        <v>13.9231</v>
      </c>
      <c r="C537" s="10">
        <f>CHOOSE(CONTROL!$C$42, 13.931, 13.931) * CHOOSE(CONTROL!$C$21, $C$9, 100%, $E$9)</f>
        <v>13.930999999999999</v>
      </c>
      <c r="D537" s="10">
        <f>CHOOSE(CONTROL!$C$42, 14.108, 14.108) * CHOOSE(CONTROL!$C$21, $C$9, 100%, $E$9)</f>
        <v>14.108000000000001</v>
      </c>
      <c r="E537" s="10">
        <f>CHOOSE(CONTROL!$C$42, 14.1391, 14.1391) * CHOOSE(CONTROL!$C$21, $C$9, 100%, $E$9)</f>
        <v>14.139099999999999</v>
      </c>
      <c r="F537" s="10">
        <f>CHOOSE(CONTROL!$C$42, 13.8867, 13.8867)*CHOOSE(CONTROL!$C$21, $C$9, 100%, $E$9)</f>
        <v>13.886699999999999</v>
      </c>
      <c r="G537" s="10">
        <f>CHOOSE(CONTROL!$C$42, 13.9032, 13.9032)*CHOOSE(CONTROL!$C$21, $C$9, 100%, $E$9)</f>
        <v>13.9032</v>
      </c>
      <c r="H537" s="10">
        <f>CHOOSE(CONTROL!$C$42, 14.1278, 14.1278) * CHOOSE(CONTROL!$C$21, $C$9, 100%, $E$9)</f>
        <v>14.127800000000001</v>
      </c>
      <c r="I537" s="10">
        <f>CHOOSE(CONTROL!$C$42, 13.9077, 13.9077)* CHOOSE(CONTROL!$C$21, $C$9, 100%, $E$9)</f>
        <v>13.9077</v>
      </c>
      <c r="J537" s="10">
        <f>CHOOSE(CONTROL!$C$42, 13.8797, 13.8797)* CHOOSE(CONTROL!$C$21, $C$9, 100%, $E$9)</f>
        <v>13.8797</v>
      </c>
      <c r="K537" s="10">
        <f>CHOOSE(CONTROL!$C$42, 13.6474, 13.6474) * CHOOSE(CONTROL!$C$21, $C$9, 100%, $E$9)</f>
        <v>13.647399999999999</v>
      </c>
      <c r="L537" s="10">
        <f>CHOOSE(CONTROL!$C$42, 14.7148, 14.7148) * CHOOSE(CONTROL!$C$21, $C$9, 100%, $E$9)</f>
        <v>14.7148</v>
      </c>
      <c r="M537" s="10">
        <f>CHOOSE(CONTROL!$C$42, 13.7534, 13.7534) * CHOOSE(CONTROL!$C$21, $C$9, 100%, $E$9)</f>
        <v>13.753399999999999</v>
      </c>
      <c r="N537" s="10">
        <f>CHOOSE(CONTROL!$C$42, 13.7698, 13.7698) * CHOOSE(CONTROL!$C$21, $C$9, 100%, $E$9)</f>
        <v>13.7698</v>
      </c>
      <c r="O537" s="10">
        <f>CHOOSE(CONTROL!$C$42, 13.999, 13.999) * CHOOSE(CONTROL!$C$21, $C$9, 100%, $E$9)</f>
        <v>13.999000000000001</v>
      </c>
      <c r="P537" s="10">
        <f>CHOOSE(CONTROL!$C$42, 13.7812, 13.7812) * CHOOSE(CONTROL!$C$21, $C$9, 100%, $E$9)</f>
        <v>13.7812</v>
      </c>
      <c r="Q537" s="10">
        <f>CHOOSE(CONTROL!$C$42, 14.5943, 14.5943) * CHOOSE(CONTROL!$C$21, $C$9, 100%, $E$9)</f>
        <v>14.5943</v>
      </c>
      <c r="R537" s="10">
        <f>CHOOSE(CONTROL!$C$42, 15.2178, 15.2178) * CHOOSE(CONTROL!$C$21, $C$9, 100%, $E$9)</f>
        <v>15.2178</v>
      </c>
      <c r="S537" s="10">
        <f>CHOOSE(CONTROL!$C$42, 13.5165, 13.5165) * CHOOSE(CONTROL!$C$21, $C$9, 100%, $E$9)</f>
        <v>13.516500000000001</v>
      </c>
      <c r="T5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38">
        <f>(1000*CHOOSE(CONTROL!$C$42, 695, 695)*CHOOSE(CONTROL!$C$42, 0.5599, 0.5599)*CHOOSE(CONTROL!$C$42, 30, 30))/1000000</f>
        <v>11.673914999999997</v>
      </c>
      <c r="V537" s="38">
        <f>(1000*CHOOSE(CONTROL!$C$42, 500, 500)*CHOOSE(CONTROL!$C$42, 0.275, 0.275)*CHOOSE(CONTROL!$C$42, 30, 30))/1000000</f>
        <v>4.125</v>
      </c>
      <c r="W537" s="38">
        <f>(1000*CHOOSE(CONTROL!$C$42, 0.1146, 0.1146)*CHOOSE(CONTROL!$C$42, 121.5, 121.5)*CHOOSE(CONTROL!$C$42, 30, 30))/1000000</f>
        <v>0.417717</v>
      </c>
      <c r="X537" s="38">
        <f>(30*0.1790888*245000/1000000)+(30*0.2374*100000/1000000)</f>
        <v>2.0285026799999999</v>
      </c>
      <c r="Y537" s="38">
        <f>(1000*600*CHOOSE(CONTROL!$C$42, 1.0585, 1.0585)*CHOOSE(CONTROL!$C$42, 30, 30))/1000000</f>
        <v>19.053000000000001</v>
      </c>
      <c r="Z537" s="38"/>
      <c r="AA537" s="10"/>
      <c r="AB537" s="39"/>
      <c r="AC537" s="33">
        <f>(B537*194.205+C537*267.466+D537*133.845+E537*53.484+F537*40+G537*185+H537*0+I537*100+J537*300)/(194.205+267.466+133.845+53.484+0+40+185+100+300)</f>
        <v>13.937790711067505</v>
      </c>
      <c r="AD537" s="27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13.830084892086333</v>
      </c>
    </row>
    <row r="538" spans="1:30" ht="15.75" x14ac:dyDescent="0.25">
      <c r="A538" s="13">
        <v>57649</v>
      </c>
      <c r="B538" s="10">
        <f>CHOOSE(CONTROL!$C$42, 13.6383, 13.6383) * CHOOSE(CONTROL!$C$21, $C$9, 100%, $E$9)</f>
        <v>13.638299999999999</v>
      </c>
      <c r="C538" s="10">
        <f>CHOOSE(CONTROL!$C$42, 13.6436, 13.6436) * CHOOSE(CONTROL!$C$21, $C$9, 100%, $E$9)</f>
        <v>13.643599999999999</v>
      </c>
      <c r="D538" s="10">
        <f>CHOOSE(CONTROL!$C$42, 13.8255, 13.8255) * CHOOSE(CONTROL!$C$21, $C$9, 100%, $E$9)</f>
        <v>13.8255</v>
      </c>
      <c r="E538" s="10">
        <f>CHOOSE(CONTROL!$C$42, 13.8543, 13.8543) * CHOOSE(CONTROL!$C$21, $C$9, 100%, $E$9)</f>
        <v>13.8543</v>
      </c>
      <c r="F538" s="10">
        <f>CHOOSE(CONTROL!$C$42, 13.604, 13.604)*CHOOSE(CONTROL!$C$21, $C$9, 100%, $E$9)</f>
        <v>13.603999999999999</v>
      </c>
      <c r="G538" s="10">
        <f>CHOOSE(CONTROL!$C$42, 13.6202, 13.6202)*CHOOSE(CONTROL!$C$21, $C$9, 100%, $E$9)</f>
        <v>13.620200000000001</v>
      </c>
      <c r="H538" s="10">
        <f>CHOOSE(CONTROL!$C$42, 13.8448, 13.8448) * CHOOSE(CONTROL!$C$21, $C$9, 100%, $E$9)</f>
        <v>13.844799999999999</v>
      </c>
      <c r="I538" s="10">
        <f>CHOOSE(CONTROL!$C$42, 13.6247, 13.6247)* CHOOSE(CONTROL!$C$21, $C$9, 100%, $E$9)</f>
        <v>13.624700000000001</v>
      </c>
      <c r="J538" s="10">
        <f>CHOOSE(CONTROL!$C$42, 13.597, 13.597)* CHOOSE(CONTROL!$C$21, $C$9, 100%, $E$9)</f>
        <v>13.597</v>
      </c>
      <c r="K538" s="10">
        <f>CHOOSE(CONTROL!$C$42, 13.3731, 13.3731) * CHOOSE(CONTROL!$C$21, $C$9, 100%, $E$9)</f>
        <v>13.373100000000001</v>
      </c>
      <c r="L538" s="10">
        <f>CHOOSE(CONTROL!$C$42, 14.4318, 14.4318) * CHOOSE(CONTROL!$C$21, $C$9, 100%, $E$9)</f>
        <v>14.431800000000001</v>
      </c>
      <c r="M538" s="10">
        <f>CHOOSE(CONTROL!$C$42, 13.4736, 13.4736) * CHOOSE(CONTROL!$C$21, $C$9, 100%, $E$9)</f>
        <v>13.473599999999999</v>
      </c>
      <c r="N538" s="10">
        <f>CHOOSE(CONTROL!$C$42, 13.4896, 13.4896) * CHOOSE(CONTROL!$C$21, $C$9, 100%, $E$9)</f>
        <v>13.489599999999999</v>
      </c>
      <c r="O538" s="10">
        <f>CHOOSE(CONTROL!$C$42, 13.7189, 13.7189) * CHOOSE(CONTROL!$C$21, $C$9, 100%, $E$9)</f>
        <v>13.7189</v>
      </c>
      <c r="P538" s="10">
        <f>CHOOSE(CONTROL!$C$42, 13.5011, 13.5011) * CHOOSE(CONTROL!$C$21, $C$9, 100%, $E$9)</f>
        <v>13.501099999999999</v>
      </c>
      <c r="Q538" s="10">
        <f>CHOOSE(CONTROL!$C$42, 14.3142, 14.3142) * CHOOSE(CONTROL!$C$21, $C$9, 100%, $E$9)</f>
        <v>14.3142</v>
      </c>
      <c r="R538" s="10">
        <f>CHOOSE(CONTROL!$C$42, 14.937, 14.937) * CHOOSE(CONTROL!$C$21, $C$9, 100%, $E$9)</f>
        <v>14.936999999999999</v>
      </c>
      <c r="S538" s="10">
        <f>CHOOSE(CONTROL!$C$42, 13.2417, 13.2417) * CHOOSE(CONTROL!$C$21, $C$9, 100%, $E$9)</f>
        <v>13.2417</v>
      </c>
      <c r="T5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38">
        <f>(1000*CHOOSE(CONTROL!$C$42, 695, 695)*CHOOSE(CONTROL!$C$42, 0.5599, 0.5599)*CHOOSE(CONTROL!$C$42, 31, 31))/1000000</f>
        <v>12.063045499999998</v>
      </c>
      <c r="V538" s="38">
        <f>(1000*CHOOSE(CONTROL!$C$42, 500, 500)*CHOOSE(CONTROL!$C$42, 0.275, 0.275)*CHOOSE(CONTROL!$C$42, 31, 31))/1000000</f>
        <v>4.2625000000000002</v>
      </c>
      <c r="W538" s="38">
        <f>(1000*CHOOSE(CONTROL!$C$42, 0.1146, 0.1146)*CHOOSE(CONTROL!$C$42, 121.5, 121.5)*CHOOSE(CONTROL!$C$42, 31, 31))/1000000</f>
        <v>0.43164089999999994</v>
      </c>
      <c r="X538" s="38">
        <f>(31*0.1790888*245000/1000000)+(31*0.2374*100000/1000000)</f>
        <v>2.0961194359999999</v>
      </c>
      <c r="Y538" s="38">
        <f>(1000*600*CHOOSE(CONTROL!$C$42, 1.0585, 1.0585)*CHOOSE(CONTROL!$C$42, 31, 31))/1000000</f>
        <v>19.688099999999999</v>
      </c>
      <c r="Z538" s="38"/>
      <c r="AA538" s="10"/>
      <c r="AB538" s="39"/>
      <c r="AC538" s="33">
        <f>(B538*131.881+C538*277.167+D538*79.08+E538*125.872+F538*40+G538*185+H538*0+I538*100+J538*300)/(131.881+277.167+79.08+125.872+0+40+185+100+300)</f>
        <v>13.658469986359966</v>
      </c>
      <c r="AD538" s="27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13.550065467625899</v>
      </c>
    </row>
    <row r="539" spans="1:30" ht="15.75" x14ac:dyDescent="0.25">
      <c r="A539" s="13">
        <v>57679</v>
      </c>
      <c r="B539" s="10">
        <f>CHOOSE(CONTROL!$C$42, 13.9971, 13.9971) * CHOOSE(CONTROL!$C$21, $C$9, 100%, $E$9)</f>
        <v>13.9971</v>
      </c>
      <c r="C539" s="10">
        <f>CHOOSE(CONTROL!$C$42, 14.0021, 14.0021) * CHOOSE(CONTROL!$C$21, $C$9, 100%, $E$9)</f>
        <v>14.0021</v>
      </c>
      <c r="D539" s="10">
        <f>CHOOSE(CONTROL!$C$42, 14.0266, 14.0266) * CHOOSE(CONTROL!$C$21, $C$9, 100%, $E$9)</f>
        <v>14.0266</v>
      </c>
      <c r="E539" s="10">
        <f>CHOOSE(CONTROL!$C$42, 14.0603, 14.0603) * CHOOSE(CONTROL!$C$21, $C$9, 100%, $E$9)</f>
        <v>14.0603</v>
      </c>
      <c r="F539" s="10">
        <f>CHOOSE(CONTROL!$C$42, 13.9665, 13.9665)*CHOOSE(CONTROL!$C$21, $C$9, 100%, $E$9)</f>
        <v>13.9665</v>
      </c>
      <c r="G539" s="10">
        <f>CHOOSE(CONTROL!$C$42, 13.9829, 13.9829)*CHOOSE(CONTROL!$C$21, $C$9, 100%, $E$9)</f>
        <v>13.982900000000001</v>
      </c>
      <c r="H539" s="10">
        <f>CHOOSE(CONTROL!$C$42, 14.0495, 14.0495) * CHOOSE(CONTROL!$C$21, $C$9, 100%, $E$9)</f>
        <v>14.0495</v>
      </c>
      <c r="I539" s="10">
        <f>CHOOSE(CONTROL!$C$42, 13.9839, 13.9839)* CHOOSE(CONTROL!$C$21, $C$9, 100%, $E$9)</f>
        <v>13.9839</v>
      </c>
      <c r="J539" s="10">
        <f>CHOOSE(CONTROL!$C$42, 13.9595, 13.9595)* CHOOSE(CONTROL!$C$21, $C$9, 100%, $E$9)</f>
        <v>13.9595</v>
      </c>
      <c r="K539" s="10">
        <f>CHOOSE(CONTROL!$C$42, 13.7236, 13.7236) * CHOOSE(CONTROL!$C$21, $C$9, 100%, $E$9)</f>
        <v>13.723599999999999</v>
      </c>
      <c r="L539" s="10">
        <f>CHOOSE(CONTROL!$C$42, 14.6365, 14.6365) * CHOOSE(CONTROL!$C$21, $C$9, 100%, $E$9)</f>
        <v>14.6365</v>
      </c>
      <c r="M539" s="10">
        <f>CHOOSE(CONTROL!$C$42, 13.8324, 13.8324) * CHOOSE(CONTROL!$C$21, $C$9, 100%, $E$9)</f>
        <v>13.8324</v>
      </c>
      <c r="N539" s="10">
        <f>CHOOSE(CONTROL!$C$42, 13.8487, 13.8487) * CHOOSE(CONTROL!$C$21, $C$9, 100%, $E$9)</f>
        <v>13.848699999999999</v>
      </c>
      <c r="O539" s="10">
        <f>CHOOSE(CONTROL!$C$42, 13.9216, 13.9216) * CHOOSE(CONTROL!$C$21, $C$9, 100%, $E$9)</f>
        <v>13.9216</v>
      </c>
      <c r="P539" s="10">
        <f>CHOOSE(CONTROL!$C$42, 13.8567, 13.8567) * CHOOSE(CONTROL!$C$21, $C$9, 100%, $E$9)</f>
        <v>13.8567</v>
      </c>
      <c r="Q539" s="10">
        <f>CHOOSE(CONTROL!$C$42, 14.5169, 14.5169) * CHOOSE(CONTROL!$C$21, $C$9, 100%, $E$9)</f>
        <v>14.5169</v>
      </c>
      <c r="R539" s="10">
        <f>CHOOSE(CONTROL!$C$42, 15.1402, 15.1402) * CHOOSE(CONTROL!$C$21, $C$9, 100%, $E$9)</f>
        <v>15.1402</v>
      </c>
      <c r="S539" s="10">
        <f>CHOOSE(CONTROL!$C$42, 13.5905, 13.5905) * CHOOSE(CONTROL!$C$21, $C$9, 100%, $E$9)</f>
        <v>13.5905</v>
      </c>
      <c r="T5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38">
        <f>(1000*CHOOSE(CONTROL!$C$42, 695, 695)*CHOOSE(CONTROL!$C$42, 0.5599, 0.5599)*CHOOSE(CONTROL!$C$42, 30, 30))/1000000</f>
        <v>11.673914999999997</v>
      </c>
      <c r="V539" s="38">
        <f>(1000*CHOOSE(CONTROL!$C$42, 500, 500)*CHOOSE(CONTROL!$C$42, 0.275, 0.275)*CHOOSE(CONTROL!$C$42, 30, 30))/1000000</f>
        <v>4.125</v>
      </c>
      <c r="W539" s="38">
        <f>(1000*CHOOSE(CONTROL!$C$42, 0.1146, 0.1146)*CHOOSE(CONTROL!$C$42, 121.5, 121.5)*CHOOSE(CONTROL!$C$42, 30, 30))/1000000</f>
        <v>0.417717</v>
      </c>
      <c r="X539" s="38">
        <f>(30*0.1790888*100000/1000000)+(30*0.2374*100000/1000000)</f>
        <v>1.2494664</v>
      </c>
      <c r="Y539" s="38">
        <f>(1000*600*CHOOSE(CONTROL!$C$42, 1.0585, 1.0585)*CHOOSE(CONTROL!$C$42, 30, 30))/1000000</f>
        <v>19.053000000000001</v>
      </c>
      <c r="Z539" s="38"/>
      <c r="AA539" s="10"/>
      <c r="AB539" s="39"/>
      <c r="AC539" s="33">
        <f>(B539*122.58+C539*297.941+D539*89.177+E539*40.302+F539*40+G539*160+H539*0+I539*100+J539*300)/(122.58+297.941+89.177+40.302+0+40+160+100+300)</f>
        <v>13.988901315565219</v>
      </c>
      <c r="AD539" s="27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13.877263309352518</v>
      </c>
    </row>
    <row r="540" spans="1:30" ht="15.75" x14ac:dyDescent="0.25">
      <c r="A540" s="13">
        <v>57710</v>
      </c>
      <c r="B540" s="10">
        <f>CHOOSE(CONTROL!$C$42, 14.9513, 14.9513) * CHOOSE(CONTROL!$C$21, $C$9, 100%, $E$9)</f>
        <v>14.9513</v>
      </c>
      <c r="C540" s="10">
        <f>CHOOSE(CONTROL!$C$42, 14.9562, 14.9562) * CHOOSE(CONTROL!$C$21, $C$9, 100%, $E$9)</f>
        <v>14.956200000000001</v>
      </c>
      <c r="D540" s="10">
        <f>CHOOSE(CONTROL!$C$42, 14.9807, 14.9807) * CHOOSE(CONTROL!$C$21, $C$9, 100%, $E$9)</f>
        <v>14.980700000000001</v>
      </c>
      <c r="E540" s="10">
        <f>CHOOSE(CONTROL!$C$42, 15.0144, 15.0144) * CHOOSE(CONTROL!$C$21, $C$9, 100%, $E$9)</f>
        <v>15.0144</v>
      </c>
      <c r="F540" s="10">
        <f>CHOOSE(CONTROL!$C$42, 14.9229, 14.9229)*CHOOSE(CONTROL!$C$21, $C$9, 100%, $E$9)</f>
        <v>14.9229</v>
      </c>
      <c r="G540" s="10">
        <f>CHOOSE(CONTROL!$C$42, 14.9399, 14.9399)*CHOOSE(CONTROL!$C$21, $C$9, 100%, $E$9)</f>
        <v>14.9399</v>
      </c>
      <c r="H540" s="10">
        <f>CHOOSE(CONTROL!$C$42, 15.0036, 15.0036) * CHOOSE(CONTROL!$C$21, $C$9, 100%, $E$9)</f>
        <v>15.0036</v>
      </c>
      <c r="I540" s="10">
        <f>CHOOSE(CONTROL!$C$42, 14.938, 14.938)* CHOOSE(CONTROL!$C$21, $C$9, 100%, $E$9)</f>
        <v>14.938000000000001</v>
      </c>
      <c r="J540" s="10">
        <f>CHOOSE(CONTROL!$C$42, 14.9159, 14.9159)* CHOOSE(CONTROL!$C$21, $C$9, 100%, $E$9)</f>
        <v>14.915900000000001</v>
      </c>
      <c r="K540" s="10">
        <f>CHOOSE(CONTROL!$C$42, 14.6556, 14.6556) * CHOOSE(CONTROL!$C$21, $C$9, 100%, $E$9)</f>
        <v>14.6556</v>
      </c>
      <c r="L540" s="10">
        <f>CHOOSE(CONTROL!$C$42, 15.5906, 15.5906) * CHOOSE(CONTROL!$C$21, $C$9, 100%, $E$9)</f>
        <v>15.5906</v>
      </c>
      <c r="M540" s="10">
        <f>CHOOSE(CONTROL!$C$42, 14.7792, 14.7792) * CHOOSE(CONTROL!$C$21, $C$9, 100%, $E$9)</f>
        <v>14.779199999999999</v>
      </c>
      <c r="N540" s="10">
        <f>CHOOSE(CONTROL!$C$42, 14.796, 14.796) * CHOOSE(CONTROL!$C$21, $C$9, 100%, $E$9)</f>
        <v>14.795999999999999</v>
      </c>
      <c r="O540" s="10">
        <f>CHOOSE(CONTROL!$C$42, 14.8661, 14.8661) * CHOOSE(CONTROL!$C$21, $C$9, 100%, $E$9)</f>
        <v>14.866099999999999</v>
      </c>
      <c r="P540" s="10">
        <f>CHOOSE(CONTROL!$C$42, 14.8011, 14.8011) * CHOOSE(CONTROL!$C$21, $C$9, 100%, $E$9)</f>
        <v>14.8011</v>
      </c>
      <c r="Q540" s="10">
        <f>CHOOSE(CONTROL!$C$42, 15.4614, 15.4614) * CHOOSE(CONTROL!$C$21, $C$9, 100%, $E$9)</f>
        <v>15.461399999999999</v>
      </c>
      <c r="R540" s="10">
        <f>CHOOSE(CONTROL!$C$42, 16.087, 16.087) * CHOOSE(CONTROL!$C$21, $C$9, 100%, $E$9)</f>
        <v>16.087</v>
      </c>
      <c r="S540" s="10">
        <f>CHOOSE(CONTROL!$C$42, 14.517, 14.517) * CHOOSE(CONTROL!$C$21, $C$9, 100%, $E$9)</f>
        <v>14.516999999999999</v>
      </c>
      <c r="T5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38">
        <f>(1000*CHOOSE(CONTROL!$C$42, 695, 695)*CHOOSE(CONTROL!$C$42, 0.5599, 0.5599)*CHOOSE(CONTROL!$C$42, 31, 31))/1000000</f>
        <v>12.063045499999998</v>
      </c>
      <c r="V540" s="38">
        <f>(1000*CHOOSE(CONTROL!$C$42, 500, 500)*CHOOSE(CONTROL!$C$42, 0.275, 0.275)*CHOOSE(CONTROL!$C$42, 31, 31))/1000000</f>
        <v>4.2625000000000002</v>
      </c>
      <c r="W540" s="38">
        <f>(1000*CHOOSE(CONTROL!$C$42, 0.1146, 0.1146)*CHOOSE(CONTROL!$C$42, 121.5, 121.5)*CHOOSE(CONTROL!$C$42, 31, 31))/1000000</f>
        <v>0.43164089999999994</v>
      </c>
      <c r="X540" s="38">
        <f>(31*0.1790888*100000/1000000)+(31*0.2374*100000/1000000)</f>
        <v>1.2911152800000001</v>
      </c>
      <c r="Y540" s="38">
        <f>(1000*600*CHOOSE(CONTROL!$C$42, 1.0585, 1.0585)*CHOOSE(CONTROL!$C$42, 31, 31))/1000000</f>
        <v>19.688099999999999</v>
      </c>
      <c r="Z540" s="38"/>
      <c r="AA540" s="10"/>
      <c r="AB540" s="39"/>
      <c r="AC540" s="33">
        <f>(B540*122.58+C540*297.941+D540*89.177+E540*40.302+F540*40+G540*160+H540*0+I540*100+J540*300)/(122.58+297.941+89.177+40.302+0+40+160+100+300)</f>
        <v>14.944095452956523</v>
      </c>
      <c r="AD540" s="27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14.822704316546764</v>
      </c>
    </row>
    <row r="541" spans="1:30" ht="15.75" x14ac:dyDescent="0.25">
      <c r="A541" s="13">
        <v>57741</v>
      </c>
      <c r="B541" s="10">
        <f>CHOOSE(CONTROL!$C$42, 15.9602, 15.9602) * CHOOSE(CONTROL!$C$21, $C$9, 100%, $E$9)</f>
        <v>15.9602</v>
      </c>
      <c r="C541" s="10">
        <f>CHOOSE(CONTROL!$C$42, 15.9651, 15.9651) * CHOOSE(CONTROL!$C$21, $C$9, 100%, $E$9)</f>
        <v>15.9651</v>
      </c>
      <c r="D541" s="10">
        <f>CHOOSE(CONTROL!$C$42, 15.9896, 15.9896) * CHOOSE(CONTROL!$C$21, $C$9, 100%, $E$9)</f>
        <v>15.989599999999999</v>
      </c>
      <c r="E541" s="10">
        <f>CHOOSE(CONTROL!$C$42, 16.0234, 16.0234) * CHOOSE(CONTROL!$C$21, $C$9, 100%, $E$9)</f>
        <v>16.023399999999999</v>
      </c>
      <c r="F541" s="10">
        <f>CHOOSE(CONTROL!$C$42, 15.9431, 15.9431)*CHOOSE(CONTROL!$C$21, $C$9, 100%, $E$9)</f>
        <v>15.943099999999999</v>
      </c>
      <c r="G541" s="10">
        <f>CHOOSE(CONTROL!$C$42, 15.9618, 15.9618)*CHOOSE(CONTROL!$C$21, $C$9, 100%, $E$9)</f>
        <v>15.9618</v>
      </c>
      <c r="H541" s="10">
        <f>CHOOSE(CONTROL!$C$42, 16.0126, 16.0126) * CHOOSE(CONTROL!$C$21, $C$9, 100%, $E$9)</f>
        <v>16.012599999999999</v>
      </c>
      <c r="I541" s="10">
        <f>CHOOSE(CONTROL!$C$42, 15.9547, 15.9547)* CHOOSE(CONTROL!$C$21, $C$9, 100%, $E$9)</f>
        <v>15.954700000000001</v>
      </c>
      <c r="J541" s="10">
        <f>CHOOSE(CONTROL!$C$42, 15.9361, 15.9361)* CHOOSE(CONTROL!$C$21, $C$9, 100%, $E$9)</f>
        <v>15.9361</v>
      </c>
      <c r="K541" s="10">
        <f>CHOOSE(CONTROL!$C$42, 15.6568, 15.6568) * CHOOSE(CONTROL!$C$21, $C$9, 100%, $E$9)</f>
        <v>15.6568</v>
      </c>
      <c r="L541" s="10">
        <f>CHOOSE(CONTROL!$C$42, 16.5996, 16.5996) * CHOOSE(CONTROL!$C$21, $C$9, 100%, $E$9)</f>
        <v>16.599599999999999</v>
      </c>
      <c r="M541" s="10">
        <f>CHOOSE(CONTROL!$C$42, 15.7891, 15.7891) * CHOOSE(CONTROL!$C$21, $C$9, 100%, $E$9)</f>
        <v>15.789099999999999</v>
      </c>
      <c r="N541" s="10">
        <f>CHOOSE(CONTROL!$C$42, 15.8076, 15.8076) * CHOOSE(CONTROL!$C$21, $C$9, 100%, $E$9)</f>
        <v>15.807600000000001</v>
      </c>
      <c r="O541" s="10">
        <f>CHOOSE(CONTROL!$C$42, 15.8648, 15.8648) * CHOOSE(CONTROL!$C$21, $C$9, 100%, $E$9)</f>
        <v>15.864800000000001</v>
      </c>
      <c r="P541" s="10">
        <f>CHOOSE(CONTROL!$C$42, 15.8075, 15.8075) * CHOOSE(CONTROL!$C$21, $C$9, 100%, $E$9)</f>
        <v>15.807499999999999</v>
      </c>
      <c r="Q541" s="10">
        <f>CHOOSE(CONTROL!$C$42, 16.4601, 16.4601) * CHOOSE(CONTROL!$C$21, $C$9, 100%, $E$9)</f>
        <v>16.460100000000001</v>
      </c>
      <c r="R541" s="10">
        <f>CHOOSE(CONTROL!$C$42, 17.0882, 17.0882) * CHOOSE(CONTROL!$C$21, $C$9, 100%, $E$9)</f>
        <v>17.088200000000001</v>
      </c>
      <c r="S541" s="10">
        <f>CHOOSE(CONTROL!$C$42, 15.4968, 15.4968) * CHOOSE(CONTROL!$C$21, $C$9, 100%, $E$9)</f>
        <v>15.4968</v>
      </c>
      <c r="T5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38">
        <f>(1000*CHOOSE(CONTROL!$C$42, 695, 695)*CHOOSE(CONTROL!$C$42, 0.5599, 0.5599)*CHOOSE(CONTROL!$C$42, 31, 31))/1000000</f>
        <v>12.063045499999998</v>
      </c>
      <c r="V541" s="38">
        <f>(1000*CHOOSE(CONTROL!$C$42, 500, 500)*CHOOSE(CONTROL!$C$42, 0.275, 0.275)*CHOOSE(CONTROL!$C$42, 31, 31))/1000000</f>
        <v>4.2625000000000002</v>
      </c>
      <c r="W541" s="38">
        <f>(1000*CHOOSE(CONTROL!$C$42, 0.1146, 0.1146)*CHOOSE(CONTROL!$C$42, 121.5, 121.5)*CHOOSE(CONTROL!$C$42, 31, 31))/1000000</f>
        <v>0.43164089999999994</v>
      </c>
      <c r="X541" s="38">
        <f>(31*0.1790888*100000/1000000)+(31*0.2374*100000/1000000)</f>
        <v>1.2911152800000001</v>
      </c>
      <c r="Y541" s="38">
        <f>(1000*600*CHOOSE(CONTROL!$C$42, 1.0585, 1.0585)*CHOOSE(CONTROL!$C$42, 31, 31))/1000000</f>
        <v>19.688099999999999</v>
      </c>
      <c r="Z541" s="38"/>
      <c r="AA541" s="10"/>
      <c r="AB541" s="39"/>
      <c r="AC541" s="33">
        <f>(B541*122.58+C541*297.941+D541*89.177+E541*40.302+F541*40+G541*160+H541*0+I541*100+J541*300)/(122.58+297.941+89.177+40.302+0+40+160+100+300)</f>
        <v>15.958826783565218</v>
      </c>
      <c r="AD541" s="27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15.827122302158275</v>
      </c>
    </row>
    <row r="542" spans="1:30" ht="15.75" x14ac:dyDescent="0.25">
      <c r="A542" s="13">
        <v>57769</v>
      </c>
      <c r="B542" s="10">
        <f>CHOOSE(CONTROL!$C$42, 16.2442, 16.2442) * CHOOSE(CONTROL!$C$21, $C$9, 100%, $E$9)</f>
        <v>16.244199999999999</v>
      </c>
      <c r="C542" s="10">
        <f>CHOOSE(CONTROL!$C$42, 16.2492, 16.2492) * CHOOSE(CONTROL!$C$21, $C$9, 100%, $E$9)</f>
        <v>16.249199999999998</v>
      </c>
      <c r="D542" s="10">
        <f>CHOOSE(CONTROL!$C$42, 16.2737, 16.2737) * CHOOSE(CONTROL!$C$21, $C$9, 100%, $E$9)</f>
        <v>16.273700000000002</v>
      </c>
      <c r="E542" s="10">
        <f>CHOOSE(CONTROL!$C$42, 16.3074, 16.3074) * CHOOSE(CONTROL!$C$21, $C$9, 100%, $E$9)</f>
        <v>16.307400000000001</v>
      </c>
      <c r="F542" s="10">
        <f>CHOOSE(CONTROL!$C$42, 16.2265, 16.2265)*CHOOSE(CONTROL!$C$21, $C$9, 100%, $E$9)</f>
        <v>16.226500000000001</v>
      </c>
      <c r="G542" s="10">
        <f>CHOOSE(CONTROL!$C$42, 16.245, 16.245)*CHOOSE(CONTROL!$C$21, $C$9, 100%, $E$9)</f>
        <v>16.245000000000001</v>
      </c>
      <c r="H542" s="10">
        <f>CHOOSE(CONTROL!$C$42, 16.2966, 16.2966) * CHOOSE(CONTROL!$C$21, $C$9, 100%, $E$9)</f>
        <v>16.296600000000002</v>
      </c>
      <c r="I542" s="10">
        <f>CHOOSE(CONTROL!$C$42, 16.2387, 16.2387)* CHOOSE(CONTROL!$C$21, $C$9, 100%, $E$9)</f>
        <v>16.238700000000001</v>
      </c>
      <c r="J542" s="10">
        <f>CHOOSE(CONTROL!$C$42, 16.2195, 16.2195)* CHOOSE(CONTROL!$C$21, $C$9, 100%, $E$9)</f>
        <v>16.2195</v>
      </c>
      <c r="K542" s="10">
        <f>CHOOSE(CONTROL!$C$42, 15.9314, 15.9314) * CHOOSE(CONTROL!$C$21, $C$9, 100%, $E$9)</f>
        <v>15.9314</v>
      </c>
      <c r="L542" s="10">
        <f>CHOOSE(CONTROL!$C$42, 16.8836, 16.8836) * CHOOSE(CONTROL!$C$21, $C$9, 100%, $E$9)</f>
        <v>16.883600000000001</v>
      </c>
      <c r="M542" s="10">
        <f>CHOOSE(CONTROL!$C$42, 16.0696, 16.0696) * CHOOSE(CONTROL!$C$21, $C$9, 100%, $E$9)</f>
        <v>16.069600000000001</v>
      </c>
      <c r="N542" s="10">
        <f>CHOOSE(CONTROL!$C$42, 16.0879, 16.0879) * CHOOSE(CONTROL!$C$21, $C$9, 100%, $E$9)</f>
        <v>16.087900000000001</v>
      </c>
      <c r="O542" s="10">
        <f>CHOOSE(CONTROL!$C$42, 16.146, 16.146) * CHOOSE(CONTROL!$C$21, $C$9, 100%, $E$9)</f>
        <v>16.146000000000001</v>
      </c>
      <c r="P542" s="10">
        <f>CHOOSE(CONTROL!$C$42, 16.0887, 16.0887) * CHOOSE(CONTROL!$C$21, $C$9, 100%, $E$9)</f>
        <v>16.088699999999999</v>
      </c>
      <c r="Q542" s="10">
        <f>CHOOSE(CONTROL!$C$42, 16.7413, 16.7413) * CHOOSE(CONTROL!$C$21, $C$9, 100%, $E$9)</f>
        <v>16.741299999999999</v>
      </c>
      <c r="R542" s="10">
        <f>CHOOSE(CONTROL!$C$42, 17.3701, 17.3701) * CHOOSE(CONTROL!$C$21, $C$9, 100%, $E$9)</f>
        <v>17.370100000000001</v>
      </c>
      <c r="S542" s="10">
        <f>CHOOSE(CONTROL!$C$42, 15.7726, 15.7726) * CHOOSE(CONTROL!$C$21, $C$9, 100%, $E$9)</f>
        <v>15.772600000000001</v>
      </c>
      <c r="T5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38">
        <f>(1000*CHOOSE(CONTROL!$C$42, 695, 695)*CHOOSE(CONTROL!$C$42, 0.5599, 0.5599)*CHOOSE(CONTROL!$C$42, 28, 28))/1000000</f>
        <v>10.895653999999999</v>
      </c>
      <c r="V542" s="38">
        <f>(1000*CHOOSE(CONTROL!$C$42, 500, 500)*CHOOSE(CONTROL!$C$42, 0.275, 0.275)*CHOOSE(CONTROL!$C$42, 28, 28))/1000000</f>
        <v>3.85</v>
      </c>
      <c r="W542" s="38">
        <f>(1000*CHOOSE(CONTROL!$C$42, 0.1146, 0.1146)*CHOOSE(CONTROL!$C$42, 121.5, 121.5)*CHOOSE(CONTROL!$C$42, 28, 28))/1000000</f>
        <v>0.38986920000000003</v>
      </c>
      <c r="X542" s="38">
        <f>(28*0.1790888*100000/1000000)+(28*0.2374*100000/1000000)</f>
        <v>1.16616864</v>
      </c>
      <c r="Y542" s="38">
        <f>(1000*600*CHOOSE(CONTROL!$C$42, 1.0585, 1.0585)*CHOOSE(CONTROL!$C$42, 28, 28))/1000000</f>
        <v>17.782800000000002</v>
      </c>
      <c r="Z542" s="38"/>
      <c r="AA542" s="10"/>
      <c r="AB542" s="39"/>
      <c r="AC542" s="33">
        <f>(B542*122.58+C542*297.941+D542*89.177+E542*40.302+F542*40+G542*160+H542*0+I542*100+J542*300)/(122.58+297.941+89.177+40.302+0+40+160+100+300)</f>
        <v>16.242571750347828</v>
      </c>
      <c r="AD542" s="27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16.108028776978419</v>
      </c>
    </row>
    <row r="543" spans="1:30" ht="15.75" x14ac:dyDescent="0.25">
      <c r="A543" s="13">
        <v>57800</v>
      </c>
      <c r="B543" s="10">
        <f>CHOOSE(CONTROL!$C$42, 15.7831, 15.7831) * CHOOSE(CONTROL!$C$21, $C$9, 100%, $E$9)</f>
        <v>15.783099999999999</v>
      </c>
      <c r="C543" s="10">
        <f>CHOOSE(CONTROL!$C$42, 15.7881, 15.7881) * CHOOSE(CONTROL!$C$21, $C$9, 100%, $E$9)</f>
        <v>15.7881</v>
      </c>
      <c r="D543" s="10">
        <f>CHOOSE(CONTROL!$C$42, 15.8126, 15.8126) * CHOOSE(CONTROL!$C$21, $C$9, 100%, $E$9)</f>
        <v>15.8126</v>
      </c>
      <c r="E543" s="10">
        <f>CHOOSE(CONTROL!$C$42, 15.8463, 15.8463) * CHOOSE(CONTROL!$C$21, $C$9, 100%, $E$9)</f>
        <v>15.846299999999999</v>
      </c>
      <c r="F543" s="10">
        <f>CHOOSE(CONTROL!$C$42, 15.7639, 15.7639)*CHOOSE(CONTROL!$C$21, $C$9, 100%, $E$9)</f>
        <v>15.7639</v>
      </c>
      <c r="G543" s="10">
        <f>CHOOSE(CONTROL!$C$42, 15.7819, 15.7819)*CHOOSE(CONTROL!$C$21, $C$9, 100%, $E$9)</f>
        <v>15.7819</v>
      </c>
      <c r="H543" s="10">
        <f>CHOOSE(CONTROL!$C$42, 15.8355, 15.8355) * CHOOSE(CONTROL!$C$21, $C$9, 100%, $E$9)</f>
        <v>15.8355</v>
      </c>
      <c r="I543" s="10">
        <f>CHOOSE(CONTROL!$C$42, 15.7776, 15.7776)* CHOOSE(CONTROL!$C$21, $C$9, 100%, $E$9)</f>
        <v>15.7776</v>
      </c>
      <c r="J543" s="10">
        <f>CHOOSE(CONTROL!$C$42, 15.7569, 15.7569)* CHOOSE(CONTROL!$C$21, $C$9, 100%, $E$9)</f>
        <v>15.7569</v>
      </c>
      <c r="K543" s="10">
        <f>CHOOSE(CONTROL!$C$42, 15.48, 15.48) * CHOOSE(CONTROL!$C$21, $C$9, 100%, $E$9)</f>
        <v>15.48</v>
      </c>
      <c r="L543" s="10">
        <f>CHOOSE(CONTROL!$C$42, 16.4225, 16.4225) * CHOOSE(CONTROL!$C$21, $C$9, 100%, $E$9)</f>
        <v>16.422499999999999</v>
      </c>
      <c r="M543" s="10">
        <f>CHOOSE(CONTROL!$C$42, 15.6117, 15.6117) * CHOOSE(CONTROL!$C$21, $C$9, 100%, $E$9)</f>
        <v>15.611700000000001</v>
      </c>
      <c r="N543" s="10">
        <f>CHOOSE(CONTROL!$C$42, 15.6296, 15.6296) * CHOOSE(CONTROL!$C$21, $C$9, 100%, $E$9)</f>
        <v>15.6296</v>
      </c>
      <c r="O543" s="10">
        <f>CHOOSE(CONTROL!$C$42, 15.6895, 15.6895) * CHOOSE(CONTROL!$C$21, $C$9, 100%, $E$9)</f>
        <v>15.689500000000001</v>
      </c>
      <c r="P543" s="10">
        <f>CHOOSE(CONTROL!$C$42, 15.6323, 15.6323) * CHOOSE(CONTROL!$C$21, $C$9, 100%, $E$9)</f>
        <v>15.632300000000001</v>
      </c>
      <c r="Q543" s="10">
        <f>CHOOSE(CONTROL!$C$42, 16.2848, 16.2848) * CHOOSE(CONTROL!$C$21, $C$9, 100%, $E$9)</f>
        <v>16.284800000000001</v>
      </c>
      <c r="R543" s="10">
        <f>CHOOSE(CONTROL!$C$42, 16.9126, 16.9126) * CHOOSE(CONTROL!$C$21, $C$9, 100%, $E$9)</f>
        <v>16.912600000000001</v>
      </c>
      <c r="S543" s="10">
        <f>CHOOSE(CONTROL!$C$42, 15.3249, 15.3249) * CHOOSE(CONTROL!$C$21, $C$9, 100%, $E$9)</f>
        <v>15.3249</v>
      </c>
      <c r="T5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38">
        <f>(1000*CHOOSE(CONTROL!$C$42, 695, 695)*CHOOSE(CONTROL!$C$42, 0.5599, 0.5599)*CHOOSE(CONTROL!$C$42, 31, 31))/1000000</f>
        <v>12.063045499999998</v>
      </c>
      <c r="V543" s="38">
        <f>(1000*CHOOSE(CONTROL!$C$42, 500, 500)*CHOOSE(CONTROL!$C$42, 0.275, 0.275)*CHOOSE(CONTROL!$C$42, 31, 31))/1000000</f>
        <v>4.2625000000000002</v>
      </c>
      <c r="W543" s="38">
        <f>(1000*CHOOSE(CONTROL!$C$42, 0.1146, 0.1146)*CHOOSE(CONTROL!$C$42, 121.5, 121.5)*CHOOSE(CONTROL!$C$42, 31, 31))/1000000</f>
        <v>0.43164089999999994</v>
      </c>
      <c r="X543" s="38">
        <f>(31*0.1790888*100000/1000000)+(31*0.2374*100000/1000000)</f>
        <v>1.2911152800000001</v>
      </c>
      <c r="Y543" s="38">
        <f>(1000*600*CHOOSE(CONTROL!$C$42, 1.0585, 1.0585)*CHOOSE(CONTROL!$C$42, 31, 31))/1000000</f>
        <v>19.688099999999999</v>
      </c>
      <c r="Z543" s="38"/>
      <c r="AA543" s="10"/>
      <c r="AB543" s="39"/>
      <c r="AC543" s="33">
        <f>(B543*122.58+C543*297.941+D543*89.177+E543*40.302+F543*40+G543*160+H543*0+I543*100+J543*300)/(122.58+297.941+89.177+40.302+0+40+160+100+300)</f>
        <v>15.780750011217391</v>
      </c>
      <c r="AD543" s="27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15.650956115107912</v>
      </c>
    </row>
    <row r="544" spans="1:30" ht="15.75" x14ac:dyDescent="0.25">
      <c r="A544" s="13">
        <v>57830</v>
      </c>
      <c r="B544" s="10">
        <f>CHOOSE(CONTROL!$C$42, 15.7367, 15.7367) * CHOOSE(CONTROL!$C$21, $C$9, 100%, $E$9)</f>
        <v>15.736700000000001</v>
      </c>
      <c r="C544" s="10">
        <f>CHOOSE(CONTROL!$C$42, 15.741, 15.741) * CHOOSE(CONTROL!$C$21, $C$9, 100%, $E$9)</f>
        <v>15.741</v>
      </c>
      <c r="D544" s="10">
        <f>CHOOSE(CONTROL!$C$42, 15.9212, 15.9212) * CHOOSE(CONTROL!$C$21, $C$9, 100%, $E$9)</f>
        <v>15.921200000000001</v>
      </c>
      <c r="E544" s="10">
        <f>CHOOSE(CONTROL!$C$42, 15.953, 15.953) * CHOOSE(CONTROL!$C$21, $C$9, 100%, $E$9)</f>
        <v>15.952999999999999</v>
      </c>
      <c r="F544" s="10">
        <f>CHOOSE(CONTROL!$C$42, 15.702, 15.702)*CHOOSE(CONTROL!$C$21, $C$9, 100%, $E$9)</f>
        <v>15.702</v>
      </c>
      <c r="G544" s="10">
        <f>CHOOSE(CONTROL!$C$42, 15.7183, 15.7183)*CHOOSE(CONTROL!$C$21, $C$9, 100%, $E$9)</f>
        <v>15.718299999999999</v>
      </c>
      <c r="H544" s="10">
        <f>CHOOSE(CONTROL!$C$42, 15.9427, 15.9427) * CHOOSE(CONTROL!$C$21, $C$9, 100%, $E$9)</f>
        <v>15.9427</v>
      </c>
      <c r="I544" s="10">
        <f>CHOOSE(CONTROL!$C$42, 15.7227, 15.7227)* CHOOSE(CONTROL!$C$21, $C$9, 100%, $E$9)</f>
        <v>15.7227</v>
      </c>
      <c r="J544" s="10">
        <f>CHOOSE(CONTROL!$C$42, 15.695, 15.695)* CHOOSE(CONTROL!$C$21, $C$9, 100%, $E$9)</f>
        <v>15.695</v>
      </c>
      <c r="K544" s="10">
        <f>CHOOSE(CONTROL!$C$42, 15.4116, 15.4116) * CHOOSE(CONTROL!$C$21, $C$9, 100%, $E$9)</f>
        <v>15.4116</v>
      </c>
      <c r="L544" s="10">
        <f>CHOOSE(CONTROL!$C$42, 16.5297, 16.5297) * CHOOSE(CONTROL!$C$21, $C$9, 100%, $E$9)</f>
        <v>16.529699999999998</v>
      </c>
      <c r="M544" s="10">
        <f>CHOOSE(CONTROL!$C$42, 15.5504, 15.5504) * CHOOSE(CONTROL!$C$21, $C$9, 100%, $E$9)</f>
        <v>15.5504</v>
      </c>
      <c r="N544" s="10">
        <f>CHOOSE(CONTROL!$C$42, 15.5665, 15.5665) * CHOOSE(CONTROL!$C$21, $C$9, 100%, $E$9)</f>
        <v>15.5665</v>
      </c>
      <c r="O544" s="10">
        <f>CHOOSE(CONTROL!$C$42, 15.7957, 15.7957) * CHOOSE(CONTROL!$C$21, $C$9, 100%, $E$9)</f>
        <v>15.7957</v>
      </c>
      <c r="P544" s="10">
        <f>CHOOSE(CONTROL!$C$42, 15.5779, 15.5779) * CHOOSE(CONTROL!$C$21, $C$9, 100%, $E$9)</f>
        <v>15.5779</v>
      </c>
      <c r="Q544" s="10">
        <f>CHOOSE(CONTROL!$C$42, 16.391, 16.391) * CHOOSE(CONTROL!$C$21, $C$9, 100%, $E$9)</f>
        <v>16.390999999999998</v>
      </c>
      <c r="R544" s="10">
        <f>CHOOSE(CONTROL!$C$42, 17.019, 17.019) * CHOOSE(CONTROL!$C$21, $C$9, 100%, $E$9)</f>
        <v>17.018999999999998</v>
      </c>
      <c r="S544" s="10">
        <f>CHOOSE(CONTROL!$C$42, 15.279, 15.279) * CHOOSE(CONTROL!$C$21, $C$9, 100%, $E$9)</f>
        <v>15.279</v>
      </c>
      <c r="T5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38">
        <f>(1000*CHOOSE(CONTROL!$C$42, 695, 695)*CHOOSE(CONTROL!$C$42, 0.5599, 0.5599)*CHOOSE(CONTROL!$C$42, 30, 30))/1000000</f>
        <v>11.673914999999997</v>
      </c>
      <c r="V544" s="38">
        <f>(1000*CHOOSE(CONTROL!$C$42, 500, 500)*CHOOSE(CONTROL!$C$42, 0.275, 0.275)*CHOOSE(CONTROL!$C$42, 30, 30))/1000000</f>
        <v>4.125</v>
      </c>
      <c r="W544" s="38">
        <f>(1000*CHOOSE(CONTROL!$C$42, 0.1146, 0.1146)*CHOOSE(CONTROL!$C$42, 121.5, 121.5)*CHOOSE(CONTROL!$C$42, 30, 30))/1000000</f>
        <v>0.417717</v>
      </c>
      <c r="X544" s="38">
        <f>(30*0.1790888*245000/1000000)+(30*0.2374*100000/1000000)</f>
        <v>2.0285026799999999</v>
      </c>
      <c r="Y544" s="38">
        <f>(1000*600*CHOOSE(CONTROL!$C$42, 1.0585, 1.0585)*CHOOSE(CONTROL!$C$42, 30, 30))/1000000</f>
        <v>19.053000000000001</v>
      </c>
      <c r="Z544" s="38"/>
      <c r="AA544" s="10"/>
      <c r="AB544" s="39"/>
      <c r="AC544" s="33">
        <f>(B544*141.293+C544*267.993+D544*115.016+E544*89.698+F544*40+G544*185+H544*0+I544*100+J544*300)/(141.293+267.993+115.016+89.698+0+40+185+100+300)</f>
        <v>15.755321871912834</v>
      </c>
      <c r="AD544" s="27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15.626888489208634</v>
      </c>
    </row>
    <row r="545" spans="1:30" ht="15.75" x14ac:dyDescent="0.25">
      <c r="A545" s="13">
        <v>57861</v>
      </c>
      <c r="B545" s="10">
        <f>CHOOSE(CONTROL!$C$42, 15.8773, 15.8773) * CHOOSE(CONTROL!$C$21, $C$9, 100%, $E$9)</f>
        <v>15.8773</v>
      </c>
      <c r="C545" s="10">
        <f>CHOOSE(CONTROL!$C$42, 15.8852, 15.8852) * CHOOSE(CONTROL!$C$21, $C$9, 100%, $E$9)</f>
        <v>15.885199999999999</v>
      </c>
      <c r="D545" s="10">
        <f>CHOOSE(CONTROL!$C$42, 16.0622, 16.0622) * CHOOSE(CONTROL!$C$21, $C$9, 100%, $E$9)</f>
        <v>16.062200000000001</v>
      </c>
      <c r="E545" s="10">
        <f>CHOOSE(CONTROL!$C$42, 16.0934, 16.0934) * CHOOSE(CONTROL!$C$21, $C$9, 100%, $E$9)</f>
        <v>16.093399999999999</v>
      </c>
      <c r="F545" s="10">
        <f>CHOOSE(CONTROL!$C$42, 15.8407, 15.8407)*CHOOSE(CONTROL!$C$21, $C$9, 100%, $E$9)</f>
        <v>15.8407</v>
      </c>
      <c r="G545" s="10">
        <f>CHOOSE(CONTROL!$C$42, 15.8572, 15.8572)*CHOOSE(CONTROL!$C$21, $C$9, 100%, $E$9)</f>
        <v>15.857200000000001</v>
      </c>
      <c r="H545" s="10">
        <f>CHOOSE(CONTROL!$C$42, 16.082, 16.082) * CHOOSE(CONTROL!$C$21, $C$9, 100%, $E$9)</f>
        <v>16.082000000000001</v>
      </c>
      <c r="I545" s="10">
        <f>CHOOSE(CONTROL!$C$42, 15.8619, 15.8619)* CHOOSE(CONTROL!$C$21, $C$9, 100%, $E$9)</f>
        <v>15.8619</v>
      </c>
      <c r="J545" s="10">
        <f>CHOOSE(CONTROL!$C$42, 15.8337, 15.8337)* CHOOSE(CONTROL!$C$21, $C$9, 100%, $E$9)</f>
        <v>15.8337</v>
      </c>
      <c r="K545" s="10">
        <f>CHOOSE(CONTROL!$C$42, 15.5457, 15.5457) * CHOOSE(CONTROL!$C$21, $C$9, 100%, $E$9)</f>
        <v>15.5457</v>
      </c>
      <c r="L545" s="10">
        <f>CHOOSE(CONTROL!$C$42, 16.669, 16.669) * CHOOSE(CONTROL!$C$21, $C$9, 100%, $E$9)</f>
        <v>16.669</v>
      </c>
      <c r="M545" s="10">
        <f>CHOOSE(CONTROL!$C$42, 15.6877, 15.6877) * CHOOSE(CONTROL!$C$21, $C$9, 100%, $E$9)</f>
        <v>15.6877</v>
      </c>
      <c r="N545" s="10">
        <f>CHOOSE(CONTROL!$C$42, 15.704, 15.704) * CHOOSE(CONTROL!$C$21, $C$9, 100%, $E$9)</f>
        <v>15.704000000000001</v>
      </c>
      <c r="O545" s="10">
        <f>CHOOSE(CONTROL!$C$42, 15.9335, 15.9335) * CHOOSE(CONTROL!$C$21, $C$9, 100%, $E$9)</f>
        <v>15.9335</v>
      </c>
      <c r="P545" s="10">
        <f>CHOOSE(CONTROL!$C$42, 15.7157, 15.7157) * CHOOSE(CONTROL!$C$21, $C$9, 100%, $E$9)</f>
        <v>15.7157</v>
      </c>
      <c r="Q545" s="10">
        <f>CHOOSE(CONTROL!$C$42, 16.5288, 16.5288) * CHOOSE(CONTROL!$C$21, $C$9, 100%, $E$9)</f>
        <v>16.5288</v>
      </c>
      <c r="R545" s="10">
        <f>CHOOSE(CONTROL!$C$42, 17.1571, 17.1571) * CHOOSE(CONTROL!$C$21, $C$9, 100%, $E$9)</f>
        <v>17.1571</v>
      </c>
      <c r="S545" s="10">
        <f>CHOOSE(CONTROL!$C$42, 15.4142, 15.4142) * CHOOSE(CONTROL!$C$21, $C$9, 100%, $E$9)</f>
        <v>15.414199999999999</v>
      </c>
      <c r="T5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38">
        <f>(1000*CHOOSE(CONTROL!$C$42, 695, 695)*CHOOSE(CONTROL!$C$42, 0.5599, 0.5599)*CHOOSE(CONTROL!$C$42, 31, 31))/1000000</f>
        <v>12.063045499999998</v>
      </c>
      <c r="V545" s="38">
        <f>(1000*CHOOSE(CONTROL!$C$42, 500, 500)*CHOOSE(CONTROL!$C$42, 0.275, 0.275)*CHOOSE(CONTROL!$C$42, 31, 31))/1000000</f>
        <v>4.2625000000000002</v>
      </c>
      <c r="W545" s="38">
        <f>(1000*CHOOSE(CONTROL!$C$42, 0.1146, 0.1146)*CHOOSE(CONTROL!$C$42, 121.5, 121.5)*CHOOSE(CONTROL!$C$42, 31, 31))/1000000</f>
        <v>0.43164089999999994</v>
      </c>
      <c r="X545" s="38">
        <f>(31*0.1790888*245000/1000000)+(31*0.2374*100000/1000000)</f>
        <v>2.0961194359999999</v>
      </c>
      <c r="Y545" s="38">
        <f>(1000*600*CHOOSE(CONTROL!$C$42, 1.0585, 1.0585)*CHOOSE(CONTROL!$C$42, 31, 31))/1000000</f>
        <v>19.688099999999999</v>
      </c>
      <c r="Z545" s="38"/>
      <c r="AA545" s="10"/>
      <c r="AB545" s="39"/>
      <c r="AC545" s="33">
        <f>(B545*194.205+C545*267.466+D545*133.845+E545*53.484+F545*40+G545*185+H545*0+I545*100+J545*300)/(194.205+267.466+133.845+53.484+0+40+185+100+300)</f>
        <v>15.891912491601255</v>
      </c>
      <c r="AD545" s="27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15.764446762589927</v>
      </c>
    </row>
    <row r="546" spans="1:30" ht="15.75" x14ac:dyDescent="0.25">
      <c r="A546" s="13">
        <v>57891</v>
      </c>
      <c r="B546" s="10">
        <f>CHOOSE(CONTROL!$C$42, 16.3275, 16.3275) * CHOOSE(CONTROL!$C$21, $C$9, 100%, $E$9)</f>
        <v>16.327500000000001</v>
      </c>
      <c r="C546" s="10">
        <f>CHOOSE(CONTROL!$C$42, 16.3355, 16.3355) * CHOOSE(CONTROL!$C$21, $C$9, 100%, $E$9)</f>
        <v>16.3355</v>
      </c>
      <c r="D546" s="10">
        <f>CHOOSE(CONTROL!$C$42, 16.5124, 16.5124) * CHOOSE(CONTROL!$C$21, $C$9, 100%, $E$9)</f>
        <v>16.5124</v>
      </c>
      <c r="E546" s="10">
        <f>CHOOSE(CONTROL!$C$42, 16.5436, 16.5436) * CHOOSE(CONTROL!$C$21, $C$9, 100%, $E$9)</f>
        <v>16.543600000000001</v>
      </c>
      <c r="F546" s="10">
        <f>CHOOSE(CONTROL!$C$42, 16.2911, 16.2911)*CHOOSE(CONTROL!$C$21, $C$9, 100%, $E$9)</f>
        <v>16.2911</v>
      </c>
      <c r="G546" s="10">
        <f>CHOOSE(CONTROL!$C$42, 16.3076, 16.3076)*CHOOSE(CONTROL!$C$21, $C$9, 100%, $E$9)</f>
        <v>16.307600000000001</v>
      </c>
      <c r="H546" s="10">
        <f>CHOOSE(CONTROL!$C$42, 16.5322, 16.5322) * CHOOSE(CONTROL!$C$21, $C$9, 100%, $E$9)</f>
        <v>16.5322</v>
      </c>
      <c r="I546" s="10">
        <f>CHOOSE(CONTROL!$C$42, 16.3121, 16.3121)* CHOOSE(CONTROL!$C$21, $C$9, 100%, $E$9)</f>
        <v>16.312100000000001</v>
      </c>
      <c r="J546" s="10">
        <f>CHOOSE(CONTROL!$C$42, 16.2841, 16.2841)* CHOOSE(CONTROL!$C$21, $C$9, 100%, $E$9)</f>
        <v>16.284099999999999</v>
      </c>
      <c r="K546" s="10">
        <f>CHOOSE(CONTROL!$C$42, 15.9835, 15.9835) * CHOOSE(CONTROL!$C$21, $C$9, 100%, $E$9)</f>
        <v>15.983499999999999</v>
      </c>
      <c r="L546" s="10">
        <f>CHOOSE(CONTROL!$C$42, 17.1192, 17.1192) * CHOOSE(CONTROL!$C$21, $C$9, 100%, $E$9)</f>
        <v>17.119199999999999</v>
      </c>
      <c r="M546" s="10">
        <f>CHOOSE(CONTROL!$C$42, 16.1336, 16.1336) * CHOOSE(CONTROL!$C$21, $C$9, 100%, $E$9)</f>
        <v>16.133600000000001</v>
      </c>
      <c r="N546" s="10">
        <f>CHOOSE(CONTROL!$C$42, 16.1499, 16.1499) * CHOOSE(CONTROL!$C$21, $C$9, 100%, $E$9)</f>
        <v>16.149899999999999</v>
      </c>
      <c r="O546" s="10">
        <f>CHOOSE(CONTROL!$C$42, 16.3792, 16.3792) * CHOOSE(CONTROL!$C$21, $C$9, 100%, $E$9)</f>
        <v>16.379200000000001</v>
      </c>
      <c r="P546" s="10">
        <f>CHOOSE(CONTROL!$C$42, 16.1614, 16.1614) * CHOOSE(CONTROL!$C$21, $C$9, 100%, $E$9)</f>
        <v>16.1614</v>
      </c>
      <c r="Q546" s="10">
        <f>CHOOSE(CONTROL!$C$42, 16.9745, 16.9745) * CHOOSE(CONTROL!$C$21, $C$9, 100%, $E$9)</f>
        <v>16.974499999999999</v>
      </c>
      <c r="R546" s="10">
        <f>CHOOSE(CONTROL!$C$42, 17.6039, 17.6039) * CHOOSE(CONTROL!$C$21, $C$9, 100%, $E$9)</f>
        <v>17.603899999999999</v>
      </c>
      <c r="S546" s="10">
        <f>CHOOSE(CONTROL!$C$42, 15.8514, 15.8514) * CHOOSE(CONTROL!$C$21, $C$9, 100%, $E$9)</f>
        <v>15.8514</v>
      </c>
      <c r="T5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38">
        <f>(1000*CHOOSE(CONTROL!$C$42, 695, 695)*CHOOSE(CONTROL!$C$42, 0.5599, 0.5599)*CHOOSE(CONTROL!$C$42, 30, 30))/1000000</f>
        <v>11.673914999999997</v>
      </c>
      <c r="V546" s="38">
        <f>(1000*CHOOSE(CONTROL!$C$42, 500, 500)*CHOOSE(CONTROL!$C$42, 0.275, 0.275)*CHOOSE(CONTROL!$C$42, 30, 30))/1000000</f>
        <v>4.125</v>
      </c>
      <c r="W546" s="38">
        <f>(1000*CHOOSE(CONTROL!$C$42, 0.1146, 0.1146)*CHOOSE(CONTROL!$C$42, 121.5, 121.5)*CHOOSE(CONTROL!$C$42, 30, 30))/1000000</f>
        <v>0.417717</v>
      </c>
      <c r="X546" s="38">
        <f>(30*0.1790888*245000/1000000)+(30*0.2374*100000/1000000)</f>
        <v>2.0285026799999999</v>
      </c>
      <c r="Y546" s="38">
        <f>(1000*600*CHOOSE(CONTROL!$C$42, 1.0585, 1.0585)*CHOOSE(CONTROL!$C$42, 30, 30))/1000000</f>
        <v>19.053000000000001</v>
      </c>
      <c r="Z546" s="38"/>
      <c r="AA546" s="10"/>
      <c r="AB546" s="39"/>
      <c r="AC546" s="33">
        <f>(B546*194.205+C546*267.466+D546*133.845+E546*53.484+F546*40+G546*185+H546*0+I546*100+J546*300)/(194.205+267.466+133.845+53.484+0+40+185+100+300)</f>
        <v>16.342215903375198</v>
      </c>
      <c r="AD546" s="27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16.210261870503597</v>
      </c>
    </row>
    <row r="547" spans="1:30" ht="15.75" x14ac:dyDescent="0.25">
      <c r="A547" s="13">
        <v>57922</v>
      </c>
      <c r="B547" s="10">
        <f>CHOOSE(CONTROL!$C$42, 16.0144, 16.0144) * CHOOSE(CONTROL!$C$21, $C$9, 100%, $E$9)</f>
        <v>16.014399999999998</v>
      </c>
      <c r="C547" s="10">
        <f>CHOOSE(CONTROL!$C$42, 16.0223, 16.0223) * CHOOSE(CONTROL!$C$21, $C$9, 100%, $E$9)</f>
        <v>16.022300000000001</v>
      </c>
      <c r="D547" s="10">
        <f>CHOOSE(CONTROL!$C$42, 16.1993, 16.1993) * CHOOSE(CONTROL!$C$21, $C$9, 100%, $E$9)</f>
        <v>16.199300000000001</v>
      </c>
      <c r="E547" s="10">
        <f>CHOOSE(CONTROL!$C$42, 16.2304, 16.2304) * CHOOSE(CONTROL!$C$21, $C$9, 100%, $E$9)</f>
        <v>16.230399999999999</v>
      </c>
      <c r="F547" s="10">
        <f>CHOOSE(CONTROL!$C$42, 15.9782, 15.9782)*CHOOSE(CONTROL!$C$21, $C$9, 100%, $E$9)</f>
        <v>15.978199999999999</v>
      </c>
      <c r="G547" s="10">
        <f>CHOOSE(CONTROL!$C$42, 15.9948, 15.9948)*CHOOSE(CONTROL!$C$21, $C$9, 100%, $E$9)</f>
        <v>15.9948</v>
      </c>
      <c r="H547" s="10">
        <f>CHOOSE(CONTROL!$C$42, 16.2191, 16.2191) * CHOOSE(CONTROL!$C$21, $C$9, 100%, $E$9)</f>
        <v>16.219100000000001</v>
      </c>
      <c r="I547" s="10">
        <f>CHOOSE(CONTROL!$C$42, 15.999, 15.999)* CHOOSE(CONTROL!$C$21, $C$9, 100%, $E$9)</f>
        <v>15.999000000000001</v>
      </c>
      <c r="J547" s="10">
        <f>CHOOSE(CONTROL!$C$42, 15.9712, 15.9712)* CHOOSE(CONTROL!$C$21, $C$9, 100%, $E$9)</f>
        <v>15.9712</v>
      </c>
      <c r="K547" s="10">
        <f>CHOOSE(CONTROL!$C$42, 15.6798, 15.6798) * CHOOSE(CONTROL!$C$21, $C$9, 100%, $E$9)</f>
        <v>15.6798</v>
      </c>
      <c r="L547" s="10">
        <f>CHOOSE(CONTROL!$C$42, 16.8061, 16.8061) * CHOOSE(CONTROL!$C$21, $C$9, 100%, $E$9)</f>
        <v>16.806100000000001</v>
      </c>
      <c r="M547" s="10">
        <f>CHOOSE(CONTROL!$C$42, 15.8238, 15.8238) * CHOOSE(CONTROL!$C$21, $C$9, 100%, $E$9)</f>
        <v>15.8238</v>
      </c>
      <c r="N547" s="10">
        <f>CHOOSE(CONTROL!$C$42, 15.8403, 15.8403) * CHOOSE(CONTROL!$C$21, $C$9, 100%, $E$9)</f>
        <v>15.840299999999999</v>
      </c>
      <c r="O547" s="10">
        <f>CHOOSE(CONTROL!$C$42, 16.0692, 16.0692) * CHOOSE(CONTROL!$C$21, $C$9, 100%, $E$9)</f>
        <v>16.069199999999999</v>
      </c>
      <c r="P547" s="10">
        <f>CHOOSE(CONTROL!$C$42, 15.8514, 15.8514) * CHOOSE(CONTROL!$C$21, $C$9, 100%, $E$9)</f>
        <v>15.8514</v>
      </c>
      <c r="Q547" s="10">
        <f>CHOOSE(CONTROL!$C$42, 16.6645, 16.6645) * CHOOSE(CONTROL!$C$21, $C$9, 100%, $E$9)</f>
        <v>16.6645</v>
      </c>
      <c r="R547" s="10">
        <f>CHOOSE(CONTROL!$C$42, 17.2932, 17.2932) * CHOOSE(CONTROL!$C$21, $C$9, 100%, $E$9)</f>
        <v>17.293199999999999</v>
      </c>
      <c r="S547" s="10">
        <f>CHOOSE(CONTROL!$C$42, 15.5473, 15.5473) * CHOOSE(CONTROL!$C$21, $C$9, 100%, $E$9)</f>
        <v>15.5473</v>
      </c>
      <c r="T5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38">
        <f>(1000*CHOOSE(CONTROL!$C$42, 695, 695)*CHOOSE(CONTROL!$C$42, 0.5599, 0.5599)*CHOOSE(CONTROL!$C$42, 31, 31))/1000000</f>
        <v>12.063045499999998</v>
      </c>
      <c r="V547" s="38">
        <f>(1000*CHOOSE(CONTROL!$C$42, 500, 500)*CHOOSE(CONTROL!$C$42, 0.275, 0.275)*CHOOSE(CONTROL!$C$42, 31, 31))/1000000</f>
        <v>4.2625000000000002</v>
      </c>
      <c r="W547" s="38">
        <f>(1000*CHOOSE(CONTROL!$C$42, 0.1146, 0.1146)*CHOOSE(CONTROL!$C$42, 121.5, 121.5)*CHOOSE(CONTROL!$C$42, 31, 31))/1000000</f>
        <v>0.43164089999999994</v>
      </c>
      <c r="X547" s="38">
        <f>(31*0.1790888*245000/1000000)+(31*0.2374*100000/1000000)</f>
        <v>2.0961194359999999</v>
      </c>
      <c r="Y547" s="38">
        <f>(1000*600*CHOOSE(CONTROL!$C$42, 1.0585, 1.0585)*CHOOSE(CONTROL!$C$42, 31, 31))/1000000</f>
        <v>19.688099999999999</v>
      </c>
      <c r="Z547" s="38"/>
      <c r="AA547" s="10"/>
      <c r="AB547" s="39"/>
      <c r="AC547" s="33">
        <f>(B547*194.205+C547*267.466+D547*133.845+E547*53.484+F547*40+G547*185+H547*0+I547*100+J547*300)/(194.205+267.466+133.845+53.484+0+40+185+100+300)</f>
        <v>16.029187649843013</v>
      </c>
      <c r="AD547" s="27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15.90042302158273</v>
      </c>
    </row>
    <row r="548" spans="1:30" ht="15.75" x14ac:dyDescent="0.25">
      <c r="A548" s="13">
        <v>57953</v>
      </c>
      <c r="B548" s="10">
        <f>CHOOSE(CONTROL!$C$42, 15.2236, 15.2236) * CHOOSE(CONTROL!$C$21, $C$9, 100%, $E$9)</f>
        <v>15.223599999999999</v>
      </c>
      <c r="C548" s="10">
        <f>CHOOSE(CONTROL!$C$42, 15.2316, 15.2316) * CHOOSE(CONTROL!$C$21, $C$9, 100%, $E$9)</f>
        <v>15.2316</v>
      </c>
      <c r="D548" s="10">
        <f>CHOOSE(CONTROL!$C$42, 15.4086, 15.4086) * CHOOSE(CONTROL!$C$21, $C$9, 100%, $E$9)</f>
        <v>15.4086</v>
      </c>
      <c r="E548" s="10">
        <f>CHOOSE(CONTROL!$C$42, 15.4397, 15.4397) * CHOOSE(CONTROL!$C$21, $C$9, 100%, $E$9)</f>
        <v>15.4397</v>
      </c>
      <c r="F548" s="10">
        <f>CHOOSE(CONTROL!$C$42, 15.1875, 15.1875)*CHOOSE(CONTROL!$C$21, $C$9, 100%, $E$9)</f>
        <v>15.1875</v>
      </c>
      <c r="G548" s="10">
        <f>CHOOSE(CONTROL!$C$42, 15.2041, 15.2041)*CHOOSE(CONTROL!$C$21, $C$9, 100%, $E$9)</f>
        <v>15.2041</v>
      </c>
      <c r="H548" s="10">
        <f>CHOOSE(CONTROL!$C$42, 15.4283, 15.4283) * CHOOSE(CONTROL!$C$21, $C$9, 100%, $E$9)</f>
        <v>15.4283</v>
      </c>
      <c r="I548" s="10">
        <f>CHOOSE(CONTROL!$C$42, 15.2082, 15.2082)* CHOOSE(CONTROL!$C$21, $C$9, 100%, $E$9)</f>
        <v>15.2082</v>
      </c>
      <c r="J548" s="10">
        <f>CHOOSE(CONTROL!$C$42, 15.1805, 15.1805)* CHOOSE(CONTROL!$C$21, $C$9, 100%, $E$9)</f>
        <v>15.1805</v>
      </c>
      <c r="K548" s="10">
        <f>CHOOSE(CONTROL!$C$42, 14.9116, 14.9116) * CHOOSE(CONTROL!$C$21, $C$9, 100%, $E$9)</f>
        <v>14.9116</v>
      </c>
      <c r="L548" s="10">
        <f>CHOOSE(CONTROL!$C$42, 16.0153, 16.0153) * CHOOSE(CONTROL!$C$21, $C$9, 100%, $E$9)</f>
        <v>16.0153</v>
      </c>
      <c r="M548" s="10">
        <f>CHOOSE(CONTROL!$C$42, 15.0411, 15.0411) * CHOOSE(CONTROL!$C$21, $C$9, 100%, $E$9)</f>
        <v>15.0411</v>
      </c>
      <c r="N548" s="10">
        <f>CHOOSE(CONTROL!$C$42, 15.0576, 15.0576) * CHOOSE(CONTROL!$C$21, $C$9, 100%, $E$9)</f>
        <v>15.057600000000001</v>
      </c>
      <c r="O548" s="10">
        <f>CHOOSE(CONTROL!$C$42, 15.2864, 15.2864) * CHOOSE(CONTROL!$C$21, $C$9, 100%, $E$9)</f>
        <v>15.2864</v>
      </c>
      <c r="P548" s="10">
        <f>CHOOSE(CONTROL!$C$42, 15.0686, 15.0686) * CHOOSE(CONTROL!$C$21, $C$9, 100%, $E$9)</f>
        <v>15.0686</v>
      </c>
      <c r="Q548" s="10">
        <f>CHOOSE(CONTROL!$C$42, 15.8817, 15.8817) * CHOOSE(CONTROL!$C$21, $C$9, 100%, $E$9)</f>
        <v>15.8817</v>
      </c>
      <c r="R548" s="10">
        <f>CHOOSE(CONTROL!$C$42, 16.5085, 16.5085) * CHOOSE(CONTROL!$C$21, $C$9, 100%, $E$9)</f>
        <v>16.508500000000002</v>
      </c>
      <c r="S548" s="10">
        <f>CHOOSE(CONTROL!$C$42, 14.7794, 14.7794) * CHOOSE(CONTROL!$C$21, $C$9, 100%, $E$9)</f>
        <v>14.779400000000001</v>
      </c>
      <c r="T5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38">
        <f>(1000*CHOOSE(CONTROL!$C$42, 695, 695)*CHOOSE(CONTROL!$C$42, 0.5599, 0.5599)*CHOOSE(CONTROL!$C$42, 31, 31))/1000000</f>
        <v>12.063045499999998</v>
      </c>
      <c r="V548" s="38">
        <f>(1000*CHOOSE(CONTROL!$C$42, 500, 500)*CHOOSE(CONTROL!$C$42, 0.275, 0.275)*CHOOSE(CONTROL!$C$42, 31, 31))/1000000</f>
        <v>4.2625000000000002</v>
      </c>
      <c r="W548" s="38">
        <f>(1000*CHOOSE(CONTROL!$C$42, 0.1146, 0.1146)*CHOOSE(CONTROL!$C$42, 121.5, 121.5)*CHOOSE(CONTROL!$C$42, 31, 31))/1000000</f>
        <v>0.43164089999999994</v>
      </c>
      <c r="X548" s="38">
        <f>(31*0.1790888*245000/1000000)+(31*0.2374*100000/1000000)</f>
        <v>2.0961194359999999</v>
      </c>
      <c r="Y548" s="38">
        <f>(1000*600*CHOOSE(CONTROL!$C$42, 1.0585, 1.0585)*CHOOSE(CONTROL!$C$42, 31, 31))/1000000</f>
        <v>19.688099999999999</v>
      </c>
      <c r="Z548" s="38"/>
      <c r="AA548" s="10"/>
      <c r="AB548" s="39"/>
      <c r="AC548" s="33">
        <f>(B548*194.205+C548*267.466+D548*133.845+E548*53.484+F548*40+G548*185+H548*0+I548*100+J548*300)/(194.205+267.466+133.845+53.484+0+40+185+100+300)</f>
        <v>15.238464556828887</v>
      </c>
      <c r="AD548" s="27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15.11768057553957</v>
      </c>
    </row>
    <row r="549" spans="1:30" ht="15.75" x14ac:dyDescent="0.25">
      <c r="A549" s="13">
        <v>57983</v>
      </c>
      <c r="B549" s="10">
        <f>CHOOSE(CONTROL!$C$42, 14.2575, 14.2575) * CHOOSE(CONTROL!$C$21, $C$9, 100%, $E$9)</f>
        <v>14.2575</v>
      </c>
      <c r="C549" s="10">
        <f>CHOOSE(CONTROL!$C$42, 14.2654, 14.2654) * CHOOSE(CONTROL!$C$21, $C$9, 100%, $E$9)</f>
        <v>14.2654</v>
      </c>
      <c r="D549" s="10">
        <f>CHOOSE(CONTROL!$C$42, 14.4424, 14.4424) * CHOOSE(CONTROL!$C$21, $C$9, 100%, $E$9)</f>
        <v>14.442399999999999</v>
      </c>
      <c r="E549" s="10">
        <f>CHOOSE(CONTROL!$C$42, 14.4735, 14.4735) * CHOOSE(CONTROL!$C$21, $C$9, 100%, $E$9)</f>
        <v>14.4735</v>
      </c>
      <c r="F549" s="10">
        <f>CHOOSE(CONTROL!$C$42, 14.2211, 14.2211)*CHOOSE(CONTROL!$C$21, $C$9, 100%, $E$9)</f>
        <v>14.2211</v>
      </c>
      <c r="G549" s="10">
        <f>CHOOSE(CONTROL!$C$42, 14.2376, 14.2376)*CHOOSE(CONTROL!$C$21, $C$9, 100%, $E$9)</f>
        <v>14.2376</v>
      </c>
      <c r="H549" s="10">
        <f>CHOOSE(CONTROL!$C$42, 14.4622, 14.4622) * CHOOSE(CONTROL!$C$21, $C$9, 100%, $E$9)</f>
        <v>14.462199999999999</v>
      </c>
      <c r="I549" s="10">
        <f>CHOOSE(CONTROL!$C$42, 14.2421, 14.2421)* CHOOSE(CONTROL!$C$21, $C$9, 100%, $E$9)</f>
        <v>14.242100000000001</v>
      </c>
      <c r="J549" s="10">
        <f>CHOOSE(CONTROL!$C$42, 14.2141, 14.2141)* CHOOSE(CONTROL!$C$21, $C$9, 100%, $E$9)</f>
        <v>14.2141</v>
      </c>
      <c r="K549" s="10">
        <f>CHOOSE(CONTROL!$C$42, 13.9723, 13.9723) * CHOOSE(CONTROL!$C$21, $C$9, 100%, $E$9)</f>
        <v>13.972300000000001</v>
      </c>
      <c r="L549" s="10">
        <f>CHOOSE(CONTROL!$C$42, 15.0492, 15.0492) * CHOOSE(CONTROL!$C$21, $C$9, 100%, $E$9)</f>
        <v>15.049200000000001</v>
      </c>
      <c r="M549" s="10">
        <f>CHOOSE(CONTROL!$C$42, 14.0844, 14.0844) * CHOOSE(CONTROL!$C$21, $C$9, 100%, $E$9)</f>
        <v>14.0844</v>
      </c>
      <c r="N549" s="10">
        <f>CHOOSE(CONTROL!$C$42, 14.1008, 14.1008) * CHOOSE(CONTROL!$C$21, $C$9, 100%, $E$9)</f>
        <v>14.1008</v>
      </c>
      <c r="O549" s="10">
        <f>CHOOSE(CONTROL!$C$42, 14.33, 14.33) * CHOOSE(CONTROL!$C$21, $C$9, 100%, $E$9)</f>
        <v>14.33</v>
      </c>
      <c r="P549" s="10">
        <f>CHOOSE(CONTROL!$C$42, 14.1122, 14.1122) * CHOOSE(CONTROL!$C$21, $C$9, 100%, $E$9)</f>
        <v>14.1122</v>
      </c>
      <c r="Q549" s="10">
        <f>CHOOSE(CONTROL!$C$42, 14.9253, 14.9253) * CHOOSE(CONTROL!$C$21, $C$9, 100%, $E$9)</f>
        <v>14.9253</v>
      </c>
      <c r="R549" s="10">
        <f>CHOOSE(CONTROL!$C$42, 15.5496, 15.5496) * CHOOSE(CONTROL!$C$21, $C$9, 100%, $E$9)</f>
        <v>15.5496</v>
      </c>
      <c r="S549" s="10">
        <f>CHOOSE(CONTROL!$C$42, 13.8412, 13.8412) * CHOOSE(CONTROL!$C$21, $C$9, 100%, $E$9)</f>
        <v>13.841200000000001</v>
      </c>
      <c r="T5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38">
        <f>(1000*CHOOSE(CONTROL!$C$42, 695, 695)*CHOOSE(CONTROL!$C$42, 0.5599, 0.5599)*CHOOSE(CONTROL!$C$42, 30, 30))/1000000</f>
        <v>11.673914999999997</v>
      </c>
      <c r="V549" s="38">
        <f>(1000*CHOOSE(CONTROL!$C$42, 500, 500)*CHOOSE(CONTROL!$C$42, 0.275, 0.275)*CHOOSE(CONTROL!$C$42, 30, 30))/1000000</f>
        <v>4.125</v>
      </c>
      <c r="W549" s="38">
        <f>(1000*CHOOSE(CONTROL!$C$42, 0.1146, 0.1146)*CHOOSE(CONTROL!$C$42, 121.5, 121.5)*CHOOSE(CONTROL!$C$42, 30, 30))/1000000</f>
        <v>0.417717</v>
      </c>
      <c r="X549" s="38">
        <f>(30*0.1790888*245000/1000000)+(30*0.2374*100000/1000000)</f>
        <v>2.0285026799999999</v>
      </c>
      <c r="Y549" s="38">
        <f>(1000*600*CHOOSE(CONTROL!$C$42, 1.0585, 1.0585)*CHOOSE(CONTROL!$C$42, 30, 30))/1000000</f>
        <v>19.053000000000001</v>
      </c>
      <c r="Z549" s="38"/>
      <c r="AA549" s="10"/>
      <c r="AB549" s="39"/>
      <c r="AC549" s="33">
        <f>(B549*194.205+C549*267.466+D549*133.845+E549*53.484+F549*40+G549*185+H549*0+I549*100+J549*300)/(194.205+267.466+133.845+53.484+0+40+185+100+300)</f>
        <v>14.272190711067504</v>
      </c>
      <c r="AD549" s="27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14.161084892086331</v>
      </c>
    </row>
    <row r="550" spans="1:30" ht="15.75" x14ac:dyDescent="0.25">
      <c r="A550" s="13">
        <v>58014</v>
      </c>
      <c r="B550" s="10">
        <f>CHOOSE(CONTROL!$C$42, 13.966, 13.966) * CHOOSE(CONTROL!$C$21, $C$9, 100%, $E$9)</f>
        <v>13.965999999999999</v>
      </c>
      <c r="C550" s="10">
        <f>CHOOSE(CONTROL!$C$42, 13.9712, 13.9712) * CHOOSE(CONTROL!$C$21, $C$9, 100%, $E$9)</f>
        <v>13.9712</v>
      </c>
      <c r="D550" s="10">
        <f>CHOOSE(CONTROL!$C$42, 14.1531, 14.1531) * CHOOSE(CONTROL!$C$21, $C$9, 100%, $E$9)</f>
        <v>14.1531</v>
      </c>
      <c r="E550" s="10">
        <f>CHOOSE(CONTROL!$C$42, 14.1819, 14.1819) * CHOOSE(CONTROL!$C$21, $C$9, 100%, $E$9)</f>
        <v>14.181900000000001</v>
      </c>
      <c r="F550" s="10">
        <f>CHOOSE(CONTROL!$C$42, 13.9316, 13.9316)*CHOOSE(CONTROL!$C$21, $C$9, 100%, $E$9)</f>
        <v>13.9316</v>
      </c>
      <c r="G550" s="10">
        <f>CHOOSE(CONTROL!$C$42, 13.9478, 13.9478)*CHOOSE(CONTROL!$C$21, $C$9, 100%, $E$9)</f>
        <v>13.947800000000001</v>
      </c>
      <c r="H550" s="10">
        <f>CHOOSE(CONTROL!$C$42, 14.1724, 14.1724) * CHOOSE(CONTROL!$C$21, $C$9, 100%, $E$9)</f>
        <v>14.1724</v>
      </c>
      <c r="I550" s="10">
        <f>CHOOSE(CONTROL!$C$42, 13.9523, 13.9523)* CHOOSE(CONTROL!$C$21, $C$9, 100%, $E$9)</f>
        <v>13.952299999999999</v>
      </c>
      <c r="J550" s="10">
        <f>CHOOSE(CONTROL!$C$42, 13.9246, 13.9246)* CHOOSE(CONTROL!$C$21, $C$9, 100%, $E$9)</f>
        <v>13.9246</v>
      </c>
      <c r="K550" s="10">
        <f>CHOOSE(CONTROL!$C$42, 13.6914, 13.6914) * CHOOSE(CONTROL!$C$21, $C$9, 100%, $E$9)</f>
        <v>13.6914</v>
      </c>
      <c r="L550" s="10">
        <f>CHOOSE(CONTROL!$C$42, 14.7594, 14.7594) * CHOOSE(CONTROL!$C$21, $C$9, 100%, $E$9)</f>
        <v>14.759399999999999</v>
      </c>
      <c r="M550" s="10">
        <f>CHOOSE(CONTROL!$C$42, 13.7979, 13.7979) * CHOOSE(CONTROL!$C$21, $C$9, 100%, $E$9)</f>
        <v>13.7979</v>
      </c>
      <c r="N550" s="10">
        <f>CHOOSE(CONTROL!$C$42, 13.8139, 13.8139) * CHOOSE(CONTROL!$C$21, $C$9, 100%, $E$9)</f>
        <v>13.8139</v>
      </c>
      <c r="O550" s="10">
        <f>CHOOSE(CONTROL!$C$42, 14.0432, 14.0432) * CHOOSE(CONTROL!$C$21, $C$9, 100%, $E$9)</f>
        <v>14.043200000000001</v>
      </c>
      <c r="P550" s="10">
        <f>CHOOSE(CONTROL!$C$42, 13.8254, 13.8254) * CHOOSE(CONTROL!$C$21, $C$9, 100%, $E$9)</f>
        <v>13.8254</v>
      </c>
      <c r="Q550" s="10">
        <f>CHOOSE(CONTROL!$C$42, 14.6385, 14.6385) * CHOOSE(CONTROL!$C$21, $C$9, 100%, $E$9)</f>
        <v>14.638500000000001</v>
      </c>
      <c r="R550" s="10">
        <f>CHOOSE(CONTROL!$C$42, 15.2621, 15.2621) * CHOOSE(CONTROL!$C$21, $C$9, 100%, $E$9)</f>
        <v>15.2621</v>
      </c>
      <c r="S550" s="10">
        <f>CHOOSE(CONTROL!$C$42, 13.5598, 13.5598) * CHOOSE(CONTROL!$C$21, $C$9, 100%, $E$9)</f>
        <v>13.559799999999999</v>
      </c>
      <c r="T5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38">
        <f>(1000*CHOOSE(CONTROL!$C$42, 695, 695)*CHOOSE(CONTROL!$C$42, 0.5599, 0.5599)*CHOOSE(CONTROL!$C$42, 31, 31))/1000000</f>
        <v>12.063045499999998</v>
      </c>
      <c r="V550" s="38">
        <f>(1000*CHOOSE(CONTROL!$C$42, 500, 500)*CHOOSE(CONTROL!$C$42, 0.275, 0.275)*CHOOSE(CONTROL!$C$42, 31, 31))/1000000</f>
        <v>4.2625000000000002</v>
      </c>
      <c r="W550" s="38">
        <f>(1000*CHOOSE(CONTROL!$C$42, 0.1146, 0.1146)*CHOOSE(CONTROL!$C$42, 121.5, 121.5)*CHOOSE(CONTROL!$C$42, 31, 31))/1000000</f>
        <v>0.43164089999999994</v>
      </c>
      <c r="X550" s="38">
        <f>(31*0.1790888*245000/1000000)+(31*0.2374*100000/1000000)</f>
        <v>2.0961194359999999</v>
      </c>
      <c r="Y550" s="38">
        <f>(1000*600*CHOOSE(CONTROL!$C$42, 1.0585, 1.0585)*CHOOSE(CONTROL!$C$42, 31, 31))/1000000</f>
        <v>19.688099999999999</v>
      </c>
      <c r="Z550" s="38"/>
      <c r="AA550" s="10"/>
      <c r="AB550" s="39"/>
      <c r="AC550" s="33">
        <f>(B550*131.881+C550*277.167+D550*79.08+E550*125.872+F550*40+G550*185+H550*0+I550*100+J550*300)/(131.881+277.167+79.08+125.872+0+40+185+100+300)</f>
        <v>13.986080630508475</v>
      </c>
      <c r="AD550" s="27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13.874365467625902</v>
      </c>
    </row>
    <row r="551" spans="1:30" ht="15.75" x14ac:dyDescent="0.25">
      <c r="A551" s="13">
        <v>58044</v>
      </c>
      <c r="B551" s="10">
        <f>CHOOSE(CONTROL!$C$42, 14.3334, 14.3334) * CHOOSE(CONTROL!$C$21, $C$9, 100%, $E$9)</f>
        <v>14.333399999999999</v>
      </c>
      <c r="C551" s="10">
        <f>CHOOSE(CONTROL!$C$42, 14.3383, 14.3383) * CHOOSE(CONTROL!$C$21, $C$9, 100%, $E$9)</f>
        <v>14.3383</v>
      </c>
      <c r="D551" s="10">
        <f>CHOOSE(CONTROL!$C$42, 14.3628, 14.3628) * CHOOSE(CONTROL!$C$21, $C$9, 100%, $E$9)</f>
        <v>14.3628</v>
      </c>
      <c r="E551" s="10">
        <f>CHOOSE(CONTROL!$C$42, 14.3966, 14.3966) * CHOOSE(CONTROL!$C$21, $C$9, 100%, $E$9)</f>
        <v>14.396599999999999</v>
      </c>
      <c r="F551" s="10">
        <f>CHOOSE(CONTROL!$C$42, 14.3027, 14.3027)*CHOOSE(CONTROL!$C$21, $C$9, 100%, $E$9)</f>
        <v>14.3027</v>
      </c>
      <c r="G551" s="10">
        <f>CHOOSE(CONTROL!$C$42, 14.3191, 14.3191)*CHOOSE(CONTROL!$C$21, $C$9, 100%, $E$9)</f>
        <v>14.319100000000001</v>
      </c>
      <c r="H551" s="10">
        <f>CHOOSE(CONTROL!$C$42, 14.3858, 14.3858) * CHOOSE(CONTROL!$C$21, $C$9, 100%, $E$9)</f>
        <v>14.3858</v>
      </c>
      <c r="I551" s="10">
        <f>CHOOSE(CONTROL!$C$42, 14.3202, 14.3202)* CHOOSE(CONTROL!$C$21, $C$9, 100%, $E$9)</f>
        <v>14.3202</v>
      </c>
      <c r="J551" s="10">
        <f>CHOOSE(CONTROL!$C$42, 14.2957, 14.2957)* CHOOSE(CONTROL!$C$21, $C$9, 100%, $E$9)</f>
        <v>14.2957</v>
      </c>
      <c r="K551" s="10">
        <f>CHOOSE(CONTROL!$C$42, 14.0503, 14.0503) * CHOOSE(CONTROL!$C$21, $C$9, 100%, $E$9)</f>
        <v>14.0503</v>
      </c>
      <c r="L551" s="10">
        <f>CHOOSE(CONTROL!$C$42, 14.9728, 14.9728) * CHOOSE(CONTROL!$C$21, $C$9, 100%, $E$9)</f>
        <v>14.972799999999999</v>
      </c>
      <c r="M551" s="10">
        <f>CHOOSE(CONTROL!$C$42, 14.1653, 14.1653) * CHOOSE(CONTROL!$C$21, $C$9, 100%, $E$9)</f>
        <v>14.1653</v>
      </c>
      <c r="N551" s="10">
        <f>CHOOSE(CONTROL!$C$42, 14.1815, 14.1815) * CHOOSE(CONTROL!$C$21, $C$9, 100%, $E$9)</f>
        <v>14.1815</v>
      </c>
      <c r="O551" s="10">
        <f>CHOOSE(CONTROL!$C$42, 14.2544, 14.2544) * CHOOSE(CONTROL!$C$21, $C$9, 100%, $E$9)</f>
        <v>14.2544</v>
      </c>
      <c r="P551" s="10">
        <f>CHOOSE(CONTROL!$C$42, 14.1895, 14.1895) * CHOOSE(CONTROL!$C$21, $C$9, 100%, $E$9)</f>
        <v>14.189500000000001</v>
      </c>
      <c r="Q551" s="10">
        <f>CHOOSE(CONTROL!$C$42, 14.8497, 14.8497) * CHOOSE(CONTROL!$C$21, $C$9, 100%, $E$9)</f>
        <v>14.8497</v>
      </c>
      <c r="R551" s="10">
        <f>CHOOSE(CONTROL!$C$42, 15.4738, 15.4738) * CHOOSE(CONTROL!$C$21, $C$9, 100%, $E$9)</f>
        <v>15.473800000000001</v>
      </c>
      <c r="S551" s="10">
        <f>CHOOSE(CONTROL!$C$42, 13.917, 13.917) * CHOOSE(CONTROL!$C$21, $C$9, 100%, $E$9)</f>
        <v>13.917</v>
      </c>
      <c r="T5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38">
        <f>(1000*CHOOSE(CONTROL!$C$42, 695, 695)*CHOOSE(CONTROL!$C$42, 0.5599, 0.5599)*CHOOSE(CONTROL!$C$42, 30, 30))/1000000</f>
        <v>11.673914999999997</v>
      </c>
      <c r="V551" s="38">
        <f>(1000*CHOOSE(CONTROL!$C$42, 500, 500)*CHOOSE(CONTROL!$C$42, 0.275, 0.275)*CHOOSE(CONTROL!$C$42, 30, 30))/1000000</f>
        <v>4.125</v>
      </c>
      <c r="W551" s="38">
        <f>(1000*CHOOSE(CONTROL!$C$42, 0.1146, 0.1146)*CHOOSE(CONTROL!$C$42, 121.5, 121.5)*CHOOSE(CONTROL!$C$42, 30, 30))/1000000</f>
        <v>0.417717</v>
      </c>
      <c r="X551" s="38">
        <f>(30*0.1790888*100000/1000000)+(30*0.2374*100000/1000000)</f>
        <v>1.2494664</v>
      </c>
      <c r="Y551" s="38">
        <f>(1000*600*CHOOSE(CONTROL!$C$42, 1.0585, 1.0585)*CHOOSE(CONTROL!$C$42, 30, 30))/1000000</f>
        <v>19.053000000000001</v>
      </c>
      <c r="Z551" s="38"/>
      <c r="AA551" s="10"/>
      <c r="AB551" s="39"/>
      <c r="AC551" s="33">
        <f>(B551*122.58+C551*297.941+D551*89.177+E551*40.302+F551*40+G551*160+H551*0+I551*100+J551*300)/(122.58+297.941+89.177+40.302+0+40+160+100+300)</f>
        <v>14.325124174869565</v>
      </c>
      <c r="AD551" s="27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14.210097841726618</v>
      </c>
    </row>
    <row r="552" spans="1:30" ht="15.75" x14ac:dyDescent="0.25">
      <c r="A552" s="13">
        <v>58075</v>
      </c>
      <c r="B552" s="10">
        <f>CHOOSE(CONTROL!$C$42, 15.3104, 15.3104) * CHOOSE(CONTROL!$C$21, $C$9, 100%, $E$9)</f>
        <v>15.3104</v>
      </c>
      <c r="C552" s="10">
        <f>CHOOSE(CONTROL!$C$42, 15.3154, 15.3154) * CHOOSE(CONTROL!$C$21, $C$9, 100%, $E$9)</f>
        <v>15.3154</v>
      </c>
      <c r="D552" s="10">
        <f>CHOOSE(CONTROL!$C$42, 15.3398, 15.3398) * CHOOSE(CONTROL!$C$21, $C$9, 100%, $E$9)</f>
        <v>15.3398</v>
      </c>
      <c r="E552" s="10">
        <f>CHOOSE(CONTROL!$C$42, 15.3736, 15.3736) * CHOOSE(CONTROL!$C$21, $C$9, 100%, $E$9)</f>
        <v>15.3736</v>
      </c>
      <c r="F552" s="10">
        <f>CHOOSE(CONTROL!$C$42, 15.282, 15.282)*CHOOSE(CONTROL!$C$21, $C$9, 100%, $E$9)</f>
        <v>15.282</v>
      </c>
      <c r="G552" s="10">
        <f>CHOOSE(CONTROL!$C$42, 15.2991, 15.2991)*CHOOSE(CONTROL!$C$21, $C$9, 100%, $E$9)</f>
        <v>15.299099999999999</v>
      </c>
      <c r="H552" s="10">
        <f>CHOOSE(CONTROL!$C$42, 15.3628, 15.3628) * CHOOSE(CONTROL!$C$21, $C$9, 100%, $E$9)</f>
        <v>15.3628</v>
      </c>
      <c r="I552" s="10">
        <f>CHOOSE(CONTROL!$C$42, 15.2972, 15.2972)* CHOOSE(CONTROL!$C$21, $C$9, 100%, $E$9)</f>
        <v>15.2972</v>
      </c>
      <c r="J552" s="10">
        <f>CHOOSE(CONTROL!$C$42, 15.275, 15.275)* CHOOSE(CONTROL!$C$21, $C$9, 100%, $E$9)</f>
        <v>15.275</v>
      </c>
      <c r="K552" s="10">
        <f>CHOOSE(CONTROL!$C$42, 15.0046, 15.0046) * CHOOSE(CONTROL!$C$21, $C$9, 100%, $E$9)</f>
        <v>15.0046</v>
      </c>
      <c r="L552" s="10">
        <f>CHOOSE(CONTROL!$C$42, 15.9498, 15.9498) * CHOOSE(CONTROL!$C$21, $C$9, 100%, $E$9)</f>
        <v>15.9498</v>
      </c>
      <c r="M552" s="10">
        <f>CHOOSE(CONTROL!$C$42, 15.1347, 15.1347) * CHOOSE(CONTROL!$C$21, $C$9, 100%, $E$9)</f>
        <v>15.1347</v>
      </c>
      <c r="N552" s="10">
        <f>CHOOSE(CONTROL!$C$42, 15.1516, 15.1516) * CHOOSE(CONTROL!$C$21, $C$9, 100%, $E$9)</f>
        <v>15.1516</v>
      </c>
      <c r="O552" s="10">
        <f>CHOOSE(CONTROL!$C$42, 15.2216, 15.2216) * CHOOSE(CONTROL!$C$21, $C$9, 100%, $E$9)</f>
        <v>15.2216</v>
      </c>
      <c r="P552" s="10">
        <f>CHOOSE(CONTROL!$C$42, 15.1567, 15.1567) * CHOOSE(CONTROL!$C$21, $C$9, 100%, $E$9)</f>
        <v>15.156700000000001</v>
      </c>
      <c r="Q552" s="10">
        <f>CHOOSE(CONTROL!$C$42, 15.8169, 15.8169) * CHOOSE(CONTROL!$C$21, $C$9, 100%, $E$9)</f>
        <v>15.8169</v>
      </c>
      <c r="R552" s="10">
        <f>CHOOSE(CONTROL!$C$42, 16.4434, 16.4434) * CHOOSE(CONTROL!$C$21, $C$9, 100%, $E$9)</f>
        <v>16.4434</v>
      </c>
      <c r="S552" s="10">
        <f>CHOOSE(CONTROL!$C$42, 14.8658, 14.8658) * CHOOSE(CONTROL!$C$21, $C$9, 100%, $E$9)</f>
        <v>14.8658</v>
      </c>
      <c r="T5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38">
        <f>(1000*CHOOSE(CONTROL!$C$42, 695, 695)*CHOOSE(CONTROL!$C$42, 0.5599, 0.5599)*CHOOSE(CONTROL!$C$42, 31, 31))/1000000</f>
        <v>12.063045499999998</v>
      </c>
      <c r="V552" s="38">
        <f>(1000*CHOOSE(CONTROL!$C$42, 500, 500)*CHOOSE(CONTROL!$C$42, 0.275, 0.275)*CHOOSE(CONTROL!$C$42, 31, 31))/1000000</f>
        <v>4.2625000000000002</v>
      </c>
      <c r="W552" s="38">
        <f>(1000*CHOOSE(CONTROL!$C$42, 0.1146, 0.1146)*CHOOSE(CONTROL!$C$42, 121.5, 121.5)*CHOOSE(CONTROL!$C$42, 31, 31))/1000000</f>
        <v>0.43164089999999994</v>
      </c>
      <c r="X552" s="38">
        <f>(31*0.1790888*100000/1000000)+(31*0.2374*100000/1000000)</f>
        <v>1.2911152800000001</v>
      </c>
      <c r="Y552" s="38">
        <f>(1000*600*CHOOSE(CONTROL!$C$42, 1.0585, 1.0585)*CHOOSE(CONTROL!$C$42, 31, 31))/1000000</f>
        <v>19.688099999999999</v>
      </c>
      <c r="Z552" s="38"/>
      <c r="AA552" s="10"/>
      <c r="AB552" s="39"/>
      <c r="AC552" s="33">
        <f>(B552*122.58+C552*297.941+D552*89.177+E552*40.302+F552*40+G552*160+H552*0+I552*100+J552*300)/(122.58+297.941+89.177+40.302+0+40+160+100+300)</f>
        <v>15.303247474086955</v>
      </c>
      <c r="AD552" s="27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15.178224460431654</v>
      </c>
    </row>
    <row r="553" spans="1:30" ht="15.75" x14ac:dyDescent="0.25">
      <c r="A553" s="13">
        <v>58106</v>
      </c>
      <c r="B553" s="10">
        <f>CHOOSE(CONTROL!$C$42, 16.3436, 16.3436) * CHOOSE(CONTROL!$C$21, $C$9, 100%, $E$9)</f>
        <v>16.343599999999999</v>
      </c>
      <c r="C553" s="10">
        <f>CHOOSE(CONTROL!$C$42, 16.3485, 16.3485) * CHOOSE(CONTROL!$C$21, $C$9, 100%, $E$9)</f>
        <v>16.348500000000001</v>
      </c>
      <c r="D553" s="10">
        <f>CHOOSE(CONTROL!$C$42, 16.373, 16.373) * CHOOSE(CONTROL!$C$21, $C$9, 100%, $E$9)</f>
        <v>16.373000000000001</v>
      </c>
      <c r="E553" s="10">
        <f>CHOOSE(CONTROL!$C$42, 16.4068, 16.4068) * CHOOSE(CONTROL!$C$21, $C$9, 100%, $E$9)</f>
        <v>16.4068</v>
      </c>
      <c r="F553" s="10">
        <f>CHOOSE(CONTROL!$C$42, 16.3265, 16.3265)*CHOOSE(CONTROL!$C$21, $C$9, 100%, $E$9)</f>
        <v>16.326499999999999</v>
      </c>
      <c r="G553" s="10">
        <f>CHOOSE(CONTROL!$C$42, 16.3452, 16.3452)*CHOOSE(CONTROL!$C$21, $C$9, 100%, $E$9)</f>
        <v>16.345199999999998</v>
      </c>
      <c r="H553" s="10">
        <f>CHOOSE(CONTROL!$C$42, 16.396, 16.396) * CHOOSE(CONTROL!$C$21, $C$9, 100%, $E$9)</f>
        <v>16.396000000000001</v>
      </c>
      <c r="I553" s="10">
        <f>CHOOSE(CONTROL!$C$42, 16.3381, 16.3381)* CHOOSE(CONTROL!$C$21, $C$9, 100%, $E$9)</f>
        <v>16.338100000000001</v>
      </c>
      <c r="J553" s="10">
        <f>CHOOSE(CONTROL!$C$42, 16.3195, 16.3195)* CHOOSE(CONTROL!$C$21, $C$9, 100%, $E$9)</f>
        <v>16.319500000000001</v>
      </c>
      <c r="K553" s="10">
        <f>CHOOSE(CONTROL!$C$42, 16.0294, 16.0294) * CHOOSE(CONTROL!$C$21, $C$9, 100%, $E$9)</f>
        <v>16.029399999999999</v>
      </c>
      <c r="L553" s="10">
        <f>CHOOSE(CONTROL!$C$42, 16.983, 16.983) * CHOOSE(CONTROL!$C$21, $C$9, 100%, $E$9)</f>
        <v>16.983000000000001</v>
      </c>
      <c r="M553" s="10">
        <f>CHOOSE(CONTROL!$C$42, 16.1687, 16.1687) * CHOOSE(CONTROL!$C$21, $C$9, 100%, $E$9)</f>
        <v>16.168700000000001</v>
      </c>
      <c r="N553" s="10">
        <f>CHOOSE(CONTROL!$C$42, 16.1871, 16.1871) * CHOOSE(CONTROL!$C$21, $C$9, 100%, $E$9)</f>
        <v>16.187100000000001</v>
      </c>
      <c r="O553" s="10">
        <f>CHOOSE(CONTROL!$C$42, 16.2443, 16.2443) * CHOOSE(CONTROL!$C$21, $C$9, 100%, $E$9)</f>
        <v>16.244299999999999</v>
      </c>
      <c r="P553" s="10">
        <f>CHOOSE(CONTROL!$C$42, 16.1871, 16.1871) * CHOOSE(CONTROL!$C$21, $C$9, 100%, $E$9)</f>
        <v>16.187100000000001</v>
      </c>
      <c r="Q553" s="10">
        <f>CHOOSE(CONTROL!$C$42, 16.8396, 16.8396) * CHOOSE(CONTROL!$C$21, $C$9, 100%, $E$9)</f>
        <v>16.839600000000001</v>
      </c>
      <c r="R553" s="10">
        <f>CHOOSE(CONTROL!$C$42, 17.4687, 17.4687) * CHOOSE(CONTROL!$C$21, $C$9, 100%, $E$9)</f>
        <v>17.468699999999998</v>
      </c>
      <c r="S553" s="10">
        <f>CHOOSE(CONTROL!$C$42, 15.8691, 15.8691) * CHOOSE(CONTROL!$C$21, $C$9, 100%, $E$9)</f>
        <v>15.8691</v>
      </c>
      <c r="T5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38">
        <f>(1000*CHOOSE(CONTROL!$C$42, 695, 695)*CHOOSE(CONTROL!$C$42, 0.5599, 0.5599)*CHOOSE(CONTROL!$C$42, 31, 31))/1000000</f>
        <v>12.063045499999998</v>
      </c>
      <c r="V553" s="38">
        <f>(1000*CHOOSE(CONTROL!$C$42, 500, 500)*CHOOSE(CONTROL!$C$42, 0.275, 0.275)*CHOOSE(CONTROL!$C$42, 31, 31))/1000000</f>
        <v>4.2625000000000002</v>
      </c>
      <c r="W553" s="38">
        <f>(1000*CHOOSE(CONTROL!$C$42, 0.1146, 0.1146)*CHOOSE(CONTROL!$C$42, 121.5, 121.5)*CHOOSE(CONTROL!$C$42, 31, 31))/1000000</f>
        <v>0.43164089999999994</v>
      </c>
      <c r="X553" s="38">
        <f>(31*0.1790888*100000/1000000)+(31*0.2374*100000/1000000)</f>
        <v>1.2911152800000001</v>
      </c>
      <c r="Y553" s="38">
        <f>(1000*600*CHOOSE(CONTROL!$C$42, 1.0585, 1.0585)*CHOOSE(CONTROL!$C$42, 31, 31))/1000000</f>
        <v>19.688099999999999</v>
      </c>
      <c r="Z553" s="38"/>
      <c r="AA553" s="10"/>
      <c r="AB553" s="39"/>
      <c r="AC553" s="33">
        <f>(B553*122.58+C553*297.941+D553*89.177+E553*40.302+F553*40+G553*160+H553*0+I553*100+J553*300)/(122.58+297.941+89.177+40.302+0+40+160+100+300)</f>
        <v>16.342226783565216</v>
      </c>
      <c r="AD553" s="27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16.206671223021583</v>
      </c>
    </row>
    <row r="554" spans="1:30" ht="15.75" x14ac:dyDescent="0.25">
      <c r="A554" s="13">
        <v>58134</v>
      </c>
      <c r="B554" s="10">
        <f>CHOOSE(CONTROL!$C$42, 16.6345, 16.6345) * CHOOSE(CONTROL!$C$21, $C$9, 100%, $E$9)</f>
        <v>16.634499999999999</v>
      </c>
      <c r="C554" s="10">
        <f>CHOOSE(CONTROL!$C$42, 16.6394, 16.6394) * CHOOSE(CONTROL!$C$21, $C$9, 100%, $E$9)</f>
        <v>16.639399999999998</v>
      </c>
      <c r="D554" s="10">
        <f>CHOOSE(CONTROL!$C$42, 16.6639, 16.6639) * CHOOSE(CONTROL!$C$21, $C$9, 100%, $E$9)</f>
        <v>16.663900000000002</v>
      </c>
      <c r="E554" s="10">
        <f>CHOOSE(CONTROL!$C$42, 16.6977, 16.6977) * CHOOSE(CONTROL!$C$21, $C$9, 100%, $E$9)</f>
        <v>16.697700000000001</v>
      </c>
      <c r="F554" s="10">
        <f>CHOOSE(CONTROL!$C$42, 16.6167, 16.6167)*CHOOSE(CONTROL!$C$21, $C$9, 100%, $E$9)</f>
        <v>16.616700000000002</v>
      </c>
      <c r="G554" s="10">
        <f>CHOOSE(CONTROL!$C$42, 16.6352, 16.6352)*CHOOSE(CONTROL!$C$21, $C$9, 100%, $E$9)</f>
        <v>16.635200000000001</v>
      </c>
      <c r="H554" s="10">
        <f>CHOOSE(CONTROL!$C$42, 16.6869, 16.6869) * CHOOSE(CONTROL!$C$21, $C$9, 100%, $E$9)</f>
        <v>16.686900000000001</v>
      </c>
      <c r="I554" s="10">
        <f>CHOOSE(CONTROL!$C$42, 16.629, 16.629)* CHOOSE(CONTROL!$C$21, $C$9, 100%, $E$9)</f>
        <v>16.629000000000001</v>
      </c>
      <c r="J554" s="10">
        <f>CHOOSE(CONTROL!$C$42, 16.6097, 16.6097)* CHOOSE(CONTROL!$C$21, $C$9, 100%, $E$9)</f>
        <v>16.6097</v>
      </c>
      <c r="K554" s="10">
        <f>CHOOSE(CONTROL!$C$42, 16.3105, 16.3105) * CHOOSE(CONTROL!$C$21, $C$9, 100%, $E$9)</f>
        <v>16.310500000000001</v>
      </c>
      <c r="L554" s="10">
        <f>CHOOSE(CONTROL!$C$42, 17.2739, 17.2739) * CHOOSE(CONTROL!$C$21, $C$9, 100%, $E$9)</f>
        <v>17.273900000000001</v>
      </c>
      <c r="M554" s="10">
        <f>CHOOSE(CONTROL!$C$42, 16.4559, 16.4559) * CHOOSE(CONTROL!$C$21, $C$9, 100%, $E$9)</f>
        <v>16.4559</v>
      </c>
      <c r="N554" s="10">
        <f>CHOOSE(CONTROL!$C$42, 16.4742, 16.4742) * CHOOSE(CONTROL!$C$21, $C$9, 100%, $E$9)</f>
        <v>16.4742</v>
      </c>
      <c r="O554" s="10">
        <f>CHOOSE(CONTROL!$C$42, 16.5323, 16.5323) * CHOOSE(CONTROL!$C$21, $C$9, 100%, $E$9)</f>
        <v>16.532299999999999</v>
      </c>
      <c r="P554" s="10">
        <f>CHOOSE(CONTROL!$C$42, 16.475, 16.475) * CHOOSE(CONTROL!$C$21, $C$9, 100%, $E$9)</f>
        <v>16.475000000000001</v>
      </c>
      <c r="Q554" s="10">
        <f>CHOOSE(CONTROL!$C$42, 17.1276, 17.1276) * CHOOSE(CONTROL!$C$21, $C$9, 100%, $E$9)</f>
        <v>17.127600000000001</v>
      </c>
      <c r="R554" s="10">
        <f>CHOOSE(CONTROL!$C$42, 17.7574, 17.7574) * CHOOSE(CONTROL!$C$21, $C$9, 100%, $E$9)</f>
        <v>17.757400000000001</v>
      </c>
      <c r="S554" s="10">
        <f>CHOOSE(CONTROL!$C$42, 16.1516, 16.1516) * CHOOSE(CONTROL!$C$21, $C$9, 100%, $E$9)</f>
        <v>16.151599999999998</v>
      </c>
      <c r="T5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38">
        <f>(1000*CHOOSE(CONTROL!$C$42, 695, 695)*CHOOSE(CONTROL!$C$42, 0.5599, 0.5599)*CHOOSE(CONTROL!$C$42, 28, 28))/1000000</f>
        <v>10.895653999999999</v>
      </c>
      <c r="V554" s="38">
        <f>(1000*CHOOSE(CONTROL!$C$42, 500, 500)*CHOOSE(CONTROL!$C$42, 0.275, 0.275)*CHOOSE(CONTROL!$C$42, 28, 28))/1000000</f>
        <v>3.85</v>
      </c>
      <c r="W554" s="38">
        <f>(1000*CHOOSE(CONTROL!$C$42, 0.1146, 0.1146)*CHOOSE(CONTROL!$C$42, 121.5, 121.5)*CHOOSE(CONTROL!$C$42, 28, 28))/1000000</f>
        <v>0.38986920000000003</v>
      </c>
      <c r="X554" s="38">
        <f>(28*0.1790888*100000/1000000)+(28*0.2374*100000/1000000)</f>
        <v>1.16616864</v>
      </c>
      <c r="Y554" s="38">
        <f>(1000*600*CHOOSE(CONTROL!$C$42, 1.0585, 1.0585)*CHOOSE(CONTROL!$C$42, 28, 28))/1000000</f>
        <v>17.782800000000002</v>
      </c>
      <c r="Z554" s="38"/>
      <c r="AA554" s="10"/>
      <c r="AB554" s="39"/>
      <c r="AC554" s="33">
        <f>(B554*122.58+C554*297.941+D554*89.177+E554*40.302+F554*40+G554*160+H554*0+I554*100+J554*300)/(122.58+297.941+89.177+40.302+0+40+160+100+300)</f>
        <v>16.632794609652173</v>
      </c>
      <c r="AD554" s="27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16.494328776978417</v>
      </c>
    </row>
    <row r="555" spans="1:30" ht="15.75" x14ac:dyDescent="0.25">
      <c r="A555" s="13">
        <v>58165</v>
      </c>
      <c r="B555" s="10">
        <f>CHOOSE(CONTROL!$C$42, 16.1623, 16.1623) * CHOOSE(CONTROL!$C$21, $C$9, 100%, $E$9)</f>
        <v>16.162299999999998</v>
      </c>
      <c r="C555" s="10">
        <f>CHOOSE(CONTROL!$C$42, 16.1672, 16.1672) * CHOOSE(CONTROL!$C$21, $C$9, 100%, $E$9)</f>
        <v>16.167200000000001</v>
      </c>
      <c r="D555" s="10">
        <f>CHOOSE(CONTROL!$C$42, 16.1917, 16.1917) * CHOOSE(CONTROL!$C$21, $C$9, 100%, $E$9)</f>
        <v>16.191700000000001</v>
      </c>
      <c r="E555" s="10">
        <f>CHOOSE(CONTROL!$C$42, 16.2255, 16.2255) * CHOOSE(CONTROL!$C$21, $C$9, 100%, $E$9)</f>
        <v>16.2255</v>
      </c>
      <c r="F555" s="10">
        <f>CHOOSE(CONTROL!$C$42, 16.143, 16.143)*CHOOSE(CONTROL!$C$21, $C$9, 100%, $E$9)</f>
        <v>16.143000000000001</v>
      </c>
      <c r="G555" s="10">
        <f>CHOOSE(CONTROL!$C$42, 16.1611, 16.1611)*CHOOSE(CONTROL!$C$21, $C$9, 100%, $E$9)</f>
        <v>16.161100000000001</v>
      </c>
      <c r="H555" s="10">
        <f>CHOOSE(CONTROL!$C$42, 16.2147, 16.2147) * CHOOSE(CONTROL!$C$21, $C$9, 100%, $E$9)</f>
        <v>16.214700000000001</v>
      </c>
      <c r="I555" s="10">
        <f>CHOOSE(CONTROL!$C$42, 16.1568, 16.1568)* CHOOSE(CONTROL!$C$21, $C$9, 100%, $E$9)</f>
        <v>16.1568</v>
      </c>
      <c r="J555" s="10">
        <f>CHOOSE(CONTROL!$C$42, 16.136, 16.136)* CHOOSE(CONTROL!$C$21, $C$9, 100%, $E$9)</f>
        <v>16.135999999999999</v>
      </c>
      <c r="K555" s="10">
        <f>CHOOSE(CONTROL!$C$42, 15.8484, 15.8484) * CHOOSE(CONTROL!$C$21, $C$9, 100%, $E$9)</f>
        <v>15.8484</v>
      </c>
      <c r="L555" s="10">
        <f>CHOOSE(CONTROL!$C$42, 16.8017, 16.8017) * CHOOSE(CONTROL!$C$21, $C$9, 100%, $E$9)</f>
        <v>16.8017</v>
      </c>
      <c r="M555" s="10">
        <f>CHOOSE(CONTROL!$C$42, 15.987, 15.987) * CHOOSE(CONTROL!$C$21, $C$9, 100%, $E$9)</f>
        <v>15.987</v>
      </c>
      <c r="N555" s="10">
        <f>CHOOSE(CONTROL!$C$42, 16.0049, 16.0049) * CHOOSE(CONTROL!$C$21, $C$9, 100%, $E$9)</f>
        <v>16.004899999999999</v>
      </c>
      <c r="O555" s="10">
        <f>CHOOSE(CONTROL!$C$42, 16.0649, 16.0649) * CHOOSE(CONTROL!$C$21, $C$9, 100%, $E$9)</f>
        <v>16.064900000000002</v>
      </c>
      <c r="P555" s="10">
        <f>CHOOSE(CONTROL!$C$42, 16.0076, 16.0076) * CHOOSE(CONTROL!$C$21, $C$9, 100%, $E$9)</f>
        <v>16.0076</v>
      </c>
      <c r="Q555" s="10">
        <f>CHOOSE(CONTROL!$C$42, 16.6602, 16.6602) * CHOOSE(CONTROL!$C$21, $C$9, 100%, $E$9)</f>
        <v>16.6602</v>
      </c>
      <c r="R555" s="10">
        <f>CHOOSE(CONTROL!$C$42, 17.2888, 17.2888) * CHOOSE(CONTROL!$C$21, $C$9, 100%, $E$9)</f>
        <v>17.288799999999998</v>
      </c>
      <c r="S555" s="10">
        <f>CHOOSE(CONTROL!$C$42, 15.6931, 15.6931) * CHOOSE(CONTROL!$C$21, $C$9, 100%, $E$9)</f>
        <v>15.693099999999999</v>
      </c>
      <c r="T5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38">
        <f>(1000*CHOOSE(CONTROL!$C$42, 695, 695)*CHOOSE(CONTROL!$C$42, 0.5599, 0.5599)*CHOOSE(CONTROL!$C$42, 31, 31))/1000000</f>
        <v>12.063045499999998</v>
      </c>
      <c r="V555" s="38">
        <f>(1000*CHOOSE(CONTROL!$C$42, 500, 500)*CHOOSE(CONTROL!$C$42, 0.275, 0.275)*CHOOSE(CONTROL!$C$42, 31, 31))/1000000</f>
        <v>4.2625000000000002</v>
      </c>
      <c r="W555" s="38">
        <f>(1000*CHOOSE(CONTROL!$C$42, 0.1146, 0.1146)*CHOOSE(CONTROL!$C$42, 121.5, 121.5)*CHOOSE(CONTROL!$C$42, 31, 31))/1000000</f>
        <v>0.43164089999999994</v>
      </c>
      <c r="X555" s="38">
        <f>(31*0.1790888*100000/1000000)+(31*0.2374*100000/1000000)</f>
        <v>1.2911152800000001</v>
      </c>
      <c r="Y555" s="38">
        <f>(1000*600*CHOOSE(CONTROL!$C$42, 1.0585, 1.0585)*CHOOSE(CONTROL!$C$42, 31, 31))/1000000</f>
        <v>19.688099999999999</v>
      </c>
      <c r="Z555" s="38"/>
      <c r="AA555" s="10"/>
      <c r="AB555" s="39"/>
      <c r="AC555" s="33">
        <f>(B555*122.58+C555*297.941+D555*89.177+E555*40.302+F555*40+G555*160+H555*0+I555*100+J555*300)/(122.58+297.941+89.177+40.302+0+40+160+100+300)</f>
        <v>16.15988678356522</v>
      </c>
      <c r="AD555" s="27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16.026301438848922</v>
      </c>
    </row>
    <row r="556" spans="1:30" ht="15.75" x14ac:dyDescent="0.25">
      <c r="A556" s="13">
        <v>58195</v>
      </c>
      <c r="B556" s="10">
        <f>CHOOSE(CONTROL!$C$42, 16.1147, 16.1147) * CHOOSE(CONTROL!$C$21, $C$9, 100%, $E$9)</f>
        <v>16.114699999999999</v>
      </c>
      <c r="C556" s="10">
        <f>CHOOSE(CONTROL!$C$42, 16.1191, 16.1191) * CHOOSE(CONTROL!$C$21, $C$9, 100%, $E$9)</f>
        <v>16.1191</v>
      </c>
      <c r="D556" s="10">
        <f>CHOOSE(CONTROL!$C$42, 16.2992, 16.2992) * CHOOSE(CONTROL!$C$21, $C$9, 100%, $E$9)</f>
        <v>16.299199999999999</v>
      </c>
      <c r="E556" s="10">
        <f>CHOOSE(CONTROL!$C$42, 16.331, 16.331) * CHOOSE(CONTROL!$C$21, $C$9, 100%, $E$9)</f>
        <v>16.331</v>
      </c>
      <c r="F556" s="10">
        <f>CHOOSE(CONTROL!$C$42, 16.08, 16.08)*CHOOSE(CONTROL!$C$21, $C$9, 100%, $E$9)</f>
        <v>16.079999999999998</v>
      </c>
      <c r="G556" s="10">
        <f>CHOOSE(CONTROL!$C$42, 16.0963, 16.0963)*CHOOSE(CONTROL!$C$21, $C$9, 100%, $E$9)</f>
        <v>16.096299999999999</v>
      </c>
      <c r="H556" s="10">
        <f>CHOOSE(CONTROL!$C$42, 16.3208, 16.3208) * CHOOSE(CONTROL!$C$21, $C$9, 100%, $E$9)</f>
        <v>16.320799999999998</v>
      </c>
      <c r="I556" s="10">
        <f>CHOOSE(CONTROL!$C$42, 16.1007, 16.1007)* CHOOSE(CONTROL!$C$21, $C$9, 100%, $E$9)</f>
        <v>16.1007</v>
      </c>
      <c r="J556" s="10">
        <f>CHOOSE(CONTROL!$C$42, 16.073, 16.073)* CHOOSE(CONTROL!$C$21, $C$9, 100%, $E$9)</f>
        <v>16.073</v>
      </c>
      <c r="K556" s="10">
        <f>CHOOSE(CONTROL!$C$42, 15.7789, 15.7789) * CHOOSE(CONTROL!$C$21, $C$9, 100%, $E$9)</f>
        <v>15.7789</v>
      </c>
      <c r="L556" s="10">
        <f>CHOOSE(CONTROL!$C$42, 16.9078, 16.9078) * CHOOSE(CONTROL!$C$21, $C$9, 100%, $E$9)</f>
        <v>16.907800000000002</v>
      </c>
      <c r="M556" s="10">
        <f>CHOOSE(CONTROL!$C$42, 15.9246, 15.9246) * CHOOSE(CONTROL!$C$21, $C$9, 100%, $E$9)</f>
        <v>15.9246</v>
      </c>
      <c r="N556" s="10">
        <f>CHOOSE(CONTROL!$C$42, 15.9407, 15.9407) * CHOOSE(CONTROL!$C$21, $C$9, 100%, $E$9)</f>
        <v>15.9407</v>
      </c>
      <c r="O556" s="10">
        <f>CHOOSE(CONTROL!$C$42, 16.1699, 16.1699) * CHOOSE(CONTROL!$C$21, $C$9, 100%, $E$9)</f>
        <v>16.169899999999998</v>
      </c>
      <c r="P556" s="10">
        <f>CHOOSE(CONTROL!$C$42, 15.9521, 15.9521) * CHOOSE(CONTROL!$C$21, $C$9, 100%, $E$9)</f>
        <v>15.9521</v>
      </c>
      <c r="Q556" s="10">
        <f>CHOOSE(CONTROL!$C$42, 16.7652, 16.7652) * CHOOSE(CONTROL!$C$21, $C$9, 100%, $E$9)</f>
        <v>16.7652</v>
      </c>
      <c r="R556" s="10">
        <f>CHOOSE(CONTROL!$C$42, 17.3941, 17.3941) * CHOOSE(CONTROL!$C$21, $C$9, 100%, $E$9)</f>
        <v>17.394100000000002</v>
      </c>
      <c r="S556" s="10">
        <f>CHOOSE(CONTROL!$C$42, 15.6461, 15.6461) * CHOOSE(CONTROL!$C$21, $C$9, 100%, $E$9)</f>
        <v>15.646100000000001</v>
      </c>
      <c r="T5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38">
        <f>(1000*CHOOSE(CONTROL!$C$42, 695, 695)*CHOOSE(CONTROL!$C$42, 0.5599, 0.5599)*CHOOSE(CONTROL!$C$42, 30, 30))/1000000</f>
        <v>11.673914999999997</v>
      </c>
      <c r="V556" s="38">
        <f>(1000*CHOOSE(CONTROL!$C$42, 500, 500)*CHOOSE(CONTROL!$C$42, 0.275, 0.275)*CHOOSE(CONTROL!$C$42, 30, 30))/1000000</f>
        <v>4.125</v>
      </c>
      <c r="W556" s="38">
        <f>(1000*CHOOSE(CONTROL!$C$42, 0.1146, 0.1146)*CHOOSE(CONTROL!$C$42, 121.5, 121.5)*CHOOSE(CONTROL!$C$42, 30, 30))/1000000</f>
        <v>0.417717</v>
      </c>
      <c r="X556" s="38">
        <f>(30*0.1790888*245000/1000000)+(30*0.2374*100000/1000000)</f>
        <v>2.0285026799999999</v>
      </c>
      <c r="Y556" s="38">
        <f>(1000*600*CHOOSE(CONTROL!$C$42, 1.0585, 1.0585)*CHOOSE(CONTROL!$C$42, 30, 30))/1000000</f>
        <v>19.053000000000001</v>
      </c>
      <c r="Z556" s="38"/>
      <c r="AA556" s="10"/>
      <c r="AB556" s="39"/>
      <c r="AC556" s="33">
        <f>(B556*141.293+C556*267.993+D556*115.016+E556*89.698+F556*40+G556*185+H556*0+I556*100+J556*300)/(141.293+267.993+115.016+89.698+0+40+185+100+300)</f>
        <v>16.133343501694917</v>
      </c>
      <c r="AD556" s="27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16.001088489208634</v>
      </c>
    </row>
    <row r="557" spans="1:30" ht="15.75" x14ac:dyDescent="0.25">
      <c r="A557" s="13">
        <v>58226</v>
      </c>
      <c r="B557" s="10">
        <f>CHOOSE(CONTROL!$C$42, 16.2587, 16.2587) * CHOOSE(CONTROL!$C$21, $C$9, 100%, $E$9)</f>
        <v>16.258700000000001</v>
      </c>
      <c r="C557" s="10">
        <f>CHOOSE(CONTROL!$C$42, 16.2666, 16.2666) * CHOOSE(CONTROL!$C$21, $C$9, 100%, $E$9)</f>
        <v>16.2666</v>
      </c>
      <c r="D557" s="10">
        <f>CHOOSE(CONTROL!$C$42, 16.4436, 16.4436) * CHOOSE(CONTROL!$C$21, $C$9, 100%, $E$9)</f>
        <v>16.4436</v>
      </c>
      <c r="E557" s="10">
        <f>CHOOSE(CONTROL!$C$42, 16.4747, 16.4747) * CHOOSE(CONTROL!$C$21, $C$9, 100%, $E$9)</f>
        <v>16.474699999999999</v>
      </c>
      <c r="F557" s="10">
        <f>CHOOSE(CONTROL!$C$42, 16.222, 16.222)*CHOOSE(CONTROL!$C$21, $C$9, 100%, $E$9)</f>
        <v>16.222000000000001</v>
      </c>
      <c r="G557" s="10">
        <f>CHOOSE(CONTROL!$C$42, 16.2385, 16.2385)*CHOOSE(CONTROL!$C$21, $C$9, 100%, $E$9)</f>
        <v>16.238499999999998</v>
      </c>
      <c r="H557" s="10">
        <f>CHOOSE(CONTROL!$C$42, 16.4633, 16.4633) * CHOOSE(CONTROL!$C$21, $C$9, 100%, $E$9)</f>
        <v>16.4633</v>
      </c>
      <c r="I557" s="10">
        <f>CHOOSE(CONTROL!$C$42, 16.2433, 16.2433)* CHOOSE(CONTROL!$C$21, $C$9, 100%, $E$9)</f>
        <v>16.243300000000001</v>
      </c>
      <c r="J557" s="10">
        <f>CHOOSE(CONTROL!$C$42, 16.215, 16.215)* CHOOSE(CONTROL!$C$21, $C$9, 100%, $E$9)</f>
        <v>16.215</v>
      </c>
      <c r="K557" s="10">
        <f>CHOOSE(CONTROL!$C$42, 15.9162, 15.9162) * CHOOSE(CONTROL!$C$21, $C$9, 100%, $E$9)</f>
        <v>15.9162</v>
      </c>
      <c r="L557" s="10">
        <f>CHOOSE(CONTROL!$C$42, 17.0503, 17.0503) * CHOOSE(CONTROL!$C$21, $C$9, 100%, $E$9)</f>
        <v>17.0503</v>
      </c>
      <c r="M557" s="10">
        <f>CHOOSE(CONTROL!$C$42, 16.0652, 16.0652) * CHOOSE(CONTROL!$C$21, $C$9, 100%, $E$9)</f>
        <v>16.065200000000001</v>
      </c>
      <c r="N557" s="10">
        <f>CHOOSE(CONTROL!$C$42, 16.0816, 16.0816) * CHOOSE(CONTROL!$C$21, $C$9, 100%, $E$9)</f>
        <v>16.081600000000002</v>
      </c>
      <c r="O557" s="10">
        <f>CHOOSE(CONTROL!$C$42, 16.311, 16.311) * CHOOSE(CONTROL!$C$21, $C$9, 100%, $E$9)</f>
        <v>16.311</v>
      </c>
      <c r="P557" s="10">
        <f>CHOOSE(CONTROL!$C$42, 16.0932, 16.0932) * CHOOSE(CONTROL!$C$21, $C$9, 100%, $E$9)</f>
        <v>16.0932</v>
      </c>
      <c r="Q557" s="10">
        <f>CHOOSE(CONTROL!$C$42, 16.9063, 16.9063) * CHOOSE(CONTROL!$C$21, $C$9, 100%, $E$9)</f>
        <v>16.906300000000002</v>
      </c>
      <c r="R557" s="10">
        <f>CHOOSE(CONTROL!$C$42, 17.5356, 17.5356) * CHOOSE(CONTROL!$C$21, $C$9, 100%, $E$9)</f>
        <v>17.535599999999999</v>
      </c>
      <c r="S557" s="10">
        <f>CHOOSE(CONTROL!$C$42, 15.7845, 15.7845) * CHOOSE(CONTROL!$C$21, $C$9, 100%, $E$9)</f>
        <v>15.7845</v>
      </c>
      <c r="T5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38">
        <f>(1000*CHOOSE(CONTROL!$C$42, 695, 695)*CHOOSE(CONTROL!$C$42, 0.5599, 0.5599)*CHOOSE(CONTROL!$C$42, 31, 31))/1000000</f>
        <v>12.063045499999998</v>
      </c>
      <c r="V557" s="38">
        <f>(1000*CHOOSE(CONTROL!$C$42, 500, 500)*CHOOSE(CONTROL!$C$42, 0.275, 0.275)*CHOOSE(CONTROL!$C$42, 31, 31))/1000000</f>
        <v>4.2625000000000002</v>
      </c>
      <c r="W557" s="38">
        <f>(1000*CHOOSE(CONTROL!$C$42, 0.1146, 0.1146)*CHOOSE(CONTROL!$C$42, 121.5, 121.5)*CHOOSE(CONTROL!$C$42, 31, 31))/1000000</f>
        <v>0.43164089999999994</v>
      </c>
      <c r="X557" s="38">
        <f>(31*0.1790888*245000/1000000)+(31*0.2374*100000/1000000)</f>
        <v>2.0961194359999999</v>
      </c>
      <c r="Y557" s="38">
        <f>(1000*600*CHOOSE(CONTROL!$C$42, 1.0585, 1.0585)*CHOOSE(CONTROL!$C$42, 31, 31))/1000000</f>
        <v>19.688099999999999</v>
      </c>
      <c r="Z557" s="38"/>
      <c r="AA557" s="10"/>
      <c r="AB557" s="39"/>
      <c r="AC557" s="33">
        <f>(B557*194.205+C557*267.466+D557*133.845+E557*53.484+F557*40+G557*185+H557*0+I557*100+J557*300)/(194.205+267.466+133.845+53.484+0+40+185+100+300)</f>
        <v>16.273267084693877</v>
      </c>
      <c r="AD557" s="27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16.141969784172662</v>
      </c>
    </row>
    <row r="558" spans="1:30" ht="15.75" x14ac:dyDescent="0.25">
      <c r="A558" s="13">
        <v>58256</v>
      </c>
      <c r="B558" s="10">
        <f>CHOOSE(CONTROL!$C$42, 16.7197, 16.7197) * CHOOSE(CONTROL!$C$21, $C$9, 100%, $E$9)</f>
        <v>16.7197</v>
      </c>
      <c r="C558" s="10">
        <f>CHOOSE(CONTROL!$C$42, 16.7276, 16.7276) * CHOOSE(CONTROL!$C$21, $C$9, 100%, $E$9)</f>
        <v>16.727599999999999</v>
      </c>
      <c r="D558" s="10">
        <f>CHOOSE(CONTROL!$C$42, 16.9046, 16.9046) * CHOOSE(CONTROL!$C$21, $C$9, 100%, $E$9)</f>
        <v>16.904599999999999</v>
      </c>
      <c r="E558" s="10">
        <f>CHOOSE(CONTROL!$C$42, 16.9358, 16.9358) * CHOOSE(CONTROL!$C$21, $C$9, 100%, $E$9)</f>
        <v>16.9358</v>
      </c>
      <c r="F558" s="10">
        <f>CHOOSE(CONTROL!$C$42, 16.6832, 16.6832)*CHOOSE(CONTROL!$C$21, $C$9, 100%, $E$9)</f>
        <v>16.683199999999999</v>
      </c>
      <c r="G558" s="10">
        <f>CHOOSE(CONTROL!$C$42, 16.6998, 16.6998)*CHOOSE(CONTROL!$C$21, $C$9, 100%, $E$9)</f>
        <v>16.6998</v>
      </c>
      <c r="H558" s="10">
        <f>CHOOSE(CONTROL!$C$42, 16.9244, 16.9244) * CHOOSE(CONTROL!$C$21, $C$9, 100%, $E$9)</f>
        <v>16.924399999999999</v>
      </c>
      <c r="I558" s="10">
        <f>CHOOSE(CONTROL!$C$42, 16.7043, 16.7043)* CHOOSE(CONTROL!$C$21, $C$9, 100%, $E$9)</f>
        <v>16.7043</v>
      </c>
      <c r="J558" s="10">
        <f>CHOOSE(CONTROL!$C$42, 16.6762, 16.6762)* CHOOSE(CONTROL!$C$21, $C$9, 100%, $E$9)</f>
        <v>16.676200000000001</v>
      </c>
      <c r="K558" s="10">
        <f>CHOOSE(CONTROL!$C$42, 16.3645, 16.3645) * CHOOSE(CONTROL!$C$21, $C$9, 100%, $E$9)</f>
        <v>16.3645</v>
      </c>
      <c r="L558" s="10">
        <f>CHOOSE(CONTROL!$C$42, 17.5114, 17.5114) * CHOOSE(CONTROL!$C$21, $C$9, 100%, $E$9)</f>
        <v>17.511399999999998</v>
      </c>
      <c r="M558" s="10">
        <f>CHOOSE(CONTROL!$C$42, 16.5218, 16.5218) * CHOOSE(CONTROL!$C$21, $C$9, 100%, $E$9)</f>
        <v>16.521799999999999</v>
      </c>
      <c r="N558" s="10">
        <f>CHOOSE(CONTROL!$C$42, 16.5382, 16.5382) * CHOOSE(CONTROL!$C$21, $C$9, 100%, $E$9)</f>
        <v>16.5382</v>
      </c>
      <c r="O558" s="10">
        <f>CHOOSE(CONTROL!$C$42, 16.7674, 16.7674) * CHOOSE(CONTROL!$C$21, $C$9, 100%, $E$9)</f>
        <v>16.767399999999999</v>
      </c>
      <c r="P558" s="10">
        <f>CHOOSE(CONTROL!$C$42, 16.5496, 16.5496) * CHOOSE(CONTROL!$C$21, $C$9, 100%, $E$9)</f>
        <v>16.549600000000002</v>
      </c>
      <c r="Q558" s="10">
        <f>CHOOSE(CONTROL!$C$42, 17.3627, 17.3627) * CHOOSE(CONTROL!$C$21, $C$9, 100%, $E$9)</f>
        <v>17.3627</v>
      </c>
      <c r="R558" s="10">
        <f>CHOOSE(CONTROL!$C$42, 17.9931, 17.9931) * CHOOSE(CONTROL!$C$21, $C$9, 100%, $E$9)</f>
        <v>17.993099999999998</v>
      </c>
      <c r="S558" s="10">
        <f>CHOOSE(CONTROL!$C$42, 16.2323, 16.2323) * CHOOSE(CONTROL!$C$21, $C$9, 100%, $E$9)</f>
        <v>16.232299999999999</v>
      </c>
      <c r="T5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38">
        <f>(1000*CHOOSE(CONTROL!$C$42, 695, 695)*CHOOSE(CONTROL!$C$42, 0.5599, 0.5599)*CHOOSE(CONTROL!$C$42, 30, 30))/1000000</f>
        <v>11.673914999999997</v>
      </c>
      <c r="V558" s="38">
        <f>(1000*CHOOSE(CONTROL!$C$42, 500, 500)*CHOOSE(CONTROL!$C$42, 0.275, 0.275)*CHOOSE(CONTROL!$C$42, 30, 30))/1000000</f>
        <v>4.125</v>
      </c>
      <c r="W558" s="38">
        <f>(1000*CHOOSE(CONTROL!$C$42, 0.1146, 0.1146)*CHOOSE(CONTROL!$C$42, 121.5, 121.5)*CHOOSE(CONTROL!$C$42, 30, 30))/1000000</f>
        <v>0.417717</v>
      </c>
      <c r="X558" s="38">
        <f>(30*0.1790888*245000/1000000)+(30*0.2374*100000/1000000)</f>
        <v>2.0285026799999999</v>
      </c>
      <c r="Y558" s="38">
        <f>(1000*600*CHOOSE(CONTROL!$C$42, 1.0585, 1.0585)*CHOOSE(CONTROL!$C$42, 30, 30))/1000000</f>
        <v>19.053000000000001</v>
      </c>
      <c r="Z558" s="38"/>
      <c r="AA558" s="10"/>
      <c r="AB558" s="39"/>
      <c r="AC558" s="33">
        <f>(B558*194.205+C558*267.466+D558*133.845+E558*53.484+F558*40+G558*185+H558*0+I558*100+J558*300)/(194.205+267.466+133.845+53.484+0+40+185+100+300)</f>
        <v>16.734368221585555</v>
      </c>
      <c r="AD558" s="27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16.598484892086333</v>
      </c>
    </row>
    <row r="559" spans="1:30" ht="15.75" x14ac:dyDescent="0.25">
      <c r="A559" s="13">
        <v>58287</v>
      </c>
      <c r="B559" s="10">
        <f>CHOOSE(CONTROL!$C$42, 16.3991, 16.3991) * CHOOSE(CONTROL!$C$21, $C$9, 100%, $E$9)</f>
        <v>16.399100000000001</v>
      </c>
      <c r="C559" s="10">
        <f>CHOOSE(CONTROL!$C$42, 16.407, 16.407) * CHOOSE(CONTROL!$C$21, $C$9, 100%, $E$9)</f>
        <v>16.407</v>
      </c>
      <c r="D559" s="10">
        <f>CHOOSE(CONTROL!$C$42, 16.584, 16.584) * CHOOSE(CONTROL!$C$21, $C$9, 100%, $E$9)</f>
        <v>16.584</v>
      </c>
      <c r="E559" s="10">
        <f>CHOOSE(CONTROL!$C$42, 16.6151, 16.6151) * CHOOSE(CONTROL!$C$21, $C$9, 100%, $E$9)</f>
        <v>16.615100000000002</v>
      </c>
      <c r="F559" s="10">
        <f>CHOOSE(CONTROL!$C$42, 16.3628, 16.3628)*CHOOSE(CONTROL!$C$21, $C$9, 100%, $E$9)</f>
        <v>16.3628</v>
      </c>
      <c r="G559" s="10">
        <f>CHOOSE(CONTROL!$C$42, 16.3795, 16.3795)*CHOOSE(CONTROL!$C$21, $C$9, 100%, $E$9)</f>
        <v>16.3795</v>
      </c>
      <c r="H559" s="10">
        <f>CHOOSE(CONTROL!$C$42, 16.6037, 16.6037) * CHOOSE(CONTROL!$C$21, $C$9, 100%, $E$9)</f>
        <v>16.6037</v>
      </c>
      <c r="I559" s="10">
        <f>CHOOSE(CONTROL!$C$42, 16.3837, 16.3837)* CHOOSE(CONTROL!$C$21, $C$9, 100%, $E$9)</f>
        <v>16.383700000000001</v>
      </c>
      <c r="J559" s="10">
        <f>CHOOSE(CONTROL!$C$42, 16.3558, 16.3558)* CHOOSE(CONTROL!$C$21, $C$9, 100%, $E$9)</f>
        <v>16.355799999999999</v>
      </c>
      <c r="K559" s="10">
        <f>CHOOSE(CONTROL!$C$42, 16.0535, 16.0535) * CHOOSE(CONTROL!$C$21, $C$9, 100%, $E$9)</f>
        <v>16.0535</v>
      </c>
      <c r="L559" s="10">
        <f>CHOOSE(CONTROL!$C$42, 17.1907, 17.1907) * CHOOSE(CONTROL!$C$21, $C$9, 100%, $E$9)</f>
        <v>17.1907</v>
      </c>
      <c r="M559" s="10">
        <f>CHOOSE(CONTROL!$C$42, 16.2046, 16.2046) * CHOOSE(CONTROL!$C$21, $C$9, 100%, $E$9)</f>
        <v>16.204599999999999</v>
      </c>
      <c r="N559" s="10">
        <f>CHOOSE(CONTROL!$C$42, 16.2211, 16.2211) * CHOOSE(CONTROL!$C$21, $C$9, 100%, $E$9)</f>
        <v>16.2211</v>
      </c>
      <c r="O559" s="10">
        <f>CHOOSE(CONTROL!$C$42, 16.45, 16.45) * CHOOSE(CONTROL!$C$21, $C$9, 100%, $E$9)</f>
        <v>16.45</v>
      </c>
      <c r="P559" s="10">
        <f>CHOOSE(CONTROL!$C$42, 16.2322, 16.2322) * CHOOSE(CONTROL!$C$21, $C$9, 100%, $E$9)</f>
        <v>16.232199999999999</v>
      </c>
      <c r="Q559" s="10">
        <f>CHOOSE(CONTROL!$C$42, 17.0453, 17.0453) * CHOOSE(CONTROL!$C$21, $C$9, 100%, $E$9)</f>
        <v>17.045300000000001</v>
      </c>
      <c r="R559" s="10">
        <f>CHOOSE(CONTROL!$C$42, 17.6749, 17.6749) * CHOOSE(CONTROL!$C$21, $C$9, 100%, $E$9)</f>
        <v>17.674900000000001</v>
      </c>
      <c r="S559" s="10">
        <f>CHOOSE(CONTROL!$C$42, 15.9209, 15.9209) * CHOOSE(CONTROL!$C$21, $C$9, 100%, $E$9)</f>
        <v>15.9209</v>
      </c>
      <c r="T5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38">
        <f>(1000*CHOOSE(CONTROL!$C$42, 695, 695)*CHOOSE(CONTROL!$C$42, 0.5599, 0.5599)*CHOOSE(CONTROL!$C$42, 31, 31))/1000000</f>
        <v>12.063045499999998</v>
      </c>
      <c r="V559" s="38">
        <f>(1000*CHOOSE(CONTROL!$C$42, 500, 500)*CHOOSE(CONTROL!$C$42, 0.275, 0.275)*CHOOSE(CONTROL!$C$42, 31, 31))/1000000</f>
        <v>4.2625000000000002</v>
      </c>
      <c r="W559" s="38">
        <f>(1000*CHOOSE(CONTROL!$C$42, 0.1146, 0.1146)*CHOOSE(CONTROL!$C$42, 121.5, 121.5)*CHOOSE(CONTROL!$C$42, 31, 31))/1000000</f>
        <v>0.43164089999999994</v>
      </c>
      <c r="X559" s="38">
        <f>(31*0.1790888*245000/1000000)+(31*0.2374*100000/1000000)</f>
        <v>2.0961194359999999</v>
      </c>
      <c r="Y559" s="38">
        <f>(1000*600*CHOOSE(CONTROL!$C$42, 1.0585, 1.0585)*CHOOSE(CONTROL!$C$42, 31, 31))/1000000</f>
        <v>19.688099999999999</v>
      </c>
      <c r="Z559" s="38"/>
      <c r="AA559" s="10"/>
      <c r="AB559" s="39"/>
      <c r="AC559" s="33">
        <f>(B559*194.205+C559*267.466+D559*133.845+E559*53.484+F559*40+G559*185+H559*0+I559*100+J559*300)/(194.205+267.466+133.845+53.484+0+40+185+100+300)</f>
        <v>16.4138609622449</v>
      </c>
      <c r="AD559" s="27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16.281223021582733</v>
      </c>
    </row>
    <row r="560" spans="1:30" ht="15.75" x14ac:dyDescent="0.25">
      <c r="A560" s="13">
        <v>58318</v>
      </c>
      <c r="B560" s="10">
        <f>CHOOSE(CONTROL!$C$42, 15.5893, 15.5893) * CHOOSE(CONTROL!$C$21, $C$9, 100%, $E$9)</f>
        <v>15.5893</v>
      </c>
      <c r="C560" s="10">
        <f>CHOOSE(CONTROL!$C$42, 15.5972, 15.5972) * CHOOSE(CONTROL!$C$21, $C$9, 100%, $E$9)</f>
        <v>15.597200000000001</v>
      </c>
      <c r="D560" s="10">
        <f>CHOOSE(CONTROL!$C$42, 15.7742, 15.7742) * CHOOSE(CONTROL!$C$21, $C$9, 100%, $E$9)</f>
        <v>15.7742</v>
      </c>
      <c r="E560" s="10">
        <f>CHOOSE(CONTROL!$C$42, 15.8053, 15.8053) * CHOOSE(CONTROL!$C$21, $C$9, 100%, $E$9)</f>
        <v>15.805300000000001</v>
      </c>
      <c r="F560" s="10">
        <f>CHOOSE(CONTROL!$C$42, 15.5531, 15.5531)*CHOOSE(CONTROL!$C$21, $C$9, 100%, $E$9)</f>
        <v>15.553100000000001</v>
      </c>
      <c r="G560" s="10">
        <f>CHOOSE(CONTROL!$C$42, 15.5698, 15.5698)*CHOOSE(CONTROL!$C$21, $C$9, 100%, $E$9)</f>
        <v>15.569800000000001</v>
      </c>
      <c r="H560" s="10">
        <f>CHOOSE(CONTROL!$C$42, 15.794, 15.794) * CHOOSE(CONTROL!$C$21, $C$9, 100%, $E$9)</f>
        <v>15.794</v>
      </c>
      <c r="I560" s="10">
        <f>CHOOSE(CONTROL!$C$42, 15.5739, 15.5739)* CHOOSE(CONTROL!$C$21, $C$9, 100%, $E$9)</f>
        <v>15.5739</v>
      </c>
      <c r="J560" s="10">
        <f>CHOOSE(CONTROL!$C$42, 15.5461, 15.5461)* CHOOSE(CONTROL!$C$21, $C$9, 100%, $E$9)</f>
        <v>15.546099999999999</v>
      </c>
      <c r="K560" s="10">
        <f>CHOOSE(CONTROL!$C$42, 15.2669, 15.2669) * CHOOSE(CONTROL!$C$21, $C$9, 100%, $E$9)</f>
        <v>15.2669</v>
      </c>
      <c r="L560" s="10">
        <f>CHOOSE(CONTROL!$C$42, 16.381, 16.381) * CHOOSE(CONTROL!$C$21, $C$9, 100%, $E$9)</f>
        <v>16.381</v>
      </c>
      <c r="M560" s="10">
        <f>CHOOSE(CONTROL!$C$42, 15.4031, 15.4031) * CHOOSE(CONTROL!$C$21, $C$9, 100%, $E$9)</f>
        <v>15.4031</v>
      </c>
      <c r="N560" s="10">
        <f>CHOOSE(CONTROL!$C$42, 15.4195, 15.4195) * CHOOSE(CONTROL!$C$21, $C$9, 100%, $E$9)</f>
        <v>15.419499999999999</v>
      </c>
      <c r="O560" s="10">
        <f>CHOOSE(CONTROL!$C$42, 15.6484, 15.6484) * CHOOSE(CONTROL!$C$21, $C$9, 100%, $E$9)</f>
        <v>15.648400000000001</v>
      </c>
      <c r="P560" s="10">
        <f>CHOOSE(CONTROL!$C$42, 15.4306, 15.4306) * CHOOSE(CONTROL!$C$21, $C$9, 100%, $E$9)</f>
        <v>15.4306</v>
      </c>
      <c r="Q560" s="10">
        <f>CHOOSE(CONTROL!$C$42, 16.2437, 16.2437) * CHOOSE(CONTROL!$C$21, $C$9, 100%, $E$9)</f>
        <v>16.2437</v>
      </c>
      <c r="R560" s="10">
        <f>CHOOSE(CONTROL!$C$42, 16.8713, 16.8713) * CHOOSE(CONTROL!$C$21, $C$9, 100%, $E$9)</f>
        <v>16.871300000000002</v>
      </c>
      <c r="S560" s="10">
        <f>CHOOSE(CONTROL!$C$42, 15.1345, 15.1345) * CHOOSE(CONTROL!$C$21, $C$9, 100%, $E$9)</f>
        <v>15.134499999999999</v>
      </c>
      <c r="T5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38">
        <f>(1000*CHOOSE(CONTROL!$C$42, 695, 695)*CHOOSE(CONTROL!$C$42, 0.5599, 0.5599)*CHOOSE(CONTROL!$C$42, 31, 31))/1000000</f>
        <v>12.063045499999998</v>
      </c>
      <c r="V560" s="38">
        <f>(1000*CHOOSE(CONTROL!$C$42, 500, 500)*CHOOSE(CONTROL!$C$42, 0.275, 0.275)*CHOOSE(CONTROL!$C$42, 31, 31))/1000000</f>
        <v>4.2625000000000002</v>
      </c>
      <c r="W560" s="38">
        <f>(1000*CHOOSE(CONTROL!$C$42, 0.1146, 0.1146)*CHOOSE(CONTROL!$C$42, 121.5, 121.5)*CHOOSE(CONTROL!$C$42, 31, 31))/1000000</f>
        <v>0.43164089999999994</v>
      </c>
      <c r="X560" s="38">
        <f>(31*0.1790888*245000/1000000)+(31*0.2374*100000/1000000)</f>
        <v>2.0961194359999999</v>
      </c>
      <c r="Y560" s="38">
        <f>(1000*600*CHOOSE(CONTROL!$C$42, 1.0585, 1.0585)*CHOOSE(CONTROL!$C$42, 31, 31))/1000000</f>
        <v>19.688099999999999</v>
      </c>
      <c r="Z560" s="38"/>
      <c r="AA560" s="10"/>
      <c r="AB560" s="39"/>
      <c r="AC560" s="33">
        <f>(B560*194.205+C560*267.466+D560*133.845+E560*53.484+F560*40+G560*185+H560*0+I560*100+J560*300)/(194.205+267.466+133.845+53.484+0+40+185+100+300)</f>
        <v>15.604102171036107</v>
      </c>
      <c r="AD560" s="27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15.479657553956834</v>
      </c>
    </row>
    <row r="561" spans="1:30" ht="15.75" x14ac:dyDescent="0.25">
      <c r="A561" s="13">
        <v>58348</v>
      </c>
      <c r="B561" s="10">
        <f>CHOOSE(CONTROL!$C$42, 14.5999, 14.5999) * CHOOSE(CONTROL!$C$21, $C$9, 100%, $E$9)</f>
        <v>14.5999</v>
      </c>
      <c r="C561" s="10">
        <f>CHOOSE(CONTROL!$C$42, 14.6078, 14.6078) * CHOOSE(CONTROL!$C$21, $C$9, 100%, $E$9)</f>
        <v>14.607799999999999</v>
      </c>
      <c r="D561" s="10">
        <f>CHOOSE(CONTROL!$C$42, 14.7848, 14.7848) * CHOOSE(CONTROL!$C$21, $C$9, 100%, $E$9)</f>
        <v>14.784800000000001</v>
      </c>
      <c r="E561" s="10">
        <f>CHOOSE(CONTROL!$C$42, 14.816, 14.816) * CHOOSE(CONTROL!$C$21, $C$9, 100%, $E$9)</f>
        <v>14.816000000000001</v>
      </c>
      <c r="F561" s="10">
        <f>CHOOSE(CONTROL!$C$42, 14.5635, 14.5635)*CHOOSE(CONTROL!$C$21, $C$9, 100%, $E$9)</f>
        <v>14.563499999999999</v>
      </c>
      <c r="G561" s="10">
        <f>CHOOSE(CONTROL!$C$42, 14.5801, 14.5801)*CHOOSE(CONTROL!$C$21, $C$9, 100%, $E$9)</f>
        <v>14.5801</v>
      </c>
      <c r="H561" s="10">
        <f>CHOOSE(CONTROL!$C$42, 14.8046, 14.8046) * CHOOSE(CONTROL!$C$21, $C$9, 100%, $E$9)</f>
        <v>14.804600000000001</v>
      </c>
      <c r="I561" s="10">
        <f>CHOOSE(CONTROL!$C$42, 14.5845, 14.5845)* CHOOSE(CONTROL!$C$21, $C$9, 100%, $E$9)</f>
        <v>14.5845</v>
      </c>
      <c r="J561" s="10">
        <f>CHOOSE(CONTROL!$C$42, 14.5565, 14.5565)* CHOOSE(CONTROL!$C$21, $C$9, 100%, $E$9)</f>
        <v>14.5565</v>
      </c>
      <c r="K561" s="10">
        <f>CHOOSE(CONTROL!$C$42, 14.305, 14.305) * CHOOSE(CONTROL!$C$21, $C$9, 100%, $E$9)</f>
        <v>14.305</v>
      </c>
      <c r="L561" s="10">
        <f>CHOOSE(CONTROL!$C$42, 15.3916, 15.3916) * CHOOSE(CONTROL!$C$21, $C$9, 100%, $E$9)</f>
        <v>15.3916</v>
      </c>
      <c r="M561" s="10">
        <f>CHOOSE(CONTROL!$C$42, 14.4234, 14.4234) * CHOOSE(CONTROL!$C$21, $C$9, 100%, $E$9)</f>
        <v>14.423400000000001</v>
      </c>
      <c r="N561" s="10">
        <f>CHOOSE(CONTROL!$C$42, 14.4398, 14.4398) * CHOOSE(CONTROL!$C$21, $C$9, 100%, $E$9)</f>
        <v>14.4398</v>
      </c>
      <c r="O561" s="10">
        <f>CHOOSE(CONTROL!$C$42, 14.669, 14.669) * CHOOSE(CONTROL!$C$21, $C$9, 100%, $E$9)</f>
        <v>14.669</v>
      </c>
      <c r="P561" s="10">
        <f>CHOOSE(CONTROL!$C$42, 14.4512, 14.4512) * CHOOSE(CONTROL!$C$21, $C$9, 100%, $E$9)</f>
        <v>14.4512</v>
      </c>
      <c r="Q561" s="10">
        <f>CHOOSE(CONTROL!$C$42, 15.2643, 15.2643) * CHOOSE(CONTROL!$C$21, $C$9, 100%, $E$9)</f>
        <v>15.2643</v>
      </c>
      <c r="R561" s="10">
        <f>CHOOSE(CONTROL!$C$42, 15.8895, 15.8895) * CHOOSE(CONTROL!$C$21, $C$9, 100%, $E$9)</f>
        <v>15.8895</v>
      </c>
      <c r="S561" s="10">
        <f>CHOOSE(CONTROL!$C$42, 14.1737, 14.1737) * CHOOSE(CONTROL!$C$21, $C$9, 100%, $E$9)</f>
        <v>14.1737</v>
      </c>
      <c r="T5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38">
        <f>(1000*CHOOSE(CONTROL!$C$42, 695, 695)*CHOOSE(CONTROL!$C$42, 0.5599, 0.5599)*CHOOSE(CONTROL!$C$42, 30, 30))/1000000</f>
        <v>11.673914999999997</v>
      </c>
      <c r="V561" s="38">
        <f>(1000*CHOOSE(CONTROL!$C$42, 500, 500)*CHOOSE(CONTROL!$C$42, 0.275, 0.275)*CHOOSE(CONTROL!$C$42, 30, 30))/1000000</f>
        <v>4.125</v>
      </c>
      <c r="W561" s="38">
        <f>(1000*CHOOSE(CONTROL!$C$42, 0.1146, 0.1146)*CHOOSE(CONTROL!$C$42, 121.5, 121.5)*CHOOSE(CONTROL!$C$42, 30, 30))/1000000</f>
        <v>0.417717</v>
      </c>
      <c r="X561" s="38">
        <f>(30*0.1790888*245000/1000000)+(30*0.2374*100000/1000000)</f>
        <v>2.0285026799999999</v>
      </c>
      <c r="Y561" s="38">
        <f>(1000*600*CHOOSE(CONTROL!$C$42, 1.0585, 1.0585)*CHOOSE(CONTROL!$C$42, 30, 30))/1000000</f>
        <v>19.053000000000001</v>
      </c>
      <c r="Z561" s="38"/>
      <c r="AA561" s="10"/>
      <c r="AB561" s="39"/>
      <c r="AC561" s="33">
        <f>(B561*194.205+C561*267.466+D561*133.845+E561*53.484+F561*40+G561*185+H561*0+I561*100+J561*300)/(194.205+267.466+133.845+53.484+0+40+185+100+300)</f>
        <v>14.614609430376765</v>
      </c>
      <c r="AD561" s="27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14.500084892086333</v>
      </c>
    </row>
    <row r="562" spans="1:30" ht="15.75" x14ac:dyDescent="0.25">
      <c r="A562" s="13">
        <v>58379</v>
      </c>
      <c r="B562" s="10">
        <f>CHOOSE(CONTROL!$C$42, 14.3014, 14.3014) * CHOOSE(CONTROL!$C$21, $C$9, 100%, $E$9)</f>
        <v>14.301399999999999</v>
      </c>
      <c r="C562" s="10">
        <f>CHOOSE(CONTROL!$C$42, 14.3067, 14.3067) * CHOOSE(CONTROL!$C$21, $C$9, 100%, $E$9)</f>
        <v>14.306699999999999</v>
      </c>
      <c r="D562" s="10">
        <f>CHOOSE(CONTROL!$C$42, 14.4886, 14.4886) * CHOOSE(CONTROL!$C$21, $C$9, 100%, $E$9)</f>
        <v>14.4886</v>
      </c>
      <c r="E562" s="10">
        <f>CHOOSE(CONTROL!$C$42, 14.5174, 14.5174) * CHOOSE(CONTROL!$C$21, $C$9, 100%, $E$9)</f>
        <v>14.5174</v>
      </c>
      <c r="F562" s="10">
        <f>CHOOSE(CONTROL!$C$42, 14.2671, 14.2671)*CHOOSE(CONTROL!$C$21, $C$9, 100%, $E$9)</f>
        <v>14.267099999999999</v>
      </c>
      <c r="G562" s="10">
        <f>CHOOSE(CONTROL!$C$42, 14.2833, 14.2833)*CHOOSE(CONTROL!$C$21, $C$9, 100%, $E$9)</f>
        <v>14.283300000000001</v>
      </c>
      <c r="H562" s="10">
        <f>CHOOSE(CONTROL!$C$42, 14.5079, 14.5079) * CHOOSE(CONTROL!$C$21, $C$9, 100%, $E$9)</f>
        <v>14.507899999999999</v>
      </c>
      <c r="I562" s="10">
        <f>CHOOSE(CONTROL!$C$42, 14.2878, 14.2878)* CHOOSE(CONTROL!$C$21, $C$9, 100%, $E$9)</f>
        <v>14.287800000000001</v>
      </c>
      <c r="J562" s="10">
        <f>CHOOSE(CONTROL!$C$42, 14.2601, 14.2601)* CHOOSE(CONTROL!$C$21, $C$9, 100%, $E$9)</f>
        <v>14.2601</v>
      </c>
      <c r="K562" s="10">
        <f>CHOOSE(CONTROL!$C$42, 14.0173, 14.0173) * CHOOSE(CONTROL!$C$21, $C$9, 100%, $E$9)</f>
        <v>14.017300000000001</v>
      </c>
      <c r="L562" s="10">
        <f>CHOOSE(CONTROL!$C$42, 15.0949, 15.0949) * CHOOSE(CONTROL!$C$21, $C$9, 100%, $E$9)</f>
        <v>15.094900000000001</v>
      </c>
      <c r="M562" s="10">
        <f>CHOOSE(CONTROL!$C$42, 14.13, 14.13) * CHOOSE(CONTROL!$C$21, $C$9, 100%, $E$9)</f>
        <v>14.13</v>
      </c>
      <c r="N562" s="10">
        <f>CHOOSE(CONTROL!$C$42, 14.146, 14.146) * CHOOSE(CONTROL!$C$21, $C$9, 100%, $E$9)</f>
        <v>14.146000000000001</v>
      </c>
      <c r="O562" s="10">
        <f>CHOOSE(CONTROL!$C$42, 14.3753, 14.3753) * CHOOSE(CONTROL!$C$21, $C$9, 100%, $E$9)</f>
        <v>14.375299999999999</v>
      </c>
      <c r="P562" s="10">
        <f>CHOOSE(CONTROL!$C$42, 14.1575, 14.1575) * CHOOSE(CONTROL!$C$21, $C$9, 100%, $E$9)</f>
        <v>14.157500000000001</v>
      </c>
      <c r="Q562" s="10">
        <f>CHOOSE(CONTROL!$C$42, 14.9706, 14.9706) * CHOOSE(CONTROL!$C$21, $C$9, 100%, $E$9)</f>
        <v>14.970599999999999</v>
      </c>
      <c r="R562" s="10">
        <f>CHOOSE(CONTROL!$C$42, 15.595, 15.595) * CHOOSE(CONTROL!$C$21, $C$9, 100%, $E$9)</f>
        <v>15.595000000000001</v>
      </c>
      <c r="S562" s="10">
        <f>CHOOSE(CONTROL!$C$42, 13.8856, 13.8856) * CHOOSE(CONTROL!$C$21, $C$9, 100%, $E$9)</f>
        <v>13.8856</v>
      </c>
      <c r="T5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38">
        <f>(1000*CHOOSE(CONTROL!$C$42, 695, 695)*CHOOSE(CONTROL!$C$42, 0.5599, 0.5599)*CHOOSE(CONTROL!$C$42, 31, 31))/1000000</f>
        <v>12.063045499999998</v>
      </c>
      <c r="V562" s="38">
        <f>(1000*CHOOSE(CONTROL!$C$42, 500, 500)*CHOOSE(CONTROL!$C$42, 0.275, 0.275)*CHOOSE(CONTROL!$C$42, 31, 31))/1000000</f>
        <v>4.2625000000000002</v>
      </c>
      <c r="W562" s="38">
        <f>(1000*CHOOSE(CONTROL!$C$42, 0.1146, 0.1146)*CHOOSE(CONTROL!$C$42, 121.5, 121.5)*CHOOSE(CONTROL!$C$42, 31, 31))/1000000</f>
        <v>0.43164089999999994</v>
      </c>
      <c r="X562" s="38">
        <f>(31*0.1790888*245000/1000000)+(31*0.2374*100000/1000000)</f>
        <v>2.0961194359999999</v>
      </c>
      <c r="Y562" s="38">
        <f>(1000*600*CHOOSE(CONTROL!$C$42, 1.0585, 1.0585)*CHOOSE(CONTROL!$C$42, 31, 31))/1000000</f>
        <v>19.688099999999999</v>
      </c>
      <c r="Z562" s="38"/>
      <c r="AA562" s="10"/>
      <c r="AB562" s="39"/>
      <c r="AC562" s="33">
        <f>(B562*131.881+C562*277.167+D562*79.08+E562*125.872+F562*40+G562*185+H562*0+I562*100+J562*300)/(131.881+277.167+79.08+125.872+0+40+185+100+300)</f>
        <v>14.321569986359966</v>
      </c>
      <c r="AD562" s="27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14.2064654676259</v>
      </c>
    </row>
    <row r="563" spans="1:30" ht="15.75" x14ac:dyDescent="0.25">
      <c r="A563" s="13">
        <v>58409</v>
      </c>
      <c r="B563" s="10">
        <f>CHOOSE(CONTROL!$C$42, 14.6777, 14.6777) * CHOOSE(CONTROL!$C$21, $C$9, 100%, $E$9)</f>
        <v>14.6777</v>
      </c>
      <c r="C563" s="10">
        <f>CHOOSE(CONTROL!$C$42, 14.6827, 14.6827) * CHOOSE(CONTROL!$C$21, $C$9, 100%, $E$9)</f>
        <v>14.682700000000001</v>
      </c>
      <c r="D563" s="10">
        <f>CHOOSE(CONTROL!$C$42, 14.7071, 14.7071) * CHOOSE(CONTROL!$C$21, $C$9, 100%, $E$9)</f>
        <v>14.707100000000001</v>
      </c>
      <c r="E563" s="10">
        <f>CHOOSE(CONTROL!$C$42, 14.7409, 14.7409) * CHOOSE(CONTROL!$C$21, $C$9, 100%, $E$9)</f>
        <v>14.7409</v>
      </c>
      <c r="F563" s="10">
        <f>CHOOSE(CONTROL!$C$42, 14.647, 14.647)*CHOOSE(CONTROL!$C$21, $C$9, 100%, $E$9)</f>
        <v>14.647</v>
      </c>
      <c r="G563" s="10">
        <f>CHOOSE(CONTROL!$C$42, 14.6635, 14.6635)*CHOOSE(CONTROL!$C$21, $C$9, 100%, $E$9)</f>
        <v>14.663500000000001</v>
      </c>
      <c r="H563" s="10">
        <f>CHOOSE(CONTROL!$C$42, 14.7301, 14.7301) * CHOOSE(CONTROL!$C$21, $C$9, 100%, $E$9)</f>
        <v>14.7301</v>
      </c>
      <c r="I563" s="10">
        <f>CHOOSE(CONTROL!$C$42, 14.6645, 14.6645)* CHOOSE(CONTROL!$C$21, $C$9, 100%, $E$9)</f>
        <v>14.6645</v>
      </c>
      <c r="J563" s="10">
        <f>CHOOSE(CONTROL!$C$42, 14.64, 14.64)* CHOOSE(CONTROL!$C$21, $C$9, 100%, $E$9)</f>
        <v>14.64</v>
      </c>
      <c r="K563" s="10">
        <f>CHOOSE(CONTROL!$C$42, 14.3848, 14.3848) * CHOOSE(CONTROL!$C$21, $C$9, 100%, $E$9)</f>
        <v>14.3848</v>
      </c>
      <c r="L563" s="10">
        <f>CHOOSE(CONTROL!$C$42, 15.3171, 15.3171) * CHOOSE(CONTROL!$C$21, $C$9, 100%, $E$9)</f>
        <v>15.3171</v>
      </c>
      <c r="M563" s="10">
        <f>CHOOSE(CONTROL!$C$42, 14.5061, 14.5061) * CHOOSE(CONTROL!$C$21, $C$9, 100%, $E$9)</f>
        <v>14.5061</v>
      </c>
      <c r="N563" s="10">
        <f>CHOOSE(CONTROL!$C$42, 14.5224, 14.5224) * CHOOSE(CONTROL!$C$21, $C$9, 100%, $E$9)</f>
        <v>14.522399999999999</v>
      </c>
      <c r="O563" s="10">
        <f>CHOOSE(CONTROL!$C$42, 14.5953, 14.5953) * CHOOSE(CONTROL!$C$21, $C$9, 100%, $E$9)</f>
        <v>14.5953</v>
      </c>
      <c r="P563" s="10">
        <f>CHOOSE(CONTROL!$C$42, 14.5303, 14.5303) * CHOOSE(CONTROL!$C$21, $C$9, 100%, $E$9)</f>
        <v>14.5303</v>
      </c>
      <c r="Q563" s="10">
        <f>CHOOSE(CONTROL!$C$42, 15.1906, 15.1906) * CHOOSE(CONTROL!$C$21, $C$9, 100%, $E$9)</f>
        <v>15.1906</v>
      </c>
      <c r="R563" s="10">
        <f>CHOOSE(CONTROL!$C$42, 15.8155, 15.8155) * CHOOSE(CONTROL!$C$21, $C$9, 100%, $E$9)</f>
        <v>15.8155</v>
      </c>
      <c r="S563" s="10">
        <f>CHOOSE(CONTROL!$C$42, 14.2514, 14.2514) * CHOOSE(CONTROL!$C$21, $C$9, 100%, $E$9)</f>
        <v>14.2514</v>
      </c>
      <c r="T5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38">
        <f>(1000*CHOOSE(CONTROL!$C$42, 695, 695)*CHOOSE(CONTROL!$C$42, 0.5599, 0.5599)*CHOOSE(CONTROL!$C$42, 30, 30))/1000000</f>
        <v>11.673914999999997</v>
      </c>
      <c r="V563" s="38">
        <f>(1000*CHOOSE(CONTROL!$C$42, 500, 500)*CHOOSE(CONTROL!$C$42, 0.275, 0.275)*CHOOSE(CONTROL!$C$42, 30, 30))/1000000</f>
        <v>4.125</v>
      </c>
      <c r="W563" s="38">
        <f>(1000*CHOOSE(CONTROL!$C$42, 0.1146, 0.1146)*CHOOSE(CONTROL!$C$42, 121.5, 121.5)*CHOOSE(CONTROL!$C$42, 30, 30))/1000000</f>
        <v>0.417717</v>
      </c>
      <c r="X563" s="38">
        <f>(30*0.1790888*100000/1000000)+(30*0.2374*100000/1000000)</f>
        <v>1.2494664</v>
      </c>
      <c r="Y563" s="38">
        <f>(1000*600*CHOOSE(CONTROL!$C$42, 1.0585, 1.0585)*CHOOSE(CONTROL!$C$42, 30, 30))/1000000</f>
        <v>19.053000000000001</v>
      </c>
      <c r="Z563" s="38"/>
      <c r="AA563" s="10"/>
      <c r="AB563" s="39"/>
      <c r="AC563" s="33">
        <f>(B563*122.58+C563*297.941+D563*89.177+E563*40.302+F563*40+G563*160+H563*0+I563*100+J563*300)/(122.58+297.941+89.177+40.302+0+40+160+100+300)</f>
        <v>14.669463995826087</v>
      </c>
      <c r="AD563" s="27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14.550948920863309</v>
      </c>
    </row>
    <row r="564" spans="1:30" ht="15.75" x14ac:dyDescent="0.25">
      <c r="A564" s="13">
        <v>58440</v>
      </c>
      <c r="B564" s="10">
        <f>CHOOSE(CONTROL!$C$42, 15.6782, 15.6782) * CHOOSE(CONTROL!$C$21, $C$9, 100%, $E$9)</f>
        <v>15.6782</v>
      </c>
      <c r="C564" s="10">
        <f>CHOOSE(CONTROL!$C$42, 15.6832, 15.6832) * CHOOSE(CONTROL!$C$21, $C$9, 100%, $E$9)</f>
        <v>15.683199999999999</v>
      </c>
      <c r="D564" s="10">
        <f>CHOOSE(CONTROL!$C$42, 15.7076, 15.7076) * CHOOSE(CONTROL!$C$21, $C$9, 100%, $E$9)</f>
        <v>15.707599999999999</v>
      </c>
      <c r="E564" s="10">
        <f>CHOOSE(CONTROL!$C$42, 15.7414, 15.7414) * CHOOSE(CONTROL!$C$21, $C$9, 100%, $E$9)</f>
        <v>15.741400000000001</v>
      </c>
      <c r="F564" s="10">
        <f>CHOOSE(CONTROL!$C$42, 15.6498, 15.6498)*CHOOSE(CONTROL!$C$21, $C$9, 100%, $E$9)</f>
        <v>15.649800000000001</v>
      </c>
      <c r="G564" s="10">
        <f>CHOOSE(CONTROL!$C$42, 15.6669, 15.6669)*CHOOSE(CONTROL!$C$21, $C$9, 100%, $E$9)</f>
        <v>15.6669</v>
      </c>
      <c r="H564" s="10">
        <f>CHOOSE(CONTROL!$C$42, 15.7306, 15.7306) * CHOOSE(CONTROL!$C$21, $C$9, 100%, $E$9)</f>
        <v>15.730600000000001</v>
      </c>
      <c r="I564" s="10">
        <f>CHOOSE(CONTROL!$C$42, 15.665, 15.665)* CHOOSE(CONTROL!$C$21, $C$9, 100%, $E$9)</f>
        <v>15.664999999999999</v>
      </c>
      <c r="J564" s="10">
        <f>CHOOSE(CONTROL!$C$42, 15.6428, 15.6428)* CHOOSE(CONTROL!$C$21, $C$9, 100%, $E$9)</f>
        <v>15.642799999999999</v>
      </c>
      <c r="K564" s="10">
        <f>CHOOSE(CONTROL!$C$42, 15.3619, 15.3619) * CHOOSE(CONTROL!$C$21, $C$9, 100%, $E$9)</f>
        <v>15.3619</v>
      </c>
      <c r="L564" s="10">
        <f>CHOOSE(CONTROL!$C$42, 16.3176, 16.3176) * CHOOSE(CONTROL!$C$21, $C$9, 100%, $E$9)</f>
        <v>16.317599999999999</v>
      </c>
      <c r="M564" s="10">
        <f>CHOOSE(CONTROL!$C$42, 15.4988, 15.4988) * CHOOSE(CONTROL!$C$21, $C$9, 100%, $E$9)</f>
        <v>15.498799999999999</v>
      </c>
      <c r="N564" s="10">
        <f>CHOOSE(CONTROL!$C$42, 15.5157, 15.5157) * CHOOSE(CONTROL!$C$21, $C$9, 100%, $E$9)</f>
        <v>15.515700000000001</v>
      </c>
      <c r="O564" s="10">
        <f>CHOOSE(CONTROL!$C$42, 15.5857, 15.5857) * CHOOSE(CONTROL!$C$21, $C$9, 100%, $E$9)</f>
        <v>15.585699999999999</v>
      </c>
      <c r="P564" s="10">
        <f>CHOOSE(CONTROL!$C$42, 15.5208, 15.5208) * CHOOSE(CONTROL!$C$21, $C$9, 100%, $E$9)</f>
        <v>15.520799999999999</v>
      </c>
      <c r="Q564" s="10">
        <f>CHOOSE(CONTROL!$C$42, 16.181, 16.181) * CHOOSE(CONTROL!$C$21, $C$9, 100%, $E$9)</f>
        <v>16.181000000000001</v>
      </c>
      <c r="R564" s="10">
        <f>CHOOSE(CONTROL!$C$42, 16.8084, 16.8084) * CHOOSE(CONTROL!$C$21, $C$9, 100%, $E$9)</f>
        <v>16.808399999999999</v>
      </c>
      <c r="S564" s="10">
        <f>CHOOSE(CONTROL!$C$42, 15.223, 15.223) * CHOOSE(CONTROL!$C$21, $C$9, 100%, $E$9)</f>
        <v>15.223000000000001</v>
      </c>
      <c r="T5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38">
        <f>(1000*CHOOSE(CONTROL!$C$42, 695, 695)*CHOOSE(CONTROL!$C$42, 0.5599, 0.5599)*CHOOSE(CONTROL!$C$42, 31, 31))/1000000</f>
        <v>12.063045499999998</v>
      </c>
      <c r="V564" s="38">
        <f>(1000*CHOOSE(CONTROL!$C$42, 500, 500)*CHOOSE(CONTROL!$C$42, 0.275, 0.275)*CHOOSE(CONTROL!$C$42, 31, 31))/1000000</f>
        <v>4.2625000000000002</v>
      </c>
      <c r="W564" s="38">
        <f>(1000*CHOOSE(CONTROL!$C$42, 0.1146, 0.1146)*CHOOSE(CONTROL!$C$42, 121.5, 121.5)*CHOOSE(CONTROL!$C$42, 31, 31))/1000000</f>
        <v>0.43164089999999994</v>
      </c>
      <c r="X564" s="38">
        <f>(31*0.1790888*100000/1000000)+(31*0.2374*100000/1000000)</f>
        <v>1.2911152800000001</v>
      </c>
      <c r="Y564" s="38">
        <f>(1000*600*CHOOSE(CONTROL!$C$42, 1.0585, 1.0585)*CHOOSE(CONTROL!$C$42, 31, 31))/1000000</f>
        <v>19.688099999999999</v>
      </c>
      <c r="Z564" s="38"/>
      <c r="AA564" s="10"/>
      <c r="AB564" s="39"/>
      <c r="AC564" s="33">
        <f>(B564*122.58+C564*297.941+D564*89.177+E564*40.302+F564*40+G564*160+H564*0+I564*100+J564*300)/(122.58+297.941+89.177+40.302+0+40+160+100+300)</f>
        <v>15.671047474086958</v>
      </c>
      <c r="AD564" s="27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15.542324460431656</v>
      </c>
    </row>
    <row r="565" spans="1:30" ht="15.75" x14ac:dyDescent="0.25">
      <c r="A565" s="13">
        <v>58471</v>
      </c>
      <c r="B565" s="10">
        <f>CHOOSE(CONTROL!$C$42, 16.7362, 16.7362) * CHOOSE(CONTROL!$C$21, $C$9, 100%, $E$9)</f>
        <v>16.7362</v>
      </c>
      <c r="C565" s="10">
        <f>CHOOSE(CONTROL!$C$42, 16.7412, 16.7412) * CHOOSE(CONTROL!$C$21, $C$9, 100%, $E$9)</f>
        <v>16.741199999999999</v>
      </c>
      <c r="D565" s="10">
        <f>CHOOSE(CONTROL!$C$42, 16.7656, 16.7656) * CHOOSE(CONTROL!$C$21, $C$9, 100%, $E$9)</f>
        <v>16.765599999999999</v>
      </c>
      <c r="E565" s="10">
        <f>CHOOSE(CONTROL!$C$42, 16.7994, 16.7994) * CHOOSE(CONTROL!$C$21, $C$9, 100%, $E$9)</f>
        <v>16.799399999999999</v>
      </c>
      <c r="F565" s="10">
        <f>CHOOSE(CONTROL!$C$42, 16.7191, 16.7191)*CHOOSE(CONTROL!$C$21, $C$9, 100%, $E$9)</f>
        <v>16.719100000000001</v>
      </c>
      <c r="G565" s="10">
        <f>CHOOSE(CONTROL!$C$42, 16.7378, 16.7378)*CHOOSE(CONTROL!$C$21, $C$9, 100%, $E$9)</f>
        <v>16.7378</v>
      </c>
      <c r="H565" s="10">
        <f>CHOOSE(CONTROL!$C$42, 16.7886, 16.7886) * CHOOSE(CONTROL!$C$21, $C$9, 100%, $E$9)</f>
        <v>16.788599999999999</v>
      </c>
      <c r="I565" s="10">
        <f>CHOOSE(CONTROL!$C$42, 16.7307, 16.7307)* CHOOSE(CONTROL!$C$21, $C$9, 100%, $E$9)</f>
        <v>16.730699999999999</v>
      </c>
      <c r="J565" s="10">
        <f>CHOOSE(CONTROL!$C$42, 16.7121, 16.7121)* CHOOSE(CONTROL!$C$21, $C$9, 100%, $E$9)</f>
        <v>16.7121</v>
      </c>
      <c r="K565" s="10">
        <f>CHOOSE(CONTROL!$C$42, 16.4108, 16.4108) * CHOOSE(CONTROL!$C$21, $C$9, 100%, $E$9)</f>
        <v>16.410799999999998</v>
      </c>
      <c r="L565" s="10">
        <f>CHOOSE(CONTROL!$C$42, 17.3756, 17.3756) * CHOOSE(CONTROL!$C$21, $C$9, 100%, $E$9)</f>
        <v>17.375599999999999</v>
      </c>
      <c r="M565" s="10">
        <f>CHOOSE(CONTROL!$C$42, 16.5573, 16.5573) * CHOOSE(CONTROL!$C$21, $C$9, 100%, $E$9)</f>
        <v>16.557300000000001</v>
      </c>
      <c r="N565" s="10">
        <f>CHOOSE(CONTROL!$C$42, 16.5758, 16.5758) * CHOOSE(CONTROL!$C$21, $C$9, 100%, $E$9)</f>
        <v>16.575800000000001</v>
      </c>
      <c r="O565" s="10">
        <f>CHOOSE(CONTROL!$C$42, 16.633, 16.633) * CHOOSE(CONTROL!$C$21, $C$9, 100%, $E$9)</f>
        <v>16.632999999999999</v>
      </c>
      <c r="P565" s="10">
        <f>CHOOSE(CONTROL!$C$42, 16.5757, 16.5757) * CHOOSE(CONTROL!$C$21, $C$9, 100%, $E$9)</f>
        <v>16.575700000000001</v>
      </c>
      <c r="Q565" s="10">
        <f>CHOOSE(CONTROL!$C$42, 17.2283, 17.2283) * CHOOSE(CONTROL!$C$21, $C$9, 100%, $E$9)</f>
        <v>17.228300000000001</v>
      </c>
      <c r="R565" s="10">
        <f>CHOOSE(CONTROL!$C$42, 17.8584, 17.8584) * CHOOSE(CONTROL!$C$21, $C$9, 100%, $E$9)</f>
        <v>17.8584</v>
      </c>
      <c r="S565" s="10">
        <f>CHOOSE(CONTROL!$C$42, 16.2504, 16.2504) * CHOOSE(CONTROL!$C$21, $C$9, 100%, $E$9)</f>
        <v>16.250399999999999</v>
      </c>
      <c r="T5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38">
        <f>(1000*CHOOSE(CONTROL!$C$42, 695, 695)*CHOOSE(CONTROL!$C$42, 0.5599, 0.5599)*CHOOSE(CONTROL!$C$42, 31, 31))/1000000</f>
        <v>12.063045499999998</v>
      </c>
      <c r="V565" s="38">
        <f>(1000*CHOOSE(CONTROL!$C$42, 500, 500)*CHOOSE(CONTROL!$C$42, 0.275, 0.275)*CHOOSE(CONTROL!$C$42, 31, 31))/1000000</f>
        <v>4.2625000000000002</v>
      </c>
      <c r="W565" s="38">
        <f>(1000*CHOOSE(CONTROL!$C$42, 0.1146, 0.1146)*CHOOSE(CONTROL!$C$42, 121.5, 121.5)*CHOOSE(CONTROL!$C$42, 31, 31))/1000000</f>
        <v>0.43164089999999994</v>
      </c>
      <c r="X565" s="38">
        <f>(31*0.1790888*100000/1000000)+(31*0.2374*100000/1000000)</f>
        <v>1.2911152800000001</v>
      </c>
      <c r="Y565" s="38">
        <f>(1000*600*CHOOSE(CONTROL!$C$42, 1.0585, 1.0585)*CHOOSE(CONTROL!$C$42, 31, 31))/1000000</f>
        <v>19.688099999999999</v>
      </c>
      <c r="Z565" s="38"/>
      <c r="AA565" s="10"/>
      <c r="AB565" s="39"/>
      <c r="AC565" s="33">
        <f>(B565*122.58+C565*297.941+D565*89.177+E565*40.302+F565*40+G565*160+H565*0+I565*100+J565*300)/(122.58+297.941+89.177+40.302+0+40+160+100+300)</f>
        <v>16.73485269147826</v>
      </c>
      <c r="AD565" s="27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16.595322302158273</v>
      </c>
    </row>
    <row r="566" spans="1:30" ht="15.75" x14ac:dyDescent="0.25">
      <c r="A566" s="13">
        <v>58499</v>
      </c>
      <c r="B566" s="10">
        <f>CHOOSE(CONTROL!$C$42, 17.0341, 17.0341) * CHOOSE(CONTROL!$C$21, $C$9, 100%, $E$9)</f>
        <v>17.034099999999999</v>
      </c>
      <c r="C566" s="10">
        <f>CHOOSE(CONTROL!$C$42, 17.039, 17.039) * CHOOSE(CONTROL!$C$21, $C$9, 100%, $E$9)</f>
        <v>17.039000000000001</v>
      </c>
      <c r="D566" s="10">
        <f>CHOOSE(CONTROL!$C$42, 17.0635, 17.0635) * CHOOSE(CONTROL!$C$21, $C$9, 100%, $E$9)</f>
        <v>17.063500000000001</v>
      </c>
      <c r="E566" s="10">
        <f>CHOOSE(CONTROL!$C$42, 17.0973, 17.0973) * CHOOSE(CONTROL!$C$21, $C$9, 100%, $E$9)</f>
        <v>17.097300000000001</v>
      </c>
      <c r="F566" s="10">
        <f>CHOOSE(CONTROL!$C$42, 17.0163, 17.0163)*CHOOSE(CONTROL!$C$21, $C$9, 100%, $E$9)</f>
        <v>17.016300000000001</v>
      </c>
      <c r="G566" s="10">
        <f>CHOOSE(CONTROL!$C$42, 17.0348, 17.0348)*CHOOSE(CONTROL!$C$21, $C$9, 100%, $E$9)</f>
        <v>17.034800000000001</v>
      </c>
      <c r="H566" s="10">
        <f>CHOOSE(CONTROL!$C$42, 17.0865, 17.0865) * CHOOSE(CONTROL!$C$21, $C$9, 100%, $E$9)</f>
        <v>17.086500000000001</v>
      </c>
      <c r="I566" s="10">
        <f>CHOOSE(CONTROL!$C$42, 17.0286, 17.0286)* CHOOSE(CONTROL!$C$21, $C$9, 100%, $E$9)</f>
        <v>17.028600000000001</v>
      </c>
      <c r="J566" s="10">
        <f>CHOOSE(CONTROL!$C$42, 17.0093, 17.0093)* CHOOSE(CONTROL!$C$21, $C$9, 100%, $E$9)</f>
        <v>17.0093</v>
      </c>
      <c r="K566" s="10">
        <f>CHOOSE(CONTROL!$C$42, 16.6988, 16.6988) * CHOOSE(CONTROL!$C$21, $C$9, 100%, $E$9)</f>
        <v>16.698799999999999</v>
      </c>
      <c r="L566" s="10">
        <f>CHOOSE(CONTROL!$C$42, 17.6735, 17.6735) * CHOOSE(CONTROL!$C$21, $C$9, 100%, $E$9)</f>
        <v>17.673500000000001</v>
      </c>
      <c r="M566" s="10">
        <f>CHOOSE(CONTROL!$C$42, 16.8515, 16.8515) * CHOOSE(CONTROL!$C$21, $C$9, 100%, $E$9)</f>
        <v>16.851500000000001</v>
      </c>
      <c r="N566" s="10">
        <f>CHOOSE(CONTROL!$C$42, 16.8698, 16.8698) * CHOOSE(CONTROL!$C$21, $C$9, 100%, $E$9)</f>
        <v>16.869800000000001</v>
      </c>
      <c r="O566" s="10">
        <f>CHOOSE(CONTROL!$C$42, 16.9279, 16.9279) * CHOOSE(CONTROL!$C$21, $C$9, 100%, $E$9)</f>
        <v>16.927900000000001</v>
      </c>
      <c r="P566" s="10">
        <f>CHOOSE(CONTROL!$C$42, 16.8706, 16.8706) * CHOOSE(CONTROL!$C$21, $C$9, 100%, $E$9)</f>
        <v>16.8706</v>
      </c>
      <c r="Q566" s="10">
        <f>CHOOSE(CONTROL!$C$42, 17.5232, 17.5232) * CHOOSE(CONTROL!$C$21, $C$9, 100%, $E$9)</f>
        <v>17.523199999999999</v>
      </c>
      <c r="R566" s="10">
        <f>CHOOSE(CONTROL!$C$42, 18.154, 18.154) * CHOOSE(CONTROL!$C$21, $C$9, 100%, $E$9)</f>
        <v>18.154</v>
      </c>
      <c r="S566" s="10">
        <f>CHOOSE(CONTROL!$C$42, 16.5397, 16.5397) * CHOOSE(CONTROL!$C$21, $C$9, 100%, $E$9)</f>
        <v>16.5397</v>
      </c>
      <c r="T56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66" s="38">
        <f>(1000*CHOOSE(CONTROL!$C$42, 695, 695)*CHOOSE(CONTROL!$C$42, 0.5599, 0.5599)*CHOOSE(CONTROL!$C$42, 29, 29))/1000000</f>
        <v>11.284784499999999</v>
      </c>
      <c r="V566" s="38">
        <f>(1000*CHOOSE(CONTROL!$C$42, 500, 500)*CHOOSE(CONTROL!$C$42, 0.275, 0.275)*CHOOSE(CONTROL!$C$42, 29, 29))/1000000</f>
        <v>3.9874999999999998</v>
      </c>
      <c r="W566" s="38">
        <f>(1000*CHOOSE(CONTROL!$C$42, 0.1146, 0.1146)*CHOOSE(CONTROL!$C$42, 121.5, 121.5)*CHOOSE(CONTROL!$C$42, 29, 29))/1000000</f>
        <v>0.40379309999999996</v>
      </c>
      <c r="X566" s="38">
        <f>(29*0.1790888*100000/1000000)+(29*0.2374*100000/1000000)</f>
        <v>1.2078175199999999</v>
      </c>
      <c r="Y566" s="38">
        <f>(1000*600*CHOOSE(CONTROL!$C$42, 1.0585, 1.0585)*CHOOSE(CONTROL!$C$42, 29, 29))/1000000</f>
        <v>18.417899999999999</v>
      </c>
      <c r="Z566" s="38"/>
      <c r="AA566" s="10"/>
      <c r="AB566" s="39"/>
      <c r="AC566" s="33">
        <f>(B566*122.58+C566*297.941+D566*89.177+E566*40.302+F566*40+G566*160+H566*0+I566*100+J566*300)/(122.58+297.941+89.177+40.302+0+40+160+100+300)</f>
        <v>17.032394609652176</v>
      </c>
      <c r="AD566" s="27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16.889928776978419</v>
      </c>
    </row>
    <row r="567" spans="1:30" ht="15.75" x14ac:dyDescent="0.25">
      <c r="A567" s="13">
        <v>58531</v>
      </c>
      <c r="B567" s="10">
        <f>CHOOSE(CONTROL!$C$42, 16.5506, 16.5506) * CHOOSE(CONTROL!$C$21, $C$9, 100%, $E$9)</f>
        <v>16.550599999999999</v>
      </c>
      <c r="C567" s="10">
        <f>CHOOSE(CONTROL!$C$42, 16.5555, 16.5555) * CHOOSE(CONTROL!$C$21, $C$9, 100%, $E$9)</f>
        <v>16.555499999999999</v>
      </c>
      <c r="D567" s="10">
        <f>CHOOSE(CONTROL!$C$42, 16.58, 16.58) * CHOOSE(CONTROL!$C$21, $C$9, 100%, $E$9)</f>
        <v>16.579999999999998</v>
      </c>
      <c r="E567" s="10">
        <f>CHOOSE(CONTROL!$C$42, 16.6138, 16.6138) * CHOOSE(CONTROL!$C$21, $C$9, 100%, $E$9)</f>
        <v>16.613800000000001</v>
      </c>
      <c r="F567" s="10">
        <f>CHOOSE(CONTROL!$C$42, 16.5313, 16.5313)*CHOOSE(CONTROL!$C$21, $C$9, 100%, $E$9)</f>
        <v>16.531300000000002</v>
      </c>
      <c r="G567" s="10">
        <f>CHOOSE(CONTROL!$C$42, 16.5494, 16.5494)*CHOOSE(CONTROL!$C$21, $C$9, 100%, $E$9)</f>
        <v>16.549399999999999</v>
      </c>
      <c r="H567" s="10">
        <f>CHOOSE(CONTROL!$C$42, 16.6029, 16.6029) * CHOOSE(CONTROL!$C$21, $C$9, 100%, $E$9)</f>
        <v>16.602900000000002</v>
      </c>
      <c r="I567" s="10">
        <f>CHOOSE(CONTROL!$C$42, 16.5451, 16.5451)* CHOOSE(CONTROL!$C$21, $C$9, 100%, $E$9)</f>
        <v>16.545100000000001</v>
      </c>
      <c r="J567" s="10">
        <f>CHOOSE(CONTROL!$C$42, 16.5243, 16.5243)* CHOOSE(CONTROL!$C$21, $C$9, 100%, $E$9)</f>
        <v>16.5243</v>
      </c>
      <c r="K567" s="10">
        <f>CHOOSE(CONTROL!$C$42, 16.2256, 16.2256) * CHOOSE(CONTROL!$C$21, $C$9, 100%, $E$9)</f>
        <v>16.2256</v>
      </c>
      <c r="L567" s="10">
        <f>CHOOSE(CONTROL!$C$42, 17.1899, 17.1899) * CHOOSE(CONTROL!$C$21, $C$9, 100%, $E$9)</f>
        <v>17.189900000000002</v>
      </c>
      <c r="M567" s="10">
        <f>CHOOSE(CONTROL!$C$42, 16.3714, 16.3714) * CHOOSE(CONTROL!$C$21, $C$9, 100%, $E$9)</f>
        <v>16.371400000000001</v>
      </c>
      <c r="N567" s="10">
        <f>CHOOSE(CONTROL!$C$42, 16.3892, 16.3892) * CHOOSE(CONTROL!$C$21, $C$9, 100%, $E$9)</f>
        <v>16.389199999999999</v>
      </c>
      <c r="O567" s="10">
        <f>CHOOSE(CONTROL!$C$42, 16.4492, 16.4492) * CHOOSE(CONTROL!$C$21, $C$9, 100%, $E$9)</f>
        <v>16.449200000000001</v>
      </c>
      <c r="P567" s="10">
        <f>CHOOSE(CONTROL!$C$42, 16.3919, 16.3919) * CHOOSE(CONTROL!$C$21, $C$9, 100%, $E$9)</f>
        <v>16.3919</v>
      </c>
      <c r="Q567" s="10">
        <f>CHOOSE(CONTROL!$C$42, 17.0445, 17.0445) * CHOOSE(CONTROL!$C$21, $C$9, 100%, $E$9)</f>
        <v>17.044499999999999</v>
      </c>
      <c r="R567" s="10">
        <f>CHOOSE(CONTROL!$C$42, 17.6741, 17.6741) * CHOOSE(CONTROL!$C$21, $C$9, 100%, $E$9)</f>
        <v>17.674099999999999</v>
      </c>
      <c r="S567" s="10">
        <f>CHOOSE(CONTROL!$C$42, 16.0701, 16.0701) * CHOOSE(CONTROL!$C$21, $C$9, 100%, $E$9)</f>
        <v>16.0701</v>
      </c>
      <c r="T5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38">
        <f>(1000*CHOOSE(CONTROL!$C$42, 695, 695)*CHOOSE(CONTROL!$C$42, 0.5599, 0.5599)*CHOOSE(CONTROL!$C$42, 31, 31))/1000000</f>
        <v>12.063045499999998</v>
      </c>
      <c r="V567" s="38">
        <f>(1000*CHOOSE(CONTROL!$C$42, 500, 500)*CHOOSE(CONTROL!$C$42, 0.275, 0.275)*CHOOSE(CONTROL!$C$42, 31, 31))/1000000</f>
        <v>4.2625000000000002</v>
      </c>
      <c r="W567" s="38">
        <f>(1000*CHOOSE(CONTROL!$C$42, 0.1146, 0.1146)*CHOOSE(CONTROL!$C$42, 121.5, 121.5)*CHOOSE(CONTROL!$C$42, 31, 31))/1000000</f>
        <v>0.43164089999999994</v>
      </c>
      <c r="X567" s="38">
        <f>(31*0.1790888*100000/1000000)+(31*0.2374*100000/1000000)</f>
        <v>1.2911152800000001</v>
      </c>
      <c r="Y567" s="38">
        <f>(1000*600*CHOOSE(CONTROL!$C$42, 1.0585, 1.0585)*CHOOSE(CONTROL!$C$42, 31, 31))/1000000</f>
        <v>19.688099999999999</v>
      </c>
      <c r="Z567" s="38"/>
      <c r="AA567" s="10"/>
      <c r="AB567" s="39"/>
      <c r="AC567" s="33">
        <f>(B567*122.58+C567*297.941+D567*89.177+E567*40.302+F567*40+G567*160+H567*0+I567*100+J567*300)/(122.58+297.941+89.177+40.302+0+40+160+100+300)</f>
        <v>16.548186783565214</v>
      </c>
      <c r="AD567" s="27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16.410635971223023</v>
      </c>
    </row>
    <row r="568" spans="1:30" ht="15.75" x14ac:dyDescent="0.25">
      <c r="A568" s="13">
        <v>58561</v>
      </c>
      <c r="B568" s="10">
        <f>CHOOSE(CONTROL!$C$42, 16.5018, 16.5018) * CHOOSE(CONTROL!$C$21, $C$9, 100%, $E$9)</f>
        <v>16.501799999999999</v>
      </c>
      <c r="C568" s="10">
        <f>CHOOSE(CONTROL!$C$42, 16.5062, 16.5062) * CHOOSE(CONTROL!$C$21, $C$9, 100%, $E$9)</f>
        <v>16.5062</v>
      </c>
      <c r="D568" s="10">
        <f>CHOOSE(CONTROL!$C$42, 16.6863, 16.6863) * CHOOSE(CONTROL!$C$21, $C$9, 100%, $E$9)</f>
        <v>16.686299999999999</v>
      </c>
      <c r="E568" s="10">
        <f>CHOOSE(CONTROL!$C$42, 16.7181, 16.7181) * CHOOSE(CONTROL!$C$21, $C$9, 100%, $E$9)</f>
        <v>16.7181</v>
      </c>
      <c r="F568" s="10">
        <f>CHOOSE(CONTROL!$C$42, 16.4671, 16.4671)*CHOOSE(CONTROL!$C$21, $C$9, 100%, $E$9)</f>
        <v>16.467099999999999</v>
      </c>
      <c r="G568" s="10">
        <f>CHOOSE(CONTROL!$C$42, 16.4834, 16.4834)*CHOOSE(CONTROL!$C$21, $C$9, 100%, $E$9)</f>
        <v>16.4834</v>
      </c>
      <c r="H568" s="10">
        <f>CHOOSE(CONTROL!$C$42, 16.7079, 16.7079) * CHOOSE(CONTROL!$C$21, $C$9, 100%, $E$9)</f>
        <v>16.707899999999999</v>
      </c>
      <c r="I568" s="10">
        <f>CHOOSE(CONTROL!$C$42, 16.4878, 16.4878)* CHOOSE(CONTROL!$C$21, $C$9, 100%, $E$9)</f>
        <v>16.4878</v>
      </c>
      <c r="J568" s="10">
        <f>CHOOSE(CONTROL!$C$42, 16.4601, 16.4601)* CHOOSE(CONTROL!$C$21, $C$9, 100%, $E$9)</f>
        <v>16.460100000000001</v>
      </c>
      <c r="K568" s="10">
        <f>CHOOSE(CONTROL!$C$42, 16.155, 16.155) * CHOOSE(CONTROL!$C$21, $C$9, 100%, $E$9)</f>
        <v>16.155000000000001</v>
      </c>
      <c r="L568" s="10">
        <f>CHOOSE(CONTROL!$C$42, 17.2949, 17.2949) * CHOOSE(CONTROL!$C$21, $C$9, 100%, $E$9)</f>
        <v>17.294899999999998</v>
      </c>
      <c r="M568" s="10">
        <f>CHOOSE(CONTROL!$C$42, 16.3078, 16.3078) * CHOOSE(CONTROL!$C$21, $C$9, 100%, $E$9)</f>
        <v>16.3078</v>
      </c>
      <c r="N568" s="10">
        <f>CHOOSE(CONTROL!$C$42, 16.3239, 16.3239) * CHOOSE(CONTROL!$C$21, $C$9, 100%, $E$9)</f>
        <v>16.323899999999998</v>
      </c>
      <c r="O568" s="10">
        <f>CHOOSE(CONTROL!$C$42, 16.5531, 16.5531) * CHOOSE(CONTROL!$C$21, $C$9, 100%, $E$9)</f>
        <v>16.553100000000001</v>
      </c>
      <c r="P568" s="10">
        <f>CHOOSE(CONTROL!$C$42, 16.3353, 16.3353) * CHOOSE(CONTROL!$C$21, $C$9, 100%, $E$9)</f>
        <v>16.3353</v>
      </c>
      <c r="Q568" s="10">
        <f>CHOOSE(CONTROL!$C$42, 17.1484, 17.1484) * CHOOSE(CONTROL!$C$21, $C$9, 100%, $E$9)</f>
        <v>17.148399999999999</v>
      </c>
      <c r="R568" s="10">
        <f>CHOOSE(CONTROL!$C$42, 17.7783, 17.7783) * CHOOSE(CONTROL!$C$21, $C$9, 100%, $E$9)</f>
        <v>17.778300000000002</v>
      </c>
      <c r="S568" s="10">
        <f>CHOOSE(CONTROL!$C$42, 16.022, 16.022) * CHOOSE(CONTROL!$C$21, $C$9, 100%, $E$9)</f>
        <v>16.021999999999998</v>
      </c>
      <c r="T5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38">
        <f>(1000*CHOOSE(CONTROL!$C$42, 695, 695)*CHOOSE(CONTROL!$C$42, 0.5599, 0.5599)*CHOOSE(CONTROL!$C$42, 30, 30))/1000000</f>
        <v>11.673914999999997</v>
      </c>
      <c r="V568" s="38">
        <f>(1000*CHOOSE(CONTROL!$C$42, 500, 500)*CHOOSE(CONTROL!$C$42, 0.275, 0.275)*CHOOSE(CONTROL!$C$42, 30, 30))/1000000</f>
        <v>4.125</v>
      </c>
      <c r="W568" s="38">
        <f>(1000*CHOOSE(CONTROL!$C$42, 0.1146, 0.1146)*CHOOSE(CONTROL!$C$42, 121.5, 121.5)*CHOOSE(CONTROL!$C$42, 30, 30))/1000000</f>
        <v>0.417717</v>
      </c>
      <c r="X568" s="38">
        <f>(30*0.1790888*245000/1000000)+(30*0.2374*100000/1000000)</f>
        <v>2.0285026799999999</v>
      </c>
      <c r="Y568" s="38">
        <f>(1000*600*CHOOSE(CONTROL!$C$42, 1.0585, 1.0585)*CHOOSE(CONTROL!$C$42, 30, 30))/1000000</f>
        <v>19.053000000000001</v>
      </c>
      <c r="Z568" s="38"/>
      <c r="AA568" s="10"/>
      <c r="AB568" s="39"/>
      <c r="AC568" s="33">
        <f>(B568*141.293+C568*267.993+D568*115.016+E568*89.698+F568*40+G568*185+H568*0+I568*100+J568*300)/(141.293+267.993+115.016+89.698+0+40+185+100+300)</f>
        <v>16.520443501694917</v>
      </c>
      <c r="AD568" s="27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16.384288489208632</v>
      </c>
    </row>
    <row r="569" spans="1:30" ht="15.75" x14ac:dyDescent="0.25">
      <c r="A569" s="13">
        <v>58592</v>
      </c>
      <c r="B569" s="10">
        <f>CHOOSE(CONTROL!$C$42, 16.6492, 16.6492) * CHOOSE(CONTROL!$C$21, $C$9, 100%, $E$9)</f>
        <v>16.6492</v>
      </c>
      <c r="C569" s="10">
        <f>CHOOSE(CONTROL!$C$42, 16.6571, 16.6571) * CHOOSE(CONTROL!$C$21, $C$9, 100%, $E$9)</f>
        <v>16.6571</v>
      </c>
      <c r="D569" s="10">
        <f>CHOOSE(CONTROL!$C$42, 16.8341, 16.8341) * CHOOSE(CONTROL!$C$21, $C$9, 100%, $E$9)</f>
        <v>16.834099999999999</v>
      </c>
      <c r="E569" s="10">
        <f>CHOOSE(CONTROL!$C$42, 16.8652, 16.8652) * CHOOSE(CONTROL!$C$21, $C$9, 100%, $E$9)</f>
        <v>16.865200000000002</v>
      </c>
      <c r="F569" s="10">
        <f>CHOOSE(CONTROL!$C$42, 16.6126, 16.6126)*CHOOSE(CONTROL!$C$21, $C$9, 100%, $E$9)</f>
        <v>16.6126</v>
      </c>
      <c r="G569" s="10">
        <f>CHOOSE(CONTROL!$C$42, 16.6291, 16.6291)*CHOOSE(CONTROL!$C$21, $C$9, 100%, $E$9)</f>
        <v>16.629100000000001</v>
      </c>
      <c r="H569" s="10">
        <f>CHOOSE(CONTROL!$C$42, 16.8539, 16.8539) * CHOOSE(CONTROL!$C$21, $C$9, 100%, $E$9)</f>
        <v>16.853899999999999</v>
      </c>
      <c r="I569" s="10">
        <f>CHOOSE(CONTROL!$C$42, 16.6338, 16.6338)* CHOOSE(CONTROL!$C$21, $C$9, 100%, $E$9)</f>
        <v>16.633800000000001</v>
      </c>
      <c r="J569" s="10">
        <f>CHOOSE(CONTROL!$C$42, 16.6056, 16.6056)* CHOOSE(CONTROL!$C$21, $C$9, 100%, $E$9)</f>
        <v>16.605599999999999</v>
      </c>
      <c r="K569" s="10">
        <f>CHOOSE(CONTROL!$C$42, 16.2956, 16.2956) * CHOOSE(CONTROL!$C$21, $C$9, 100%, $E$9)</f>
        <v>16.2956</v>
      </c>
      <c r="L569" s="10">
        <f>CHOOSE(CONTROL!$C$42, 17.4409, 17.4409) * CHOOSE(CONTROL!$C$21, $C$9, 100%, $E$9)</f>
        <v>17.440899999999999</v>
      </c>
      <c r="M569" s="10">
        <f>CHOOSE(CONTROL!$C$42, 16.4518, 16.4518) * CHOOSE(CONTROL!$C$21, $C$9, 100%, $E$9)</f>
        <v>16.451799999999999</v>
      </c>
      <c r="N569" s="10">
        <f>CHOOSE(CONTROL!$C$42, 16.4681, 16.4681) * CHOOSE(CONTROL!$C$21, $C$9, 100%, $E$9)</f>
        <v>16.4681</v>
      </c>
      <c r="O569" s="10">
        <f>CHOOSE(CONTROL!$C$42, 16.6976, 16.6976) * CHOOSE(CONTROL!$C$21, $C$9, 100%, $E$9)</f>
        <v>16.697600000000001</v>
      </c>
      <c r="P569" s="10">
        <f>CHOOSE(CONTROL!$C$42, 16.4798, 16.4798) * CHOOSE(CONTROL!$C$21, $C$9, 100%, $E$9)</f>
        <v>16.479800000000001</v>
      </c>
      <c r="Q569" s="10">
        <f>CHOOSE(CONTROL!$C$42, 17.2929, 17.2929) * CHOOSE(CONTROL!$C$21, $C$9, 100%, $E$9)</f>
        <v>17.292899999999999</v>
      </c>
      <c r="R569" s="10">
        <f>CHOOSE(CONTROL!$C$42, 17.9231, 17.9231) * CHOOSE(CONTROL!$C$21, $C$9, 100%, $E$9)</f>
        <v>17.923100000000002</v>
      </c>
      <c r="S569" s="10">
        <f>CHOOSE(CONTROL!$C$42, 16.1638, 16.1638) * CHOOSE(CONTROL!$C$21, $C$9, 100%, $E$9)</f>
        <v>16.163799999999998</v>
      </c>
      <c r="T5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38">
        <f>(1000*CHOOSE(CONTROL!$C$42, 695, 695)*CHOOSE(CONTROL!$C$42, 0.5599, 0.5599)*CHOOSE(CONTROL!$C$42, 31, 31))/1000000</f>
        <v>12.063045499999998</v>
      </c>
      <c r="V569" s="38">
        <f>(1000*CHOOSE(CONTROL!$C$42, 500, 500)*CHOOSE(CONTROL!$C$42, 0.275, 0.275)*CHOOSE(CONTROL!$C$42, 31, 31))/1000000</f>
        <v>4.2625000000000002</v>
      </c>
      <c r="W569" s="38">
        <f>(1000*CHOOSE(CONTROL!$C$42, 0.1146, 0.1146)*CHOOSE(CONTROL!$C$42, 121.5, 121.5)*CHOOSE(CONTROL!$C$42, 31, 31))/1000000</f>
        <v>0.43164089999999994</v>
      </c>
      <c r="X569" s="38">
        <f>(31*0.1790888*245000/1000000)+(31*0.2374*100000/1000000)</f>
        <v>2.0961194359999999</v>
      </c>
      <c r="Y569" s="38">
        <f>(1000*600*CHOOSE(CONTROL!$C$42, 1.0585, 1.0585)*CHOOSE(CONTROL!$C$42, 31, 31))/1000000</f>
        <v>19.688099999999999</v>
      </c>
      <c r="Z569" s="38"/>
      <c r="AA569" s="10"/>
      <c r="AB569" s="39"/>
      <c r="AC569" s="33">
        <f>(B569*194.205+C569*267.466+D569*133.845+E569*53.484+F569*40+G569*185+H569*0+I569*100+J569*300)/(194.205+267.466+133.845+53.484+0+40+185+100+300)</f>
        <v>16.66380829348509</v>
      </c>
      <c r="AD569" s="27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16.528546762589929</v>
      </c>
    </row>
    <row r="570" spans="1:30" ht="15.75" x14ac:dyDescent="0.25">
      <c r="A570" s="13">
        <v>58622</v>
      </c>
      <c r="B570" s="10">
        <f>CHOOSE(CONTROL!$C$42, 17.1213, 17.1213) * CHOOSE(CONTROL!$C$21, $C$9, 100%, $E$9)</f>
        <v>17.121300000000002</v>
      </c>
      <c r="C570" s="10">
        <f>CHOOSE(CONTROL!$C$42, 17.1292, 17.1292) * CHOOSE(CONTROL!$C$21, $C$9, 100%, $E$9)</f>
        <v>17.129200000000001</v>
      </c>
      <c r="D570" s="10">
        <f>CHOOSE(CONTROL!$C$42, 17.3062, 17.3062) * CHOOSE(CONTROL!$C$21, $C$9, 100%, $E$9)</f>
        <v>17.3062</v>
      </c>
      <c r="E570" s="10">
        <f>CHOOSE(CONTROL!$C$42, 17.3374, 17.3374) * CHOOSE(CONTROL!$C$21, $C$9, 100%, $E$9)</f>
        <v>17.337399999999999</v>
      </c>
      <c r="F570" s="10">
        <f>CHOOSE(CONTROL!$C$42, 17.0848, 17.0848)*CHOOSE(CONTROL!$C$21, $C$9, 100%, $E$9)</f>
        <v>17.084800000000001</v>
      </c>
      <c r="G570" s="10">
        <f>CHOOSE(CONTROL!$C$42, 17.1014, 17.1014)*CHOOSE(CONTROL!$C$21, $C$9, 100%, $E$9)</f>
        <v>17.101400000000002</v>
      </c>
      <c r="H570" s="10">
        <f>CHOOSE(CONTROL!$C$42, 17.326, 17.326) * CHOOSE(CONTROL!$C$21, $C$9, 100%, $E$9)</f>
        <v>17.326000000000001</v>
      </c>
      <c r="I570" s="10">
        <f>CHOOSE(CONTROL!$C$42, 17.1059, 17.1059)* CHOOSE(CONTROL!$C$21, $C$9, 100%, $E$9)</f>
        <v>17.105899999999998</v>
      </c>
      <c r="J570" s="10">
        <f>CHOOSE(CONTROL!$C$42, 17.0778, 17.0778)* CHOOSE(CONTROL!$C$21, $C$9, 100%, $E$9)</f>
        <v>17.0778</v>
      </c>
      <c r="K570" s="10">
        <f>CHOOSE(CONTROL!$C$42, 16.7547, 16.7547) * CHOOSE(CONTROL!$C$21, $C$9, 100%, $E$9)</f>
        <v>16.7547</v>
      </c>
      <c r="L570" s="10">
        <f>CHOOSE(CONTROL!$C$42, 17.913, 17.913) * CHOOSE(CONTROL!$C$21, $C$9, 100%, $E$9)</f>
        <v>17.913</v>
      </c>
      <c r="M570" s="10">
        <f>CHOOSE(CONTROL!$C$42, 16.9193, 16.9193) * CHOOSE(CONTROL!$C$21, $C$9, 100%, $E$9)</f>
        <v>16.9193</v>
      </c>
      <c r="N570" s="10">
        <f>CHOOSE(CONTROL!$C$42, 16.9357, 16.9357) * CHOOSE(CONTROL!$C$21, $C$9, 100%, $E$9)</f>
        <v>16.935700000000001</v>
      </c>
      <c r="O570" s="10">
        <f>CHOOSE(CONTROL!$C$42, 17.165, 17.165) * CHOOSE(CONTROL!$C$21, $C$9, 100%, $E$9)</f>
        <v>17.164999999999999</v>
      </c>
      <c r="P570" s="10">
        <f>CHOOSE(CONTROL!$C$42, 16.9471, 16.9471) * CHOOSE(CONTROL!$C$21, $C$9, 100%, $E$9)</f>
        <v>16.947099999999999</v>
      </c>
      <c r="Q570" s="10">
        <f>CHOOSE(CONTROL!$C$42, 17.7603, 17.7603) * CHOOSE(CONTROL!$C$21, $C$9, 100%, $E$9)</f>
        <v>17.760300000000001</v>
      </c>
      <c r="R570" s="10">
        <f>CHOOSE(CONTROL!$C$42, 18.3917, 18.3917) * CHOOSE(CONTROL!$C$21, $C$9, 100%, $E$9)</f>
        <v>18.3917</v>
      </c>
      <c r="S570" s="10">
        <f>CHOOSE(CONTROL!$C$42, 16.6223, 16.6223) * CHOOSE(CONTROL!$C$21, $C$9, 100%, $E$9)</f>
        <v>16.622299999999999</v>
      </c>
      <c r="T5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38">
        <f>(1000*CHOOSE(CONTROL!$C$42, 695, 695)*CHOOSE(CONTROL!$C$42, 0.5599, 0.5599)*CHOOSE(CONTROL!$C$42, 30, 30))/1000000</f>
        <v>11.673914999999997</v>
      </c>
      <c r="V570" s="38">
        <f>(1000*CHOOSE(CONTROL!$C$42, 500, 500)*CHOOSE(CONTROL!$C$42, 0.275, 0.275)*CHOOSE(CONTROL!$C$42, 30, 30))/1000000</f>
        <v>4.125</v>
      </c>
      <c r="W570" s="38">
        <f>(1000*CHOOSE(CONTROL!$C$42, 0.1146, 0.1146)*CHOOSE(CONTROL!$C$42, 121.5, 121.5)*CHOOSE(CONTROL!$C$42, 30, 30))/1000000</f>
        <v>0.417717</v>
      </c>
      <c r="X570" s="38">
        <f>(30*0.1790888*245000/1000000)+(30*0.2374*100000/1000000)</f>
        <v>2.0285026799999999</v>
      </c>
      <c r="Y570" s="38">
        <f>(1000*600*CHOOSE(CONTROL!$C$42, 1.0585, 1.0585)*CHOOSE(CONTROL!$C$42, 30, 30))/1000000</f>
        <v>19.053000000000001</v>
      </c>
      <c r="Z570" s="38"/>
      <c r="AA570" s="10"/>
      <c r="AB570" s="39"/>
      <c r="AC570" s="33">
        <f>(B570*194.205+C570*267.466+D570*133.845+E570*53.484+F570*40+G570*185+H570*0+I570*100+J570*300)/(194.205+267.466+133.845+53.484+0+40+185+100+300)</f>
        <v>17.135968221585557</v>
      </c>
      <c r="AD570" s="27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16.996012949640289</v>
      </c>
    </row>
    <row r="571" spans="1:30" ht="15.75" x14ac:dyDescent="0.25">
      <c r="A571" s="13">
        <v>58653</v>
      </c>
      <c r="B571" s="10">
        <f>CHOOSE(CONTROL!$C$42, 16.793, 16.793) * CHOOSE(CONTROL!$C$21, $C$9, 100%, $E$9)</f>
        <v>16.792999999999999</v>
      </c>
      <c r="C571" s="10">
        <f>CHOOSE(CONTROL!$C$42, 16.8009, 16.8009) * CHOOSE(CONTROL!$C$21, $C$9, 100%, $E$9)</f>
        <v>16.800899999999999</v>
      </c>
      <c r="D571" s="10">
        <f>CHOOSE(CONTROL!$C$42, 16.9779, 16.9779) * CHOOSE(CONTROL!$C$21, $C$9, 100%, $E$9)</f>
        <v>16.977900000000002</v>
      </c>
      <c r="E571" s="10">
        <f>CHOOSE(CONTROL!$C$42, 17.009, 17.009) * CHOOSE(CONTROL!$C$21, $C$9, 100%, $E$9)</f>
        <v>17.009</v>
      </c>
      <c r="F571" s="10">
        <f>CHOOSE(CONTROL!$C$42, 16.7567, 16.7567)*CHOOSE(CONTROL!$C$21, $C$9, 100%, $E$9)</f>
        <v>16.756699999999999</v>
      </c>
      <c r="G571" s="10">
        <f>CHOOSE(CONTROL!$C$42, 16.7733, 16.7733)*CHOOSE(CONTROL!$C$21, $C$9, 100%, $E$9)</f>
        <v>16.773299999999999</v>
      </c>
      <c r="H571" s="10">
        <f>CHOOSE(CONTROL!$C$42, 16.9976, 16.9976) * CHOOSE(CONTROL!$C$21, $C$9, 100%, $E$9)</f>
        <v>16.997599999999998</v>
      </c>
      <c r="I571" s="10">
        <f>CHOOSE(CONTROL!$C$42, 16.7775, 16.7775)* CHOOSE(CONTROL!$C$21, $C$9, 100%, $E$9)</f>
        <v>16.7775</v>
      </c>
      <c r="J571" s="10">
        <f>CHOOSE(CONTROL!$C$42, 16.7497, 16.7497)* CHOOSE(CONTROL!$C$21, $C$9, 100%, $E$9)</f>
        <v>16.749700000000001</v>
      </c>
      <c r="K571" s="10">
        <f>CHOOSE(CONTROL!$C$42, 16.4362, 16.4362) * CHOOSE(CONTROL!$C$21, $C$9, 100%, $E$9)</f>
        <v>16.436199999999999</v>
      </c>
      <c r="L571" s="10">
        <f>CHOOSE(CONTROL!$C$42, 17.5846, 17.5846) * CHOOSE(CONTROL!$C$21, $C$9, 100%, $E$9)</f>
        <v>17.584599999999998</v>
      </c>
      <c r="M571" s="10">
        <f>CHOOSE(CONTROL!$C$42, 16.5945, 16.5945) * CHOOSE(CONTROL!$C$21, $C$9, 100%, $E$9)</f>
        <v>16.5945</v>
      </c>
      <c r="N571" s="10">
        <f>CHOOSE(CONTROL!$C$42, 16.611, 16.611) * CHOOSE(CONTROL!$C$21, $C$9, 100%, $E$9)</f>
        <v>16.611000000000001</v>
      </c>
      <c r="O571" s="10">
        <f>CHOOSE(CONTROL!$C$42, 16.8399, 16.8399) * CHOOSE(CONTROL!$C$21, $C$9, 100%, $E$9)</f>
        <v>16.8399</v>
      </c>
      <c r="P571" s="10">
        <f>CHOOSE(CONTROL!$C$42, 16.6221, 16.6221) * CHOOSE(CONTROL!$C$21, $C$9, 100%, $E$9)</f>
        <v>16.6221</v>
      </c>
      <c r="Q571" s="10">
        <f>CHOOSE(CONTROL!$C$42, 17.4352, 17.4352) * CHOOSE(CONTROL!$C$21, $C$9, 100%, $E$9)</f>
        <v>17.435199999999998</v>
      </c>
      <c r="R571" s="10">
        <f>CHOOSE(CONTROL!$C$42, 18.0658, 18.0658) * CHOOSE(CONTROL!$C$21, $C$9, 100%, $E$9)</f>
        <v>18.065799999999999</v>
      </c>
      <c r="S571" s="10">
        <f>CHOOSE(CONTROL!$C$42, 16.3034, 16.3034) * CHOOSE(CONTROL!$C$21, $C$9, 100%, $E$9)</f>
        <v>16.3034</v>
      </c>
      <c r="T5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38">
        <f>(1000*CHOOSE(CONTROL!$C$42, 695, 695)*CHOOSE(CONTROL!$C$42, 0.5599, 0.5599)*CHOOSE(CONTROL!$C$42, 31, 31))/1000000</f>
        <v>12.063045499999998</v>
      </c>
      <c r="V571" s="38">
        <f>(1000*CHOOSE(CONTROL!$C$42, 500, 500)*CHOOSE(CONTROL!$C$42, 0.275, 0.275)*CHOOSE(CONTROL!$C$42, 31, 31))/1000000</f>
        <v>4.2625000000000002</v>
      </c>
      <c r="W571" s="38">
        <f>(1000*CHOOSE(CONTROL!$C$42, 0.1146, 0.1146)*CHOOSE(CONTROL!$C$42, 121.5, 121.5)*CHOOSE(CONTROL!$C$42, 31, 31))/1000000</f>
        <v>0.43164089999999994</v>
      </c>
      <c r="X571" s="38">
        <f>(31*0.1790888*245000/1000000)+(31*0.2374*100000/1000000)</f>
        <v>2.0961194359999999</v>
      </c>
      <c r="Y571" s="38">
        <f>(1000*600*CHOOSE(CONTROL!$C$42, 1.0585, 1.0585)*CHOOSE(CONTROL!$C$42, 31, 31))/1000000</f>
        <v>19.688099999999999</v>
      </c>
      <c r="Z571" s="38"/>
      <c r="AA571" s="10"/>
      <c r="AB571" s="39"/>
      <c r="AC571" s="33">
        <f>(B571*194.205+C571*267.466+D571*133.845+E571*53.484+F571*40+G571*185+H571*0+I571*100+J571*300)/(194.205+267.466+133.845+53.484+0+40+185+100+300)</f>
        <v>16.807738591758241</v>
      </c>
      <c r="AD571" s="27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16.671123021582734</v>
      </c>
    </row>
    <row r="572" spans="1:30" ht="15.75" x14ac:dyDescent="0.25">
      <c r="A572" s="13">
        <v>58684</v>
      </c>
      <c r="B572" s="10">
        <f>CHOOSE(CONTROL!$C$42, 15.9637, 15.9637) * CHOOSE(CONTROL!$C$21, $C$9, 100%, $E$9)</f>
        <v>15.963699999999999</v>
      </c>
      <c r="C572" s="10">
        <f>CHOOSE(CONTROL!$C$42, 15.9717, 15.9717) * CHOOSE(CONTROL!$C$21, $C$9, 100%, $E$9)</f>
        <v>15.9717</v>
      </c>
      <c r="D572" s="10">
        <f>CHOOSE(CONTROL!$C$42, 16.1486, 16.1486) * CHOOSE(CONTROL!$C$21, $C$9, 100%, $E$9)</f>
        <v>16.148599999999998</v>
      </c>
      <c r="E572" s="10">
        <f>CHOOSE(CONTROL!$C$42, 16.1798, 16.1798) * CHOOSE(CONTROL!$C$21, $C$9, 100%, $E$9)</f>
        <v>16.1798</v>
      </c>
      <c r="F572" s="10">
        <f>CHOOSE(CONTROL!$C$42, 15.9276, 15.9276)*CHOOSE(CONTROL!$C$21, $C$9, 100%, $E$9)</f>
        <v>15.9276</v>
      </c>
      <c r="G572" s="10">
        <f>CHOOSE(CONTROL!$C$42, 15.9442, 15.9442)*CHOOSE(CONTROL!$C$21, $C$9, 100%, $E$9)</f>
        <v>15.9442</v>
      </c>
      <c r="H572" s="10">
        <f>CHOOSE(CONTROL!$C$42, 16.1684, 16.1684) * CHOOSE(CONTROL!$C$21, $C$9, 100%, $E$9)</f>
        <v>16.168399999999998</v>
      </c>
      <c r="I572" s="10">
        <f>CHOOSE(CONTROL!$C$42, 15.9483, 15.9483)* CHOOSE(CONTROL!$C$21, $C$9, 100%, $E$9)</f>
        <v>15.9483</v>
      </c>
      <c r="J572" s="10">
        <f>CHOOSE(CONTROL!$C$42, 15.9206, 15.9206)* CHOOSE(CONTROL!$C$21, $C$9, 100%, $E$9)</f>
        <v>15.9206</v>
      </c>
      <c r="K572" s="10">
        <f>CHOOSE(CONTROL!$C$42, 15.6307, 15.6307) * CHOOSE(CONTROL!$C$21, $C$9, 100%, $E$9)</f>
        <v>15.630699999999999</v>
      </c>
      <c r="L572" s="10">
        <f>CHOOSE(CONTROL!$C$42, 16.7554, 16.7554) * CHOOSE(CONTROL!$C$21, $C$9, 100%, $E$9)</f>
        <v>16.755400000000002</v>
      </c>
      <c r="M572" s="10">
        <f>CHOOSE(CONTROL!$C$42, 15.7737, 15.7737) * CHOOSE(CONTROL!$C$21, $C$9, 100%, $E$9)</f>
        <v>15.7737</v>
      </c>
      <c r="N572" s="10">
        <f>CHOOSE(CONTROL!$C$42, 15.7902, 15.7902) * CHOOSE(CONTROL!$C$21, $C$9, 100%, $E$9)</f>
        <v>15.7902</v>
      </c>
      <c r="O572" s="10">
        <f>CHOOSE(CONTROL!$C$42, 16.0191, 16.0191) * CHOOSE(CONTROL!$C$21, $C$9, 100%, $E$9)</f>
        <v>16.019100000000002</v>
      </c>
      <c r="P572" s="10">
        <f>CHOOSE(CONTROL!$C$42, 15.8012, 15.8012) * CHOOSE(CONTROL!$C$21, $C$9, 100%, $E$9)</f>
        <v>15.8012</v>
      </c>
      <c r="Q572" s="10">
        <f>CHOOSE(CONTROL!$C$42, 16.6144, 16.6144) * CHOOSE(CONTROL!$C$21, $C$9, 100%, $E$9)</f>
        <v>16.6144</v>
      </c>
      <c r="R572" s="10">
        <f>CHOOSE(CONTROL!$C$42, 17.2429, 17.2429) * CHOOSE(CONTROL!$C$21, $C$9, 100%, $E$9)</f>
        <v>17.242899999999999</v>
      </c>
      <c r="S572" s="10">
        <f>CHOOSE(CONTROL!$C$42, 15.4981, 15.4981) * CHOOSE(CONTROL!$C$21, $C$9, 100%, $E$9)</f>
        <v>15.498100000000001</v>
      </c>
      <c r="T5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38">
        <f>(1000*CHOOSE(CONTROL!$C$42, 695, 695)*CHOOSE(CONTROL!$C$42, 0.5599, 0.5599)*CHOOSE(CONTROL!$C$42, 31, 31))/1000000</f>
        <v>12.063045499999998</v>
      </c>
      <c r="V572" s="38">
        <f>(1000*CHOOSE(CONTROL!$C$42, 500, 500)*CHOOSE(CONTROL!$C$42, 0.275, 0.275)*CHOOSE(CONTROL!$C$42, 31, 31))/1000000</f>
        <v>4.2625000000000002</v>
      </c>
      <c r="W572" s="38">
        <f>(1000*CHOOSE(CONTROL!$C$42, 0.1146, 0.1146)*CHOOSE(CONTROL!$C$42, 121.5, 121.5)*CHOOSE(CONTROL!$C$42, 31, 31))/1000000</f>
        <v>0.43164089999999994</v>
      </c>
      <c r="X572" s="38">
        <f>(31*0.1790888*245000/1000000)+(31*0.2374*100000/1000000)</f>
        <v>2.0961194359999999</v>
      </c>
      <c r="Y572" s="38">
        <f>(1000*600*CHOOSE(CONTROL!$C$42, 1.0585, 1.0585)*CHOOSE(CONTROL!$C$42, 31, 31))/1000000</f>
        <v>19.688099999999999</v>
      </c>
      <c r="Z572" s="38"/>
      <c r="AA572" s="10"/>
      <c r="AB572" s="39"/>
      <c r="AC572" s="33">
        <f>(B572*194.205+C572*267.466+D572*133.845+E572*53.484+F572*40+G572*185+H572*0+I572*100+J572*300)/(194.205+267.466+133.845+53.484+0+40+185+100+300)</f>
        <v>15.978554050941915</v>
      </c>
      <c r="AD572" s="27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15.850308633093528</v>
      </c>
    </row>
    <row r="573" spans="1:30" ht="15.75" x14ac:dyDescent="0.25">
      <c r="A573" s="13">
        <v>58714</v>
      </c>
      <c r="B573" s="10">
        <f>CHOOSE(CONTROL!$C$42, 14.9506, 14.9506) * CHOOSE(CONTROL!$C$21, $C$9, 100%, $E$9)</f>
        <v>14.9506</v>
      </c>
      <c r="C573" s="10">
        <f>CHOOSE(CONTROL!$C$42, 14.9585, 14.9585) * CHOOSE(CONTROL!$C$21, $C$9, 100%, $E$9)</f>
        <v>14.958500000000001</v>
      </c>
      <c r="D573" s="10">
        <f>CHOOSE(CONTROL!$C$42, 15.1355, 15.1355) * CHOOSE(CONTROL!$C$21, $C$9, 100%, $E$9)</f>
        <v>15.1355</v>
      </c>
      <c r="E573" s="10">
        <f>CHOOSE(CONTROL!$C$42, 15.1666, 15.1666) * CHOOSE(CONTROL!$C$21, $C$9, 100%, $E$9)</f>
        <v>15.166600000000001</v>
      </c>
      <c r="F573" s="10">
        <f>CHOOSE(CONTROL!$C$42, 14.9142, 14.9142)*CHOOSE(CONTROL!$C$21, $C$9, 100%, $E$9)</f>
        <v>14.914199999999999</v>
      </c>
      <c r="G573" s="10">
        <f>CHOOSE(CONTROL!$C$42, 14.9307, 14.9307)*CHOOSE(CONTROL!$C$21, $C$9, 100%, $E$9)</f>
        <v>14.9307</v>
      </c>
      <c r="H573" s="10">
        <f>CHOOSE(CONTROL!$C$42, 15.1553, 15.1553) * CHOOSE(CONTROL!$C$21, $C$9, 100%, $E$9)</f>
        <v>15.1553</v>
      </c>
      <c r="I573" s="10">
        <f>CHOOSE(CONTROL!$C$42, 14.9352, 14.9352)* CHOOSE(CONTROL!$C$21, $C$9, 100%, $E$9)</f>
        <v>14.9352</v>
      </c>
      <c r="J573" s="10">
        <f>CHOOSE(CONTROL!$C$42, 14.9072, 14.9072)* CHOOSE(CONTROL!$C$21, $C$9, 100%, $E$9)</f>
        <v>14.9072</v>
      </c>
      <c r="K573" s="10">
        <f>CHOOSE(CONTROL!$C$42, 14.6458, 14.6458) * CHOOSE(CONTROL!$C$21, $C$9, 100%, $E$9)</f>
        <v>14.645799999999999</v>
      </c>
      <c r="L573" s="10">
        <f>CHOOSE(CONTROL!$C$42, 15.7423, 15.7423) * CHOOSE(CONTROL!$C$21, $C$9, 100%, $E$9)</f>
        <v>15.7423</v>
      </c>
      <c r="M573" s="10">
        <f>CHOOSE(CONTROL!$C$42, 14.7706, 14.7706) * CHOOSE(CONTROL!$C$21, $C$9, 100%, $E$9)</f>
        <v>14.7706</v>
      </c>
      <c r="N573" s="10">
        <f>CHOOSE(CONTROL!$C$42, 14.7869, 14.7869) * CHOOSE(CONTROL!$C$21, $C$9, 100%, $E$9)</f>
        <v>14.786899999999999</v>
      </c>
      <c r="O573" s="10">
        <f>CHOOSE(CONTROL!$C$42, 15.0161, 15.0161) * CHOOSE(CONTROL!$C$21, $C$9, 100%, $E$9)</f>
        <v>15.0161</v>
      </c>
      <c r="P573" s="10">
        <f>CHOOSE(CONTROL!$C$42, 14.7983, 14.7983) * CHOOSE(CONTROL!$C$21, $C$9, 100%, $E$9)</f>
        <v>14.798299999999999</v>
      </c>
      <c r="Q573" s="10">
        <f>CHOOSE(CONTROL!$C$42, 15.6114, 15.6114) * CHOOSE(CONTROL!$C$21, $C$9, 100%, $E$9)</f>
        <v>15.6114</v>
      </c>
      <c r="R573" s="10">
        <f>CHOOSE(CONTROL!$C$42, 16.2375, 16.2375) * CHOOSE(CONTROL!$C$21, $C$9, 100%, $E$9)</f>
        <v>16.237500000000001</v>
      </c>
      <c r="S573" s="10">
        <f>CHOOSE(CONTROL!$C$42, 14.5143, 14.5143) * CHOOSE(CONTROL!$C$21, $C$9, 100%, $E$9)</f>
        <v>14.5143</v>
      </c>
      <c r="T5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38">
        <f>(1000*CHOOSE(CONTROL!$C$42, 695, 695)*CHOOSE(CONTROL!$C$42, 0.5599, 0.5599)*CHOOSE(CONTROL!$C$42, 30, 30))/1000000</f>
        <v>11.673914999999997</v>
      </c>
      <c r="V573" s="38">
        <f>(1000*CHOOSE(CONTROL!$C$42, 500, 500)*CHOOSE(CONTROL!$C$42, 0.275, 0.275)*CHOOSE(CONTROL!$C$42, 30, 30))/1000000</f>
        <v>4.125</v>
      </c>
      <c r="W573" s="38">
        <f>(1000*CHOOSE(CONTROL!$C$42, 0.1146, 0.1146)*CHOOSE(CONTROL!$C$42, 121.5, 121.5)*CHOOSE(CONTROL!$C$42, 30, 30))/1000000</f>
        <v>0.417717</v>
      </c>
      <c r="X573" s="38">
        <f>(30*0.1790888*245000/1000000)+(30*0.2374*100000/1000000)</f>
        <v>2.0285026799999999</v>
      </c>
      <c r="Y573" s="38">
        <f>(1000*600*CHOOSE(CONTROL!$C$42, 1.0585, 1.0585)*CHOOSE(CONTROL!$C$42, 30, 30))/1000000</f>
        <v>19.053000000000001</v>
      </c>
      <c r="Z573" s="38"/>
      <c r="AA573" s="10"/>
      <c r="AB573" s="39"/>
      <c r="AC573" s="33">
        <f>(B573*194.205+C573*267.466+D573*133.845+E573*53.484+F573*40+G573*185+H573*0+I573*100+J573*300)/(194.205+267.466+133.845+53.484+0+40+185+100+300)</f>
        <v>14.965290711067505</v>
      </c>
      <c r="AD573" s="27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14.84721942446043</v>
      </c>
    </row>
    <row r="574" spans="1:30" ht="15.75" x14ac:dyDescent="0.25">
      <c r="A574" s="13">
        <v>58745</v>
      </c>
      <c r="B574" s="10">
        <f>CHOOSE(CONTROL!$C$42, 14.645, 14.645) * CHOOSE(CONTROL!$C$21, $C$9, 100%, $E$9)</f>
        <v>14.645</v>
      </c>
      <c r="C574" s="10">
        <f>CHOOSE(CONTROL!$C$42, 14.6502, 14.6502) * CHOOSE(CONTROL!$C$21, $C$9, 100%, $E$9)</f>
        <v>14.6502</v>
      </c>
      <c r="D574" s="10">
        <f>CHOOSE(CONTROL!$C$42, 14.8322, 14.8322) * CHOOSE(CONTROL!$C$21, $C$9, 100%, $E$9)</f>
        <v>14.8322</v>
      </c>
      <c r="E574" s="10">
        <f>CHOOSE(CONTROL!$C$42, 14.861, 14.861) * CHOOSE(CONTROL!$C$21, $C$9, 100%, $E$9)</f>
        <v>14.861000000000001</v>
      </c>
      <c r="F574" s="10">
        <f>CHOOSE(CONTROL!$C$42, 14.6106, 14.6106)*CHOOSE(CONTROL!$C$21, $C$9, 100%, $E$9)</f>
        <v>14.6106</v>
      </c>
      <c r="G574" s="10">
        <f>CHOOSE(CONTROL!$C$42, 14.6268, 14.6268)*CHOOSE(CONTROL!$C$21, $C$9, 100%, $E$9)</f>
        <v>14.626799999999999</v>
      </c>
      <c r="H574" s="10">
        <f>CHOOSE(CONTROL!$C$42, 14.8514, 14.8514) * CHOOSE(CONTROL!$C$21, $C$9, 100%, $E$9)</f>
        <v>14.8514</v>
      </c>
      <c r="I574" s="10">
        <f>CHOOSE(CONTROL!$C$42, 14.6313, 14.6313)* CHOOSE(CONTROL!$C$21, $C$9, 100%, $E$9)</f>
        <v>14.6313</v>
      </c>
      <c r="J574" s="10">
        <f>CHOOSE(CONTROL!$C$42, 14.6036, 14.6036)* CHOOSE(CONTROL!$C$21, $C$9, 100%, $E$9)</f>
        <v>14.6036</v>
      </c>
      <c r="K574" s="10">
        <f>CHOOSE(CONTROL!$C$42, 14.3511, 14.3511) * CHOOSE(CONTROL!$C$21, $C$9, 100%, $E$9)</f>
        <v>14.351100000000001</v>
      </c>
      <c r="L574" s="10">
        <f>CHOOSE(CONTROL!$C$42, 15.4384, 15.4384) * CHOOSE(CONTROL!$C$21, $C$9, 100%, $E$9)</f>
        <v>15.4384</v>
      </c>
      <c r="M574" s="10">
        <f>CHOOSE(CONTROL!$C$42, 14.47, 14.47) * CHOOSE(CONTROL!$C$21, $C$9, 100%, $E$9)</f>
        <v>14.47</v>
      </c>
      <c r="N574" s="10">
        <f>CHOOSE(CONTROL!$C$42, 14.4861, 14.4861) * CHOOSE(CONTROL!$C$21, $C$9, 100%, $E$9)</f>
        <v>14.4861</v>
      </c>
      <c r="O574" s="10">
        <f>CHOOSE(CONTROL!$C$42, 14.7154, 14.7154) * CHOOSE(CONTROL!$C$21, $C$9, 100%, $E$9)</f>
        <v>14.715400000000001</v>
      </c>
      <c r="P574" s="10">
        <f>CHOOSE(CONTROL!$C$42, 14.4976, 14.4976) * CHOOSE(CONTROL!$C$21, $C$9, 100%, $E$9)</f>
        <v>14.4976</v>
      </c>
      <c r="Q574" s="10">
        <f>CHOOSE(CONTROL!$C$42, 15.3107, 15.3107) * CHOOSE(CONTROL!$C$21, $C$9, 100%, $E$9)</f>
        <v>15.310700000000001</v>
      </c>
      <c r="R574" s="10">
        <f>CHOOSE(CONTROL!$C$42, 15.9359, 15.9359) * CHOOSE(CONTROL!$C$21, $C$9, 100%, $E$9)</f>
        <v>15.9359</v>
      </c>
      <c r="S574" s="10">
        <f>CHOOSE(CONTROL!$C$42, 14.2192, 14.2192) * CHOOSE(CONTROL!$C$21, $C$9, 100%, $E$9)</f>
        <v>14.219200000000001</v>
      </c>
      <c r="T5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38">
        <f>(1000*CHOOSE(CONTROL!$C$42, 695, 695)*CHOOSE(CONTROL!$C$42, 0.5599, 0.5599)*CHOOSE(CONTROL!$C$42, 31, 31))/1000000</f>
        <v>12.063045499999998</v>
      </c>
      <c r="V574" s="38">
        <f>(1000*CHOOSE(CONTROL!$C$42, 500, 500)*CHOOSE(CONTROL!$C$42, 0.275, 0.275)*CHOOSE(CONTROL!$C$42, 31, 31))/1000000</f>
        <v>4.2625000000000002</v>
      </c>
      <c r="W574" s="38">
        <f>(1000*CHOOSE(CONTROL!$C$42, 0.1146, 0.1146)*CHOOSE(CONTROL!$C$42, 121.5, 121.5)*CHOOSE(CONTROL!$C$42, 31, 31))/1000000</f>
        <v>0.43164089999999994</v>
      </c>
      <c r="X574" s="38">
        <f>(31*0.1790888*245000/1000000)+(31*0.2374*100000/1000000)</f>
        <v>2.0961194359999999</v>
      </c>
      <c r="Y574" s="38">
        <f>(1000*600*CHOOSE(CONTROL!$C$42, 1.0585, 1.0585)*CHOOSE(CONTROL!$C$42, 31, 31))/1000000</f>
        <v>19.688099999999999</v>
      </c>
      <c r="Z574" s="38"/>
      <c r="AA574" s="10"/>
      <c r="AB574" s="39"/>
      <c r="AC574" s="33">
        <f>(B574*131.881+C574*277.167+D574*79.08+E574*125.872+F574*40+G574*185+H574*0+I574*100+J574*300)/(131.881+277.167+79.08+125.872+0+40+185+100+300)</f>
        <v>14.665097172235674</v>
      </c>
      <c r="AD574" s="27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14.546530935251798</v>
      </c>
    </row>
    <row r="575" spans="1:30" ht="15.75" x14ac:dyDescent="0.25">
      <c r="A575" s="13">
        <v>58775</v>
      </c>
      <c r="B575" s="10">
        <f>CHOOSE(CONTROL!$C$42, 15.0303, 15.0303) * CHOOSE(CONTROL!$C$21, $C$9, 100%, $E$9)</f>
        <v>15.0303</v>
      </c>
      <c r="C575" s="10">
        <f>CHOOSE(CONTROL!$C$42, 15.0353, 15.0353) * CHOOSE(CONTROL!$C$21, $C$9, 100%, $E$9)</f>
        <v>15.035299999999999</v>
      </c>
      <c r="D575" s="10">
        <f>CHOOSE(CONTROL!$C$42, 15.0597, 15.0597) * CHOOSE(CONTROL!$C$21, $C$9, 100%, $E$9)</f>
        <v>15.059699999999999</v>
      </c>
      <c r="E575" s="10">
        <f>CHOOSE(CONTROL!$C$42, 15.0935, 15.0935) * CHOOSE(CONTROL!$C$21, $C$9, 100%, $E$9)</f>
        <v>15.093500000000001</v>
      </c>
      <c r="F575" s="10">
        <f>CHOOSE(CONTROL!$C$42, 14.9996, 14.9996)*CHOOSE(CONTROL!$C$21, $C$9, 100%, $E$9)</f>
        <v>14.999599999999999</v>
      </c>
      <c r="G575" s="10">
        <f>CHOOSE(CONTROL!$C$42, 15.016, 15.016)*CHOOSE(CONTROL!$C$21, $C$9, 100%, $E$9)</f>
        <v>15.016</v>
      </c>
      <c r="H575" s="10">
        <f>CHOOSE(CONTROL!$C$42, 15.0827, 15.0827) * CHOOSE(CONTROL!$C$21, $C$9, 100%, $E$9)</f>
        <v>15.082700000000001</v>
      </c>
      <c r="I575" s="10">
        <f>CHOOSE(CONTROL!$C$42, 15.0171, 15.0171)* CHOOSE(CONTROL!$C$21, $C$9, 100%, $E$9)</f>
        <v>15.017099999999999</v>
      </c>
      <c r="J575" s="10">
        <f>CHOOSE(CONTROL!$C$42, 14.9926, 14.9926)* CHOOSE(CONTROL!$C$21, $C$9, 100%, $E$9)</f>
        <v>14.992599999999999</v>
      </c>
      <c r="K575" s="10">
        <f>CHOOSE(CONTROL!$C$42, 14.7274, 14.7274) * CHOOSE(CONTROL!$C$21, $C$9, 100%, $E$9)</f>
        <v>14.727399999999999</v>
      </c>
      <c r="L575" s="10">
        <f>CHOOSE(CONTROL!$C$42, 15.6697, 15.6697) * CHOOSE(CONTROL!$C$21, $C$9, 100%, $E$9)</f>
        <v>15.669700000000001</v>
      </c>
      <c r="M575" s="10">
        <f>CHOOSE(CONTROL!$C$42, 14.8551, 14.8551) * CHOOSE(CONTROL!$C$21, $C$9, 100%, $E$9)</f>
        <v>14.8551</v>
      </c>
      <c r="N575" s="10">
        <f>CHOOSE(CONTROL!$C$42, 14.8714, 14.8714) * CHOOSE(CONTROL!$C$21, $C$9, 100%, $E$9)</f>
        <v>14.8714</v>
      </c>
      <c r="O575" s="10">
        <f>CHOOSE(CONTROL!$C$42, 14.9443, 14.9443) * CHOOSE(CONTROL!$C$21, $C$9, 100%, $E$9)</f>
        <v>14.9443</v>
      </c>
      <c r="P575" s="10">
        <f>CHOOSE(CONTROL!$C$42, 14.8794, 14.8794) * CHOOSE(CONTROL!$C$21, $C$9, 100%, $E$9)</f>
        <v>14.8794</v>
      </c>
      <c r="Q575" s="10">
        <f>CHOOSE(CONTROL!$C$42, 15.5396, 15.5396) * CHOOSE(CONTROL!$C$21, $C$9, 100%, $E$9)</f>
        <v>15.5396</v>
      </c>
      <c r="R575" s="10">
        <f>CHOOSE(CONTROL!$C$42, 16.1655, 16.1655) * CHOOSE(CONTROL!$C$21, $C$9, 100%, $E$9)</f>
        <v>16.165500000000002</v>
      </c>
      <c r="S575" s="10">
        <f>CHOOSE(CONTROL!$C$42, 14.5938, 14.5938) * CHOOSE(CONTROL!$C$21, $C$9, 100%, $E$9)</f>
        <v>14.5938</v>
      </c>
      <c r="T5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38">
        <f>(1000*CHOOSE(CONTROL!$C$42, 695, 695)*CHOOSE(CONTROL!$C$42, 0.5599, 0.5599)*CHOOSE(CONTROL!$C$42, 30, 30))/1000000</f>
        <v>11.673914999999997</v>
      </c>
      <c r="V575" s="38">
        <f>(1000*CHOOSE(CONTROL!$C$42, 500, 500)*CHOOSE(CONTROL!$C$42, 0.275, 0.275)*CHOOSE(CONTROL!$C$42, 30, 30))/1000000</f>
        <v>4.125</v>
      </c>
      <c r="W575" s="38">
        <f>(1000*CHOOSE(CONTROL!$C$42, 0.1146, 0.1146)*CHOOSE(CONTROL!$C$42, 121.5, 121.5)*CHOOSE(CONTROL!$C$42, 30, 30))/1000000</f>
        <v>0.417717</v>
      </c>
      <c r="X575" s="38">
        <f>(30*0.1790888*100000/1000000)+(30*0.2374*100000/1000000)</f>
        <v>1.2494664</v>
      </c>
      <c r="Y575" s="38">
        <f>(1000*600*CHOOSE(CONTROL!$C$42, 1.0585, 1.0585)*CHOOSE(CONTROL!$C$42, 30, 30))/1000000</f>
        <v>19.053000000000001</v>
      </c>
      <c r="Z575" s="38"/>
      <c r="AA575" s="10"/>
      <c r="AB575" s="39"/>
      <c r="AC575" s="33">
        <f>(B575*122.58+C575*297.941+D575*89.177+E575*40.302+F575*40+G575*160+H575*0+I575*100+J575*300)/(122.58+297.941+89.177+40.302+0+40+160+100+300)</f>
        <v>15.022050082782608</v>
      </c>
      <c r="AD575" s="27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14.899963309352518</v>
      </c>
    </row>
    <row r="576" spans="1:30" ht="15.75" x14ac:dyDescent="0.25">
      <c r="A576" s="13">
        <v>58806</v>
      </c>
      <c r="B576" s="10">
        <f>CHOOSE(CONTROL!$C$42, 16.0549, 16.0549) * CHOOSE(CONTROL!$C$21, $C$9, 100%, $E$9)</f>
        <v>16.0549</v>
      </c>
      <c r="C576" s="10">
        <f>CHOOSE(CONTROL!$C$42, 16.0598, 16.0598) * CHOOSE(CONTROL!$C$21, $C$9, 100%, $E$9)</f>
        <v>16.059799999999999</v>
      </c>
      <c r="D576" s="10">
        <f>CHOOSE(CONTROL!$C$42, 16.0843, 16.0843) * CHOOSE(CONTROL!$C$21, $C$9, 100%, $E$9)</f>
        <v>16.084299999999999</v>
      </c>
      <c r="E576" s="10">
        <f>CHOOSE(CONTROL!$C$42, 16.118, 16.118) * CHOOSE(CONTROL!$C$21, $C$9, 100%, $E$9)</f>
        <v>16.117999999999999</v>
      </c>
      <c r="F576" s="10">
        <f>CHOOSE(CONTROL!$C$42, 16.0265, 16.0265)*CHOOSE(CONTROL!$C$21, $C$9, 100%, $E$9)</f>
        <v>16.026499999999999</v>
      </c>
      <c r="G576" s="10">
        <f>CHOOSE(CONTROL!$C$42, 16.0435, 16.0435)*CHOOSE(CONTROL!$C$21, $C$9, 100%, $E$9)</f>
        <v>16.043500000000002</v>
      </c>
      <c r="H576" s="10">
        <f>CHOOSE(CONTROL!$C$42, 16.1072, 16.1072) * CHOOSE(CONTROL!$C$21, $C$9, 100%, $E$9)</f>
        <v>16.107199999999999</v>
      </c>
      <c r="I576" s="10">
        <f>CHOOSE(CONTROL!$C$42, 16.0416, 16.0416)* CHOOSE(CONTROL!$C$21, $C$9, 100%, $E$9)</f>
        <v>16.041599999999999</v>
      </c>
      <c r="J576" s="10">
        <f>CHOOSE(CONTROL!$C$42, 16.0195, 16.0195)* CHOOSE(CONTROL!$C$21, $C$9, 100%, $E$9)</f>
        <v>16.019500000000001</v>
      </c>
      <c r="K576" s="10">
        <f>CHOOSE(CONTROL!$C$42, 15.7278, 15.7278) * CHOOSE(CONTROL!$C$21, $C$9, 100%, $E$9)</f>
        <v>15.7278</v>
      </c>
      <c r="L576" s="10">
        <f>CHOOSE(CONTROL!$C$42, 16.6942, 16.6942) * CHOOSE(CONTROL!$C$21, $C$9, 100%, $E$9)</f>
        <v>16.694199999999999</v>
      </c>
      <c r="M576" s="10">
        <f>CHOOSE(CONTROL!$C$42, 15.8716, 15.8716) * CHOOSE(CONTROL!$C$21, $C$9, 100%, $E$9)</f>
        <v>15.871600000000001</v>
      </c>
      <c r="N576" s="10">
        <f>CHOOSE(CONTROL!$C$42, 15.8885, 15.8885) * CHOOSE(CONTROL!$C$21, $C$9, 100%, $E$9)</f>
        <v>15.888500000000001</v>
      </c>
      <c r="O576" s="10">
        <f>CHOOSE(CONTROL!$C$42, 15.9585, 15.9585) * CHOOSE(CONTROL!$C$21, $C$9, 100%, $E$9)</f>
        <v>15.958500000000001</v>
      </c>
      <c r="P576" s="10">
        <f>CHOOSE(CONTROL!$C$42, 15.8936, 15.8936) * CHOOSE(CONTROL!$C$21, $C$9, 100%, $E$9)</f>
        <v>15.893599999999999</v>
      </c>
      <c r="Q576" s="10">
        <f>CHOOSE(CONTROL!$C$42, 16.5538, 16.5538) * CHOOSE(CONTROL!$C$21, $C$9, 100%, $E$9)</f>
        <v>16.553799999999999</v>
      </c>
      <c r="R576" s="10">
        <f>CHOOSE(CONTROL!$C$42, 17.1822, 17.1822) * CHOOSE(CONTROL!$C$21, $C$9, 100%, $E$9)</f>
        <v>17.182200000000002</v>
      </c>
      <c r="S576" s="10">
        <f>CHOOSE(CONTROL!$C$42, 15.5887, 15.5887) * CHOOSE(CONTROL!$C$21, $C$9, 100%, $E$9)</f>
        <v>15.588699999999999</v>
      </c>
      <c r="T5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38">
        <f>(1000*CHOOSE(CONTROL!$C$42, 695, 695)*CHOOSE(CONTROL!$C$42, 0.5599, 0.5599)*CHOOSE(CONTROL!$C$42, 31, 31))/1000000</f>
        <v>12.063045499999998</v>
      </c>
      <c r="V576" s="38">
        <f>(1000*CHOOSE(CONTROL!$C$42, 500, 500)*CHOOSE(CONTROL!$C$42, 0.275, 0.275)*CHOOSE(CONTROL!$C$42, 31, 31))/1000000</f>
        <v>4.2625000000000002</v>
      </c>
      <c r="W576" s="38">
        <f>(1000*CHOOSE(CONTROL!$C$42, 0.1146, 0.1146)*CHOOSE(CONTROL!$C$42, 121.5, 121.5)*CHOOSE(CONTROL!$C$42, 31, 31))/1000000</f>
        <v>0.43164089999999994</v>
      </c>
      <c r="X576" s="38">
        <f>(31*0.1790888*100000/1000000)+(31*0.2374*100000/1000000)</f>
        <v>1.2911152800000001</v>
      </c>
      <c r="Y576" s="38">
        <f>(1000*600*CHOOSE(CONTROL!$C$42, 1.0585, 1.0585)*CHOOSE(CONTROL!$C$42, 31, 31))/1000000</f>
        <v>19.688099999999999</v>
      </c>
      <c r="Z576" s="38"/>
      <c r="AA576" s="10"/>
      <c r="AB576" s="39"/>
      <c r="AC576" s="33">
        <f>(B576*122.58+C576*297.941+D576*89.177+E576*40.302+F576*40+G576*160+H576*0+I576*100+J576*300)/(122.58+297.941+89.177+40.302+0+40+160+100+300)</f>
        <v>16.047695452956521</v>
      </c>
      <c r="AD576" s="27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15.915124460431656</v>
      </c>
    </row>
    <row r="577" spans="1:30" ht="15.75" x14ac:dyDescent="0.25">
      <c r="A577" s="13">
        <v>58837</v>
      </c>
      <c r="B577" s="10">
        <f>CHOOSE(CONTROL!$C$42, 17.1383, 17.1383) * CHOOSE(CONTROL!$C$21, $C$9, 100%, $E$9)</f>
        <v>17.138300000000001</v>
      </c>
      <c r="C577" s="10">
        <f>CHOOSE(CONTROL!$C$42, 17.1432, 17.1432) * CHOOSE(CONTROL!$C$21, $C$9, 100%, $E$9)</f>
        <v>17.1432</v>
      </c>
      <c r="D577" s="10">
        <f>CHOOSE(CONTROL!$C$42, 17.1677, 17.1677) * CHOOSE(CONTROL!$C$21, $C$9, 100%, $E$9)</f>
        <v>17.1677</v>
      </c>
      <c r="E577" s="10">
        <f>CHOOSE(CONTROL!$C$42, 17.2015, 17.2015) * CHOOSE(CONTROL!$C$21, $C$9, 100%, $E$9)</f>
        <v>17.201499999999999</v>
      </c>
      <c r="F577" s="10">
        <f>CHOOSE(CONTROL!$C$42, 17.1212, 17.1212)*CHOOSE(CONTROL!$C$21, $C$9, 100%, $E$9)</f>
        <v>17.121200000000002</v>
      </c>
      <c r="G577" s="10">
        <f>CHOOSE(CONTROL!$C$42, 17.1399, 17.1399)*CHOOSE(CONTROL!$C$21, $C$9, 100%, $E$9)</f>
        <v>17.139900000000001</v>
      </c>
      <c r="H577" s="10">
        <f>CHOOSE(CONTROL!$C$42, 17.1907, 17.1907) * CHOOSE(CONTROL!$C$21, $C$9, 100%, $E$9)</f>
        <v>17.1907</v>
      </c>
      <c r="I577" s="10">
        <f>CHOOSE(CONTROL!$C$42, 17.1328, 17.1328)* CHOOSE(CONTROL!$C$21, $C$9, 100%, $E$9)</f>
        <v>17.1328</v>
      </c>
      <c r="J577" s="10">
        <f>CHOOSE(CONTROL!$C$42, 17.1142, 17.1142)* CHOOSE(CONTROL!$C$21, $C$9, 100%, $E$9)</f>
        <v>17.1142</v>
      </c>
      <c r="K577" s="10">
        <f>CHOOSE(CONTROL!$C$42, 16.8015, 16.8015) * CHOOSE(CONTROL!$C$21, $C$9, 100%, $E$9)</f>
        <v>16.801500000000001</v>
      </c>
      <c r="L577" s="10">
        <f>CHOOSE(CONTROL!$C$42, 17.7777, 17.7777) * CHOOSE(CONTROL!$C$21, $C$9, 100%, $E$9)</f>
        <v>17.777699999999999</v>
      </c>
      <c r="M577" s="10">
        <f>CHOOSE(CONTROL!$C$42, 16.9553, 16.9553) * CHOOSE(CONTROL!$C$21, $C$9, 100%, $E$9)</f>
        <v>16.955300000000001</v>
      </c>
      <c r="N577" s="10">
        <f>CHOOSE(CONTROL!$C$42, 16.9738, 16.9738) * CHOOSE(CONTROL!$C$21, $C$9, 100%, $E$9)</f>
        <v>16.973800000000001</v>
      </c>
      <c r="O577" s="10">
        <f>CHOOSE(CONTROL!$C$42, 17.031, 17.031) * CHOOSE(CONTROL!$C$21, $C$9, 100%, $E$9)</f>
        <v>17.030999999999999</v>
      </c>
      <c r="P577" s="10">
        <f>CHOOSE(CONTROL!$C$42, 16.9737, 16.9737) * CHOOSE(CONTROL!$C$21, $C$9, 100%, $E$9)</f>
        <v>16.973700000000001</v>
      </c>
      <c r="Q577" s="10">
        <f>CHOOSE(CONTROL!$C$42, 17.6263, 17.6263) * CHOOSE(CONTROL!$C$21, $C$9, 100%, $E$9)</f>
        <v>17.626300000000001</v>
      </c>
      <c r="R577" s="10">
        <f>CHOOSE(CONTROL!$C$42, 18.2574, 18.2574) * CHOOSE(CONTROL!$C$21, $C$9, 100%, $E$9)</f>
        <v>18.257400000000001</v>
      </c>
      <c r="S577" s="10">
        <f>CHOOSE(CONTROL!$C$42, 16.6408, 16.6408) * CHOOSE(CONTROL!$C$21, $C$9, 100%, $E$9)</f>
        <v>16.640799999999999</v>
      </c>
      <c r="T5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38">
        <f>(1000*CHOOSE(CONTROL!$C$42, 695, 695)*CHOOSE(CONTROL!$C$42, 0.5599, 0.5599)*CHOOSE(CONTROL!$C$42, 31, 31))/1000000</f>
        <v>12.063045499999998</v>
      </c>
      <c r="V577" s="38">
        <f>(1000*CHOOSE(CONTROL!$C$42, 500, 500)*CHOOSE(CONTROL!$C$42, 0.275, 0.275)*CHOOSE(CONTROL!$C$42, 31, 31))/1000000</f>
        <v>4.2625000000000002</v>
      </c>
      <c r="W577" s="38">
        <f>(1000*CHOOSE(CONTROL!$C$42, 0.1146, 0.1146)*CHOOSE(CONTROL!$C$42, 121.5, 121.5)*CHOOSE(CONTROL!$C$42, 31, 31))/1000000</f>
        <v>0.43164089999999994</v>
      </c>
      <c r="X577" s="38">
        <f>(31*0.1790888*100000/1000000)+(31*0.2374*100000/1000000)</f>
        <v>1.2911152800000001</v>
      </c>
      <c r="Y577" s="38">
        <f>(1000*600*CHOOSE(CONTROL!$C$42, 1.0585, 1.0585)*CHOOSE(CONTROL!$C$42, 31, 31))/1000000</f>
        <v>19.688099999999999</v>
      </c>
      <c r="Z577" s="38"/>
      <c r="AA577" s="10"/>
      <c r="AB577" s="39"/>
      <c r="AC577" s="33">
        <f>(B577*122.58+C577*297.941+D577*89.177+E577*40.302+F577*40+G577*160+H577*0+I577*100+J577*300)/(122.58+297.941+89.177+40.302+0+40+160+100+300)</f>
        <v>17.136926783565215</v>
      </c>
      <c r="AD577" s="27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16.993322302158273</v>
      </c>
    </row>
    <row r="578" spans="1:30" ht="15.75" x14ac:dyDescent="0.25">
      <c r="A578" s="13">
        <v>58865</v>
      </c>
      <c r="B578" s="10">
        <f>CHOOSE(CONTROL!$C$42, 17.4433, 17.4433) * CHOOSE(CONTROL!$C$21, $C$9, 100%, $E$9)</f>
        <v>17.443300000000001</v>
      </c>
      <c r="C578" s="10">
        <f>CHOOSE(CONTROL!$C$42, 17.4483, 17.4483) * CHOOSE(CONTROL!$C$21, $C$9, 100%, $E$9)</f>
        <v>17.4483</v>
      </c>
      <c r="D578" s="10">
        <f>CHOOSE(CONTROL!$C$42, 17.4727, 17.4727) * CHOOSE(CONTROL!$C$21, $C$9, 100%, $E$9)</f>
        <v>17.4727</v>
      </c>
      <c r="E578" s="10">
        <f>CHOOSE(CONTROL!$C$42, 17.5065, 17.5065) * CHOOSE(CONTROL!$C$21, $C$9, 100%, $E$9)</f>
        <v>17.506499999999999</v>
      </c>
      <c r="F578" s="10">
        <f>CHOOSE(CONTROL!$C$42, 17.4256, 17.4256)*CHOOSE(CONTROL!$C$21, $C$9, 100%, $E$9)</f>
        <v>17.425599999999999</v>
      </c>
      <c r="G578" s="10">
        <f>CHOOSE(CONTROL!$C$42, 17.444, 17.444)*CHOOSE(CONTROL!$C$21, $C$9, 100%, $E$9)</f>
        <v>17.443999999999999</v>
      </c>
      <c r="H578" s="10">
        <f>CHOOSE(CONTROL!$C$42, 17.4957, 17.4957) * CHOOSE(CONTROL!$C$21, $C$9, 100%, $E$9)</f>
        <v>17.495699999999999</v>
      </c>
      <c r="I578" s="10">
        <f>CHOOSE(CONTROL!$C$42, 17.4378, 17.4378)* CHOOSE(CONTROL!$C$21, $C$9, 100%, $E$9)</f>
        <v>17.437799999999999</v>
      </c>
      <c r="J578" s="10">
        <f>CHOOSE(CONTROL!$C$42, 17.4186, 17.4186)* CHOOSE(CONTROL!$C$21, $C$9, 100%, $E$9)</f>
        <v>17.418600000000001</v>
      </c>
      <c r="K578" s="10">
        <f>CHOOSE(CONTROL!$C$42, 17.0963, 17.0963) * CHOOSE(CONTROL!$C$21, $C$9, 100%, $E$9)</f>
        <v>17.096299999999999</v>
      </c>
      <c r="L578" s="10">
        <f>CHOOSE(CONTROL!$C$42, 18.0827, 18.0827) * CHOOSE(CONTROL!$C$21, $C$9, 100%, $E$9)</f>
        <v>18.082699999999999</v>
      </c>
      <c r="M578" s="10">
        <f>CHOOSE(CONTROL!$C$42, 17.2566, 17.2566) * CHOOSE(CONTROL!$C$21, $C$9, 100%, $E$9)</f>
        <v>17.256599999999999</v>
      </c>
      <c r="N578" s="10">
        <f>CHOOSE(CONTROL!$C$42, 17.2749, 17.2749) * CHOOSE(CONTROL!$C$21, $C$9, 100%, $E$9)</f>
        <v>17.274899999999999</v>
      </c>
      <c r="O578" s="10">
        <f>CHOOSE(CONTROL!$C$42, 17.3329, 17.3329) * CHOOSE(CONTROL!$C$21, $C$9, 100%, $E$9)</f>
        <v>17.332899999999999</v>
      </c>
      <c r="P578" s="10">
        <f>CHOOSE(CONTROL!$C$42, 17.2757, 17.2757) * CHOOSE(CONTROL!$C$21, $C$9, 100%, $E$9)</f>
        <v>17.275700000000001</v>
      </c>
      <c r="Q578" s="10">
        <f>CHOOSE(CONTROL!$C$42, 17.9282, 17.9282) * CHOOSE(CONTROL!$C$21, $C$9, 100%, $E$9)</f>
        <v>17.9282</v>
      </c>
      <c r="R578" s="10">
        <f>CHOOSE(CONTROL!$C$42, 18.5601, 18.5601) * CHOOSE(CONTROL!$C$21, $C$9, 100%, $E$9)</f>
        <v>18.560099999999998</v>
      </c>
      <c r="S578" s="10">
        <f>CHOOSE(CONTROL!$C$42, 16.9371, 16.9371) * CHOOSE(CONTROL!$C$21, $C$9, 100%, $E$9)</f>
        <v>16.937100000000001</v>
      </c>
      <c r="T5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78" s="38">
        <f>(1000*CHOOSE(CONTROL!$C$42, 695, 695)*CHOOSE(CONTROL!$C$42, 0.5599, 0.5599)*CHOOSE(CONTROL!$C$42, 28, 28))/1000000</f>
        <v>10.895653999999999</v>
      </c>
      <c r="V578" s="38">
        <f>(1000*CHOOSE(CONTROL!$C$42, 500, 500)*CHOOSE(CONTROL!$C$42, 0.275, 0.275)*CHOOSE(CONTROL!$C$42, 28, 28))/1000000</f>
        <v>3.85</v>
      </c>
      <c r="W578" s="38">
        <f>(1000*CHOOSE(CONTROL!$C$42, 0.1146, 0.1146)*CHOOSE(CONTROL!$C$42, 121.5, 121.5)*CHOOSE(CONTROL!$C$42, 28, 28))/1000000</f>
        <v>0.38986920000000003</v>
      </c>
      <c r="X578" s="38">
        <f>(28*0.1790888*100000/1000000)+(28*0.2374*100000/1000000)</f>
        <v>1.16616864</v>
      </c>
      <c r="Y578" s="38">
        <f>(1000*600*CHOOSE(CONTROL!$C$42, 1.0585, 1.0585)*CHOOSE(CONTROL!$C$42, 28, 28))/1000000</f>
        <v>17.782800000000002</v>
      </c>
      <c r="Z578" s="38"/>
      <c r="AA578" s="10"/>
      <c r="AB578" s="39"/>
      <c r="AC578" s="33">
        <f>(B578*122.58+C578*297.941+D578*89.177+E578*40.302+F578*40+G578*160+H578*0+I578*100+J578*300)/(122.58+297.941+89.177+40.302+0+40+160+100+300)</f>
        <v>17.441650082782608</v>
      </c>
      <c r="AD578" s="27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17.29498345323741</v>
      </c>
    </row>
    <row r="579" spans="1:30" ht="15.75" x14ac:dyDescent="0.25">
      <c r="A579" s="13">
        <v>58893</v>
      </c>
      <c r="B579" s="10">
        <f>CHOOSE(CONTROL!$C$42, 16.9482, 16.9482) * CHOOSE(CONTROL!$C$21, $C$9, 100%, $E$9)</f>
        <v>16.9482</v>
      </c>
      <c r="C579" s="10">
        <f>CHOOSE(CONTROL!$C$42, 16.9531, 16.9531) * CHOOSE(CONTROL!$C$21, $C$9, 100%, $E$9)</f>
        <v>16.953099999999999</v>
      </c>
      <c r="D579" s="10">
        <f>CHOOSE(CONTROL!$C$42, 16.9776, 16.9776) * CHOOSE(CONTROL!$C$21, $C$9, 100%, $E$9)</f>
        <v>16.977599999999999</v>
      </c>
      <c r="E579" s="10">
        <f>CHOOSE(CONTROL!$C$42, 17.0113, 17.0113) * CHOOSE(CONTROL!$C$21, $C$9, 100%, $E$9)</f>
        <v>17.011299999999999</v>
      </c>
      <c r="F579" s="10">
        <f>CHOOSE(CONTROL!$C$42, 16.9289, 16.9289)*CHOOSE(CONTROL!$C$21, $C$9, 100%, $E$9)</f>
        <v>16.928899999999999</v>
      </c>
      <c r="G579" s="10">
        <f>CHOOSE(CONTROL!$C$42, 16.947, 16.947)*CHOOSE(CONTROL!$C$21, $C$9, 100%, $E$9)</f>
        <v>16.946999999999999</v>
      </c>
      <c r="H579" s="10">
        <f>CHOOSE(CONTROL!$C$42, 17.0005, 17.0005) * CHOOSE(CONTROL!$C$21, $C$9, 100%, $E$9)</f>
        <v>17.000499999999999</v>
      </c>
      <c r="I579" s="10">
        <f>CHOOSE(CONTROL!$C$42, 16.9426, 16.9426)* CHOOSE(CONTROL!$C$21, $C$9, 100%, $E$9)</f>
        <v>16.942599999999999</v>
      </c>
      <c r="J579" s="10">
        <f>CHOOSE(CONTROL!$C$42, 16.9219, 16.9219)* CHOOSE(CONTROL!$C$21, $C$9, 100%, $E$9)</f>
        <v>16.921900000000001</v>
      </c>
      <c r="K579" s="10">
        <f>CHOOSE(CONTROL!$C$42, 16.6119, 16.6119) * CHOOSE(CONTROL!$C$21, $C$9, 100%, $E$9)</f>
        <v>16.611899999999999</v>
      </c>
      <c r="L579" s="10">
        <f>CHOOSE(CONTROL!$C$42, 17.5875, 17.5875) * CHOOSE(CONTROL!$C$21, $C$9, 100%, $E$9)</f>
        <v>17.587499999999999</v>
      </c>
      <c r="M579" s="10">
        <f>CHOOSE(CONTROL!$C$42, 16.7649, 16.7649) * CHOOSE(CONTROL!$C$21, $C$9, 100%, $E$9)</f>
        <v>16.764900000000001</v>
      </c>
      <c r="N579" s="10">
        <f>CHOOSE(CONTROL!$C$42, 16.7828, 16.7828) * CHOOSE(CONTROL!$C$21, $C$9, 100%, $E$9)</f>
        <v>16.782800000000002</v>
      </c>
      <c r="O579" s="10">
        <f>CHOOSE(CONTROL!$C$42, 16.8428, 16.8428) * CHOOSE(CONTROL!$C$21, $C$9, 100%, $E$9)</f>
        <v>16.8428</v>
      </c>
      <c r="P579" s="10">
        <f>CHOOSE(CONTROL!$C$42, 16.7855, 16.7855) * CHOOSE(CONTROL!$C$21, $C$9, 100%, $E$9)</f>
        <v>16.785499999999999</v>
      </c>
      <c r="Q579" s="10">
        <f>CHOOSE(CONTROL!$C$42, 17.4381, 17.4381) * CHOOSE(CONTROL!$C$21, $C$9, 100%, $E$9)</f>
        <v>17.438099999999999</v>
      </c>
      <c r="R579" s="10">
        <f>CHOOSE(CONTROL!$C$42, 18.0687, 18.0687) * CHOOSE(CONTROL!$C$21, $C$9, 100%, $E$9)</f>
        <v>18.0687</v>
      </c>
      <c r="S579" s="10">
        <f>CHOOSE(CONTROL!$C$42, 16.4562, 16.4562) * CHOOSE(CONTROL!$C$21, $C$9, 100%, $E$9)</f>
        <v>16.456199999999999</v>
      </c>
      <c r="T5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38">
        <f>(1000*CHOOSE(CONTROL!$C$42, 695, 695)*CHOOSE(CONTROL!$C$42, 0.5599, 0.5599)*CHOOSE(CONTROL!$C$42, 31, 31))/1000000</f>
        <v>12.063045499999998</v>
      </c>
      <c r="V579" s="38">
        <f>(1000*CHOOSE(CONTROL!$C$42, 500, 500)*CHOOSE(CONTROL!$C$42, 0.275, 0.275)*CHOOSE(CONTROL!$C$42, 31, 31))/1000000</f>
        <v>4.2625000000000002</v>
      </c>
      <c r="W579" s="38">
        <f>(1000*CHOOSE(CONTROL!$C$42, 0.1146, 0.1146)*CHOOSE(CONTROL!$C$42, 121.5, 121.5)*CHOOSE(CONTROL!$C$42, 31, 31))/1000000</f>
        <v>0.43164089999999994</v>
      </c>
      <c r="X579" s="38">
        <f>(31*0.1790888*100000/1000000)+(31*0.2374*100000/1000000)</f>
        <v>1.2911152800000001</v>
      </c>
      <c r="Y579" s="38">
        <f>(1000*600*CHOOSE(CONTROL!$C$42, 1.0585, 1.0585)*CHOOSE(CONTROL!$C$42, 31, 31))/1000000</f>
        <v>19.688099999999999</v>
      </c>
      <c r="Z579" s="38"/>
      <c r="AA579" s="10"/>
      <c r="AB579" s="39"/>
      <c r="AC579" s="33">
        <f>(B579*122.58+C579*297.941+D579*89.177+E579*40.302+F579*40+G579*160+H579*0+I579*100+J579*300)/(122.58+297.941+89.177+40.302+0+40+160+100+300)</f>
        <v>16.945774583391305</v>
      </c>
      <c r="AD579" s="27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16.804201438848917</v>
      </c>
    </row>
    <row r="580" spans="1:30" ht="15.75" x14ac:dyDescent="0.25">
      <c r="A580" s="13">
        <v>58926</v>
      </c>
      <c r="B580" s="10">
        <f>CHOOSE(CONTROL!$C$42, 16.8982, 16.8982) * CHOOSE(CONTROL!$C$21, $C$9, 100%, $E$9)</f>
        <v>16.898199999999999</v>
      </c>
      <c r="C580" s="10">
        <f>CHOOSE(CONTROL!$C$42, 16.9026, 16.9026) * CHOOSE(CONTROL!$C$21, $C$9, 100%, $E$9)</f>
        <v>16.9026</v>
      </c>
      <c r="D580" s="10">
        <f>CHOOSE(CONTROL!$C$42, 17.0827, 17.0827) * CHOOSE(CONTROL!$C$21, $C$9, 100%, $E$9)</f>
        <v>17.082699999999999</v>
      </c>
      <c r="E580" s="10">
        <f>CHOOSE(CONTROL!$C$42, 17.1145, 17.1145) * CHOOSE(CONTROL!$C$21, $C$9, 100%, $E$9)</f>
        <v>17.1145</v>
      </c>
      <c r="F580" s="10">
        <f>CHOOSE(CONTROL!$C$42, 16.8635, 16.8635)*CHOOSE(CONTROL!$C$21, $C$9, 100%, $E$9)</f>
        <v>16.863499999999998</v>
      </c>
      <c r="G580" s="10">
        <f>CHOOSE(CONTROL!$C$42, 16.8798, 16.8798)*CHOOSE(CONTROL!$C$21, $C$9, 100%, $E$9)</f>
        <v>16.879799999999999</v>
      </c>
      <c r="H580" s="10">
        <f>CHOOSE(CONTROL!$C$42, 17.1043, 17.1043) * CHOOSE(CONTROL!$C$21, $C$9, 100%, $E$9)</f>
        <v>17.104299999999999</v>
      </c>
      <c r="I580" s="10">
        <f>CHOOSE(CONTROL!$C$42, 16.8842, 16.8842)* CHOOSE(CONTROL!$C$21, $C$9, 100%, $E$9)</f>
        <v>16.8842</v>
      </c>
      <c r="J580" s="10">
        <f>CHOOSE(CONTROL!$C$42, 16.8565, 16.8565)* CHOOSE(CONTROL!$C$21, $C$9, 100%, $E$9)</f>
        <v>16.8565</v>
      </c>
      <c r="K580" s="10">
        <f>CHOOSE(CONTROL!$C$42, 16.5401, 16.5401) * CHOOSE(CONTROL!$C$21, $C$9, 100%, $E$9)</f>
        <v>16.540099999999999</v>
      </c>
      <c r="L580" s="10">
        <f>CHOOSE(CONTROL!$C$42, 17.6913, 17.6913) * CHOOSE(CONTROL!$C$21, $C$9, 100%, $E$9)</f>
        <v>17.691299999999998</v>
      </c>
      <c r="M580" s="10">
        <f>CHOOSE(CONTROL!$C$42, 16.7002, 16.7002) * CHOOSE(CONTROL!$C$21, $C$9, 100%, $E$9)</f>
        <v>16.700199999999999</v>
      </c>
      <c r="N580" s="10">
        <f>CHOOSE(CONTROL!$C$42, 16.7163, 16.7163) * CHOOSE(CONTROL!$C$21, $C$9, 100%, $E$9)</f>
        <v>16.7163</v>
      </c>
      <c r="O580" s="10">
        <f>CHOOSE(CONTROL!$C$42, 16.9455, 16.9455) * CHOOSE(CONTROL!$C$21, $C$9, 100%, $E$9)</f>
        <v>16.945499999999999</v>
      </c>
      <c r="P580" s="10">
        <f>CHOOSE(CONTROL!$C$42, 16.7277, 16.7277) * CHOOSE(CONTROL!$C$21, $C$9, 100%, $E$9)</f>
        <v>16.727699999999999</v>
      </c>
      <c r="Q580" s="10">
        <f>CHOOSE(CONTROL!$C$42, 17.5408, 17.5408) * CHOOSE(CONTROL!$C$21, $C$9, 100%, $E$9)</f>
        <v>17.540800000000001</v>
      </c>
      <c r="R580" s="10">
        <f>CHOOSE(CONTROL!$C$42, 18.1716, 18.1716) * CHOOSE(CONTROL!$C$21, $C$9, 100%, $E$9)</f>
        <v>18.171600000000002</v>
      </c>
      <c r="S580" s="10">
        <f>CHOOSE(CONTROL!$C$42, 16.4069, 16.4069) * CHOOSE(CONTROL!$C$21, $C$9, 100%, $E$9)</f>
        <v>16.4069</v>
      </c>
      <c r="T5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38">
        <f>(1000*CHOOSE(CONTROL!$C$42, 695, 695)*CHOOSE(CONTROL!$C$42, 0.5599, 0.5599)*CHOOSE(CONTROL!$C$42, 30, 30))/1000000</f>
        <v>11.673914999999997</v>
      </c>
      <c r="V580" s="38">
        <f>(1000*CHOOSE(CONTROL!$C$42, 500, 500)*CHOOSE(CONTROL!$C$42, 0.275, 0.275)*CHOOSE(CONTROL!$C$42, 30, 30))/1000000</f>
        <v>4.125</v>
      </c>
      <c r="W580" s="38">
        <f>(1000*CHOOSE(CONTROL!$C$42, 0.1146, 0.1146)*CHOOSE(CONTROL!$C$42, 121.5, 121.5)*CHOOSE(CONTROL!$C$42, 30, 30))/1000000</f>
        <v>0.417717</v>
      </c>
      <c r="X580" s="38">
        <f>(30*0.1790888*245000/1000000)+(30*0.2374*100000/1000000)</f>
        <v>2.0285026799999999</v>
      </c>
      <c r="Y580" s="38">
        <f>(1000*600*CHOOSE(CONTROL!$C$42, 1.0585, 1.0585)*CHOOSE(CONTROL!$C$42, 30, 30))/1000000</f>
        <v>19.053000000000001</v>
      </c>
      <c r="Z580" s="38"/>
      <c r="AA580" s="10"/>
      <c r="AB580" s="39"/>
      <c r="AC580" s="33">
        <f>(B580*141.293+C580*267.993+D580*115.016+E580*89.698+F580*40+G580*185+H580*0+I580*100+J580*300)/(141.293+267.993+115.016+89.698+0+40+185+100+300)</f>
        <v>16.916843501694913</v>
      </c>
      <c r="AD580" s="27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16.776688489208635</v>
      </c>
    </row>
    <row r="581" spans="1:30" ht="15.75" x14ac:dyDescent="0.25">
      <c r="A581" s="13">
        <v>58957</v>
      </c>
      <c r="B581" s="10">
        <f>CHOOSE(CONTROL!$C$42, 17.0491, 17.0491) * CHOOSE(CONTROL!$C$21, $C$9, 100%, $E$9)</f>
        <v>17.049099999999999</v>
      </c>
      <c r="C581" s="10">
        <f>CHOOSE(CONTROL!$C$42, 17.057, 17.057) * CHOOSE(CONTROL!$C$21, $C$9, 100%, $E$9)</f>
        <v>17.056999999999999</v>
      </c>
      <c r="D581" s="10">
        <f>CHOOSE(CONTROL!$C$42, 17.234, 17.234) * CHOOSE(CONTROL!$C$21, $C$9, 100%, $E$9)</f>
        <v>17.234000000000002</v>
      </c>
      <c r="E581" s="10">
        <f>CHOOSE(CONTROL!$C$42, 17.2651, 17.2651) * CHOOSE(CONTROL!$C$21, $C$9, 100%, $E$9)</f>
        <v>17.2651</v>
      </c>
      <c r="F581" s="10">
        <f>CHOOSE(CONTROL!$C$42, 17.0125, 17.0125)*CHOOSE(CONTROL!$C$21, $C$9, 100%, $E$9)</f>
        <v>17.012499999999999</v>
      </c>
      <c r="G581" s="10">
        <f>CHOOSE(CONTROL!$C$42, 17.029, 17.029)*CHOOSE(CONTROL!$C$21, $C$9, 100%, $E$9)</f>
        <v>17.029</v>
      </c>
      <c r="H581" s="10">
        <f>CHOOSE(CONTROL!$C$42, 17.2538, 17.2538) * CHOOSE(CONTROL!$C$21, $C$9, 100%, $E$9)</f>
        <v>17.253799999999998</v>
      </c>
      <c r="I581" s="10">
        <f>CHOOSE(CONTROL!$C$42, 17.0337, 17.0337)* CHOOSE(CONTROL!$C$21, $C$9, 100%, $E$9)</f>
        <v>17.0337</v>
      </c>
      <c r="J581" s="10">
        <f>CHOOSE(CONTROL!$C$42, 17.0055, 17.0055)* CHOOSE(CONTROL!$C$21, $C$9, 100%, $E$9)</f>
        <v>17.005500000000001</v>
      </c>
      <c r="K581" s="10">
        <f>CHOOSE(CONTROL!$C$42, 16.6841, 16.6841) * CHOOSE(CONTROL!$C$21, $C$9, 100%, $E$9)</f>
        <v>16.684100000000001</v>
      </c>
      <c r="L581" s="10">
        <f>CHOOSE(CONTROL!$C$42, 17.8408, 17.8408) * CHOOSE(CONTROL!$C$21, $C$9, 100%, $E$9)</f>
        <v>17.840800000000002</v>
      </c>
      <c r="M581" s="10">
        <f>CHOOSE(CONTROL!$C$42, 16.8477, 16.8477) * CHOOSE(CONTROL!$C$21, $C$9, 100%, $E$9)</f>
        <v>16.8477</v>
      </c>
      <c r="N581" s="10">
        <f>CHOOSE(CONTROL!$C$42, 16.864, 16.864) * CHOOSE(CONTROL!$C$21, $C$9, 100%, $E$9)</f>
        <v>16.864000000000001</v>
      </c>
      <c r="O581" s="10">
        <f>CHOOSE(CONTROL!$C$42, 17.0935, 17.0935) * CHOOSE(CONTROL!$C$21, $C$9, 100%, $E$9)</f>
        <v>17.093499999999999</v>
      </c>
      <c r="P581" s="10">
        <f>CHOOSE(CONTROL!$C$42, 16.8757, 16.8757) * CHOOSE(CONTROL!$C$21, $C$9, 100%, $E$9)</f>
        <v>16.875699999999998</v>
      </c>
      <c r="Q581" s="10">
        <f>CHOOSE(CONTROL!$C$42, 17.6888, 17.6888) * CHOOSE(CONTROL!$C$21, $C$9, 100%, $E$9)</f>
        <v>17.688800000000001</v>
      </c>
      <c r="R581" s="10">
        <f>CHOOSE(CONTROL!$C$42, 18.32, 18.32) * CHOOSE(CONTROL!$C$21, $C$9, 100%, $E$9)</f>
        <v>18.32</v>
      </c>
      <c r="S581" s="10">
        <f>CHOOSE(CONTROL!$C$42, 16.5521, 16.5521) * CHOOSE(CONTROL!$C$21, $C$9, 100%, $E$9)</f>
        <v>16.552099999999999</v>
      </c>
      <c r="T5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38">
        <f>(1000*CHOOSE(CONTROL!$C$42, 695, 695)*CHOOSE(CONTROL!$C$42, 0.5599, 0.5599)*CHOOSE(CONTROL!$C$42, 31, 31))/1000000</f>
        <v>12.063045499999998</v>
      </c>
      <c r="V581" s="38">
        <f>(1000*CHOOSE(CONTROL!$C$42, 500, 500)*CHOOSE(CONTROL!$C$42, 0.275, 0.275)*CHOOSE(CONTROL!$C$42, 31, 31))/1000000</f>
        <v>4.2625000000000002</v>
      </c>
      <c r="W581" s="38">
        <f>(1000*CHOOSE(CONTROL!$C$42, 0.1146, 0.1146)*CHOOSE(CONTROL!$C$42, 121.5, 121.5)*CHOOSE(CONTROL!$C$42, 31, 31))/1000000</f>
        <v>0.43164089999999994</v>
      </c>
      <c r="X581" s="38">
        <f>(31*0.1790888*245000/1000000)+(31*0.2374*100000/1000000)</f>
        <v>2.0961194359999999</v>
      </c>
      <c r="Y581" s="38">
        <f>(1000*600*CHOOSE(CONTROL!$C$42, 1.0585, 1.0585)*CHOOSE(CONTROL!$C$42, 31, 31))/1000000</f>
        <v>19.688099999999999</v>
      </c>
      <c r="Z581" s="38"/>
      <c r="AA581" s="10"/>
      <c r="AB581" s="39"/>
      <c r="AC581" s="33">
        <f>(B581*194.205+C581*267.466+D581*133.845+E581*53.484+F581*40+G581*185+H581*0+I581*100+J581*300)/(194.205+267.466+133.845+53.484+0+40+185+100+300)</f>
        <v>17.063708293485089</v>
      </c>
      <c r="AD581" s="27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16.924446762589927</v>
      </c>
    </row>
    <row r="582" spans="1:30" ht="15.75" x14ac:dyDescent="0.25">
      <c r="A582" s="13">
        <v>58987</v>
      </c>
      <c r="B582" s="10">
        <f>CHOOSE(CONTROL!$C$42, 17.5326, 17.5326) * CHOOSE(CONTROL!$C$21, $C$9, 100%, $E$9)</f>
        <v>17.532599999999999</v>
      </c>
      <c r="C582" s="10">
        <f>CHOOSE(CONTROL!$C$42, 17.5405, 17.5405) * CHOOSE(CONTROL!$C$21, $C$9, 100%, $E$9)</f>
        <v>17.540500000000002</v>
      </c>
      <c r="D582" s="10">
        <f>CHOOSE(CONTROL!$C$42, 17.7175, 17.7175) * CHOOSE(CONTROL!$C$21, $C$9, 100%, $E$9)</f>
        <v>17.717500000000001</v>
      </c>
      <c r="E582" s="10">
        <f>CHOOSE(CONTROL!$C$42, 17.7486, 17.7486) * CHOOSE(CONTROL!$C$21, $C$9, 100%, $E$9)</f>
        <v>17.7486</v>
      </c>
      <c r="F582" s="10">
        <f>CHOOSE(CONTROL!$C$42, 17.4961, 17.4961)*CHOOSE(CONTROL!$C$21, $C$9, 100%, $E$9)</f>
        <v>17.496099999999998</v>
      </c>
      <c r="G582" s="10">
        <f>CHOOSE(CONTROL!$C$42, 17.5126, 17.5126)*CHOOSE(CONTROL!$C$21, $C$9, 100%, $E$9)</f>
        <v>17.512599999999999</v>
      </c>
      <c r="H582" s="10">
        <f>CHOOSE(CONTROL!$C$42, 17.7372, 17.7372) * CHOOSE(CONTROL!$C$21, $C$9, 100%, $E$9)</f>
        <v>17.737200000000001</v>
      </c>
      <c r="I582" s="10">
        <f>CHOOSE(CONTROL!$C$42, 17.5172, 17.5172)* CHOOSE(CONTROL!$C$21, $C$9, 100%, $E$9)</f>
        <v>17.517199999999999</v>
      </c>
      <c r="J582" s="10">
        <f>CHOOSE(CONTROL!$C$42, 17.4891, 17.4891)* CHOOSE(CONTROL!$C$21, $C$9, 100%, $E$9)</f>
        <v>17.489100000000001</v>
      </c>
      <c r="K582" s="10">
        <f>CHOOSE(CONTROL!$C$42, 17.1542, 17.1542) * CHOOSE(CONTROL!$C$21, $C$9, 100%, $E$9)</f>
        <v>17.154199999999999</v>
      </c>
      <c r="L582" s="10">
        <f>CHOOSE(CONTROL!$C$42, 18.3242, 18.3242) * CHOOSE(CONTROL!$C$21, $C$9, 100%, $E$9)</f>
        <v>18.324200000000001</v>
      </c>
      <c r="M582" s="10">
        <f>CHOOSE(CONTROL!$C$42, 17.3264, 17.3264) * CHOOSE(CONTROL!$C$21, $C$9, 100%, $E$9)</f>
        <v>17.3264</v>
      </c>
      <c r="N582" s="10">
        <f>CHOOSE(CONTROL!$C$42, 17.3428, 17.3428) * CHOOSE(CONTROL!$C$21, $C$9, 100%, $E$9)</f>
        <v>17.3428</v>
      </c>
      <c r="O582" s="10">
        <f>CHOOSE(CONTROL!$C$42, 17.5721, 17.5721) * CHOOSE(CONTROL!$C$21, $C$9, 100%, $E$9)</f>
        <v>17.572099999999999</v>
      </c>
      <c r="P582" s="10">
        <f>CHOOSE(CONTROL!$C$42, 17.3542, 17.3542) * CHOOSE(CONTROL!$C$21, $C$9, 100%, $E$9)</f>
        <v>17.354199999999999</v>
      </c>
      <c r="Q582" s="10">
        <f>CHOOSE(CONTROL!$C$42, 18.1674, 18.1674) * CHOOSE(CONTROL!$C$21, $C$9, 100%, $E$9)</f>
        <v>18.167400000000001</v>
      </c>
      <c r="R582" s="10">
        <f>CHOOSE(CONTROL!$C$42, 18.7998, 18.7998) * CHOOSE(CONTROL!$C$21, $C$9, 100%, $E$9)</f>
        <v>18.799800000000001</v>
      </c>
      <c r="S582" s="10">
        <f>CHOOSE(CONTROL!$C$42, 17.0216, 17.0216) * CHOOSE(CONTROL!$C$21, $C$9, 100%, $E$9)</f>
        <v>17.021599999999999</v>
      </c>
      <c r="T5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38">
        <f>(1000*CHOOSE(CONTROL!$C$42, 695, 695)*CHOOSE(CONTROL!$C$42, 0.5599, 0.5599)*CHOOSE(CONTROL!$C$42, 30, 30))/1000000</f>
        <v>11.673914999999997</v>
      </c>
      <c r="V582" s="38">
        <f>(1000*CHOOSE(CONTROL!$C$42, 500, 500)*CHOOSE(CONTROL!$C$42, 0.275, 0.275)*CHOOSE(CONTROL!$C$42, 30, 30))/1000000</f>
        <v>4.125</v>
      </c>
      <c r="W582" s="38">
        <f>(1000*CHOOSE(CONTROL!$C$42, 0.1146, 0.1146)*CHOOSE(CONTROL!$C$42, 121.5, 121.5)*CHOOSE(CONTROL!$C$42, 30, 30))/1000000</f>
        <v>0.417717</v>
      </c>
      <c r="X582" s="38">
        <f>(30*0.1790888*245000/1000000)+(30*0.2374*100000/1000000)</f>
        <v>2.0285026799999999</v>
      </c>
      <c r="Y582" s="38">
        <f>(1000*600*CHOOSE(CONTROL!$C$42, 1.0585, 1.0585)*CHOOSE(CONTROL!$C$42, 30, 30))/1000000</f>
        <v>19.053000000000001</v>
      </c>
      <c r="Z582" s="38"/>
      <c r="AA582" s="10"/>
      <c r="AB582" s="39"/>
      <c r="AC582" s="33">
        <f>(B582*194.205+C582*267.466+D582*133.845+E582*53.484+F582*40+G582*185+H582*0+I582*100+J582*300)/(194.205+267.466+133.845+53.484+0+40+185+100+300)</f>
        <v>17.547249502276294</v>
      </c>
      <c r="AD582" s="27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17.403112949640288</v>
      </c>
    </row>
    <row r="583" spans="1:30" ht="15.75" x14ac:dyDescent="0.25">
      <c r="A583" s="13">
        <v>59018</v>
      </c>
      <c r="B583" s="10">
        <f>CHOOSE(CONTROL!$C$42, 17.1963, 17.1963) * CHOOSE(CONTROL!$C$21, $C$9, 100%, $E$9)</f>
        <v>17.196300000000001</v>
      </c>
      <c r="C583" s="10">
        <f>CHOOSE(CONTROL!$C$42, 17.2042, 17.2042) * CHOOSE(CONTROL!$C$21, $C$9, 100%, $E$9)</f>
        <v>17.2042</v>
      </c>
      <c r="D583" s="10">
        <f>CHOOSE(CONTROL!$C$42, 17.3812, 17.3812) * CHOOSE(CONTROL!$C$21, $C$9, 100%, $E$9)</f>
        <v>17.3812</v>
      </c>
      <c r="E583" s="10">
        <f>CHOOSE(CONTROL!$C$42, 17.4124, 17.4124) * CHOOSE(CONTROL!$C$21, $C$9, 100%, $E$9)</f>
        <v>17.412400000000002</v>
      </c>
      <c r="F583" s="10">
        <f>CHOOSE(CONTROL!$C$42, 17.1601, 17.1601)*CHOOSE(CONTROL!$C$21, $C$9, 100%, $E$9)</f>
        <v>17.1601</v>
      </c>
      <c r="G583" s="10">
        <f>CHOOSE(CONTROL!$C$42, 17.1767, 17.1767)*CHOOSE(CONTROL!$C$21, $C$9, 100%, $E$9)</f>
        <v>17.1767</v>
      </c>
      <c r="H583" s="10">
        <f>CHOOSE(CONTROL!$C$42, 17.401, 17.401) * CHOOSE(CONTROL!$C$21, $C$9, 100%, $E$9)</f>
        <v>17.401</v>
      </c>
      <c r="I583" s="10">
        <f>CHOOSE(CONTROL!$C$42, 17.1809, 17.1809)* CHOOSE(CONTROL!$C$21, $C$9, 100%, $E$9)</f>
        <v>17.180900000000001</v>
      </c>
      <c r="J583" s="10">
        <f>CHOOSE(CONTROL!$C$42, 17.1531, 17.1531)* CHOOSE(CONTROL!$C$21, $C$9, 100%, $E$9)</f>
        <v>17.153099999999998</v>
      </c>
      <c r="K583" s="10">
        <f>CHOOSE(CONTROL!$C$42, 16.8281, 16.8281) * CHOOSE(CONTROL!$C$21, $C$9, 100%, $E$9)</f>
        <v>16.828099999999999</v>
      </c>
      <c r="L583" s="10">
        <f>CHOOSE(CONTROL!$C$42, 17.988, 17.988) * CHOOSE(CONTROL!$C$21, $C$9, 100%, $E$9)</f>
        <v>17.988</v>
      </c>
      <c r="M583" s="10">
        <f>CHOOSE(CONTROL!$C$42, 16.9938, 16.9938) * CHOOSE(CONTROL!$C$21, $C$9, 100%, $E$9)</f>
        <v>16.9938</v>
      </c>
      <c r="N583" s="10">
        <f>CHOOSE(CONTROL!$C$42, 17.0103, 17.0103) * CHOOSE(CONTROL!$C$21, $C$9, 100%, $E$9)</f>
        <v>17.010300000000001</v>
      </c>
      <c r="O583" s="10">
        <f>CHOOSE(CONTROL!$C$42, 17.2392, 17.2392) * CHOOSE(CONTROL!$C$21, $C$9, 100%, $E$9)</f>
        <v>17.2392</v>
      </c>
      <c r="P583" s="10">
        <f>CHOOSE(CONTROL!$C$42, 17.0214, 17.0214) * CHOOSE(CONTROL!$C$21, $C$9, 100%, $E$9)</f>
        <v>17.0214</v>
      </c>
      <c r="Q583" s="10">
        <f>CHOOSE(CONTROL!$C$42, 17.8345, 17.8345) * CHOOSE(CONTROL!$C$21, $C$9, 100%, $E$9)</f>
        <v>17.834499999999998</v>
      </c>
      <c r="R583" s="10">
        <f>CHOOSE(CONTROL!$C$42, 18.4661, 18.4661) * CHOOSE(CONTROL!$C$21, $C$9, 100%, $E$9)</f>
        <v>18.466100000000001</v>
      </c>
      <c r="S583" s="10">
        <f>CHOOSE(CONTROL!$C$42, 16.6951, 16.6951) * CHOOSE(CONTROL!$C$21, $C$9, 100%, $E$9)</f>
        <v>16.6951</v>
      </c>
      <c r="T5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38">
        <f>(1000*CHOOSE(CONTROL!$C$42, 695, 695)*CHOOSE(CONTROL!$C$42, 0.5599, 0.5599)*CHOOSE(CONTROL!$C$42, 31, 31))/1000000</f>
        <v>12.063045499999998</v>
      </c>
      <c r="V583" s="38">
        <f>(1000*CHOOSE(CONTROL!$C$42, 500, 500)*CHOOSE(CONTROL!$C$42, 0.275, 0.275)*CHOOSE(CONTROL!$C$42, 31, 31))/1000000</f>
        <v>4.2625000000000002</v>
      </c>
      <c r="W583" s="38">
        <f>(1000*CHOOSE(CONTROL!$C$42, 0.1146, 0.1146)*CHOOSE(CONTROL!$C$42, 121.5, 121.5)*CHOOSE(CONTROL!$C$42, 31, 31))/1000000</f>
        <v>0.43164089999999994</v>
      </c>
      <c r="X583" s="38">
        <f>(31*0.1790888*245000/1000000)+(31*0.2374*100000/1000000)</f>
        <v>2.0961194359999999</v>
      </c>
      <c r="Y583" s="38">
        <f>(1000*600*CHOOSE(CONTROL!$C$42, 1.0585, 1.0585)*CHOOSE(CONTROL!$C$42, 31, 31))/1000000</f>
        <v>19.688099999999999</v>
      </c>
      <c r="Z583" s="38"/>
      <c r="AA583" s="10"/>
      <c r="AB583" s="39"/>
      <c r="AC583" s="33">
        <f>(B583*194.205+C583*267.466+D583*133.845+E583*53.484+F583*40+G583*185+H583*0+I583*100+J583*300)/(194.205+267.466+133.845+53.484+0+40+185+100+300)</f>
        <v>17.211091847959185</v>
      </c>
      <c r="AD583" s="27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17.070423021582734</v>
      </c>
    </row>
    <row r="584" spans="1:30" ht="15.75" x14ac:dyDescent="0.25">
      <c r="A584" s="13">
        <v>59049</v>
      </c>
      <c r="B584" s="10">
        <f>CHOOSE(CONTROL!$C$42, 16.3472, 16.3472) * CHOOSE(CONTROL!$C$21, $C$9, 100%, $E$9)</f>
        <v>16.347200000000001</v>
      </c>
      <c r="C584" s="10">
        <f>CHOOSE(CONTROL!$C$42, 16.3551, 16.3551) * CHOOSE(CONTROL!$C$21, $C$9, 100%, $E$9)</f>
        <v>16.3551</v>
      </c>
      <c r="D584" s="10">
        <f>CHOOSE(CONTROL!$C$42, 16.5321, 16.5321) * CHOOSE(CONTROL!$C$21, $C$9, 100%, $E$9)</f>
        <v>16.5321</v>
      </c>
      <c r="E584" s="10">
        <f>CHOOSE(CONTROL!$C$42, 16.5632, 16.5632) * CHOOSE(CONTROL!$C$21, $C$9, 100%, $E$9)</f>
        <v>16.563199999999998</v>
      </c>
      <c r="F584" s="10">
        <f>CHOOSE(CONTROL!$C$42, 16.311, 16.311)*CHOOSE(CONTROL!$C$21, $C$9, 100%, $E$9)</f>
        <v>16.311</v>
      </c>
      <c r="G584" s="10">
        <f>CHOOSE(CONTROL!$C$42, 16.3276, 16.3276)*CHOOSE(CONTROL!$C$21, $C$9, 100%, $E$9)</f>
        <v>16.3276</v>
      </c>
      <c r="H584" s="10">
        <f>CHOOSE(CONTROL!$C$42, 16.5518, 16.5518) * CHOOSE(CONTROL!$C$21, $C$9, 100%, $E$9)</f>
        <v>16.5518</v>
      </c>
      <c r="I584" s="10">
        <f>CHOOSE(CONTROL!$C$42, 16.3318, 16.3318)* CHOOSE(CONTROL!$C$21, $C$9, 100%, $E$9)</f>
        <v>16.331800000000001</v>
      </c>
      <c r="J584" s="10">
        <f>CHOOSE(CONTROL!$C$42, 16.304, 16.304)* CHOOSE(CONTROL!$C$21, $C$9, 100%, $E$9)</f>
        <v>16.303999999999998</v>
      </c>
      <c r="K584" s="10">
        <f>CHOOSE(CONTROL!$C$42, 16.0032, 16.0032) * CHOOSE(CONTROL!$C$21, $C$9, 100%, $E$9)</f>
        <v>16.0032</v>
      </c>
      <c r="L584" s="10">
        <f>CHOOSE(CONTROL!$C$42, 17.1388, 17.1388) * CHOOSE(CONTROL!$C$21, $C$9, 100%, $E$9)</f>
        <v>17.1388</v>
      </c>
      <c r="M584" s="10">
        <f>CHOOSE(CONTROL!$C$42, 16.1533, 16.1533) * CHOOSE(CONTROL!$C$21, $C$9, 100%, $E$9)</f>
        <v>16.153300000000002</v>
      </c>
      <c r="N584" s="10">
        <f>CHOOSE(CONTROL!$C$42, 16.1698, 16.1698) * CHOOSE(CONTROL!$C$21, $C$9, 100%, $E$9)</f>
        <v>16.169799999999999</v>
      </c>
      <c r="O584" s="10">
        <f>CHOOSE(CONTROL!$C$42, 16.3986, 16.3986) * CHOOSE(CONTROL!$C$21, $C$9, 100%, $E$9)</f>
        <v>16.398599999999998</v>
      </c>
      <c r="P584" s="10">
        <f>CHOOSE(CONTROL!$C$42, 16.1808, 16.1808) * CHOOSE(CONTROL!$C$21, $C$9, 100%, $E$9)</f>
        <v>16.180800000000001</v>
      </c>
      <c r="Q584" s="10">
        <f>CHOOSE(CONTROL!$C$42, 16.9939, 16.9939) * CHOOSE(CONTROL!$C$21, $C$9, 100%, $E$9)</f>
        <v>16.9939</v>
      </c>
      <c r="R584" s="10">
        <f>CHOOSE(CONTROL!$C$42, 17.6234, 17.6234) * CHOOSE(CONTROL!$C$21, $C$9, 100%, $E$9)</f>
        <v>17.6234</v>
      </c>
      <c r="S584" s="10">
        <f>CHOOSE(CONTROL!$C$42, 15.8705, 15.8705) * CHOOSE(CONTROL!$C$21, $C$9, 100%, $E$9)</f>
        <v>15.8705</v>
      </c>
      <c r="T5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38">
        <f>(1000*CHOOSE(CONTROL!$C$42, 695, 695)*CHOOSE(CONTROL!$C$42, 0.5599, 0.5599)*CHOOSE(CONTROL!$C$42, 31, 31))/1000000</f>
        <v>12.063045499999998</v>
      </c>
      <c r="V584" s="38">
        <f>(1000*CHOOSE(CONTROL!$C$42, 500, 500)*CHOOSE(CONTROL!$C$42, 0.275, 0.275)*CHOOSE(CONTROL!$C$42, 31, 31))/1000000</f>
        <v>4.2625000000000002</v>
      </c>
      <c r="W584" s="38">
        <f>(1000*CHOOSE(CONTROL!$C$42, 0.1146, 0.1146)*CHOOSE(CONTROL!$C$42, 121.5, 121.5)*CHOOSE(CONTROL!$C$42, 31, 31))/1000000</f>
        <v>0.43164089999999994</v>
      </c>
      <c r="X584" s="38">
        <f>(31*0.1790888*245000/1000000)+(31*0.2374*100000/1000000)</f>
        <v>2.0961194359999999</v>
      </c>
      <c r="Y584" s="38">
        <f>(1000*600*CHOOSE(CONTROL!$C$42, 1.0585, 1.0585)*CHOOSE(CONTROL!$C$42, 31, 31))/1000000</f>
        <v>19.688099999999999</v>
      </c>
      <c r="Z584" s="38"/>
      <c r="AA584" s="10"/>
      <c r="AB584" s="39"/>
      <c r="AC584" s="33">
        <f>(B584*194.205+C584*267.466+D584*133.845+E584*53.484+F584*40+G584*185+H584*0+I584*100+J584*300)/(194.205+267.466+133.845+53.484+0+40+185+100+300)</f>
        <v>16.361987649843016</v>
      </c>
      <c r="AD584" s="27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16.229880575539568</v>
      </c>
    </row>
    <row r="585" spans="1:30" ht="15.75" x14ac:dyDescent="0.25">
      <c r="A585" s="13">
        <v>59079</v>
      </c>
      <c r="B585" s="10">
        <f>CHOOSE(CONTROL!$C$42, 15.3097, 15.3097) * CHOOSE(CONTROL!$C$21, $C$9, 100%, $E$9)</f>
        <v>15.309699999999999</v>
      </c>
      <c r="C585" s="10">
        <f>CHOOSE(CONTROL!$C$42, 15.3176, 15.3176) * CHOOSE(CONTROL!$C$21, $C$9, 100%, $E$9)</f>
        <v>15.317600000000001</v>
      </c>
      <c r="D585" s="10">
        <f>CHOOSE(CONTROL!$C$42, 15.4946, 15.4946) * CHOOSE(CONTROL!$C$21, $C$9, 100%, $E$9)</f>
        <v>15.4946</v>
      </c>
      <c r="E585" s="10">
        <f>CHOOSE(CONTROL!$C$42, 15.5257, 15.5257) * CHOOSE(CONTROL!$C$21, $C$9, 100%, $E$9)</f>
        <v>15.525700000000001</v>
      </c>
      <c r="F585" s="10">
        <f>CHOOSE(CONTROL!$C$42, 15.2733, 15.2733)*CHOOSE(CONTROL!$C$21, $C$9, 100%, $E$9)</f>
        <v>15.273300000000001</v>
      </c>
      <c r="G585" s="10">
        <f>CHOOSE(CONTROL!$C$42, 15.2898, 15.2898)*CHOOSE(CONTROL!$C$21, $C$9, 100%, $E$9)</f>
        <v>15.2898</v>
      </c>
      <c r="H585" s="10">
        <f>CHOOSE(CONTROL!$C$42, 15.5143, 15.5143) * CHOOSE(CONTROL!$C$21, $C$9, 100%, $E$9)</f>
        <v>15.5143</v>
      </c>
      <c r="I585" s="10">
        <f>CHOOSE(CONTROL!$C$42, 15.2943, 15.2943)* CHOOSE(CONTROL!$C$21, $C$9, 100%, $E$9)</f>
        <v>15.2943</v>
      </c>
      <c r="J585" s="10">
        <f>CHOOSE(CONTROL!$C$42, 15.2663, 15.2663)* CHOOSE(CONTROL!$C$21, $C$9, 100%, $E$9)</f>
        <v>15.266299999999999</v>
      </c>
      <c r="K585" s="10">
        <f>CHOOSE(CONTROL!$C$42, 14.9946, 14.9946) * CHOOSE(CONTROL!$C$21, $C$9, 100%, $E$9)</f>
        <v>14.9946</v>
      </c>
      <c r="L585" s="10">
        <f>CHOOSE(CONTROL!$C$42, 16.1013, 16.1013) * CHOOSE(CONTROL!$C$21, $C$9, 100%, $E$9)</f>
        <v>16.101299999999998</v>
      </c>
      <c r="M585" s="10">
        <f>CHOOSE(CONTROL!$C$42, 15.126, 15.126) * CHOOSE(CONTROL!$C$21, $C$9, 100%, $E$9)</f>
        <v>15.125999999999999</v>
      </c>
      <c r="N585" s="10">
        <f>CHOOSE(CONTROL!$C$42, 15.1424, 15.1424) * CHOOSE(CONTROL!$C$21, $C$9, 100%, $E$9)</f>
        <v>15.1424</v>
      </c>
      <c r="O585" s="10">
        <f>CHOOSE(CONTROL!$C$42, 15.3716, 15.3716) * CHOOSE(CONTROL!$C$21, $C$9, 100%, $E$9)</f>
        <v>15.371600000000001</v>
      </c>
      <c r="P585" s="10">
        <f>CHOOSE(CONTROL!$C$42, 15.1538, 15.1538) * CHOOSE(CONTROL!$C$21, $C$9, 100%, $E$9)</f>
        <v>15.1538</v>
      </c>
      <c r="Q585" s="10">
        <f>CHOOSE(CONTROL!$C$42, 15.9669, 15.9669) * CHOOSE(CONTROL!$C$21, $C$9, 100%, $E$9)</f>
        <v>15.966900000000001</v>
      </c>
      <c r="R585" s="10">
        <f>CHOOSE(CONTROL!$C$42, 16.5938, 16.5938) * CHOOSE(CONTROL!$C$21, $C$9, 100%, $E$9)</f>
        <v>16.593800000000002</v>
      </c>
      <c r="S585" s="10">
        <f>CHOOSE(CONTROL!$C$42, 14.863, 14.863) * CHOOSE(CONTROL!$C$21, $C$9, 100%, $E$9)</f>
        <v>14.863</v>
      </c>
      <c r="T5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38">
        <f>(1000*CHOOSE(CONTROL!$C$42, 695, 695)*CHOOSE(CONTROL!$C$42, 0.5599, 0.5599)*CHOOSE(CONTROL!$C$42, 30, 30))/1000000</f>
        <v>11.673914999999997</v>
      </c>
      <c r="V585" s="38">
        <f>(1000*CHOOSE(CONTROL!$C$42, 500, 500)*CHOOSE(CONTROL!$C$42, 0.275, 0.275)*CHOOSE(CONTROL!$C$42, 30, 30))/1000000</f>
        <v>4.125</v>
      </c>
      <c r="W585" s="38">
        <f>(1000*CHOOSE(CONTROL!$C$42, 0.1146, 0.1146)*CHOOSE(CONTROL!$C$42, 121.5, 121.5)*CHOOSE(CONTROL!$C$42, 30, 30))/1000000</f>
        <v>0.417717</v>
      </c>
      <c r="X585" s="38">
        <f>(30*0.1790888*245000/1000000)+(30*0.2374*100000/1000000)</f>
        <v>2.0285026799999999</v>
      </c>
      <c r="Y585" s="38">
        <f>(1000*600*CHOOSE(CONTROL!$C$42, 1.0585, 1.0585)*CHOOSE(CONTROL!$C$42, 30, 30))/1000000</f>
        <v>19.053000000000001</v>
      </c>
      <c r="Z585" s="38"/>
      <c r="AA585" s="10"/>
      <c r="AB585" s="39"/>
      <c r="AC585" s="33">
        <f>(B585*194.205+C585*267.466+D585*133.845+E585*53.484+F585*40+G585*185+H585*0+I585*100+J585*300)/(194.205+267.466+133.845+53.484+0+40+185+100+300)</f>
        <v>15.324390711067503</v>
      </c>
      <c r="AD585" s="27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15.202684892086328</v>
      </c>
    </row>
    <row r="586" spans="1:30" ht="15.75" x14ac:dyDescent="0.25">
      <c r="A586" s="13">
        <v>59110</v>
      </c>
      <c r="B586" s="10">
        <f>CHOOSE(CONTROL!$C$42, 14.9968, 14.9968) * CHOOSE(CONTROL!$C$21, $C$9, 100%, $E$9)</f>
        <v>14.9968</v>
      </c>
      <c r="C586" s="10">
        <f>CHOOSE(CONTROL!$C$42, 15.002, 15.002) * CHOOSE(CONTROL!$C$21, $C$9, 100%, $E$9)</f>
        <v>15.002000000000001</v>
      </c>
      <c r="D586" s="10">
        <f>CHOOSE(CONTROL!$C$42, 15.184, 15.184) * CHOOSE(CONTROL!$C$21, $C$9, 100%, $E$9)</f>
        <v>15.183999999999999</v>
      </c>
      <c r="E586" s="10">
        <f>CHOOSE(CONTROL!$C$42, 15.2128, 15.2128) * CHOOSE(CONTROL!$C$21, $C$9, 100%, $E$9)</f>
        <v>15.2128</v>
      </c>
      <c r="F586" s="10">
        <f>CHOOSE(CONTROL!$C$42, 14.9624, 14.9624)*CHOOSE(CONTROL!$C$21, $C$9, 100%, $E$9)</f>
        <v>14.962400000000001</v>
      </c>
      <c r="G586" s="10">
        <f>CHOOSE(CONTROL!$C$42, 14.9786, 14.9786)*CHOOSE(CONTROL!$C$21, $C$9, 100%, $E$9)</f>
        <v>14.9786</v>
      </c>
      <c r="H586" s="10">
        <f>CHOOSE(CONTROL!$C$42, 15.2032, 15.2032) * CHOOSE(CONTROL!$C$21, $C$9, 100%, $E$9)</f>
        <v>15.203200000000001</v>
      </c>
      <c r="I586" s="10">
        <f>CHOOSE(CONTROL!$C$42, 14.9831, 14.9831)* CHOOSE(CONTROL!$C$21, $C$9, 100%, $E$9)</f>
        <v>14.9831</v>
      </c>
      <c r="J586" s="10">
        <f>CHOOSE(CONTROL!$C$42, 14.9554, 14.9554)* CHOOSE(CONTROL!$C$21, $C$9, 100%, $E$9)</f>
        <v>14.955399999999999</v>
      </c>
      <c r="K586" s="10">
        <f>CHOOSE(CONTROL!$C$42, 14.6929, 14.6929) * CHOOSE(CONTROL!$C$21, $C$9, 100%, $E$9)</f>
        <v>14.6929</v>
      </c>
      <c r="L586" s="10">
        <f>CHOOSE(CONTROL!$C$42, 15.7902, 15.7902) * CHOOSE(CONTROL!$C$21, $C$9, 100%, $E$9)</f>
        <v>15.7902</v>
      </c>
      <c r="M586" s="10">
        <f>CHOOSE(CONTROL!$C$42, 14.8183, 14.8183) * CHOOSE(CONTROL!$C$21, $C$9, 100%, $E$9)</f>
        <v>14.818300000000001</v>
      </c>
      <c r="N586" s="10">
        <f>CHOOSE(CONTROL!$C$42, 14.8344, 14.8344) * CHOOSE(CONTROL!$C$21, $C$9, 100%, $E$9)</f>
        <v>14.8344</v>
      </c>
      <c r="O586" s="10">
        <f>CHOOSE(CONTROL!$C$42, 15.0636, 15.0636) * CHOOSE(CONTROL!$C$21, $C$9, 100%, $E$9)</f>
        <v>15.063599999999999</v>
      </c>
      <c r="P586" s="10">
        <f>CHOOSE(CONTROL!$C$42, 14.8458, 14.8458) * CHOOSE(CONTROL!$C$21, $C$9, 100%, $E$9)</f>
        <v>14.845800000000001</v>
      </c>
      <c r="Q586" s="10">
        <f>CHOOSE(CONTROL!$C$42, 15.6589, 15.6589) * CHOOSE(CONTROL!$C$21, $C$9, 100%, $E$9)</f>
        <v>15.658899999999999</v>
      </c>
      <c r="R586" s="10">
        <f>CHOOSE(CONTROL!$C$42, 16.2851, 16.2851) * CHOOSE(CONTROL!$C$21, $C$9, 100%, $E$9)</f>
        <v>16.2851</v>
      </c>
      <c r="S586" s="10">
        <f>CHOOSE(CONTROL!$C$42, 14.5608, 14.5608) * CHOOSE(CONTROL!$C$21, $C$9, 100%, $E$9)</f>
        <v>14.5608</v>
      </c>
      <c r="T5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38">
        <f>(1000*CHOOSE(CONTROL!$C$42, 695, 695)*CHOOSE(CONTROL!$C$42, 0.5599, 0.5599)*CHOOSE(CONTROL!$C$42, 31, 31))/1000000</f>
        <v>12.063045499999998</v>
      </c>
      <c r="V586" s="38">
        <f>(1000*CHOOSE(CONTROL!$C$42, 500, 500)*CHOOSE(CONTROL!$C$42, 0.275, 0.275)*CHOOSE(CONTROL!$C$42, 31, 31))/1000000</f>
        <v>4.2625000000000002</v>
      </c>
      <c r="W586" s="38">
        <f>(1000*CHOOSE(CONTROL!$C$42, 0.1146, 0.1146)*CHOOSE(CONTROL!$C$42, 121.5, 121.5)*CHOOSE(CONTROL!$C$42, 31, 31))/1000000</f>
        <v>0.43164089999999994</v>
      </c>
      <c r="X586" s="38">
        <f>(31*0.1790888*245000/1000000)+(31*0.2374*100000/1000000)</f>
        <v>2.0961194359999999</v>
      </c>
      <c r="Y586" s="38">
        <f>(1000*600*CHOOSE(CONTROL!$C$42, 1.0585, 1.0585)*CHOOSE(CONTROL!$C$42, 31, 31))/1000000</f>
        <v>19.688099999999999</v>
      </c>
      <c r="Z586" s="38"/>
      <c r="AA586" s="10"/>
      <c r="AB586" s="39"/>
      <c r="AC586" s="33">
        <f>(B586*131.881+C586*277.167+D586*79.08+E586*125.872+F586*40+G586*185+H586*0+I586*100+J586*300)/(131.881+277.167+79.08+125.872+0+40+185+100+300)</f>
        <v>15.016897172235673</v>
      </c>
      <c r="AD586" s="27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14.894788489208635</v>
      </c>
    </row>
    <row r="587" spans="1:30" ht="15.75" x14ac:dyDescent="0.25">
      <c r="A587" s="13">
        <v>59140</v>
      </c>
      <c r="B587" s="10">
        <f>CHOOSE(CONTROL!$C$42, 15.3914, 15.3914) * CHOOSE(CONTROL!$C$21, $C$9, 100%, $E$9)</f>
        <v>15.391400000000001</v>
      </c>
      <c r="C587" s="10">
        <f>CHOOSE(CONTROL!$C$42, 15.3963, 15.3963) * CHOOSE(CONTROL!$C$21, $C$9, 100%, $E$9)</f>
        <v>15.3963</v>
      </c>
      <c r="D587" s="10">
        <f>CHOOSE(CONTROL!$C$42, 15.4208, 15.4208) * CHOOSE(CONTROL!$C$21, $C$9, 100%, $E$9)</f>
        <v>15.4208</v>
      </c>
      <c r="E587" s="10">
        <f>CHOOSE(CONTROL!$C$42, 15.4546, 15.4546) * CHOOSE(CONTROL!$C$21, $C$9, 100%, $E$9)</f>
        <v>15.454599999999999</v>
      </c>
      <c r="F587" s="10">
        <f>CHOOSE(CONTROL!$C$42, 15.3607, 15.3607)*CHOOSE(CONTROL!$C$21, $C$9, 100%, $E$9)</f>
        <v>15.3607</v>
      </c>
      <c r="G587" s="10">
        <f>CHOOSE(CONTROL!$C$42, 15.3771, 15.3771)*CHOOSE(CONTROL!$C$21, $C$9, 100%, $E$9)</f>
        <v>15.3771</v>
      </c>
      <c r="H587" s="10">
        <f>CHOOSE(CONTROL!$C$42, 15.4438, 15.4438) * CHOOSE(CONTROL!$C$21, $C$9, 100%, $E$9)</f>
        <v>15.4438</v>
      </c>
      <c r="I587" s="10">
        <f>CHOOSE(CONTROL!$C$42, 15.3781, 15.3781)* CHOOSE(CONTROL!$C$21, $C$9, 100%, $E$9)</f>
        <v>15.3781</v>
      </c>
      <c r="J587" s="10">
        <f>CHOOSE(CONTROL!$C$42, 15.3537, 15.3537)* CHOOSE(CONTROL!$C$21, $C$9, 100%, $E$9)</f>
        <v>15.3537</v>
      </c>
      <c r="K587" s="10">
        <f>CHOOSE(CONTROL!$C$42, 15.0782, 15.0782) * CHOOSE(CONTROL!$C$21, $C$9, 100%, $E$9)</f>
        <v>15.078200000000001</v>
      </c>
      <c r="L587" s="10">
        <f>CHOOSE(CONTROL!$C$42, 16.0308, 16.0308) * CHOOSE(CONTROL!$C$21, $C$9, 100%, $E$9)</f>
        <v>16.030799999999999</v>
      </c>
      <c r="M587" s="10">
        <f>CHOOSE(CONTROL!$C$42, 15.2126, 15.2126) * CHOOSE(CONTROL!$C$21, $C$9, 100%, $E$9)</f>
        <v>15.2126</v>
      </c>
      <c r="N587" s="10">
        <f>CHOOSE(CONTROL!$C$42, 15.2288, 15.2288) * CHOOSE(CONTROL!$C$21, $C$9, 100%, $E$9)</f>
        <v>15.2288</v>
      </c>
      <c r="O587" s="10">
        <f>CHOOSE(CONTROL!$C$42, 15.3017, 15.3017) * CHOOSE(CONTROL!$C$21, $C$9, 100%, $E$9)</f>
        <v>15.3017</v>
      </c>
      <c r="P587" s="10">
        <f>CHOOSE(CONTROL!$C$42, 15.2368, 15.2368) * CHOOSE(CONTROL!$C$21, $C$9, 100%, $E$9)</f>
        <v>15.236800000000001</v>
      </c>
      <c r="Q587" s="10">
        <f>CHOOSE(CONTROL!$C$42, 15.897, 15.897) * CHOOSE(CONTROL!$C$21, $C$9, 100%, $E$9)</f>
        <v>15.897</v>
      </c>
      <c r="R587" s="10">
        <f>CHOOSE(CONTROL!$C$42, 16.5238, 16.5238) * CHOOSE(CONTROL!$C$21, $C$9, 100%, $E$9)</f>
        <v>16.523800000000001</v>
      </c>
      <c r="S587" s="10">
        <f>CHOOSE(CONTROL!$C$42, 14.9444, 14.9444) * CHOOSE(CONTROL!$C$21, $C$9, 100%, $E$9)</f>
        <v>14.9444</v>
      </c>
      <c r="T5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38">
        <f>(1000*CHOOSE(CONTROL!$C$42, 695, 695)*CHOOSE(CONTROL!$C$42, 0.5599, 0.5599)*CHOOSE(CONTROL!$C$42, 30, 30))/1000000</f>
        <v>11.673914999999997</v>
      </c>
      <c r="V587" s="38">
        <f>(1000*CHOOSE(CONTROL!$C$42, 500, 500)*CHOOSE(CONTROL!$C$42, 0.275, 0.275)*CHOOSE(CONTROL!$C$42, 30, 30))/1000000</f>
        <v>4.125</v>
      </c>
      <c r="W587" s="38">
        <f>(1000*CHOOSE(CONTROL!$C$42, 0.1146, 0.1146)*CHOOSE(CONTROL!$C$42, 121.5, 121.5)*CHOOSE(CONTROL!$C$42, 30, 30))/1000000</f>
        <v>0.417717</v>
      </c>
      <c r="X587" s="38">
        <f>(30*0.1790888*100000/1000000)+(30*0.2374*100000/1000000)</f>
        <v>1.2494664</v>
      </c>
      <c r="Y587" s="38">
        <f>(1000*600*CHOOSE(CONTROL!$C$42, 1.0585, 1.0585)*CHOOSE(CONTROL!$C$42, 30, 30))/1000000</f>
        <v>19.053000000000001</v>
      </c>
      <c r="Z587" s="38"/>
      <c r="AA587" s="10"/>
      <c r="AB587" s="39"/>
      <c r="AC587" s="33">
        <f>(B587*122.58+C587*297.941+D587*89.177+E587*40.302+F587*40+G587*160+H587*0+I587*100+J587*300)/(122.58+297.941+89.177+40.302+0+40+160+100+300)</f>
        <v>15.383115479217389</v>
      </c>
      <c r="AD587" s="27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15.257397841726618</v>
      </c>
    </row>
    <row r="588" spans="1:30" ht="15.75" x14ac:dyDescent="0.25">
      <c r="A588" s="13">
        <v>59171</v>
      </c>
      <c r="B588" s="10">
        <f>CHOOSE(CONTROL!$C$42, 16.4405, 16.4405) * CHOOSE(CONTROL!$C$21, $C$9, 100%, $E$9)</f>
        <v>16.4405</v>
      </c>
      <c r="C588" s="10">
        <f>CHOOSE(CONTROL!$C$42, 16.4455, 16.4455) * CHOOSE(CONTROL!$C$21, $C$9, 100%, $E$9)</f>
        <v>16.445499999999999</v>
      </c>
      <c r="D588" s="10">
        <f>CHOOSE(CONTROL!$C$42, 16.47, 16.47) * CHOOSE(CONTROL!$C$21, $C$9, 100%, $E$9)</f>
        <v>16.47</v>
      </c>
      <c r="E588" s="10">
        <f>CHOOSE(CONTROL!$C$42, 16.5037, 16.5037) * CHOOSE(CONTROL!$C$21, $C$9, 100%, $E$9)</f>
        <v>16.503699999999998</v>
      </c>
      <c r="F588" s="10">
        <f>CHOOSE(CONTROL!$C$42, 16.4122, 16.4122)*CHOOSE(CONTROL!$C$21, $C$9, 100%, $E$9)</f>
        <v>16.412199999999999</v>
      </c>
      <c r="G588" s="10">
        <f>CHOOSE(CONTROL!$C$42, 16.4292, 16.4292)*CHOOSE(CONTROL!$C$21, $C$9, 100%, $E$9)</f>
        <v>16.429200000000002</v>
      </c>
      <c r="H588" s="10">
        <f>CHOOSE(CONTROL!$C$42, 16.4929, 16.4929) * CHOOSE(CONTROL!$C$21, $C$9, 100%, $E$9)</f>
        <v>16.492899999999999</v>
      </c>
      <c r="I588" s="10">
        <f>CHOOSE(CONTROL!$C$42, 16.4273, 16.4273)* CHOOSE(CONTROL!$C$21, $C$9, 100%, $E$9)</f>
        <v>16.427299999999999</v>
      </c>
      <c r="J588" s="10">
        <f>CHOOSE(CONTROL!$C$42, 16.4052, 16.4052)* CHOOSE(CONTROL!$C$21, $C$9, 100%, $E$9)</f>
        <v>16.405200000000001</v>
      </c>
      <c r="K588" s="10">
        <f>CHOOSE(CONTROL!$C$42, 16.1026, 16.1026) * CHOOSE(CONTROL!$C$21, $C$9, 100%, $E$9)</f>
        <v>16.102599999999999</v>
      </c>
      <c r="L588" s="10">
        <f>CHOOSE(CONTROL!$C$42, 17.0799, 17.0799) * CHOOSE(CONTROL!$C$21, $C$9, 100%, $E$9)</f>
        <v>17.079899999999999</v>
      </c>
      <c r="M588" s="10">
        <f>CHOOSE(CONTROL!$C$42, 16.2534, 16.2534) * CHOOSE(CONTROL!$C$21, $C$9, 100%, $E$9)</f>
        <v>16.253399999999999</v>
      </c>
      <c r="N588" s="10">
        <f>CHOOSE(CONTROL!$C$42, 16.2703, 16.2703) * CHOOSE(CONTROL!$C$21, $C$9, 100%, $E$9)</f>
        <v>16.270299999999999</v>
      </c>
      <c r="O588" s="10">
        <f>CHOOSE(CONTROL!$C$42, 16.3403, 16.3403) * CHOOSE(CONTROL!$C$21, $C$9, 100%, $E$9)</f>
        <v>16.340299999999999</v>
      </c>
      <c r="P588" s="10">
        <f>CHOOSE(CONTROL!$C$42, 16.2754, 16.2754) * CHOOSE(CONTROL!$C$21, $C$9, 100%, $E$9)</f>
        <v>16.275400000000001</v>
      </c>
      <c r="Q588" s="10">
        <f>CHOOSE(CONTROL!$C$42, 16.9356, 16.9356) * CHOOSE(CONTROL!$C$21, $C$9, 100%, $E$9)</f>
        <v>16.935600000000001</v>
      </c>
      <c r="R588" s="10">
        <f>CHOOSE(CONTROL!$C$42, 17.565, 17.565) * CHOOSE(CONTROL!$C$21, $C$9, 100%, $E$9)</f>
        <v>17.565000000000001</v>
      </c>
      <c r="S588" s="10">
        <f>CHOOSE(CONTROL!$C$42, 15.9633, 15.9633) * CHOOSE(CONTROL!$C$21, $C$9, 100%, $E$9)</f>
        <v>15.9633</v>
      </c>
      <c r="T5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38">
        <f>(1000*CHOOSE(CONTROL!$C$42, 695, 695)*CHOOSE(CONTROL!$C$42, 0.5599, 0.5599)*CHOOSE(CONTROL!$C$42, 31, 31))/1000000</f>
        <v>12.063045499999998</v>
      </c>
      <c r="V588" s="38">
        <f>(1000*CHOOSE(CONTROL!$C$42, 500, 500)*CHOOSE(CONTROL!$C$42, 0.275, 0.275)*CHOOSE(CONTROL!$C$42, 31, 31))/1000000</f>
        <v>4.2625000000000002</v>
      </c>
      <c r="W588" s="38">
        <f>(1000*CHOOSE(CONTROL!$C$42, 0.1146, 0.1146)*CHOOSE(CONTROL!$C$42, 121.5, 121.5)*CHOOSE(CONTROL!$C$42, 31, 31))/1000000</f>
        <v>0.43164089999999994</v>
      </c>
      <c r="X588" s="38">
        <f>(31*0.1790888*100000/1000000)+(31*0.2374*100000/1000000)</f>
        <v>1.2911152800000001</v>
      </c>
      <c r="Y588" s="38">
        <f>(1000*600*CHOOSE(CONTROL!$C$42, 1.0585, 1.0585)*CHOOSE(CONTROL!$C$42, 31, 31))/1000000</f>
        <v>19.688099999999999</v>
      </c>
      <c r="Z588" s="38"/>
      <c r="AA588" s="10"/>
      <c r="AB588" s="39"/>
      <c r="AC588" s="33">
        <f>(B588*122.58+C588*297.941+D588*89.177+E588*40.302+F588*40+G588*160+H588*0+I588*100+J588*300)/(122.58+297.941+89.177+40.302+0+40+160+100+300)</f>
        <v>16.433384793826086</v>
      </c>
      <c r="AD588" s="27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16.296924460431654</v>
      </c>
    </row>
    <row r="589" spans="1:30" ht="15.75" x14ac:dyDescent="0.25">
      <c r="A589" s="13">
        <v>59202</v>
      </c>
      <c r="B589" s="10">
        <f>CHOOSE(CONTROL!$C$42, 17.55, 17.55) * CHOOSE(CONTROL!$C$21, $C$9, 100%, $E$9)</f>
        <v>17.55</v>
      </c>
      <c r="C589" s="10">
        <f>CHOOSE(CONTROL!$C$42, 17.5549, 17.5549) * CHOOSE(CONTROL!$C$21, $C$9, 100%, $E$9)</f>
        <v>17.5549</v>
      </c>
      <c r="D589" s="10">
        <f>CHOOSE(CONTROL!$C$42, 17.5794, 17.5794) * CHOOSE(CONTROL!$C$21, $C$9, 100%, $E$9)</f>
        <v>17.5794</v>
      </c>
      <c r="E589" s="10">
        <f>CHOOSE(CONTROL!$C$42, 17.6132, 17.6132) * CHOOSE(CONTROL!$C$21, $C$9, 100%, $E$9)</f>
        <v>17.613199999999999</v>
      </c>
      <c r="F589" s="10">
        <f>CHOOSE(CONTROL!$C$42, 17.5329, 17.5329)*CHOOSE(CONTROL!$C$21, $C$9, 100%, $E$9)</f>
        <v>17.532900000000001</v>
      </c>
      <c r="G589" s="10">
        <f>CHOOSE(CONTROL!$C$42, 17.5516, 17.5516)*CHOOSE(CONTROL!$C$21, $C$9, 100%, $E$9)</f>
        <v>17.551600000000001</v>
      </c>
      <c r="H589" s="10">
        <f>CHOOSE(CONTROL!$C$42, 17.6024, 17.6024) * CHOOSE(CONTROL!$C$21, $C$9, 100%, $E$9)</f>
        <v>17.602399999999999</v>
      </c>
      <c r="I589" s="10">
        <f>CHOOSE(CONTROL!$C$42, 17.5445, 17.5445)* CHOOSE(CONTROL!$C$21, $C$9, 100%, $E$9)</f>
        <v>17.544499999999999</v>
      </c>
      <c r="J589" s="10">
        <f>CHOOSE(CONTROL!$C$42, 17.5259, 17.5259)* CHOOSE(CONTROL!$C$21, $C$9, 100%, $E$9)</f>
        <v>17.5259</v>
      </c>
      <c r="K589" s="10">
        <f>CHOOSE(CONTROL!$C$42, 17.2015, 17.2015) * CHOOSE(CONTROL!$C$21, $C$9, 100%, $E$9)</f>
        <v>17.201499999999999</v>
      </c>
      <c r="L589" s="10">
        <f>CHOOSE(CONTROL!$C$42, 18.1894, 18.1894) * CHOOSE(CONTROL!$C$21, $C$9, 100%, $E$9)</f>
        <v>18.189399999999999</v>
      </c>
      <c r="M589" s="10">
        <f>CHOOSE(CONTROL!$C$42, 17.3629, 17.3629) * CHOOSE(CONTROL!$C$21, $C$9, 100%, $E$9)</f>
        <v>17.3629</v>
      </c>
      <c r="N589" s="10">
        <f>CHOOSE(CONTROL!$C$42, 17.3813, 17.3813) * CHOOSE(CONTROL!$C$21, $C$9, 100%, $E$9)</f>
        <v>17.3813</v>
      </c>
      <c r="O589" s="10">
        <f>CHOOSE(CONTROL!$C$42, 17.4386, 17.4386) * CHOOSE(CONTROL!$C$21, $C$9, 100%, $E$9)</f>
        <v>17.438600000000001</v>
      </c>
      <c r="P589" s="10">
        <f>CHOOSE(CONTROL!$C$42, 17.3813, 17.3813) * CHOOSE(CONTROL!$C$21, $C$9, 100%, $E$9)</f>
        <v>17.3813</v>
      </c>
      <c r="Q589" s="10">
        <f>CHOOSE(CONTROL!$C$42, 18.0339, 18.0339) * CHOOSE(CONTROL!$C$21, $C$9, 100%, $E$9)</f>
        <v>18.033899999999999</v>
      </c>
      <c r="R589" s="10">
        <f>CHOOSE(CONTROL!$C$42, 18.6659, 18.6659) * CHOOSE(CONTROL!$C$21, $C$9, 100%, $E$9)</f>
        <v>18.665900000000001</v>
      </c>
      <c r="S589" s="10">
        <f>CHOOSE(CONTROL!$C$42, 17.0407, 17.0407) * CHOOSE(CONTROL!$C$21, $C$9, 100%, $E$9)</f>
        <v>17.040700000000001</v>
      </c>
      <c r="T5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38">
        <f>(1000*CHOOSE(CONTROL!$C$42, 695, 695)*CHOOSE(CONTROL!$C$42, 0.5599, 0.5599)*CHOOSE(CONTROL!$C$42, 31, 31))/1000000</f>
        <v>12.063045499999998</v>
      </c>
      <c r="V589" s="38">
        <f>(1000*CHOOSE(CONTROL!$C$42, 500, 500)*CHOOSE(CONTROL!$C$42, 0.275, 0.275)*CHOOSE(CONTROL!$C$42, 31, 31))/1000000</f>
        <v>4.2625000000000002</v>
      </c>
      <c r="W589" s="38">
        <f>(1000*CHOOSE(CONTROL!$C$42, 0.1146, 0.1146)*CHOOSE(CONTROL!$C$42, 121.5, 121.5)*CHOOSE(CONTROL!$C$42, 31, 31))/1000000</f>
        <v>0.43164089999999994</v>
      </c>
      <c r="X589" s="38">
        <f>(31*0.1790888*100000/1000000)+(31*0.2374*100000/1000000)</f>
        <v>1.2911152800000001</v>
      </c>
      <c r="Y589" s="38">
        <f>(1000*600*CHOOSE(CONTROL!$C$42, 1.0585, 1.0585)*CHOOSE(CONTROL!$C$42, 31, 31))/1000000</f>
        <v>19.688099999999999</v>
      </c>
      <c r="Z589" s="38"/>
      <c r="AA589" s="10"/>
      <c r="AB589" s="39"/>
      <c r="AC589" s="33">
        <f>(B589*122.58+C589*297.941+D589*89.177+E589*40.302+F589*40+G589*160+H589*0+I589*100+J589*300)/(122.58+297.941+89.177+40.302+0+40+160+100+300)</f>
        <v>17.548626783565219</v>
      </c>
      <c r="AD589" s="27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17.400916546762591</v>
      </c>
    </row>
    <row r="590" spans="1:30" ht="15.75" x14ac:dyDescent="0.25">
      <c r="A590" s="13">
        <v>59230</v>
      </c>
      <c r="B590" s="10">
        <f>CHOOSE(CONTROL!$C$42, 17.8623, 17.8623) * CHOOSE(CONTROL!$C$21, $C$9, 100%, $E$9)</f>
        <v>17.862300000000001</v>
      </c>
      <c r="C590" s="10">
        <f>CHOOSE(CONTROL!$C$42, 17.8673, 17.8673) * CHOOSE(CONTROL!$C$21, $C$9, 100%, $E$9)</f>
        <v>17.8673</v>
      </c>
      <c r="D590" s="10">
        <f>CHOOSE(CONTROL!$C$42, 17.8918, 17.8918) * CHOOSE(CONTROL!$C$21, $C$9, 100%, $E$9)</f>
        <v>17.8918</v>
      </c>
      <c r="E590" s="10">
        <f>CHOOSE(CONTROL!$C$42, 17.9255, 17.9255) * CHOOSE(CONTROL!$C$21, $C$9, 100%, $E$9)</f>
        <v>17.9255</v>
      </c>
      <c r="F590" s="10">
        <f>CHOOSE(CONTROL!$C$42, 17.8446, 17.8446)*CHOOSE(CONTROL!$C$21, $C$9, 100%, $E$9)</f>
        <v>17.8446</v>
      </c>
      <c r="G590" s="10">
        <f>CHOOSE(CONTROL!$C$42, 17.8631, 17.8631)*CHOOSE(CONTROL!$C$21, $C$9, 100%, $E$9)</f>
        <v>17.863099999999999</v>
      </c>
      <c r="H590" s="10">
        <f>CHOOSE(CONTROL!$C$42, 17.9147, 17.9147) * CHOOSE(CONTROL!$C$21, $C$9, 100%, $E$9)</f>
        <v>17.9147</v>
      </c>
      <c r="I590" s="10">
        <f>CHOOSE(CONTROL!$C$42, 17.8568, 17.8568)* CHOOSE(CONTROL!$C$21, $C$9, 100%, $E$9)</f>
        <v>17.8568</v>
      </c>
      <c r="J590" s="10">
        <f>CHOOSE(CONTROL!$C$42, 17.8376, 17.8376)* CHOOSE(CONTROL!$C$21, $C$9, 100%, $E$9)</f>
        <v>17.837599999999998</v>
      </c>
      <c r="K590" s="10">
        <f>CHOOSE(CONTROL!$C$42, 17.5035, 17.5035) * CHOOSE(CONTROL!$C$21, $C$9, 100%, $E$9)</f>
        <v>17.503499999999999</v>
      </c>
      <c r="L590" s="10">
        <f>CHOOSE(CONTROL!$C$42, 18.5017, 18.5017) * CHOOSE(CONTROL!$C$21, $C$9, 100%, $E$9)</f>
        <v>18.5017</v>
      </c>
      <c r="M590" s="10">
        <f>CHOOSE(CONTROL!$C$42, 17.6714, 17.6714) * CHOOSE(CONTROL!$C$21, $C$9, 100%, $E$9)</f>
        <v>17.671399999999998</v>
      </c>
      <c r="N590" s="10">
        <f>CHOOSE(CONTROL!$C$42, 17.6897, 17.6897) * CHOOSE(CONTROL!$C$21, $C$9, 100%, $E$9)</f>
        <v>17.689699999999998</v>
      </c>
      <c r="O590" s="10">
        <f>CHOOSE(CONTROL!$C$42, 17.7478, 17.7478) * CHOOSE(CONTROL!$C$21, $C$9, 100%, $E$9)</f>
        <v>17.747800000000002</v>
      </c>
      <c r="P590" s="10">
        <f>CHOOSE(CONTROL!$C$42, 17.6905, 17.6905) * CHOOSE(CONTROL!$C$21, $C$9, 100%, $E$9)</f>
        <v>17.6905</v>
      </c>
      <c r="Q590" s="10">
        <f>CHOOSE(CONTROL!$C$42, 18.3431, 18.3431) * CHOOSE(CONTROL!$C$21, $C$9, 100%, $E$9)</f>
        <v>18.3431</v>
      </c>
      <c r="R590" s="10">
        <f>CHOOSE(CONTROL!$C$42, 18.9759, 18.9759) * CHOOSE(CONTROL!$C$21, $C$9, 100%, $E$9)</f>
        <v>18.975899999999999</v>
      </c>
      <c r="S590" s="10">
        <f>CHOOSE(CONTROL!$C$42, 17.344, 17.344) * CHOOSE(CONTROL!$C$21, $C$9, 100%, $E$9)</f>
        <v>17.344000000000001</v>
      </c>
      <c r="T5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38">
        <f>(1000*CHOOSE(CONTROL!$C$42, 695, 695)*CHOOSE(CONTROL!$C$42, 0.5599, 0.5599)*CHOOSE(CONTROL!$C$42, 28, 28))/1000000</f>
        <v>10.895653999999999</v>
      </c>
      <c r="V590" s="38">
        <f>(1000*CHOOSE(CONTROL!$C$42, 500, 500)*CHOOSE(CONTROL!$C$42, 0.275, 0.275)*CHOOSE(CONTROL!$C$42, 28, 28))/1000000</f>
        <v>3.85</v>
      </c>
      <c r="W590" s="38">
        <f>(1000*CHOOSE(CONTROL!$C$42, 0.1146, 0.1146)*CHOOSE(CONTROL!$C$42, 121.5, 121.5)*CHOOSE(CONTROL!$C$42, 28, 28))/1000000</f>
        <v>0.38986920000000003</v>
      </c>
      <c r="X590" s="38">
        <f>(28*0.1790888*100000/1000000)+(28*0.2374*100000/1000000)</f>
        <v>1.16616864</v>
      </c>
      <c r="Y590" s="38">
        <f>(1000*600*CHOOSE(CONTROL!$C$42, 1.0585, 1.0585)*CHOOSE(CONTROL!$C$42, 28, 28))/1000000</f>
        <v>17.782800000000002</v>
      </c>
      <c r="Z590" s="38"/>
      <c r="AA590" s="10"/>
      <c r="AB590" s="39"/>
      <c r="AC590" s="33">
        <f>(B590*122.58+C590*297.941+D590*89.177+E590*40.302+F590*40+G590*160+H590*0+I590*100+J590*300)/(122.58+297.941+89.177+40.302+0+40+160+100+300)</f>
        <v>17.860671750347827</v>
      </c>
      <c r="AD590" s="27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17.709828776978416</v>
      </c>
    </row>
    <row r="591" spans="1:30" ht="15.75" x14ac:dyDescent="0.25">
      <c r="A591" s="13">
        <v>59261</v>
      </c>
      <c r="B591" s="10">
        <f>CHOOSE(CONTROL!$C$42, 17.3553, 17.3553) * CHOOSE(CONTROL!$C$21, $C$9, 100%, $E$9)</f>
        <v>17.3553</v>
      </c>
      <c r="C591" s="10">
        <f>CHOOSE(CONTROL!$C$42, 17.3603, 17.3603) * CHOOSE(CONTROL!$C$21, $C$9, 100%, $E$9)</f>
        <v>17.360299999999999</v>
      </c>
      <c r="D591" s="10">
        <f>CHOOSE(CONTROL!$C$42, 17.3847, 17.3847) * CHOOSE(CONTROL!$C$21, $C$9, 100%, $E$9)</f>
        <v>17.384699999999999</v>
      </c>
      <c r="E591" s="10">
        <f>CHOOSE(CONTROL!$C$42, 17.4185, 17.4185) * CHOOSE(CONTROL!$C$21, $C$9, 100%, $E$9)</f>
        <v>17.418500000000002</v>
      </c>
      <c r="F591" s="10">
        <f>CHOOSE(CONTROL!$C$42, 17.336, 17.336)*CHOOSE(CONTROL!$C$21, $C$9, 100%, $E$9)</f>
        <v>17.335999999999999</v>
      </c>
      <c r="G591" s="10">
        <f>CHOOSE(CONTROL!$C$42, 17.3541, 17.3541)*CHOOSE(CONTROL!$C$21, $C$9, 100%, $E$9)</f>
        <v>17.354099999999999</v>
      </c>
      <c r="H591" s="10">
        <f>CHOOSE(CONTROL!$C$42, 17.4077, 17.4077) * CHOOSE(CONTROL!$C$21, $C$9, 100%, $E$9)</f>
        <v>17.407699999999998</v>
      </c>
      <c r="I591" s="10">
        <f>CHOOSE(CONTROL!$C$42, 17.3498, 17.3498)* CHOOSE(CONTROL!$C$21, $C$9, 100%, $E$9)</f>
        <v>17.349799999999998</v>
      </c>
      <c r="J591" s="10">
        <f>CHOOSE(CONTROL!$C$42, 17.329, 17.329)* CHOOSE(CONTROL!$C$21, $C$9, 100%, $E$9)</f>
        <v>17.329000000000001</v>
      </c>
      <c r="K591" s="10">
        <f>CHOOSE(CONTROL!$C$42, 17.0075, 17.0075) * CHOOSE(CONTROL!$C$21, $C$9, 100%, $E$9)</f>
        <v>17.0075</v>
      </c>
      <c r="L591" s="10">
        <f>CHOOSE(CONTROL!$C$42, 17.9947, 17.9947) * CHOOSE(CONTROL!$C$21, $C$9, 100%, $E$9)</f>
        <v>17.994700000000002</v>
      </c>
      <c r="M591" s="10">
        <f>CHOOSE(CONTROL!$C$42, 17.168, 17.168) * CHOOSE(CONTROL!$C$21, $C$9, 100%, $E$9)</f>
        <v>17.167999999999999</v>
      </c>
      <c r="N591" s="10">
        <f>CHOOSE(CONTROL!$C$42, 17.1859, 17.1859) * CHOOSE(CONTROL!$C$21, $C$9, 100%, $E$9)</f>
        <v>17.1859</v>
      </c>
      <c r="O591" s="10">
        <f>CHOOSE(CONTROL!$C$42, 17.2458, 17.2458) * CHOOSE(CONTROL!$C$21, $C$9, 100%, $E$9)</f>
        <v>17.245799999999999</v>
      </c>
      <c r="P591" s="10">
        <f>CHOOSE(CONTROL!$C$42, 17.1886, 17.1886) * CHOOSE(CONTROL!$C$21, $C$9, 100%, $E$9)</f>
        <v>17.188600000000001</v>
      </c>
      <c r="Q591" s="10">
        <f>CHOOSE(CONTROL!$C$42, 17.8411, 17.8411) * CHOOSE(CONTROL!$C$21, $C$9, 100%, $E$9)</f>
        <v>17.841100000000001</v>
      </c>
      <c r="R591" s="10">
        <f>CHOOSE(CONTROL!$C$42, 18.4727, 18.4727) * CHOOSE(CONTROL!$C$21, $C$9, 100%, $E$9)</f>
        <v>18.4727</v>
      </c>
      <c r="S591" s="10">
        <f>CHOOSE(CONTROL!$C$42, 16.8516, 16.8516) * CHOOSE(CONTROL!$C$21, $C$9, 100%, $E$9)</f>
        <v>16.851600000000001</v>
      </c>
      <c r="T5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38">
        <f>(1000*CHOOSE(CONTROL!$C$42, 695, 695)*CHOOSE(CONTROL!$C$42, 0.5599, 0.5599)*CHOOSE(CONTROL!$C$42, 31, 31))/1000000</f>
        <v>12.063045499999998</v>
      </c>
      <c r="V591" s="38">
        <f>(1000*CHOOSE(CONTROL!$C$42, 500, 500)*CHOOSE(CONTROL!$C$42, 0.275, 0.275)*CHOOSE(CONTROL!$C$42, 31, 31))/1000000</f>
        <v>4.2625000000000002</v>
      </c>
      <c r="W591" s="38">
        <f>(1000*CHOOSE(CONTROL!$C$42, 0.1146, 0.1146)*CHOOSE(CONTROL!$C$42, 121.5, 121.5)*CHOOSE(CONTROL!$C$42, 31, 31))/1000000</f>
        <v>0.43164089999999994</v>
      </c>
      <c r="X591" s="38">
        <f>(31*0.1790888*100000/1000000)+(31*0.2374*100000/1000000)</f>
        <v>1.2911152800000001</v>
      </c>
      <c r="Y591" s="38">
        <f>(1000*600*CHOOSE(CONTROL!$C$42, 1.0585, 1.0585)*CHOOSE(CONTROL!$C$42, 31, 31))/1000000</f>
        <v>19.688099999999999</v>
      </c>
      <c r="Z591" s="38"/>
      <c r="AA591" s="10"/>
      <c r="AB591" s="39"/>
      <c r="AC591" s="33">
        <f>(B591*122.58+C591*297.941+D591*89.177+E591*40.302+F591*40+G591*160+H591*0+I591*100+J591*300)/(122.58+297.941+89.177+40.302+0+40+160+100+300)</f>
        <v>17.352912691478263</v>
      </c>
      <c r="AD591" s="27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17.207256115107914</v>
      </c>
    </row>
    <row r="592" spans="1:30" ht="15.75" x14ac:dyDescent="0.25">
      <c r="A592" s="13">
        <v>59291</v>
      </c>
      <c r="B592" s="10">
        <f>CHOOSE(CONTROL!$C$42, 17.3041, 17.3041) * CHOOSE(CONTROL!$C$21, $C$9, 100%, $E$9)</f>
        <v>17.304099999999998</v>
      </c>
      <c r="C592" s="10">
        <f>CHOOSE(CONTROL!$C$42, 17.3085, 17.3085) * CHOOSE(CONTROL!$C$21, $C$9, 100%, $E$9)</f>
        <v>17.308499999999999</v>
      </c>
      <c r="D592" s="10">
        <f>CHOOSE(CONTROL!$C$42, 17.4886, 17.4886) * CHOOSE(CONTROL!$C$21, $C$9, 100%, $E$9)</f>
        <v>17.488600000000002</v>
      </c>
      <c r="E592" s="10">
        <f>CHOOSE(CONTROL!$C$42, 17.5204, 17.5204) * CHOOSE(CONTROL!$C$21, $C$9, 100%, $E$9)</f>
        <v>17.520399999999999</v>
      </c>
      <c r="F592" s="10">
        <f>CHOOSE(CONTROL!$C$42, 17.2695, 17.2695)*CHOOSE(CONTROL!$C$21, $C$9, 100%, $E$9)</f>
        <v>17.269500000000001</v>
      </c>
      <c r="G592" s="10">
        <f>CHOOSE(CONTROL!$C$42, 17.2857, 17.2857)*CHOOSE(CONTROL!$C$21, $C$9, 100%, $E$9)</f>
        <v>17.285699999999999</v>
      </c>
      <c r="H592" s="10">
        <f>CHOOSE(CONTROL!$C$42, 17.5102, 17.5102) * CHOOSE(CONTROL!$C$21, $C$9, 100%, $E$9)</f>
        <v>17.510200000000001</v>
      </c>
      <c r="I592" s="10">
        <f>CHOOSE(CONTROL!$C$42, 17.2901, 17.2901)* CHOOSE(CONTROL!$C$21, $C$9, 100%, $E$9)</f>
        <v>17.290099999999999</v>
      </c>
      <c r="J592" s="10">
        <f>CHOOSE(CONTROL!$C$42, 17.2625, 17.2625)* CHOOSE(CONTROL!$C$21, $C$9, 100%, $E$9)</f>
        <v>17.262499999999999</v>
      </c>
      <c r="K592" s="10">
        <f>CHOOSE(CONTROL!$C$42, 16.9345, 16.9345) * CHOOSE(CONTROL!$C$21, $C$9, 100%, $E$9)</f>
        <v>16.9345</v>
      </c>
      <c r="L592" s="10">
        <f>CHOOSE(CONTROL!$C$42, 18.0972, 18.0972) * CHOOSE(CONTROL!$C$21, $C$9, 100%, $E$9)</f>
        <v>18.097200000000001</v>
      </c>
      <c r="M592" s="10">
        <f>CHOOSE(CONTROL!$C$42, 17.1021, 17.1021) * CHOOSE(CONTROL!$C$21, $C$9, 100%, $E$9)</f>
        <v>17.1021</v>
      </c>
      <c r="N592" s="10">
        <f>CHOOSE(CONTROL!$C$42, 17.1182, 17.1182) * CHOOSE(CONTROL!$C$21, $C$9, 100%, $E$9)</f>
        <v>17.118200000000002</v>
      </c>
      <c r="O592" s="10">
        <f>CHOOSE(CONTROL!$C$42, 17.3473, 17.3473) * CHOOSE(CONTROL!$C$21, $C$9, 100%, $E$9)</f>
        <v>17.347300000000001</v>
      </c>
      <c r="P592" s="10">
        <f>CHOOSE(CONTROL!$C$42, 17.1295, 17.1295) * CHOOSE(CONTROL!$C$21, $C$9, 100%, $E$9)</f>
        <v>17.1295</v>
      </c>
      <c r="Q592" s="10">
        <f>CHOOSE(CONTROL!$C$42, 17.9426, 17.9426) * CHOOSE(CONTROL!$C$21, $C$9, 100%, $E$9)</f>
        <v>17.942599999999999</v>
      </c>
      <c r="R592" s="10">
        <f>CHOOSE(CONTROL!$C$42, 18.5745, 18.5745) * CHOOSE(CONTROL!$C$21, $C$9, 100%, $E$9)</f>
        <v>18.5745</v>
      </c>
      <c r="S592" s="10">
        <f>CHOOSE(CONTROL!$C$42, 16.8011, 16.8011) * CHOOSE(CONTROL!$C$21, $C$9, 100%, $E$9)</f>
        <v>16.801100000000002</v>
      </c>
      <c r="T5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38">
        <f>(1000*CHOOSE(CONTROL!$C$42, 695, 695)*CHOOSE(CONTROL!$C$42, 0.5599, 0.5599)*CHOOSE(CONTROL!$C$42, 30, 30))/1000000</f>
        <v>11.673914999999997</v>
      </c>
      <c r="V592" s="38">
        <f>(1000*CHOOSE(CONTROL!$C$42, 500, 500)*CHOOSE(CONTROL!$C$42, 0.275, 0.275)*CHOOSE(CONTROL!$C$42, 30, 30))/1000000</f>
        <v>4.125</v>
      </c>
      <c r="W592" s="38">
        <f>(1000*CHOOSE(CONTROL!$C$42, 0.1146, 0.1146)*CHOOSE(CONTROL!$C$42, 121.5, 121.5)*CHOOSE(CONTROL!$C$42, 30, 30))/1000000</f>
        <v>0.417717</v>
      </c>
      <c r="X592" s="38">
        <f>(30*0.1790888*245000/1000000)+(30*0.2374*100000/1000000)</f>
        <v>2.0285026799999999</v>
      </c>
      <c r="Y592" s="38">
        <f>(1000*600*CHOOSE(CONTROL!$C$42, 1.0585, 1.0585)*CHOOSE(CONTROL!$C$42, 30, 30))/1000000</f>
        <v>19.053000000000001</v>
      </c>
      <c r="Z592" s="38"/>
      <c r="AA592" s="10"/>
      <c r="AB592" s="39"/>
      <c r="AC592" s="33">
        <f>(B592*141.293+C592*267.993+D592*115.016+E592*89.698+F592*40+G592*185+H592*0+I592*100+J592*300)/(141.293+267.993+115.016+89.698+0+40+185+100+300)</f>
        <v>17.322770943179982</v>
      </c>
      <c r="AD592" s="27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17.218102877697842</v>
      </c>
    </row>
    <row r="593" spans="1:30" ht="15.75" x14ac:dyDescent="0.25">
      <c r="A593" s="13">
        <v>59322</v>
      </c>
      <c r="B593" s="10">
        <f>CHOOSE(CONTROL!$C$42, 17.4586, 17.4586) * CHOOSE(CONTROL!$C$21, $C$9, 100%, $E$9)</f>
        <v>17.458600000000001</v>
      </c>
      <c r="C593" s="10">
        <f>CHOOSE(CONTROL!$C$42, 17.4665, 17.4665) * CHOOSE(CONTROL!$C$21, $C$9, 100%, $E$9)</f>
        <v>17.4665</v>
      </c>
      <c r="D593" s="10">
        <f>CHOOSE(CONTROL!$C$42, 17.6435, 17.6435) * CHOOSE(CONTROL!$C$21, $C$9, 100%, $E$9)</f>
        <v>17.6435</v>
      </c>
      <c r="E593" s="10">
        <f>CHOOSE(CONTROL!$C$42, 17.6747, 17.6747) * CHOOSE(CONTROL!$C$21, $C$9, 100%, $E$9)</f>
        <v>17.674700000000001</v>
      </c>
      <c r="F593" s="10">
        <f>CHOOSE(CONTROL!$C$42, 17.422, 17.422)*CHOOSE(CONTROL!$C$21, $C$9, 100%, $E$9)</f>
        <v>17.422000000000001</v>
      </c>
      <c r="G593" s="10">
        <f>CHOOSE(CONTROL!$C$42, 17.4385, 17.4385)*CHOOSE(CONTROL!$C$21, $C$9, 100%, $E$9)</f>
        <v>17.438500000000001</v>
      </c>
      <c r="H593" s="10">
        <f>CHOOSE(CONTROL!$C$42, 17.6633, 17.6633) * CHOOSE(CONTROL!$C$21, $C$9, 100%, $E$9)</f>
        <v>17.6633</v>
      </c>
      <c r="I593" s="10">
        <f>CHOOSE(CONTROL!$C$42, 17.4432, 17.4432)* CHOOSE(CONTROL!$C$21, $C$9, 100%, $E$9)</f>
        <v>17.443200000000001</v>
      </c>
      <c r="J593" s="10">
        <f>CHOOSE(CONTROL!$C$42, 17.415, 17.415)* CHOOSE(CONTROL!$C$21, $C$9, 100%, $E$9)</f>
        <v>17.414999999999999</v>
      </c>
      <c r="K593" s="10">
        <f>CHOOSE(CONTROL!$C$42, 17.082, 17.082) * CHOOSE(CONTROL!$C$21, $C$9, 100%, $E$9)</f>
        <v>17.082000000000001</v>
      </c>
      <c r="L593" s="10">
        <f>CHOOSE(CONTROL!$C$42, 18.2503, 18.2503) * CHOOSE(CONTROL!$C$21, $C$9, 100%, $E$9)</f>
        <v>18.250299999999999</v>
      </c>
      <c r="M593" s="10">
        <f>CHOOSE(CONTROL!$C$42, 17.253, 17.253) * CHOOSE(CONTROL!$C$21, $C$9, 100%, $E$9)</f>
        <v>17.253</v>
      </c>
      <c r="N593" s="10">
        <f>CHOOSE(CONTROL!$C$42, 17.2694, 17.2694) * CHOOSE(CONTROL!$C$21, $C$9, 100%, $E$9)</f>
        <v>17.269400000000001</v>
      </c>
      <c r="O593" s="10">
        <f>CHOOSE(CONTROL!$C$42, 17.4989, 17.4989) * CHOOSE(CONTROL!$C$21, $C$9, 100%, $E$9)</f>
        <v>17.498899999999999</v>
      </c>
      <c r="P593" s="10">
        <f>CHOOSE(CONTROL!$C$42, 17.281, 17.281) * CHOOSE(CONTROL!$C$21, $C$9, 100%, $E$9)</f>
        <v>17.280999999999999</v>
      </c>
      <c r="Q593" s="10">
        <f>CHOOSE(CONTROL!$C$42, 18.0942, 18.0942) * CHOOSE(CONTROL!$C$21, $C$9, 100%, $E$9)</f>
        <v>18.094200000000001</v>
      </c>
      <c r="R593" s="10">
        <f>CHOOSE(CONTROL!$C$42, 18.7264, 18.7264) * CHOOSE(CONTROL!$C$21, $C$9, 100%, $E$9)</f>
        <v>18.726400000000002</v>
      </c>
      <c r="S593" s="10">
        <f>CHOOSE(CONTROL!$C$42, 16.9498, 16.9498) * CHOOSE(CONTROL!$C$21, $C$9, 100%, $E$9)</f>
        <v>16.9498</v>
      </c>
      <c r="T5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38">
        <f>(1000*CHOOSE(CONTROL!$C$42, 695, 695)*CHOOSE(CONTROL!$C$42, 0.5599, 0.5599)*CHOOSE(CONTROL!$C$42, 31, 31))/1000000</f>
        <v>12.063045499999998</v>
      </c>
      <c r="V593" s="38">
        <f>(1000*CHOOSE(CONTROL!$C$42, 500, 500)*CHOOSE(CONTROL!$C$42, 0.275, 0.275)*CHOOSE(CONTROL!$C$42, 31, 31))/1000000</f>
        <v>4.2625000000000002</v>
      </c>
      <c r="W593" s="38">
        <f>(1000*CHOOSE(CONTROL!$C$42, 0.1146, 0.1146)*CHOOSE(CONTROL!$C$42, 121.5, 121.5)*CHOOSE(CONTROL!$C$42, 31, 31))/1000000</f>
        <v>0.43164089999999994</v>
      </c>
      <c r="X593" s="38">
        <f>(31*0.1790888*245000/1000000)+(31*0.2374*100000/1000000)</f>
        <v>2.0961194359999999</v>
      </c>
      <c r="Y593" s="38">
        <f>(1000*600*CHOOSE(CONTROL!$C$42, 1.0585, 1.0585)*CHOOSE(CONTROL!$C$42, 31, 31))/1000000</f>
        <v>19.688099999999999</v>
      </c>
      <c r="Z593" s="38"/>
      <c r="AA593" s="10"/>
      <c r="AB593" s="39"/>
      <c r="AC593" s="33">
        <f>(B593*194.205+C593*267.466+D593*133.845+E593*53.484+F593*40+G593*185+H593*0+I593*100+J593*300)/(194.205+267.466+133.845+53.484+0+40+185+100+300)</f>
        <v>17.473212491601256</v>
      </c>
      <c r="AD593" s="27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17.369423741007193</v>
      </c>
    </row>
    <row r="594" spans="1:30" ht="15.75" x14ac:dyDescent="0.25">
      <c r="A594" s="13">
        <v>59352</v>
      </c>
      <c r="B594" s="10">
        <f>CHOOSE(CONTROL!$C$42, 17.9537, 17.9537) * CHOOSE(CONTROL!$C$21, $C$9, 100%, $E$9)</f>
        <v>17.953700000000001</v>
      </c>
      <c r="C594" s="10">
        <f>CHOOSE(CONTROL!$C$42, 17.9616, 17.9616) * CHOOSE(CONTROL!$C$21, $C$9, 100%, $E$9)</f>
        <v>17.961600000000001</v>
      </c>
      <c r="D594" s="10">
        <f>CHOOSE(CONTROL!$C$42, 18.1386, 18.1386) * CHOOSE(CONTROL!$C$21, $C$9, 100%, $E$9)</f>
        <v>18.1386</v>
      </c>
      <c r="E594" s="10">
        <f>CHOOSE(CONTROL!$C$42, 18.1697, 18.1697) * CHOOSE(CONTROL!$C$21, $C$9, 100%, $E$9)</f>
        <v>18.169699999999999</v>
      </c>
      <c r="F594" s="10">
        <f>CHOOSE(CONTROL!$C$42, 17.9172, 17.9172)*CHOOSE(CONTROL!$C$21, $C$9, 100%, $E$9)</f>
        <v>17.917200000000001</v>
      </c>
      <c r="G594" s="10">
        <f>CHOOSE(CONTROL!$C$42, 17.9338, 17.9338)*CHOOSE(CONTROL!$C$21, $C$9, 100%, $E$9)</f>
        <v>17.933800000000002</v>
      </c>
      <c r="H594" s="10">
        <f>CHOOSE(CONTROL!$C$42, 18.1584, 18.1584) * CHOOSE(CONTROL!$C$21, $C$9, 100%, $E$9)</f>
        <v>18.1584</v>
      </c>
      <c r="I594" s="10">
        <f>CHOOSE(CONTROL!$C$42, 17.9383, 17.9383)* CHOOSE(CONTROL!$C$21, $C$9, 100%, $E$9)</f>
        <v>17.938300000000002</v>
      </c>
      <c r="J594" s="10">
        <f>CHOOSE(CONTROL!$C$42, 17.9102, 17.9102)* CHOOSE(CONTROL!$C$21, $C$9, 100%, $E$9)</f>
        <v>17.9102</v>
      </c>
      <c r="K594" s="10">
        <f>CHOOSE(CONTROL!$C$42, 17.5634, 17.5634) * CHOOSE(CONTROL!$C$21, $C$9, 100%, $E$9)</f>
        <v>17.563400000000001</v>
      </c>
      <c r="L594" s="10">
        <f>CHOOSE(CONTROL!$C$42, 18.7454, 18.7454) * CHOOSE(CONTROL!$C$21, $C$9, 100%, $E$9)</f>
        <v>18.7454</v>
      </c>
      <c r="M594" s="10">
        <f>CHOOSE(CONTROL!$C$42, 17.7433, 17.7433) * CHOOSE(CONTROL!$C$21, $C$9, 100%, $E$9)</f>
        <v>17.743300000000001</v>
      </c>
      <c r="N594" s="10">
        <f>CHOOSE(CONTROL!$C$42, 17.7597, 17.7597) * CHOOSE(CONTROL!$C$21, $C$9, 100%, $E$9)</f>
        <v>17.759699999999999</v>
      </c>
      <c r="O594" s="10">
        <f>CHOOSE(CONTROL!$C$42, 17.9889, 17.9889) * CHOOSE(CONTROL!$C$21, $C$9, 100%, $E$9)</f>
        <v>17.988900000000001</v>
      </c>
      <c r="P594" s="10">
        <f>CHOOSE(CONTROL!$C$42, 17.7711, 17.7711) * CHOOSE(CONTROL!$C$21, $C$9, 100%, $E$9)</f>
        <v>17.771100000000001</v>
      </c>
      <c r="Q594" s="10">
        <f>CHOOSE(CONTROL!$C$42, 18.5842, 18.5842) * CHOOSE(CONTROL!$C$21, $C$9, 100%, $E$9)</f>
        <v>18.584199999999999</v>
      </c>
      <c r="R594" s="10">
        <f>CHOOSE(CONTROL!$C$42, 19.2177, 19.2177) * CHOOSE(CONTROL!$C$21, $C$9, 100%, $E$9)</f>
        <v>19.217700000000001</v>
      </c>
      <c r="S594" s="10">
        <f>CHOOSE(CONTROL!$C$42, 17.4306, 17.4306) * CHOOSE(CONTROL!$C$21, $C$9, 100%, $E$9)</f>
        <v>17.430599999999998</v>
      </c>
      <c r="T5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38">
        <f>(1000*CHOOSE(CONTROL!$C$42, 695, 695)*CHOOSE(CONTROL!$C$42, 0.5599, 0.5599)*CHOOSE(CONTROL!$C$42, 30, 30))/1000000</f>
        <v>11.673914999999997</v>
      </c>
      <c r="V594" s="38">
        <f>(1000*CHOOSE(CONTROL!$C$42, 500, 500)*CHOOSE(CONTROL!$C$42, 0.275, 0.275)*CHOOSE(CONTROL!$C$42, 30, 30))/1000000</f>
        <v>4.125</v>
      </c>
      <c r="W594" s="38">
        <f>(1000*CHOOSE(CONTROL!$C$42, 0.1146, 0.1146)*CHOOSE(CONTROL!$C$42, 121.5, 121.5)*CHOOSE(CONTROL!$C$42, 30, 30))/1000000</f>
        <v>0.417717</v>
      </c>
      <c r="X594" s="38">
        <f>(30*0.1790888*245000/1000000)+(30*0.2374*100000/1000000)</f>
        <v>2.0285026799999999</v>
      </c>
      <c r="Y594" s="38">
        <f>(1000*600*CHOOSE(CONTROL!$C$42, 1.0585, 1.0585)*CHOOSE(CONTROL!$C$42, 30, 30))/1000000</f>
        <v>19.053000000000001</v>
      </c>
      <c r="Z594" s="38"/>
      <c r="AA594" s="10"/>
      <c r="AB594" s="39"/>
      <c r="AC594" s="33">
        <f>(B594*194.205+C594*267.466+D594*133.845+E594*53.484+F594*40+G594*185+H594*0+I594*100+J594*300)/(194.205+267.466+133.845+53.484+0+40+185+100+300)</f>
        <v>17.968364023469391</v>
      </c>
      <c r="AD594" s="27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17.859558992805759</v>
      </c>
    </row>
    <row r="595" spans="1:30" ht="15.75" x14ac:dyDescent="0.25">
      <c r="A595" s="13">
        <v>59383</v>
      </c>
      <c r="B595" s="10">
        <f>CHOOSE(CONTROL!$C$42, 17.6094, 17.6094) * CHOOSE(CONTROL!$C$21, $C$9, 100%, $E$9)</f>
        <v>17.609400000000001</v>
      </c>
      <c r="C595" s="10">
        <f>CHOOSE(CONTROL!$C$42, 17.6173, 17.6173) * CHOOSE(CONTROL!$C$21, $C$9, 100%, $E$9)</f>
        <v>17.6173</v>
      </c>
      <c r="D595" s="10">
        <f>CHOOSE(CONTROL!$C$42, 17.7943, 17.7943) * CHOOSE(CONTROL!$C$21, $C$9, 100%, $E$9)</f>
        <v>17.7943</v>
      </c>
      <c r="E595" s="10">
        <f>CHOOSE(CONTROL!$C$42, 17.8254, 17.8254) * CHOOSE(CONTROL!$C$21, $C$9, 100%, $E$9)</f>
        <v>17.825399999999998</v>
      </c>
      <c r="F595" s="10">
        <f>CHOOSE(CONTROL!$C$42, 17.5731, 17.5731)*CHOOSE(CONTROL!$C$21, $C$9, 100%, $E$9)</f>
        <v>17.5731</v>
      </c>
      <c r="G595" s="10">
        <f>CHOOSE(CONTROL!$C$42, 17.5898, 17.5898)*CHOOSE(CONTROL!$C$21, $C$9, 100%, $E$9)</f>
        <v>17.5898</v>
      </c>
      <c r="H595" s="10">
        <f>CHOOSE(CONTROL!$C$42, 17.814, 17.814) * CHOOSE(CONTROL!$C$21, $C$9, 100%, $E$9)</f>
        <v>17.814</v>
      </c>
      <c r="I595" s="10">
        <f>CHOOSE(CONTROL!$C$42, 17.594, 17.594)* CHOOSE(CONTROL!$C$21, $C$9, 100%, $E$9)</f>
        <v>17.594000000000001</v>
      </c>
      <c r="J595" s="10">
        <f>CHOOSE(CONTROL!$C$42, 17.5661, 17.5661)* CHOOSE(CONTROL!$C$21, $C$9, 100%, $E$9)</f>
        <v>17.566099999999999</v>
      </c>
      <c r="K595" s="10">
        <f>CHOOSE(CONTROL!$C$42, 17.2294, 17.2294) * CHOOSE(CONTROL!$C$21, $C$9, 100%, $E$9)</f>
        <v>17.229399999999998</v>
      </c>
      <c r="L595" s="10">
        <f>CHOOSE(CONTROL!$C$42, 18.401, 18.401) * CHOOSE(CONTROL!$C$21, $C$9, 100%, $E$9)</f>
        <v>18.401</v>
      </c>
      <c r="M595" s="10">
        <f>CHOOSE(CONTROL!$C$42, 17.4027, 17.4027) * CHOOSE(CONTROL!$C$21, $C$9, 100%, $E$9)</f>
        <v>17.402699999999999</v>
      </c>
      <c r="N595" s="10">
        <f>CHOOSE(CONTROL!$C$42, 17.4191, 17.4191) * CHOOSE(CONTROL!$C$21, $C$9, 100%, $E$9)</f>
        <v>17.4191</v>
      </c>
      <c r="O595" s="10">
        <f>CHOOSE(CONTROL!$C$42, 17.6481, 17.6481) * CHOOSE(CONTROL!$C$21, $C$9, 100%, $E$9)</f>
        <v>17.648099999999999</v>
      </c>
      <c r="P595" s="10">
        <f>CHOOSE(CONTROL!$C$42, 17.4303, 17.4303) * CHOOSE(CONTROL!$C$21, $C$9, 100%, $E$9)</f>
        <v>17.430299999999999</v>
      </c>
      <c r="Q595" s="10">
        <f>CHOOSE(CONTROL!$C$42, 18.2434, 18.2434) * CHOOSE(CONTROL!$C$21, $C$9, 100%, $E$9)</f>
        <v>18.243400000000001</v>
      </c>
      <c r="R595" s="10">
        <f>CHOOSE(CONTROL!$C$42, 18.876, 18.876) * CHOOSE(CONTROL!$C$21, $C$9, 100%, $E$9)</f>
        <v>18.876000000000001</v>
      </c>
      <c r="S595" s="10">
        <f>CHOOSE(CONTROL!$C$42, 17.0962, 17.0962) * CHOOSE(CONTROL!$C$21, $C$9, 100%, $E$9)</f>
        <v>17.0962</v>
      </c>
      <c r="T5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38">
        <f>(1000*CHOOSE(CONTROL!$C$42, 695, 695)*CHOOSE(CONTROL!$C$42, 0.5599, 0.5599)*CHOOSE(CONTROL!$C$42, 31, 31))/1000000</f>
        <v>12.063045499999998</v>
      </c>
      <c r="V595" s="38">
        <f>(1000*CHOOSE(CONTROL!$C$42, 500, 500)*CHOOSE(CONTROL!$C$42, 0.275, 0.275)*CHOOSE(CONTROL!$C$42, 31, 31))/1000000</f>
        <v>4.2625000000000002</v>
      </c>
      <c r="W595" s="38">
        <f>(1000*CHOOSE(CONTROL!$C$42, 0.1146, 0.1146)*CHOOSE(CONTROL!$C$42, 121.5, 121.5)*CHOOSE(CONTROL!$C$42, 31, 31))/1000000</f>
        <v>0.43164089999999994</v>
      </c>
      <c r="X595" s="38">
        <f>(31*0.1790888*245000/1000000)+(31*0.2374*100000/1000000)</f>
        <v>2.0961194359999999</v>
      </c>
      <c r="Y595" s="38">
        <f>(1000*600*CHOOSE(CONTROL!$C$42, 1.0585, 1.0585)*CHOOSE(CONTROL!$C$42, 31, 31))/1000000</f>
        <v>19.688099999999999</v>
      </c>
      <c r="Z595" s="38"/>
      <c r="AA595" s="10"/>
      <c r="AB595" s="39"/>
      <c r="AC595" s="33">
        <f>(B595*194.205+C595*267.466+D595*133.845+E595*53.484+F595*40+G595*185+H595*0+I595*100+J595*300)/(194.205+267.466+133.845+53.484+0+40+185+100+300)</f>
        <v>17.6241609622449</v>
      </c>
      <c r="AD595" s="27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17.518839568345324</v>
      </c>
    </row>
    <row r="596" spans="1:30" ht="15.75" x14ac:dyDescent="0.25">
      <c r="A596" s="13">
        <v>59414</v>
      </c>
      <c r="B596" s="10">
        <f>CHOOSE(CONTROL!$C$42, 16.7398, 16.7398) * CHOOSE(CONTROL!$C$21, $C$9, 100%, $E$9)</f>
        <v>16.739799999999999</v>
      </c>
      <c r="C596" s="10">
        <f>CHOOSE(CONTROL!$C$42, 16.7477, 16.7477) * CHOOSE(CONTROL!$C$21, $C$9, 100%, $E$9)</f>
        <v>16.747699999999998</v>
      </c>
      <c r="D596" s="10">
        <f>CHOOSE(CONTROL!$C$42, 16.9247, 16.9247) * CHOOSE(CONTROL!$C$21, $C$9, 100%, $E$9)</f>
        <v>16.924700000000001</v>
      </c>
      <c r="E596" s="10">
        <f>CHOOSE(CONTROL!$C$42, 16.9559, 16.9559) * CHOOSE(CONTROL!$C$21, $C$9, 100%, $E$9)</f>
        <v>16.9559</v>
      </c>
      <c r="F596" s="10">
        <f>CHOOSE(CONTROL!$C$42, 16.7036, 16.7036)*CHOOSE(CONTROL!$C$21, $C$9, 100%, $E$9)</f>
        <v>16.703600000000002</v>
      </c>
      <c r="G596" s="10">
        <f>CHOOSE(CONTROL!$C$42, 16.7203, 16.7203)*CHOOSE(CONTROL!$C$21, $C$9, 100%, $E$9)</f>
        <v>16.720300000000002</v>
      </c>
      <c r="H596" s="10">
        <f>CHOOSE(CONTROL!$C$42, 16.9445, 16.9445) * CHOOSE(CONTROL!$C$21, $C$9, 100%, $E$9)</f>
        <v>16.944500000000001</v>
      </c>
      <c r="I596" s="10">
        <f>CHOOSE(CONTROL!$C$42, 16.7244, 16.7244)* CHOOSE(CONTROL!$C$21, $C$9, 100%, $E$9)</f>
        <v>16.724399999999999</v>
      </c>
      <c r="J596" s="10">
        <f>CHOOSE(CONTROL!$C$42, 16.6966, 16.6966)* CHOOSE(CONTROL!$C$21, $C$9, 100%, $E$9)</f>
        <v>16.6966</v>
      </c>
      <c r="K596" s="10">
        <f>CHOOSE(CONTROL!$C$42, 16.3847, 16.3847) * CHOOSE(CONTROL!$C$21, $C$9, 100%, $E$9)</f>
        <v>16.384699999999999</v>
      </c>
      <c r="L596" s="10">
        <f>CHOOSE(CONTROL!$C$42, 17.5315, 17.5315) * CHOOSE(CONTROL!$C$21, $C$9, 100%, $E$9)</f>
        <v>17.531500000000001</v>
      </c>
      <c r="M596" s="10">
        <f>CHOOSE(CONTROL!$C$42, 16.542, 16.542) * CHOOSE(CONTROL!$C$21, $C$9, 100%, $E$9)</f>
        <v>16.542000000000002</v>
      </c>
      <c r="N596" s="10">
        <f>CHOOSE(CONTROL!$C$42, 16.5584, 16.5584) * CHOOSE(CONTROL!$C$21, $C$9, 100%, $E$9)</f>
        <v>16.558399999999999</v>
      </c>
      <c r="O596" s="10">
        <f>CHOOSE(CONTROL!$C$42, 16.7873, 16.7873) * CHOOSE(CONTROL!$C$21, $C$9, 100%, $E$9)</f>
        <v>16.787299999999998</v>
      </c>
      <c r="P596" s="10">
        <f>CHOOSE(CONTROL!$C$42, 16.5695, 16.5695) * CHOOSE(CONTROL!$C$21, $C$9, 100%, $E$9)</f>
        <v>16.569500000000001</v>
      </c>
      <c r="Q596" s="10">
        <f>CHOOSE(CONTROL!$C$42, 17.3826, 17.3826) * CHOOSE(CONTROL!$C$21, $C$9, 100%, $E$9)</f>
        <v>17.3826</v>
      </c>
      <c r="R596" s="10">
        <f>CHOOSE(CONTROL!$C$42, 18.0131, 18.0131) * CHOOSE(CONTROL!$C$21, $C$9, 100%, $E$9)</f>
        <v>18.013100000000001</v>
      </c>
      <c r="S596" s="10">
        <f>CHOOSE(CONTROL!$C$42, 16.2518, 16.2518) * CHOOSE(CONTROL!$C$21, $C$9, 100%, $E$9)</f>
        <v>16.251799999999999</v>
      </c>
      <c r="T5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38">
        <f>(1000*CHOOSE(CONTROL!$C$42, 695, 695)*CHOOSE(CONTROL!$C$42, 0.5599, 0.5599)*CHOOSE(CONTROL!$C$42, 31, 31))/1000000</f>
        <v>12.063045499999998</v>
      </c>
      <c r="V596" s="38">
        <f>(1000*CHOOSE(CONTROL!$C$42, 500, 500)*CHOOSE(CONTROL!$C$42, 0.275, 0.275)*CHOOSE(CONTROL!$C$42, 31, 31))/1000000</f>
        <v>4.2625000000000002</v>
      </c>
      <c r="W596" s="38">
        <f>(1000*CHOOSE(CONTROL!$C$42, 0.1146, 0.1146)*CHOOSE(CONTROL!$C$42, 121.5, 121.5)*CHOOSE(CONTROL!$C$42, 31, 31))/1000000</f>
        <v>0.43164089999999994</v>
      </c>
      <c r="X596" s="38">
        <f>(31*0.1790888*245000/1000000)+(31*0.2374*100000/1000000)</f>
        <v>2.0961194359999999</v>
      </c>
      <c r="Y596" s="38">
        <f>(1000*600*CHOOSE(CONTROL!$C$42, 1.0585, 1.0585)*CHOOSE(CONTROL!$C$42, 31, 31))/1000000</f>
        <v>19.688099999999999</v>
      </c>
      <c r="Z596" s="38"/>
      <c r="AA596" s="10"/>
      <c r="AB596" s="39"/>
      <c r="AC596" s="33">
        <f>(B596*194.205+C596*267.466+D596*133.845+E596*53.484+F596*40+G596*185+H596*0+I596*100+J596*300)/(194.205+267.466+133.845+53.484+0+40+185+100+300)</f>
        <v>16.754606369152278</v>
      </c>
      <c r="AD596" s="27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16.658079856115108</v>
      </c>
    </row>
    <row r="597" spans="1:30" ht="15.75" x14ac:dyDescent="0.25">
      <c r="A597" s="13">
        <v>59444</v>
      </c>
      <c r="B597" s="10">
        <f>CHOOSE(CONTROL!$C$42, 15.6774, 15.6774) * CHOOSE(CONTROL!$C$21, $C$9, 100%, $E$9)</f>
        <v>15.6774</v>
      </c>
      <c r="C597" s="10">
        <f>CHOOSE(CONTROL!$C$42, 15.6853, 15.6853) * CHOOSE(CONTROL!$C$21, $C$9, 100%, $E$9)</f>
        <v>15.6853</v>
      </c>
      <c r="D597" s="10">
        <f>CHOOSE(CONTROL!$C$42, 15.8623, 15.8623) * CHOOSE(CONTROL!$C$21, $C$9, 100%, $E$9)</f>
        <v>15.862299999999999</v>
      </c>
      <c r="E597" s="10">
        <f>CHOOSE(CONTROL!$C$42, 15.8934, 15.8934) * CHOOSE(CONTROL!$C$21, $C$9, 100%, $E$9)</f>
        <v>15.8934</v>
      </c>
      <c r="F597" s="10">
        <f>CHOOSE(CONTROL!$C$42, 15.641, 15.641)*CHOOSE(CONTROL!$C$21, $C$9, 100%, $E$9)</f>
        <v>15.641</v>
      </c>
      <c r="G597" s="10">
        <f>CHOOSE(CONTROL!$C$42, 15.6575, 15.6575)*CHOOSE(CONTROL!$C$21, $C$9, 100%, $E$9)</f>
        <v>15.657500000000001</v>
      </c>
      <c r="H597" s="10">
        <f>CHOOSE(CONTROL!$C$42, 15.8821, 15.8821) * CHOOSE(CONTROL!$C$21, $C$9, 100%, $E$9)</f>
        <v>15.882099999999999</v>
      </c>
      <c r="I597" s="10">
        <f>CHOOSE(CONTROL!$C$42, 15.662, 15.662)* CHOOSE(CONTROL!$C$21, $C$9, 100%, $E$9)</f>
        <v>15.662000000000001</v>
      </c>
      <c r="J597" s="10">
        <f>CHOOSE(CONTROL!$C$42, 15.634, 15.634)* CHOOSE(CONTROL!$C$21, $C$9, 100%, $E$9)</f>
        <v>15.634</v>
      </c>
      <c r="K597" s="10">
        <f>CHOOSE(CONTROL!$C$42, 15.3519, 15.3519) * CHOOSE(CONTROL!$C$21, $C$9, 100%, $E$9)</f>
        <v>15.351900000000001</v>
      </c>
      <c r="L597" s="10">
        <f>CHOOSE(CONTROL!$C$42, 16.4691, 16.4691) * CHOOSE(CONTROL!$C$21, $C$9, 100%, $E$9)</f>
        <v>16.469100000000001</v>
      </c>
      <c r="M597" s="10">
        <f>CHOOSE(CONTROL!$C$42, 15.49, 15.49) * CHOOSE(CONTROL!$C$21, $C$9, 100%, $E$9)</f>
        <v>15.49</v>
      </c>
      <c r="N597" s="10">
        <f>CHOOSE(CONTROL!$C$42, 15.5064, 15.5064) * CHOOSE(CONTROL!$C$21, $C$9, 100%, $E$9)</f>
        <v>15.506399999999999</v>
      </c>
      <c r="O597" s="10">
        <f>CHOOSE(CONTROL!$C$42, 15.7356, 15.7356) * CHOOSE(CONTROL!$C$21, $C$9, 100%, $E$9)</f>
        <v>15.7356</v>
      </c>
      <c r="P597" s="10">
        <f>CHOOSE(CONTROL!$C$42, 15.5178, 15.5178) * CHOOSE(CONTROL!$C$21, $C$9, 100%, $E$9)</f>
        <v>15.517799999999999</v>
      </c>
      <c r="Q597" s="10">
        <f>CHOOSE(CONTROL!$C$42, 16.3309, 16.3309) * CHOOSE(CONTROL!$C$21, $C$9, 100%, $E$9)</f>
        <v>16.3309</v>
      </c>
      <c r="R597" s="10">
        <f>CHOOSE(CONTROL!$C$42, 16.9587, 16.9587) * CHOOSE(CONTROL!$C$21, $C$9, 100%, $E$9)</f>
        <v>16.9587</v>
      </c>
      <c r="S597" s="10">
        <f>CHOOSE(CONTROL!$C$42, 15.2201, 15.2201) * CHOOSE(CONTROL!$C$21, $C$9, 100%, $E$9)</f>
        <v>15.2201</v>
      </c>
      <c r="T5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38">
        <f>(1000*CHOOSE(CONTROL!$C$42, 695, 695)*CHOOSE(CONTROL!$C$42, 0.5599, 0.5599)*CHOOSE(CONTROL!$C$42, 30, 30))/1000000</f>
        <v>11.673914999999997</v>
      </c>
      <c r="V597" s="38">
        <f>(1000*CHOOSE(CONTROL!$C$42, 500, 500)*CHOOSE(CONTROL!$C$42, 0.275, 0.275)*CHOOSE(CONTROL!$C$42, 30, 30))/1000000</f>
        <v>4.125</v>
      </c>
      <c r="W597" s="38">
        <f>(1000*CHOOSE(CONTROL!$C$42, 0.1146, 0.1146)*CHOOSE(CONTROL!$C$42, 121.5, 121.5)*CHOOSE(CONTROL!$C$42, 30, 30))/1000000</f>
        <v>0.417717</v>
      </c>
      <c r="X597" s="38">
        <f>(30*0.1790888*245000/1000000)+(30*0.2374*100000/1000000)</f>
        <v>2.0285026799999999</v>
      </c>
      <c r="Y597" s="38">
        <f>(1000*600*CHOOSE(CONTROL!$C$42, 1.0585, 1.0585)*CHOOSE(CONTROL!$C$42, 30, 30))/1000000</f>
        <v>19.053000000000001</v>
      </c>
      <c r="Z597" s="38"/>
      <c r="AA597" s="10"/>
      <c r="AB597" s="39"/>
      <c r="AC597" s="33">
        <f>(B597*194.205+C597*267.466+D597*133.845+E597*53.484+F597*40+G597*185+H597*0+I597*100+J597*300)/(194.205+267.466+133.845+53.484+0+40+185+100+300)</f>
        <v>15.692090711067504</v>
      </c>
      <c r="AD597" s="27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15.606258992805756</v>
      </c>
    </row>
    <row r="598" spans="1:30" ht="15.75" x14ac:dyDescent="0.25">
      <c r="A598" s="13">
        <v>59475</v>
      </c>
      <c r="B598" s="10">
        <f>CHOOSE(CONTROL!$C$42, 15.357, 15.357) * CHOOSE(CONTROL!$C$21, $C$9, 100%, $E$9)</f>
        <v>15.356999999999999</v>
      </c>
      <c r="C598" s="10">
        <f>CHOOSE(CONTROL!$C$42, 15.3623, 15.3623) * CHOOSE(CONTROL!$C$21, $C$9, 100%, $E$9)</f>
        <v>15.362299999999999</v>
      </c>
      <c r="D598" s="10">
        <f>CHOOSE(CONTROL!$C$42, 15.5442, 15.5442) * CHOOSE(CONTROL!$C$21, $C$9, 100%, $E$9)</f>
        <v>15.5442</v>
      </c>
      <c r="E598" s="10">
        <f>CHOOSE(CONTROL!$C$42, 15.573, 15.573) * CHOOSE(CONTROL!$C$21, $C$9, 100%, $E$9)</f>
        <v>15.573</v>
      </c>
      <c r="F598" s="10">
        <f>CHOOSE(CONTROL!$C$42, 15.3226, 15.3226)*CHOOSE(CONTROL!$C$21, $C$9, 100%, $E$9)</f>
        <v>15.3226</v>
      </c>
      <c r="G598" s="10">
        <f>CHOOSE(CONTROL!$C$42, 15.3389, 15.3389)*CHOOSE(CONTROL!$C$21, $C$9, 100%, $E$9)</f>
        <v>15.338900000000001</v>
      </c>
      <c r="H598" s="10">
        <f>CHOOSE(CONTROL!$C$42, 15.5635, 15.5635) * CHOOSE(CONTROL!$C$21, $C$9, 100%, $E$9)</f>
        <v>15.563499999999999</v>
      </c>
      <c r="I598" s="10">
        <f>CHOOSE(CONTROL!$C$42, 15.3434, 15.3434)* CHOOSE(CONTROL!$C$21, $C$9, 100%, $E$9)</f>
        <v>15.343400000000001</v>
      </c>
      <c r="J598" s="10">
        <f>CHOOSE(CONTROL!$C$42, 15.3156, 15.3156)* CHOOSE(CONTROL!$C$21, $C$9, 100%, $E$9)</f>
        <v>15.3156</v>
      </c>
      <c r="K598" s="10">
        <f>CHOOSE(CONTROL!$C$42, 15.0429, 15.0429) * CHOOSE(CONTROL!$C$21, $C$9, 100%, $E$9)</f>
        <v>15.042899999999999</v>
      </c>
      <c r="L598" s="10">
        <f>CHOOSE(CONTROL!$C$42, 16.1505, 16.1505) * CHOOSE(CONTROL!$C$21, $C$9, 100%, $E$9)</f>
        <v>16.150500000000001</v>
      </c>
      <c r="M598" s="10">
        <f>CHOOSE(CONTROL!$C$42, 15.1749, 15.1749) * CHOOSE(CONTROL!$C$21, $C$9, 100%, $E$9)</f>
        <v>15.174899999999999</v>
      </c>
      <c r="N598" s="10">
        <f>CHOOSE(CONTROL!$C$42, 15.191, 15.191) * CHOOSE(CONTROL!$C$21, $C$9, 100%, $E$9)</f>
        <v>15.191000000000001</v>
      </c>
      <c r="O598" s="10">
        <f>CHOOSE(CONTROL!$C$42, 15.4202, 15.4202) * CHOOSE(CONTROL!$C$21, $C$9, 100%, $E$9)</f>
        <v>15.420199999999999</v>
      </c>
      <c r="P598" s="10">
        <f>CHOOSE(CONTROL!$C$42, 15.2024, 15.2024) * CHOOSE(CONTROL!$C$21, $C$9, 100%, $E$9)</f>
        <v>15.202400000000001</v>
      </c>
      <c r="Q598" s="10">
        <f>CHOOSE(CONTROL!$C$42, 16.0155, 16.0155) * CHOOSE(CONTROL!$C$21, $C$9, 100%, $E$9)</f>
        <v>16.015499999999999</v>
      </c>
      <c r="R598" s="10">
        <f>CHOOSE(CONTROL!$C$42, 16.6426, 16.6426) * CHOOSE(CONTROL!$C$21, $C$9, 100%, $E$9)</f>
        <v>16.642600000000002</v>
      </c>
      <c r="S598" s="10">
        <f>CHOOSE(CONTROL!$C$42, 14.9107, 14.9107) * CHOOSE(CONTROL!$C$21, $C$9, 100%, $E$9)</f>
        <v>14.9107</v>
      </c>
      <c r="T5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38">
        <f>(1000*CHOOSE(CONTROL!$C$42, 695, 695)*CHOOSE(CONTROL!$C$42, 0.5599, 0.5599)*CHOOSE(CONTROL!$C$42, 31, 31))/1000000</f>
        <v>12.063045499999998</v>
      </c>
      <c r="V598" s="38">
        <f>(1000*CHOOSE(CONTROL!$C$42, 500, 500)*CHOOSE(CONTROL!$C$42, 0.275, 0.275)*CHOOSE(CONTROL!$C$42, 31, 31))/1000000</f>
        <v>4.2625000000000002</v>
      </c>
      <c r="W598" s="38">
        <f>(1000*CHOOSE(CONTROL!$C$42, 0.1146, 0.1146)*CHOOSE(CONTROL!$C$42, 121.5, 121.5)*CHOOSE(CONTROL!$C$42, 31, 31))/1000000</f>
        <v>0.43164089999999994</v>
      </c>
      <c r="X598" s="38">
        <f>(31*0.1790888*245000/1000000)+(31*0.2374*100000/1000000)</f>
        <v>2.0961194359999999</v>
      </c>
      <c r="Y598" s="38">
        <f>(1000*600*CHOOSE(CONTROL!$C$42, 1.0585, 1.0585)*CHOOSE(CONTROL!$C$42, 31, 31))/1000000</f>
        <v>19.688099999999999</v>
      </c>
      <c r="Z598" s="38"/>
      <c r="AA598" s="10"/>
      <c r="AB598" s="39"/>
      <c r="AC598" s="33">
        <f>(B598*131.881+C598*277.167+D598*79.08+E598*125.872+F598*40+G598*185+H598*0+I598*100+J598*300)/(131.881+277.167+79.08+125.872+0+40+185+100+300)</f>
        <v>15.377142544874898</v>
      </c>
      <c r="AD598" s="27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15.290962589928057</v>
      </c>
    </row>
    <row r="599" spans="1:30" ht="15.75" x14ac:dyDescent="0.25">
      <c r="A599" s="13">
        <v>59505</v>
      </c>
      <c r="B599" s="10">
        <f>CHOOSE(CONTROL!$C$42, 15.7611, 15.7611) * CHOOSE(CONTROL!$C$21, $C$9, 100%, $E$9)</f>
        <v>15.761100000000001</v>
      </c>
      <c r="C599" s="10">
        <f>CHOOSE(CONTROL!$C$42, 15.7661, 15.7661) * CHOOSE(CONTROL!$C$21, $C$9, 100%, $E$9)</f>
        <v>15.7661</v>
      </c>
      <c r="D599" s="10">
        <f>CHOOSE(CONTROL!$C$42, 15.7905, 15.7905) * CHOOSE(CONTROL!$C$21, $C$9, 100%, $E$9)</f>
        <v>15.7905</v>
      </c>
      <c r="E599" s="10">
        <f>CHOOSE(CONTROL!$C$42, 15.8243, 15.8243) * CHOOSE(CONTROL!$C$21, $C$9, 100%, $E$9)</f>
        <v>15.824299999999999</v>
      </c>
      <c r="F599" s="10">
        <f>CHOOSE(CONTROL!$C$42, 15.7304, 15.7304)*CHOOSE(CONTROL!$C$21, $C$9, 100%, $E$9)</f>
        <v>15.730399999999999</v>
      </c>
      <c r="G599" s="10">
        <f>CHOOSE(CONTROL!$C$42, 15.7469, 15.7469)*CHOOSE(CONTROL!$C$21, $C$9, 100%, $E$9)</f>
        <v>15.7469</v>
      </c>
      <c r="H599" s="10">
        <f>CHOOSE(CONTROL!$C$42, 15.8135, 15.8135) * CHOOSE(CONTROL!$C$21, $C$9, 100%, $E$9)</f>
        <v>15.813499999999999</v>
      </c>
      <c r="I599" s="10">
        <f>CHOOSE(CONTROL!$C$42, 15.7479, 15.7479)* CHOOSE(CONTROL!$C$21, $C$9, 100%, $E$9)</f>
        <v>15.7479</v>
      </c>
      <c r="J599" s="10">
        <f>CHOOSE(CONTROL!$C$42, 15.7234, 15.7234)* CHOOSE(CONTROL!$C$21, $C$9, 100%, $E$9)</f>
        <v>15.7234</v>
      </c>
      <c r="K599" s="10">
        <f>CHOOSE(CONTROL!$C$42, 15.4374, 15.4374) * CHOOSE(CONTROL!$C$21, $C$9, 100%, $E$9)</f>
        <v>15.4374</v>
      </c>
      <c r="L599" s="10">
        <f>CHOOSE(CONTROL!$C$42, 16.4005, 16.4005) * CHOOSE(CONTROL!$C$21, $C$9, 100%, $E$9)</f>
        <v>16.400500000000001</v>
      </c>
      <c r="M599" s="10">
        <f>CHOOSE(CONTROL!$C$42, 15.5786, 15.5786) * CHOOSE(CONTROL!$C$21, $C$9, 100%, $E$9)</f>
        <v>15.5786</v>
      </c>
      <c r="N599" s="10">
        <f>CHOOSE(CONTROL!$C$42, 15.5948, 15.5948) * CHOOSE(CONTROL!$C$21, $C$9, 100%, $E$9)</f>
        <v>15.594799999999999</v>
      </c>
      <c r="O599" s="10">
        <f>CHOOSE(CONTROL!$C$42, 15.6677, 15.6677) * CHOOSE(CONTROL!$C$21, $C$9, 100%, $E$9)</f>
        <v>15.6677</v>
      </c>
      <c r="P599" s="10">
        <f>CHOOSE(CONTROL!$C$42, 15.6028, 15.6028) * CHOOSE(CONTROL!$C$21, $C$9, 100%, $E$9)</f>
        <v>15.6028</v>
      </c>
      <c r="Q599" s="10">
        <f>CHOOSE(CONTROL!$C$42, 16.263, 16.263) * CHOOSE(CONTROL!$C$21, $C$9, 100%, $E$9)</f>
        <v>16.263000000000002</v>
      </c>
      <c r="R599" s="10">
        <f>CHOOSE(CONTROL!$C$42, 16.8907, 16.8907) * CHOOSE(CONTROL!$C$21, $C$9, 100%, $E$9)</f>
        <v>16.890699999999999</v>
      </c>
      <c r="S599" s="10">
        <f>CHOOSE(CONTROL!$C$42, 15.3035, 15.3035) * CHOOSE(CONTROL!$C$21, $C$9, 100%, $E$9)</f>
        <v>15.3035</v>
      </c>
      <c r="T5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38">
        <f>(1000*CHOOSE(CONTROL!$C$42, 695, 695)*CHOOSE(CONTROL!$C$42, 0.5599, 0.5599)*CHOOSE(CONTROL!$C$42, 30, 30))/1000000</f>
        <v>11.673914999999997</v>
      </c>
      <c r="V599" s="38">
        <f>(1000*CHOOSE(CONTROL!$C$42, 500, 500)*CHOOSE(CONTROL!$C$42, 0.275, 0.275)*CHOOSE(CONTROL!$C$42, 30, 30))/1000000</f>
        <v>4.125</v>
      </c>
      <c r="W599" s="38">
        <f>(1000*CHOOSE(CONTROL!$C$42, 0.1146, 0.1146)*CHOOSE(CONTROL!$C$42, 121.5, 121.5)*CHOOSE(CONTROL!$C$42, 30, 30))/1000000</f>
        <v>0.417717</v>
      </c>
      <c r="X599" s="38">
        <f>(30*0.1790888*100000/1000000)+(30*0.2374*100000/1000000)</f>
        <v>1.2494664</v>
      </c>
      <c r="Y599" s="38">
        <f>(1000*600*CHOOSE(CONTROL!$C$42, 1.0585, 1.0585)*CHOOSE(CONTROL!$C$42, 30, 30))/1000000</f>
        <v>19.053000000000001</v>
      </c>
      <c r="Z599" s="38"/>
      <c r="AA599" s="10"/>
      <c r="AB599" s="39"/>
      <c r="AC599" s="33">
        <f>(B599*122.58+C599*297.941+D599*89.177+E599*40.302+F599*40+G599*160+H599*0+I599*100+J599*300)/(122.58+297.941+89.177+40.302+0+40+160+100+300)</f>
        <v>15.752863995826088</v>
      </c>
      <c r="AD599" s="27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15.62339784172662</v>
      </c>
    </row>
    <row r="600" spans="1:30" ht="15.75" x14ac:dyDescent="0.25">
      <c r="A600" s="13">
        <v>59536</v>
      </c>
      <c r="B600" s="10">
        <f>CHOOSE(CONTROL!$C$42, 16.8355, 16.8355) * CHOOSE(CONTROL!$C$21, $C$9, 100%, $E$9)</f>
        <v>16.8355</v>
      </c>
      <c r="C600" s="10">
        <f>CHOOSE(CONTROL!$C$42, 16.8404, 16.8404) * CHOOSE(CONTROL!$C$21, $C$9, 100%, $E$9)</f>
        <v>16.840399999999999</v>
      </c>
      <c r="D600" s="10">
        <f>CHOOSE(CONTROL!$C$42, 16.8649, 16.8649) * CHOOSE(CONTROL!$C$21, $C$9, 100%, $E$9)</f>
        <v>16.864899999999999</v>
      </c>
      <c r="E600" s="10">
        <f>CHOOSE(CONTROL!$C$42, 16.8987, 16.8987) * CHOOSE(CONTROL!$C$21, $C$9, 100%, $E$9)</f>
        <v>16.898700000000002</v>
      </c>
      <c r="F600" s="10">
        <f>CHOOSE(CONTROL!$C$42, 16.8071, 16.8071)*CHOOSE(CONTROL!$C$21, $C$9, 100%, $E$9)</f>
        <v>16.807099999999998</v>
      </c>
      <c r="G600" s="10">
        <f>CHOOSE(CONTROL!$C$42, 16.8242, 16.8242)*CHOOSE(CONTROL!$C$21, $C$9, 100%, $E$9)</f>
        <v>16.824200000000001</v>
      </c>
      <c r="H600" s="10">
        <f>CHOOSE(CONTROL!$C$42, 16.8879, 16.8879) * CHOOSE(CONTROL!$C$21, $C$9, 100%, $E$9)</f>
        <v>16.887899999999998</v>
      </c>
      <c r="I600" s="10">
        <f>CHOOSE(CONTROL!$C$42, 16.8223, 16.8223)* CHOOSE(CONTROL!$C$21, $C$9, 100%, $E$9)</f>
        <v>16.822299999999998</v>
      </c>
      <c r="J600" s="10">
        <f>CHOOSE(CONTROL!$C$42, 16.8001, 16.8001)* CHOOSE(CONTROL!$C$21, $C$9, 100%, $E$9)</f>
        <v>16.8001</v>
      </c>
      <c r="K600" s="10">
        <f>CHOOSE(CONTROL!$C$42, 16.4863, 16.4863) * CHOOSE(CONTROL!$C$21, $C$9, 100%, $E$9)</f>
        <v>16.4863</v>
      </c>
      <c r="L600" s="10">
        <f>CHOOSE(CONTROL!$C$42, 17.4749, 17.4749) * CHOOSE(CONTROL!$C$21, $C$9, 100%, $E$9)</f>
        <v>17.474900000000002</v>
      </c>
      <c r="M600" s="10">
        <f>CHOOSE(CONTROL!$C$42, 16.6444, 16.6444) * CHOOSE(CONTROL!$C$21, $C$9, 100%, $E$9)</f>
        <v>16.644400000000001</v>
      </c>
      <c r="N600" s="10">
        <f>CHOOSE(CONTROL!$C$42, 16.6613, 16.6613) * CHOOSE(CONTROL!$C$21, $C$9, 100%, $E$9)</f>
        <v>16.661300000000001</v>
      </c>
      <c r="O600" s="10">
        <f>CHOOSE(CONTROL!$C$42, 16.7313, 16.7313) * CHOOSE(CONTROL!$C$21, $C$9, 100%, $E$9)</f>
        <v>16.731300000000001</v>
      </c>
      <c r="P600" s="10">
        <f>CHOOSE(CONTROL!$C$42, 16.6664, 16.6664) * CHOOSE(CONTROL!$C$21, $C$9, 100%, $E$9)</f>
        <v>16.666399999999999</v>
      </c>
      <c r="Q600" s="10">
        <f>CHOOSE(CONTROL!$C$42, 17.3266, 17.3266) * CHOOSE(CONTROL!$C$21, $C$9, 100%, $E$9)</f>
        <v>17.326599999999999</v>
      </c>
      <c r="R600" s="10">
        <f>CHOOSE(CONTROL!$C$42, 17.9569, 17.9569) * CHOOSE(CONTROL!$C$21, $C$9, 100%, $E$9)</f>
        <v>17.956900000000001</v>
      </c>
      <c r="S600" s="10">
        <f>CHOOSE(CONTROL!$C$42, 16.3468, 16.3468) * CHOOSE(CONTROL!$C$21, $C$9, 100%, $E$9)</f>
        <v>16.346800000000002</v>
      </c>
      <c r="T6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38">
        <f>(1000*CHOOSE(CONTROL!$C$42, 695, 695)*CHOOSE(CONTROL!$C$42, 0.5599, 0.5599)*CHOOSE(CONTROL!$C$42, 31, 31))/1000000</f>
        <v>12.063045499999998</v>
      </c>
      <c r="V600" s="38">
        <f>(1000*CHOOSE(CONTROL!$C$42, 500, 500)*CHOOSE(CONTROL!$C$42, 0.275, 0.275)*CHOOSE(CONTROL!$C$42, 31, 31))/1000000</f>
        <v>4.2625000000000002</v>
      </c>
      <c r="W600" s="38">
        <f>(1000*CHOOSE(CONTROL!$C$42, 0.1146, 0.1146)*CHOOSE(CONTROL!$C$42, 121.5, 121.5)*CHOOSE(CONTROL!$C$42, 31, 31))/1000000</f>
        <v>0.43164089999999994</v>
      </c>
      <c r="X600" s="38">
        <f>(31*0.1790888*100000/1000000)+(31*0.2374*100000/1000000)</f>
        <v>1.2911152800000001</v>
      </c>
      <c r="Y600" s="38">
        <f>(1000*600*CHOOSE(CONTROL!$C$42, 1.0585, 1.0585)*CHOOSE(CONTROL!$C$42, 31, 31))/1000000</f>
        <v>19.688099999999999</v>
      </c>
      <c r="Z600" s="38"/>
      <c r="AA600" s="10"/>
      <c r="AB600" s="39"/>
      <c r="AC600" s="33">
        <f>(B600*122.58+C600*297.941+D600*89.177+E600*40.302+F600*40+G600*160+H600*0+I600*100+J600*300)/(122.58+297.941+89.177+40.302+0+40+160+100+300)</f>
        <v>16.828321566173912</v>
      </c>
      <c r="AD600" s="27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16.687924460431656</v>
      </c>
    </row>
    <row r="601" spans="1:30" ht="15.75" x14ac:dyDescent="0.25">
      <c r="A601" s="13">
        <v>59567</v>
      </c>
      <c r="B601" s="10">
        <f>CHOOSE(CONTROL!$C$42, 17.9716, 17.9716) * CHOOSE(CONTROL!$C$21, $C$9, 100%, $E$9)</f>
        <v>17.971599999999999</v>
      </c>
      <c r="C601" s="10">
        <f>CHOOSE(CONTROL!$C$42, 17.9765, 17.9765) * CHOOSE(CONTROL!$C$21, $C$9, 100%, $E$9)</f>
        <v>17.976500000000001</v>
      </c>
      <c r="D601" s="10">
        <f>CHOOSE(CONTROL!$C$42, 18.001, 18.001) * CHOOSE(CONTROL!$C$21, $C$9, 100%, $E$9)</f>
        <v>18.001000000000001</v>
      </c>
      <c r="E601" s="10">
        <f>CHOOSE(CONTROL!$C$42, 18.0348, 18.0348) * CHOOSE(CONTROL!$C$21, $C$9, 100%, $E$9)</f>
        <v>18.034800000000001</v>
      </c>
      <c r="F601" s="10">
        <f>CHOOSE(CONTROL!$C$42, 17.9545, 17.9545)*CHOOSE(CONTROL!$C$21, $C$9, 100%, $E$9)</f>
        <v>17.954499999999999</v>
      </c>
      <c r="G601" s="10">
        <f>CHOOSE(CONTROL!$C$42, 17.9732, 17.9732)*CHOOSE(CONTROL!$C$21, $C$9, 100%, $E$9)</f>
        <v>17.973199999999999</v>
      </c>
      <c r="H601" s="10">
        <f>CHOOSE(CONTROL!$C$42, 18.024, 18.024) * CHOOSE(CONTROL!$C$21, $C$9, 100%, $E$9)</f>
        <v>18.024000000000001</v>
      </c>
      <c r="I601" s="10">
        <f>CHOOSE(CONTROL!$C$42, 17.9661, 17.9661)* CHOOSE(CONTROL!$C$21, $C$9, 100%, $E$9)</f>
        <v>17.966100000000001</v>
      </c>
      <c r="J601" s="10">
        <f>CHOOSE(CONTROL!$C$42, 17.9475, 17.9475)* CHOOSE(CONTROL!$C$21, $C$9, 100%, $E$9)</f>
        <v>17.947500000000002</v>
      </c>
      <c r="K601" s="10">
        <f>CHOOSE(CONTROL!$C$42, 17.6111, 17.6111) * CHOOSE(CONTROL!$C$21, $C$9, 100%, $E$9)</f>
        <v>17.6111</v>
      </c>
      <c r="L601" s="10">
        <f>CHOOSE(CONTROL!$C$42, 18.611, 18.611) * CHOOSE(CONTROL!$C$21, $C$9, 100%, $E$9)</f>
        <v>18.611000000000001</v>
      </c>
      <c r="M601" s="10">
        <f>CHOOSE(CONTROL!$C$42, 17.7802, 17.7802) * CHOOSE(CONTROL!$C$21, $C$9, 100%, $E$9)</f>
        <v>17.780200000000001</v>
      </c>
      <c r="N601" s="10">
        <f>CHOOSE(CONTROL!$C$42, 17.7987, 17.7987) * CHOOSE(CONTROL!$C$21, $C$9, 100%, $E$9)</f>
        <v>17.7987</v>
      </c>
      <c r="O601" s="10">
        <f>CHOOSE(CONTROL!$C$42, 17.8559, 17.8559) * CHOOSE(CONTROL!$C$21, $C$9, 100%, $E$9)</f>
        <v>17.855899999999998</v>
      </c>
      <c r="P601" s="10">
        <f>CHOOSE(CONTROL!$C$42, 17.7986, 17.7986) * CHOOSE(CONTROL!$C$21, $C$9, 100%, $E$9)</f>
        <v>17.7986</v>
      </c>
      <c r="Q601" s="10">
        <f>CHOOSE(CONTROL!$C$42, 18.4512, 18.4512) * CHOOSE(CONTROL!$C$21, $C$9, 100%, $E$9)</f>
        <v>18.4512</v>
      </c>
      <c r="R601" s="10">
        <f>CHOOSE(CONTROL!$C$42, 19.0843, 19.0843) * CHOOSE(CONTROL!$C$21, $C$9, 100%, $E$9)</f>
        <v>19.084299999999999</v>
      </c>
      <c r="S601" s="10">
        <f>CHOOSE(CONTROL!$C$42, 17.4501, 17.4501) * CHOOSE(CONTROL!$C$21, $C$9, 100%, $E$9)</f>
        <v>17.450099999999999</v>
      </c>
      <c r="T6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38">
        <f>(1000*CHOOSE(CONTROL!$C$42, 695, 695)*CHOOSE(CONTROL!$C$42, 0.5599, 0.5599)*CHOOSE(CONTROL!$C$42, 31, 31))/1000000</f>
        <v>12.063045499999998</v>
      </c>
      <c r="V601" s="38">
        <f>(1000*CHOOSE(CONTROL!$C$42, 500, 500)*CHOOSE(CONTROL!$C$42, 0.275, 0.275)*CHOOSE(CONTROL!$C$42, 31, 31))/1000000</f>
        <v>4.2625000000000002</v>
      </c>
      <c r="W601" s="38">
        <f>(1000*CHOOSE(CONTROL!$C$42, 0.1146, 0.1146)*CHOOSE(CONTROL!$C$42, 121.5, 121.5)*CHOOSE(CONTROL!$C$42, 31, 31))/1000000</f>
        <v>0.43164089999999994</v>
      </c>
      <c r="X601" s="38">
        <f>(31*0.1790888*100000/1000000)+(31*0.2374*100000/1000000)</f>
        <v>1.2911152800000001</v>
      </c>
      <c r="Y601" s="38">
        <f>(1000*600*CHOOSE(CONTROL!$C$42, 1.0585, 1.0585)*CHOOSE(CONTROL!$C$42, 31, 31))/1000000</f>
        <v>19.688099999999999</v>
      </c>
      <c r="Z601" s="38"/>
      <c r="AA601" s="10"/>
      <c r="AB601" s="39"/>
      <c r="AC601" s="33">
        <f>(B601*122.58+C601*297.941+D601*89.177+E601*40.302+F601*40+G601*160+H601*0+I601*100+J601*300)/(122.58+297.941+89.177+40.302+0+40+160+100+300)</f>
        <v>17.97022678356522</v>
      </c>
      <c r="AD601" s="27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17.818222302158276</v>
      </c>
    </row>
    <row r="602" spans="1:30" ht="15.75" x14ac:dyDescent="0.25">
      <c r="A602" s="13">
        <v>59595</v>
      </c>
      <c r="B602" s="10">
        <f>CHOOSE(CONTROL!$C$42, 18.2915, 18.2915) * CHOOSE(CONTROL!$C$21, $C$9, 100%, $E$9)</f>
        <v>18.291499999999999</v>
      </c>
      <c r="C602" s="10">
        <f>CHOOSE(CONTROL!$C$42, 18.2964, 18.2964) * CHOOSE(CONTROL!$C$21, $C$9, 100%, $E$9)</f>
        <v>18.296399999999998</v>
      </c>
      <c r="D602" s="10">
        <f>CHOOSE(CONTROL!$C$42, 18.3209, 18.3209) * CHOOSE(CONTROL!$C$21, $C$9, 100%, $E$9)</f>
        <v>18.320900000000002</v>
      </c>
      <c r="E602" s="10">
        <f>CHOOSE(CONTROL!$C$42, 18.3546, 18.3546) * CHOOSE(CONTROL!$C$21, $C$9, 100%, $E$9)</f>
        <v>18.354600000000001</v>
      </c>
      <c r="F602" s="10">
        <f>CHOOSE(CONTROL!$C$42, 18.2737, 18.2737)*CHOOSE(CONTROL!$C$21, $C$9, 100%, $E$9)</f>
        <v>18.273700000000002</v>
      </c>
      <c r="G602" s="10">
        <f>CHOOSE(CONTROL!$C$42, 18.2922, 18.2922)*CHOOSE(CONTROL!$C$21, $C$9, 100%, $E$9)</f>
        <v>18.292200000000001</v>
      </c>
      <c r="H602" s="10">
        <f>CHOOSE(CONTROL!$C$42, 18.3438, 18.3438) * CHOOSE(CONTROL!$C$21, $C$9, 100%, $E$9)</f>
        <v>18.343800000000002</v>
      </c>
      <c r="I602" s="10">
        <f>CHOOSE(CONTROL!$C$42, 18.2859, 18.2859)* CHOOSE(CONTROL!$C$21, $C$9, 100%, $E$9)</f>
        <v>18.285900000000002</v>
      </c>
      <c r="J602" s="10">
        <f>CHOOSE(CONTROL!$C$42, 18.2667, 18.2667)* CHOOSE(CONTROL!$C$21, $C$9, 100%, $E$9)</f>
        <v>18.2667</v>
      </c>
      <c r="K602" s="10">
        <f>CHOOSE(CONTROL!$C$42, 17.9204, 17.9204) * CHOOSE(CONTROL!$C$21, $C$9, 100%, $E$9)</f>
        <v>17.920400000000001</v>
      </c>
      <c r="L602" s="10">
        <f>CHOOSE(CONTROL!$C$42, 18.9308, 18.9308) * CHOOSE(CONTROL!$C$21, $C$9, 100%, $E$9)</f>
        <v>18.930800000000001</v>
      </c>
      <c r="M602" s="10">
        <f>CHOOSE(CONTROL!$C$42, 18.0962, 18.0962) * CHOOSE(CONTROL!$C$21, $C$9, 100%, $E$9)</f>
        <v>18.0962</v>
      </c>
      <c r="N602" s="10">
        <f>CHOOSE(CONTROL!$C$42, 18.1145, 18.1145) * CHOOSE(CONTROL!$C$21, $C$9, 100%, $E$9)</f>
        <v>18.1145</v>
      </c>
      <c r="O602" s="10">
        <f>CHOOSE(CONTROL!$C$42, 18.1726, 18.1726) * CHOOSE(CONTROL!$C$21, $C$9, 100%, $E$9)</f>
        <v>18.172599999999999</v>
      </c>
      <c r="P602" s="10">
        <f>CHOOSE(CONTROL!$C$42, 18.1153, 18.1153) * CHOOSE(CONTROL!$C$21, $C$9, 100%, $E$9)</f>
        <v>18.115300000000001</v>
      </c>
      <c r="Q602" s="10">
        <f>CHOOSE(CONTROL!$C$42, 18.7679, 18.7679) * CHOOSE(CONTROL!$C$21, $C$9, 100%, $E$9)</f>
        <v>18.767900000000001</v>
      </c>
      <c r="R602" s="10">
        <f>CHOOSE(CONTROL!$C$42, 19.4018, 19.4018) * CHOOSE(CONTROL!$C$21, $C$9, 100%, $E$9)</f>
        <v>19.401800000000001</v>
      </c>
      <c r="S602" s="10">
        <f>CHOOSE(CONTROL!$C$42, 17.7607, 17.7607) * CHOOSE(CONTROL!$C$21, $C$9, 100%, $E$9)</f>
        <v>17.7607</v>
      </c>
      <c r="T6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38">
        <f>(1000*CHOOSE(CONTROL!$C$42, 695, 695)*CHOOSE(CONTROL!$C$42, 0.5599, 0.5599)*CHOOSE(CONTROL!$C$42, 28, 28))/1000000</f>
        <v>10.895653999999999</v>
      </c>
      <c r="V602" s="38">
        <f>(1000*CHOOSE(CONTROL!$C$42, 500, 500)*CHOOSE(CONTROL!$C$42, 0.275, 0.275)*CHOOSE(CONTROL!$C$42, 28, 28))/1000000</f>
        <v>3.85</v>
      </c>
      <c r="W602" s="38">
        <f>(1000*CHOOSE(CONTROL!$C$42, 0.1146, 0.1146)*CHOOSE(CONTROL!$C$42, 121.5, 121.5)*CHOOSE(CONTROL!$C$42, 28, 28))/1000000</f>
        <v>0.38986920000000003</v>
      </c>
      <c r="X602" s="38">
        <f>(28*0.1790888*100000/1000000)+(28*0.2374*100000/1000000)</f>
        <v>1.16616864</v>
      </c>
      <c r="Y602" s="38">
        <f>(1000*600*CHOOSE(CONTROL!$C$42, 1.0585, 1.0585)*CHOOSE(CONTROL!$C$42, 28, 28))/1000000</f>
        <v>17.782800000000002</v>
      </c>
      <c r="Z602" s="38"/>
      <c r="AA602" s="10"/>
      <c r="AB602" s="39"/>
      <c r="AC602" s="33">
        <f>(B602*122.58+C602*297.941+D602*89.177+E602*40.302+F602*40+G602*160+H602*0+I602*100+J602*300)/(122.58+297.941+89.177+40.302+0+40+160+100+300)</f>
        <v>18.289782409478264</v>
      </c>
      <c r="AD602" s="27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18.134628776978417</v>
      </c>
    </row>
    <row r="603" spans="1:30" ht="15.75" x14ac:dyDescent="0.25">
      <c r="A603" s="13">
        <v>59626</v>
      </c>
      <c r="B603" s="10">
        <f>CHOOSE(CONTROL!$C$42, 17.7722, 17.7722) * CHOOSE(CONTROL!$C$21, $C$9, 100%, $E$9)</f>
        <v>17.772200000000002</v>
      </c>
      <c r="C603" s="10">
        <f>CHOOSE(CONTROL!$C$42, 17.7772, 17.7772) * CHOOSE(CONTROL!$C$21, $C$9, 100%, $E$9)</f>
        <v>17.777200000000001</v>
      </c>
      <c r="D603" s="10">
        <f>CHOOSE(CONTROL!$C$42, 17.8016, 17.8016) * CHOOSE(CONTROL!$C$21, $C$9, 100%, $E$9)</f>
        <v>17.801600000000001</v>
      </c>
      <c r="E603" s="10">
        <f>CHOOSE(CONTROL!$C$42, 17.8354, 17.8354) * CHOOSE(CONTROL!$C$21, $C$9, 100%, $E$9)</f>
        <v>17.8354</v>
      </c>
      <c r="F603" s="10">
        <f>CHOOSE(CONTROL!$C$42, 17.753, 17.753)*CHOOSE(CONTROL!$C$21, $C$9, 100%, $E$9)</f>
        <v>17.753</v>
      </c>
      <c r="G603" s="10">
        <f>CHOOSE(CONTROL!$C$42, 17.771, 17.771)*CHOOSE(CONTROL!$C$21, $C$9, 100%, $E$9)</f>
        <v>17.771000000000001</v>
      </c>
      <c r="H603" s="10">
        <f>CHOOSE(CONTROL!$C$42, 17.8246, 17.8246) * CHOOSE(CONTROL!$C$21, $C$9, 100%, $E$9)</f>
        <v>17.8246</v>
      </c>
      <c r="I603" s="10">
        <f>CHOOSE(CONTROL!$C$42, 17.7667, 17.7667)* CHOOSE(CONTROL!$C$21, $C$9, 100%, $E$9)</f>
        <v>17.7667</v>
      </c>
      <c r="J603" s="10">
        <f>CHOOSE(CONTROL!$C$42, 17.746, 17.746)* CHOOSE(CONTROL!$C$21, $C$9, 100%, $E$9)</f>
        <v>17.745999999999999</v>
      </c>
      <c r="K603" s="10">
        <f>CHOOSE(CONTROL!$C$42, 17.4126, 17.4126) * CHOOSE(CONTROL!$C$21, $C$9, 100%, $E$9)</f>
        <v>17.412600000000001</v>
      </c>
      <c r="L603" s="10">
        <f>CHOOSE(CONTROL!$C$42, 18.4116, 18.4116) * CHOOSE(CONTROL!$C$21, $C$9, 100%, $E$9)</f>
        <v>18.4116</v>
      </c>
      <c r="M603" s="10">
        <f>CHOOSE(CONTROL!$C$42, 17.5807, 17.5807) * CHOOSE(CONTROL!$C$21, $C$9, 100%, $E$9)</f>
        <v>17.5807</v>
      </c>
      <c r="N603" s="10">
        <f>CHOOSE(CONTROL!$C$42, 17.5986, 17.5986) * CHOOSE(CONTROL!$C$21, $C$9, 100%, $E$9)</f>
        <v>17.598600000000001</v>
      </c>
      <c r="O603" s="10">
        <f>CHOOSE(CONTROL!$C$42, 17.6586, 17.6586) * CHOOSE(CONTROL!$C$21, $C$9, 100%, $E$9)</f>
        <v>17.6586</v>
      </c>
      <c r="P603" s="10">
        <f>CHOOSE(CONTROL!$C$42, 17.6013, 17.6013) * CHOOSE(CONTROL!$C$21, $C$9, 100%, $E$9)</f>
        <v>17.601299999999998</v>
      </c>
      <c r="Q603" s="10">
        <f>CHOOSE(CONTROL!$C$42, 18.2539, 18.2539) * CHOOSE(CONTROL!$C$21, $C$9, 100%, $E$9)</f>
        <v>18.253900000000002</v>
      </c>
      <c r="R603" s="10">
        <f>CHOOSE(CONTROL!$C$42, 18.8865, 18.8865) * CHOOSE(CONTROL!$C$21, $C$9, 100%, $E$9)</f>
        <v>18.886500000000002</v>
      </c>
      <c r="S603" s="10">
        <f>CHOOSE(CONTROL!$C$42, 17.2565, 17.2565) * CHOOSE(CONTROL!$C$21, $C$9, 100%, $E$9)</f>
        <v>17.256499999999999</v>
      </c>
      <c r="T6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38">
        <f>(1000*CHOOSE(CONTROL!$C$42, 695, 695)*CHOOSE(CONTROL!$C$42, 0.5599, 0.5599)*CHOOSE(CONTROL!$C$42, 31, 31))/1000000</f>
        <v>12.063045499999998</v>
      </c>
      <c r="V603" s="38">
        <f>(1000*CHOOSE(CONTROL!$C$42, 500, 500)*CHOOSE(CONTROL!$C$42, 0.275, 0.275)*CHOOSE(CONTROL!$C$42, 31, 31))/1000000</f>
        <v>4.2625000000000002</v>
      </c>
      <c r="W603" s="38">
        <f>(1000*CHOOSE(CONTROL!$C$42, 0.1146, 0.1146)*CHOOSE(CONTROL!$C$42, 121.5, 121.5)*CHOOSE(CONTROL!$C$42, 31, 31))/1000000</f>
        <v>0.43164089999999994</v>
      </c>
      <c r="X603" s="38">
        <f>(31*0.1790888*100000/1000000)+(31*0.2374*100000/1000000)</f>
        <v>1.2911152800000001</v>
      </c>
      <c r="Y603" s="38">
        <f>(1000*600*CHOOSE(CONTROL!$C$42, 1.0585, 1.0585)*CHOOSE(CONTROL!$C$42, 31, 31))/1000000</f>
        <v>19.688099999999999</v>
      </c>
      <c r="Z603" s="38"/>
      <c r="AA603" s="10"/>
      <c r="AB603" s="39"/>
      <c r="AC603" s="33">
        <f>(B603*122.58+C603*297.941+D603*89.177+E603*40.302+F603*40+G603*160+H603*0+I603*100+J603*300)/(122.58+297.941+89.177+40.302+0+40+160+100+300)</f>
        <v>17.76984225669565</v>
      </c>
      <c r="AD603" s="27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17.62000143884892</v>
      </c>
    </row>
    <row r="604" spans="1:30" ht="15.75" x14ac:dyDescent="0.25">
      <c r="A604" s="13">
        <v>59656</v>
      </c>
      <c r="B604" s="10">
        <f>CHOOSE(CONTROL!$C$42, 17.7198, 17.7198) * CHOOSE(CONTROL!$C$21, $C$9, 100%, $E$9)</f>
        <v>17.719799999999999</v>
      </c>
      <c r="C604" s="10">
        <f>CHOOSE(CONTROL!$C$42, 17.7242, 17.7242) * CHOOSE(CONTROL!$C$21, $C$9, 100%, $E$9)</f>
        <v>17.7242</v>
      </c>
      <c r="D604" s="10">
        <f>CHOOSE(CONTROL!$C$42, 17.9043, 17.9043) * CHOOSE(CONTROL!$C$21, $C$9, 100%, $E$9)</f>
        <v>17.904299999999999</v>
      </c>
      <c r="E604" s="10">
        <f>CHOOSE(CONTROL!$C$42, 17.9361, 17.9361) * CHOOSE(CONTROL!$C$21, $C$9, 100%, $E$9)</f>
        <v>17.9361</v>
      </c>
      <c r="F604" s="10">
        <f>CHOOSE(CONTROL!$C$42, 17.6851, 17.6851)*CHOOSE(CONTROL!$C$21, $C$9, 100%, $E$9)</f>
        <v>17.685099999999998</v>
      </c>
      <c r="G604" s="10">
        <f>CHOOSE(CONTROL!$C$42, 17.7014, 17.7014)*CHOOSE(CONTROL!$C$21, $C$9, 100%, $E$9)</f>
        <v>17.7014</v>
      </c>
      <c r="H604" s="10">
        <f>CHOOSE(CONTROL!$C$42, 17.9259, 17.9259) * CHOOSE(CONTROL!$C$21, $C$9, 100%, $E$9)</f>
        <v>17.925899999999999</v>
      </c>
      <c r="I604" s="10">
        <f>CHOOSE(CONTROL!$C$42, 17.7058, 17.7058)* CHOOSE(CONTROL!$C$21, $C$9, 100%, $E$9)</f>
        <v>17.7058</v>
      </c>
      <c r="J604" s="10">
        <f>CHOOSE(CONTROL!$C$42, 17.6781, 17.6781)* CHOOSE(CONTROL!$C$21, $C$9, 100%, $E$9)</f>
        <v>17.678100000000001</v>
      </c>
      <c r="K604" s="10">
        <f>CHOOSE(CONTROL!$C$42, 17.3384, 17.3384) * CHOOSE(CONTROL!$C$21, $C$9, 100%, $E$9)</f>
        <v>17.3384</v>
      </c>
      <c r="L604" s="10">
        <f>CHOOSE(CONTROL!$C$42, 18.5129, 18.5129) * CHOOSE(CONTROL!$C$21, $C$9, 100%, $E$9)</f>
        <v>18.512899999999998</v>
      </c>
      <c r="M604" s="10">
        <f>CHOOSE(CONTROL!$C$42, 17.5136, 17.5136) * CHOOSE(CONTROL!$C$21, $C$9, 100%, $E$9)</f>
        <v>17.5136</v>
      </c>
      <c r="N604" s="10">
        <f>CHOOSE(CONTROL!$C$42, 17.5297, 17.5297) * CHOOSE(CONTROL!$C$21, $C$9, 100%, $E$9)</f>
        <v>17.529699999999998</v>
      </c>
      <c r="O604" s="10">
        <f>CHOOSE(CONTROL!$C$42, 17.7588, 17.7588) * CHOOSE(CONTROL!$C$21, $C$9, 100%, $E$9)</f>
        <v>17.758800000000001</v>
      </c>
      <c r="P604" s="10">
        <f>CHOOSE(CONTROL!$C$42, 17.541, 17.541) * CHOOSE(CONTROL!$C$21, $C$9, 100%, $E$9)</f>
        <v>17.541</v>
      </c>
      <c r="Q604" s="10">
        <f>CHOOSE(CONTROL!$C$42, 18.3541, 18.3541) * CHOOSE(CONTROL!$C$21, $C$9, 100%, $E$9)</f>
        <v>18.354099999999999</v>
      </c>
      <c r="R604" s="10">
        <f>CHOOSE(CONTROL!$C$42, 18.987, 18.987) * CHOOSE(CONTROL!$C$21, $C$9, 100%, $E$9)</f>
        <v>18.986999999999998</v>
      </c>
      <c r="S604" s="10">
        <f>CHOOSE(CONTROL!$C$42, 17.2048, 17.2048) * CHOOSE(CONTROL!$C$21, $C$9, 100%, $E$9)</f>
        <v>17.204799999999999</v>
      </c>
      <c r="T6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38">
        <f>(1000*CHOOSE(CONTROL!$C$42, 695, 695)*CHOOSE(CONTROL!$C$42, 0.5599, 0.5599)*CHOOSE(CONTROL!$C$42, 30, 30))/1000000</f>
        <v>11.673914999999997</v>
      </c>
      <c r="V604" s="38">
        <f>(1000*CHOOSE(CONTROL!$C$42, 500, 500)*CHOOSE(CONTROL!$C$42, 0.275, 0.275)*CHOOSE(CONTROL!$C$42, 30, 30))/1000000</f>
        <v>4.125</v>
      </c>
      <c r="W604" s="38">
        <f>(1000*CHOOSE(CONTROL!$C$42, 0.1146, 0.1146)*CHOOSE(CONTROL!$C$42, 121.5, 121.5)*CHOOSE(CONTROL!$C$42, 30, 30))/1000000</f>
        <v>0.417717</v>
      </c>
      <c r="X604" s="38">
        <f>(30*0.1790888*245000/1000000)+(30*0.2374*100000/1000000)</f>
        <v>2.0285026799999999</v>
      </c>
      <c r="Y604" s="38">
        <f>(1000*600*CHOOSE(CONTROL!$C$42, 1.0585, 1.0585)*CHOOSE(CONTROL!$C$42, 30, 30))/1000000</f>
        <v>19.053000000000001</v>
      </c>
      <c r="Z604" s="38"/>
      <c r="AA604" s="10"/>
      <c r="AB604" s="39"/>
      <c r="AC604" s="33">
        <f>(B604*141.293+C604*267.993+D604*115.016+E604*89.698+F604*40+G604*185+H604*0+I604*100+J604*300)/(141.293+267.993+115.016+89.698+0+40+185+100+300)</f>
        <v>17.738443501694917</v>
      </c>
      <c r="AD604" s="27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17.629602877697842</v>
      </c>
    </row>
    <row r="605" spans="1:30" ht="15.75" x14ac:dyDescent="0.25">
      <c r="A605" s="13">
        <v>59687</v>
      </c>
      <c r="B605" s="10">
        <f>CHOOSE(CONTROL!$C$42, 17.878, 17.878) * CHOOSE(CONTROL!$C$21, $C$9, 100%, $E$9)</f>
        <v>17.878</v>
      </c>
      <c r="C605" s="10">
        <f>CHOOSE(CONTROL!$C$42, 17.8859, 17.8859) * CHOOSE(CONTROL!$C$21, $C$9, 100%, $E$9)</f>
        <v>17.885899999999999</v>
      </c>
      <c r="D605" s="10">
        <f>CHOOSE(CONTROL!$C$42, 18.0629, 18.0629) * CHOOSE(CONTROL!$C$21, $C$9, 100%, $E$9)</f>
        <v>18.062899999999999</v>
      </c>
      <c r="E605" s="10">
        <f>CHOOSE(CONTROL!$C$42, 18.094, 18.094) * CHOOSE(CONTROL!$C$21, $C$9, 100%, $E$9)</f>
        <v>18.094000000000001</v>
      </c>
      <c r="F605" s="10">
        <f>CHOOSE(CONTROL!$C$42, 17.8413, 17.8413)*CHOOSE(CONTROL!$C$21, $C$9, 100%, $E$9)</f>
        <v>17.8413</v>
      </c>
      <c r="G605" s="10">
        <f>CHOOSE(CONTROL!$C$42, 17.8578, 17.8578)*CHOOSE(CONTROL!$C$21, $C$9, 100%, $E$9)</f>
        <v>17.857800000000001</v>
      </c>
      <c r="H605" s="10">
        <f>CHOOSE(CONTROL!$C$42, 18.0826, 18.0826) * CHOOSE(CONTROL!$C$21, $C$9, 100%, $E$9)</f>
        <v>18.082599999999999</v>
      </c>
      <c r="I605" s="10">
        <f>CHOOSE(CONTROL!$C$42, 17.8626, 17.8626)* CHOOSE(CONTROL!$C$21, $C$9, 100%, $E$9)</f>
        <v>17.8626</v>
      </c>
      <c r="J605" s="10">
        <f>CHOOSE(CONTROL!$C$42, 17.8343, 17.8343)* CHOOSE(CONTROL!$C$21, $C$9, 100%, $E$9)</f>
        <v>17.834299999999999</v>
      </c>
      <c r="K605" s="10">
        <f>CHOOSE(CONTROL!$C$42, 17.4895, 17.4895) * CHOOSE(CONTROL!$C$21, $C$9, 100%, $E$9)</f>
        <v>17.4895</v>
      </c>
      <c r="L605" s="10">
        <f>CHOOSE(CONTROL!$C$42, 18.6696, 18.6696) * CHOOSE(CONTROL!$C$21, $C$9, 100%, $E$9)</f>
        <v>18.669599999999999</v>
      </c>
      <c r="M605" s="10">
        <f>CHOOSE(CONTROL!$C$42, 17.6682, 17.6682) * CHOOSE(CONTROL!$C$21, $C$9, 100%, $E$9)</f>
        <v>17.668199999999999</v>
      </c>
      <c r="N605" s="10">
        <f>CHOOSE(CONTROL!$C$42, 17.6845, 17.6845) * CHOOSE(CONTROL!$C$21, $C$9, 100%, $E$9)</f>
        <v>17.6845</v>
      </c>
      <c r="O605" s="10">
        <f>CHOOSE(CONTROL!$C$42, 17.914, 17.914) * CHOOSE(CONTROL!$C$21, $C$9, 100%, $E$9)</f>
        <v>17.914000000000001</v>
      </c>
      <c r="P605" s="10">
        <f>CHOOSE(CONTROL!$C$42, 17.6962, 17.6962) * CHOOSE(CONTROL!$C$21, $C$9, 100%, $E$9)</f>
        <v>17.696200000000001</v>
      </c>
      <c r="Q605" s="10">
        <f>CHOOSE(CONTROL!$C$42, 18.5093, 18.5093) * CHOOSE(CONTROL!$C$21, $C$9, 100%, $E$9)</f>
        <v>18.5093</v>
      </c>
      <c r="R605" s="10">
        <f>CHOOSE(CONTROL!$C$42, 19.1426, 19.1426) * CHOOSE(CONTROL!$C$21, $C$9, 100%, $E$9)</f>
        <v>19.142600000000002</v>
      </c>
      <c r="S605" s="10">
        <f>CHOOSE(CONTROL!$C$42, 17.357, 17.357) * CHOOSE(CONTROL!$C$21, $C$9, 100%, $E$9)</f>
        <v>17.356999999999999</v>
      </c>
      <c r="T6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38">
        <f>(1000*CHOOSE(CONTROL!$C$42, 695, 695)*CHOOSE(CONTROL!$C$42, 0.5599, 0.5599)*CHOOSE(CONTROL!$C$42, 31, 31))/1000000</f>
        <v>12.063045499999998</v>
      </c>
      <c r="V605" s="38">
        <f>(1000*CHOOSE(CONTROL!$C$42, 500, 500)*CHOOSE(CONTROL!$C$42, 0.275, 0.275)*CHOOSE(CONTROL!$C$42, 31, 31))/1000000</f>
        <v>4.2625000000000002</v>
      </c>
      <c r="W605" s="38">
        <f>(1000*CHOOSE(CONTROL!$C$42, 0.1146, 0.1146)*CHOOSE(CONTROL!$C$42, 121.5, 121.5)*CHOOSE(CONTROL!$C$42, 31, 31))/1000000</f>
        <v>0.43164089999999994</v>
      </c>
      <c r="X605" s="38">
        <f>(31*0.1790888*245000/1000000)+(31*0.2374*100000/1000000)</f>
        <v>2.0961194359999999</v>
      </c>
      <c r="Y605" s="38">
        <f>(1000*600*CHOOSE(CONTROL!$C$42, 1.0585, 1.0585)*CHOOSE(CONTROL!$C$42, 31, 31))/1000000</f>
        <v>19.688099999999999</v>
      </c>
      <c r="Z605" s="38"/>
      <c r="AA605" s="10"/>
      <c r="AB605" s="39"/>
      <c r="AC605" s="33">
        <f>(B605*194.205+C605*267.466+D605*133.845+E605*53.484+F605*40+G605*185+H605*0+I605*100+J605*300)/(194.205+267.466+133.845+53.484+0+40+185+100+300)</f>
        <v>17.892567084693876</v>
      </c>
      <c r="AD605" s="27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17.784572661870502</v>
      </c>
    </row>
    <row r="606" spans="1:30" ht="15.75" x14ac:dyDescent="0.25">
      <c r="A606" s="13">
        <v>59717</v>
      </c>
      <c r="B606" s="10">
        <f>CHOOSE(CONTROL!$C$42, 18.3849, 18.3849) * CHOOSE(CONTROL!$C$21, $C$9, 100%, $E$9)</f>
        <v>18.384899999999998</v>
      </c>
      <c r="C606" s="10">
        <f>CHOOSE(CONTROL!$C$42, 18.3929, 18.3929) * CHOOSE(CONTROL!$C$21, $C$9, 100%, $E$9)</f>
        <v>18.392900000000001</v>
      </c>
      <c r="D606" s="10">
        <f>CHOOSE(CONTROL!$C$42, 18.5698, 18.5698) * CHOOSE(CONTROL!$C$21, $C$9, 100%, $E$9)</f>
        <v>18.569800000000001</v>
      </c>
      <c r="E606" s="10">
        <f>CHOOSE(CONTROL!$C$42, 18.601, 18.601) * CHOOSE(CONTROL!$C$21, $C$9, 100%, $E$9)</f>
        <v>18.600999999999999</v>
      </c>
      <c r="F606" s="10">
        <f>CHOOSE(CONTROL!$C$42, 18.3485, 18.3485)*CHOOSE(CONTROL!$C$21, $C$9, 100%, $E$9)</f>
        <v>18.348500000000001</v>
      </c>
      <c r="G606" s="10">
        <f>CHOOSE(CONTROL!$C$42, 18.365, 18.365)*CHOOSE(CONTROL!$C$21, $C$9, 100%, $E$9)</f>
        <v>18.364999999999998</v>
      </c>
      <c r="H606" s="10">
        <f>CHOOSE(CONTROL!$C$42, 18.5896, 18.5896) * CHOOSE(CONTROL!$C$21, $C$9, 100%, $E$9)</f>
        <v>18.589600000000001</v>
      </c>
      <c r="I606" s="10">
        <f>CHOOSE(CONTROL!$C$42, 18.3695, 18.3695)* CHOOSE(CONTROL!$C$21, $C$9, 100%, $E$9)</f>
        <v>18.369499999999999</v>
      </c>
      <c r="J606" s="10">
        <f>CHOOSE(CONTROL!$C$42, 18.3415, 18.3415)* CHOOSE(CONTROL!$C$21, $C$9, 100%, $E$9)</f>
        <v>18.3415</v>
      </c>
      <c r="K606" s="10">
        <f>CHOOSE(CONTROL!$C$42, 17.9824, 17.9824) * CHOOSE(CONTROL!$C$21, $C$9, 100%, $E$9)</f>
        <v>17.982399999999998</v>
      </c>
      <c r="L606" s="10">
        <f>CHOOSE(CONTROL!$C$42, 19.1766, 19.1766) * CHOOSE(CONTROL!$C$21, $C$9, 100%, $E$9)</f>
        <v>19.176600000000001</v>
      </c>
      <c r="M606" s="10">
        <f>CHOOSE(CONTROL!$C$42, 18.1702, 18.1702) * CHOOSE(CONTROL!$C$21, $C$9, 100%, $E$9)</f>
        <v>18.170200000000001</v>
      </c>
      <c r="N606" s="10">
        <f>CHOOSE(CONTROL!$C$42, 18.1866, 18.1866) * CHOOSE(CONTROL!$C$21, $C$9, 100%, $E$9)</f>
        <v>18.186599999999999</v>
      </c>
      <c r="O606" s="10">
        <f>CHOOSE(CONTROL!$C$42, 18.4158, 18.4158) * CHOOSE(CONTROL!$C$21, $C$9, 100%, $E$9)</f>
        <v>18.415800000000001</v>
      </c>
      <c r="P606" s="10">
        <f>CHOOSE(CONTROL!$C$42, 18.198, 18.198) * CHOOSE(CONTROL!$C$21, $C$9, 100%, $E$9)</f>
        <v>18.198</v>
      </c>
      <c r="Q606" s="10">
        <f>CHOOSE(CONTROL!$C$42, 19.0111, 19.0111) * CHOOSE(CONTROL!$C$21, $C$9, 100%, $E$9)</f>
        <v>19.011099999999999</v>
      </c>
      <c r="R606" s="10">
        <f>CHOOSE(CONTROL!$C$42, 19.6457, 19.6457) * CHOOSE(CONTROL!$C$21, $C$9, 100%, $E$9)</f>
        <v>19.645700000000001</v>
      </c>
      <c r="S606" s="10">
        <f>CHOOSE(CONTROL!$C$42, 17.8494, 17.8494) * CHOOSE(CONTROL!$C$21, $C$9, 100%, $E$9)</f>
        <v>17.849399999999999</v>
      </c>
      <c r="T6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38">
        <f>(1000*CHOOSE(CONTROL!$C$42, 695, 695)*CHOOSE(CONTROL!$C$42, 0.5599, 0.5599)*CHOOSE(CONTROL!$C$42, 30, 30))/1000000</f>
        <v>11.673914999999997</v>
      </c>
      <c r="V606" s="38">
        <f>(1000*CHOOSE(CONTROL!$C$42, 500, 500)*CHOOSE(CONTROL!$C$42, 0.275, 0.275)*CHOOSE(CONTROL!$C$42, 30, 30))/1000000</f>
        <v>4.125</v>
      </c>
      <c r="W606" s="38">
        <f>(1000*CHOOSE(CONTROL!$C$42, 0.1146, 0.1146)*CHOOSE(CONTROL!$C$42, 121.5, 121.5)*CHOOSE(CONTROL!$C$42, 30, 30))/1000000</f>
        <v>0.417717</v>
      </c>
      <c r="X606" s="38">
        <f>(30*0.1790888*245000/1000000)+(30*0.2374*100000/1000000)</f>
        <v>2.0285026799999999</v>
      </c>
      <c r="Y606" s="38">
        <f>(1000*600*CHOOSE(CONTROL!$C$42, 1.0585, 1.0585)*CHOOSE(CONTROL!$C$42, 30, 30))/1000000</f>
        <v>19.053000000000001</v>
      </c>
      <c r="Z606" s="38"/>
      <c r="AA606" s="10"/>
      <c r="AB606" s="39"/>
      <c r="AC606" s="33">
        <f>(B606*194.205+C606*267.466+D606*133.845+E606*53.484+F606*40+G606*185+H606*0+I606*100+J606*300)/(194.205+267.466+133.845+53.484+0+40+185+100+300)</f>
        <v>18.399615903375196</v>
      </c>
      <c r="AD606" s="27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18.286458992805755</v>
      </c>
    </row>
    <row r="607" spans="1:30" ht="15.75" x14ac:dyDescent="0.25">
      <c r="A607" s="13">
        <v>59748</v>
      </c>
      <c r="B607" s="10">
        <f>CHOOSE(CONTROL!$C$42, 18.0323, 18.0323) * CHOOSE(CONTROL!$C$21, $C$9, 100%, $E$9)</f>
        <v>18.032299999999999</v>
      </c>
      <c r="C607" s="10">
        <f>CHOOSE(CONTROL!$C$42, 18.0403, 18.0403) * CHOOSE(CONTROL!$C$21, $C$9, 100%, $E$9)</f>
        <v>18.040299999999998</v>
      </c>
      <c r="D607" s="10">
        <f>CHOOSE(CONTROL!$C$42, 18.2172, 18.2172) * CHOOSE(CONTROL!$C$21, $C$9, 100%, $E$9)</f>
        <v>18.217199999999998</v>
      </c>
      <c r="E607" s="10">
        <f>CHOOSE(CONTROL!$C$42, 18.2484, 18.2484) * CHOOSE(CONTROL!$C$21, $C$9, 100%, $E$9)</f>
        <v>18.2484</v>
      </c>
      <c r="F607" s="10">
        <f>CHOOSE(CONTROL!$C$42, 17.9961, 17.9961)*CHOOSE(CONTROL!$C$21, $C$9, 100%, $E$9)</f>
        <v>17.996099999999998</v>
      </c>
      <c r="G607" s="10">
        <f>CHOOSE(CONTROL!$C$42, 18.0127, 18.0127)*CHOOSE(CONTROL!$C$21, $C$9, 100%, $E$9)</f>
        <v>18.012699999999999</v>
      </c>
      <c r="H607" s="10">
        <f>CHOOSE(CONTROL!$C$42, 18.237, 18.237) * CHOOSE(CONTROL!$C$21, $C$9, 100%, $E$9)</f>
        <v>18.236999999999998</v>
      </c>
      <c r="I607" s="10">
        <f>CHOOSE(CONTROL!$C$42, 18.0169, 18.0169)* CHOOSE(CONTROL!$C$21, $C$9, 100%, $E$9)</f>
        <v>18.0169</v>
      </c>
      <c r="J607" s="10">
        <f>CHOOSE(CONTROL!$C$42, 17.9891, 17.9891)* CHOOSE(CONTROL!$C$21, $C$9, 100%, $E$9)</f>
        <v>17.989100000000001</v>
      </c>
      <c r="K607" s="10">
        <f>CHOOSE(CONTROL!$C$42, 17.6404, 17.6404) * CHOOSE(CONTROL!$C$21, $C$9, 100%, $E$9)</f>
        <v>17.6404</v>
      </c>
      <c r="L607" s="10">
        <f>CHOOSE(CONTROL!$C$42, 18.824, 18.824) * CHOOSE(CONTROL!$C$21, $C$9, 100%, $E$9)</f>
        <v>18.824000000000002</v>
      </c>
      <c r="M607" s="10">
        <f>CHOOSE(CONTROL!$C$42, 17.8214, 17.8214) * CHOOSE(CONTROL!$C$21, $C$9, 100%, $E$9)</f>
        <v>17.821400000000001</v>
      </c>
      <c r="N607" s="10">
        <f>CHOOSE(CONTROL!$C$42, 17.8378, 17.8378) * CHOOSE(CONTROL!$C$21, $C$9, 100%, $E$9)</f>
        <v>17.837800000000001</v>
      </c>
      <c r="O607" s="10">
        <f>CHOOSE(CONTROL!$C$42, 18.0668, 18.0668) * CHOOSE(CONTROL!$C$21, $C$9, 100%, $E$9)</f>
        <v>18.066800000000001</v>
      </c>
      <c r="P607" s="10">
        <f>CHOOSE(CONTROL!$C$42, 17.849, 17.849) * CHOOSE(CONTROL!$C$21, $C$9, 100%, $E$9)</f>
        <v>17.849</v>
      </c>
      <c r="Q607" s="10">
        <f>CHOOSE(CONTROL!$C$42, 18.6621, 18.6621) * CHOOSE(CONTROL!$C$21, $C$9, 100%, $E$9)</f>
        <v>18.662099999999999</v>
      </c>
      <c r="R607" s="10">
        <f>CHOOSE(CONTROL!$C$42, 19.2957, 19.2957) * CHOOSE(CONTROL!$C$21, $C$9, 100%, $E$9)</f>
        <v>19.2957</v>
      </c>
      <c r="S607" s="10">
        <f>CHOOSE(CONTROL!$C$42, 17.507, 17.507) * CHOOSE(CONTROL!$C$21, $C$9, 100%, $E$9)</f>
        <v>17.507000000000001</v>
      </c>
      <c r="T6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38">
        <f>(1000*CHOOSE(CONTROL!$C$42, 695, 695)*CHOOSE(CONTROL!$C$42, 0.5599, 0.5599)*CHOOSE(CONTROL!$C$42, 31, 31))/1000000</f>
        <v>12.063045499999998</v>
      </c>
      <c r="V607" s="38">
        <f>(1000*CHOOSE(CONTROL!$C$42, 500, 500)*CHOOSE(CONTROL!$C$42, 0.275, 0.275)*CHOOSE(CONTROL!$C$42, 31, 31))/1000000</f>
        <v>4.2625000000000002</v>
      </c>
      <c r="W607" s="38">
        <f>(1000*CHOOSE(CONTROL!$C$42, 0.1146, 0.1146)*CHOOSE(CONTROL!$C$42, 121.5, 121.5)*CHOOSE(CONTROL!$C$42, 31, 31))/1000000</f>
        <v>0.43164089999999994</v>
      </c>
      <c r="X607" s="38">
        <f>(31*0.1790888*245000/1000000)+(31*0.2374*100000/1000000)</f>
        <v>2.0961194359999999</v>
      </c>
      <c r="Y607" s="38">
        <f>(1000*600*CHOOSE(CONTROL!$C$42, 1.0585, 1.0585)*CHOOSE(CONTROL!$C$42, 31, 31))/1000000</f>
        <v>19.688099999999999</v>
      </c>
      <c r="Z607" s="38"/>
      <c r="AA607" s="10"/>
      <c r="AB607" s="39"/>
      <c r="AC607" s="33">
        <f>(B607*194.205+C607*267.466+D607*133.845+E607*53.484+F607*40+G607*185+H607*0+I607*100+J607*300)/(194.205+267.466+133.845+53.484+0+40+185+100+300)</f>
        <v>18.047112842150707</v>
      </c>
      <c r="AD607" s="27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17.937539568345326</v>
      </c>
    </row>
    <row r="608" spans="1:30" ht="15.75" x14ac:dyDescent="0.25">
      <c r="A608" s="13">
        <v>59779</v>
      </c>
      <c r="B608" s="10">
        <f>CHOOSE(CONTROL!$C$42, 17.1419, 17.1419) * CHOOSE(CONTROL!$C$21, $C$9, 100%, $E$9)</f>
        <v>17.1419</v>
      </c>
      <c r="C608" s="10">
        <f>CHOOSE(CONTROL!$C$42, 17.1498, 17.1498) * CHOOSE(CONTROL!$C$21, $C$9, 100%, $E$9)</f>
        <v>17.149799999999999</v>
      </c>
      <c r="D608" s="10">
        <f>CHOOSE(CONTROL!$C$42, 17.3268, 17.3268) * CHOOSE(CONTROL!$C$21, $C$9, 100%, $E$9)</f>
        <v>17.326799999999999</v>
      </c>
      <c r="E608" s="10">
        <f>CHOOSE(CONTROL!$C$42, 17.3579, 17.3579) * CHOOSE(CONTROL!$C$21, $C$9, 100%, $E$9)</f>
        <v>17.357900000000001</v>
      </c>
      <c r="F608" s="10">
        <f>CHOOSE(CONTROL!$C$42, 17.1057, 17.1057)*CHOOSE(CONTROL!$C$21, $C$9, 100%, $E$9)</f>
        <v>17.105699999999999</v>
      </c>
      <c r="G608" s="10">
        <f>CHOOSE(CONTROL!$C$42, 17.1224, 17.1224)*CHOOSE(CONTROL!$C$21, $C$9, 100%, $E$9)</f>
        <v>17.122399999999999</v>
      </c>
      <c r="H608" s="10">
        <f>CHOOSE(CONTROL!$C$42, 17.3466, 17.3466) * CHOOSE(CONTROL!$C$21, $C$9, 100%, $E$9)</f>
        <v>17.346599999999999</v>
      </c>
      <c r="I608" s="10">
        <f>CHOOSE(CONTROL!$C$42, 17.1265, 17.1265)* CHOOSE(CONTROL!$C$21, $C$9, 100%, $E$9)</f>
        <v>17.1265</v>
      </c>
      <c r="J608" s="10">
        <f>CHOOSE(CONTROL!$C$42, 17.0987, 17.0987)* CHOOSE(CONTROL!$C$21, $C$9, 100%, $E$9)</f>
        <v>17.098700000000001</v>
      </c>
      <c r="K608" s="10">
        <f>CHOOSE(CONTROL!$C$42, 16.7753, 16.7753) * CHOOSE(CONTROL!$C$21, $C$9, 100%, $E$9)</f>
        <v>16.775300000000001</v>
      </c>
      <c r="L608" s="10">
        <f>CHOOSE(CONTROL!$C$42, 17.9336, 17.9336) * CHOOSE(CONTROL!$C$21, $C$9, 100%, $E$9)</f>
        <v>17.933599999999998</v>
      </c>
      <c r="M608" s="10">
        <f>CHOOSE(CONTROL!$C$42, 16.94, 16.94) * CHOOSE(CONTROL!$C$21, $C$9, 100%, $E$9)</f>
        <v>16.940000000000001</v>
      </c>
      <c r="N608" s="10">
        <f>CHOOSE(CONTROL!$C$42, 16.9565, 16.9565) * CHOOSE(CONTROL!$C$21, $C$9, 100%, $E$9)</f>
        <v>16.956499999999998</v>
      </c>
      <c r="O608" s="10">
        <f>CHOOSE(CONTROL!$C$42, 17.1853, 17.1853) * CHOOSE(CONTROL!$C$21, $C$9, 100%, $E$9)</f>
        <v>17.185300000000002</v>
      </c>
      <c r="P608" s="10">
        <f>CHOOSE(CONTROL!$C$42, 16.9675, 16.9675) * CHOOSE(CONTROL!$C$21, $C$9, 100%, $E$9)</f>
        <v>16.967500000000001</v>
      </c>
      <c r="Q608" s="10">
        <f>CHOOSE(CONTROL!$C$42, 17.7806, 17.7806) * CHOOSE(CONTROL!$C$21, $C$9, 100%, $E$9)</f>
        <v>17.7806</v>
      </c>
      <c r="R608" s="10">
        <f>CHOOSE(CONTROL!$C$42, 18.4121, 18.4121) * CHOOSE(CONTROL!$C$21, $C$9, 100%, $E$9)</f>
        <v>18.412099999999999</v>
      </c>
      <c r="S608" s="10">
        <f>CHOOSE(CONTROL!$C$42, 16.6422, 16.6422) * CHOOSE(CONTROL!$C$21, $C$9, 100%, $E$9)</f>
        <v>16.642199999999999</v>
      </c>
      <c r="T6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38">
        <f>(1000*CHOOSE(CONTROL!$C$42, 695, 695)*CHOOSE(CONTROL!$C$42, 0.5599, 0.5599)*CHOOSE(CONTROL!$C$42, 31, 31))/1000000</f>
        <v>12.063045499999998</v>
      </c>
      <c r="V608" s="38">
        <f>(1000*CHOOSE(CONTROL!$C$42, 500, 500)*CHOOSE(CONTROL!$C$42, 0.275, 0.275)*CHOOSE(CONTROL!$C$42, 31, 31))/1000000</f>
        <v>4.2625000000000002</v>
      </c>
      <c r="W608" s="38">
        <f>(1000*CHOOSE(CONTROL!$C$42, 0.1146, 0.1146)*CHOOSE(CONTROL!$C$42, 121.5, 121.5)*CHOOSE(CONTROL!$C$42, 31, 31))/1000000</f>
        <v>0.43164089999999994</v>
      </c>
      <c r="X608" s="38">
        <f>(31*0.1790888*245000/1000000)+(31*0.2374*100000/1000000)</f>
        <v>2.0961194359999999</v>
      </c>
      <c r="Y608" s="38">
        <f>(1000*600*CHOOSE(CONTROL!$C$42, 1.0585, 1.0585)*CHOOSE(CONTROL!$C$42, 31, 31))/1000000</f>
        <v>19.688099999999999</v>
      </c>
      <c r="Z608" s="38"/>
      <c r="AA608" s="10"/>
      <c r="AB608" s="39"/>
      <c r="AC608" s="33">
        <f>(B608*194.205+C608*267.466+D608*133.845+E608*53.484+F608*40+G608*185+H608*0+I608*100+J608*300)/(194.205+267.466+133.845+53.484+0+40+185+100+300)</f>
        <v>17.156702171036109</v>
      </c>
      <c r="AD608" s="27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17.056085611510792</v>
      </c>
    </row>
    <row r="609" spans="1:30" ht="15.75" x14ac:dyDescent="0.25">
      <c r="A609" s="13">
        <v>59809</v>
      </c>
      <c r="B609" s="10">
        <f>CHOOSE(CONTROL!$C$42, 16.0539, 16.0539) * CHOOSE(CONTROL!$C$21, $C$9, 100%, $E$9)</f>
        <v>16.053899999999999</v>
      </c>
      <c r="C609" s="10">
        <f>CHOOSE(CONTROL!$C$42, 16.0619, 16.0619) * CHOOSE(CONTROL!$C$21, $C$9, 100%, $E$9)</f>
        <v>16.061900000000001</v>
      </c>
      <c r="D609" s="10">
        <f>CHOOSE(CONTROL!$C$42, 16.2389, 16.2389) * CHOOSE(CONTROL!$C$21, $C$9, 100%, $E$9)</f>
        <v>16.238900000000001</v>
      </c>
      <c r="E609" s="10">
        <f>CHOOSE(CONTROL!$C$42, 16.27, 16.27) * CHOOSE(CONTROL!$C$21, $C$9, 100%, $E$9)</f>
        <v>16.27</v>
      </c>
      <c r="F609" s="10">
        <f>CHOOSE(CONTROL!$C$42, 16.0175, 16.0175)*CHOOSE(CONTROL!$C$21, $C$9, 100%, $E$9)</f>
        <v>16.017499999999998</v>
      </c>
      <c r="G609" s="10">
        <f>CHOOSE(CONTROL!$C$42, 16.0341, 16.0341)*CHOOSE(CONTROL!$C$21, $C$9, 100%, $E$9)</f>
        <v>16.034099999999999</v>
      </c>
      <c r="H609" s="10">
        <f>CHOOSE(CONTROL!$C$42, 16.2586, 16.2586) * CHOOSE(CONTROL!$C$21, $C$9, 100%, $E$9)</f>
        <v>16.258600000000001</v>
      </c>
      <c r="I609" s="10">
        <f>CHOOSE(CONTROL!$C$42, 16.0385, 16.0385)* CHOOSE(CONTROL!$C$21, $C$9, 100%, $E$9)</f>
        <v>16.038499999999999</v>
      </c>
      <c r="J609" s="10">
        <f>CHOOSE(CONTROL!$C$42, 16.0105, 16.0105)* CHOOSE(CONTROL!$C$21, $C$9, 100%, $E$9)</f>
        <v>16.0105</v>
      </c>
      <c r="K609" s="10">
        <f>CHOOSE(CONTROL!$C$42, 15.7178, 15.7178) * CHOOSE(CONTROL!$C$21, $C$9, 100%, $E$9)</f>
        <v>15.7178</v>
      </c>
      <c r="L609" s="10">
        <f>CHOOSE(CONTROL!$C$42, 16.8456, 16.8456) * CHOOSE(CONTROL!$C$21, $C$9, 100%, $E$9)</f>
        <v>16.845600000000001</v>
      </c>
      <c r="M609" s="10">
        <f>CHOOSE(CONTROL!$C$42, 15.8628, 15.8628) * CHOOSE(CONTROL!$C$21, $C$9, 100%, $E$9)</f>
        <v>15.8628</v>
      </c>
      <c r="N609" s="10">
        <f>CHOOSE(CONTROL!$C$42, 15.8792, 15.8792) * CHOOSE(CONTROL!$C$21, $C$9, 100%, $E$9)</f>
        <v>15.879200000000001</v>
      </c>
      <c r="O609" s="10">
        <f>CHOOSE(CONTROL!$C$42, 16.1084, 16.1084) * CHOOSE(CONTROL!$C$21, $C$9, 100%, $E$9)</f>
        <v>16.1084</v>
      </c>
      <c r="P609" s="10">
        <f>CHOOSE(CONTROL!$C$42, 15.8905, 15.8905) * CHOOSE(CONTROL!$C$21, $C$9, 100%, $E$9)</f>
        <v>15.890499999999999</v>
      </c>
      <c r="Q609" s="10">
        <f>CHOOSE(CONTROL!$C$42, 16.7037, 16.7037) * CHOOSE(CONTROL!$C$21, $C$9, 100%, $E$9)</f>
        <v>16.703700000000001</v>
      </c>
      <c r="R609" s="10">
        <f>CHOOSE(CONTROL!$C$42, 17.3324, 17.3324) * CHOOSE(CONTROL!$C$21, $C$9, 100%, $E$9)</f>
        <v>17.3324</v>
      </c>
      <c r="S609" s="10">
        <f>CHOOSE(CONTROL!$C$42, 15.5857, 15.5857) * CHOOSE(CONTROL!$C$21, $C$9, 100%, $E$9)</f>
        <v>15.585699999999999</v>
      </c>
      <c r="T6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38">
        <f>(1000*CHOOSE(CONTROL!$C$42, 695, 695)*CHOOSE(CONTROL!$C$42, 0.5599, 0.5599)*CHOOSE(CONTROL!$C$42, 30, 30))/1000000</f>
        <v>11.673914999999997</v>
      </c>
      <c r="V609" s="38">
        <f>(1000*CHOOSE(CONTROL!$C$42, 500, 500)*CHOOSE(CONTROL!$C$42, 0.275, 0.275)*CHOOSE(CONTROL!$C$42, 30, 30))/1000000</f>
        <v>4.125</v>
      </c>
      <c r="W609" s="38">
        <f>(1000*CHOOSE(CONTROL!$C$42, 0.1146, 0.1146)*CHOOSE(CONTROL!$C$42, 121.5, 121.5)*CHOOSE(CONTROL!$C$42, 30, 30))/1000000</f>
        <v>0.417717</v>
      </c>
      <c r="X609" s="38">
        <f>(30*0.1790888*245000/1000000)+(30*0.2374*100000/1000000)</f>
        <v>2.0285026799999999</v>
      </c>
      <c r="Y609" s="38">
        <f>(1000*600*CHOOSE(CONTROL!$C$42, 1.0585, 1.0585)*CHOOSE(CONTROL!$C$42, 30, 30))/1000000</f>
        <v>19.053000000000001</v>
      </c>
      <c r="Z609" s="38"/>
      <c r="AA609" s="10"/>
      <c r="AB609" s="39"/>
      <c r="AC609" s="33">
        <f>(B609*194.205+C609*267.466+D609*133.845+E609*53.484+F609*40+G609*185+H609*0+I609*100+J609*300)/(194.205+267.466+133.845+53.484+0+40+185+100+300)</f>
        <v>16.06864093045526</v>
      </c>
      <c r="AD609" s="27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15.979044604316543</v>
      </c>
    </row>
    <row r="610" spans="1:30" ht="15.75" x14ac:dyDescent="0.25">
      <c r="A610" s="13">
        <v>59840</v>
      </c>
      <c r="B610" s="10">
        <f>CHOOSE(CONTROL!$C$42, 15.7259, 15.7259) * CHOOSE(CONTROL!$C$21, $C$9, 100%, $E$9)</f>
        <v>15.725899999999999</v>
      </c>
      <c r="C610" s="10">
        <f>CHOOSE(CONTROL!$C$42, 15.7312, 15.7312) * CHOOSE(CONTROL!$C$21, $C$9, 100%, $E$9)</f>
        <v>15.731199999999999</v>
      </c>
      <c r="D610" s="10">
        <f>CHOOSE(CONTROL!$C$42, 15.9131, 15.9131) * CHOOSE(CONTROL!$C$21, $C$9, 100%, $E$9)</f>
        <v>15.9131</v>
      </c>
      <c r="E610" s="10">
        <f>CHOOSE(CONTROL!$C$42, 15.9419, 15.9419) * CHOOSE(CONTROL!$C$21, $C$9, 100%, $E$9)</f>
        <v>15.9419</v>
      </c>
      <c r="F610" s="10">
        <f>CHOOSE(CONTROL!$C$42, 15.6916, 15.6916)*CHOOSE(CONTROL!$C$21, $C$9, 100%, $E$9)</f>
        <v>15.691599999999999</v>
      </c>
      <c r="G610" s="10">
        <f>CHOOSE(CONTROL!$C$42, 15.7078, 15.7078)*CHOOSE(CONTROL!$C$21, $C$9, 100%, $E$9)</f>
        <v>15.707800000000001</v>
      </c>
      <c r="H610" s="10">
        <f>CHOOSE(CONTROL!$C$42, 15.9324, 15.9324) * CHOOSE(CONTROL!$C$21, $C$9, 100%, $E$9)</f>
        <v>15.932399999999999</v>
      </c>
      <c r="I610" s="10">
        <f>CHOOSE(CONTROL!$C$42, 15.7123, 15.7123)* CHOOSE(CONTROL!$C$21, $C$9, 100%, $E$9)</f>
        <v>15.712300000000001</v>
      </c>
      <c r="J610" s="10">
        <f>CHOOSE(CONTROL!$C$42, 15.6846, 15.6846)* CHOOSE(CONTROL!$C$21, $C$9, 100%, $E$9)</f>
        <v>15.6846</v>
      </c>
      <c r="K610" s="10">
        <f>CHOOSE(CONTROL!$C$42, 15.4014, 15.4014) * CHOOSE(CONTROL!$C$21, $C$9, 100%, $E$9)</f>
        <v>15.401400000000001</v>
      </c>
      <c r="L610" s="10">
        <f>CHOOSE(CONTROL!$C$42, 16.5194, 16.5194) * CHOOSE(CONTROL!$C$21, $C$9, 100%, $E$9)</f>
        <v>16.519400000000001</v>
      </c>
      <c r="M610" s="10">
        <f>CHOOSE(CONTROL!$C$42, 15.5401, 15.5401) * CHOOSE(CONTROL!$C$21, $C$9, 100%, $E$9)</f>
        <v>15.540100000000001</v>
      </c>
      <c r="N610" s="10">
        <f>CHOOSE(CONTROL!$C$42, 15.5562, 15.5562) * CHOOSE(CONTROL!$C$21, $C$9, 100%, $E$9)</f>
        <v>15.5562</v>
      </c>
      <c r="O610" s="10">
        <f>CHOOSE(CONTROL!$C$42, 15.7854, 15.7854) * CHOOSE(CONTROL!$C$21, $C$9, 100%, $E$9)</f>
        <v>15.785399999999999</v>
      </c>
      <c r="P610" s="10">
        <f>CHOOSE(CONTROL!$C$42, 15.5676, 15.5676) * CHOOSE(CONTROL!$C$21, $C$9, 100%, $E$9)</f>
        <v>15.567600000000001</v>
      </c>
      <c r="Q610" s="10">
        <f>CHOOSE(CONTROL!$C$42, 16.3807, 16.3807) * CHOOSE(CONTROL!$C$21, $C$9, 100%, $E$9)</f>
        <v>16.380700000000001</v>
      </c>
      <c r="R610" s="10">
        <f>CHOOSE(CONTROL!$C$42, 17.0087, 17.0087) * CHOOSE(CONTROL!$C$21, $C$9, 100%, $E$9)</f>
        <v>17.008700000000001</v>
      </c>
      <c r="S610" s="10">
        <f>CHOOSE(CONTROL!$C$42, 15.2689, 15.2689) * CHOOSE(CONTROL!$C$21, $C$9, 100%, $E$9)</f>
        <v>15.2689</v>
      </c>
      <c r="T6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38">
        <f>(1000*CHOOSE(CONTROL!$C$42, 695, 695)*CHOOSE(CONTROL!$C$42, 0.5599, 0.5599)*CHOOSE(CONTROL!$C$42, 31, 31))/1000000</f>
        <v>12.063045499999998</v>
      </c>
      <c r="V610" s="38">
        <f>(1000*CHOOSE(CONTROL!$C$42, 500, 500)*CHOOSE(CONTROL!$C$42, 0.275, 0.275)*CHOOSE(CONTROL!$C$42, 31, 31))/1000000</f>
        <v>4.2625000000000002</v>
      </c>
      <c r="W610" s="38">
        <f>(1000*CHOOSE(CONTROL!$C$42, 0.1146, 0.1146)*CHOOSE(CONTROL!$C$42, 121.5, 121.5)*CHOOSE(CONTROL!$C$42, 31, 31))/1000000</f>
        <v>0.43164089999999994</v>
      </c>
      <c r="X610" s="38">
        <f>(31*0.1790888*245000/1000000)+(31*0.2374*100000/1000000)</f>
        <v>2.0961194359999999</v>
      </c>
      <c r="Y610" s="38">
        <f>(1000*600*CHOOSE(CONTROL!$C$42, 1.0585, 1.0585)*CHOOSE(CONTROL!$C$42, 31, 31))/1000000</f>
        <v>19.688099999999999</v>
      </c>
      <c r="Z610" s="38"/>
      <c r="AA610" s="10"/>
      <c r="AB610" s="39"/>
      <c r="AC610" s="33">
        <f>(B610*131.881+C610*277.167+D610*79.08+E610*125.872+F610*40+G610*185+H610*0+I610*100+J610*300)/(131.881+277.167+79.08+125.872+0+40+185+100+300)</f>
        <v>15.746069986359966</v>
      </c>
      <c r="AD610" s="27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15.656162589928059</v>
      </c>
    </row>
    <row r="611" spans="1:30" ht="15.75" x14ac:dyDescent="0.25">
      <c r="A611" s="13">
        <v>59870</v>
      </c>
      <c r="B611" s="10">
        <f>CHOOSE(CONTROL!$C$42, 16.1397, 16.1397) * CHOOSE(CONTROL!$C$21, $C$9, 100%, $E$9)</f>
        <v>16.139700000000001</v>
      </c>
      <c r="C611" s="10">
        <f>CHOOSE(CONTROL!$C$42, 16.1447, 16.1447) * CHOOSE(CONTROL!$C$21, $C$9, 100%, $E$9)</f>
        <v>16.1447</v>
      </c>
      <c r="D611" s="10">
        <f>CHOOSE(CONTROL!$C$42, 16.1692, 16.1692) * CHOOSE(CONTROL!$C$21, $C$9, 100%, $E$9)</f>
        <v>16.1692</v>
      </c>
      <c r="E611" s="10">
        <f>CHOOSE(CONTROL!$C$42, 16.2029, 16.2029) * CHOOSE(CONTROL!$C$21, $C$9, 100%, $E$9)</f>
        <v>16.2029</v>
      </c>
      <c r="F611" s="10">
        <f>CHOOSE(CONTROL!$C$42, 16.1091, 16.1091)*CHOOSE(CONTROL!$C$21, $C$9, 100%, $E$9)</f>
        <v>16.109100000000002</v>
      </c>
      <c r="G611" s="10">
        <f>CHOOSE(CONTROL!$C$42, 16.1255, 16.1255)*CHOOSE(CONTROL!$C$21, $C$9, 100%, $E$9)</f>
        <v>16.125499999999999</v>
      </c>
      <c r="H611" s="10">
        <f>CHOOSE(CONTROL!$C$42, 16.1921, 16.1921) * CHOOSE(CONTROL!$C$21, $C$9, 100%, $E$9)</f>
        <v>16.1921</v>
      </c>
      <c r="I611" s="10">
        <f>CHOOSE(CONTROL!$C$42, 16.1265, 16.1265)* CHOOSE(CONTROL!$C$21, $C$9, 100%, $E$9)</f>
        <v>16.1265</v>
      </c>
      <c r="J611" s="10">
        <f>CHOOSE(CONTROL!$C$42, 16.1021, 16.1021)* CHOOSE(CONTROL!$C$21, $C$9, 100%, $E$9)</f>
        <v>16.1021</v>
      </c>
      <c r="K611" s="10">
        <f>CHOOSE(CONTROL!$C$42, 15.8053, 15.8053) * CHOOSE(CONTROL!$C$21, $C$9, 100%, $E$9)</f>
        <v>15.805300000000001</v>
      </c>
      <c r="L611" s="10">
        <f>CHOOSE(CONTROL!$C$42, 16.7791, 16.7791) * CHOOSE(CONTROL!$C$21, $C$9, 100%, $E$9)</f>
        <v>16.7791</v>
      </c>
      <c r="M611" s="10">
        <f>CHOOSE(CONTROL!$C$42, 15.9534, 15.9534) * CHOOSE(CONTROL!$C$21, $C$9, 100%, $E$9)</f>
        <v>15.9534</v>
      </c>
      <c r="N611" s="10">
        <f>CHOOSE(CONTROL!$C$42, 15.9696, 15.9696) * CHOOSE(CONTROL!$C$21, $C$9, 100%, $E$9)</f>
        <v>15.9696</v>
      </c>
      <c r="O611" s="10">
        <f>CHOOSE(CONTROL!$C$42, 16.0425, 16.0425) * CHOOSE(CONTROL!$C$21, $C$9, 100%, $E$9)</f>
        <v>16.0425</v>
      </c>
      <c r="P611" s="10">
        <f>CHOOSE(CONTROL!$C$42, 15.9776, 15.9776) * CHOOSE(CONTROL!$C$21, $C$9, 100%, $E$9)</f>
        <v>15.977600000000001</v>
      </c>
      <c r="Q611" s="10">
        <f>CHOOSE(CONTROL!$C$42, 16.6378, 16.6378) * CHOOSE(CONTROL!$C$21, $C$9, 100%, $E$9)</f>
        <v>16.637799999999999</v>
      </c>
      <c r="R611" s="10">
        <f>CHOOSE(CONTROL!$C$42, 17.2664, 17.2664) * CHOOSE(CONTROL!$C$21, $C$9, 100%, $E$9)</f>
        <v>17.266400000000001</v>
      </c>
      <c r="S611" s="10">
        <f>CHOOSE(CONTROL!$C$42, 15.6712, 15.6712) * CHOOSE(CONTROL!$C$21, $C$9, 100%, $E$9)</f>
        <v>15.671200000000001</v>
      </c>
      <c r="T6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38">
        <f>(1000*CHOOSE(CONTROL!$C$42, 695, 695)*CHOOSE(CONTROL!$C$42, 0.5599, 0.5599)*CHOOSE(CONTROL!$C$42, 30, 30))/1000000</f>
        <v>11.673914999999997</v>
      </c>
      <c r="V611" s="38">
        <f>(1000*CHOOSE(CONTROL!$C$42, 500, 500)*CHOOSE(CONTROL!$C$42, 0.275, 0.275)*CHOOSE(CONTROL!$C$42, 30, 30))/1000000</f>
        <v>4.125</v>
      </c>
      <c r="W611" s="38">
        <f>(1000*CHOOSE(CONTROL!$C$42, 0.1146, 0.1146)*CHOOSE(CONTROL!$C$42, 121.5, 121.5)*CHOOSE(CONTROL!$C$42, 30, 30))/1000000</f>
        <v>0.417717</v>
      </c>
      <c r="X611" s="38">
        <f>(30*0.1790888*100000/1000000)+(30*0.2374*100000/1000000)</f>
        <v>1.2494664</v>
      </c>
      <c r="Y611" s="38">
        <f>(1000*600*CHOOSE(CONTROL!$C$42, 1.0585, 1.0585)*CHOOSE(CONTROL!$C$42, 30, 30))/1000000</f>
        <v>19.053000000000001</v>
      </c>
      <c r="Z611" s="38"/>
      <c r="AA611" s="10"/>
      <c r="AB611" s="39"/>
      <c r="AC611" s="33">
        <f>(B611*122.58+C611*297.941+D611*89.177+E611*40.302+F611*40+G611*160+H611*0+I611*100+J611*300)/(122.58+297.941+89.177+40.302+0+40+160+100+300)</f>
        <v>16.131501315565213</v>
      </c>
      <c r="AD611" s="27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15.998197841726618</v>
      </c>
    </row>
    <row r="612" spans="1:30" ht="15.75" x14ac:dyDescent="0.25">
      <c r="A612" s="13">
        <v>59901</v>
      </c>
      <c r="B612" s="10">
        <f>CHOOSE(CONTROL!$C$42, 17.2399, 17.2399) * CHOOSE(CONTROL!$C$21, $C$9, 100%, $E$9)</f>
        <v>17.239899999999999</v>
      </c>
      <c r="C612" s="10">
        <f>CHOOSE(CONTROL!$C$42, 17.2449, 17.2449) * CHOOSE(CONTROL!$C$21, $C$9, 100%, $E$9)</f>
        <v>17.244900000000001</v>
      </c>
      <c r="D612" s="10">
        <f>CHOOSE(CONTROL!$C$42, 17.2693, 17.2693) * CHOOSE(CONTROL!$C$21, $C$9, 100%, $E$9)</f>
        <v>17.269300000000001</v>
      </c>
      <c r="E612" s="10">
        <f>CHOOSE(CONTROL!$C$42, 17.3031, 17.3031) * CHOOSE(CONTROL!$C$21, $C$9, 100%, $E$9)</f>
        <v>17.303100000000001</v>
      </c>
      <c r="F612" s="10">
        <f>CHOOSE(CONTROL!$C$42, 17.2116, 17.2116)*CHOOSE(CONTROL!$C$21, $C$9, 100%, $E$9)</f>
        <v>17.211600000000001</v>
      </c>
      <c r="G612" s="10">
        <f>CHOOSE(CONTROL!$C$42, 17.2286, 17.2286)*CHOOSE(CONTROL!$C$21, $C$9, 100%, $E$9)</f>
        <v>17.2286</v>
      </c>
      <c r="H612" s="10">
        <f>CHOOSE(CONTROL!$C$42, 17.2923, 17.2923) * CHOOSE(CONTROL!$C$21, $C$9, 100%, $E$9)</f>
        <v>17.292300000000001</v>
      </c>
      <c r="I612" s="10">
        <f>CHOOSE(CONTROL!$C$42, 17.2267, 17.2267)* CHOOSE(CONTROL!$C$21, $C$9, 100%, $E$9)</f>
        <v>17.226700000000001</v>
      </c>
      <c r="J612" s="10">
        <f>CHOOSE(CONTROL!$C$42, 17.2046, 17.2046)* CHOOSE(CONTROL!$C$21, $C$9, 100%, $E$9)</f>
        <v>17.204599999999999</v>
      </c>
      <c r="K612" s="10">
        <f>CHOOSE(CONTROL!$C$42, 16.8793, 16.8793) * CHOOSE(CONTROL!$C$21, $C$9, 100%, $E$9)</f>
        <v>16.879300000000001</v>
      </c>
      <c r="L612" s="10">
        <f>CHOOSE(CONTROL!$C$42, 17.8793, 17.8793) * CHOOSE(CONTROL!$C$21, $C$9, 100%, $E$9)</f>
        <v>17.879300000000001</v>
      </c>
      <c r="M612" s="10">
        <f>CHOOSE(CONTROL!$C$42, 17.0448, 17.0448) * CHOOSE(CONTROL!$C$21, $C$9, 100%, $E$9)</f>
        <v>17.044799999999999</v>
      </c>
      <c r="N612" s="10">
        <f>CHOOSE(CONTROL!$C$42, 17.0616, 17.0616) * CHOOSE(CONTROL!$C$21, $C$9, 100%, $E$9)</f>
        <v>17.061599999999999</v>
      </c>
      <c r="O612" s="10">
        <f>CHOOSE(CONTROL!$C$42, 17.1316, 17.1316) * CHOOSE(CONTROL!$C$21, $C$9, 100%, $E$9)</f>
        <v>17.131599999999999</v>
      </c>
      <c r="P612" s="10">
        <f>CHOOSE(CONTROL!$C$42, 17.0667, 17.0667) * CHOOSE(CONTROL!$C$21, $C$9, 100%, $E$9)</f>
        <v>17.066700000000001</v>
      </c>
      <c r="Q612" s="10">
        <f>CHOOSE(CONTROL!$C$42, 17.7269, 17.7269) * CHOOSE(CONTROL!$C$21, $C$9, 100%, $E$9)</f>
        <v>17.726900000000001</v>
      </c>
      <c r="R612" s="10">
        <f>CHOOSE(CONTROL!$C$42, 18.3583, 18.3583) * CHOOSE(CONTROL!$C$21, $C$9, 100%, $E$9)</f>
        <v>18.3583</v>
      </c>
      <c r="S612" s="10">
        <f>CHOOSE(CONTROL!$C$42, 16.7396, 16.7396) * CHOOSE(CONTROL!$C$21, $C$9, 100%, $E$9)</f>
        <v>16.739599999999999</v>
      </c>
      <c r="T6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38">
        <f>(1000*CHOOSE(CONTROL!$C$42, 695, 695)*CHOOSE(CONTROL!$C$42, 0.5599, 0.5599)*CHOOSE(CONTROL!$C$42, 31, 31))/1000000</f>
        <v>12.063045499999998</v>
      </c>
      <c r="V612" s="38">
        <f>(1000*CHOOSE(CONTROL!$C$42, 500, 500)*CHOOSE(CONTROL!$C$42, 0.275, 0.275)*CHOOSE(CONTROL!$C$42, 31, 31))/1000000</f>
        <v>4.2625000000000002</v>
      </c>
      <c r="W612" s="38">
        <f>(1000*CHOOSE(CONTROL!$C$42, 0.1146, 0.1146)*CHOOSE(CONTROL!$C$42, 121.5, 121.5)*CHOOSE(CONTROL!$C$42, 31, 31))/1000000</f>
        <v>0.43164089999999994</v>
      </c>
      <c r="X612" s="38">
        <f>(31*0.1790888*100000/1000000)+(31*0.2374*100000/1000000)</f>
        <v>1.2911152800000001</v>
      </c>
      <c r="Y612" s="38">
        <f>(1000*600*CHOOSE(CONTROL!$C$42, 1.0585, 1.0585)*CHOOSE(CONTROL!$C$42, 31, 31))/1000000</f>
        <v>19.688099999999999</v>
      </c>
      <c r="Z612" s="38"/>
      <c r="AA612" s="10"/>
      <c r="AB612" s="39"/>
      <c r="AC612" s="33">
        <f>(B612*122.58+C612*297.941+D612*89.177+E612*40.302+F612*40+G612*160+H612*0+I612*100+J612*300)/(122.58+297.941+89.177+40.302+0+40+160+100+300)</f>
        <v>17.232777039304345</v>
      </c>
      <c r="AD612" s="27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17.088258992805752</v>
      </c>
    </row>
    <row r="613" spans="1:30" ht="15.75" x14ac:dyDescent="0.25">
      <c r="A613" s="13">
        <v>59932</v>
      </c>
      <c r="B613" s="10">
        <f>CHOOSE(CONTROL!$C$42, 18.4033, 18.4033) * CHOOSE(CONTROL!$C$21, $C$9, 100%, $E$9)</f>
        <v>18.403300000000002</v>
      </c>
      <c r="C613" s="10">
        <f>CHOOSE(CONTROL!$C$42, 18.4083, 18.4083) * CHOOSE(CONTROL!$C$21, $C$9, 100%, $E$9)</f>
        <v>18.408300000000001</v>
      </c>
      <c r="D613" s="10">
        <f>CHOOSE(CONTROL!$C$42, 18.4327, 18.4327) * CHOOSE(CONTROL!$C$21, $C$9, 100%, $E$9)</f>
        <v>18.432700000000001</v>
      </c>
      <c r="E613" s="10">
        <f>CHOOSE(CONTROL!$C$42, 18.4665, 18.4665) * CHOOSE(CONTROL!$C$21, $C$9, 100%, $E$9)</f>
        <v>18.4665</v>
      </c>
      <c r="F613" s="10">
        <f>CHOOSE(CONTROL!$C$42, 18.3863, 18.3863)*CHOOSE(CONTROL!$C$21, $C$9, 100%, $E$9)</f>
        <v>18.386299999999999</v>
      </c>
      <c r="G613" s="10">
        <f>CHOOSE(CONTROL!$C$42, 18.4049, 18.4049)*CHOOSE(CONTROL!$C$21, $C$9, 100%, $E$9)</f>
        <v>18.404900000000001</v>
      </c>
      <c r="H613" s="10">
        <f>CHOOSE(CONTROL!$C$42, 18.4557, 18.4557) * CHOOSE(CONTROL!$C$21, $C$9, 100%, $E$9)</f>
        <v>18.4557</v>
      </c>
      <c r="I613" s="10">
        <f>CHOOSE(CONTROL!$C$42, 18.3978, 18.3978)* CHOOSE(CONTROL!$C$21, $C$9, 100%, $E$9)</f>
        <v>18.3978</v>
      </c>
      <c r="J613" s="10">
        <f>CHOOSE(CONTROL!$C$42, 18.3793, 18.3793)* CHOOSE(CONTROL!$C$21, $C$9, 100%, $E$9)</f>
        <v>18.379300000000001</v>
      </c>
      <c r="K613" s="10">
        <f>CHOOSE(CONTROL!$C$42, 18.0306, 18.0306) * CHOOSE(CONTROL!$C$21, $C$9, 100%, $E$9)</f>
        <v>18.0306</v>
      </c>
      <c r="L613" s="10">
        <f>CHOOSE(CONTROL!$C$42, 19.0427, 19.0427) * CHOOSE(CONTROL!$C$21, $C$9, 100%, $E$9)</f>
        <v>19.0427</v>
      </c>
      <c r="M613" s="10">
        <f>CHOOSE(CONTROL!$C$42, 18.2076, 18.2076) * CHOOSE(CONTROL!$C$21, $C$9, 100%, $E$9)</f>
        <v>18.207599999999999</v>
      </c>
      <c r="N613" s="10">
        <f>CHOOSE(CONTROL!$C$42, 18.2261, 18.2261) * CHOOSE(CONTROL!$C$21, $C$9, 100%, $E$9)</f>
        <v>18.226099999999999</v>
      </c>
      <c r="O613" s="10">
        <f>CHOOSE(CONTROL!$C$42, 18.2833, 18.2833) * CHOOSE(CONTROL!$C$21, $C$9, 100%, $E$9)</f>
        <v>18.283300000000001</v>
      </c>
      <c r="P613" s="10">
        <f>CHOOSE(CONTROL!$C$42, 18.226, 18.226) * CHOOSE(CONTROL!$C$21, $C$9, 100%, $E$9)</f>
        <v>18.225999999999999</v>
      </c>
      <c r="Q613" s="10">
        <f>CHOOSE(CONTROL!$C$42, 18.8786, 18.8786) * CHOOSE(CONTROL!$C$21, $C$9, 100%, $E$9)</f>
        <v>18.878599999999999</v>
      </c>
      <c r="R613" s="10">
        <f>CHOOSE(CONTROL!$C$42, 19.5128, 19.5128) * CHOOSE(CONTROL!$C$21, $C$9, 100%, $E$9)</f>
        <v>19.512799999999999</v>
      </c>
      <c r="S613" s="10">
        <f>CHOOSE(CONTROL!$C$42, 17.8693, 17.8693) * CHOOSE(CONTROL!$C$21, $C$9, 100%, $E$9)</f>
        <v>17.869299999999999</v>
      </c>
      <c r="T6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38">
        <f>(1000*CHOOSE(CONTROL!$C$42, 695, 695)*CHOOSE(CONTROL!$C$42, 0.5599, 0.5599)*CHOOSE(CONTROL!$C$42, 31, 31))/1000000</f>
        <v>12.063045499999998</v>
      </c>
      <c r="V613" s="38">
        <f>(1000*CHOOSE(CONTROL!$C$42, 500, 500)*CHOOSE(CONTROL!$C$42, 0.275, 0.275)*CHOOSE(CONTROL!$C$42, 31, 31))/1000000</f>
        <v>4.2625000000000002</v>
      </c>
      <c r="W613" s="38">
        <f>(1000*CHOOSE(CONTROL!$C$42, 0.1146, 0.1146)*CHOOSE(CONTROL!$C$42, 121.5, 121.5)*CHOOSE(CONTROL!$C$42, 31, 31))/1000000</f>
        <v>0.43164089999999994</v>
      </c>
      <c r="X613" s="38">
        <f>(31*0.1790888*100000/1000000)+(31*0.2374*100000/1000000)</f>
        <v>1.2911152800000001</v>
      </c>
      <c r="Y613" s="38">
        <f>(1000*600*CHOOSE(CONTROL!$C$42, 1.0585, 1.0585)*CHOOSE(CONTROL!$C$42, 31, 31))/1000000</f>
        <v>19.688099999999999</v>
      </c>
      <c r="Z613" s="38"/>
      <c r="AA613" s="10"/>
      <c r="AB613" s="39"/>
      <c r="AC613" s="33">
        <f>(B613*122.58+C613*297.941+D613*89.177+E613*40.302+F613*40+G613*160+H613*0+I613*100+J613*300)/(122.58+297.941+89.177+40.302+0+40+160+100+300)</f>
        <v>18.40198225669565</v>
      </c>
      <c r="AD613" s="27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18.245622302158274</v>
      </c>
    </row>
    <row r="614" spans="1:30" ht="15.75" x14ac:dyDescent="0.25">
      <c r="A614" s="13">
        <v>59961</v>
      </c>
      <c r="B614" s="10">
        <f>CHOOSE(CONTROL!$C$42, 18.7309, 18.7309) * CHOOSE(CONTROL!$C$21, $C$9, 100%, $E$9)</f>
        <v>18.730899999999998</v>
      </c>
      <c r="C614" s="10">
        <f>CHOOSE(CONTROL!$C$42, 18.7358, 18.7358) * CHOOSE(CONTROL!$C$21, $C$9, 100%, $E$9)</f>
        <v>18.735800000000001</v>
      </c>
      <c r="D614" s="10">
        <f>CHOOSE(CONTROL!$C$42, 18.7603, 18.7603) * CHOOSE(CONTROL!$C$21, $C$9, 100%, $E$9)</f>
        <v>18.760300000000001</v>
      </c>
      <c r="E614" s="10">
        <f>CHOOSE(CONTROL!$C$42, 18.7941, 18.7941) * CHOOSE(CONTROL!$C$21, $C$9, 100%, $E$9)</f>
        <v>18.7941</v>
      </c>
      <c r="F614" s="10">
        <f>CHOOSE(CONTROL!$C$42, 18.7131, 18.7131)*CHOOSE(CONTROL!$C$21, $C$9, 100%, $E$9)</f>
        <v>18.713100000000001</v>
      </c>
      <c r="G614" s="10">
        <f>CHOOSE(CONTROL!$C$42, 18.7316, 18.7316)*CHOOSE(CONTROL!$C$21, $C$9, 100%, $E$9)</f>
        <v>18.7316</v>
      </c>
      <c r="H614" s="10">
        <f>CHOOSE(CONTROL!$C$42, 18.7833, 18.7833) * CHOOSE(CONTROL!$C$21, $C$9, 100%, $E$9)</f>
        <v>18.783300000000001</v>
      </c>
      <c r="I614" s="10">
        <f>CHOOSE(CONTROL!$C$42, 18.7254, 18.7254)* CHOOSE(CONTROL!$C$21, $C$9, 100%, $E$9)</f>
        <v>18.7254</v>
      </c>
      <c r="J614" s="10">
        <f>CHOOSE(CONTROL!$C$42, 18.7061, 18.7061)* CHOOSE(CONTROL!$C$21, $C$9, 100%, $E$9)</f>
        <v>18.706099999999999</v>
      </c>
      <c r="K614" s="10">
        <f>CHOOSE(CONTROL!$C$42, 18.3473, 18.3473) * CHOOSE(CONTROL!$C$21, $C$9, 100%, $E$9)</f>
        <v>18.347300000000001</v>
      </c>
      <c r="L614" s="10">
        <f>CHOOSE(CONTROL!$C$42, 19.3703, 19.3703) * CHOOSE(CONTROL!$C$21, $C$9, 100%, $E$9)</f>
        <v>19.3703</v>
      </c>
      <c r="M614" s="10">
        <f>CHOOSE(CONTROL!$C$42, 18.5312, 18.5312) * CHOOSE(CONTROL!$C$21, $C$9, 100%, $E$9)</f>
        <v>18.531199999999998</v>
      </c>
      <c r="N614" s="10">
        <f>CHOOSE(CONTROL!$C$42, 18.5495, 18.5495) * CHOOSE(CONTROL!$C$21, $C$9, 100%, $E$9)</f>
        <v>18.549499999999998</v>
      </c>
      <c r="O614" s="10">
        <f>CHOOSE(CONTROL!$C$42, 18.6075, 18.6075) * CHOOSE(CONTROL!$C$21, $C$9, 100%, $E$9)</f>
        <v>18.607500000000002</v>
      </c>
      <c r="P614" s="10">
        <f>CHOOSE(CONTROL!$C$42, 18.5503, 18.5503) * CHOOSE(CONTROL!$C$21, $C$9, 100%, $E$9)</f>
        <v>18.5503</v>
      </c>
      <c r="Q614" s="10">
        <f>CHOOSE(CONTROL!$C$42, 19.2028, 19.2028) * CHOOSE(CONTROL!$C$21, $C$9, 100%, $E$9)</f>
        <v>19.2028</v>
      </c>
      <c r="R614" s="10">
        <f>CHOOSE(CONTROL!$C$42, 19.8378, 19.8378) * CHOOSE(CONTROL!$C$21, $C$9, 100%, $E$9)</f>
        <v>19.837800000000001</v>
      </c>
      <c r="S614" s="10">
        <f>CHOOSE(CONTROL!$C$42, 18.1874, 18.1874) * CHOOSE(CONTROL!$C$21, $C$9, 100%, $E$9)</f>
        <v>18.1874</v>
      </c>
      <c r="T61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14" s="38">
        <f>(1000*CHOOSE(CONTROL!$C$42, 695, 695)*CHOOSE(CONTROL!$C$42, 0.5599, 0.5599)*CHOOSE(CONTROL!$C$42, 29, 29))/1000000</f>
        <v>11.284784499999999</v>
      </c>
      <c r="V614" s="38">
        <f>(1000*CHOOSE(CONTROL!$C$42, 500, 500)*CHOOSE(CONTROL!$C$42, 0.275, 0.275)*CHOOSE(CONTROL!$C$42, 29, 29))/1000000</f>
        <v>3.9874999999999998</v>
      </c>
      <c r="W614" s="38">
        <f>(1000*CHOOSE(CONTROL!$C$42, 0.1146, 0.1146)*CHOOSE(CONTROL!$C$42, 121.5, 121.5)*CHOOSE(CONTROL!$C$42, 29, 29))/1000000</f>
        <v>0.40379309999999996</v>
      </c>
      <c r="X614" s="38">
        <f>(29*0.1790888*100000/1000000)+(29*0.2374*100000/1000000)</f>
        <v>1.2078175199999999</v>
      </c>
      <c r="Y614" s="38">
        <f>(1000*600*CHOOSE(CONTROL!$C$42, 1.0585, 1.0585)*CHOOSE(CONTROL!$C$42, 29, 29))/1000000</f>
        <v>18.417899999999999</v>
      </c>
      <c r="Z614" s="38"/>
      <c r="AA614" s="10"/>
      <c r="AB614" s="39"/>
      <c r="AC614" s="33">
        <f>(B614*122.58+C614*297.941+D614*89.177+E614*40.302+F614*40+G614*160+H614*0+I614*100+J614*300)/(122.58+297.941+89.177+40.302+0+40+160+100+300)</f>
        <v>18.729194609652172</v>
      </c>
      <c r="AD614" s="27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18.56958345323741</v>
      </c>
    </row>
    <row r="615" spans="1:30" ht="15.75" x14ac:dyDescent="0.25">
      <c r="A615" s="13">
        <v>59992</v>
      </c>
      <c r="B615" s="10">
        <f>CHOOSE(CONTROL!$C$42, 18.1992, 18.1992) * CHOOSE(CONTROL!$C$21, $C$9, 100%, $E$9)</f>
        <v>18.199200000000001</v>
      </c>
      <c r="C615" s="10">
        <f>CHOOSE(CONTROL!$C$42, 18.2041, 18.2041) * CHOOSE(CONTROL!$C$21, $C$9, 100%, $E$9)</f>
        <v>18.2041</v>
      </c>
      <c r="D615" s="10">
        <f>CHOOSE(CONTROL!$C$42, 18.2286, 18.2286) * CHOOSE(CONTROL!$C$21, $C$9, 100%, $E$9)</f>
        <v>18.2286</v>
      </c>
      <c r="E615" s="10">
        <f>CHOOSE(CONTROL!$C$42, 18.2624, 18.2624) * CHOOSE(CONTROL!$C$21, $C$9, 100%, $E$9)</f>
        <v>18.2624</v>
      </c>
      <c r="F615" s="10">
        <f>CHOOSE(CONTROL!$C$42, 18.1799, 18.1799)*CHOOSE(CONTROL!$C$21, $C$9, 100%, $E$9)</f>
        <v>18.1799</v>
      </c>
      <c r="G615" s="10">
        <f>CHOOSE(CONTROL!$C$42, 18.198, 18.198)*CHOOSE(CONTROL!$C$21, $C$9, 100%, $E$9)</f>
        <v>18.198</v>
      </c>
      <c r="H615" s="10">
        <f>CHOOSE(CONTROL!$C$42, 18.2516, 18.2516) * CHOOSE(CONTROL!$C$21, $C$9, 100%, $E$9)</f>
        <v>18.2516</v>
      </c>
      <c r="I615" s="10">
        <f>CHOOSE(CONTROL!$C$42, 18.1937, 18.1937)* CHOOSE(CONTROL!$C$21, $C$9, 100%, $E$9)</f>
        <v>18.1937</v>
      </c>
      <c r="J615" s="10">
        <f>CHOOSE(CONTROL!$C$42, 18.1729, 18.1729)* CHOOSE(CONTROL!$C$21, $C$9, 100%, $E$9)</f>
        <v>18.172899999999998</v>
      </c>
      <c r="K615" s="10">
        <f>CHOOSE(CONTROL!$C$42, 17.8274, 17.8274) * CHOOSE(CONTROL!$C$21, $C$9, 100%, $E$9)</f>
        <v>17.827400000000001</v>
      </c>
      <c r="L615" s="10">
        <f>CHOOSE(CONTROL!$C$42, 18.8386, 18.8386) * CHOOSE(CONTROL!$C$21, $C$9, 100%, $E$9)</f>
        <v>18.8386</v>
      </c>
      <c r="M615" s="10">
        <f>CHOOSE(CONTROL!$C$42, 18.0033, 18.0033) * CHOOSE(CONTROL!$C$21, $C$9, 100%, $E$9)</f>
        <v>18.003299999999999</v>
      </c>
      <c r="N615" s="10">
        <f>CHOOSE(CONTROL!$C$42, 18.0212, 18.0212) * CHOOSE(CONTROL!$C$21, $C$9, 100%, $E$9)</f>
        <v>18.0212</v>
      </c>
      <c r="O615" s="10">
        <f>CHOOSE(CONTROL!$C$42, 18.0812, 18.0812) * CHOOSE(CONTROL!$C$21, $C$9, 100%, $E$9)</f>
        <v>18.081199999999999</v>
      </c>
      <c r="P615" s="10">
        <f>CHOOSE(CONTROL!$C$42, 18.0239, 18.0239) * CHOOSE(CONTROL!$C$21, $C$9, 100%, $E$9)</f>
        <v>18.023900000000001</v>
      </c>
      <c r="Q615" s="10">
        <f>CHOOSE(CONTROL!$C$42, 18.6765, 18.6765) * CHOOSE(CONTROL!$C$21, $C$9, 100%, $E$9)</f>
        <v>18.676500000000001</v>
      </c>
      <c r="R615" s="10">
        <f>CHOOSE(CONTROL!$C$42, 19.3102, 19.3102) * CHOOSE(CONTROL!$C$21, $C$9, 100%, $E$9)</f>
        <v>19.310199999999998</v>
      </c>
      <c r="S615" s="10">
        <f>CHOOSE(CONTROL!$C$42, 17.6711, 17.6711) * CHOOSE(CONTROL!$C$21, $C$9, 100%, $E$9)</f>
        <v>17.671099999999999</v>
      </c>
      <c r="T6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38">
        <f>(1000*CHOOSE(CONTROL!$C$42, 695, 695)*CHOOSE(CONTROL!$C$42, 0.5599, 0.5599)*CHOOSE(CONTROL!$C$42, 31, 31))/1000000</f>
        <v>12.063045499999998</v>
      </c>
      <c r="V615" s="38">
        <f>(1000*CHOOSE(CONTROL!$C$42, 500, 500)*CHOOSE(CONTROL!$C$42, 0.275, 0.275)*CHOOSE(CONTROL!$C$42, 31, 31))/1000000</f>
        <v>4.2625000000000002</v>
      </c>
      <c r="W615" s="38">
        <f>(1000*CHOOSE(CONTROL!$C$42, 0.1146, 0.1146)*CHOOSE(CONTROL!$C$42, 121.5, 121.5)*CHOOSE(CONTROL!$C$42, 31, 31))/1000000</f>
        <v>0.43164089999999994</v>
      </c>
      <c r="X615" s="38">
        <f>(31*0.1790888*100000/1000000)+(31*0.2374*100000/1000000)</f>
        <v>1.2911152800000001</v>
      </c>
      <c r="Y615" s="38">
        <f>(1000*600*CHOOSE(CONTROL!$C$42, 1.0585, 1.0585)*CHOOSE(CONTROL!$C$42, 31, 31))/1000000</f>
        <v>19.688099999999999</v>
      </c>
      <c r="Z615" s="38"/>
      <c r="AA615" s="10"/>
      <c r="AB615" s="39"/>
      <c r="AC615" s="33">
        <f>(B615*122.58+C615*297.941+D615*89.177+E615*40.302+F615*40+G615*160+H615*0+I615*100+J615*300)/(122.58+297.941+89.177+40.302+0+40+160+100+300)</f>
        <v>18.196786783565216</v>
      </c>
      <c r="AD615" s="27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18.042601438848919</v>
      </c>
    </row>
    <row r="616" spans="1:30" ht="15.75" x14ac:dyDescent="0.25">
      <c r="A616" s="13">
        <v>60022</v>
      </c>
      <c r="B616" s="10">
        <f>CHOOSE(CONTROL!$C$42, 18.1455, 18.1455) * CHOOSE(CONTROL!$C$21, $C$9, 100%, $E$9)</f>
        <v>18.145499999999998</v>
      </c>
      <c r="C616" s="10">
        <f>CHOOSE(CONTROL!$C$42, 18.1499, 18.1499) * CHOOSE(CONTROL!$C$21, $C$9, 100%, $E$9)</f>
        <v>18.149899999999999</v>
      </c>
      <c r="D616" s="10">
        <f>CHOOSE(CONTROL!$C$42, 18.33, 18.33) * CHOOSE(CONTROL!$C$21, $C$9, 100%, $E$9)</f>
        <v>18.329999999999998</v>
      </c>
      <c r="E616" s="10">
        <f>CHOOSE(CONTROL!$C$42, 18.3618, 18.3618) * CHOOSE(CONTROL!$C$21, $C$9, 100%, $E$9)</f>
        <v>18.361799999999999</v>
      </c>
      <c r="F616" s="10">
        <f>CHOOSE(CONTROL!$C$42, 18.1108, 18.1108)*CHOOSE(CONTROL!$C$21, $C$9, 100%, $E$9)</f>
        <v>18.110800000000001</v>
      </c>
      <c r="G616" s="10">
        <f>CHOOSE(CONTROL!$C$42, 18.1271, 18.1271)*CHOOSE(CONTROL!$C$21, $C$9, 100%, $E$9)</f>
        <v>18.127099999999999</v>
      </c>
      <c r="H616" s="10">
        <f>CHOOSE(CONTROL!$C$42, 18.3516, 18.3516) * CHOOSE(CONTROL!$C$21, $C$9, 100%, $E$9)</f>
        <v>18.351600000000001</v>
      </c>
      <c r="I616" s="10">
        <f>CHOOSE(CONTROL!$C$42, 18.1315, 18.1315)* CHOOSE(CONTROL!$C$21, $C$9, 100%, $E$9)</f>
        <v>18.131499999999999</v>
      </c>
      <c r="J616" s="10">
        <f>CHOOSE(CONTROL!$C$42, 18.1038, 18.1038)* CHOOSE(CONTROL!$C$21, $C$9, 100%, $E$9)</f>
        <v>18.1038</v>
      </c>
      <c r="K616" s="10">
        <f>CHOOSE(CONTROL!$C$42, 17.752, 17.752) * CHOOSE(CONTROL!$C$21, $C$9, 100%, $E$9)</f>
        <v>17.751999999999999</v>
      </c>
      <c r="L616" s="10">
        <f>CHOOSE(CONTROL!$C$42, 18.9386, 18.9386) * CHOOSE(CONTROL!$C$21, $C$9, 100%, $E$9)</f>
        <v>18.938600000000001</v>
      </c>
      <c r="M616" s="10">
        <f>CHOOSE(CONTROL!$C$42, 17.9349, 17.9349) * CHOOSE(CONTROL!$C$21, $C$9, 100%, $E$9)</f>
        <v>17.934899999999999</v>
      </c>
      <c r="N616" s="10">
        <f>CHOOSE(CONTROL!$C$42, 17.951, 17.951) * CHOOSE(CONTROL!$C$21, $C$9, 100%, $E$9)</f>
        <v>17.951000000000001</v>
      </c>
      <c r="O616" s="10">
        <f>CHOOSE(CONTROL!$C$42, 18.1802, 18.1802) * CHOOSE(CONTROL!$C$21, $C$9, 100%, $E$9)</f>
        <v>18.180199999999999</v>
      </c>
      <c r="P616" s="10">
        <f>CHOOSE(CONTROL!$C$42, 17.9624, 17.9624) * CHOOSE(CONTROL!$C$21, $C$9, 100%, $E$9)</f>
        <v>17.962399999999999</v>
      </c>
      <c r="Q616" s="10">
        <f>CHOOSE(CONTROL!$C$42, 18.7755, 18.7755) * CHOOSE(CONTROL!$C$21, $C$9, 100%, $E$9)</f>
        <v>18.775500000000001</v>
      </c>
      <c r="R616" s="10">
        <f>CHOOSE(CONTROL!$C$42, 19.4094, 19.4094) * CHOOSE(CONTROL!$C$21, $C$9, 100%, $E$9)</f>
        <v>19.409400000000002</v>
      </c>
      <c r="S616" s="10">
        <f>CHOOSE(CONTROL!$C$42, 17.6182, 17.6182) * CHOOSE(CONTROL!$C$21, $C$9, 100%, $E$9)</f>
        <v>17.618200000000002</v>
      </c>
      <c r="T6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38">
        <f>(1000*CHOOSE(CONTROL!$C$42, 695, 695)*CHOOSE(CONTROL!$C$42, 0.5599, 0.5599)*CHOOSE(CONTROL!$C$42, 30, 30))/1000000</f>
        <v>11.673914999999997</v>
      </c>
      <c r="V616" s="38">
        <f>(1000*CHOOSE(CONTROL!$C$42, 500, 500)*CHOOSE(CONTROL!$C$42, 0.275, 0.275)*CHOOSE(CONTROL!$C$42, 30, 30))/1000000</f>
        <v>4.125</v>
      </c>
      <c r="W616" s="38">
        <f>(1000*CHOOSE(CONTROL!$C$42, 0.1146, 0.1146)*CHOOSE(CONTROL!$C$42, 121.5, 121.5)*CHOOSE(CONTROL!$C$42, 30, 30))/1000000</f>
        <v>0.417717</v>
      </c>
      <c r="X616" s="38">
        <f>(30*0.1790888*245000/1000000)+(30*0.2374*100000/1000000)</f>
        <v>2.0285026799999999</v>
      </c>
      <c r="Y616" s="38">
        <f>(1000*600*CHOOSE(CONTROL!$C$42, 1.0585, 1.0585)*CHOOSE(CONTROL!$C$42, 30, 30))/1000000</f>
        <v>19.053000000000001</v>
      </c>
      <c r="Z616" s="38"/>
      <c r="AA616" s="10"/>
      <c r="AB616" s="39"/>
      <c r="AC616" s="33">
        <f>(B616*141.293+C616*267.993+D616*115.016+E616*89.698+F616*40+G616*185+H616*0+I616*100+J616*300)/(141.293+267.993+115.016+89.698+0+40+185+100+300)</f>
        <v>18.164143501694912</v>
      </c>
      <c r="AD616" s="27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18.050962589928059</v>
      </c>
    </row>
    <row r="617" spans="1:30" ht="15.75" x14ac:dyDescent="0.25">
      <c r="A617" s="13">
        <v>60053</v>
      </c>
      <c r="B617" s="10">
        <f>CHOOSE(CONTROL!$C$42, 18.3074, 18.3074) * CHOOSE(CONTROL!$C$21, $C$9, 100%, $E$9)</f>
        <v>18.307400000000001</v>
      </c>
      <c r="C617" s="10">
        <f>CHOOSE(CONTROL!$C$42, 18.3153, 18.3153) * CHOOSE(CONTROL!$C$21, $C$9, 100%, $E$9)</f>
        <v>18.315300000000001</v>
      </c>
      <c r="D617" s="10">
        <f>CHOOSE(CONTROL!$C$42, 18.4923, 18.4923) * CHOOSE(CONTROL!$C$21, $C$9, 100%, $E$9)</f>
        <v>18.4923</v>
      </c>
      <c r="E617" s="10">
        <f>CHOOSE(CONTROL!$C$42, 18.5234, 18.5234) * CHOOSE(CONTROL!$C$21, $C$9, 100%, $E$9)</f>
        <v>18.523399999999999</v>
      </c>
      <c r="F617" s="10">
        <f>CHOOSE(CONTROL!$C$42, 18.2707, 18.2707)*CHOOSE(CONTROL!$C$21, $C$9, 100%, $E$9)</f>
        <v>18.270700000000001</v>
      </c>
      <c r="G617" s="10">
        <f>CHOOSE(CONTROL!$C$42, 18.2872, 18.2872)*CHOOSE(CONTROL!$C$21, $C$9, 100%, $E$9)</f>
        <v>18.287199999999999</v>
      </c>
      <c r="H617" s="10">
        <f>CHOOSE(CONTROL!$C$42, 18.5121, 18.5121) * CHOOSE(CONTROL!$C$21, $C$9, 100%, $E$9)</f>
        <v>18.5121</v>
      </c>
      <c r="I617" s="10">
        <f>CHOOSE(CONTROL!$C$42, 18.292, 18.292)* CHOOSE(CONTROL!$C$21, $C$9, 100%, $E$9)</f>
        <v>18.292000000000002</v>
      </c>
      <c r="J617" s="10">
        <f>CHOOSE(CONTROL!$C$42, 18.2637, 18.2637)* CHOOSE(CONTROL!$C$21, $C$9, 100%, $E$9)</f>
        <v>18.2637</v>
      </c>
      <c r="K617" s="10">
        <f>CHOOSE(CONTROL!$C$42, 17.9067, 17.9067) * CHOOSE(CONTROL!$C$21, $C$9, 100%, $E$9)</f>
        <v>17.906700000000001</v>
      </c>
      <c r="L617" s="10">
        <f>CHOOSE(CONTROL!$C$42, 19.0991, 19.0991) * CHOOSE(CONTROL!$C$21, $C$9, 100%, $E$9)</f>
        <v>19.0991</v>
      </c>
      <c r="M617" s="10">
        <f>CHOOSE(CONTROL!$C$42, 18.0933, 18.0933) * CHOOSE(CONTROL!$C$21, $C$9, 100%, $E$9)</f>
        <v>18.093299999999999</v>
      </c>
      <c r="N617" s="10">
        <f>CHOOSE(CONTROL!$C$42, 18.1096, 18.1096) * CHOOSE(CONTROL!$C$21, $C$9, 100%, $E$9)</f>
        <v>18.1096</v>
      </c>
      <c r="O617" s="10">
        <f>CHOOSE(CONTROL!$C$42, 18.3391, 18.3391) * CHOOSE(CONTROL!$C$21, $C$9, 100%, $E$9)</f>
        <v>18.339099999999998</v>
      </c>
      <c r="P617" s="10">
        <f>CHOOSE(CONTROL!$C$42, 18.1213, 18.1213) * CHOOSE(CONTROL!$C$21, $C$9, 100%, $E$9)</f>
        <v>18.121300000000002</v>
      </c>
      <c r="Q617" s="10">
        <f>CHOOSE(CONTROL!$C$42, 18.9344, 18.9344) * CHOOSE(CONTROL!$C$21, $C$9, 100%, $E$9)</f>
        <v>18.9344</v>
      </c>
      <c r="R617" s="10">
        <f>CHOOSE(CONTROL!$C$42, 19.5687, 19.5687) * CHOOSE(CONTROL!$C$21, $C$9, 100%, $E$9)</f>
        <v>19.5687</v>
      </c>
      <c r="S617" s="10">
        <f>CHOOSE(CONTROL!$C$42, 17.7741, 17.7741) * CHOOSE(CONTROL!$C$21, $C$9, 100%, $E$9)</f>
        <v>17.774100000000001</v>
      </c>
      <c r="T6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38">
        <f>(1000*CHOOSE(CONTROL!$C$42, 695, 695)*CHOOSE(CONTROL!$C$42, 0.5599, 0.5599)*CHOOSE(CONTROL!$C$42, 31, 31))/1000000</f>
        <v>12.063045499999998</v>
      </c>
      <c r="V617" s="38">
        <f>(1000*CHOOSE(CONTROL!$C$42, 500, 500)*CHOOSE(CONTROL!$C$42, 0.275, 0.275)*CHOOSE(CONTROL!$C$42, 31, 31))/1000000</f>
        <v>4.2625000000000002</v>
      </c>
      <c r="W617" s="38">
        <f>(1000*CHOOSE(CONTROL!$C$42, 0.1146, 0.1146)*CHOOSE(CONTROL!$C$42, 121.5, 121.5)*CHOOSE(CONTROL!$C$42, 31, 31))/1000000</f>
        <v>0.43164089999999994</v>
      </c>
      <c r="X617" s="38">
        <f>(31*0.1790888*245000/1000000)+(31*0.2374*100000/1000000)</f>
        <v>2.0961194359999999</v>
      </c>
      <c r="Y617" s="38">
        <f>(1000*600*CHOOSE(CONTROL!$C$42, 1.0585, 1.0585)*CHOOSE(CONTROL!$C$42, 31, 31))/1000000</f>
        <v>19.688099999999999</v>
      </c>
      <c r="Z617" s="38"/>
      <c r="AA617" s="10"/>
      <c r="AB617" s="39"/>
      <c r="AC617" s="33">
        <f>(B617*194.205+C617*267.466+D617*133.845+E617*53.484+F617*40+G617*185+H617*0+I617*100+J617*300)/(194.205+267.466+133.845+53.484+0+40+185+100+300)</f>
        <v>18.321967084693878</v>
      </c>
      <c r="AD617" s="27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18.209672661870503</v>
      </c>
    </row>
    <row r="618" spans="1:30" ht="15.75" x14ac:dyDescent="0.25">
      <c r="A618" s="13">
        <v>60083</v>
      </c>
      <c r="B618" s="10">
        <f>CHOOSE(CONTROL!$C$42, 18.8265, 18.8265) * CHOOSE(CONTROL!$C$21, $C$9, 100%, $E$9)</f>
        <v>18.826499999999999</v>
      </c>
      <c r="C618" s="10">
        <f>CHOOSE(CONTROL!$C$42, 18.8345, 18.8345) * CHOOSE(CONTROL!$C$21, $C$9, 100%, $E$9)</f>
        <v>18.834499999999998</v>
      </c>
      <c r="D618" s="10">
        <f>CHOOSE(CONTROL!$C$42, 19.0115, 19.0115) * CHOOSE(CONTROL!$C$21, $C$9, 100%, $E$9)</f>
        <v>19.011500000000002</v>
      </c>
      <c r="E618" s="10">
        <f>CHOOSE(CONTROL!$C$42, 19.0426, 19.0426) * CHOOSE(CONTROL!$C$21, $C$9, 100%, $E$9)</f>
        <v>19.0426</v>
      </c>
      <c r="F618" s="10">
        <f>CHOOSE(CONTROL!$C$42, 18.7901, 18.7901)*CHOOSE(CONTROL!$C$21, $C$9, 100%, $E$9)</f>
        <v>18.790099999999999</v>
      </c>
      <c r="G618" s="10">
        <f>CHOOSE(CONTROL!$C$42, 18.8066, 18.8066)*CHOOSE(CONTROL!$C$21, $C$9, 100%, $E$9)</f>
        <v>18.8066</v>
      </c>
      <c r="H618" s="10">
        <f>CHOOSE(CONTROL!$C$42, 19.0312, 19.0312) * CHOOSE(CONTROL!$C$21, $C$9, 100%, $E$9)</f>
        <v>19.031199999999998</v>
      </c>
      <c r="I618" s="10">
        <f>CHOOSE(CONTROL!$C$42, 18.8111, 18.8111)* CHOOSE(CONTROL!$C$21, $C$9, 100%, $E$9)</f>
        <v>18.8111</v>
      </c>
      <c r="J618" s="10">
        <f>CHOOSE(CONTROL!$C$42, 18.7831, 18.7831)* CHOOSE(CONTROL!$C$21, $C$9, 100%, $E$9)</f>
        <v>18.783100000000001</v>
      </c>
      <c r="K618" s="10">
        <f>CHOOSE(CONTROL!$C$42, 18.4115, 18.4115) * CHOOSE(CONTROL!$C$21, $C$9, 100%, $E$9)</f>
        <v>18.4115</v>
      </c>
      <c r="L618" s="10">
        <f>CHOOSE(CONTROL!$C$42, 19.6182, 19.6182) * CHOOSE(CONTROL!$C$21, $C$9, 100%, $E$9)</f>
        <v>19.618200000000002</v>
      </c>
      <c r="M618" s="10">
        <f>CHOOSE(CONTROL!$C$42, 18.6074, 18.6074) * CHOOSE(CONTROL!$C$21, $C$9, 100%, $E$9)</f>
        <v>18.607399999999998</v>
      </c>
      <c r="N618" s="10">
        <f>CHOOSE(CONTROL!$C$42, 18.6237, 18.6237) * CHOOSE(CONTROL!$C$21, $C$9, 100%, $E$9)</f>
        <v>18.623699999999999</v>
      </c>
      <c r="O618" s="10">
        <f>CHOOSE(CONTROL!$C$42, 18.853, 18.853) * CHOOSE(CONTROL!$C$21, $C$9, 100%, $E$9)</f>
        <v>18.853000000000002</v>
      </c>
      <c r="P618" s="10">
        <f>CHOOSE(CONTROL!$C$42, 18.6352, 18.6352) * CHOOSE(CONTROL!$C$21, $C$9, 100%, $E$9)</f>
        <v>18.635200000000001</v>
      </c>
      <c r="Q618" s="10">
        <f>CHOOSE(CONTROL!$C$42, 19.4483, 19.4483) * CHOOSE(CONTROL!$C$21, $C$9, 100%, $E$9)</f>
        <v>19.4483</v>
      </c>
      <c r="R618" s="10">
        <f>CHOOSE(CONTROL!$C$42, 20.0839, 20.0839) * CHOOSE(CONTROL!$C$21, $C$9, 100%, $E$9)</f>
        <v>20.0839</v>
      </c>
      <c r="S618" s="10">
        <f>CHOOSE(CONTROL!$C$42, 18.2782, 18.2782) * CHOOSE(CONTROL!$C$21, $C$9, 100%, $E$9)</f>
        <v>18.278199999999998</v>
      </c>
      <c r="T6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38">
        <f>(1000*CHOOSE(CONTROL!$C$42, 695, 695)*CHOOSE(CONTROL!$C$42, 0.5599, 0.5599)*CHOOSE(CONTROL!$C$42, 30, 30))/1000000</f>
        <v>11.673914999999997</v>
      </c>
      <c r="V618" s="38">
        <f>(1000*CHOOSE(CONTROL!$C$42, 500, 500)*CHOOSE(CONTROL!$C$42, 0.275, 0.275)*CHOOSE(CONTROL!$C$42, 30, 30))/1000000</f>
        <v>4.125</v>
      </c>
      <c r="W618" s="38">
        <f>(1000*CHOOSE(CONTROL!$C$42, 0.1146, 0.1146)*CHOOSE(CONTROL!$C$42, 121.5, 121.5)*CHOOSE(CONTROL!$C$42, 30, 30))/1000000</f>
        <v>0.417717</v>
      </c>
      <c r="X618" s="38">
        <f>(30*0.1790888*245000/1000000)+(30*0.2374*100000/1000000)</f>
        <v>2.0285026799999999</v>
      </c>
      <c r="Y618" s="38">
        <f>(1000*600*CHOOSE(CONTROL!$C$42, 1.0585, 1.0585)*CHOOSE(CONTROL!$C$42, 30, 30))/1000000</f>
        <v>19.053000000000001</v>
      </c>
      <c r="Z618" s="38"/>
      <c r="AA618" s="10"/>
      <c r="AB618" s="39"/>
      <c r="AC618" s="33">
        <f>(B618*194.205+C618*267.466+D618*133.845+E618*53.484+F618*40+G618*185+H618*0+I618*100+J618*300)/(194.205+267.466+133.845+53.484+0+40+185+100+300)</f>
        <v>18.841226409262166</v>
      </c>
      <c r="AD618" s="27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18.723653237410076</v>
      </c>
    </row>
    <row r="619" spans="1:30" ht="15.75" x14ac:dyDescent="0.25">
      <c r="A619" s="13">
        <v>60114</v>
      </c>
      <c r="B619" s="10">
        <f>CHOOSE(CONTROL!$C$42, 18.4655, 18.4655) * CHOOSE(CONTROL!$C$21, $C$9, 100%, $E$9)</f>
        <v>18.465499999999999</v>
      </c>
      <c r="C619" s="10">
        <f>CHOOSE(CONTROL!$C$42, 18.4734, 18.4734) * CHOOSE(CONTROL!$C$21, $C$9, 100%, $E$9)</f>
        <v>18.473400000000002</v>
      </c>
      <c r="D619" s="10">
        <f>CHOOSE(CONTROL!$C$42, 18.6504, 18.6504) * CHOOSE(CONTROL!$C$21, $C$9, 100%, $E$9)</f>
        <v>18.650400000000001</v>
      </c>
      <c r="E619" s="10">
        <f>CHOOSE(CONTROL!$C$42, 18.6815, 18.6815) * CHOOSE(CONTROL!$C$21, $C$9, 100%, $E$9)</f>
        <v>18.6815</v>
      </c>
      <c r="F619" s="10">
        <f>CHOOSE(CONTROL!$C$42, 18.4293, 18.4293)*CHOOSE(CONTROL!$C$21, $C$9, 100%, $E$9)</f>
        <v>18.429300000000001</v>
      </c>
      <c r="G619" s="10">
        <f>CHOOSE(CONTROL!$C$42, 18.4459, 18.4459)*CHOOSE(CONTROL!$C$21, $C$9, 100%, $E$9)</f>
        <v>18.445900000000002</v>
      </c>
      <c r="H619" s="10">
        <f>CHOOSE(CONTROL!$C$42, 18.6701, 18.6701) * CHOOSE(CONTROL!$C$21, $C$9, 100%, $E$9)</f>
        <v>18.670100000000001</v>
      </c>
      <c r="I619" s="10">
        <f>CHOOSE(CONTROL!$C$42, 18.4501, 18.4501)* CHOOSE(CONTROL!$C$21, $C$9, 100%, $E$9)</f>
        <v>18.450099999999999</v>
      </c>
      <c r="J619" s="10">
        <f>CHOOSE(CONTROL!$C$42, 18.4223, 18.4223)* CHOOSE(CONTROL!$C$21, $C$9, 100%, $E$9)</f>
        <v>18.4223</v>
      </c>
      <c r="K619" s="10">
        <f>CHOOSE(CONTROL!$C$42, 18.0612, 18.0612) * CHOOSE(CONTROL!$C$21, $C$9, 100%, $E$9)</f>
        <v>18.061199999999999</v>
      </c>
      <c r="L619" s="10">
        <f>CHOOSE(CONTROL!$C$42, 19.2571, 19.2571) * CHOOSE(CONTROL!$C$21, $C$9, 100%, $E$9)</f>
        <v>19.257100000000001</v>
      </c>
      <c r="M619" s="10">
        <f>CHOOSE(CONTROL!$C$42, 18.2502, 18.2502) * CHOOSE(CONTROL!$C$21, $C$9, 100%, $E$9)</f>
        <v>18.2502</v>
      </c>
      <c r="N619" s="10">
        <f>CHOOSE(CONTROL!$C$42, 18.2666, 18.2666) * CHOOSE(CONTROL!$C$21, $C$9, 100%, $E$9)</f>
        <v>18.2666</v>
      </c>
      <c r="O619" s="10">
        <f>CHOOSE(CONTROL!$C$42, 18.4956, 18.4956) * CHOOSE(CONTROL!$C$21, $C$9, 100%, $E$9)</f>
        <v>18.4956</v>
      </c>
      <c r="P619" s="10">
        <f>CHOOSE(CONTROL!$C$42, 18.2777, 18.2777) * CHOOSE(CONTROL!$C$21, $C$9, 100%, $E$9)</f>
        <v>18.277699999999999</v>
      </c>
      <c r="Q619" s="10">
        <f>CHOOSE(CONTROL!$C$42, 19.0909, 19.0909) * CHOOSE(CONTROL!$C$21, $C$9, 100%, $E$9)</f>
        <v>19.090900000000001</v>
      </c>
      <c r="R619" s="10">
        <f>CHOOSE(CONTROL!$C$42, 19.7256, 19.7256) * CHOOSE(CONTROL!$C$21, $C$9, 100%, $E$9)</f>
        <v>19.7256</v>
      </c>
      <c r="S619" s="10">
        <f>CHOOSE(CONTROL!$C$42, 17.9276, 17.9276) * CHOOSE(CONTROL!$C$21, $C$9, 100%, $E$9)</f>
        <v>17.927600000000002</v>
      </c>
      <c r="T6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38">
        <f>(1000*CHOOSE(CONTROL!$C$42, 695, 695)*CHOOSE(CONTROL!$C$42, 0.5599, 0.5599)*CHOOSE(CONTROL!$C$42, 31, 31))/1000000</f>
        <v>12.063045499999998</v>
      </c>
      <c r="V619" s="38">
        <f>(1000*CHOOSE(CONTROL!$C$42, 500, 500)*CHOOSE(CONTROL!$C$42, 0.275, 0.275)*CHOOSE(CONTROL!$C$42, 31, 31))/1000000</f>
        <v>4.2625000000000002</v>
      </c>
      <c r="W619" s="38">
        <f>(1000*CHOOSE(CONTROL!$C$42, 0.1146, 0.1146)*CHOOSE(CONTROL!$C$42, 121.5, 121.5)*CHOOSE(CONTROL!$C$42, 31, 31))/1000000</f>
        <v>0.43164089999999994</v>
      </c>
      <c r="X619" s="38">
        <f>(31*0.1790888*245000/1000000)+(31*0.2374*100000/1000000)</f>
        <v>2.0961194359999999</v>
      </c>
      <c r="Y619" s="38">
        <f>(1000*600*CHOOSE(CONTROL!$C$42, 1.0585, 1.0585)*CHOOSE(CONTROL!$C$42, 31, 31))/1000000</f>
        <v>19.688099999999999</v>
      </c>
      <c r="Z619" s="38"/>
      <c r="AA619" s="10"/>
      <c r="AB619" s="39"/>
      <c r="AC619" s="33">
        <f>(B619*194.205+C619*267.466+D619*133.845+E619*53.484+F619*40+G619*185+H619*0+I619*100+J619*300)/(194.205+267.466+133.845+53.484+0+40+185+100+300)</f>
        <v>18.480287649843014</v>
      </c>
      <c r="AD619" s="27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18.366325179856116</v>
      </c>
    </row>
    <row r="620" spans="1:30" ht="15.75" x14ac:dyDescent="0.25">
      <c r="A620" s="13">
        <v>60145</v>
      </c>
      <c r="B620" s="10">
        <f>CHOOSE(CONTROL!$C$42, 17.5536, 17.5536) * CHOOSE(CONTROL!$C$21, $C$9, 100%, $E$9)</f>
        <v>17.553599999999999</v>
      </c>
      <c r="C620" s="10">
        <f>CHOOSE(CONTROL!$C$42, 17.5616, 17.5616) * CHOOSE(CONTROL!$C$21, $C$9, 100%, $E$9)</f>
        <v>17.561599999999999</v>
      </c>
      <c r="D620" s="10">
        <f>CHOOSE(CONTROL!$C$42, 17.7385, 17.7385) * CHOOSE(CONTROL!$C$21, $C$9, 100%, $E$9)</f>
        <v>17.738499999999998</v>
      </c>
      <c r="E620" s="10">
        <f>CHOOSE(CONTROL!$C$42, 17.7697, 17.7697) * CHOOSE(CONTROL!$C$21, $C$9, 100%, $E$9)</f>
        <v>17.7697</v>
      </c>
      <c r="F620" s="10">
        <f>CHOOSE(CONTROL!$C$42, 17.5175, 17.5175)*CHOOSE(CONTROL!$C$21, $C$9, 100%, $E$9)</f>
        <v>17.517499999999998</v>
      </c>
      <c r="G620" s="10">
        <f>CHOOSE(CONTROL!$C$42, 17.5341, 17.5341)*CHOOSE(CONTROL!$C$21, $C$9, 100%, $E$9)</f>
        <v>17.534099999999999</v>
      </c>
      <c r="H620" s="10">
        <f>CHOOSE(CONTROL!$C$42, 17.7583, 17.7583) * CHOOSE(CONTROL!$C$21, $C$9, 100%, $E$9)</f>
        <v>17.758299999999998</v>
      </c>
      <c r="I620" s="10">
        <f>CHOOSE(CONTROL!$C$42, 17.5382, 17.5382)* CHOOSE(CONTROL!$C$21, $C$9, 100%, $E$9)</f>
        <v>17.5382</v>
      </c>
      <c r="J620" s="10">
        <f>CHOOSE(CONTROL!$C$42, 17.5105, 17.5105)* CHOOSE(CONTROL!$C$21, $C$9, 100%, $E$9)</f>
        <v>17.5105</v>
      </c>
      <c r="K620" s="10">
        <f>CHOOSE(CONTROL!$C$42, 17.1754, 17.1754) * CHOOSE(CONTROL!$C$21, $C$9, 100%, $E$9)</f>
        <v>17.1754</v>
      </c>
      <c r="L620" s="10">
        <f>CHOOSE(CONTROL!$C$42, 18.3453, 18.3453) * CHOOSE(CONTROL!$C$21, $C$9, 100%, $E$9)</f>
        <v>18.345300000000002</v>
      </c>
      <c r="M620" s="10">
        <f>CHOOSE(CONTROL!$C$42, 17.3476, 17.3476) * CHOOSE(CONTROL!$C$21, $C$9, 100%, $E$9)</f>
        <v>17.3476</v>
      </c>
      <c r="N620" s="10">
        <f>CHOOSE(CONTROL!$C$42, 17.364, 17.364) * CHOOSE(CONTROL!$C$21, $C$9, 100%, $E$9)</f>
        <v>17.364000000000001</v>
      </c>
      <c r="O620" s="10">
        <f>CHOOSE(CONTROL!$C$42, 17.5929, 17.5929) * CHOOSE(CONTROL!$C$21, $C$9, 100%, $E$9)</f>
        <v>17.5929</v>
      </c>
      <c r="P620" s="10">
        <f>CHOOSE(CONTROL!$C$42, 17.3751, 17.3751) * CHOOSE(CONTROL!$C$21, $C$9, 100%, $E$9)</f>
        <v>17.3751</v>
      </c>
      <c r="Q620" s="10">
        <f>CHOOSE(CONTROL!$C$42, 18.1882, 18.1882) * CHOOSE(CONTROL!$C$21, $C$9, 100%, $E$9)</f>
        <v>18.188199999999998</v>
      </c>
      <c r="R620" s="10">
        <f>CHOOSE(CONTROL!$C$42, 18.8207, 18.8207) * CHOOSE(CONTROL!$C$21, $C$9, 100%, $E$9)</f>
        <v>18.820699999999999</v>
      </c>
      <c r="S620" s="10">
        <f>CHOOSE(CONTROL!$C$42, 17.0421, 17.0421) * CHOOSE(CONTROL!$C$21, $C$9, 100%, $E$9)</f>
        <v>17.042100000000001</v>
      </c>
      <c r="T6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38">
        <f>(1000*CHOOSE(CONTROL!$C$42, 695, 695)*CHOOSE(CONTROL!$C$42, 0.5599, 0.5599)*CHOOSE(CONTROL!$C$42, 31, 31))/1000000</f>
        <v>12.063045499999998</v>
      </c>
      <c r="V620" s="38">
        <f>(1000*CHOOSE(CONTROL!$C$42, 500, 500)*CHOOSE(CONTROL!$C$42, 0.275, 0.275)*CHOOSE(CONTROL!$C$42, 31, 31))/1000000</f>
        <v>4.2625000000000002</v>
      </c>
      <c r="W620" s="38">
        <f>(1000*CHOOSE(CONTROL!$C$42, 0.1146, 0.1146)*CHOOSE(CONTROL!$C$42, 121.5, 121.5)*CHOOSE(CONTROL!$C$42, 31, 31))/1000000</f>
        <v>0.43164089999999994</v>
      </c>
      <c r="X620" s="38">
        <f>(31*0.1790888*245000/1000000)+(31*0.2374*100000/1000000)</f>
        <v>2.0961194359999999</v>
      </c>
      <c r="Y620" s="38">
        <f>(1000*600*CHOOSE(CONTROL!$C$42, 1.0585, 1.0585)*CHOOSE(CONTROL!$C$42, 31, 31))/1000000</f>
        <v>19.688099999999999</v>
      </c>
      <c r="Z620" s="38"/>
      <c r="AA620" s="10"/>
      <c r="AB620" s="39"/>
      <c r="AC620" s="33">
        <f>(B620*194.205+C620*267.466+D620*133.845+E620*53.484+F620*40+G620*185+H620*0+I620*100+J620*300)/(194.205+267.466+133.845+53.484+0+40+185+100+300)</f>
        <v>17.568454050941916</v>
      </c>
      <c r="AD620" s="27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17.46367985611511</v>
      </c>
    </row>
    <row r="621" spans="1:30" ht="15.75" x14ac:dyDescent="0.25">
      <c r="A621" s="13">
        <v>60175</v>
      </c>
      <c r="B621" s="10">
        <f>CHOOSE(CONTROL!$C$42, 16.4395, 16.4395) * CHOOSE(CONTROL!$C$21, $C$9, 100%, $E$9)</f>
        <v>16.439499999999999</v>
      </c>
      <c r="C621" s="10">
        <f>CHOOSE(CONTROL!$C$42, 16.4475, 16.4475) * CHOOSE(CONTROL!$C$21, $C$9, 100%, $E$9)</f>
        <v>16.447500000000002</v>
      </c>
      <c r="D621" s="10">
        <f>CHOOSE(CONTROL!$C$42, 16.6245, 16.6245) * CHOOSE(CONTROL!$C$21, $C$9, 100%, $E$9)</f>
        <v>16.624500000000001</v>
      </c>
      <c r="E621" s="10">
        <f>CHOOSE(CONTROL!$C$42, 16.6556, 16.6556) * CHOOSE(CONTROL!$C$21, $C$9, 100%, $E$9)</f>
        <v>16.6556</v>
      </c>
      <c r="F621" s="10">
        <f>CHOOSE(CONTROL!$C$42, 16.4031, 16.4031)*CHOOSE(CONTROL!$C$21, $C$9, 100%, $E$9)</f>
        <v>16.403099999999998</v>
      </c>
      <c r="G621" s="10">
        <f>CHOOSE(CONTROL!$C$42, 16.4197, 16.4197)*CHOOSE(CONTROL!$C$21, $C$9, 100%, $E$9)</f>
        <v>16.419699999999999</v>
      </c>
      <c r="H621" s="10">
        <f>CHOOSE(CONTROL!$C$42, 16.6442, 16.6442) * CHOOSE(CONTROL!$C$21, $C$9, 100%, $E$9)</f>
        <v>16.644200000000001</v>
      </c>
      <c r="I621" s="10">
        <f>CHOOSE(CONTROL!$C$42, 16.4241, 16.4241)* CHOOSE(CONTROL!$C$21, $C$9, 100%, $E$9)</f>
        <v>16.424099999999999</v>
      </c>
      <c r="J621" s="10">
        <f>CHOOSE(CONTROL!$C$42, 16.3961, 16.3961)* CHOOSE(CONTROL!$C$21, $C$9, 100%, $E$9)</f>
        <v>16.396100000000001</v>
      </c>
      <c r="K621" s="10">
        <f>CHOOSE(CONTROL!$C$42, 16.0924, 16.0924) * CHOOSE(CONTROL!$C$21, $C$9, 100%, $E$9)</f>
        <v>16.092400000000001</v>
      </c>
      <c r="L621" s="10">
        <f>CHOOSE(CONTROL!$C$42, 17.2312, 17.2312) * CHOOSE(CONTROL!$C$21, $C$9, 100%, $E$9)</f>
        <v>17.231200000000001</v>
      </c>
      <c r="M621" s="10">
        <f>CHOOSE(CONTROL!$C$42, 16.2445, 16.2445) * CHOOSE(CONTROL!$C$21, $C$9, 100%, $E$9)</f>
        <v>16.244499999999999</v>
      </c>
      <c r="N621" s="10">
        <f>CHOOSE(CONTROL!$C$42, 16.2609, 16.2609) * CHOOSE(CONTROL!$C$21, $C$9, 100%, $E$9)</f>
        <v>16.260899999999999</v>
      </c>
      <c r="O621" s="10">
        <f>CHOOSE(CONTROL!$C$42, 16.4901, 16.4901) * CHOOSE(CONTROL!$C$21, $C$9, 100%, $E$9)</f>
        <v>16.490100000000002</v>
      </c>
      <c r="P621" s="10">
        <f>CHOOSE(CONTROL!$C$42, 16.2723, 16.2723) * CHOOSE(CONTROL!$C$21, $C$9, 100%, $E$9)</f>
        <v>16.272300000000001</v>
      </c>
      <c r="Q621" s="10">
        <f>CHOOSE(CONTROL!$C$42, 17.0854, 17.0854) * CHOOSE(CONTROL!$C$21, $C$9, 100%, $E$9)</f>
        <v>17.0854</v>
      </c>
      <c r="R621" s="10">
        <f>CHOOSE(CONTROL!$C$42, 17.7151, 17.7151) * CHOOSE(CONTROL!$C$21, $C$9, 100%, $E$9)</f>
        <v>17.7151</v>
      </c>
      <c r="S621" s="10">
        <f>CHOOSE(CONTROL!$C$42, 15.9602, 15.9602) * CHOOSE(CONTROL!$C$21, $C$9, 100%, $E$9)</f>
        <v>15.9602</v>
      </c>
      <c r="T6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38">
        <f>(1000*CHOOSE(CONTROL!$C$42, 695, 695)*CHOOSE(CONTROL!$C$42, 0.5599, 0.5599)*CHOOSE(CONTROL!$C$42, 30, 30))/1000000</f>
        <v>11.673914999999997</v>
      </c>
      <c r="V621" s="38">
        <f>(1000*CHOOSE(CONTROL!$C$42, 500, 500)*CHOOSE(CONTROL!$C$42, 0.275, 0.275)*CHOOSE(CONTROL!$C$42, 30, 30))/1000000</f>
        <v>4.125</v>
      </c>
      <c r="W621" s="38">
        <f>(1000*CHOOSE(CONTROL!$C$42, 0.1146, 0.1146)*CHOOSE(CONTROL!$C$42, 121.5, 121.5)*CHOOSE(CONTROL!$C$42, 30, 30))/1000000</f>
        <v>0.417717</v>
      </c>
      <c r="X621" s="38">
        <f>(30*0.1790888*245000/1000000)+(30*0.2374*100000/1000000)</f>
        <v>2.0285026799999999</v>
      </c>
      <c r="Y621" s="38">
        <f>(1000*600*CHOOSE(CONTROL!$C$42, 1.0585, 1.0585)*CHOOSE(CONTROL!$C$42, 30, 30))/1000000</f>
        <v>19.053000000000001</v>
      </c>
      <c r="Z621" s="38"/>
      <c r="AA621" s="10"/>
      <c r="AB621" s="39"/>
      <c r="AC621" s="33">
        <f>(B621*194.205+C621*267.466+D621*133.845+E621*53.484+F621*40+G621*185+H621*0+I621*100+J621*300)/(194.205+267.466+133.845+53.484+0+40+185+100+300)</f>
        <v>16.45424093045526</v>
      </c>
      <c r="AD621" s="27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16.360758992805756</v>
      </c>
    </row>
    <row r="622" spans="1:30" ht="15.75" x14ac:dyDescent="0.25">
      <c r="A622" s="13">
        <v>60206</v>
      </c>
      <c r="B622" s="10">
        <f>CHOOSE(CONTROL!$C$42, 16.1037, 16.1037) * CHOOSE(CONTROL!$C$21, $C$9, 100%, $E$9)</f>
        <v>16.1037</v>
      </c>
      <c r="C622" s="10">
        <f>CHOOSE(CONTROL!$C$42, 16.1089, 16.1089) * CHOOSE(CONTROL!$C$21, $C$9, 100%, $E$9)</f>
        <v>16.108899999999998</v>
      </c>
      <c r="D622" s="10">
        <f>CHOOSE(CONTROL!$C$42, 16.2909, 16.2909) * CHOOSE(CONTROL!$C$21, $C$9, 100%, $E$9)</f>
        <v>16.290900000000001</v>
      </c>
      <c r="E622" s="10">
        <f>CHOOSE(CONTROL!$C$42, 16.3197, 16.3197) * CHOOSE(CONTROL!$C$21, $C$9, 100%, $E$9)</f>
        <v>16.319700000000001</v>
      </c>
      <c r="F622" s="10">
        <f>CHOOSE(CONTROL!$C$42, 16.0693, 16.0693)*CHOOSE(CONTROL!$C$21, $C$9, 100%, $E$9)</f>
        <v>16.069299999999998</v>
      </c>
      <c r="G622" s="10">
        <f>CHOOSE(CONTROL!$C$42, 16.0856, 16.0856)*CHOOSE(CONTROL!$C$21, $C$9, 100%, $E$9)</f>
        <v>16.085599999999999</v>
      </c>
      <c r="H622" s="10">
        <f>CHOOSE(CONTROL!$C$42, 16.3102, 16.3102) * CHOOSE(CONTROL!$C$21, $C$9, 100%, $E$9)</f>
        <v>16.310199999999998</v>
      </c>
      <c r="I622" s="10">
        <f>CHOOSE(CONTROL!$C$42, 16.0901, 16.0901)* CHOOSE(CONTROL!$C$21, $C$9, 100%, $E$9)</f>
        <v>16.0901</v>
      </c>
      <c r="J622" s="10">
        <f>CHOOSE(CONTROL!$C$42, 16.0623, 16.0623)* CHOOSE(CONTROL!$C$21, $C$9, 100%, $E$9)</f>
        <v>16.0623</v>
      </c>
      <c r="K622" s="10">
        <f>CHOOSE(CONTROL!$C$42, 15.7684, 15.7684) * CHOOSE(CONTROL!$C$21, $C$9, 100%, $E$9)</f>
        <v>15.7684</v>
      </c>
      <c r="L622" s="10">
        <f>CHOOSE(CONTROL!$C$42, 16.8972, 16.8972) * CHOOSE(CONTROL!$C$21, $C$9, 100%, $E$9)</f>
        <v>16.897200000000002</v>
      </c>
      <c r="M622" s="10">
        <f>CHOOSE(CONTROL!$C$42, 15.9141, 15.9141) * CHOOSE(CONTROL!$C$21, $C$9, 100%, $E$9)</f>
        <v>15.914099999999999</v>
      </c>
      <c r="N622" s="10">
        <f>CHOOSE(CONTROL!$C$42, 15.9301, 15.9301) * CHOOSE(CONTROL!$C$21, $C$9, 100%, $E$9)</f>
        <v>15.930099999999999</v>
      </c>
      <c r="O622" s="10">
        <f>CHOOSE(CONTROL!$C$42, 16.1594, 16.1594) * CHOOSE(CONTROL!$C$21, $C$9, 100%, $E$9)</f>
        <v>16.159400000000002</v>
      </c>
      <c r="P622" s="10">
        <f>CHOOSE(CONTROL!$C$42, 15.9416, 15.9416) * CHOOSE(CONTROL!$C$21, $C$9, 100%, $E$9)</f>
        <v>15.941599999999999</v>
      </c>
      <c r="Q622" s="10">
        <f>CHOOSE(CONTROL!$C$42, 16.7547, 16.7547) * CHOOSE(CONTROL!$C$21, $C$9, 100%, $E$9)</f>
        <v>16.7547</v>
      </c>
      <c r="R622" s="10">
        <f>CHOOSE(CONTROL!$C$42, 17.3836, 17.3836) * CHOOSE(CONTROL!$C$21, $C$9, 100%, $E$9)</f>
        <v>17.383600000000001</v>
      </c>
      <c r="S622" s="10">
        <f>CHOOSE(CONTROL!$C$42, 15.6358, 15.6358) * CHOOSE(CONTROL!$C$21, $C$9, 100%, $E$9)</f>
        <v>15.6358</v>
      </c>
      <c r="T6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38">
        <f>(1000*CHOOSE(CONTROL!$C$42, 695, 695)*CHOOSE(CONTROL!$C$42, 0.5599, 0.5599)*CHOOSE(CONTROL!$C$42, 31, 31))/1000000</f>
        <v>12.063045499999998</v>
      </c>
      <c r="V622" s="38">
        <f>(1000*CHOOSE(CONTROL!$C$42, 500, 500)*CHOOSE(CONTROL!$C$42, 0.275, 0.275)*CHOOSE(CONTROL!$C$42, 31, 31))/1000000</f>
        <v>4.2625000000000002</v>
      </c>
      <c r="W622" s="38">
        <f>(1000*CHOOSE(CONTROL!$C$42, 0.1146, 0.1146)*CHOOSE(CONTROL!$C$42, 121.5, 121.5)*CHOOSE(CONTROL!$C$42, 31, 31))/1000000</f>
        <v>0.43164089999999994</v>
      </c>
      <c r="X622" s="38">
        <f>(31*0.1790888*245000/1000000)+(31*0.2374*100000/1000000)</f>
        <v>2.0961194359999999</v>
      </c>
      <c r="Y622" s="38">
        <f>(1000*600*CHOOSE(CONTROL!$C$42, 1.0585, 1.0585)*CHOOSE(CONTROL!$C$42, 31, 31))/1000000</f>
        <v>19.688099999999999</v>
      </c>
      <c r="Z622" s="38"/>
      <c r="AA622" s="10"/>
      <c r="AB622" s="39"/>
      <c r="AC622" s="33">
        <f>(B622*131.881+C622*277.167+D622*79.08+E622*125.872+F622*40+G622*185+H622*0+I622*100+J622*300)/(131.881+277.167+79.08+125.872+0+40+185+100+300)</f>
        <v>16.123820174656981</v>
      </c>
      <c r="AD622" s="27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16.030156834532374</v>
      </c>
    </row>
    <row r="623" spans="1:30" ht="15.75" x14ac:dyDescent="0.25">
      <c r="A623" s="13">
        <v>60236</v>
      </c>
      <c r="B623" s="10">
        <f>CHOOSE(CONTROL!$C$42, 16.5275, 16.5275) * CHOOSE(CONTROL!$C$21, $C$9, 100%, $E$9)</f>
        <v>16.5275</v>
      </c>
      <c r="C623" s="10">
        <f>CHOOSE(CONTROL!$C$42, 16.5324, 16.5324) * CHOOSE(CONTROL!$C$21, $C$9, 100%, $E$9)</f>
        <v>16.532399999999999</v>
      </c>
      <c r="D623" s="10">
        <f>CHOOSE(CONTROL!$C$42, 16.5569, 16.5569) * CHOOSE(CONTROL!$C$21, $C$9, 100%, $E$9)</f>
        <v>16.556899999999999</v>
      </c>
      <c r="E623" s="10">
        <f>CHOOSE(CONTROL!$C$42, 16.5907, 16.5907) * CHOOSE(CONTROL!$C$21, $C$9, 100%, $E$9)</f>
        <v>16.590699999999998</v>
      </c>
      <c r="F623" s="10">
        <f>CHOOSE(CONTROL!$C$42, 16.4968, 16.4968)*CHOOSE(CONTROL!$C$21, $C$9, 100%, $E$9)</f>
        <v>16.4968</v>
      </c>
      <c r="G623" s="10">
        <f>CHOOSE(CONTROL!$C$42, 16.5132, 16.5132)*CHOOSE(CONTROL!$C$21, $C$9, 100%, $E$9)</f>
        <v>16.513200000000001</v>
      </c>
      <c r="H623" s="10">
        <f>CHOOSE(CONTROL!$C$42, 16.5798, 16.5798) * CHOOSE(CONTROL!$C$21, $C$9, 100%, $E$9)</f>
        <v>16.579799999999999</v>
      </c>
      <c r="I623" s="10">
        <f>CHOOSE(CONTROL!$C$42, 16.5142, 16.5142)* CHOOSE(CONTROL!$C$21, $C$9, 100%, $E$9)</f>
        <v>16.514199999999999</v>
      </c>
      <c r="J623" s="10">
        <f>CHOOSE(CONTROL!$C$42, 16.4898, 16.4898)* CHOOSE(CONTROL!$C$21, $C$9, 100%, $E$9)</f>
        <v>16.489799999999999</v>
      </c>
      <c r="K623" s="10">
        <f>CHOOSE(CONTROL!$C$42, 16.182, 16.182) * CHOOSE(CONTROL!$C$21, $C$9, 100%, $E$9)</f>
        <v>16.181999999999999</v>
      </c>
      <c r="L623" s="10">
        <f>CHOOSE(CONTROL!$C$42, 17.1668, 17.1668) * CHOOSE(CONTROL!$C$21, $C$9, 100%, $E$9)</f>
        <v>17.166799999999999</v>
      </c>
      <c r="M623" s="10">
        <f>CHOOSE(CONTROL!$C$42, 16.3372, 16.3372) * CHOOSE(CONTROL!$C$21, $C$9, 100%, $E$9)</f>
        <v>16.337199999999999</v>
      </c>
      <c r="N623" s="10">
        <f>CHOOSE(CONTROL!$C$42, 16.3535, 16.3535) * CHOOSE(CONTROL!$C$21, $C$9, 100%, $E$9)</f>
        <v>16.3535</v>
      </c>
      <c r="O623" s="10">
        <f>CHOOSE(CONTROL!$C$42, 16.4264, 16.4264) * CHOOSE(CONTROL!$C$21, $C$9, 100%, $E$9)</f>
        <v>16.426400000000001</v>
      </c>
      <c r="P623" s="10">
        <f>CHOOSE(CONTROL!$C$42, 16.3614, 16.3614) * CHOOSE(CONTROL!$C$21, $C$9, 100%, $E$9)</f>
        <v>16.3614</v>
      </c>
      <c r="Q623" s="10">
        <f>CHOOSE(CONTROL!$C$42, 17.0217, 17.0217) * CHOOSE(CONTROL!$C$21, $C$9, 100%, $E$9)</f>
        <v>17.021699999999999</v>
      </c>
      <c r="R623" s="10">
        <f>CHOOSE(CONTROL!$C$42, 17.6512, 17.6512) * CHOOSE(CONTROL!$C$21, $C$9, 100%, $E$9)</f>
        <v>17.651199999999999</v>
      </c>
      <c r="S623" s="10">
        <f>CHOOSE(CONTROL!$C$42, 16.0477, 16.0477) * CHOOSE(CONTROL!$C$21, $C$9, 100%, $E$9)</f>
        <v>16.047699999999999</v>
      </c>
      <c r="T6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38">
        <f>(1000*CHOOSE(CONTROL!$C$42, 695, 695)*CHOOSE(CONTROL!$C$42, 0.5599, 0.5599)*CHOOSE(CONTROL!$C$42, 30, 30))/1000000</f>
        <v>11.673914999999997</v>
      </c>
      <c r="V623" s="38">
        <f>(1000*CHOOSE(CONTROL!$C$42, 500, 500)*CHOOSE(CONTROL!$C$42, 0.275, 0.275)*CHOOSE(CONTROL!$C$42, 30, 30))/1000000</f>
        <v>4.125</v>
      </c>
      <c r="W623" s="38">
        <f>(1000*CHOOSE(CONTROL!$C$42, 0.1146, 0.1146)*CHOOSE(CONTROL!$C$42, 121.5, 121.5)*CHOOSE(CONTROL!$C$42, 30, 30))/1000000</f>
        <v>0.417717</v>
      </c>
      <c r="X623" s="38">
        <f>(30*0.1790888*100000/1000000)+(30*0.2374*100000/1000000)</f>
        <v>1.2494664</v>
      </c>
      <c r="Y623" s="38">
        <f>(1000*600*CHOOSE(CONTROL!$C$42, 1.0585, 1.0585)*CHOOSE(CONTROL!$C$42, 30, 30))/1000000</f>
        <v>19.053000000000001</v>
      </c>
      <c r="Z623" s="38"/>
      <c r="AA623" s="10"/>
      <c r="AB623" s="39"/>
      <c r="AC623" s="33">
        <f>(B623*122.58+C623*297.941+D623*89.177+E623*40.302+F623*40+G623*160+H623*0+I623*100+J623*300)/(122.58+297.941+89.177+40.302+0+40+160+100+300)</f>
        <v>16.51921547921739</v>
      </c>
      <c r="AD623" s="27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16.382048920863312</v>
      </c>
    </row>
    <row r="624" spans="1:30" ht="15.75" x14ac:dyDescent="0.25">
      <c r="A624" s="13">
        <v>60267</v>
      </c>
      <c r="B624" s="10">
        <f>CHOOSE(CONTROL!$C$42, 17.6541, 17.6541) * CHOOSE(CONTROL!$C$21, $C$9, 100%, $E$9)</f>
        <v>17.6541</v>
      </c>
      <c r="C624" s="10">
        <f>CHOOSE(CONTROL!$C$42, 17.659, 17.659) * CHOOSE(CONTROL!$C$21, $C$9, 100%, $E$9)</f>
        <v>17.658999999999999</v>
      </c>
      <c r="D624" s="10">
        <f>CHOOSE(CONTROL!$C$42, 17.6835, 17.6835) * CHOOSE(CONTROL!$C$21, $C$9, 100%, $E$9)</f>
        <v>17.683499999999999</v>
      </c>
      <c r="E624" s="10">
        <f>CHOOSE(CONTROL!$C$42, 17.7173, 17.7173) * CHOOSE(CONTROL!$C$21, $C$9, 100%, $E$9)</f>
        <v>17.717300000000002</v>
      </c>
      <c r="F624" s="10">
        <f>CHOOSE(CONTROL!$C$42, 17.6257, 17.6257)*CHOOSE(CONTROL!$C$21, $C$9, 100%, $E$9)</f>
        <v>17.625699999999998</v>
      </c>
      <c r="G624" s="10">
        <f>CHOOSE(CONTROL!$C$42, 17.6428, 17.6428)*CHOOSE(CONTROL!$C$21, $C$9, 100%, $E$9)</f>
        <v>17.642800000000001</v>
      </c>
      <c r="H624" s="10">
        <f>CHOOSE(CONTROL!$C$42, 17.7065, 17.7065) * CHOOSE(CONTROL!$C$21, $C$9, 100%, $E$9)</f>
        <v>17.706499999999998</v>
      </c>
      <c r="I624" s="10">
        <f>CHOOSE(CONTROL!$C$42, 17.6409, 17.6409)* CHOOSE(CONTROL!$C$21, $C$9, 100%, $E$9)</f>
        <v>17.640899999999998</v>
      </c>
      <c r="J624" s="10">
        <f>CHOOSE(CONTROL!$C$42, 17.6187, 17.6187)* CHOOSE(CONTROL!$C$21, $C$9, 100%, $E$9)</f>
        <v>17.6187</v>
      </c>
      <c r="K624" s="10">
        <f>CHOOSE(CONTROL!$C$42, 17.2816, 17.2816) * CHOOSE(CONTROL!$C$21, $C$9, 100%, $E$9)</f>
        <v>17.281600000000001</v>
      </c>
      <c r="L624" s="10">
        <f>CHOOSE(CONTROL!$C$42, 18.2935, 18.2935) * CHOOSE(CONTROL!$C$21, $C$9, 100%, $E$9)</f>
        <v>18.293500000000002</v>
      </c>
      <c r="M624" s="10">
        <f>CHOOSE(CONTROL!$C$42, 17.4547, 17.4547) * CHOOSE(CONTROL!$C$21, $C$9, 100%, $E$9)</f>
        <v>17.454699999999999</v>
      </c>
      <c r="N624" s="10">
        <f>CHOOSE(CONTROL!$C$42, 17.4716, 17.4716) * CHOOSE(CONTROL!$C$21, $C$9, 100%, $E$9)</f>
        <v>17.471599999999999</v>
      </c>
      <c r="O624" s="10">
        <f>CHOOSE(CONTROL!$C$42, 17.5416, 17.5416) * CHOOSE(CONTROL!$C$21, $C$9, 100%, $E$9)</f>
        <v>17.541599999999999</v>
      </c>
      <c r="P624" s="10">
        <f>CHOOSE(CONTROL!$C$42, 17.4767, 17.4767) * CHOOSE(CONTROL!$C$21, $C$9, 100%, $E$9)</f>
        <v>17.476700000000001</v>
      </c>
      <c r="Q624" s="10">
        <f>CHOOSE(CONTROL!$C$42, 18.1369, 18.1369) * CHOOSE(CONTROL!$C$21, $C$9, 100%, $E$9)</f>
        <v>18.136900000000001</v>
      </c>
      <c r="R624" s="10">
        <f>CHOOSE(CONTROL!$C$42, 18.7693, 18.7693) * CHOOSE(CONTROL!$C$21, $C$9, 100%, $E$9)</f>
        <v>18.769300000000001</v>
      </c>
      <c r="S624" s="10">
        <f>CHOOSE(CONTROL!$C$42, 17.1418, 17.1418) * CHOOSE(CONTROL!$C$21, $C$9, 100%, $E$9)</f>
        <v>17.1418</v>
      </c>
      <c r="T6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38">
        <f>(1000*CHOOSE(CONTROL!$C$42, 695, 695)*CHOOSE(CONTROL!$C$42, 0.5599, 0.5599)*CHOOSE(CONTROL!$C$42, 31, 31))/1000000</f>
        <v>12.063045499999998</v>
      </c>
      <c r="V624" s="38">
        <f>(1000*CHOOSE(CONTROL!$C$42, 500, 500)*CHOOSE(CONTROL!$C$42, 0.275, 0.275)*CHOOSE(CONTROL!$C$42, 31, 31))/1000000</f>
        <v>4.2625000000000002</v>
      </c>
      <c r="W624" s="38">
        <f>(1000*CHOOSE(CONTROL!$C$42, 0.1146, 0.1146)*CHOOSE(CONTROL!$C$42, 121.5, 121.5)*CHOOSE(CONTROL!$C$42, 31, 31))/1000000</f>
        <v>0.43164089999999994</v>
      </c>
      <c r="X624" s="38">
        <f>(31*0.1790888*100000/1000000)+(31*0.2374*100000/1000000)</f>
        <v>1.2911152800000001</v>
      </c>
      <c r="Y624" s="38">
        <f>(1000*600*CHOOSE(CONTROL!$C$42, 1.0585, 1.0585)*CHOOSE(CONTROL!$C$42, 31, 31))/1000000</f>
        <v>19.688099999999999</v>
      </c>
      <c r="Z624" s="38"/>
      <c r="AA624" s="10"/>
      <c r="AB624" s="39"/>
      <c r="AC624" s="33">
        <f>(B624*122.58+C624*297.941+D624*89.177+E624*40.302+F624*40+G624*160+H624*0+I624*100+J624*300)/(122.58+297.941+89.177+40.302+0+40+160+100+300)</f>
        <v>17.646921566173916</v>
      </c>
      <c r="AD624" s="27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17.498224460431651</v>
      </c>
    </row>
    <row r="625" spans="1:30" ht="15.75" x14ac:dyDescent="0.25">
      <c r="A625" s="13">
        <v>60298</v>
      </c>
      <c r="B625" s="10">
        <f>CHOOSE(CONTROL!$C$42, 18.8454, 18.8454) * CHOOSE(CONTROL!$C$21, $C$9, 100%, $E$9)</f>
        <v>18.845400000000001</v>
      </c>
      <c r="C625" s="10">
        <f>CHOOSE(CONTROL!$C$42, 18.8504, 18.8504) * CHOOSE(CONTROL!$C$21, $C$9, 100%, $E$9)</f>
        <v>18.8504</v>
      </c>
      <c r="D625" s="10">
        <f>CHOOSE(CONTROL!$C$42, 18.8749, 18.8749) * CHOOSE(CONTROL!$C$21, $C$9, 100%, $E$9)</f>
        <v>18.8749</v>
      </c>
      <c r="E625" s="10">
        <f>CHOOSE(CONTROL!$C$42, 18.9086, 18.9086) * CHOOSE(CONTROL!$C$21, $C$9, 100%, $E$9)</f>
        <v>18.9086</v>
      </c>
      <c r="F625" s="10">
        <f>CHOOSE(CONTROL!$C$42, 18.8284, 18.8284)*CHOOSE(CONTROL!$C$21, $C$9, 100%, $E$9)</f>
        <v>18.828399999999998</v>
      </c>
      <c r="G625" s="10">
        <f>CHOOSE(CONTROL!$C$42, 18.847, 18.847)*CHOOSE(CONTROL!$C$21, $C$9, 100%, $E$9)</f>
        <v>18.847000000000001</v>
      </c>
      <c r="H625" s="10">
        <f>CHOOSE(CONTROL!$C$42, 18.8978, 18.8978) * CHOOSE(CONTROL!$C$21, $C$9, 100%, $E$9)</f>
        <v>18.8978</v>
      </c>
      <c r="I625" s="10">
        <f>CHOOSE(CONTROL!$C$42, 18.8399, 18.8399)* CHOOSE(CONTROL!$C$21, $C$9, 100%, $E$9)</f>
        <v>18.8399</v>
      </c>
      <c r="J625" s="10">
        <f>CHOOSE(CONTROL!$C$42, 18.8214, 18.8214)* CHOOSE(CONTROL!$C$21, $C$9, 100%, $E$9)</f>
        <v>18.821400000000001</v>
      </c>
      <c r="K625" s="10">
        <f>CHOOSE(CONTROL!$C$42, 18.4601, 18.4601) * CHOOSE(CONTROL!$C$21, $C$9, 100%, $E$9)</f>
        <v>18.460100000000001</v>
      </c>
      <c r="L625" s="10">
        <f>CHOOSE(CONTROL!$C$42, 19.4848, 19.4848) * CHOOSE(CONTROL!$C$21, $C$9, 100%, $E$9)</f>
        <v>19.4848</v>
      </c>
      <c r="M625" s="10">
        <f>CHOOSE(CONTROL!$C$42, 18.6453, 18.6453) * CHOOSE(CONTROL!$C$21, $C$9, 100%, $E$9)</f>
        <v>18.645299999999999</v>
      </c>
      <c r="N625" s="10">
        <f>CHOOSE(CONTROL!$C$42, 18.6637, 18.6637) * CHOOSE(CONTROL!$C$21, $C$9, 100%, $E$9)</f>
        <v>18.663699999999999</v>
      </c>
      <c r="O625" s="10">
        <f>CHOOSE(CONTROL!$C$42, 18.7209, 18.7209) * CHOOSE(CONTROL!$C$21, $C$9, 100%, $E$9)</f>
        <v>18.7209</v>
      </c>
      <c r="P625" s="10">
        <f>CHOOSE(CONTROL!$C$42, 18.6637, 18.6637) * CHOOSE(CONTROL!$C$21, $C$9, 100%, $E$9)</f>
        <v>18.663699999999999</v>
      </c>
      <c r="Q625" s="10">
        <f>CHOOSE(CONTROL!$C$42, 19.3162, 19.3162) * CHOOSE(CONTROL!$C$21, $C$9, 100%, $E$9)</f>
        <v>19.316199999999998</v>
      </c>
      <c r="R625" s="10">
        <f>CHOOSE(CONTROL!$C$42, 19.9515, 19.9515) * CHOOSE(CONTROL!$C$21, $C$9, 100%, $E$9)</f>
        <v>19.951499999999999</v>
      </c>
      <c r="S625" s="10">
        <f>CHOOSE(CONTROL!$C$42, 18.2987, 18.2987) * CHOOSE(CONTROL!$C$21, $C$9, 100%, $E$9)</f>
        <v>18.2987</v>
      </c>
      <c r="T6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38">
        <f>(1000*CHOOSE(CONTROL!$C$42, 695, 695)*CHOOSE(CONTROL!$C$42, 0.5599, 0.5599)*CHOOSE(CONTROL!$C$42, 31, 31))/1000000</f>
        <v>12.063045499999998</v>
      </c>
      <c r="V625" s="38">
        <f>(1000*CHOOSE(CONTROL!$C$42, 500, 500)*CHOOSE(CONTROL!$C$42, 0.275, 0.275)*CHOOSE(CONTROL!$C$42, 31, 31))/1000000</f>
        <v>4.2625000000000002</v>
      </c>
      <c r="W625" s="38">
        <f>(1000*CHOOSE(CONTROL!$C$42, 0.1146, 0.1146)*CHOOSE(CONTROL!$C$42, 121.5, 121.5)*CHOOSE(CONTROL!$C$42, 31, 31))/1000000</f>
        <v>0.43164089999999994</v>
      </c>
      <c r="X625" s="38">
        <f>(31*0.1790888*100000/1000000)+(31*0.2374*100000/1000000)</f>
        <v>1.2911152800000001</v>
      </c>
      <c r="Y625" s="38">
        <f>(1000*600*CHOOSE(CONTROL!$C$42, 1.0585, 1.0585)*CHOOSE(CONTROL!$C$42, 31, 31))/1000000</f>
        <v>19.688099999999999</v>
      </c>
      <c r="Z625" s="38"/>
      <c r="AA625" s="10"/>
      <c r="AB625" s="39"/>
      <c r="AC625" s="33">
        <f>(B625*122.58+C625*297.941+D625*89.177+E625*40.302+F625*40+G625*160+H625*0+I625*100+J625*300)/(122.58+297.941+89.177+40.302+0+40+160+100+300)</f>
        <v>18.844090011217389</v>
      </c>
      <c r="AD625" s="27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18.683271223021581</v>
      </c>
    </row>
    <row r="626" spans="1:30" ht="15.75" x14ac:dyDescent="0.25">
      <c r="A626" s="13">
        <v>60326</v>
      </c>
      <c r="B626" s="10">
        <f>CHOOSE(CONTROL!$C$42, 19.1809, 19.1809) * CHOOSE(CONTROL!$C$21, $C$9, 100%, $E$9)</f>
        <v>19.180900000000001</v>
      </c>
      <c r="C626" s="10">
        <f>CHOOSE(CONTROL!$C$42, 19.1858, 19.1858) * CHOOSE(CONTROL!$C$21, $C$9, 100%, $E$9)</f>
        <v>19.1858</v>
      </c>
      <c r="D626" s="10">
        <f>CHOOSE(CONTROL!$C$42, 19.2103, 19.2103) * CHOOSE(CONTROL!$C$21, $C$9, 100%, $E$9)</f>
        <v>19.2103</v>
      </c>
      <c r="E626" s="10">
        <f>CHOOSE(CONTROL!$C$42, 19.2441, 19.2441) * CHOOSE(CONTROL!$C$21, $C$9, 100%, $E$9)</f>
        <v>19.2441</v>
      </c>
      <c r="F626" s="10">
        <f>CHOOSE(CONTROL!$C$42, 19.1631, 19.1631)*CHOOSE(CONTROL!$C$21, $C$9, 100%, $E$9)</f>
        <v>19.1631</v>
      </c>
      <c r="G626" s="10">
        <f>CHOOSE(CONTROL!$C$42, 19.1816, 19.1816)*CHOOSE(CONTROL!$C$21, $C$9, 100%, $E$9)</f>
        <v>19.1816</v>
      </c>
      <c r="H626" s="10">
        <f>CHOOSE(CONTROL!$C$42, 19.2333, 19.2333) * CHOOSE(CONTROL!$C$21, $C$9, 100%, $E$9)</f>
        <v>19.2333</v>
      </c>
      <c r="I626" s="10">
        <f>CHOOSE(CONTROL!$C$42, 19.1754, 19.1754)* CHOOSE(CONTROL!$C$21, $C$9, 100%, $E$9)</f>
        <v>19.1754</v>
      </c>
      <c r="J626" s="10">
        <f>CHOOSE(CONTROL!$C$42, 19.1561, 19.1561)* CHOOSE(CONTROL!$C$21, $C$9, 100%, $E$9)</f>
        <v>19.156099999999999</v>
      </c>
      <c r="K626" s="10">
        <f>CHOOSE(CONTROL!$C$42, 18.7845, 18.7845) * CHOOSE(CONTROL!$C$21, $C$9, 100%, $E$9)</f>
        <v>18.784500000000001</v>
      </c>
      <c r="L626" s="10">
        <f>CHOOSE(CONTROL!$C$42, 19.8203, 19.8203) * CHOOSE(CONTROL!$C$21, $C$9, 100%, $E$9)</f>
        <v>19.8203</v>
      </c>
      <c r="M626" s="10">
        <f>CHOOSE(CONTROL!$C$42, 18.9766, 18.9766) * CHOOSE(CONTROL!$C$21, $C$9, 100%, $E$9)</f>
        <v>18.976600000000001</v>
      </c>
      <c r="N626" s="10">
        <f>CHOOSE(CONTROL!$C$42, 18.9949, 18.9949) * CHOOSE(CONTROL!$C$21, $C$9, 100%, $E$9)</f>
        <v>18.994900000000001</v>
      </c>
      <c r="O626" s="10">
        <f>CHOOSE(CONTROL!$C$42, 19.053, 19.053) * CHOOSE(CONTROL!$C$21, $C$9, 100%, $E$9)</f>
        <v>19.053000000000001</v>
      </c>
      <c r="P626" s="10">
        <f>CHOOSE(CONTROL!$C$42, 18.9957, 18.9957) * CHOOSE(CONTROL!$C$21, $C$9, 100%, $E$9)</f>
        <v>18.995699999999999</v>
      </c>
      <c r="Q626" s="10">
        <f>CHOOSE(CONTROL!$C$42, 19.6483, 19.6483) * CHOOSE(CONTROL!$C$21, $C$9, 100%, $E$9)</f>
        <v>19.648299999999999</v>
      </c>
      <c r="R626" s="10">
        <f>CHOOSE(CONTROL!$C$42, 20.2844, 20.2844) * CHOOSE(CONTROL!$C$21, $C$9, 100%, $E$9)</f>
        <v>20.284400000000002</v>
      </c>
      <c r="S626" s="10">
        <f>CHOOSE(CONTROL!$C$42, 18.6244, 18.6244) * CHOOSE(CONTROL!$C$21, $C$9, 100%, $E$9)</f>
        <v>18.624400000000001</v>
      </c>
      <c r="T6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6" s="38">
        <f>(1000*CHOOSE(CONTROL!$C$42, 695, 695)*CHOOSE(CONTROL!$C$42, 0.5599, 0.5599)*CHOOSE(CONTROL!$C$42, 28, 28))/1000000</f>
        <v>10.895653999999999</v>
      </c>
      <c r="V626" s="38">
        <f>(1000*CHOOSE(CONTROL!$C$42, 500, 500)*CHOOSE(CONTROL!$C$42, 0.275, 0.275)*CHOOSE(CONTROL!$C$42, 28, 28))/1000000</f>
        <v>3.85</v>
      </c>
      <c r="W626" s="38">
        <f>(1000*CHOOSE(CONTROL!$C$42, 0.1146, 0.1146)*CHOOSE(CONTROL!$C$42, 121.5, 121.5)*CHOOSE(CONTROL!$C$42, 28, 28))/1000000</f>
        <v>0.38986920000000003</v>
      </c>
      <c r="X626" s="38">
        <f>(28*0.1790888*100000/1000000)+(28*0.2374*100000/1000000)</f>
        <v>1.16616864</v>
      </c>
      <c r="Y626" s="38">
        <f>(1000*600*CHOOSE(CONTROL!$C$42, 1.0585, 1.0585)*CHOOSE(CONTROL!$C$42, 28, 28))/1000000</f>
        <v>17.782800000000002</v>
      </c>
      <c r="Z626" s="38"/>
      <c r="AA626" s="10"/>
      <c r="AB626" s="39"/>
      <c r="AC626" s="33">
        <f>(B626*122.58+C626*297.941+D626*89.177+E626*40.302+F626*40+G626*160+H626*0+I626*100+J626*300)/(122.58+297.941+89.177+40.302+0+40+160+100+300)</f>
        <v>19.179194609652175</v>
      </c>
      <c r="AD626" s="27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19.015028776978419</v>
      </c>
    </row>
    <row r="627" spans="1:30" ht="15.75" x14ac:dyDescent="0.25">
      <c r="A627" s="13">
        <v>60357</v>
      </c>
      <c r="B627" s="10">
        <f>CHOOSE(CONTROL!$C$42, 18.6364, 18.6364) * CHOOSE(CONTROL!$C$21, $C$9, 100%, $E$9)</f>
        <v>18.636399999999998</v>
      </c>
      <c r="C627" s="10">
        <f>CHOOSE(CONTROL!$C$42, 18.6413, 18.6413) * CHOOSE(CONTROL!$C$21, $C$9, 100%, $E$9)</f>
        <v>18.641300000000001</v>
      </c>
      <c r="D627" s="10">
        <f>CHOOSE(CONTROL!$C$42, 18.6658, 18.6658) * CHOOSE(CONTROL!$C$21, $C$9, 100%, $E$9)</f>
        <v>18.665800000000001</v>
      </c>
      <c r="E627" s="10">
        <f>CHOOSE(CONTROL!$C$42, 18.6996, 18.6996) * CHOOSE(CONTROL!$C$21, $C$9, 100%, $E$9)</f>
        <v>18.6996</v>
      </c>
      <c r="F627" s="10">
        <f>CHOOSE(CONTROL!$C$42, 18.6171, 18.6171)*CHOOSE(CONTROL!$C$21, $C$9, 100%, $E$9)</f>
        <v>18.617100000000001</v>
      </c>
      <c r="G627" s="10">
        <f>CHOOSE(CONTROL!$C$42, 18.6352, 18.6352)*CHOOSE(CONTROL!$C$21, $C$9, 100%, $E$9)</f>
        <v>18.635200000000001</v>
      </c>
      <c r="H627" s="10">
        <f>CHOOSE(CONTROL!$C$42, 18.6888, 18.6888) * CHOOSE(CONTROL!$C$21, $C$9, 100%, $E$9)</f>
        <v>18.688800000000001</v>
      </c>
      <c r="I627" s="10">
        <f>CHOOSE(CONTROL!$C$42, 18.6309, 18.6309)* CHOOSE(CONTROL!$C$21, $C$9, 100%, $E$9)</f>
        <v>18.6309</v>
      </c>
      <c r="J627" s="10">
        <f>CHOOSE(CONTROL!$C$42, 18.6101, 18.6101)* CHOOSE(CONTROL!$C$21, $C$9, 100%, $E$9)</f>
        <v>18.610099999999999</v>
      </c>
      <c r="K627" s="10">
        <f>CHOOSE(CONTROL!$C$42, 18.2522, 18.2522) * CHOOSE(CONTROL!$C$21, $C$9, 100%, $E$9)</f>
        <v>18.252199999999998</v>
      </c>
      <c r="L627" s="10">
        <f>CHOOSE(CONTROL!$C$42, 19.2758, 19.2758) * CHOOSE(CONTROL!$C$21, $C$9, 100%, $E$9)</f>
        <v>19.2758</v>
      </c>
      <c r="M627" s="10">
        <f>CHOOSE(CONTROL!$C$42, 18.4361, 18.4361) * CHOOSE(CONTROL!$C$21, $C$9, 100%, $E$9)</f>
        <v>18.4361</v>
      </c>
      <c r="N627" s="10">
        <f>CHOOSE(CONTROL!$C$42, 18.454, 18.454) * CHOOSE(CONTROL!$C$21, $C$9, 100%, $E$9)</f>
        <v>18.454000000000001</v>
      </c>
      <c r="O627" s="10">
        <f>CHOOSE(CONTROL!$C$42, 18.514, 18.514) * CHOOSE(CONTROL!$C$21, $C$9, 100%, $E$9)</f>
        <v>18.513999999999999</v>
      </c>
      <c r="P627" s="10">
        <f>CHOOSE(CONTROL!$C$42, 18.4567, 18.4567) * CHOOSE(CONTROL!$C$21, $C$9, 100%, $E$9)</f>
        <v>18.456700000000001</v>
      </c>
      <c r="Q627" s="10">
        <f>CHOOSE(CONTROL!$C$42, 19.1093, 19.1093) * CHOOSE(CONTROL!$C$21, $C$9, 100%, $E$9)</f>
        <v>19.109300000000001</v>
      </c>
      <c r="R627" s="10">
        <f>CHOOSE(CONTROL!$C$42, 19.7441, 19.7441) * CHOOSE(CONTROL!$C$21, $C$9, 100%, $E$9)</f>
        <v>19.7441</v>
      </c>
      <c r="S627" s="10">
        <f>CHOOSE(CONTROL!$C$42, 18.0957, 18.0957) * CHOOSE(CONTROL!$C$21, $C$9, 100%, $E$9)</f>
        <v>18.095700000000001</v>
      </c>
      <c r="T6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38">
        <f>(1000*CHOOSE(CONTROL!$C$42, 695, 695)*CHOOSE(CONTROL!$C$42, 0.5599, 0.5599)*CHOOSE(CONTROL!$C$42, 31, 31))/1000000</f>
        <v>12.063045499999998</v>
      </c>
      <c r="V627" s="38">
        <f>(1000*CHOOSE(CONTROL!$C$42, 500, 500)*CHOOSE(CONTROL!$C$42, 0.275, 0.275)*CHOOSE(CONTROL!$C$42, 31, 31))/1000000</f>
        <v>4.2625000000000002</v>
      </c>
      <c r="W627" s="38">
        <f>(1000*CHOOSE(CONTROL!$C$42, 0.1146, 0.1146)*CHOOSE(CONTROL!$C$42, 121.5, 121.5)*CHOOSE(CONTROL!$C$42, 31, 31))/1000000</f>
        <v>0.43164089999999994</v>
      </c>
      <c r="X627" s="38">
        <f>(31*0.1790888*100000/1000000)+(31*0.2374*100000/1000000)</f>
        <v>1.2911152800000001</v>
      </c>
      <c r="Y627" s="38">
        <f>(1000*600*CHOOSE(CONTROL!$C$42, 1.0585, 1.0585)*CHOOSE(CONTROL!$C$42, 31, 31))/1000000</f>
        <v>19.688099999999999</v>
      </c>
      <c r="Z627" s="38"/>
      <c r="AA627" s="10"/>
      <c r="AB627" s="39"/>
      <c r="AC627" s="33">
        <f>(B627*122.58+C627*297.941+D627*89.177+E627*40.302+F627*40+G627*160+H627*0+I627*100+J627*300)/(122.58+297.941+89.177+40.302+0+40+160+100+300)</f>
        <v>18.633986783565216</v>
      </c>
      <c r="AD627" s="27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18.475401438848923</v>
      </c>
    </row>
    <row r="628" spans="1:30" ht="15.75" x14ac:dyDescent="0.25">
      <c r="A628" s="13">
        <v>60387</v>
      </c>
      <c r="B628" s="10">
        <f>CHOOSE(CONTROL!$C$42, 18.5814, 18.5814) * CHOOSE(CONTROL!$C$21, $C$9, 100%, $E$9)</f>
        <v>18.581399999999999</v>
      </c>
      <c r="C628" s="10">
        <f>CHOOSE(CONTROL!$C$42, 18.5858, 18.5858) * CHOOSE(CONTROL!$C$21, $C$9, 100%, $E$9)</f>
        <v>18.585799999999999</v>
      </c>
      <c r="D628" s="10">
        <f>CHOOSE(CONTROL!$C$42, 18.7659, 18.7659) * CHOOSE(CONTROL!$C$21, $C$9, 100%, $E$9)</f>
        <v>18.765899999999998</v>
      </c>
      <c r="E628" s="10">
        <f>CHOOSE(CONTROL!$C$42, 18.7977, 18.7977) * CHOOSE(CONTROL!$C$21, $C$9, 100%, $E$9)</f>
        <v>18.797699999999999</v>
      </c>
      <c r="F628" s="10">
        <f>CHOOSE(CONTROL!$C$42, 18.5467, 18.5467)*CHOOSE(CONTROL!$C$21, $C$9, 100%, $E$9)</f>
        <v>18.546700000000001</v>
      </c>
      <c r="G628" s="10">
        <f>CHOOSE(CONTROL!$C$42, 18.563, 18.563)*CHOOSE(CONTROL!$C$21, $C$9, 100%, $E$9)</f>
        <v>18.562999999999999</v>
      </c>
      <c r="H628" s="10">
        <f>CHOOSE(CONTROL!$C$42, 18.7875, 18.7875) * CHOOSE(CONTROL!$C$21, $C$9, 100%, $E$9)</f>
        <v>18.787500000000001</v>
      </c>
      <c r="I628" s="10">
        <f>CHOOSE(CONTROL!$C$42, 18.5674, 18.5674)* CHOOSE(CONTROL!$C$21, $C$9, 100%, $E$9)</f>
        <v>18.567399999999999</v>
      </c>
      <c r="J628" s="10">
        <f>CHOOSE(CONTROL!$C$42, 18.5397, 18.5397)* CHOOSE(CONTROL!$C$21, $C$9, 100%, $E$9)</f>
        <v>18.5397</v>
      </c>
      <c r="K628" s="10">
        <f>CHOOSE(CONTROL!$C$42, 18.1755, 18.1755) * CHOOSE(CONTROL!$C$21, $C$9, 100%, $E$9)</f>
        <v>18.1755</v>
      </c>
      <c r="L628" s="10">
        <f>CHOOSE(CONTROL!$C$42, 19.3745, 19.3745) * CHOOSE(CONTROL!$C$21, $C$9, 100%, $E$9)</f>
        <v>19.374500000000001</v>
      </c>
      <c r="M628" s="10">
        <f>CHOOSE(CONTROL!$C$42, 18.3664, 18.3664) * CHOOSE(CONTROL!$C$21, $C$9, 100%, $E$9)</f>
        <v>18.366399999999999</v>
      </c>
      <c r="N628" s="10">
        <f>CHOOSE(CONTROL!$C$42, 18.3825, 18.3825) * CHOOSE(CONTROL!$C$21, $C$9, 100%, $E$9)</f>
        <v>18.3825</v>
      </c>
      <c r="O628" s="10">
        <f>CHOOSE(CONTROL!$C$42, 18.6117, 18.6117) * CHOOSE(CONTROL!$C$21, $C$9, 100%, $E$9)</f>
        <v>18.611699999999999</v>
      </c>
      <c r="P628" s="10">
        <f>CHOOSE(CONTROL!$C$42, 18.3939, 18.3939) * CHOOSE(CONTROL!$C$21, $C$9, 100%, $E$9)</f>
        <v>18.393899999999999</v>
      </c>
      <c r="Q628" s="10">
        <f>CHOOSE(CONTROL!$C$42, 19.207, 19.207) * CHOOSE(CONTROL!$C$21, $C$9, 100%, $E$9)</f>
        <v>19.207000000000001</v>
      </c>
      <c r="R628" s="10">
        <f>CHOOSE(CONTROL!$C$42, 19.842, 19.842) * CHOOSE(CONTROL!$C$21, $C$9, 100%, $E$9)</f>
        <v>19.841999999999999</v>
      </c>
      <c r="S628" s="10">
        <f>CHOOSE(CONTROL!$C$42, 18.0415, 18.0415) * CHOOSE(CONTROL!$C$21, $C$9, 100%, $E$9)</f>
        <v>18.041499999999999</v>
      </c>
      <c r="T6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38">
        <f>(1000*CHOOSE(CONTROL!$C$42, 695, 695)*CHOOSE(CONTROL!$C$42, 0.5599, 0.5599)*CHOOSE(CONTROL!$C$42, 30, 30))/1000000</f>
        <v>11.673914999999997</v>
      </c>
      <c r="V628" s="38">
        <f>(1000*CHOOSE(CONTROL!$C$42, 500, 500)*CHOOSE(CONTROL!$C$42, 0.275, 0.275)*CHOOSE(CONTROL!$C$42, 30, 30))/1000000</f>
        <v>4.125</v>
      </c>
      <c r="W628" s="38">
        <f>(1000*CHOOSE(CONTROL!$C$42, 0.1146, 0.1146)*CHOOSE(CONTROL!$C$42, 121.5, 121.5)*CHOOSE(CONTROL!$C$42, 30, 30))/1000000</f>
        <v>0.417717</v>
      </c>
      <c r="X628" s="38">
        <f>(30*0.1790888*245000/1000000)+(30*0.2374*100000/1000000)</f>
        <v>2.0285026799999999</v>
      </c>
      <c r="Y628" s="38">
        <f>(1000*600*CHOOSE(CONTROL!$C$42, 1.0585, 1.0585)*CHOOSE(CONTROL!$C$42, 30, 30))/1000000</f>
        <v>19.053000000000001</v>
      </c>
      <c r="Z628" s="38"/>
      <c r="AA628" s="10"/>
      <c r="AB628" s="39"/>
      <c r="AC628" s="33">
        <f>(B628*141.293+C628*267.993+D628*115.016+E628*89.698+F628*40+G628*185+H628*0+I628*100+J628*300)/(141.293+267.993+115.016+89.698+0+40+185+100+300)</f>
        <v>18.600043501694916</v>
      </c>
      <c r="AD628" s="27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18.482462589928058</v>
      </c>
    </row>
    <row r="629" spans="1:30" ht="15.75" x14ac:dyDescent="0.25">
      <c r="A629" s="13">
        <v>60418</v>
      </c>
      <c r="B629" s="10">
        <f>CHOOSE(CONTROL!$C$42, 18.7471, 18.7471) * CHOOSE(CONTROL!$C$21, $C$9, 100%, $E$9)</f>
        <v>18.7471</v>
      </c>
      <c r="C629" s="10">
        <f>CHOOSE(CONTROL!$C$42, 18.7551, 18.7551) * CHOOSE(CONTROL!$C$21, $C$9, 100%, $E$9)</f>
        <v>18.755099999999999</v>
      </c>
      <c r="D629" s="10">
        <f>CHOOSE(CONTROL!$C$42, 18.932, 18.932) * CHOOSE(CONTROL!$C$21, $C$9, 100%, $E$9)</f>
        <v>18.931999999999999</v>
      </c>
      <c r="E629" s="10">
        <f>CHOOSE(CONTROL!$C$42, 18.9632, 18.9632) * CHOOSE(CONTROL!$C$21, $C$9, 100%, $E$9)</f>
        <v>18.963200000000001</v>
      </c>
      <c r="F629" s="10">
        <f>CHOOSE(CONTROL!$C$42, 18.7105, 18.7105)*CHOOSE(CONTROL!$C$21, $C$9, 100%, $E$9)</f>
        <v>18.7105</v>
      </c>
      <c r="G629" s="10">
        <f>CHOOSE(CONTROL!$C$42, 18.727, 18.727)*CHOOSE(CONTROL!$C$21, $C$9, 100%, $E$9)</f>
        <v>18.727</v>
      </c>
      <c r="H629" s="10">
        <f>CHOOSE(CONTROL!$C$42, 18.9518, 18.9518) * CHOOSE(CONTROL!$C$21, $C$9, 100%, $E$9)</f>
        <v>18.951799999999999</v>
      </c>
      <c r="I629" s="10">
        <f>CHOOSE(CONTROL!$C$42, 18.7317, 18.7317)* CHOOSE(CONTROL!$C$21, $C$9, 100%, $E$9)</f>
        <v>18.7317</v>
      </c>
      <c r="J629" s="10">
        <f>CHOOSE(CONTROL!$C$42, 18.7035, 18.7035)* CHOOSE(CONTROL!$C$21, $C$9, 100%, $E$9)</f>
        <v>18.703499999999998</v>
      </c>
      <c r="K629" s="10">
        <f>CHOOSE(CONTROL!$C$42, 18.3339, 18.3339) * CHOOSE(CONTROL!$C$21, $C$9, 100%, $E$9)</f>
        <v>18.3339</v>
      </c>
      <c r="L629" s="10">
        <f>CHOOSE(CONTROL!$C$42, 19.5388, 19.5388) * CHOOSE(CONTROL!$C$21, $C$9, 100%, $E$9)</f>
        <v>19.538799999999998</v>
      </c>
      <c r="M629" s="10">
        <f>CHOOSE(CONTROL!$C$42, 18.5286, 18.5286) * CHOOSE(CONTROL!$C$21, $C$9, 100%, $E$9)</f>
        <v>18.528600000000001</v>
      </c>
      <c r="N629" s="10">
        <f>CHOOSE(CONTROL!$C$42, 18.5449, 18.5449) * CHOOSE(CONTROL!$C$21, $C$9, 100%, $E$9)</f>
        <v>18.544899999999998</v>
      </c>
      <c r="O629" s="10">
        <f>CHOOSE(CONTROL!$C$42, 18.7744, 18.7744) * CHOOSE(CONTROL!$C$21, $C$9, 100%, $E$9)</f>
        <v>18.7744</v>
      </c>
      <c r="P629" s="10">
        <f>CHOOSE(CONTROL!$C$42, 18.5566, 18.5566) * CHOOSE(CONTROL!$C$21, $C$9, 100%, $E$9)</f>
        <v>18.5566</v>
      </c>
      <c r="Q629" s="10">
        <f>CHOOSE(CONTROL!$C$42, 19.3697, 19.3697) * CHOOSE(CONTROL!$C$21, $C$9, 100%, $E$9)</f>
        <v>19.369700000000002</v>
      </c>
      <c r="R629" s="10">
        <f>CHOOSE(CONTROL!$C$42, 20.0051, 20.0051) * CHOOSE(CONTROL!$C$21, $C$9, 100%, $E$9)</f>
        <v>20.005099999999999</v>
      </c>
      <c r="S629" s="10">
        <f>CHOOSE(CONTROL!$C$42, 18.2011, 18.2011) * CHOOSE(CONTROL!$C$21, $C$9, 100%, $E$9)</f>
        <v>18.2011</v>
      </c>
      <c r="T6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38">
        <f>(1000*CHOOSE(CONTROL!$C$42, 695, 695)*CHOOSE(CONTROL!$C$42, 0.5599, 0.5599)*CHOOSE(CONTROL!$C$42, 31, 31))/1000000</f>
        <v>12.063045499999998</v>
      </c>
      <c r="V629" s="38">
        <f>(1000*CHOOSE(CONTROL!$C$42, 500, 500)*CHOOSE(CONTROL!$C$42, 0.275, 0.275)*CHOOSE(CONTROL!$C$42, 31, 31))/1000000</f>
        <v>4.2625000000000002</v>
      </c>
      <c r="W629" s="38">
        <f>(1000*CHOOSE(CONTROL!$C$42, 0.1146, 0.1146)*CHOOSE(CONTROL!$C$42, 121.5, 121.5)*CHOOSE(CONTROL!$C$42, 31, 31))/1000000</f>
        <v>0.43164089999999994</v>
      </c>
      <c r="X629" s="38">
        <f>(31*0.1790888*245000/1000000)+(31*0.2374*100000/1000000)</f>
        <v>2.0961194359999999</v>
      </c>
      <c r="Y629" s="38">
        <f>(1000*600*CHOOSE(CONTROL!$C$42, 1.0585, 1.0585)*CHOOSE(CONTROL!$C$42, 31, 31))/1000000</f>
        <v>19.688099999999999</v>
      </c>
      <c r="Z629" s="38"/>
      <c r="AA629" s="10"/>
      <c r="AB629" s="39"/>
      <c r="AC629" s="33">
        <f>(B629*194.205+C629*267.466+D629*133.845+E629*53.484+F629*40+G629*185+H629*0+I629*100+J629*300)/(194.205+267.466+133.845+53.484+0+40+185+100+300)</f>
        <v>18.761733485792782</v>
      </c>
      <c r="AD629" s="27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18.644972661870504</v>
      </c>
    </row>
    <row r="630" spans="1:30" ht="15.75" x14ac:dyDescent="0.25">
      <c r="A630" s="13">
        <v>60448</v>
      </c>
      <c r="B630" s="10">
        <f>CHOOSE(CONTROL!$C$42, 19.2788, 19.2788) * CHOOSE(CONTROL!$C$21, $C$9, 100%, $E$9)</f>
        <v>19.2788</v>
      </c>
      <c r="C630" s="10">
        <f>CHOOSE(CONTROL!$C$42, 19.2867, 19.2867) * CHOOSE(CONTROL!$C$21, $C$9, 100%, $E$9)</f>
        <v>19.2867</v>
      </c>
      <c r="D630" s="10">
        <f>CHOOSE(CONTROL!$C$42, 19.4637, 19.4637) * CHOOSE(CONTROL!$C$21, $C$9, 100%, $E$9)</f>
        <v>19.463699999999999</v>
      </c>
      <c r="E630" s="10">
        <f>CHOOSE(CONTROL!$C$42, 19.4948, 19.4948) * CHOOSE(CONTROL!$C$21, $C$9, 100%, $E$9)</f>
        <v>19.494800000000001</v>
      </c>
      <c r="F630" s="10">
        <f>CHOOSE(CONTROL!$C$42, 19.2423, 19.2423)*CHOOSE(CONTROL!$C$21, $C$9, 100%, $E$9)</f>
        <v>19.2423</v>
      </c>
      <c r="G630" s="10">
        <f>CHOOSE(CONTROL!$C$42, 19.2588, 19.2588)*CHOOSE(CONTROL!$C$21, $C$9, 100%, $E$9)</f>
        <v>19.258800000000001</v>
      </c>
      <c r="H630" s="10">
        <f>CHOOSE(CONTROL!$C$42, 19.4834, 19.4834) * CHOOSE(CONTROL!$C$21, $C$9, 100%, $E$9)</f>
        <v>19.4834</v>
      </c>
      <c r="I630" s="10">
        <f>CHOOSE(CONTROL!$C$42, 19.2634, 19.2634)* CHOOSE(CONTROL!$C$21, $C$9, 100%, $E$9)</f>
        <v>19.263400000000001</v>
      </c>
      <c r="J630" s="10">
        <f>CHOOSE(CONTROL!$C$42, 19.2353, 19.2353)* CHOOSE(CONTROL!$C$21, $C$9, 100%, $E$9)</f>
        <v>19.235299999999999</v>
      </c>
      <c r="K630" s="10">
        <f>CHOOSE(CONTROL!$C$42, 18.8508, 18.8508) * CHOOSE(CONTROL!$C$21, $C$9, 100%, $E$9)</f>
        <v>18.8508</v>
      </c>
      <c r="L630" s="10">
        <f>CHOOSE(CONTROL!$C$42, 20.0704, 20.0704) * CHOOSE(CONTROL!$C$21, $C$9, 100%, $E$9)</f>
        <v>20.070399999999999</v>
      </c>
      <c r="M630" s="10">
        <f>CHOOSE(CONTROL!$C$42, 19.055, 19.055) * CHOOSE(CONTROL!$C$21, $C$9, 100%, $E$9)</f>
        <v>19.055</v>
      </c>
      <c r="N630" s="10">
        <f>CHOOSE(CONTROL!$C$42, 19.0714, 19.0714) * CHOOSE(CONTROL!$C$21, $C$9, 100%, $E$9)</f>
        <v>19.071400000000001</v>
      </c>
      <c r="O630" s="10">
        <f>CHOOSE(CONTROL!$C$42, 19.3006, 19.3006) * CHOOSE(CONTROL!$C$21, $C$9, 100%, $E$9)</f>
        <v>19.300599999999999</v>
      </c>
      <c r="P630" s="10">
        <f>CHOOSE(CONTROL!$C$42, 19.0828, 19.0828) * CHOOSE(CONTROL!$C$21, $C$9, 100%, $E$9)</f>
        <v>19.082799999999999</v>
      </c>
      <c r="Q630" s="10">
        <f>CHOOSE(CONTROL!$C$42, 19.8959, 19.8959) * CHOOSE(CONTROL!$C$21, $C$9, 100%, $E$9)</f>
        <v>19.895900000000001</v>
      </c>
      <c r="R630" s="10">
        <f>CHOOSE(CONTROL!$C$42, 20.5327, 20.5327) * CHOOSE(CONTROL!$C$21, $C$9, 100%, $E$9)</f>
        <v>20.532699999999998</v>
      </c>
      <c r="S630" s="10">
        <f>CHOOSE(CONTROL!$C$42, 18.7174, 18.7174) * CHOOSE(CONTROL!$C$21, $C$9, 100%, $E$9)</f>
        <v>18.717400000000001</v>
      </c>
      <c r="T6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38">
        <f>(1000*CHOOSE(CONTROL!$C$42, 695, 695)*CHOOSE(CONTROL!$C$42, 0.5599, 0.5599)*CHOOSE(CONTROL!$C$42, 30, 30))/1000000</f>
        <v>11.673914999999997</v>
      </c>
      <c r="V630" s="38">
        <f>(1000*CHOOSE(CONTROL!$C$42, 500, 500)*CHOOSE(CONTROL!$C$42, 0.275, 0.275)*CHOOSE(CONTROL!$C$42, 30, 30))/1000000</f>
        <v>4.125</v>
      </c>
      <c r="W630" s="38">
        <f>(1000*CHOOSE(CONTROL!$C$42, 0.1146, 0.1146)*CHOOSE(CONTROL!$C$42, 121.5, 121.5)*CHOOSE(CONTROL!$C$42, 30, 30))/1000000</f>
        <v>0.417717</v>
      </c>
      <c r="X630" s="38">
        <f>(30*0.1790888*245000/1000000)+(30*0.2374*100000/1000000)</f>
        <v>2.0285026799999999</v>
      </c>
      <c r="Y630" s="38">
        <f>(1000*600*CHOOSE(CONTROL!$C$42, 1.0585, 1.0585)*CHOOSE(CONTROL!$C$42, 30, 30))/1000000</f>
        <v>19.053000000000001</v>
      </c>
      <c r="Z630" s="38"/>
      <c r="AA630" s="10"/>
      <c r="AB630" s="39"/>
      <c r="AC630" s="33">
        <f>(B630*194.205+C630*267.466+D630*133.845+E630*53.484+F630*40+G630*185+H630*0+I630*100+J630*300)/(194.205+267.466+133.845+53.484+0+40+185+100+300)</f>
        <v>19.293449502276296</v>
      </c>
      <c r="AD630" s="27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19.171258992805754</v>
      </c>
    </row>
    <row r="631" spans="1:30" ht="15.75" x14ac:dyDescent="0.25">
      <c r="A631" s="13">
        <v>60479</v>
      </c>
      <c r="B631" s="10">
        <f>CHOOSE(CONTROL!$C$42, 18.909, 18.909) * CHOOSE(CONTROL!$C$21, $C$9, 100%, $E$9)</f>
        <v>18.908999999999999</v>
      </c>
      <c r="C631" s="10">
        <f>CHOOSE(CONTROL!$C$42, 18.9169, 18.9169) * CHOOSE(CONTROL!$C$21, $C$9, 100%, $E$9)</f>
        <v>18.916899999999998</v>
      </c>
      <c r="D631" s="10">
        <f>CHOOSE(CONTROL!$C$42, 19.0939, 19.0939) * CHOOSE(CONTROL!$C$21, $C$9, 100%, $E$9)</f>
        <v>19.093900000000001</v>
      </c>
      <c r="E631" s="10">
        <f>CHOOSE(CONTROL!$C$42, 19.1251, 19.1251) * CHOOSE(CONTROL!$C$21, $C$9, 100%, $E$9)</f>
        <v>19.1251</v>
      </c>
      <c r="F631" s="10">
        <f>CHOOSE(CONTROL!$C$42, 18.8728, 18.8728)*CHOOSE(CONTROL!$C$21, $C$9, 100%, $E$9)</f>
        <v>18.872800000000002</v>
      </c>
      <c r="G631" s="10">
        <f>CHOOSE(CONTROL!$C$42, 18.8894, 18.8894)*CHOOSE(CONTROL!$C$21, $C$9, 100%, $E$9)</f>
        <v>18.889399999999998</v>
      </c>
      <c r="H631" s="10">
        <f>CHOOSE(CONTROL!$C$42, 19.1137, 19.1137) * CHOOSE(CONTROL!$C$21, $C$9, 100%, $E$9)</f>
        <v>19.113700000000001</v>
      </c>
      <c r="I631" s="10">
        <f>CHOOSE(CONTROL!$C$42, 18.8936, 18.8936)* CHOOSE(CONTROL!$C$21, $C$9, 100%, $E$9)</f>
        <v>18.893599999999999</v>
      </c>
      <c r="J631" s="10">
        <f>CHOOSE(CONTROL!$C$42, 18.8658, 18.8658)* CHOOSE(CONTROL!$C$21, $C$9, 100%, $E$9)</f>
        <v>18.8658</v>
      </c>
      <c r="K631" s="10">
        <f>CHOOSE(CONTROL!$C$42, 18.4921, 18.4921) * CHOOSE(CONTROL!$C$21, $C$9, 100%, $E$9)</f>
        <v>18.492100000000001</v>
      </c>
      <c r="L631" s="10">
        <f>CHOOSE(CONTROL!$C$42, 19.7007, 19.7007) * CHOOSE(CONTROL!$C$21, $C$9, 100%, $E$9)</f>
        <v>19.700700000000001</v>
      </c>
      <c r="M631" s="10">
        <f>CHOOSE(CONTROL!$C$42, 18.6892, 18.6892) * CHOOSE(CONTROL!$C$21, $C$9, 100%, $E$9)</f>
        <v>18.6892</v>
      </c>
      <c r="N631" s="10">
        <f>CHOOSE(CONTROL!$C$42, 18.7057, 18.7057) * CHOOSE(CONTROL!$C$21, $C$9, 100%, $E$9)</f>
        <v>18.7057</v>
      </c>
      <c r="O631" s="10">
        <f>CHOOSE(CONTROL!$C$42, 18.9346, 18.9346) * CHOOSE(CONTROL!$C$21, $C$9, 100%, $E$9)</f>
        <v>18.9346</v>
      </c>
      <c r="P631" s="10">
        <f>CHOOSE(CONTROL!$C$42, 18.7168, 18.7168) * CHOOSE(CONTROL!$C$21, $C$9, 100%, $E$9)</f>
        <v>18.716799999999999</v>
      </c>
      <c r="Q631" s="10">
        <f>CHOOSE(CONTROL!$C$42, 19.5299, 19.5299) * CHOOSE(CONTROL!$C$21, $C$9, 100%, $E$9)</f>
        <v>19.529900000000001</v>
      </c>
      <c r="R631" s="10">
        <f>CHOOSE(CONTROL!$C$42, 20.1658, 20.1658) * CHOOSE(CONTROL!$C$21, $C$9, 100%, $E$9)</f>
        <v>20.165800000000001</v>
      </c>
      <c r="S631" s="10">
        <f>CHOOSE(CONTROL!$C$42, 18.3583, 18.3583) * CHOOSE(CONTROL!$C$21, $C$9, 100%, $E$9)</f>
        <v>18.3583</v>
      </c>
      <c r="T6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38">
        <f>(1000*CHOOSE(CONTROL!$C$42, 695, 695)*CHOOSE(CONTROL!$C$42, 0.5599, 0.5599)*CHOOSE(CONTROL!$C$42, 31, 31))/1000000</f>
        <v>12.063045499999998</v>
      </c>
      <c r="V631" s="38">
        <f>(1000*CHOOSE(CONTROL!$C$42, 500, 500)*CHOOSE(CONTROL!$C$42, 0.275, 0.275)*CHOOSE(CONTROL!$C$42, 31, 31))/1000000</f>
        <v>4.2625000000000002</v>
      </c>
      <c r="W631" s="38">
        <f>(1000*CHOOSE(CONTROL!$C$42, 0.1146, 0.1146)*CHOOSE(CONTROL!$C$42, 121.5, 121.5)*CHOOSE(CONTROL!$C$42, 31, 31))/1000000</f>
        <v>0.43164089999999994</v>
      </c>
      <c r="X631" s="38">
        <f>(31*0.1790888*245000/1000000)+(31*0.2374*100000/1000000)</f>
        <v>2.0961194359999999</v>
      </c>
      <c r="Y631" s="38">
        <f>(1000*600*CHOOSE(CONTROL!$C$42, 1.0585, 1.0585)*CHOOSE(CONTROL!$C$42, 31, 31))/1000000</f>
        <v>19.688099999999999</v>
      </c>
      <c r="Z631" s="38"/>
      <c r="AA631" s="10"/>
      <c r="AB631" s="39"/>
      <c r="AC631" s="33">
        <f>(B631*194.205+C631*267.466+D631*133.845+E631*53.484+F631*40+G631*185+H631*0+I631*100+J631*300)/(194.205+267.466+133.845+53.484+0+40+185+100+300)</f>
        <v>18.923791847959183</v>
      </c>
      <c r="AD631" s="27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18.805345323741008</v>
      </c>
    </row>
    <row r="632" spans="1:30" ht="15.75" x14ac:dyDescent="0.25">
      <c r="A632" s="13">
        <v>60510</v>
      </c>
      <c r="B632" s="10">
        <f>CHOOSE(CONTROL!$C$42, 17.9753, 17.9753) * CHOOSE(CONTROL!$C$21, $C$9, 100%, $E$9)</f>
        <v>17.975300000000001</v>
      </c>
      <c r="C632" s="10">
        <f>CHOOSE(CONTROL!$C$42, 17.9832, 17.9832) * CHOOSE(CONTROL!$C$21, $C$9, 100%, $E$9)</f>
        <v>17.9832</v>
      </c>
      <c r="D632" s="10">
        <f>CHOOSE(CONTROL!$C$42, 18.1602, 18.1602) * CHOOSE(CONTROL!$C$21, $C$9, 100%, $E$9)</f>
        <v>18.1602</v>
      </c>
      <c r="E632" s="10">
        <f>CHOOSE(CONTROL!$C$42, 18.1913, 18.1913) * CHOOSE(CONTROL!$C$21, $C$9, 100%, $E$9)</f>
        <v>18.191299999999998</v>
      </c>
      <c r="F632" s="10">
        <f>CHOOSE(CONTROL!$C$42, 17.9391, 17.9391)*CHOOSE(CONTROL!$C$21, $C$9, 100%, $E$9)</f>
        <v>17.9391</v>
      </c>
      <c r="G632" s="10">
        <f>CHOOSE(CONTROL!$C$42, 17.9557, 17.9557)*CHOOSE(CONTROL!$C$21, $C$9, 100%, $E$9)</f>
        <v>17.9557</v>
      </c>
      <c r="H632" s="10">
        <f>CHOOSE(CONTROL!$C$42, 18.1799, 18.1799) * CHOOSE(CONTROL!$C$21, $C$9, 100%, $E$9)</f>
        <v>18.1799</v>
      </c>
      <c r="I632" s="10">
        <f>CHOOSE(CONTROL!$C$42, 17.9599, 17.9599)* CHOOSE(CONTROL!$C$21, $C$9, 100%, $E$9)</f>
        <v>17.959900000000001</v>
      </c>
      <c r="J632" s="10">
        <f>CHOOSE(CONTROL!$C$42, 17.9321, 17.9321)* CHOOSE(CONTROL!$C$21, $C$9, 100%, $E$9)</f>
        <v>17.932099999999998</v>
      </c>
      <c r="K632" s="10">
        <f>CHOOSE(CONTROL!$C$42, 17.585, 17.585) * CHOOSE(CONTROL!$C$21, $C$9, 100%, $E$9)</f>
        <v>17.585000000000001</v>
      </c>
      <c r="L632" s="10">
        <f>CHOOSE(CONTROL!$C$42, 18.7669, 18.7669) * CHOOSE(CONTROL!$C$21, $C$9, 100%, $E$9)</f>
        <v>18.7669</v>
      </c>
      <c r="M632" s="10">
        <f>CHOOSE(CONTROL!$C$42, 17.765, 17.765) * CHOOSE(CONTROL!$C$21, $C$9, 100%, $E$9)</f>
        <v>17.765000000000001</v>
      </c>
      <c r="N632" s="10">
        <f>CHOOSE(CONTROL!$C$42, 17.7814, 17.7814) * CHOOSE(CONTROL!$C$21, $C$9, 100%, $E$9)</f>
        <v>17.781400000000001</v>
      </c>
      <c r="O632" s="10">
        <f>CHOOSE(CONTROL!$C$42, 18.0103, 18.0103) * CHOOSE(CONTROL!$C$21, $C$9, 100%, $E$9)</f>
        <v>18.010300000000001</v>
      </c>
      <c r="P632" s="10">
        <f>CHOOSE(CONTROL!$C$42, 17.7925, 17.7925) * CHOOSE(CONTROL!$C$21, $C$9, 100%, $E$9)</f>
        <v>17.7925</v>
      </c>
      <c r="Q632" s="10">
        <f>CHOOSE(CONTROL!$C$42, 18.6056, 18.6056) * CHOOSE(CONTROL!$C$21, $C$9, 100%, $E$9)</f>
        <v>18.605599999999999</v>
      </c>
      <c r="R632" s="10">
        <f>CHOOSE(CONTROL!$C$42, 19.2391, 19.2391) * CHOOSE(CONTROL!$C$21, $C$9, 100%, $E$9)</f>
        <v>19.239100000000001</v>
      </c>
      <c r="S632" s="10">
        <f>CHOOSE(CONTROL!$C$42, 17.4515, 17.4515) * CHOOSE(CONTROL!$C$21, $C$9, 100%, $E$9)</f>
        <v>17.451499999999999</v>
      </c>
      <c r="T6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38">
        <f>(1000*CHOOSE(CONTROL!$C$42, 695, 695)*CHOOSE(CONTROL!$C$42, 0.5599, 0.5599)*CHOOSE(CONTROL!$C$42, 31, 31))/1000000</f>
        <v>12.063045499999998</v>
      </c>
      <c r="V632" s="38">
        <f>(1000*CHOOSE(CONTROL!$C$42, 500, 500)*CHOOSE(CONTROL!$C$42, 0.275, 0.275)*CHOOSE(CONTROL!$C$42, 31, 31))/1000000</f>
        <v>4.2625000000000002</v>
      </c>
      <c r="W632" s="38">
        <f>(1000*CHOOSE(CONTROL!$C$42, 0.1146, 0.1146)*CHOOSE(CONTROL!$C$42, 121.5, 121.5)*CHOOSE(CONTROL!$C$42, 31, 31))/1000000</f>
        <v>0.43164089999999994</v>
      </c>
      <c r="X632" s="38">
        <f>(31*0.1790888*245000/1000000)+(31*0.2374*100000/1000000)</f>
        <v>2.0961194359999999</v>
      </c>
      <c r="Y632" s="38">
        <f>(1000*600*CHOOSE(CONTROL!$C$42, 1.0585, 1.0585)*CHOOSE(CONTROL!$C$42, 31, 31))/1000000</f>
        <v>19.688099999999999</v>
      </c>
      <c r="Z632" s="38"/>
      <c r="AA632" s="10"/>
      <c r="AB632" s="39"/>
      <c r="AC632" s="33">
        <f>(B632*194.205+C632*267.466+D632*133.845+E632*53.484+F632*40+G632*185+H632*0+I632*100+J632*300)/(194.205+267.466+133.845+53.484+0+40+185+100+300)</f>
        <v>17.990087649843019</v>
      </c>
      <c r="AD632" s="27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17.881079856115107</v>
      </c>
    </row>
    <row r="633" spans="1:30" ht="15.75" x14ac:dyDescent="0.25">
      <c r="A633" s="13">
        <v>60540</v>
      </c>
      <c r="B633" s="10">
        <f>CHOOSE(CONTROL!$C$42, 16.8344, 16.8344) * CHOOSE(CONTROL!$C$21, $C$9, 100%, $E$9)</f>
        <v>16.834399999999999</v>
      </c>
      <c r="C633" s="10">
        <f>CHOOSE(CONTROL!$C$42, 16.8423, 16.8423) * CHOOSE(CONTROL!$C$21, $C$9, 100%, $E$9)</f>
        <v>16.842300000000002</v>
      </c>
      <c r="D633" s="10">
        <f>CHOOSE(CONTROL!$C$42, 17.0193, 17.0193) * CHOOSE(CONTROL!$C$21, $C$9, 100%, $E$9)</f>
        <v>17.019300000000001</v>
      </c>
      <c r="E633" s="10">
        <f>CHOOSE(CONTROL!$C$42, 17.0505, 17.0505) * CHOOSE(CONTROL!$C$21, $C$9, 100%, $E$9)</f>
        <v>17.0505</v>
      </c>
      <c r="F633" s="10">
        <f>CHOOSE(CONTROL!$C$42, 16.798, 16.798)*CHOOSE(CONTROL!$C$21, $C$9, 100%, $E$9)</f>
        <v>16.797999999999998</v>
      </c>
      <c r="G633" s="10">
        <f>CHOOSE(CONTROL!$C$42, 16.8146, 16.8146)*CHOOSE(CONTROL!$C$21, $C$9, 100%, $E$9)</f>
        <v>16.814599999999999</v>
      </c>
      <c r="H633" s="10">
        <f>CHOOSE(CONTROL!$C$42, 17.0391, 17.0391) * CHOOSE(CONTROL!$C$21, $C$9, 100%, $E$9)</f>
        <v>17.039100000000001</v>
      </c>
      <c r="I633" s="10">
        <f>CHOOSE(CONTROL!$C$42, 16.819, 16.819)* CHOOSE(CONTROL!$C$21, $C$9, 100%, $E$9)</f>
        <v>16.818999999999999</v>
      </c>
      <c r="J633" s="10">
        <f>CHOOSE(CONTROL!$C$42, 16.791, 16.791)* CHOOSE(CONTROL!$C$21, $C$9, 100%, $E$9)</f>
        <v>16.791</v>
      </c>
      <c r="K633" s="10">
        <f>CHOOSE(CONTROL!$C$42, 16.4761, 16.4761) * CHOOSE(CONTROL!$C$21, $C$9, 100%, $E$9)</f>
        <v>16.476099999999999</v>
      </c>
      <c r="L633" s="10">
        <f>CHOOSE(CONTROL!$C$42, 17.6261, 17.6261) * CHOOSE(CONTROL!$C$21, $C$9, 100%, $E$9)</f>
        <v>17.626100000000001</v>
      </c>
      <c r="M633" s="10">
        <f>CHOOSE(CONTROL!$C$42, 16.6354, 16.6354) * CHOOSE(CONTROL!$C$21, $C$9, 100%, $E$9)</f>
        <v>16.635400000000001</v>
      </c>
      <c r="N633" s="10">
        <f>CHOOSE(CONTROL!$C$42, 16.6518, 16.6518) * CHOOSE(CONTROL!$C$21, $C$9, 100%, $E$9)</f>
        <v>16.651800000000001</v>
      </c>
      <c r="O633" s="10">
        <f>CHOOSE(CONTROL!$C$42, 16.881, 16.881) * CHOOSE(CONTROL!$C$21, $C$9, 100%, $E$9)</f>
        <v>16.881</v>
      </c>
      <c r="P633" s="10">
        <f>CHOOSE(CONTROL!$C$42, 16.6631, 16.6631) * CHOOSE(CONTROL!$C$21, $C$9, 100%, $E$9)</f>
        <v>16.6631</v>
      </c>
      <c r="Q633" s="10">
        <f>CHOOSE(CONTROL!$C$42, 17.4763, 17.4763) * CHOOSE(CONTROL!$C$21, $C$9, 100%, $E$9)</f>
        <v>17.476299999999998</v>
      </c>
      <c r="R633" s="10">
        <f>CHOOSE(CONTROL!$C$42, 18.107, 18.107) * CHOOSE(CONTROL!$C$21, $C$9, 100%, $E$9)</f>
        <v>18.106999999999999</v>
      </c>
      <c r="S633" s="10">
        <f>CHOOSE(CONTROL!$C$42, 16.3436, 16.3436) * CHOOSE(CONTROL!$C$21, $C$9, 100%, $E$9)</f>
        <v>16.343599999999999</v>
      </c>
      <c r="T6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38">
        <f>(1000*CHOOSE(CONTROL!$C$42, 695, 695)*CHOOSE(CONTROL!$C$42, 0.5599, 0.5599)*CHOOSE(CONTROL!$C$42, 30, 30))/1000000</f>
        <v>11.673914999999997</v>
      </c>
      <c r="V633" s="38">
        <f>(1000*CHOOSE(CONTROL!$C$42, 500, 500)*CHOOSE(CONTROL!$C$42, 0.275, 0.275)*CHOOSE(CONTROL!$C$42, 30, 30))/1000000</f>
        <v>4.125</v>
      </c>
      <c r="W633" s="38">
        <f>(1000*CHOOSE(CONTROL!$C$42, 0.1146, 0.1146)*CHOOSE(CONTROL!$C$42, 121.5, 121.5)*CHOOSE(CONTROL!$C$42, 30, 30))/1000000</f>
        <v>0.417717</v>
      </c>
      <c r="X633" s="38">
        <f>(30*0.1790888*245000/1000000)+(30*0.2374*100000/1000000)</f>
        <v>2.0285026799999999</v>
      </c>
      <c r="Y633" s="38">
        <f>(1000*600*CHOOSE(CONTROL!$C$42, 1.0585, 1.0585)*CHOOSE(CONTROL!$C$42, 30, 30))/1000000</f>
        <v>19.053000000000001</v>
      </c>
      <c r="Z633" s="38"/>
      <c r="AA633" s="10"/>
      <c r="AB633" s="39"/>
      <c r="AC633" s="33">
        <f>(B633*194.205+C633*267.466+D633*133.845+E633*53.484+F633*40+G633*185+H633*0+I633*100+J633*300)/(194.205+267.466+133.845+53.484+0+40+185+100+300)</f>
        <v>16.849109430376767</v>
      </c>
      <c r="AD633" s="27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16.751644604316546</v>
      </c>
    </row>
    <row r="634" spans="1:30" ht="15.75" x14ac:dyDescent="0.25">
      <c r="A634" s="13">
        <v>60571</v>
      </c>
      <c r="B634" s="10">
        <f>CHOOSE(CONTROL!$C$42, 16.4906, 16.4906) * CHOOSE(CONTROL!$C$21, $C$9, 100%, $E$9)</f>
        <v>16.490600000000001</v>
      </c>
      <c r="C634" s="10">
        <f>CHOOSE(CONTROL!$C$42, 16.4958, 16.4958) * CHOOSE(CONTROL!$C$21, $C$9, 100%, $E$9)</f>
        <v>16.495799999999999</v>
      </c>
      <c r="D634" s="10">
        <f>CHOOSE(CONTROL!$C$42, 16.6777, 16.6777) * CHOOSE(CONTROL!$C$21, $C$9, 100%, $E$9)</f>
        <v>16.677700000000002</v>
      </c>
      <c r="E634" s="10">
        <f>CHOOSE(CONTROL!$C$42, 16.7065, 16.7065) * CHOOSE(CONTROL!$C$21, $C$9, 100%, $E$9)</f>
        <v>16.706499999999998</v>
      </c>
      <c r="F634" s="10">
        <f>CHOOSE(CONTROL!$C$42, 16.4562, 16.4562)*CHOOSE(CONTROL!$C$21, $C$9, 100%, $E$9)</f>
        <v>16.456199999999999</v>
      </c>
      <c r="G634" s="10">
        <f>CHOOSE(CONTROL!$C$42, 16.4724, 16.4724)*CHOOSE(CONTROL!$C$21, $C$9, 100%, $E$9)</f>
        <v>16.4724</v>
      </c>
      <c r="H634" s="10">
        <f>CHOOSE(CONTROL!$C$42, 16.697, 16.697) * CHOOSE(CONTROL!$C$21, $C$9, 100%, $E$9)</f>
        <v>16.696999999999999</v>
      </c>
      <c r="I634" s="10">
        <f>CHOOSE(CONTROL!$C$42, 16.4769, 16.4769)* CHOOSE(CONTROL!$C$21, $C$9, 100%, $E$9)</f>
        <v>16.476900000000001</v>
      </c>
      <c r="J634" s="10">
        <f>CHOOSE(CONTROL!$C$42, 16.4492, 16.4492)* CHOOSE(CONTROL!$C$21, $C$9, 100%, $E$9)</f>
        <v>16.449200000000001</v>
      </c>
      <c r="K634" s="10">
        <f>CHOOSE(CONTROL!$C$42, 16.1443, 16.1443) * CHOOSE(CONTROL!$C$21, $C$9, 100%, $E$9)</f>
        <v>16.144300000000001</v>
      </c>
      <c r="L634" s="10">
        <f>CHOOSE(CONTROL!$C$42, 17.284, 17.284) * CHOOSE(CONTROL!$C$21, $C$9, 100%, $E$9)</f>
        <v>17.283999999999999</v>
      </c>
      <c r="M634" s="10">
        <f>CHOOSE(CONTROL!$C$42, 16.297, 16.297) * CHOOSE(CONTROL!$C$21, $C$9, 100%, $E$9)</f>
        <v>16.297000000000001</v>
      </c>
      <c r="N634" s="10">
        <f>CHOOSE(CONTROL!$C$42, 16.3131, 16.3131) * CHOOSE(CONTROL!$C$21, $C$9, 100%, $E$9)</f>
        <v>16.313099999999999</v>
      </c>
      <c r="O634" s="10">
        <f>CHOOSE(CONTROL!$C$42, 16.5423, 16.5423) * CHOOSE(CONTROL!$C$21, $C$9, 100%, $E$9)</f>
        <v>16.542300000000001</v>
      </c>
      <c r="P634" s="10">
        <f>CHOOSE(CONTROL!$C$42, 16.3245, 16.3245) * CHOOSE(CONTROL!$C$21, $C$9, 100%, $E$9)</f>
        <v>16.3245</v>
      </c>
      <c r="Q634" s="10">
        <f>CHOOSE(CONTROL!$C$42, 17.1376, 17.1376) * CHOOSE(CONTROL!$C$21, $C$9, 100%, $E$9)</f>
        <v>17.137599999999999</v>
      </c>
      <c r="R634" s="10">
        <f>CHOOSE(CONTROL!$C$42, 17.7675, 17.7675) * CHOOSE(CONTROL!$C$21, $C$9, 100%, $E$9)</f>
        <v>17.767499999999998</v>
      </c>
      <c r="S634" s="10">
        <f>CHOOSE(CONTROL!$C$42, 16.0115, 16.0115) * CHOOSE(CONTROL!$C$21, $C$9, 100%, $E$9)</f>
        <v>16.011500000000002</v>
      </c>
      <c r="T6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38">
        <f>(1000*CHOOSE(CONTROL!$C$42, 695, 695)*CHOOSE(CONTROL!$C$42, 0.5599, 0.5599)*CHOOSE(CONTROL!$C$42, 31, 31))/1000000</f>
        <v>12.063045499999998</v>
      </c>
      <c r="V634" s="38">
        <f>(1000*CHOOSE(CONTROL!$C$42, 500, 500)*CHOOSE(CONTROL!$C$42, 0.275, 0.275)*CHOOSE(CONTROL!$C$42, 31, 31))/1000000</f>
        <v>4.2625000000000002</v>
      </c>
      <c r="W634" s="38">
        <f>(1000*CHOOSE(CONTROL!$C$42, 0.1146, 0.1146)*CHOOSE(CONTROL!$C$42, 121.5, 121.5)*CHOOSE(CONTROL!$C$42, 31, 31))/1000000</f>
        <v>0.43164089999999994</v>
      </c>
      <c r="X634" s="38">
        <f>(31*0.1790888*245000/1000000)+(31*0.2374*100000/1000000)</f>
        <v>2.0961194359999999</v>
      </c>
      <c r="Y634" s="38">
        <f>(1000*600*CHOOSE(CONTROL!$C$42, 1.0585, 1.0585)*CHOOSE(CONTROL!$C$42, 31, 31))/1000000</f>
        <v>19.688099999999999</v>
      </c>
      <c r="Z634" s="38"/>
      <c r="AA634" s="10"/>
      <c r="AB634" s="39"/>
      <c r="AC634" s="33">
        <f>(B634*131.881+C634*277.167+D634*79.08+E634*125.872+F634*40+G634*185+H634*0+I634*100+J634*300)/(131.881+277.167+79.08+125.872+0+40+185+100+300)</f>
        <v>16.510680630508475</v>
      </c>
      <c r="AD634" s="27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16.41306258992806</v>
      </c>
    </row>
    <row r="635" spans="1:30" ht="15.75" x14ac:dyDescent="0.25">
      <c r="A635" s="13">
        <v>60601</v>
      </c>
      <c r="B635" s="10">
        <f>CHOOSE(CONTROL!$C$42, 16.9245, 16.9245) * CHOOSE(CONTROL!$C$21, $C$9, 100%, $E$9)</f>
        <v>16.924499999999998</v>
      </c>
      <c r="C635" s="10">
        <f>CHOOSE(CONTROL!$C$42, 16.9295, 16.9295) * CHOOSE(CONTROL!$C$21, $C$9, 100%, $E$9)</f>
        <v>16.929500000000001</v>
      </c>
      <c r="D635" s="10">
        <f>CHOOSE(CONTROL!$C$42, 16.9539, 16.9539) * CHOOSE(CONTROL!$C$21, $C$9, 100%, $E$9)</f>
        <v>16.953900000000001</v>
      </c>
      <c r="E635" s="10">
        <f>CHOOSE(CONTROL!$C$42, 16.9877, 16.9877) * CHOOSE(CONTROL!$C$21, $C$9, 100%, $E$9)</f>
        <v>16.9877</v>
      </c>
      <c r="F635" s="10">
        <f>CHOOSE(CONTROL!$C$42, 16.8938, 16.8938)*CHOOSE(CONTROL!$C$21, $C$9, 100%, $E$9)</f>
        <v>16.893799999999999</v>
      </c>
      <c r="G635" s="10">
        <f>CHOOSE(CONTROL!$C$42, 16.9103, 16.9103)*CHOOSE(CONTROL!$C$21, $C$9, 100%, $E$9)</f>
        <v>16.910299999999999</v>
      </c>
      <c r="H635" s="10">
        <f>CHOOSE(CONTROL!$C$42, 16.9769, 16.9769) * CHOOSE(CONTROL!$C$21, $C$9, 100%, $E$9)</f>
        <v>16.976900000000001</v>
      </c>
      <c r="I635" s="10">
        <f>CHOOSE(CONTROL!$C$42, 16.9113, 16.9113)* CHOOSE(CONTROL!$C$21, $C$9, 100%, $E$9)</f>
        <v>16.911300000000001</v>
      </c>
      <c r="J635" s="10">
        <f>CHOOSE(CONTROL!$C$42, 16.8868, 16.8868)* CHOOSE(CONTROL!$C$21, $C$9, 100%, $E$9)</f>
        <v>16.886800000000001</v>
      </c>
      <c r="K635" s="10">
        <f>CHOOSE(CONTROL!$C$42, 16.5678, 16.5678) * CHOOSE(CONTROL!$C$21, $C$9, 100%, $E$9)</f>
        <v>16.567799999999998</v>
      </c>
      <c r="L635" s="10">
        <f>CHOOSE(CONTROL!$C$42, 17.5639, 17.5639) * CHOOSE(CONTROL!$C$21, $C$9, 100%, $E$9)</f>
        <v>17.5639</v>
      </c>
      <c r="M635" s="10">
        <f>CHOOSE(CONTROL!$C$42, 16.7302, 16.7302) * CHOOSE(CONTROL!$C$21, $C$9, 100%, $E$9)</f>
        <v>16.7302</v>
      </c>
      <c r="N635" s="10">
        <f>CHOOSE(CONTROL!$C$42, 16.7465, 16.7465) * CHOOSE(CONTROL!$C$21, $C$9, 100%, $E$9)</f>
        <v>16.746500000000001</v>
      </c>
      <c r="O635" s="10">
        <f>CHOOSE(CONTROL!$C$42, 16.8194, 16.8194) * CHOOSE(CONTROL!$C$21, $C$9, 100%, $E$9)</f>
        <v>16.819400000000002</v>
      </c>
      <c r="P635" s="10">
        <f>CHOOSE(CONTROL!$C$42, 16.7545, 16.7545) * CHOOSE(CONTROL!$C$21, $C$9, 100%, $E$9)</f>
        <v>16.7545</v>
      </c>
      <c r="Q635" s="10">
        <f>CHOOSE(CONTROL!$C$42, 17.4147, 17.4147) * CHOOSE(CONTROL!$C$21, $C$9, 100%, $E$9)</f>
        <v>17.4147</v>
      </c>
      <c r="R635" s="10">
        <f>CHOOSE(CONTROL!$C$42, 18.0452, 18.0452) * CHOOSE(CONTROL!$C$21, $C$9, 100%, $E$9)</f>
        <v>18.045200000000001</v>
      </c>
      <c r="S635" s="10">
        <f>CHOOSE(CONTROL!$C$42, 16.4332, 16.4332) * CHOOSE(CONTROL!$C$21, $C$9, 100%, $E$9)</f>
        <v>16.433199999999999</v>
      </c>
      <c r="T6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38">
        <f>(1000*CHOOSE(CONTROL!$C$42, 695, 695)*CHOOSE(CONTROL!$C$42, 0.5599, 0.5599)*CHOOSE(CONTROL!$C$42, 30, 30))/1000000</f>
        <v>11.673914999999997</v>
      </c>
      <c r="V635" s="38">
        <f>(1000*CHOOSE(CONTROL!$C$42, 500, 500)*CHOOSE(CONTROL!$C$42, 0.275, 0.275)*CHOOSE(CONTROL!$C$42, 30, 30))/1000000</f>
        <v>4.125</v>
      </c>
      <c r="W635" s="38">
        <f>(1000*CHOOSE(CONTROL!$C$42, 0.1146, 0.1146)*CHOOSE(CONTROL!$C$42, 121.5, 121.5)*CHOOSE(CONTROL!$C$42, 30, 30))/1000000</f>
        <v>0.417717</v>
      </c>
      <c r="X635" s="38">
        <f>(30*0.1790888*100000/1000000)+(30*0.2374*100000/1000000)</f>
        <v>1.2494664</v>
      </c>
      <c r="Y635" s="38">
        <f>(1000*600*CHOOSE(CONTROL!$C$42, 1.0585, 1.0585)*CHOOSE(CONTROL!$C$42, 30, 30))/1000000</f>
        <v>19.053000000000001</v>
      </c>
      <c r="Z635" s="38"/>
      <c r="AA635" s="10"/>
      <c r="AB635" s="39"/>
      <c r="AC635" s="33">
        <f>(B635*122.58+C635*297.941+D635*89.177+E635*40.302+F635*40+G635*160+H635*0+I635*100+J635*300)/(122.58+297.941+89.177+40.302+0+40+160+100+300)</f>
        <v>16.916263995826089</v>
      </c>
      <c r="AD635" s="27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16.775063309352522</v>
      </c>
    </row>
    <row r="636" spans="1:30" ht="15.75" x14ac:dyDescent="0.25">
      <c r="A636" s="13">
        <v>60632</v>
      </c>
      <c r="B636" s="10">
        <f>CHOOSE(CONTROL!$C$42, 18.0782, 18.0782) * CHOOSE(CONTROL!$C$21, $C$9, 100%, $E$9)</f>
        <v>18.078199999999999</v>
      </c>
      <c r="C636" s="10">
        <f>CHOOSE(CONTROL!$C$42, 18.0832, 18.0832) * CHOOSE(CONTROL!$C$21, $C$9, 100%, $E$9)</f>
        <v>18.083200000000001</v>
      </c>
      <c r="D636" s="10">
        <f>CHOOSE(CONTROL!$C$42, 18.1076, 18.1076) * CHOOSE(CONTROL!$C$21, $C$9, 100%, $E$9)</f>
        <v>18.107600000000001</v>
      </c>
      <c r="E636" s="10">
        <f>CHOOSE(CONTROL!$C$42, 18.1414, 18.1414) * CHOOSE(CONTROL!$C$21, $C$9, 100%, $E$9)</f>
        <v>18.141400000000001</v>
      </c>
      <c r="F636" s="10">
        <f>CHOOSE(CONTROL!$C$42, 18.0498, 18.0498)*CHOOSE(CONTROL!$C$21, $C$9, 100%, $E$9)</f>
        <v>18.049800000000001</v>
      </c>
      <c r="G636" s="10">
        <f>CHOOSE(CONTROL!$C$42, 18.0669, 18.0669)*CHOOSE(CONTROL!$C$21, $C$9, 100%, $E$9)</f>
        <v>18.0669</v>
      </c>
      <c r="H636" s="10">
        <f>CHOOSE(CONTROL!$C$42, 18.1306, 18.1306) * CHOOSE(CONTROL!$C$21, $C$9, 100%, $E$9)</f>
        <v>18.130600000000001</v>
      </c>
      <c r="I636" s="10">
        <f>CHOOSE(CONTROL!$C$42, 18.065, 18.065)* CHOOSE(CONTROL!$C$21, $C$9, 100%, $E$9)</f>
        <v>18.065000000000001</v>
      </c>
      <c r="J636" s="10">
        <f>CHOOSE(CONTROL!$C$42, 18.0428, 18.0428)* CHOOSE(CONTROL!$C$21, $C$9, 100%, $E$9)</f>
        <v>18.0428</v>
      </c>
      <c r="K636" s="10">
        <f>CHOOSE(CONTROL!$C$42, 17.6937, 17.6937) * CHOOSE(CONTROL!$C$21, $C$9, 100%, $E$9)</f>
        <v>17.6937</v>
      </c>
      <c r="L636" s="10">
        <f>CHOOSE(CONTROL!$C$42, 18.7176, 18.7176) * CHOOSE(CONTROL!$C$21, $C$9, 100%, $E$9)</f>
        <v>18.717600000000001</v>
      </c>
      <c r="M636" s="10">
        <f>CHOOSE(CONTROL!$C$42, 17.8746, 17.8746) * CHOOSE(CONTROL!$C$21, $C$9, 100%, $E$9)</f>
        <v>17.874600000000001</v>
      </c>
      <c r="N636" s="10">
        <f>CHOOSE(CONTROL!$C$42, 17.8914, 17.8914) * CHOOSE(CONTROL!$C$21, $C$9, 100%, $E$9)</f>
        <v>17.891400000000001</v>
      </c>
      <c r="O636" s="10">
        <f>CHOOSE(CONTROL!$C$42, 17.9614, 17.9614) * CHOOSE(CONTROL!$C$21, $C$9, 100%, $E$9)</f>
        <v>17.961400000000001</v>
      </c>
      <c r="P636" s="10">
        <f>CHOOSE(CONTROL!$C$42, 17.8965, 17.8965) * CHOOSE(CONTROL!$C$21, $C$9, 100%, $E$9)</f>
        <v>17.8965</v>
      </c>
      <c r="Q636" s="10">
        <f>CHOOSE(CONTROL!$C$42, 18.5567, 18.5567) * CHOOSE(CONTROL!$C$21, $C$9, 100%, $E$9)</f>
        <v>18.556699999999999</v>
      </c>
      <c r="R636" s="10">
        <f>CHOOSE(CONTROL!$C$42, 19.1901, 19.1901) * CHOOSE(CONTROL!$C$21, $C$9, 100%, $E$9)</f>
        <v>19.190100000000001</v>
      </c>
      <c r="S636" s="10">
        <f>CHOOSE(CONTROL!$C$42, 17.5536, 17.5536) * CHOOSE(CONTROL!$C$21, $C$9, 100%, $E$9)</f>
        <v>17.553599999999999</v>
      </c>
      <c r="T6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38">
        <f>(1000*CHOOSE(CONTROL!$C$42, 695, 695)*CHOOSE(CONTROL!$C$42, 0.5599, 0.5599)*CHOOSE(CONTROL!$C$42, 31, 31))/1000000</f>
        <v>12.063045499999998</v>
      </c>
      <c r="V636" s="38">
        <f>(1000*CHOOSE(CONTROL!$C$42, 500, 500)*CHOOSE(CONTROL!$C$42, 0.275, 0.275)*CHOOSE(CONTROL!$C$42, 31, 31))/1000000</f>
        <v>4.2625000000000002</v>
      </c>
      <c r="W636" s="38">
        <f>(1000*CHOOSE(CONTROL!$C$42, 0.1146, 0.1146)*CHOOSE(CONTROL!$C$42, 121.5, 121.5)*CHOOSE(CONTROL!$C$42, 31, 31))/1000000</f>
        <v>0.43164089999999994</v>
      </c>
      <c r="X636" s="38">
        <f>(31*0.1790888*100000/1000000)+(31*0.2374*100000/1000000)</f>
        <v>1.2911152800000001</v>
      </c>
      <c r="Y636" s="38">
        <f>(1000*600*CHOOSE(CONTROL!$C$42, 1.0585, 1.0585)*CHOOSE(CONTROL!$C$42, 31, 31))/1000000</f>
        <v>19.688099999999999</v>
      </c>
      <c r="Z636" s="38"/>
      <c r="AA636" s="10"/>
      <c r="AB636" s="39"/>
      <c r="AC636" s="33">
        <f>(B636*122.58+C636*297.941+D636*89.177+E636*40.302+F636*40+G636*160+H636*0+I636*100+J636*300)/(122.58+297.941+89.177+40.302+0+40+160+100+300)</f>
        <v>18.071047474086953</v>
      </c>
      <c r="AD636" s="27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17.918058992805758</v>
      </c>
    </row>
    <row r="637" spans="1:30" ht="15.75" x14ac:dyDescent="0.25">
      <c r="A637" s="13">
        <v>60663</v>
      </c>
      <c r="B637" s="10">
        <f>CHOOSE(CONTROL!$C$42, 19.2982, 19.2982) * CHOOSE(CONTROL!$C$21, $C$9, 100%, $E$9)</f>
        <v>19.298200000000001</v>
      </c>
      <c r="C637" s="10">
        <f>CHOOSE(CONTROL!$C$42, 19.3031, 19.3031) * CHOOSE(CONTROL!$C$21, $C$9, 100%, $E$9)</f>
        <v>19.303100000000001</v>
      </c>
      <c r="D637" s="10">
        <f>CHOOSE(CONTROL!$C$42, 19.3276, 19.3276) * CHOOSE(CONTROL!$C$21, $C$9, 100%, $E$9)</f>
        <v>19.3276</v>
      </c>
      <c r="E637" s="10">
        <f>CHOOSE(CONTROL!$C$42, 19.3614, 19.3614) * CHOOSE(CONTROL!$C$21, $C$9, 100%, $E$9)</f>
        <v>19.3614</v>
      </c>
      <c r="F637" s="10">
        <f>CHOOSE(CONTROL!$C$42, 19.2811, 19.2811)*CHOOSE(CONTROL!$C$21, $C$9, 100%, $E$9)</f>
        <v>19.281099999999999</v>
      </c>
      <c r="G637" s="10">
        <f>CHOOSE(CONTROL!$C$42, 19.2998, 19.2998)*CHOOSE(CONTROL!$C$21, $C$9, 100%, $E$9)</f>
        <v>19.299800000000001</v>
      </c>
      <c r="H637" s="10">
        <f>CHOOSE(CONTROL!$C$42, 19.3506, 19.3506) * CHOOSE(CONTROL!$C$21, $C$9, 100%, $E$9)</f>
        <v>19.3506</v>
      </c>
      <c r="I637" s="10">
        <f>CHOOSE(CONTROL!$C$42, 19.2927, 19.2927)* CHOOSE(CONTROL!$C$21, $C$9, 100%, $E$9)</f>
        <v>19.2927</v>
      </c>
      <c r="J637" s="10">
        <f>CHOOSE(CONTROL!$C$42, 19.2741, 19.2741)* CHOOSE(CONTROL!$C$21, $C$9, 100%, $E$9)</f>
        <v>19.274100000000001</v>
      </c>
      <c r="K637" s="10">
        <f>CHOOSE(CONTROL!$C$42, 18.9, 18.9) * CHOOSE(CONTROL!$C$21, $C$9, 100%, $E$9)</f>
        <v>18.899999999999999</v>
      </c>
      <c r="L637" s="10">
        <f>CHOOSE(CONTROL!$C$42, 19.9376, 19.9376) * CHOOSE(CONTROL!$C$21, $C$9, 100%, $E$9)</f>
        <v>19.9376</v>
      </c>
      <c r="M637" s="10">
        <f>CHOOSE(CONTROL!$C$42, 19.0934, 19.0934) * CHOOSE(CONTROL!$C$21, $C$9, 100%, $E$9)</f>
        <v>19.093399999999999</v>
      </c>
      <c r="N637" s="10">
        <f>CHOOSE(CONTROL!$C$42, 19.1119, 19.1119) * CHOOSE(CONTROL!$C$21, $C$9, 100%, $E$9)</f>
        <v>19.111899999999999</v>
      </c>
      <c r="O637" s="10">
        <f>CHOOSE(CONTROL!$C$42, 19.1691, 19.1691) * CHOOSE(CONTROL!$C$21, $C$9, 100%, $E$9)</f>
        <v>19.1691</v>
      </c>
      <c r="P637" s="10">
        <f>CHOOSE(CONTROL!$C$42, 19.1118, 19.1118) * CHOOSE(CONTROL!$C$21, $C$9, 100%, $E$9)</f>
        <v>19.111799999999999</v>
      </c>
      <c r="Q637" s="10">
        <f>CHOOSE(CONTROL!$C$42, 19.7644, 19.7644) * CHOOSE(CONTROL!$C$21, $C$9, 100%, $E$9)</f>
        <v>19.764399999999998</v>
      </c>
      <c r="R637" s="10">
        <f>CHOOSE(CONTROL!$C$42, 20.4008, 20.4008) * CHOOSE(CONTROL!$C$21, $C$9, 100%, $E$9)</f>
        <v>20.4008</v>
      </c>
      <c r="S637" s="10">
        <f>CHOOSE(CONTROL!$C$42, 18.7383, 18.7383) * CHOOSE(CONTROL!$C$21, $C$9, 100%, $E$9)</f>
        <v>18.738299999999999</v>
      </c>
      <c r="T6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38">
        <f>(1000*CHOOSE(CONTROL!$C$42, 695, 695)*CHOOSE(CONTROL!$C$42, 0.5599, 0.5599)*CHOOSE(CONTROL!$C$42, 31, 31))/1000000</f>
        <v>12.063045499999998</v>
      </c>
      <c r="V637" s="38">
        <f>(1000*CHOOSE(CONTROL!$C$42, 500, 500)*CHOOSE(CONTROL!$C$42, 0.275, 0.275)*CHOOSE(CONTROL!$C$42, 31, 31))/1000000</f>
        <v>4.2625000000000002</v>
      </c>
      <c r="W637" s="38">
        <f>(1000*CHOOSE(CONTROL!$C$42, 0.1146, 0.1146)*CHOOSE(CONTROL!$C$42, 121.5, 121.5)*CHOOSE(CONTROL!$C$42, 31, 31))/1000000</f>
        <v>0.43164089999999994</v>
      </c>
      <c r="X637" s="38">
        <f>(31*0.1790888*100000/1000000)+(31*0.2374*100000/1000000)</f>
        <v>1.2911152800000001</v>
      </c>
      <c r="Y637" s="38">
        <f>(1000*600*CHOOSE(CONTROL!$C$42, 1.0585, 1.0585)*CHOOSE(CONTROL!$C$42, 31, 31))/1000000</f>
        <v>19.688099999999999</v>
      </c>
      <c r="Z637" s="38"/>
      <c r="AA637" s="10"/>
      <c r="AB637" s="39"/>
      <c r="AC637" s="33">
        <f>(B637*122.58+C637*297.941+D637*89.177+E637*40.302+F637*40+G637*160+H637*0+I637*100+J637*300)/(122.58+297.941+89.177+40.302+0+40+160+100+300)</f>
        <v>19.296826783565219</v>
      </c>
      <c r="AD637" s="27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19.131422302158274</v>
      </c>
    </row>
    <row r="638" spans="1:30" ht="15.75" x14ac:dyDescent="0.25">
      <c r="A638" s="13">
        <v>60691</v>
      </c>
      <c r="B638" s="10">
        <f>CHOOSE(CONTROL!$C$42, 19.6417, 19.6417) * CHOOSE(CONTROL!$C$21, $C$9, 100%, $E$9)</f>
        <v>19.6417</v>
      </c>
      <c r="C638" s="10">
        <f>CHOOSE(CONTROL!$C$42, 19.6466, 19.6466) * CHOOSE(CONTROL!$C$21, $C$9, 100%, $E$9)</f>
        <v>19.646599999999999</v>
      </c>
      <c r="D638" s="10">
        <f>CHOOSE(CONTROL!$C$42, 19.6711, 19.6711) * CHOOSE(CONTROL!$C$21, $C$9, 100%, $E$9)</f>
        <v>19.671099999999999</v>
      </c>
      <c r="E638" s="10">
        <f>CHOOSE(CONTROL!$C$42, 19.7049, 19.7049) * CHOOSE(CONTROL!$C$21, $C$9, 100%, $E$9)</f>
        <v>19.704899999999999</v>
      </c>
      <c r="F638" s="10">
        <f>CHOOSE(CONTROL!$C$42, 19.6239, 19.6239)*CHOOSE(CONTROL!$C$21, $C$9, 100%, $E$9)</f>
        <v>19.623899999999999</v>
      </c>
      <c r="G638" s="10">
        <f>CHOOSE(CONTROL!$C$42, 19.6424, 19.6424)*CHOOSE(CONTROL!$C$21, $C$9, 100%, $E$9)</f>
        <v>19.642399999999999</v>
      </c>
      <c r="H638" s="10">
        <f>CHOOSE(CONTROL!$C$42, 19.694, 19.694) * CHOOSE(CONTROL!$C$21, $C$9, 100%, $E$9)</f>
        <v>19.693999999999999</v>
      </c>
      <c r="I638" s="10">
        <f>CHOOSE(CONTROL!$C$42, 19.6362, 19.6362)* CHOOSE(CONTROL!$C$21, $C$9, 100%, $E$9)</f>
        <v>19.636199999999999</v>
      </c>
      <c r="J638" s="10">
        <f>CHOOSE(CONTROL!$C$42, 19.6169, 19.6169)* CHOOSE(CONTROL!$C$21, $C$9, 100%, $E$9)</f>
        <v>19.616900000000001</v>
      </c>
      <c r="K638" s="10">
        <f>CHOOSE(CONTROL!$C$42, 19.2322, 19.2322) * CHOOSE(CONTROL!$C$21, $C$9, 100%, $E$9)</f>
        <v>19.232199999999999</v>
      </c>
      <c r="L638" s="10">
        <f>CHOOSE(CONTROL!$C$42, 20.281, 20.281) * CHOOSE(CONTROL!$C$21, $C$9, 100%, $E$9)</f>
        <v>20.280999999999999</v>
      </c>
      <c r="M638" s="10">
        <f>CHOOSE(CONTROL!$C$42, 19.4328, 19.4328) * CHOOSE(CONTROL!$C$21, $C$9, 100%, $E$9)</f>
        <v>19.4328</v>
      </c>
      <c r="N638" s="10">
        <f>CHOOSE(CONTROL!$C$42, 19.4511, 19.4511) * CHOOSE(CONTROL!$C$21, $C$9, 100%, $E$9)</f>
        <v>19.4511</v>
      </c>
      <c r="O638" s="10">
        <f>CHOOSE(CONTROL!$C$42, 19.5091, 19.5091) * CHOOSE(CONTROL!$C$21, $C$9, 100%, $E$9)</f>
        <v>19.5091</v>
      </c>
      <c r="P638" s="10">
        <f>CHOOSE(CONTROL!$C$42, 19.4519, 19.4519) * CHOOSE(CONTROL!$C$21, $C$9, 100%, $E$9)</f>
        <v>19.451899999999998</v>
      </c>
      <c r="Q638" s="10">
        <f>CHOOSE(CONTROL!$C$42, 20.1044, 20.1044) * CHOOSE(CONTROL!$C$21, $C$9, 100%, $E$9)</f>
        <v>20.104399999999998</v>
      </c>
      <c r="R638" s="10">
        <f>CHOOSE(CONTROL!$C$42, 20.7417, 20.7417) * CHOOSE(CONTROL!$C$21, $C$9, 100%, $E$9)</f>
        <v>20.741700000000002</v>
      </c>
      <c r="S638" s="10">
        <f>CHOOSE(CONTROL!$C$42, 19.0719, 19.0719) * CHOOSE(CONTROL!$C$21, $C$9, 100%, $E$9)</f>
        <v>19.071899999999999</v>
      </c>
      <c r="T6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38">
        <f>(1000*CHOOSE(CONTROL!$C$42, 695, 695)*CHOOSE(CONTROL!$C$42, 0.5599, 0.5599)*CHOOSE(CONTROL!$C$42, 28, 28))/1000000</f>
        <v>10.895653999999999</v>
      </c>
      <c r="V638" s="38">
        <f>(1000*CHOOSE(CONTROL!$C$42, 500, 500)*CHOOSE(CONTROL!$C$42, 0.275, 0.275)*CHOOSE(CONTROL!$C$42, 28, 28))/1000000</f>
        <v>3.85</v>
      </c>
      <c r="W638" s="38">
        <f>(1000*CHOOSE(CONTROL!$C$42, 0.1146, 0.1146)*CHOOSE(CONTROL!$C$42, 121.5, 121.5)*CHOOSE(CONTROL!$C$42, 28, 28))/1000000</f>
        <v>0.38986920000000003</v>
      </c>
      <c r="X638" s="38">
        <f>(28*0.1790888*100000/1000000)+(28*0.2374*100000/1000000)</f>
        <v>1.16616864</v>
      </c>
      <c r="Y638" s="38">
        <f>(1000*600*CHOOSE(CONTROL!$C$42, 1.0585, 1.0585)*CHOOSE(CONTROL!$C$42, 28, 28))/1000000</f>
        <v>17.782800000000002</v>
      </c>
      <c r="Z638" s="38"/>
      <c r="AA638" s="10"/>
      <c r="AB638" s="39"/>
      <c r="AC638" s="33">
        <f>(B638*122.58+C638*297.941+D638*89.177+E638*40.302+F638*40+G638*160+H638*0+I638*100+J638*300)/(122.58+297.941+89.177+40.302+0+40+160+100+300)</f>
        <v>19.63999460965217</v>
      </c>
      <c r="AD638" s="27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19.471183453237412</v>
      </c>
    </row>
    <row r="639" spans="1:30" ht="15.75" x14ac:dyDescent="0.25">
      <c r="A639" s="13">
        <v>60722</v>
      </c>
      <c r="B639" s="10">
        <f>CHOOSE(CONTROL!$C$42, 19.0841, 19.0841) * CHOOSE(CONTROL!$C$21, $C$9, 100%, $E$9)</f>
        <v>19.084099999999999</v>
      </c>
      <c r="C639" s="10">
        <f>CHOOSE(CONTROL!$C$42, 19.0891, 19.0891) * CHOOSE(CONTROL!$C$21, $C$9, 100%, $E$9)</f>
        <v>19.089099999999998</v>
      </c>
      <c r="D639" s="10">
        <f>CHOOSE(CONTROL!$C$42, 19.1135, 19.1135) * CHOOSE(CONTROL!$C$21, $C$9, 100%, $E$9)</f>
        <v>19.113499999999998</v>
      </c>
      <c r="E639" s="10">
        <f>CHOOSE(CONTROL!$C$42, 19.1473, 19.1473) * CHOOSE(CONTROL!$C$21, $C$9, 100%, $E$9)</f>
        <v>19.147300000000001</v>
      </c>
      <c r="F639" s="10">
        <f>CHOOSE(CONTROL!$C$42, 19.0648, 19.0648)*CHOOSE(CONTROL!$C$21, $C$9, 100%, $E$9)</f>
        <v>19.064800000000002</v>
      </c>
      <c r="G639" s="10">
        <f>CHOOSE(CONTROL!$C$42, 19.0829, 19.0829)*CHOOSE(CONTROL!$C$21, $C$9, 100%, $E$9)</f>
        <v>19.082899999999999</v>
      </c>
      <c r="H639" s="10">
        <f>CHOOSE(CONTROL!$C$42, 19.1365, 19.1365) * CHOOSE(CONTROL!$C$21, $C$9, 100%, $E$9)</f>
        <v>19.136500000000002</v>
      </c>
      <c r="I639" s="10">
        <f>CHOOSE(CONTROL!$C$42, 19.0786, 19.0786)* CHOOSE(CONTROL!$C$21, $C$9, 100%, $E$9)</f>
        <v>19.078600000000002</v>
      </c>
      <c r="J639" s="10">
        <f>CHOOSE(CONTROL!$C$42, 19.0578, 19.0578)* CHOOSE(CONTROL!$C$21, $C$9, 100%, $E$9)</f>
        <v>19.0578</v>
      </c>
      <c r="K639" s="10">
        <f>CHOOSE(CONTROL!$C$42, 18.6872, 18.6872) * CHOOSE(CONTROL!$C$21, $C$9, 100%, $E$9)</f>
        <v>18.687200000000001</v>
      </c>
      <c r="L639" s="10">
        <f>CHOOSE(CONTROL!$C$42, 19.7235, 19.7235) * CHOOSE(CONTROL!$C$21, $C$9, 100%, $E$9)</f>
        <v>19.723500000000001</v>
      </c>
      <c r="M639" s="10">
        <f>CHOOSE(CONTROL!$C$42, 18.8793, 18.8793) * CHOOSE(CONTROL!$C$21, $C$9, 100%, $E$9)</f>
        <v>18.879300000000001</v>
      </c>
      <c r="N639" s="10">
        <f>CHOOSE(CONTROL!$C$42, 18.8972, 18.8972) * CHOOSE(CONTROL!$C$21, $C$9, 100%, $E$9)</f>
        <v>18.897200000000002</v>
      </c>
      <c r="O639" s="10">
        <f>CHOOSE(CONTROL!$C$42, 18.9572, 18.9572) * CHOOSE(CONTROL!$C$21, $C$9, 100%, $E$9)</f>
        <v>18.9572</v>
      </c>
      <c r="P639" s="10">
        <f>CHOOSE(CONTROL!$C$42, 18.8999, 18.8999) * CHOOSE(CONTROL!$C$21, $C$9, 100%, $E$9)</f>
        <v>18.899899999999999</v>
      </c>
      <c r="Q639" s="10">
        <f>CHOOSE(CONTROL!$C$42, 19.5525, 19.5525) * CHOOSE(CONTROL!$C$21, $C$9, 100%, $E$9)</f>
        <v>19.552499999999998</v>
      </c>
      <c r="R639" s="10">
        <f>CHOOSE(CONTROL!$C$42, 20.1884, 20.1884) * CHOOSE(CONTROL!$C$21, $C$9, 100%, $E$9)</f>
        <v>20.188400000000001</v>
      </c>
      <c r="S639" s="10">
        <f>CHOOSE(CONTROL!$C$42, 18.5304, 18.5304) * CHOOSE(CONTROL!$C$21, $C$9, 100%, $E$9)</f>
        <v>18.5304</v>
      </c>
      <c r="T6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38">
        <f>(1000*CHOOSE(CONTROL!$C$42, 695, 695)*CHOOSE(CONTROL!$C$42, 0.5599, 0.5599)*CHOOSE(CONTROL!$C$42, 31, 31))/1000000</f>
        <v>12.063045499999998</v>
      </c>
      <c r="V639" s="38">
        <f>(1000*CHOOSE(CONTROL!$C$42, 500, 500)*CHOOSE(CONTROL!$C$42, 0.275, 0.275)*CHOOSE(CONTROL!$C$42, 31, 31))/1000000</f>
        <v>4.2625000000000002</v>
      </c>
      <c r="W639" s="38">
        <f>(1000*CHOOSE(CONTROL!$C$42, 0.1146, 0.1146)*CHOOSE(CONTROL!$C$42, 121.5, 121.5)*CHOOSE(CONTROL!$C$42, 31, 31))/1000000</f>
        <v>0.43164089999999994</v>
      </c>
      <c r="X639" s="38">
        <f>(31*0.1790888*100000/1000000)+(31*0.2374*100000/1000000)</f>
        <v>1.2911152800000001</v>
      </c>
      <c r="Y639" s="38">
        <f>(1000*600*CHOOSE(CONTROL!$C$42, 1.0585, 1.0585)*CHOOSE(CONTROL!$C$42, 31, 31))/1000000</f>
        <v>19.688099999999999</v>
      </c>
      <c r="Z639" s="38"/>
      <c r="AA639" s="10"/>
      <c r="AB639" s="39"/>
      <c r="AC639" s="33">
        <f>(B639*122.58+C639*297.941+D639*89.177+E639*40.302+F639*40+G639*160+H639*0+I639*100+J639*300)/(122.58+297.941+89.177+40.302+0+40+160+100+300)</f>
        <v>19.081712691478263</v>
      </c>
      <c r="AD639" s="27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18.918601438848921</v>
      </c>
    </row>
    <row r="640" spans="1:30" ht="15.75" x14ac:dyDescent="0.25">
      <c r="A640" s="13">
        <v>60752</v>
      </c>
      <c r="B640" s="10">
        <f>CHOOSE(CONTROL!$C$42, 19.0278, 19.0278) * CHOOSE(CONTROL!$C$21, $C$9, 100%, $E$9)</f>
        <v>19.027799999999999</v>
      </c>
      <c r="C640" s="10">
        <f>CHOOSE(CONTROL!$C$42, 19.0321, 19.0321) * CHOOSE(CONTROL!$C$21, $C$9, 100%, $E$9)</f>
        <v>19.0321</v>
      </c>
      <c r="D640" s="10">
        <f>CHOOSE(CONTROL!$C$42, 19.2123, 19.2123) * CHOOSE(CONTROL!$C$21, $C$9, 100%, $E$9)</f>
        <v>19.212299999999999</v>
      </c>
      <c r="E640" s="10">
        <f>CHOOSE(CONTROL!$C$42, 19.244, 19.244) * CHOOSE(CONTROL!$C$21, $C$9, 100%, $E$9)</f>
        <v>19.244</v>
      </c>
      <c r="F640" s="10">
        <f>CHOOSE(CONTROL!$C$42, 18.9931, 18.9931)*CHOOSE(CONTROL!$C$21, $C$9, 100%, $E$9)</f>
        <v>18.993099999999998</v>
      </c>
      <c r="G640" s="10">
        <f>CHOOSE(CONTROL!$C$42, 19.0093, 19.0093)*CHOOSE(CONTROL!$C$21, $C$9, 100%, $E$9)</f>
        <v>19.0093</v>
      </c>
      <c r="H640" s="10">
        <f>CHOOSE(CONTROL!$C$42, 19.2338, 19.2338) * CHOOSE(CONTROL!$C$21, $C$9, 100%, $E$9)</f>
        <v>19.233799999999999</v>
      </c>
      <c r="I640" s="10">
        <f>CHOOSE(CONTROL!$C$42, 19.0137, 19.0137)* CHOOSE(CONTROL!$C$21, $C$9, 100%, $E$9)</f>
        <v>19.0137</v>
      </c>
      <c r="J640" s="10">
        <f>CHOOSE(CONTROL!$C$42, 18.9861, 18.9861)* CHOOSE(CONTROL!$C$21, $C$9, 100%, $E$9)</f>
        <v>18.9861</v>
      </c>
      <c r="K640" s="10">
        <f>CHOOSE(CONTROL!$C$42, 18.6092, 18.6092) * CHOOSE(CONTROL!$C$21, $C$9, 100%, $E$9)</f>
        <v>18.609200000000001</v>
      </c>
      <c r="L640" s="10">
        <f>CHOOSE(CONTROL!$C$42, 19.8208, 19.8208) * CHOOSE(CONTROL!$C$21, $C$9, 100%, $E$9)</f>
        <v>19.820799999999998</v>
      </c>
      <c r="M640" s="10">
        <f>CHOOSE(CONTROL!$C$42, 18.8083, 18.8083) * CHOOSE(CONTROL!$C$21, $C$9, 100%, $E$9)</f>
        <v>18.808299999999999</v>
      </c>
      <c r="N640" s="10">
        <f>CHOOSE(CONTROL!$C$42, 18.8244, 18.8244) * CHOOSE(CONTROL!$C$21, $C$9, 100%, $E$9)</f>
        <v>18.824400000000001</v>
      </c>
      <c r="O640" s="10">
        <f>CHOOSE(CONTROL!$C$42, 19.0535, 19.0535) * CHOOSE(CONTROL!$C$21, $C$9, 100%, $E$9)</f>
        <v>19.0535</v>
      </c>
      <c r="P640" s="10">
        <f>CHOOSE(CONTROL!$C$42, 18.8357, 18.8357) * CHOOSE(CONTROL!$C$21, $C$9, 100%, $E$9)</f>
        <v>18.835699999999999</v>
      </c>
      <c r="Q640" s="10">
        <f>CHOOSE(CONTROL!$C$42, 19.6488, 19.6488) * CHOOSE(CONTROL!$C$21, $C$9, 100%, $E$9)</f>
        <v>19.648800000000001</v>
      </c>
      <c r="R640" s="10">
        <f>CHOOSE(CONTROL!$C$42, 20.285, 20.285) * CHOOSE(CONTROL!$C$21, $C$9, 100%, $E$9)</f>
        <v>20.285</v>
      </c>
      <c r="S640" s="10">
        <f>CHOOSE(CONTROL!$C$42, 18.475, 18.475) * CHOOSE(CONTROL!$C$21, $C$9, 100%, $E$9)</f>
        <v>18.475000000000001</v>
      </c>
      <c r="T6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38">
        <f>(1000*CHOOSE(CONTROL!$C$42, 695, 695)*CHOOSE(CONTROL!$C$42, 0.5599, 0.5599)*CHOOSE(CONTROL!$C$42, 30, 30))/1000000</f>
        <v>11.673914999999997</v>
      </c>
      <c r="V640" s="38">
        <f>(1000*CHOOSE(CONTROL!$C$42, 500, 500)*CHOOSE(CONTROL!$C$42, 0.275, 0.275)*CHOOSE(CONTROL!$C$42, 30, 30))/1000000</f>
        <v>4.125</v>
      </c>
      <c r="W640" s="38">
        <f>(1000*CHOOSE(CONTROL!$C$42, 0.1146, 0.1146)*CHOOSE(CONTROL!$C$42, 121.5, 121.5)*CHOOSE(CONTROL!$C$42, 30, 30))/1000000</f>
        <v>0.417717</v>
      </c>
      <c r="X640" s="38">
        <f>(30*0.1790888*245000/1000000)+(30*0.2374*100000/1000000)</f>
        <v>2.0285026799999999</v>
      </c>
      <c r="Y640" s="38">
        <f>(1000*600*CHOOSE(CONTROL!$C$42, 1.0585, 1.0585)*CHOOSE(CONTROL!$C$42, 30, 30))/1000000</f>
        <v>19.053000000000001</v>
      </c>
      <c r="Z640" s="38"/>
      <c r="AA640" s="10"/>
      <c r="AB640" s="39"/>
      <c r="AC640" s="33">
        <f>(B640*141.293+C640*267.993+D640*115.016+E640*89.698+F640*40+G640*185+H640*0+I640*100+J640*300)/(141.293+267.993+115.016+89.698+0+40+185+100+300)</f>
        <v>19.046391629943503</v>
      </c>
      <c r="AD640" s="27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18.924302877697841</v>
      </c>
    </row>
    <row r="641" spans="1:30" ht="15.75" x14ac:dyDescent="0.25">
      <c r="A641" s="13">
        <v>60783</v>
      </c>
      <c r="B641" s="10">
        <f>CHOOSE(CONTROL!$C$42, 19.1974, 19.1974) * CHOOSE(CONTROL!$C$21, $C$9, 100%, $E$9)</f>
        <v>19.197399999999998</v>
      </c>
      <c r="C641" s="10">
        <f>CHOOSE(CONTROL!$C$42, 19.2054, 19.2054) * CHOOSE(CONTROL!$C$21, $C$9, 100%, $E$9)</f>
        <v>19.205400000000001</v>
      </c>
      <c r="D641" s="10">
        <f>CHOOSE(CONTROL!$C$42, 19.3824, 19.3824) * CHOOSE(CONTROL!$C$21, $C$9, 100%, $E$9)</f>
        <v>19.382400000000001</v>
      </c>
      <c r="E641" s="10">
        <f>CHOOSE(CONTROL!$C$42, 19.4135, 19.4135) * CHOOSE(CONTROL!$C$21, $C$9, 100%, $E$9)</f>
        <v>19.413499999999999</v>
      </c>
      <c r="F641" s="10">
        <f>CHOOSE(CONTROL!$C$42, 19.1608, 19.1608)*CHOOSE(CONTROL!$C$21, $C$9, 100%, $E$9)</f>
        <v>19.160799999999998</v>
      </c>
      <c r="G641" s="10">
        <f>CHOOSE(CONTROL!$C$42, 19.1773, 19.1773)*CHOOSE(CONTROL!$C$21, $C$9, 100%, $E$9)</f>
        <v>19.177299999999999</v>
      </c>
      <c r="H641" s="10">
        <f>CHOOSE(CONTROL!$C$42, 19.4021, 19.4021) * CHOOSE(CONTROL!$C$21, $C$9, 100%, $E$9)</f>
        <v>19.402100000000001</v>
      </c>
      <c r="I641" s="10">
        <f>CHOOSE(CONTROL!$C$42, 19.182, 19.182)* CHOOSE(CONTROL!$C$21, $C$9, 100%, $E$9)</f>
        <v>19.181999999999999</v>
      </c>
      <c r="J641" s="10">
        <f>CHOOSE(CONTROL!$C$42, 19.1538, 19.1538)* CHOOSE(CONTROL!$C$21, $C$9, 100%, $E$9)</f>
        <v>19.1538</v>
      </c>
      <c r="K641" s="10">
        <f>CHOOSE(CONTROL!$C$42, 18.7715, 18.7715) * CHOOSE(CONTROL!$C$21, $C$9, 100%, $E$9)</f>
        <v>18.7715</v>
      </c>
      <c r="L641" s="10">
        <f>CHOOSE(CONTROL!$C$42, 19.9891, 19.9891) * CHOOSE(CONTROL!$C$21, $C$9, 100%, $E$9)</f>
        <v>19.989100000000001</v>
      </c>
      <c r="M641" s="10">
        <f>CHOOSE(CONTROL!$C$42, 18.9743, 18.9743) * CHOOSE(CONTROL!$C$21, $C$9, 100%, $E$9)</f>
        <v>18.974299999999999</v>
      </c>
      <c r="N641" s="10">
        <f>CHOOSE(CONTROL!$C$42, 18.9907, 18.9907) * CHOOSE(CONTROL!$C$21, $C$9, 100%, $E$9)</f>
        <v>18.9907</v>
      </c>
      <c r="O641" s="10">
        <f>CHOOSE(CONTROL!$C$42, 19.2201, 19.2201) * CHOOSE(CONTROL!$C$21, $C$9, 100%, $E$9)</f>
        <v>19.220099999999999</v>
      </c>
      <c r="P641" s="10">
        <f>CHOOSE(CONTROL!$C$42, 19.0023, 19.0023) * CHOOSE(CONTROL!$C$21, $C$9, 100%, $E$9)</f>
        <v>19.002300000000002</v>
      </c>
      <c r="Q641" s="10">
        <f>CHOOSE(CONTROL!$C$42, 19.8154, 19.8154) * CHOOSE(CONTROL!$C$21, $C$9, 100%, $E$9)</f>
        <v>19.8154</v>
      </c>
      <c r="R641" s="10">
        <f>CHOOSE(CONTROL!$C$42, 20.452, 20.452) * CHOOSE(CONTROL!$C$21, $C$9, 100%, $E$9)</f>
        <v>20.452000000000002</v>
      </c>
      <c r="S641" s="10">
        <f>CHOOSE(CONTROL!$C$42, 18.6384, 18.6384) * CHOOSE(CONTROL!$C$21, $C$9, 100%, $E$9)</f>
        <v>18.638400000000001</v>
      </c>
      <c r="T6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38">
        <f>(1000*CHOOSE(CONTROL!$C$42, 695, 695)*CHOOSE(CONTROL!$C$42, 0.5599, 0.5599)*CHOOSE(CONTROL!$C$42, 31, 31))/1000000</f>
        <v>12.063045499999998</v>
      </c>
      <c r="V641" s="38">
        <f>(1000*CHOOSE(CONTROL!$C$42, 500, 500)*CHOOSE(CONTROL!$C$42, 0.275, 0.275)*CHOOSE(CONTROL!$C$42, 31, 31))/1000000</f>
        <v>4.2625000000000002</v>
      </c>
      <c r="W641" s="38">
        <f>(1000*CHOOSE(CONTROL!$C$42, 0.1146, 0.1146)*CHOOSE(CONTROL!$C$42, 121.5, 121.5)*CHOOSE(CONTROL!$C$42, 31, 31))/1000000</f>
        <v>0.43164089999999994</v>
      </c>
      <c r="X641" s="38">
        <f>(31*0.1790888*245000/1000000)+(31*0.2374*100000/1000000)</f>
        <v>2.0961194359999999</v>
      </c>
      <c r="Y641" s="38">
        <f>(1000*600*CHOOSE(CONTROL!$C$42, 1.0585, 1.0585)*CHOOSE(CONTROL!$C$42, 31, 31))/1000000</f>
        <v>19.688099999999999</v>
      </c>
      <c r="Z641" s="38"/>
      <c r="AA641" s="10"/>
      <c r="AB641" s="39"/>
      <c r="AC641" s="33">
        <f>(B641*194.205+C641*267.466+D641*133.845+E641*53.484+F641*40+G641*185+H641*0+I641*100+J641*300)/(194.205+267.466+133.845+53.484+0+40+185+100+300)</f>
        <v>19.212043991679749</v>
      </c>
      <c r="AD641" s="27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19.090678417266187</v>
      </c>
    </row>
    <row r="642" spans="1:30" ht="15.75" x14ac:dyDescent="0.25">
      <c r="A642" s="13">
        <v>60813</v>
      </c>
      <c r="B642" s="10">
        <f>CHOOSE(CONTROL!$C$42, 19.7419, 19.7419) * CHOOSE(CONTROL!$C$21, $C$9, 100%, $E$9)</f>
        <v>19.741900000000001</v>
      </c>
      <c r="C642" s="10">
        <f>CHOOSE(CONTROL!$C$42, 19.7498, 19.7498) * CHOOSE(CONTROL!$C$21, $C$9, 100%, $E$9)</f>
        <v>19.7498</v>
      </c>
      <c r="D642" s="10">
        <f>CHOOSE(CONTROL!$C$42, 19.9268, 19.9268) * CHOOSE(CONTROL!$C$21, $C$9, 100%, $E$9)</f>
        <v>19.9268</v>
      </c>
      <c r="E642" s="10">
        <f>CHOOSE(CONTROL!$C$42, 19.9579, 19.9579) * CHOOSE(CONTROL!$C$21, $C$9, 100%, $E$9)</f>
        <v>19.957899999999999</v>
      </c>
      <c r="F642" s="10">
        <f>CHOOSE(CONTROL!$C$42, 19.7054, 19.7054)*CHOOSE(CONTROL!$C$21, $C$9, 100%, $E$9)</f>
        <v>19.705400000000001</v>
      </c>
      <c r="G642" s="10">
        <f>CHOOSE(CONTROL!$C$42, 19.7219, 19.7219)*CHOOSE(CONTROL!$C$21, $C$9, 100%, $E$9)</f>
        <v>19.721900000000002</v>
      </c>
      <c r="H642" s="10">
        <f>CHOOSE(CONTROL!$C$42, 19.9465, 19.9465) * CHOOSE(CONTROL!$C$21, $C$9, 100%, $E$9)</f>
        <v>19.9465</v>
      </c>
      <c r="I642" s="10">
        <f>CHOOSE(CONTROL!$C$42, 19.7264, 19.7264)* CHOOSE(CONTROL!$C$21, $C$9, 100%, $E$9)</f>
        <v>19.726400000000002</v>
      </c>
      <c r="J642" s="10">
        <f>CHOOSE(CONTROL!$C$42, 19.6984, 19.6984)* CHOOSE(CONTROL!$C$21, $C$9, 100%, $E$9)</f>
        <v>19.698399999999999</v>
      </c>
      <c r="K642" s="10">
        <f>CHOOSE(CONTROL!$C$42, 19.3008, 19.3008) * CHOOSE(CONTROL!$C$21, $C$9, 100%, $E$9)</f>
        <v>19.300799999999999</v>
      </c>
      <c r="L642" s="10">
        <f>CHOOSE(CONTROL!$C$42, 20.5335, 20.5335) * CHOOSE(CONTROL!$C$21, $C$9, 100%, $E$9)</f>
        <v>20.5335</v>
      </c>
      <c r="M642" s="10">
        <f>CHOOSE(CONTROL!$C$42, 19.5134, 19.5134) * CHOOSE(CONTROL!$C$21, $C$9, 100%, $E$9)</f>
        <v>19.513400000000001</v>
      </c>
      <c r="N642" s="10">
        <f>CHOOSE(CONTROL!$C$42, 19.5298, 19.5298) * CHOOSE(CONTROL!$C$21, $C$9, 100%, $E$9)</f>
        <v>19.529800000000002</v>
      </c>
      <c r="O642" s="10">
        <f>CHOOSE(CONTROL!$C$42, 19.7591, 19.7591) * CHOOSE(CONTROL!$C$21, $C$9, 100%, $E$9)</f>
        <v>19.7591</v>
      </c>
      <c r="P642" s="10">
        <f>CHOOSE(CONTROL!$C$42, 19.5412, 19.5412) * CHOOSE(CONTROL!$C$21, $C$9, 100%, $E$9)</f>
        <v>19.5412</v>
      </c>
      <c r="Q642" s="10">
        <f>CHOOSE(CONTROL!$C$42, 20.3544, 20.3544) * CHOOSE(CONTROL!$C$21, $C$9, 100%, $E$9)</f>
        <v>20.354399999999998</v>
      </c>
      <c r="R642" s="10">
        <f>CHOOSE(CONTROL!$C$42, 20.9922, 20.9922) * CHOOSE(CONTROL!$C$21, $C$9, 100%, $E$9)</f>
        <v>20.9922</v>
      </c>
      <c r="S642" s="10">
        <f>CHOOSE(CONTROL!$C$42, 19.1671, 19.1671) * CHOOSE(CONTROL!$C$21, $C$9, 100%, $E$9)</f>
        <v>19.167100000000001</v>
      </c>
      <c r="T6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38">
        <f>(1000*CHOOSE(CONTROL!$C$42, 695, 695)*CHOOSE(CONTROL!$C$42, 0.5599, 0.5599)*CHOOSE(CONTROL!$C$42, 30, 30))/1000000</f>
        <v>11.673914999999997</v>
      </c>
      <c r="V642" s="38">
        <f>(1000*CHOOSE(CONTROL!$C$42, 500, 500)*CHOOSE(CONTROL!$C$42, 0.275, 0.275)*CHOOSE(CONTROL!$C$42, 30, 30))/1000000</f>
        <v>4.125</v>
      </c>
      <c r="W642" s="38">
        <f>(1000*CHOOSE(CONTROL!$C$42, 0.1146, 0.1146)*CHOOSE(CONTROL!$C$42, 121.5, 121.5)*CHOOSE(CONTROL!$C$42, 30, 30))/1000000</f>
        <v>0.417717</v>
      </c>
      <c r="X642" s="38">
        <f>(30*0.1790888*245000/1000000)+(30*0.2374*100000/1000000)</f>
        <v>2.0285026799999999</v>
      </c>
      <c r="Y642" s="38">
        <f>(1000*600*CHOOSE(CONTROL!$C$42, 1.0585, 1.0585)*CHOOSE(CONTROL!$C$42, 30, 30))/1000000</f>
        <v>19.053000000000001</v>
      </c>
      <c r="Z642" s="38"/>
      <c r="AA642" s="10"/>
      <c r="AB642" s="39"/>
      <c r="AC642" s="33">
        <f>(B642*194.205+C642*267.466+D642*133.845+E642*53.484+F642*40+G642*185+H642*0+I642*100+J642*300)/(194.205+267.466+133.845+53.484+0+40+185+100+300)</f>
        <v>19.756541652982733</v>
      </c>
      <c r="AD642" s="27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19.629704316546761</v>
      </c>
    </row>
    <row r="643" spans="1:30" ht="15.75" x14ac:dyDescent="0.25">
      <c r="A643" s="13">
        <v>60844</v>
      </c>
      <c r="B643" s="10">
        <f>CHOOSE(CONTROL!$C$42, 19.3632, 19.3632) * CHOOSE(CONTROL!$C$21, $C$9, 100%, $E$9)</f>
        <v>19.363199999999999</v>
      </c>
      <c r="C643" s="10">
        <f>CHOOSE(CONTROL!$C$42, 19.3711, 19.3711) * CHOOSE(CONTROL!$C$21, $C$9, 100%, $E$9)</f>
        <v>19.371099999999998</v>
      </c>
      <c r="D643" s="10">
        <f>CHOOSE(CONTROL!$C$42, 19.5481, 19.5481) * CHOOSE(CONTROL!$C$21, $C$9, 100%, $E$9)</f>
        <v>19.548100000000002</v>
      </c>
      <c r="E643" s="10">
        <f>CHOOSE(CONTROL!$C$42, 19.5793, 19.5793) * CHOOSE(CONTROL!$C$21, $C$9, 100%, $E$9)</f>
        <v>19.5793</v>
      </c>
      <c r="F643" s="10">
        <f>CHOOSE(CONTROL!$C$42, 19.327, 19.327)*CHOOSE(CONTROL!$C$21, $C$9, 100%, $E$9)</f>
        <v>19.327000000000002</v>
      </c>
      <c r="G643" s="10">
        <f>CHOOSE(CONTROL!$C$42, 19.3436, 19.3436)*CHOOSE(CONTROL!$C$21, $C$9, 100%, $E$9)</f>
        <v>19.343599999999999</v>
      </c>
      <c r="H643" s="10">
        <f>CHOOSE(CONTROL!$C$42, 19.5679, 19.5679) * CHOOSE(CONTROL!$C$21, $C$9, 100%, $E$9)</f>
        <v>19.567900000000002</v>
      </c>
      <c r="I643" s="10">
        <f>CHOOSE(CONTROL!$C$42, 19.3478, 19.3478)* CHOOSE(CONTROL!$C$21, $C$9, 100%, $E$9)</f>
        <v>19.347799999999999</v>
      </c>
      <c r="J643" s="10">
        <f>CHOOSE(CONTROL!$C$42, 19.32, 19.32)* CHOOSE(CONTROL!$C$21, $C$9, 100%, $E$9)</f>
        <v>19.32</v>
      </c>
      <c r="K643" s="10">
        <f>CHOOSE(CONTROL!$C$42, 18.9334, 18.9334) * CHOOSE(CONTROL!$C$21, $C$9, 100%, $E$9)</f>
        <v>18.933399999999999</v>
      </c>
      <c r="L643" s="10">
        <f>CHOOSE(CONTROL!$C$42, 20.1549, 20.1549) * CHOOSE(CONTROL!$C$21, $C$9, 100%, $E$9)</f>
        <v>20.154900000000001</v>
      </c>
      <c r="M643" s="10">
        <f>CHOOSE(CONTROL!$C$42, 19.1389, 19.1389) * CHOOSE(CONTROL!$C$21, $C$9, 100%, $E$9)</f>
        <v>19.1389</v>
      </c>
      <c r="N643" s="10">
        <f>CHOOSE(CONTROL!$C$42, 19.1553, 19.1553) * CHOOSE(CONTROL!$C$21, $C$9, 100%, $E$9)</f>
        <v>19.1553</v>
      </c>
      <c r="O643" s="10">
        <f>CHOOSE(CONTROL!$C$42, 19.3842, 19.3842) * CHOOSE(CONTROL!$C$21, $C$9, 100%, $E$9)</f>
        <v>19.3842</v>
      </c>
      <c r="P643" s="10">
        <f>CHOOSE(CONTROL!$C$42, 19.1664, 19.1664) * CHOOSE(CONTROL!$C$21, $C$9, 100%, $E$9)</f>
        <v>19.166399999999999</v>
      </c>
      <c r="Q643" s="10">
        <f>CHOOSE(CONTROL!$C$42, 19.9795, 19.9795) * CHOOSE(CONTROL!$C$21, $C$9, 100%, $E$9)</f>
        <v>19.979500000000002</v>
      </c>
      <c r="R643" s="10">
        <f>CHOOSE(CONTROL!$C$42, 20.6165, 20.6165) * CHOOSE(CONTROL!$C$21, $C$9, 100%, $E$9)</f>
        <v>20.616499999999998</v>
      </c>
      <c r="S643" s="10">
        <f>CHOOSE(CONTROL!$C$42, 18.7994, 18.7994) * CHOOSE(CONTROL!$C$21, $C$9, 100%, $E$9)</f>
        <v>18.799399999999999</v>
      </c>
      <c r="T6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38">
        <f>(1000*CHOOSE(CONTROL!$C$42, 695, 695)*CHOOSE(CONTROL!$C$42, 0.5599, 0.5599)*CHOOSE(CONTROL!$C$42, 31, 31))/1000000</f>
        <v>12.063045499999998</v>
      </c>
      <c r="V643" s="38">
        <f>(1000*CHOOSE(CONTROL!$C$42, 500, 500)*CHOOSE(CONTROL!$C$42, 0.275, 0.275)*CHOOSE(CONTROL!$C$42, 31, 31))/1000000</f>
        <v>4.2625000000000002</v>
      </c>
      <c r="W643" s="38">
        <f>(1000*CHOOSE(CONTROL!$C$42, 0.1146, 0.1146)*CHOOSE(CONTROL!$C$42, 121.5, 121.5)*CHOOSE(CONTROL!$C$42, 31, 31))/1000000</f>
        <v>0.43164089999999994</v>
      </c>
      <c r="X643" s="38">
        <f>(31*0.1790888*245000/1000000)+(31*0.2374*100000/1000000)</f>
        <v>2.0961194359999999</v>
      </c>
      <c r="Y643" s="38">
        <f>(1000*600*CHOOSE(CONTROL!$C$42, 1.0585, 1.0585)*CHOOSE(CONTROL!$C$42, 31, 31))/1000000</f>
        <v>19.688099999999999</v>
      </c>
      <c r="Z643" s="38"/>
      <c r="AA643" s="10"/>
      <c r="AB643" s="39"/>
      <c r="AC643" s="33">
        <f>(B643*194.205+C643*267.466+D643*133.845+E643*53.484+F643*40+G643*185+H643*0+I643*100+J643*300)/(194.205+267.466+133.845+53.484+0+40+185+100+300)</f>
        <v>19.377991847959184</v>
      </c>
      <c r="AD643" s="27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19.254979856115106</v>
      </c>
    </row>
    <row r="644" spans="1:30" ht="15.75" x14ac:dyDescent="0.25">
      <c r="A644" s="13">
        <v>60875</v>
      </c>
      <c r="B644" s="10">
        <f>CHOOSE(CONTROL!$C$42, 18.407, 18.407) * CHOOSE(CONTROL!$C$21, $C$9, 100%, $E$9)</f>
        <v>18.407</v>
      </c>
      <c r="C644" s="10">
        <f>CHOOSE(CONTROL!$C$42, 18.415, 18.415) * CHOOSE(CONTROL!$C$21, $C$9, 100%, $E$9)</f>
        <v>18.414999999999999</v>
      </c>
      <c r="D644" s="10">
        <f>CHOOSE(CONTROL!$C$42, 18.5919, 18.5919) * CHOOSE(CONTROL!$C$21, $C$9, 100%, $E$9)</f>
        <v>18.591899999999999</v>
      </c>
      <c r="E644" s="10">
        <f>CHOOSE(CONTROL!$C$42, 18.6231, 18.6231) * CHOOSE(CONTROL!$C$21, $C$9, 100%, $E$9)</f>
        <v>18.623100000000001</v>
      </c>
      <c r="F644" s="10">
        <f>CHOOSE(CONTROL!$C$42, 18.3709, 18.3709)*CHOOSE(CONTROL!$C$21, $C$9, 100%, $E$9)</f>
        <v>18.370899999999999</v>
      </c>
      <c r="G644" s="10">
        <f>CHOOSE(CONTROL!$C$42, 18.3875, 18.3875)*CHOOSE(CONTROL!$C$21, $C$9, 100%, $E$9)</f>
        <v>18.387499999999999</v>
      </c>
      <c r="H644" s="10">
        <f>CHOOSE(CONTROL!$C$42, 18.6117, 18.6117) * CHOOSE(CONTROL!$C$21, $C$9, 100%, $E$9)</f>
        <v>18.611699999999999</v>
      </c>
      <c r="I644" s="10">
        <f>CHOOSE(CONTROL!$C$42, 18.3916, 18.3916)* CHOOSE(CONTROL!$C$21, $C$9, 100%, $E$9)</f>
        <v>18.3916</v>
      </c>
      <c r="J644" s="10">
        <f>CHOOSE(CONTROL!$C$42, 18.3639, 18.3639)* CHOOSE(CONTROL!$C$21, $C$9, 100%, $E$9)</f>
        <v>18.363900000000001</v>
      </c>
      <c r="K644" s="10">
        <f>CHOOSE(CONTROL!$C$42, 18.0045, 18.0045) * CHOOSE(CONTROL!$C$21, $C$9, 100%, $E$9)</f>
        <v>18.0045</v>
      </c>
      <c r="L644" s="10">
        <f>CHOOSE(CONTROL!$C$42, 19.1987, 19.1987) * CHOOSE(CONTROL!$C$21, $C$9, 100%, $E$9)</f>
        <v>19.198699999999999</v>
      </c>
      <c r="M644" s="10">
        <f>CHOOSE(CONTROL!$C$42, 18.1924, 18.1924) * CHOOSE(CONTROL!$C$21, $C$9, 100%, $E$9)</f>
        <v>18.192399999999999</v>
      </c>
      <c r="N644" s="10">
        <f>CHOOSE(CONTROL!$C$42, 18.2088, 18.2088) * CHOOSE(CONTROL!$C$21, $C$9, 100%, $E$9)</f>
        <v>18.2088</v>
      </c>
      <c r="O644" s="10">
        <f>CHOOSE(CONTROL!$C$42, 18.4377, 18.4377) * CHOOSE(CONTROL!$C$21, $C$9, 100%, $E$9)</f>
        <v>18.4377</v>
      </c>
      <c r="P644" s="10">
        <f>CHOOSE(CONTROL!$C$42, 18.2199, 18.2199) * CHOOSE(CONTROL!$C$21, $C$9, 100%, $E$9)</f>
        <v>18.219899999999999</v>
      </c>
      <c r="Q644" s="10">
        <f>CHOOSE(CONTROL!$C$42, 19.033, 19.033) * CHOOSE(CONTROL!$C$21, $C$9, 100%, $E$9)</f>
        <v>19.033000000000001</v>
      </c>
      <c r="R644" s="10">
        <f>CHOOSE(CONTROL!$C$42, 19.6676, 19.6676) * CHOOSE(CONTROL!$C$21, $C$9, 100%, $E$9)</f>
        <v>19.6676</v>
      </c>
      <c r="S644" s="10">
        <f>CHOOSE(CONTROL!$C$42, 17.8708, 17.8708) * CHOOSE(CONTROL!$C$21, $C$9, 100%, $E$9)</f>
        <v>17.870799999999999</v>
      </c>
      <c r="T6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38">
        <f>(1000*CHOOSE(CONTROL!$C$42, 695, 695)*CHOOSE(CONTROL!$C$42, 0.5599, 0.5599)*CHOOSE(CONTROL!$C$42, 31, 31))/1000000</f>
        <v>12.063045499999998</v>
      </c>
      <c r="V644" s="38">
        <f>(1000*CHOOSE(CONTROL!$C$42, 500, 500)*CHOOSE(CONTROL!$C$42, 0.275, 0.275)*CHOOSE(CONTROL!$C$42, 31, 31))/1000000</f>
        <v>4.2625000000000002</v>
      </c>
      <c r="W644" s="38">
        <f>(1000*CHOOSE(CONTROL!$C$42, 0.1146, 0.1146)*CHOOSE(CONTROL!$C$42, 121.5, 121.5)*CHOOSE(CONTROL!$C$42, 31, 31))/1000000</f>
        <v>0.43164089999999994</v>
      </c>
      <c r="X644" s="38">
        <f>(31*0.1790888*245000/1000000)+(31*0.2374*100000/1000000)</f>
        <v>2.0961194359999999</v>
      </c>
      <c r="Y644" s="38">
        <f>(1000*600*CHOOSE(CONTROL!$C$42, 1.0585, 1.0585)*CHOOSE(CONTROL!$C$42, 31, 31))/1000000</f>
        <v>19.688099999999999</v>
      </c>
      <c r="Z644" s="38"/>
      <c r="AA644" s="10"/>
      <c r="AB644" s="39"/>
      <c r="AC644" s="33">
        <f>(B644*194.205+C644*267.466+D644*133.845+E644*53.484+F644*40+G644*185+H644*0+I644*100+J644*300)/(194.205+267.466+133.845+53.484+0+40+185+100+300)</f>
        <v>18.421854050941917</v>
      </c>
      <c r="AD644" s="27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18.30847985611511</v>
      </c>
    </row>
    <row r="645" spans="1:30" ht="15.75" x14ac:dyDescent="0.25">
      <c r="A645" s="13">
        <v>60905</v>
      </c>
      <c r="B645" s="10">
        <f>CHOOSE(CONTROL!$C$42, 17.2388, 17.2388) * CHOOSE(CONTROL!$C$21, $C$9, 100%, $E$9)</f>
        <v>17.238800000000001</v>
      </c>
      <c r="C645" s="10">
        <f>CHOOSE(CONTROL!$C$42, 17.2467, 17.2467) * CHOOSE(CONTROL!$C$21, $C$9, 100%, $E$9)</f>
        <v>17.246700000000001</v>
      </c>
      <c r="D645" s="10">
        <f>CHOOSE(CONTROL!$C$42, 17.4237, 17.4237) * CHOOSE(CONTROL!$C$21, $C$9, 100%, $E$9)</f>
        <v>17.4237</v>
      </c>
      <c r="E645" s="10">
        <f>CHOOSE(CONTROL!$C$42, 17.4548, 17.4548) * CHOOSE(CONTROL!$C$21, $C$9, 100%, $E$9)</f>
        <v>17.454799999999999</v>
      </c>
      <c r="F645" s="10">
        <f>CHOOSE(CONTROL!$C$42, 17.2024, 17.2024)*CHOOSE(CONTROL!$C$21, $C$9, 100%, $E$9)</f>
        <v>17.202400000000001</v>
      </c>
      <c r="G645" s="10">
        <f>CHOOSE(CONTROL!$C$42, 17.2189, 17.2189)*CHOOSE(CONTROL!$C$21, $C$9, 100%, $E$9)</f>
        <v>17.218900000000001</v>
      </c>
      <c r="H645" s="10">
        <f>CHOOSE(CONTROL!$C$42, 17.4434, 17.4434) * CHOOSE(CONTROL!$C$21, $C$9, 100%, $E$9)</f>
        <v>17.4434</v>
      </c>
      <c r="I645" s="10">
        <f>CHOOSE(CONTROL!$C$42, 17.2234, 17.2234)* CHOOSE(CONTROL!$C$21, $C$9, 100%, $E$9)</f>
        <v>17.223400000000002</v>
      </c>
      <c r="J645" s="10">
        <f>CHOOSE(CONTROL!$C$42, 17.1954, 17.1954)* CHOOSE(CONTROL!$C$21, $C$9, 100%, $E$9)</f>
        <v>17.195399999999999</v>
      </c>
      <c r="K645" s="10">
        <f>CHOOSE(CONTROL!$C$42, 16.8689, 16.8689) * CHOOSE(CONTROL!$C$21, $C$9, 100%, $E$9)</f>
        <v>16.8689</v>
      </c>
      <c r="L645" s="10">
        <f>CHOOSE(CONTROL!$C$42, 18.0304, 18.0304) * CHOOSE(CONTROL!$C$21, $C$9, 100%, $E$9)</f>
        <v>18.0304</v>
      </c>
      <c r="M645" s="10">
        <f>CHOOSE(CONTROL!$C$42, 17.0356, 17.0356) * CHOOSE(CONTROL!$C$21, $C$9, 100%, $E$9)</f>
        <v>17.035599999999999</v>
      </c>
      <c r="N645" s="10">
        <f>CHOOSE(CONTROL!$C$42, 17.052, 17.052) * CHOOSE(CONTROL!$C$21, $C$9, 100%, $E$9)</f>
        <v>17.052</v>
      </c>
      <c r="O645" s="10">
        <f>CHOOSE(CONTROL!$C$42, 17.2812, 17.2812) * CHOOSE(CONTROL!$C$21, $C$9, 100%, $E$9)</f>
        <v>17.281199999999998</v>
      </c>
      <c r="P645" s="10">
        <f>CHOOSE(CONTROL!$C$42, 17.0634, 17.0634) * CHOOSE(CONTROL!$C$21, $C$9, 100%, $E$9)</f>
        <v>17.063400000000001</v>
      </c>
      <c r="Q645" s="10">
        <f>CHOOSE(CONTROL!$C$42, 17.8765, 17.8765) * CHOOSE(CONTROL!$C$21, $C$9, 100%, $E$9)</f>
        <v>17.8765</v>
      </c>
      <c r="R645" s="10">
        <f>CHOOSE(CONTROL!$C$42, 18.5082, 18.5082) * CHOOSE(CONTROL!$C$21, $C$9, 100%, $E$9)</f>
        <v>18.508199999999999</v>
      </c>
      <c r="S645" s="10">
        <f>CHOOSE(CONTROL!$C$42, 16.7363, 16.7363) * CHOOSE(CONTROL!$C$21, $C$9, 100%, $E$9)</f>
        <v>16.7363</v>
      </c>
      <c r="T6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38">
        <f>(1000*CHOOSE(CONTROL!$C$42, 695, 695)*CHOOSE(CONTROL!$C$42, 0.5599, 0.5599)*CHOOSE(CONTROL!$C$42, 30, 30))/1000000</f>
        <v>11.673914999999997</v>
      </c>
      <c r="V645" s="38">
        <f>(1000*CHOOSE(CONTROL!$C$42, 500, 500)*CHOOSE(CONTROL!$C$42, 0.275, 0.275)*CHOOSE(CONTROL!$C$42, 30, 30))/1000000</f>
        <v>4.125</v>
      </c>
      <c r="W645" s="38">
        <f>(1000*CHOOSE(CONTROL!$C$42, 0.1146, 0.1146)*CHOOSE(CONTROL!$C$42, 121.5, 121.5)*CHOOSE(CONTROL!$C$42, 30, 30))/1000000</f>
        <v>0.417717</v>
      </c>
      <c r="X645" s="38">
        <f>(30*0.1790888*245000/1000000)+(30*0.2374*100000/1000000)</f>
        <v>2.0285026799999999</v>
      </c>
      <c r="Y645" s="38">
        <f>(1000*600*CHOOSE(CONTROL!$C$42, 1.0585, 1.0585)*CHOOSE(CONTROL!$C$42, 30, 30))/1000000</f>
        <v>19.053000000000001</v>
      </c>
      <c r="Z645" s="38"/>
      <c r="AA645" s="10"/>
      <c r="AB645" s="39"/>
      <c r="AC645" s="33">
        <f>(B645*194.205+C645*267.466+D645*133.845+E645*53.484+F645*40+G645*185+H645*0+I645*100+J645*300)/(194.205+267.466+133.845+53.484+0+40+185+100+300)</f>
        <v>17.253490711067506</v>
      </c>
      <c r="AD645" s="27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17.151858992805753</v>
      </c>
    </row>
    <row r="646" spans="1:30" ht="15.75" x14ac:dyDescent="0.25">
      <c r="A646" s="13">
        <v>60936</v>
      </c>
      <c r="B646" s="10">
        <f>CHOOSE(CONTROL!$C$42, 16.8867, 16.8867) * CHOOSE(CONTROL!$C$21, $C$9, 100%, $E$9)</f>
        <v>16.886700000000001</v>
      </c>
      <c r="C646" s="10">
        <f>CHOOSE(CONTROL!$C$42, 16.8919, 16.8919) * CHOOSE(CONTROL!$C$21, $C$9, 100%, $E$9)</f>
        <v>16.8919</v>
      </c>
      <c r="D646" s="10">
        <f>CHOOSE(CONTROL!$C$42, 17.0739, 17.0739) * CHOOSE(CONTROL!$C$21, $C$9, 100%, $E$9)</f>
        <v>17.073899999999998</v>
      </c>
      <c r="E646" s="10">
        <f>CHOOSE(CONTROL!$C$42, 17.1027, 17.1027) * CHOOSE(CONTROL!$C$21, $C$9, 100%, $E$9)</f>
        <v>17.102699999999999</v>
      </c>
      <c r="F646" s="10">
        <f>CHOOSE(CONTROL!$C$42, 16.8523, 16.8523)*CHOOSE(CONTROL!$C$21, $C$9, 100%, $E$9)</f>
        <v>16.8523</v>
      </c>
      <c r="G646" s="10">
        <f>CHOOSE(CONTROL!$C$42, 16.8686, 16.8686)*CHOOSE(CONTROL!$C$21, $C$9, 100%, $E$9)</f>
        <v>16.868600000000001</v>
      </c>
      <c r="H646" s="10">
        <f>CHOOSE(CONTROL!$C$42, 17.0931, 17.0931) * CHOOSE(CONTROL!$C$21, $C$9, 100%, $E$9)</f>
        <v>17.0931</v>
      </c>
      <c r="I646" s="10">
        <f>CHOOSE(CONTROL!$C$42, 16.8731, 16.8731)* CHOOSE(CONTROL!$C$21, $C$9, 100%, $E$9)</f>
        <v>16.873100000000001</v>
      </c>
      <c r="J646" s="10">
        <f>CHOOSE(CONTROL!$C$42, 16.8453, 16.8453)* CHOOSE(CONTROL!$C$21, $C$9, 100%, $E$9)</f>
        <v>16.845300000000002</v>
      </c>
      <c r="K646" s="10">
        <f>CHOOSE(CONTROL!$C$42, 16.5292, 16.5292) * CHOOSE(CONTROL!$C$21, $C$9, 100%, $E$9)</f>
        <v>16.529199999999999</v>
      </c>
      <c r="L646" s="10">
        <f>CHOOSE(CONTROL!$C$42, 17.6801, 17.6801) * CHOOSE(CONTROL!$C$21, $C$9, 100%, $E$9)</f>
        <v>17.680099999999999</v>
      </c>
      <c r="M646" s="10">
        <f>CHOOSE(CONTROL!$C$42, 16.6891, 16.6891) * CHOOSE(CONTROL!$C$21, $C$9, 100%, $E$9)</f>
        <v>16.6891</v>
      </c>
      <c r="N646" s="10">
        <f>CHOOSE(CONTROL!$C$42, 16.7052, 16.7052) * CHOOSE(CONTROL!$C$21, $C$9, 100%, $E$9)</f>
        <v>16.705200000000001</v>
      </c>
      <c r="O646" s="10">
        <f>CHOOSE(CONTROL!$C$42, 16.9345, 16.9345) * CHOOSE(CONTROL!$C$21, $C$9, 100%, $E$9)</f>
        <v>16.9345</v>
      </c>
      <c r="P646" s="10">
        <f>CHOOSE(CONTROL!$C$42, 16.7167, 16.7167) * CHOOSE(CONTROL!$C$21, $C$9, 100%, $E$9)</f>
        <v>16.716699999999999</v>
      </c>
      <c r="Q646" s="10">
        <f>CHOOSE(CONTROL!$C$42, 17.5298, 17.5298) * CHOOSE(CONTROL!$C$21, $C$9, 100%, $E$9)</f>
        <v>17.529800000000002</v>
      </c>
      <c r="R646" s="10">
        <f>CHOOSE(CONTROL!$C$42, 18.1606, 18.1606) * CHOOSE(CONTROL!$C$21, $C$9, 100%, $E$9)</f>
        <v>18.160599999999999</v>
      </c>
      <c r="S646" s="10">
        <f>CHOOSE(CONTROL!$C$42, 16.3961, 16.3961) * CHOOSE(CONTROL!$C$21, $C$9, 100%, $E$9)</f>
        <v>16.396100000000001</v>
      </c>
      <c r="T6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38">
        <f>(1000*CHOOSE(CONTROL!$C$42, 695, 695)*CHOOSE(CONTROL!$C$42, 0.5599, 0.5599)*CHOOSE(CONTROL!$C$42, 31, 31))/1000000</f>
        <v>12.063045499999998</v>
      </c>
      <c r="V646" s="38">
        <f>(1000*CHOOSE(CONTROL!$C$42, 500, 500)*CHOOSE(CONTROL!$C$42, 0.275, 0.275)*CHOOSE(CONTROL!$C$42, 31, 31))/1000000</f>
        <v>4.2625000000000002</v>
      </c>
      <c r="W646" s="38">
        <f>(1000*CHOOSE(CONTROL!$C$42, 0.1146, 0.1146)*CHOOSE(CONTROL!$C$42, 121.5, 121.5)*CHOOSE(CONTROL!$C$42, 31, 31))/1000000</f>
        <v>0.43164089999999994</v>
      </c>
      <c r="X646" s="38">
        <f>(31*0.1790888*245000/1000000)+(31*0.2374*100000/1000000)</f>
        <v>2.0961194359999999</v>
      </c>
      <c r="Y646" s="38">
        <f>(1000*600*CHOOSE(CONTROL!$C$42, 1.0585, 1.0585)*CHOOSE(CONTROL!$C$42, 31, 31))/1000000</f>
        <v>19.688099999999999</v>
      </c>
      <c r="Z646" s="38"/>
      <c r="AA646" s="10"/>
      <c r="AB646" s="39"/>
      <c r="AC646" s="33">
        <f>(B646*131.881+C646*277.167+D646*79.08+E646*125.872+F646*40+G646*185+H646*0+I646*100+J646*300)/(131.881+277.167+79.08+125.872+0+40+185+100+300)</f>
        <v>16.906820174656982</v>
      </c>
      <c r="AD646" s="27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16.805222302158274</v>
      </c>
    </row>
    <row r="647" spans="1:30" ht="15.75" x14ac:dyDescent="0.25">
      <c r="A647" s="13">
        <v>60966</v>
      </c>
      <c r="B647" s="10">
        <f>CHOOSE(CONTROL!$C$42, 17.3311, 17.3311) * CHOOSE(CONTROL!$C$21, $C$9, 100%, $E$9)</f>
        <v>17.331099999999999</v>
      </c>
      <c r="C647" s="10">
        <f>CHOOSE(CONTROL!$C$42, 17.336, 17.336) * CHOOSE(CONTROL!$C$21, $C$9, 100%, $E$9)</f>
        <v>17.335999999999999</v>
      </c>
      <c r="D647" s="10">
        <f>CHOOSE(CONTROL!$C$42, 17.3605, 17.3605) * CHOOSE(CONTROL!$C$21, $C$9, 100%, $E$9)</f>
        <v>17.360499999999998</v>
      </c>
      <c r="E647" s="10">
        <f>CHOOSE(CONTROL!$C$42, 17.3943, 17.3943) * CHOOSE(CONTROL!$C$21, $C$9, 100%, $E$9)</f>
        <v>17.394300000000001</v>
      </c>
      <c r="F647" s="10">
        <f>CHOOSE(CONTROL!$C$42, 17.3004, 17.3004)*CHOOSE(CONTROL!$C$21, $C$9, 100%, $E$9)</f>
        <v>17.3004</v>
      </c>
      <c r="G647" s="10">
        <f>CHOOSE(CONTROL!$C$42, 17.3168, 17.3168)*CHOOSE(CONTROL!$C$21, $C$9, 100%, $E$9)</f>
        <v>17.316800000000001</v>
      </c>
      <c r="H647" s="10">
        <f>CHOOSE(CONTROL!$C$42, 17.3835, 17.3835) * CHOOSE(CONTROL!$C$21, $C$9, 100%, $E$9)</f>
        <v>17.383500000000002</v>
      </c>
      <c r="I647" s="10">
        <f>CHOOSE(CONTROL!$C$42, 17.3179, 17.3179)* CHOOSE(CONTROL!$C$21, $C$9, 100%, $E$9)</f>
        <v>17.317900000000002</v>
      </c>
      <c r="J647" s="10">
        <f>CHOOSE(CONTROL!$C$42, 17.2934, 17.2934)* CHOOSE(CONTROL!$C$21, $C$9, 100%, $E$9)</f>
        <v>17.293399999999998</v>
      </c>
      <c r="K647" s="10">
        <f>CHOOSE(CONTROL!$C$42, 16.9628, 16.9628) * CHOOSE(CONTROL!$C$21, $C$9, 100%, $E$9)</f>
        <v>16.962800000000001</v>
      </c>
      <c r="L647" s="10">
        <f>CHOOSE(CONTROL!$C$42, 17.9705, 17.9705) * CHOOSE(CONTROL!$C$21, $C$9, 100%, $E$9)</f>
        <v>17.970500000000001</v>
      </c>
      <c r="M647" s="10">
        <f>CHOOSE(CONTROL!$C$42, 17.1327, 17.1327) * CHOOSE(CONTROL!$C$21, $C$9, 100%, $E$9)</f>
        <v>17.1327</v>
      </c>
      <c r="N647" s="10">
        <f>CHOOSE(CONTROL!$C$42, 17.149, 17.149) * CHOOSE(CONTROL!$C$21, $C$9, 100%, $E$9)</f>
        <v>17.149000000000001</v>
      </c>
      <c r="O647" s="10">
        <f>CHOOSE(CONTROL!$C$42, 17.2219, 17.2219) * CHOOSE(CONTROL!$C$21, $C$9, 100%, $E$9)</f>
        <v>17.221900000000002</v>
      </c>
      <c r="P647" s="10">
        <f>CHOOSE(CONTROL!$C$42, 17.1569, 17.1569) * CHOOSE(CONTROL!$C$21, $C$9, 100%, $E$9)</f>
        <v>17.1569</v>
      </c>
      <c r="Q647" s="10">
        <f>CHOOSE(CONTROL!$C$42, 17.8172, 17.8172) * CHOOSE(CONTROL!$C$21, $C$9, 100%, $E$9)</f>
        <v>17.8172</v>
      </c>
      <c r="R647" s="10">
        <f>CHOOSE(CONTROL!$C$42, 18.4487, 18.4487) * CHOOSE(CONTROL!$C$21, $C$9, 100%, $E$9)</f>
        <v>18.448699999999999</v>
      </c>
      <c r="S647" s="10">
        <f>CHOOSE(CONTROL!$C$42, 16.8281, 16.8281) * CHOOSE(CONTROL!$C$21, $C$9, 100%, $E$9)</f>
        <v>16.828099999999999</v>
      </c>
      <c r="T6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38">
        <f>(1000*CHOOSE(CONTROL!$C$42, 695, 695)*CHOOSE(CONTROL!$C$42, 0.5599, 0.5599)*CHOOSE(CONTROL!$C$42, 30, 30))/1000000</f>
        <v>11.673914999999997</v>
      </c>
      <c r="V647" s="38">
        <f>(1000*CHOOSE(CONTROL!$C$42, 500, 500)*CHOOSE(CONTROL!$C$42, 0.275, 0.275)*CHOOSE(CONTROL!$C$42, 30, 30))/1000000</f>
        <v>4.125</v>
      </c>
      <c r="W647" s="38">
        <f>(1000*CHOOSE(CONTROL!$C$42, 0.1146, 0.1146)*CHOOSE(CONTROL!$C$42, 121.5, 121.5)*CHOOSE(CONTROL!$C$42, 30, 30))/1000000</f>
        <v>0.417717</v>
      </c>
      <c r="X647" s="38">
        <f>(30*0.1790888*100000/1000000)+(30*0.2374*100000/1000000)</f>
        <v>1.2494664</v>
      </c>
      <c r="Y647" s="38">
        <f>(1000*600*CHOOSE(CONTROL!$C$42, 1.0585, 1.0585)*CHOOSE(CONTROL!$C$42, 30, 30))/1000000</f>
        <v>19.053000000000001</v>
      </c>
      <c r="Z647" s="38"/>
      <c r="AA647" s="10"/>
      <c r="AB647" s="39"/>
      <c r="AC647" s="33">
        <f>(B647*122.58+C647*297.941+D647*89.177+E647*40.302+F647*40+G647*160+H647*0+I647*100+J647*300)/(122.58+297.941+89.177+40.302+0+40+160+100+300)</f>
        <v>17.322824174869563</v>
      </c>
      <c r="AD647" s="27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17.177548920863309</v>
      </c>
    </row>
    <row r="648" spans="1:30" ht="15.75" x14ac:dyDescent="0.25">
      <c r="A648" s="13">
        <v>60997</v>
      </c>
      <c r="B648" s="10">
        <f>CHOOSE(CONTROL!$C$42, 18.5125, 18.5125) * CHOOSE(CONTROL!$C$21, $C$9, 100%, $E$9)</f>
        <v>18.512499999999999</v>
      </c>
      <c r="C648" s="10">
        <f>CHOOSE(CONTROL!$C$42, 18.5175, 18.5175) * CHOOSE(CONTROL!$C$21, $C$9, 100%, $E$9)</f>
        <v>18.517499999999998</v>
      </c>
      <c r="D648" s="10">
        <f>CHOOSE(CONTROL!$C$42, 18.5419, 18.5419) * CHOOSE(CONTROL!$C$21, $C$9, 100%, $E$9)</f>
        <v>18.541899999999998</v>
      </c>
      <c r="E648" s="10">
        <f>CHOOSE(CONTROL!$C$42, 18.5757, 18.5757) * CHOOSE(CONTROL!$C$21, $C$9, 100%, $E$9)</f>
        <v>18.575700000000001</v>
      </c>
      <c r="F648" s="10">
        <f>CHOOSE(CONTROL!$C$42, 18.4841, 18.4841)*CHOOSE(CONTROL!$C$21, $C$9, 100%, $E$9)</f>
        <v>18.484100000000002</v>
      </c>
      <c r="G648" s="10">
        <f>CHOOSE(CONTROL!$C$42, 18.5012, 18.5012)*CHOOSE(CONTROL!$C$21, $C$9, 100%, $E$9)</f>
        <v>18.501200000000001</v>
      </c>
      <c r="H648" s="10">
        <f>CHOOSE(CONTROL!$C$42, 18.5649, 18.5649) * CHOOSE(CONTROL!$C$21, $C$9, 100%, $E$9)</f>
        <v>18.564900000000002</v>
      </c>
      <c r="I648" s="10">
        <f>CHOOSE(CONTROL!$C$42, 18.4993, 18.4993)* CHOOSE(CONTROL!$C$21, $C$9, 100%, $E$9)</f>
        <v>18.499300000000002</v>
      </c>
      <c r="J648" s="10">
        <f>CHOOSE(CONTROL!$C$42, 18.4771, 18.4771)* CHOOSE(CONTROL!$C$21, $C$9, 100%, $E$9)</f>
        <v>18.4771</v>
      </c>
      <c r="K648" s="10">
        <f>CHOOSE(CONTROL!$C$42, 18.1157, 18.1157) * CHOOSE(CONTROL!$C$21, $C$9, 100%, $E$9)</f>
        <v>18.1157</v>
      </c>
      <c r="L648" s="10">
        <f>CHOOSE(CONTROL!$C$42, 19.1519, 19.1519) * CHOOSE(CONTROL!$C$21, $C$9, 100%, $E$9)</f>
        <v>19.151900000000001</v>
      </c>
      <c r="M648" s="10">
        <f>CHOOSE(CONTROL!$C$42, 18.3045, 18.3045) * CHOOSE(CONTROL!$C$21, $C$9, 100%, $E$9)</f>
        <v>18.304500000000001</v>
      </c>
      <c r="N648" s="10">
        <f>CHOOSE(CONTROL!$C$42, 18.3214, 18.3214) * CHOOSE(CONTROL!$C$21, $C$9, 100%, $E$9)</f>
        <v>18.321400000000001</v>
      </c>
      <c r="O648" s="10">
        <f>CHOOSE(CONTROL!$C$42, 18.3914, 18.3914) * CHOOSE(CONTROL!$C$21, $C$9, 100%, $E$9)</f>
        <v>18.391400000000001</v>
      </c>
      <c r="P648" s="10">
        <f>CHOOSE(CONTROL!$C$42, 18.3264, 18.3264) * CHOOSE(CONTROL!$C$21, $C$9, 100%, $E$9)</f>
        <v>18.3264</v>
      </c>
      <c r="Q648" s="10">
        <f>CHOOSE(CONTROL!$C$42, 18.9867, 18.9867) * CHOOSE(CONTROL!$C$21, $C$9, 100%, $E$9)</f>
        <v>18.986699999999999</v>
      </c>
      <c r="R648" s="10">
        <f>CHOOSE(CONTROL!$C$42, 19.6211, 19.6211) * CHOOSE(CONTROL!$C$21, $C$9, 100%, $E$9)</f>
        <v>19.621099999999998</v>
      </c>
      <c r="S648" s="10">
        <f>CHOOSE(CONTROL!$C$42, 17.9754, 17.9754) * CHOOSE(CONTROL!$C$21, $C$9, 100%, $E$9)</f>
        <v>17.9754</v>
      </c>
      <c r="T6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38">
        <f>(1000*CHOOSE(CONTROL!$C$42, 695, 695)*CHOOSE(CONTROL!$C$42, 0.5599, 0.5599)*CHOOSE(CONTROL!$C$42, 31, 31))/1000000</f>
        <v>12.063045499999998</v>
      </c>
      <c r="V648" s="38">
        <f>(1000*CHOOSE(CONTROL!$C$42, 500, 500)*CHOOSE(CONTROL!$C$42, 0.275, 0.275)*CHOOSE(CONTROL!$C$42, 31, 31))/1000000</f>
        <v>4.2625000000000002</v>
      </c>
      <c r="W648" s="38">
        <f>(1000*CHOOSE(CONTROL!$C$42, 0.1146, 0.1146)*CHOOSE(CONTROL!$C$42, 121.5, 121.5)*CHOOSE(CONTROL!$C$42, 31, 31))/1000000</f>
        <v>0.43164089999999994</v>
      </c>
      <c r="X648" s="38">
        <f>(31*0.1790888*100000/1000000)+(31*0.2374*100000/1000000)</f>
        <v>1.2911152800000001</v>
      </c>
      <c r="Y648" s="38">
        <f>(1000*600*CHOOSE(CONTROL!$C$42, 1.0585, 1.0585)*CHOOSE(CONTROL!$C$42, 31, 31))/1000000</f>
        <v>19.688099999999999</v>
      </c>
      <c r="Z648" s="38"/>
      <c r="AA648" s="10"/>
      <c r="AB648" s="39"/>
      <c r="AC648" s="33">
        <f>(B648*122.58+C648*297.941+D648*89.177+E648*40.302+F648*40+G648*160+H648*0+I648*100+J648*300)/(122.58+297.941+89.177+40.302+0+40+160+100+300)</f>
        <v>18.505347474086957</v>
      </c>
      <c r="AD648" s="27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18.348010071942443</v>
      </c>
    </row>
    <row r="649" spans="1:30" ht="15.75" x14ac:dyDescent="0.25">
      <c r="A649" s="13">
        <v>61028</v>
      </c>
      <c r="B649" s="10">
        <f>CHOOSE(CONTROL!$C$42, 19.7618, 19.7618) * CHOOSE(CONTROL!$C$21, $C$9, 100%, $E$9)</f>
        <v>19.761800000000001</v>
      </c>
      <c r="C649" s="10">
        <f>CHOOSE(CONTROL!$C$42, 19.7667, 19.7667) * CHOOSE(CONTROL!$C$21, $C$9, 100%, $E$9)</f>
        <v>19.7667</v>
      </c>
      <c r="D649" s="10">
        <f>CHOOSE(CONTROL!$C$42, 19.7912, 19.7912) * CHOOSE(CONTROL!$C$21, $C$9, 100%, $E$9)</f>
        <v>19.7912</v>
      </c>
      <c r="E649" s="10">
        <f>CHOOSE(CONTROL!$C$42, 19.825, 19.825) * CHOOSE(CONTROL!$C$21, $C$9, 100%, $E$9)</f>
        <v>19.824999999999999</v>
      </c>
      <c r="F649" s="10">
        <f>CHOOSE(CONTROL!$C$42, 19.7447, 19.7447)*CHOOSE(CONTROL!$C$21, $C$9, 100%, $E$9)</f>
        <v>19.744700000000002</v>
      </c>
      <c r="G649" s="10">
        <f>CHOOSE(CONTROL!$C$42, 19.7634, 19.7634)*CHOOSE(CONTROL!$C$21, $C$9, 100%, $E$9)</f>
        <v>19.763400000000001</v>
      </c>
      <c r="H649" s="10">
        <f>CHOOSE(CONTROL!$C$42, 19.8142, 19.8142) * CHOOSE(CONTROL!$C$21, $C$9, 100%, $E$9)</f>
        <v>19.8142</v>
      </c>
      <c r="I649" s="10">
        <f>CHOOSE(CONTROL!$C$42, 19.7563, 19.7563)* CHOOSE(CONTROL!$C$21, $C$9, 100%, $E$9)</f>
        <v>19.7563</v>
      </c>
      <c r="J649" s="10">
        <f>CHOOSE(CONTROL!$C$42, 19.7377, 19.7377)* CHOOSE(CONTROL!$C$21, $C$9, 100%, $E$9)</f>
        <v>19.7377</v>
      </c>
      <c r="K649" s="10">
        <f>CHOOSE(CONTROL!$C$42, 19.3504, 19.3504) * CHOOSE(CONTROL!$C$21, $C$9, 100%, $E$9)</f>
        <v>19.3504</v>
      </c>
      <c r="L649" s="10">
        <f>CHOOSE(CONTROL!$C$42, 20.4012, 20.4012) * CHOOSE(CONTROL!$C$21, $C$9, 100%, $E$9)</f>
        <v>20.401199999999999</v>
      </c>
      <c r="M649" s="10">
        <f>CHOOSE(CONTROL!$C$42, 19.5524, 19.5524) * CHOOSE(CONTROL!$C$21, $C$9, 100%, $E$9)</f>
        <v>19.552399999999999</v>
      </c>
      <c r="N649" s="10">
        <f>CHOOSE(CONTROL!$C$42, 19.5708, 19.5708) * CHOOSE(CONTROL!$C$21, $C$9, 100%, $E$9)</f>
        <v>19.570799999999998</v>
      </c>
      <c r="O649" s="10">
        <f>CHOOSE(CONTROL!$C$42, 19.628, 19.628) * CHOOSE(CONTROL!$C$21, $C$9, 100%, $E$9)</f>
        <v>19.628</v>
      </c>
      <c r="P649" s="10">
        <f>CHOOSE(CONTROL!$C$42, 19.5708, 19.5708) * CHOOSE(CONTROL!$C$21, $C$9, 100%, $E$9)</f>
        <v>19.570799999999998</v>
      </c>
      <c r="Q649" s="10">
        <f>CHOOSE(CONTROL!$C$42, 20.2233, 20.2233) * CHOOSE(CONTROL!$C$21, $C$9, 100%, $E$9)</f>
        <v>20.223299999999998</v>
      </c>
      <c r="R649" s="10">
        <f>CHOOSE(CONTROL!$C$42, 20.8609, 20.8609) * CHOOSE(CONTROL!$C$21, $C$9, 100%, $E$9)</f>
        <v>20.860900000000001</v>
      </c>
      <c r="S649" s="10">
        <f>CHOOSE(CONTROL!$C$42, 19.1885, 19.1885) * CHOOSE(CONTROL!$C$21, $C$9, 100%, $E$9)</f>
        <v>19.188500000000001</v>
      </c>
      <c r="T6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38">
        <f>(1000*CHOOSE(CONTROL!$C$42, 695, 695)*CHOOSE(CONTROL!$C$42, 0.5599, 0.5599)*CHOOSE(CONTROL!$C$42, 31, 31))/1000000</f>
        <v>12.063045499999998</v>
      </c>
      <c r="V649" s="38">
        <f>(1000*CHOOSE(CONTROL!$C$42, 500, 500)*CHOOSE(CONTROL!$C$42, 0.275, 0.275)*CHOOSE(CONTROL!$C$42, 31, 31))/1000000</f>
        <v>4.2625000000000002</v>
      </c>
      <c r="W649" s="38">
        <f>(1000*CHOOSE(CONTROL!$C$42, 0.1146, 0.1146)*CHOOSE(CONTROL!$C$42, 121.5, 121.5)*CHOOSE(CONTROL!$C$42, 31, 31))/1000000</f>
        <v>0.43164089999999994</v>
      </c>
      <c r="X649" s="38">
        <f>(31*0.1790888*100000/1000000)+(31*0.2374*100000/1000000)</f>
        <v>1.2911152800000001</v>
      </c>
      <c r="Y649" s="38">
        <f>(1000*600*CHOOSE(CONTROL!$C$42, 1.0585, 1.0585)*CHOOSE(CONTROL!$C$42, 31, 31))/1000000</f>
        <v>19.688099999999999</v>
      </c>
      <c r="Z649" s="38"/>
      <c r="AA649" s="10"/>
      <c r="AB649" s="39"/>
      <c r="AC649" s="33">
        <f>(B649*122.58+C649*297.941+D649*89.177+E649*40.302+F649*40+G649*160+H649*0+I649*100+J649*300)/(122.58+297.941+89.177+40.302+0+40+160+100+300)</f>
        <v>19.760426783565222</v>
      </c>
      <c r="AD649" s="27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19.590371223021581</v>
      </c>
    </row>
    <row r="650" spans="1:30" ht="15.75" x14ac:dyDescent="0.25">
      <c r="A650" s="13">
        <v>61056</v>
      </c>
      <c r="B650" s="10">
        <f>CHOOSE(CONTROL!$C$42, 20.1135, 20.1135) * CHOOSE(CONTROL!$C$21, $C$9, 100%, $E$9)</f>
        <v>20.113499999999998</v>
      </c>
      <c r="C650" s="10">
        <f>CHOOSE(CONTROL!$C$42, 20.1185, 20.1185) * CHOOSE(CONTROL!$C$21, $C$9, 100%, $E$9)</f>
        <v>20.118500000000001</v>
      </c>
      <c r="D650" s="10">
        <f>CHOOSE(CONTROL!$C$42, 20.1429, 20.1429) * CHOOSE(CONTROL!$C$21, $C$9, 100%, $E$9)</f>
        <v>20.142900000000001</v>
      </c>
      <c r="E650" s="10">
        <f>CHOOSE(CONTROL!$C$42, 20.1767, 20.1767) * CHOOSE(CONTROL!$C$21, $C$9, 100%, $E$9)</f>
        <v>20.1767</v>
      </c>
      <c r="F650" s="10">
        <f>CHOOSE(CONTROL!$C$42, 20.0958, 20.0958)*CHOOSE(CONTROL!$C$21, $C$9, 100%, $E$9)</f>
        <v>20.095800000000001</v>
      </c>
      <c r="G650" s="10">
        <f>CHOOSE(CONTROL!$C$42, 20.1143, 20.1143)*CHOOSE(CONTROL!$C$21, $C$9, 100%, $E$9)</f>
        <v>20.1143</v>
      </c>
      <c r="H650" s="10">
        <f>CHOOSE(CONTROL!$C$42, 20.1659, 20.1659) * CHOOSE(CONTROL!$C$21, $C$9, 100%, $E$9)</f>
        <v>20.165900000000001</v>
      </c>
      <c r="I650" s="10">
        <f>CHOOSE(CONTROL!$C$42, 20.108, 20.108)* CHOOSE(CONTROL!$C$21, $C$9, 100%, $E$9)</f>
        <v>20.108000000000001</v>
      </c>
      <c r="J650" s="10">
        <f>CHOOSE(CONTROL!$C$42, 20.0888, 20.0888)* CHOOSE(CONTROL!$C$21, $C$9, 100%, $E$9)</f>
        <v>20.088799999999999</v>
      </c>
      <c r="K650" s="10">
        <f>CHOOSE(CONTROL!$C$42, 19.6907, 19.6907) * CHOOSE(CONTROL!$C$21, $C$9, 100%, $E$9)</f>
        <v>19.6907</v>
      </c>
      <c r="L650" s="10">
        <f>CHOOSE(CONTROL!$C$42, 20.7529, 20.7529) * CHOOSE(CONTROL!$C$21, $C$9, 100%, $E$9)</f>
        <v>20.7529</v>
      </c>
      <c r="M650" s="10">
        <f>CHOOSE(CONTROL!$C$42, 19.8999, 19.8999) * CHOOSE(CONTROL!$C$21, $C$9, 100%, $E$9)</f>
        <v>19.899899999999999</v>
      </c>
      <c r="N650" s="10">
        <f>CHOOSE(CONTROL!$C$42, 19.9182, 19.9182) * CHOOSE(CONTROL!$C$21, $C$9, 100%, $E$9)</f>
        <v>19.918199999999999</v>
      </c>
      <c r="O650" s="10">
        <f>CHOOSE(CONTROL!$C$42, 19.9762, 19.9762) * CHOOSE(CONTROL!$C$21, $C$9, 100%, $E$9)</f>
        <v>19.976199999999999</v>
      </c>
      <c r="P650" s="10">
        <f>CHOOSE(CONTROL!$C$42, 19.919, 19.919) * CHOOSE(CONTROL!$C$21, $C$9, 100%, $E$9)</f>
        <v>19.919</v>
      </c>
      <c r="Q650" s="10">
        <f>CHOOSE(CONTROL!$C$42, 20.5715, 20.5715) * CHOOSE(CONTROL!$C$21, $C$9, 100%, $E$9)</f>
        <v>20.5715</v>
      </c>
      <c r="R650" s="10">
        <f>CHOOSE(CONTROL!$C$42, 21.21, 21.21) * CHOOSE(CONTROL!$C$21, $C$9, 100%, $E$9)</f>
        <v>21.21</v>
      </c>
      <c r="S650" s="10">
        <f>CHOOSE(CONTROL!$C$42, 19.5301, 19.5301) * CHOOSE(CONTROL!$C$21, $C$9, 100%, $E$9)</f>
        <v>19.530100000000001</v>
      </c>
      <c r="T6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38">
        <f>(1000*CHOOSE(CONTROL!$C$42, 695, 695)*CHOOSE(CONTROL!$C$42, 0.5599, 0.5599)*CHOOSE(CONTROL!$C$42, 28, 28))/1000000</f>
        <v>10.895653999999999</v>
      </c>
      <c r="V650" s="38">
        <f>(1000*CHOOSE(CONTROL!$C$42, 500, 500)*CHOOSE(CONTROL!$C$42, 0.275, 0.275)*CHOOSE(CONTROL!$C$42, 28, 28))/1000000</f>
        <v>3.85</v>
      </c>
      <c r="W650" s="38">
        <f>(1000*CHOOSE(CONTROL!$C$42, 0.1146, 0.1146)*CHOOSE(CONTROL!$C$42, 121.5, 121.5)*CHOOSE(CONTROL!$C$42, 28, 28))/1000000</f>
        <v>0.38986920000000003</v>
      </c>
      <c r="X650" s="38">
        <f>(28*0.1790888*100000/1000000)+(28*0.2374*100000/1000000)</f>
        <v>1.16616864</v>
      </c>
      <c r="Y650" s="38">
        <f>(1000*600*CHOOSE(CONTROL!$C$42, 1.0585, 1.0585)*CHOOSE(CONTROL!$C$42, 28, 28))/1000000</f>
        <v>17.782800000000002</v>
      </c>
      <c r="Z650" s="38"/>
      <c r="AA650" s="10"/>
      <c r="AB650" s="39"/>
      <c r="AC650" s="33">
        <f>(B650*122.58+C650*297.941+D650*89.177+E650*40.302+F650*40+G650*160+H650*0+I650*100+J650*300)/(122.58+297.941+89.177+40.302+0+40+160+100+300)</f>
        <v>20.111863995826088</v>
      </c>
      <c r="AD650" s="27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19.938283453237407</v>
      </c>
    </row>
    <row r="651" spans="1:30" ht="15.75" x14ac:dyDescent="0.25">
      <c r="A651" s="13">
        <v>61087</v>
      </c>
      <c r="B651" s="10">
        <f>CHOOSE(CONTROL!$C$42, 19.5426, 19.5426) * CHOOSE(CONTROL!$C$21, $C$9, 100%, $E$9)</f>
        <v>19.5426</v>
      </c>
      <c r="C651" s="10">
        <f>CHOOSE(CONTROL!$C$42, 19.5475, 19.5475) * CHOOSE(CONTROL!$C$21, $C$9, 100%, $E$9)</f>
        <v>19.547499999999999</v>
      </c>
      <c r="D651" s="10">
        <f>CHOOSE(CONTROL!$C$42, 19.572, 19.572) * CHOOSE(CONTROL!$C$21, $C$9, 100%, $E$9)</f>
        <v>19.571999999999999</v>
      </c>
      <c r="E651" s="10">
        <f>CHOOSE(CONTROL!$C$42, 19.6058, 19.6058) * CHOOSE(CONTROL!$C$21, $C$9, 100%, $E$9)</f>
        <v>19.605799999999999</v>
      </c>
      <c r="F651" s="10">
        <f>CHOOSE(CONTROL!$C$42, 19.5233, 19.5233)*CHOOSE(CONTROL!$C$21, $C$9, 100%, $E$9)</f>
        <v>19.523299999999999</v>
      </c>
      <c r="G651" s="10">
        <f>CHOOSE(CONTROL!$C$42, 19.5414, 19.5414)*CHOOSE(CONTROL!$C$21, $C$9, 100%, $E$9)</f>
        <v>19.541399999999999</v>
      </c>
      <c r="H651" s="10">
        <f>CHOOSE(CONTROL!$C$42, 19.595, 19.595) * CHOOSE(CONTROL!$C$21, $C$9, 100%, $E$9)</f>
        <v>19.594999999999999</v>
      </c>
      <c r="I651" s="10">
        <f>CHOOSE(CONTROL!$C$42, 19.5371, 19.5371)* CHOOSE(CONTROL!$C$21, $C$9, 100%, $E$9)</f>
        <v>19.537099999999999</v>
      </c>
      <c r="J651" s="10">
        <f>CHOOSE(CONTROL!$C$42, 19.5163, 19.5163)* CHOOSE(CONTROL!$C$21, $C$9, 100%, $E$9)</f>
        <v>19.516300000000001</v>
      </c>
      <c r="K651" s="10">
        <f>CHOOSE(CONTROL!$C$42, 19.1326, 19.1326) * CHOOSE(CONTROL!$C$21, $C$9, 100%, $E$9)</f>
        <v>19.1326</v>
      </c>
      <c r="L651" s="10">
        <f>CHOOSE(CONTROL!$C$42, 20.182, 20.182) * CHOOSE(CONTROL!$C$21, $C$9, 100%, $E$9)</f>
        <v>20.181999999999999</v>
      </c>
      <c r="M651" s="10">
        <f>CHOOSE(CONTROL!$C$42, 19.3332, 19.3332) * CHOOSE(CONTROL!$C$21, $C$9, 100%, $E$9)</f>
        <v>19.333200000000001</v>
      </c>
      <c r="N651" s="10">
        <f>CHOOSE(CONTROL!$C$42, 19.3511, 19.3511) * CHOOSE(CONTROL!$C$21, $C$9, 100%, $E$9)</f>
        <v>19.351099999999999</v>
      </c>
      <c r="O651" s="10">
        <f>CHOOSE(CONTROL!$C$42, 19.411, 19.411) * CHOOSE(CONTROL!$C$21, $C$9, 100%, $E$9)</f>
        <v>19.411000000000001</v>
      </c>
      <c r="P651" s="10">
        <f>CHOOSE(CONTROL!$C$42, 19.3538, 19.3538) * CHOOSE(CONTROL!$C$21, $C$9, 100%, $E$9)</f>
        <v>19.3538</v>
      </c>
      <c r="Q651" s="10">
        <f>CHOOSE(CONTROL!$C$42, 20.0063, 20.0063) * CHOOSE(CONTROL!$C$21, $C$9, 100%, $E$9)</f>
        <v>20.0063</v>
      </c>
      <c r="R651" s="10">
        <f>CHOOSE(CONTROL!$C$42, 20.6434, 20.6434) * CHOOSE(CONTROL!$C$21, $C$9, 100%, $E$9)</f>
        <v>20.6434</v>
      </c>
      <c r="S651" s="10">
        <f>CHOOSE(CONTROL!$C$42, 18.9757, 18.9757) * CHOOSE(CONTROL!$C$21, $C$9, 100%, $E$9)</f>
        <v>18.9757</v>
      </c>
      <c r="T6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38">
        <f>(1000*CHOOSE(CONTROL!$C$42, 695, 695)*CHOOSE(CONTROL!$C$42, 0.5599, 0.5599)*CHOOSE(CONTROL!$C$42, 31, 31))/1000000</f>
        <v>12.063045499999998</v>
      </c>
      <c r="V651" s="38">
        <f>(1000*CHOOSE(CONTROL!$C$42, 500, 500)*CHOOSE(CONTROL!$C$42, 0.275, 0.275)*CHOOSE(CONTROL!$C$42, 31, 31))/1000000</f>
        <v>4.2625000000000002</v>
      </c>
      <c r="W651" s="38">
        <f>(1000*CHOOSE(CONTROL!$C$42, 0.1146, 0.1146)*CHOOSE(CONTROL!$C$42, 121.5, 121.5)*CHOOSE(CONTROL!$C$42, 31, 31))/1000000</f>
        <v>0.43164089999999994</v>
      </c>
      <c r="X651" s="38">
        <f>(31*0.1790888*100000/1000000)+(31*0.2374*100000/1000000)</f>
        <v>1.2911152800000001</v>
      </c>
      <c r="Y651" s="38">
        <f>(1000*600*CHOOSE(CONTROL!$C$42, 1.0585, 1.0585)*CHOOSE(CONTROL!$C$42, 31, 31))/1000000</f>
        <v>19.688099999999999</v>
      </c>
      <c r="Z651" s="38"/>
      <c r="AA651" s="10"/>
      <c r="AB651" s="39"/>
      <c r="AC651" s="33">
        <f>(B651*122.58+C651*297.941+D651*89.177+E651*40.302+F651*40+G651*160+H651*0+I651*100+J651*300)/(122.58+297.941+89.177+40.302+0+40+160+100+300)</f>
        <v>19.540186783565215</v>
      </c>
      <c r="AD651" s="27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19.372456115107912</v>
      </c>
    </row>
    <row r="652" spans="1:30" ht="15.75" x14ac:dyDescent="0.25">
      <c r="A652" s="13">
        <v>61117</v>
      </c>
      <c r="B652" s="10">
        <f>CHOOSE(CONTROL!$C$42, 19.4848, 19.4848) * CHOOSE(CONTROL!$C$21, $C$9, 100%, $E$9)</f>
        <v>19.4848</v>
      </c>
      <c r="C652" s="10">
        <f>CHOOSE(CONTROL!$C$42, 19.4892, 19.4892) * CHOOSE(CONTROL!$C$21, $C$9, 100%, $E$9)</f>
        <v>19.4892</v>
      </c>
      <c r="D652" s="10">
        <f>CHOOSE(CONTROL!$C$42, 19.6694, 19.6694) * CHOOSE(CONTROL!$C$21, $C$9, 100%, $E$9)</f>
        <v>19.6694</v>
      </c>
      <c r="E652" s="10">
        <f>CHOOSE(CONTROL!$C$42, 19.7011, 19.7011) * CHOOSE(CONTROL!$C$21, $C$9, 100%, $E$9)</f>
        <v>19.7011</v>
      </c>
      <c r="F652" s="10">
        <f>CHOOSE(CONTROL!$C$42, 19.4502, 19.4502)*CHOOSE(CONTROL!$C$21, $C$9, 100%, $E$9)</f>
        <v>19.450199999999999</v>
      </c>
      <c r="G652" s="10">
        <f>CHOOSE(CONTROL!$C$42, 19.4664, 19.4664)*CHOOSE(CONTROL!$C$21, $C$9, 100%, $E$9)</f>
        <v>19.4664</v>
      </c>
      <c r="H652" s="10">
        <f>CHOOSE(CONTROL!$C$42, 19.6909, 19.6909) * CHOOSE(CONTROL!$C$21, $C$9, 100%, $E$9)</f>
        <v>19.690899999999999</v>
      </c>
      <c r="I652" s="10">
        <f>CHOOSE(CONTROL!$C$42, 19.4708, 19.4708)* CHOOSE(CONTROL!$C$21, $C$9, 100%, $E$9)</f>
        <v>19.470800000000001</v>
      </c>
      <c r="J652" s="10">
        <f>CHOOSE(CONTROL!$C$42, 19.4432, 19.4432)* CHOOSE(CONTROL!$C$21, $C$9, 100%, $E$9)</f>
        <v>19.443200000000001</v>
      </c>
      <c r="K652" s="10">
        <f>CHOOSE(CONTROL!$C$42, 19.0533, 19.0533) * CHOOSE(CONTROL!$C$21, $C$9, 100%, $E$9)</f>
        <v>19.0533</v>
      </c>
      <c r="L652" s="10">
        <f>CHOOSE(CONTROL!$C$42, 20.2779, 20.2779) * CHOOSE(CONTROL!$C$21, $C$9, 100%, $E$9)</f>
        <v>20.277899999999999</v>
      </c>
      <c r="M652" s="10">
        <f>CHOOSE(CONTROL!$C$42, 19.2608, 19.2608) * CHOOSE(CONTROL!$C$21, $C$9, 100%, $E$9)</f>
        <v>19.2608</v>
      </c>
      <c r="N652" s="10">
        <f>CHOOSE(CONTROL!$C$42, 19.2769, 19.2769) * CHOOSE(CONTROL!$C$21, $C$9, 100%, $E$9)</f>
        <v>19.276900000000001</v>
      </c>
      <c r="O652" s="10">
        <f>CHOOSE(CONTROL!$C$42, 19.506, 19.506) * CHOOSE(CONTROL!$C$21, $C$9, 100%, $E$9)</f>
        <v>19.506</v>
      </c>
      <c r="P652" s="10">
        <f>CHOOSE(CONTROL!$C$42, 19.2882, 19.2882) * CHOOSE(CONTROL!$C$21, $C$9, 100%, $E$9)</f>
        <v>19.2882</v>
      </c>
      <c r="Q652" s="10">
        <f>CHOOSE(CONTROL!$C$42, 20.1013, 20.1013) * CHOOSE(CONTROL!$C$21, $C$9, 100%, $E$9)</f>
        <v>20.101299999999998</v>
      </c>
      <c r="R652" s="10">
        <f>CHOOSE(CONTROL!$C$42, 20.7386, 20.7386) * CHOOSE(CONTROL!$C$21, $C$9, 100%, $E$9)</f>
        <v>20.738600000000002</v>
      </c>
      <c r="S652" s="10">
        <f>CHOOSE(CONTROL!$C$42, 18.9188, 18.9188) * CHOOSE(CONTROL!$C$21, $C$9, 100%, $E$9)</f>
        <v>18.918800000000001</v>
      </c>
      <c r="T6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38">
        <f>(1000*CHOOSE(CONTROL!$C$42, 695, 695)*CHOOSE(CONTROL!$C$42, 0.5599, 0.5599)*CHOOSE(CONTROL!$C$42, 30, 30))/1000000</f>
        <v>11.673914999999997</v>
      </c>
      <c r="V652" s="38">
        <f>(1000*CHOOSE(CONTROL!$C$42, 500, 500)*CHOOSE(CONTROL!$C$42, 0.275, 0.275)*CHOOSE(CONTROL!$C$42, 30, 30))/1000000</f>
        <v>4.125</v>
      </c>
      <c r="W652" s="38">
        <f>(1000*CHOOSE(CONTROL!$C$42, 0.1146, 0.1146)*CHOOSE(CONTROL!$C$42, 121.5, 121.5)*CHOOSE(CONTROL!$C$42, 30, 30))/1000000</f>
        <v>0.417717</v>
      </c>
      <c r="X652" s="38">
        <f>(30*0.1790888*245000/1000000)+(30*0.2374*100000/1000000)</f>
        <v>2.0285026799999999</v>
      </c>
      <c r="Y652" s="38">
        <f>(1000*600*CHOOSE(CONTROL!$C$42, 1.0585, 1.0585)*CHOOSE(CONTROL!$C$42, 30, 30))/1000000</f>
        <v>19.053000000000001</v>
      </c>
      <c r="Z652" s="38"/>
      <c r="AA652" s="10"/>
      <c r="AB652" s="39"/>
      <c r="AC652" s="33">
        <f>(B652*141.293+C652*267.993+D652*115.016+E652*89.698+F652*40+G652*185+H652*0+I652*100+J652*300)/(141.293+267.993+115.016+89.698+0+40+185+100+300)</f>
        <v>19.503480226150121</v>
      </c>
      <c r="AD652" s="27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19.376802877697841</v>
      </c>
    </row>
    <row r="653" spans="1:30" ht="15.75" x14ac:dyDescent="0.25">
      <c r="A653" s="13">
        <v>61148</v>
      </c>
      <c r="B653" s="10">
        <f>CHOOSE(CONTROL!$C$42, 19.6586, 19.6586) * CHOOSE(CONTROL!$C$21, $C$9, 100%, $E$9)</f>
        <v>19.6586</v>
      </c>
      <c r="C653" s="10">
        <f>CHOOSE(CONTROL!$C$42, 19.6665, 19.6665) * CHOOSE(CONTROL!$C$21, $C$9, 100%, $E$9)</f>
        <v>19.666499999999999</v>
      </c>
      <c r="D653" s="10">
        <f>CHOOSE(CONTROL!$C$42, 19.8435, 19.8435) * CHOOSE(CONTROL!$C$21, $C$9, 100%, $E$9)</f>
        <v>19.843499999999999</v>
      </c>
      <c r="E653" s="10">
        <f>CHOOSE(CONTROL!$C$42, 19.8746, 19.8746) * CHOOSE(CONTROL!$C$21, $C$9, 100%, $E$9)</f>
        <v>19.874600000000001</v>
      </c>
      <c r="F653" s="10">
        <f>CHOOSE(CONTROL!$C$42, 19.6219, 19.6219)*CHOOSE(CONTROL!$C$21, $C$9, 100%, $E$9)</f>
        <v>19.6219</v>
      </c>
      <c r="G653" s="10">
        <f>CHOOSE(CONTROL!$C$42, 19.6384, 19.6384)*CHOOSE(CONTROL!$C$21, $C$9, 100%, $E$9)</f>
        <v>19.638400000000001</v>
      </c>
      <c r="H653" s="10">
        <f>CHOOSE(CONTROL!$C$42, 19.8633, 19.8633) * CHOOSE(CONTROL!$C$21, $C$9, 100%, $E$9)</f>
        <v>19.863299999999999</v>
      </c>
      <c r="I653" s="10">
        <f>CHOOSE(CONTROL!$C$42, 19.6432, 19.6432)* CHOOSE(CONTROL!$C$21, $C$9, 100%, $E$9)</f>
        <v>19.6432</v>
      </c>
      <c r="J653" s="10">
        <f>CHOOSE(CONTROL!$C$42, 19.6149, 19.6149)* CHOOSE(CONTROL!$C$21, $C$9, 100%, $E$9)</f>
        <v>19.614899999999999</v>
      </c>
      <c r="K653" s="10">
        <f>CHOOSE(CONTROL!$C$42, 19.2195, 19.2195) * CHOOSE(CONTROL!$C$21, $C$9, 100%, $E$9)</f>
        <v>19.2195</v>
      </c>
      <c r="L653" s="10">
        <f>CHOOSE(CONTROL!$C$42, 20.4503, 20.4503) * CHOOSE(CONTROL!$C$21, $C$9, 100%, $E$9)</f>
        <v>20.450299999999999</v>
      </c>
      <c r="M653" s="10">
        <f>CHOOSE(CONTROL!$C$42, 19.4308, 19.4308) * CHOOSE(CONTROL!$C$21, $C$9, 100%, $E$9)</f>
        <v>19.430800000000001</v>
      </c>
      <c r="N653" s="10">
        <f>CHOOSE(CONTROL!$C$42, 19.4471, 19.4471) * CHOOSE(CONTROL!$C$21, $C$9, 100%, $E$9)</f>
        <v>19.447099999999999</v>
      </c>
      <c r="O653" s="10">
        <f>CHOOSE(CONTROL!$C$42, 19.6766, 19.6766) * CHOOSE(CONTROL!$C$21, $C$9, 100%, $E$9)</f>
        <v>19.676600000000001</v>
      </c>
      <c r="P653" s="10">
        <f>CHOOSE(CONTROL!$C$42, 19.4588, 19.4588) * CHOOSE(CONTROL!$C$21, $C$9, 100%, $E$9)</f>
        <v>19.4588</v>
      </c>
      <c r="Q653" s="10">
        <f>CHOOSE(CONTROL!$C$42, 20.2719, 20.2719) * CHOOSE(CONTROL!$C$21, $C$9, 100%, $E$9)</f>
        <v>20.271899999999999</v>
      </c>
      <c r="R653" s="10">
        <f>CHOOSE(CONTROL!$C$42, 20.9096, 20.9096) * CHOOSE(CONTROL!$C$21, $C$9, 100%, $E$9)</f>
        <v>20.909600000000001</v>
      </c>
      <c r="S653" s="10">
        <f>CHOOSE(CONTROL!$C$42, 19.0862, 19.0862) * CHOOSE(CONTROL!$C$21, $C$9, 100%, $E$9)</f>
        <v>19.086200000000002</v>
      </c>
      <c r="T6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38">
        <f>(1000*CHOOSE(CONTROL!$C$42, 695, 695)*CHOOSE(CONTROL!$C$42, 0.5599, 0.5599)*CHOOSE(CONTROL!$C$42, 31, 31))/1000000</f>
        <v>12.063045499999998</v>
      </c>
      <c r="V653" s="38">
        <f>(1000*CHOOSE(CONTROL!$C$42, 500, 500)*CHOOSE(CONTROL!$C$42, 0.275, 0.275)*CHOOSE(CONTROL!$C$42, 31, 31))/1000000</f>
        <v>4.2625000000000002</v>
      </c>
      <c r="W653" s="38">
        <f>(1000*CHOOSE(CONTROL!$C$42, 0.1146, 0.1146)*CHOOSE(CONTROL!$C$42, 121.5, 121.5)*CHOOSE(CONTROL!$C$42, 31, 31))/1000000</f>
        <v>0.43164089999999994</v>
      </c>
      <c r="X653" s="38">
        <f>(31*0.1790888*245000/1000000)+(31*0.2374*100000/1000000)</f>
        <v>2.0961194359999999</v>
      </c>
      <c r="Y653" s="38">
        <f>(1000*600*CHOOSE(CONTROL!$C$42, 1.0585, 1.0585)*CHOOSE(CONTROL!$C$42, 31, 31))/1000000</f>
        <v>19.688099999999999</v>
      </c>
      <c r="Z653" s="38"/>
      <c r="AA653" s="10"/>
      <c r="AB653" s="39"/>
      <c r="AC653" s="33">
        <f>(B653*194.205+C653*267.466+D653*133.845+E653*53.484+F653*40+G653*185+H653*0+I653*100+J653*300)/(194.205+267.466+133.845+53.484+0+40+185+100+300)</f>
        <v>19.67316708469388</v>
      </c>
      <c r="AD653" s="27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19.547172661870505</v>
      </c>
    </row>
    <row r="654" spans="1:30" ht="15.75" x14ac:dyDescent="0.25">
      <c r="A654" s="13">
        <v>61178</v>
      </c>
      <c r="B654" s="10">
        <f>CHOOSE(CONTROL!$C$42, 20.2161, 20.2161) * CHOOSE(CONTROL!$C$21, $C$9, 100%, $E$9)</f>
        <v>20.216100000000001</v>
      </c>
      <c r="C654" s="10">
        <f>CHOOSE(CONTROL!$C$42, 20.224, 20.224) * CHOOSE(CONTROL!$C$21, $C$9, 100%, $E$9)</f>
        <v>20.224</v>
      </c>
      <c r="D654" s="10">
        <f>CHOOSE(CONTROL!$C$42, 20.401, 20.401) * CHOOSE(CONTROL!$C$21, $C$9, 100%, $E$9)</f>
        <v>20.401</v>
      </c>
      <c r="E654" s="10">
        <f>CHOOSE(CONTROL!$C$42, 20.4321, 20.4321) * CHOOSE(CONTROL!$C$21, $C$9, 100%, $E$9)</f>
        <v>20.432099999999998</v>
      </c>
      <c r="F654" s="10">
        <f>CHOOSE(CONTROL!$C$42, 20.1796, 20.1796)*CHOOSE(CONTROL!$C$21, $C$9, 100%, $E$9)</f>
        <v>20.179600000000001</v>
      </c>
      <c r="G654" s="10">
        <f>CHOOSE(CONTROL!$C$42, 20.1961, 20.1961)*CHOOSE(CONTROL!$C$21, $C$9, 100%, $E$9)</f>
        <v>20.196100000000001</v>
      </c>
      <c r="H654" s="10">
        <f>CHOOSE(CONTROL!$C$42, 20.4207, 20.4207) * CHOOSE(CONTROL!$C$21, $C$9, 100%, $E$9)</f>
        <v>20.4207</v>
      </c>
      <c r="I654" s="10">
        <f>CHOOSE(CONTROL!$C$42, 20.2007, 20.2007)* CHOOSE(CONTROL!$C$21, $C$9, 100%, $E$9)</f>
        <v>20.200700000000001</v>
      </c>
      <c r="J654" s="10">
        <f>CHOOSE(CONTROL!$C$42, 20.1726, 20.1726)* CHOOSE(CONTROL!$C$21, $C$9, 100%, $E$9)</f>
        <v>20.172599999999999</v>
      </c>
      <c r="K654" s="10">
        <f>CHOOSE(CONTROL!$C$42, 19.7615, 19.7615) * CHOOSE(CONTROL!$C$21, $C$9, 100%, $E$9)</f>
        <v>19.761500000000002</v>
      </c>
      <c r="L654" s="10">
        <f>CHOOSE(CONTROL!$C$42, 21.0077, 21.0077) * CHOOSE(CONTROL!$C$21, $C$9, 100%, $E$9)</f>
        <v>21.0077</v>
      </c>
      <c r="M654" s="10">
        <f>CHOOSE(CONTROL!$C$42, 19.9828, 19.9828) * CHOOSE(CONTROL!$C$21, $C$9, 100%, $E$9)</f>
        <v>19.982800000000001</v>
      </c>
      <c r="N654" s="10">
        <f>CHOOSE(CONTROL!$C$42, 19.9992, 19.9992) * CHOOSE(CONTROL!$C$21, $C$9, 100%, $E$9)</f>
        <v>19.999199999999998</v>
      </c>
      <c r="O654" s="10">
        <f>CHOOSE(CONTROL!$C$42, 20.2285, 20.2285) * CHOOSE(CONTROL!$C$21, $C$9, 100%, $E$9)</f>
        <v>20.2285</v>
      </c>
      <c r="P654" s="10">
        <f>CHOOSE(CONTROL!$C$42, 20.0107, 20.0107) * CHOOSE(CONTROL!$C$21, $C$9, 100%, $E$9)</f>
        <v>20.0107</v>
      </c>
      <c r="Q654" s="10">
        <f>CHOOSE(CONTROL!$C$42, 20.8238, 20.8238) * CHOOSE(CONTROL!$C$21, $C$9, 100%, $E$9)</f>
        <v>20.823799999999999</v>
      </c>
      <c r="R654" s="10">
        <f>CHOOSE(CONTROL!$C$42, 21.4628, 21.4628) * CHOOSE(CONTROL!$C$21, $C$9, 100%, $E$9)</f>
        <v>21.462800000000001</v>
      </c>
      <c r="S654" s="10">
        <f>CHOOSE(CONTROL!$C$42, 19.6276, 19.6276) * CHOOSE(CONTROL!$C$21, $C$9, 100%, $E$9)</f>
        <v>19.627600000000001</v>
      </c>
      <c r="T6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38">
        <f>(1000*CHOOSE(CONTROL!$C$42, 695, 695)*CHOOSE(CONTROL!$C$42, 0.5599, 0.5599)*CHOOSE(CONTROL!$C$42, 30, 30))/1000000</f>
        <v>11.673914999999997</v>
      </c>
      <c r="V654" s="38">
        <f>(1000*CHOOSE(CONTROL!$C$42, 500, 500)*CHOOSE(CONTROL!$C$42, 0.275, 0.275)*CHOOSE(CONTROL!$C$42, 30, 30))/1000000</f>
        <v>4.125</v>
      </c>
      <c r="W654" s="38">
        <f>(1000*CHOOSE(CONTROL!$C$42, 0.1146, 0.1146)*CHOOSE(CONTROL!$C$42, 121.5, 121.5)*CHOOSE(CONTROL!$C$42, 30, 30))/1000000</f>
        <v>0.417717</v>
      </c>
      <c r="X654" s="38">
        <f>(30*0.1790888*245000/1000000)+(30*0.2374*100000/1000000)</f>
        <v>2.0285026799999999</v>
      </c>
      <c r="Y654" s="38">
        <f>(1000*600*CHOOSE(CONTROL!$C$42, 1.0585, 1.0585)*CHOOSE(CONTROL!$C$42, 30, 30))/1000000</f>
        <v>19.053000000000001</v>
      </c>
      <c r="Z654" s="38"/>
      <c r="AA654" s="10"/>
      <c r="AB654" s="39"/>
      <c r="AC654" s="33">
        <f>(B654*194.205+C654*267.466+D654*133.845+E654*53.484+F654*40+G654*185+H654*0+I654*100+J654*300)/(194.205+267.466+133.845+53.484+0+40+185+100+300)</f>
        <v>20.230749502276296</v>
      </c>
      <c r="AD654" s="27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20.099118705035973</v>
      </c>
    </row>
    <row r="655" spans="1:30" ht="15.75" x14ac:dyDescent="0.25">
      <c r="A655" s="13">
        <v>61209</v>
      </c>
      <c r="B655" s="10">
        <f>CHOOSE(CONTROL!$C$42, 19.8283, 19.8283) * CHOOSE(CONTROL!$C$21, $C$9, 100%, $E$9)</f>
        <v>19.828299999999999</v>
      </c>
      <c r="C655" s="10">
        <f>CHOOSE(CONTROL!$C$42, 19.8362, 19.8362) * CHOOSE(CONTROL!$C$21, $C$9, 100%, $E$9)</f>
        <v>19.836200000000002</v>
      </c>
      <c r="D655" s="10">
        <f>CHOOSE(CONTROL!$C$42, 20.0132, 20.0132) * CHOOSE(CONTROL!$C$21, $C$9, 100%, $E$9)</f>
        <v>20.013200000000001</v>
      </c>
      <c r="E655" s="10">
        <f>CHOOSE(CONTROL!$C$42, 20.0444, 20.0444) * CHOOSE(CONTROL!$C$21, $C$9, 100%, $E$9)</f>
        <v>20.0444</v>
      </c>
      <c r="F655" s="10">
        <f>CHOOSE(CONTROL!$C$42, 19.7921, 19.7921)*CHOOSE(CONTROL!$C$21, $C$9, 100%, $E$9)</f>
        <v>19.792100000000001</v>
      </c>
      <c r="G655" s="10">
        <f>CHOOSE(CONTROL!$C$42, 19.8087, 19.8087)*CHOOSE(CONTROL!$C$21, $C$9, 100%, $E$9)</f>
        <v>19.808700000000002</v>
      </c>
      <c r="H655" s="10">
        <f>CHOOSE(CONTROL!$C$42, 20.033, 20.033) * CHOOSE(CONTROL!$C$21, $C$9, 100%, $E$9)</f>
        <v>20.033000000000001</v>
      </c>
      <c r="I655" s="10">
        <f>CHOOSE(CONTROL!$C$42, 19.8129, 19.8129)* CHOOSE(CONTROL!$C$21, $C$9, 100%, $E$9)</f>
        <v>19.812899999999999</v>
      </c>
      <c r="J655" s="10">
        <f>CHOOSE(CONTROL!$C$42, 19.7851, 19.7851)* CHOOSE(CONTROL!$C$21, $C$9, 100%, $E$9)</f>
        <v>19.7851</v>
      </c>
      <c r="K655" s="10">
        <f>CHOOSE(CONTROL!$C$42, 19.3853, 19.3853) * CHOOSE(CONTROL!$C$21, $C$9, 100%, $E$9)</f>
        <v>19.385300000000001</v>
      </c>
      <c r="L655" s="10">
        <f>CHOOSE(CONTROL!$C$42, 20.62, 20.62) * CHOOSE(CONTROL!$C$21, $C$9, 100%, $E$9)</f>
        <v>20.62</v>
      </c>
      <c r="M655" s="10">
        <f>CHOOSE(CONTROL!$C$42, 19.5993, 19.5993) * CHOOSE(CONTROL!$C$21, $C$9, 100%, $E$9)</f>
        <v>19.599299999999999</v>
      </c>
      <c r="N655" s="10">
        <f>CHOOSE(CONTROL!$C$42, 19.6157, 19.6157) * CHOOSE(CONTROL!$C$21, $C$9, 100%, $E$9)</f>
        <v>19.6157</v>
      </c>
      <c r="O655" s="10">
        <f>CHOOSE(CONTROL!$C$42, 19.8447, 19.8447) * CHOOSE(CONTROL!$C$21, $C$9, 100%, $E$9)</f>
        <v>19.8447</v>
      </c>
      <c r="P655" s="10">
        <f>CHOOSE(CONTROL!$C$42, 19.6268, 19.6268) * CHOOSE(CONTROL!$C$21, $C$9, 100%, $E$9)</f>
        <v>19.626799999999999</v>
      </c>
      <c r="Q655" s="10">
        <f>CHOOSE(CONTROL!$C$42, 20.44, 20.44) * CHOOSE(CONTROL!$C$21, $C$9, 100%, $E$9)</f>
        <v>20.440000000000001</v>
      </c>
      <c r="R655" s="10">
        <f>CHOOSE(CONTROL!$C$42, 21.0781, 21.0781) * CHOOSE(CONTROL!$C$21, $C$9, 100%, $E$9)</f>
        <v>21.078099999999999</v>
      </c>
      <c r="S655" s="10">
        <f>CHOOSE(CONTROL!$C$42, 19.251, 19.251) * CHOOSE(CONTROL!$C$21, $C$9, 100%, $E$9)</f>
        <v>19.251000000000001</v>
      </c>
      <c r="T6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38">
        <f>(1000*CHOOSE(CONTROL!$C$42, 695, 695)*CHOOSE(CONTROL!$C$42, 0.5599, 0.5599)*CHOOSE(CONTROL!$C$42, 31, 31))/1000000</f>
        <v>12.063045499999998</v>
      </c>
      <c r="V655" s="38">
        <f>(1000*CHOOSE(CONTROL!$C$42, 500, 500)*CHOOSE(CONTROL!$C$42, 0.275, 0.275)*CHOOSE(CONTROL!$C$42, 31, 31))/1000000</f>
        <v>4.2625000000000002</v>
      </c>
      <c r="W655" s="38">
        <f>(1000*CHOOSE(CONTROL!$C$42, 0.1146, 0.1146)*CHOOSE(CONTROL!$C$42, 121.5, 121.5)*CHOOSE(CONTROL!$C$42, 31, 31))/1000000</f>
        <v>0.43164089999999994</v>
      </c>
      <c r="X655" s="38">
        <f>(31*0.1790888*245000/1000000)+(31*0.2374*100000/1000000)</f>
        <v>2.0961194359999999</v>
      </c>
      <c r="Y655" s="38">
        <f>(1000*600*CHOOSE(CONTROL!$C$42, 1.0585, 1.0585)*CHOOSE(CONTROL!$C$42, 31, 31))/1000000</f>
        <v>19.688099999999999</v>
      </c>
      <c r="Z655" s="38"/>
      <c r="AA655" s="10"/>
      <c r="AB655" s="39"/>
      <c r="AC655" s="33">
        <f>(B655*194.205+C655*267.466+D655*133.845+E655*53.484+F655*40+G655*185+H655*0+I655*100+J655*300)/(194.205+267.466+133.845+53.484+0+40+185+100+300)</f>
        <v>19.843091847959187</v>
      </c>
      <c r="AD655" s="27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19.715425179856116</v>
      </c>
    </row>
    <row r="656" spans="1:30" ht="15.75" x14ac:dyDescent="0.25">
      <c r="A656" s="13">
        <v>61240</v>
      </c>
      <c r="B656" s="10">
        <f>CHOOSE(CONTROL!$C$42, 18.8492, 18.8492) * CHOOSE(CONTROL!$C$21, $C$9, 100%, $E$9)</f>
        <v>18.8492</v>
      </c>
      <c r="C656" s="10">
        <f>CHOOSE(CONTROL!$C$42, 18.8571, 18.8571) * CHOOSE(CONTROL!$C$21, $C$9, 100%, $E$9)</f>
        <v>18.857099999999999</v>
      </c>
      <c r="D656" s="10">
        <f>CHOOSE(CONTROL!$C$42, 19.0341, 19.0341) * CHOOSE(CONTROL!$C$21, $C$9, 100%, $E$9)</f>
        <v>19.034099999999999</v>
      </c>
      <c r="E656" s="10">
        <f>CHOOSE(CONTROL!$C$42, 19.0652, 19.0652) * CHOOSE(CONTROL!$C$21, $C$9, 100%, $E$9)</f>
        <v>19.065200000000001</v>
      </c>
      <c r="F656" s="10">
        <f>CHOOSE(CONTROL!$C$42, 18.813, 18.813)*CHOOSE(CONTROL!$C$21, $C$9, 100%, $E$9)</f>
        <v>18.812999999999999</v>
      </c>
      <c r="G656" s="10">
        <f>CHOOSE(CONTROL!$C$42, 18.8296, 18.8296)*CHOOSE(CONTROL!$C$21, $C$9, 100%, $E$9)</f>
        <v>18.829599999999999</v>
      </c>
      <c r="H656" s="10">
        <f>CHOOSE(CONTROL!$C$42, 19.0539, 19.0539) * CHOOSE(CONTROL!$C$21, $C$9, 100%, $E$9)</f>
        <v>19.053899999999999</v>
      </c>
      <c r="I656" s="10">
        <f>CHOOSE(CONTROL!$C$42, 18.8338, 18.8338)* CHOOSE(CONTROL!$C$21, $C$9, 100%, $E$9)</f>
        <v>18.8338</v>
      </c>
      <c r="J656" s="10">
        <f>CHOOSE(CONTROL!$C$42, 18.806, 18.806)* CHOOSE(CONTROL!$C$21, $C$9, 100%, $E$9)</f>
        <v>18.806000000000001</v>
      </c>
      <c r="K656" s="10">
        <f>CHOOSE(CONTROL!$C$42, 18.4341, 18.4341) * CHOOSE(CONTROL!$C$21, $C$9, 100%, $E$9)</f>
        <v>18.434100000000001</v>
      </c>
      <c r="L656" s="10">
        <f>CHOOSE(CONTROL!$C$42, 19.6409, 19.6409) * CHOOSE(CONTROL!$C$21, $C$9, 100%, $E$9)</f>
        <v>19.640899999999998</v>
      </c>
      <c r="M656" s="10">
        <f>CHOOSE(CONTROL!$C$42, 18.6301, 18.6301) * CHOOSE(CONTROL!$C$21, $C$9, 100%, $E$9)</f>
        <v>18.630099999999999</v>
      </c>
      <c r="N656" s="10">
        <f>CHOOSE(CONTROL!$C$42, 18.6465, 18.6465) * CHOOSE(CONTROL!$C$21, $C$9, 100%, $E$9)</f>
        <v>18.6465</v>
      </c>
      <c r="O656" s="10">
        <f>CHOOSE(CONTROL!$C$42, 18.8754, 18.8754) * CHOOSE(CONTROL!$C$21, $C$9, 100%, $E$9)</f>
        <v>18.875399999999999</v>
      </c>
      <c r="P656" s="10">
        <f>CHOOSE(CONTROL!$C$42, 18.6576, 18.6576) * CHOOSE(CONTROL!$C$21, $C$9, 100%, $E$9)</f>
        <v>18.657599999999999</v>
      </c>
      <c r="Q656" s="10">
        <f>CHOOSE(CONTROL!$C$42, 19.4707, 19.4707) * CHOOSE(CONTROL!$C$21, $C$9, 100%, $E$9)</f>
        <v>19.470700000000001</v>
      </c>
      <c r="R656" s="10">
        <f>CHOOSE(CONTROL!$C$42, 20.1064, 20.1064) * CHOOSE(CONTROL!$C$21, $C$9, 100%, $E$9)</f>
        <v>20.106400000000001</v>
      </c>
      <c r="S656" s="10">
        <f>CHOOSE(CONTROL!$C$42, 18.3002, 18.3002) * CHOOSE(CONTROL!$C$21, $C$9, 100%, $E$9)</f>
        <v>18.3002</v>
      </c>
      <c r="T6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38">
        <f>(1000*CHOOSE(CONTROL!$C$42, 695, 695)*CHOOSE(CONTROL!$C$42, 0.5599, 0.5599)*CHOOSE(CONTROL!$C$42, 31, 31))/1000000</f>
        <v>12.063045499999998</v>
      </c>
      <c r="V656" s="38">
        <f>(1000*CHOOSE(CONTROL!$C$42, 500, 500)*CHOOSE(CONTROL!$C$42, 0.275, 0.275)*CHOOSE(CONTROL!$C$42, 31, 31))/1000000</f>
        <v>4.2625000000000002</v>
      </c>
      <c r="W656" s="38">
        <f>(1000*CHOOSE(CONTROL!$C$42, 0.1146, 0.1146)*CHOOSE(CONTROL!$C$42, 121.5, 121.5)*CHOOSE(CONTROL!$C$42, 31, 31))/1000000</f>
        <v>0.43164089999999994</v>
      </c>
      <c r="X656" s="38">
        <f>(31*0.1790888*245000/1000000)+(31*0.2374*100000/1000000)</f>
        <v>2.0961194359999999</v>
      </c>
      <c r="Y656" s="38">
        <f>(1000*600*CHOOSE(CONTROL!$C$42, 1.0585, 1.0585)*CHOOSE(CONTROL!$C$42, 31, 31))/1000000</f>
        <v>19.688099999999999</v>
      </c>
      <c r="Z656" s="38"/>
      <c r="AA656" s="10"/>
      <c r="AB656" s="39"/>
      <c r="AC656" s="33">
        <f>(B656*194.205+C656*267.466+D656*133.845+E656*53.484+F656*40+G656*185+H656*0+I656*100+J656*300)/(194.205+267.466+133.845+53.484+0+40+185+100+300)</f>
        <v>18.863987649843015</v>
      </c>
      <c r="AD656" s="27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18.746179856115106</v>
      </c>
    </row>
    <row r="657" spans="1:30" ht="15.75" x14ac:dyDescent="0.25">
      <c r="A657" s="13">
        <v>61270</v>
      </c>
      <c r="B657" s="10">
        <f>CHOOSE(CONTROL!$C$42, 17.6528, 17.6528) * CHOOSE(CONTROL!$C$21, $C$9, 100%, $E$9)</f>
        <v>17.652799999999999</v>
      </c>
      <c r="C657" s="10">
        <f>CHOOSE(CONTROL!$C$42, 17.6608, 17.6608) * CHOOSE(CONTROL!$C$21, $C$9, 100%, $E$9)</f>
        <v>17.660799999999998</v>
      </c>
      <c r="D657" s="10">
        <f>CHOOSE(CONTROL!$C$42, 17.8377, 17.8377) * CHOOSE(CONTROL!$C$21, $C$9, 100%, $E$9)</f>
        <v>17.837700000000002</v>
      </c>
      <c r="E657" s="10">
        <f>CHOOSE(CONTROL!$C$42, 17.8689, 17.8689) * CHOOSE(CONTROL!$C$21, $C$9, 100%, $E$9)</f>
        <v>17.8689</v>
      </c>
      <c r="F657" s="10">
        <f>CHOOSE(CONTROL!$C$42, 17.6164, 17.6164)*CHOOSE(CONTROL!$C$21, $C$9, 100%, $E$9)</f>
        <v>17.616399999999999</v>
      </c>
      <c r="G657" s="10">
        <f>CHOOSE(CONTROL!$C$42, 17.633, 17.633)*CHOOSE(CONTROL!$C$21, $C$9, 100%, $E$9)</f>
        <v>17.632999999999999</v>
      </c>
      <c r="H657" s="10">
        <f>CHOOSE(CONTROL!$C$42, 17.8575, 17.8575) * CHOOSE(CONTROL!$C$21, $C$9, 100%, $E$9)</f>
        <v>17.857500000000002</v>
      </c>
      <c r="I657" s="10">
        <f>CHOOSE(CONTROL!$C$42, 17.6374, 17.6374)* CHOOSE(CONTROL!$C$21, $C$9, 100%, $E$9)</f>
        <v>17.6374</v>
      </c>
      <c r="J657" s="10">
        <f>CHOOSE(CONTROL!$C$42, 17.6094, 17.6094)* CHOOSE(CONTROL!$C$21, $C$9, 100%, $E$9)</f>
        <v>17.609400000000001</v>
      </c>
      <c r="K657" s="10">
        <f>CHOOSE(CONTROL!$C$42, 17.2712, 17.2712) * CHOOSE(CONTROL!$C$21, $C$9, 100%, $E$9)</f>
        <v>17.2712</v>
      </c>
      <c r="L657" s="10">
        <f>CHOOSE(CONTROL!$C$42, 18.4445, 18.4445) * CHOOSE(CONTROL!$C$21, $C$9, 100%, $E$9)</f>
        <v>18.444500000000001</v>
      </c>
      <c r="M657" s="10">
        <f>CHOOSE(CONTROL!$C$42, 17.4455, 17.4455) * CHOOSE(CONTROL!$C$21, $C$9, 100%, $E$9)</f>
        <v>17.445499999999999</v>
      </c>
      <c r="N657" s="10">
        <f>CHOOSE(CONTROL!$C$42, 17.4619, 17.4619) * CHOOSE(CONTROL!$C$21, $C$9, 100%, $E$9)</f>
        <v>17.4619</v>
      </c>
      <c r="O657" s="10">
        <f>CHOOSE(CONTROL!$C$42, 17.6911, 17.6911) * CHOOSE(CONTROL!$C$21, $C$9, 100%, $E$9)</f>
        <v>17.691099999999999</v>
      </c>
      <c r="P657" s="10">
        <f>CHOOSE(CONTROL!$C$42, 17.4733, 17.4733) * CHOOSE(CONTROL!$C$21, $C$9, 100%, $E$9)</f>
        <v>17.473299999999998</v>
      </c>
      <c r="Q657" s="10">
        <f>CHOOSE(CONTROL!$C$42, 18.2864, 18.2864) * CHOOSE(CONTROL!$C$21, $C$9, 100%, $E$9)</f>
        <v>18.2864</v>
      </c>
      <c r="R657" s="10">
        <f>CHOOSE(CONTROL!$C$42, 18.9191, 18.9191) * CHOOSE(CONTROL!$C$21, $C$9, 100%, $E$9)</f>
        <v>18.9191</v>
      </c>
      <c r="S657" s="10">
        <f>CHOOSE(CONTROL!$C$42, 17.1384, 17.1384) * CHOOSE(CONTROL!$C$21, $C$9, 100%, $E$9)</f>
        <v>17.138400000000001</v>
      </c>
      <c r="T6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38">
        <f>(1000*CHOOSE(CONTROL!$C$42, 695, 695)*CHOOSE(CONTROL!$C$42, 0.5599, 0.5599)*CHOOSE(CONTROL!$C$42, 30, 30))/1000000</f>
        <v>11.673914999999997</v>
      </c>
      <c r="V657" s="38">
        <f>(1000*CHOOSE(CONTROL!$C$42, 500, 500)*CHOOSE(CONTROL!$C$42, 0.275, 0.275)*CHOOSE(CONTROL!$C$42, 30, 30))/1000000</f>
        <v>4.125</v>
      </c>
      <c r="W657" s="38">
        <f>(1000*CHOOSE(CONTROL!$C$42, 0.1146, 0.1146)*CHOOSE(CONTROL!$C$42, 121.5, 121.5)*CHOOSE(CONTROL!$C$42, 30, 30))/1000000</f>
        <v>0.417717</v>
      </c>
      <c r="X657" s="38">
        <f>(30*0.1790888*245000/1000000)+(30*0.2374*100000/1000000)</f>
        <v>2.0285026799999999</v>
      </c>
      <c r="Y657" s="38">
        <f>(1000*600*CHOOSE(CONTROL!$C$42, 1.0585, 1.0585)*CHOOSE(CONTROL!$C$42, 30, 30))/1000000</f>
        <v>19.053000000000001</v>
      </c>
      <c r="Z657" s="38"/>
      <c r="AA657" s="10"/>
      <c r="AB657" s="39"/>
      <c r="AC657" s="33">
        <f>(B657*194.205+C657*267.466+D657*133.845+E657*53.484+F657*40+G657*185+H657*0+I657*100+J657*300)/(194.205+267.466+133.845+53.484+0+40+185+100+300)</f>
        <v>17.667530424568287</v>
      </c>
      <c r="AD657" s="27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17.561758992805753</v>
      </c>
    </row>
    <row r="658" spans="1:30" ht="15.75" x14ac:dyDescent="0.25">
      <c r="A658" s="13">
        <v>61301</v>
      </c>
      <c r="B658" s="10">
        <f>CHOOSE(CONTROL!$C$42, 17.2924, 17.2924) * CHOOSE(CONTROL!$C$21, $C$9, 100%, $E$9)</f>
        <v>17.292400000000001</v>
      </c>
      <c r="C658" s="10">
        <f>CHOOSE(CONTROL!$C$42, 17.2976, 17.2976) * CHOOSE(CONTROL!$C$21, $C$9, 100%, $E$9)</f>
        <v>17.297599999999999</v>
      </c>
      <c r="D658" s="10">
        <f>CHOOSE(CONTROL!$C$42, 17.4795, 17.4795) * CHOOSE(CONTROL!$C$21, $C$9, 100%, $E$9)</f>
        <v>17.479500000000002</v>
      </c>
      <c r="E658" s="10">
        <f>CHOOSE(CONTROL!$C$42, 17.5083, 17.5083) * CHOOSE(CONTROL!$C$21, $C$9, 100%, $E$9)</f>
        <v>17.508299999999998</v>
      </c>
      <c r="F658" s="10">
        <f>CHOOSE(CONTROL!$C$42, 17.258, 17.258)*CHOOSE(CONTROL!$C$21, $C$9, 100%, $E$9)</f>
        <v>17.257999999999999</v>
      </c>
      <c r="G658" s="10">
        <f>CHOOSE(CONTROL!$C$42, 17.2742, 17.2742)*CHOOSE(CONTROL!$C$21, $C$9, 100%, $E$9)</f>
        <v>17.2742</v>
      </c>
      <c r="H658" s="10">
        <f>CHOOSE(CONTROL!$C$42, 17.4988, 17.4988) * CHOOSE(CONTROL!$C$21, $C$9, 100%, $E$9)</f>
        <v>17.498799999999999</v>
      </c>
      <c r="I658" s="10">
        <f>CHOOSE(CONTROL!$C$42, 17.2787, 17.2787)* CHOOSE(CONTROL!$C$21, $C$9, 100%, $E$9)</f>
        <v>17.278700000000001</v>
      </c>
      <c r="J658" s="10">
        <f>CHOOSE(CONTROL!$C$42, 17.251, 17.251)* CHOOSE(CONTROL!$C$21, $C$9, 100%, $E$9)</f>
        <v>17.251000000000001</v>
      </c>
      <c r="K658" s="10">
        <f>CHOOSE(CONTROL!$C$42, 16.9233, 16.9233) * CHOOSE(CONTROL!$C$21, $C$9, 100%, $E$9)</f>
        <v>16.923300000000001</v>
      </c>
      <c r="L658" s="10">
        <f>CHOOSE(CONTROL!$C$42, 18.0858, 18.0858) * CHOOSE(CONTROL!$C$21, $C$9, 100%, $E$9)</f>
        <v>18.085799999999999</v>
      </c>
      <c r="M658" s="10">
        <f>CHOOSE(CONTROL!$C$42, 17.0907, 17.0907) * CHOOSE(CONTROL!$C$21, $C$9, 100%, $E$9)</f>
        <v>17.090699999999998</v>
      </c>
      <c r="N658" s="10">
        <f>CHOOSE(CONTROL!$C$42, 17.1068, 17.1068) * CHOOSE(CONTROL!$C$21, $C$9, 100%, $E$9)</f>
        <v>17.1068</v>
      </c>
      <c r="O658" s="10">
        <f>CHOOSE(CONTROL!$C$42, 17.336, 17.336) * CHOOSE(CONTROL!$C$21, $C$9, 100%, $E$9)</f>
        <v>17.335999999999999</v>
      </c>
      <c r="P658" s="10">
        <f>CHOOSE(CONTROL!$C$42, 17.1182, 17.1182) * CHOOSE(CONTROL!$C$21, $C$9, 100%, $E$9)</f>
        <v>17.118200000000002</v>
      </c>
      <c r="Q658" s="10">
        <f>CHOOSE(CONTROL!$C$42, 17.9313, 17.9313) * CHOOSE(CONTROL!$C$21, $C$9, 100%, $E$9)</f>
        <v>17.9313</v>
      </c>
      <c r="R658" s="10">
        <f>CHOOSE(CONTROL!$C$42, 18.5632, 18.5632) * CHOOSE(CONTROL!$C$21, $C$9, 100%, $E$9)</f>
        <v>18.563199999999998</v>
      </c>
      <c r="S658" s="10">
        <f>CHOOSE(CONTROL!$C$42, 16.7901, 16.7901) * CHOOSE(CONTROL!$C$21, $C$9, 100%, $E$9)</f>
        <v>16.790099999999999</v>
      </c>
      <c r="T6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38">
        <f>(1000*CHOOSE(CONTROL!$C$42, 695, 695)*CHOOSE(CONTROL!$C$42, 0.5599, 0.5599)*CHOOSE(CONTROL!$C$42, 31, 31))/1000000</f>
        <v>12.063045499999998</v>
      </c>
      <c r="V658" s="38">
        <f>(1000*CHOOSE(CONTROL!$C$42, 500, 500)*CHOOSE(CONTROL!$C$42, 0.275, 0.275)*CHOOSE(CONTROL!$C$42, 31, 31))/1000000</f>
        <v>4.2625000000000002</v>
      </c>
      <c r="W658" s="38">
        <f>(1000*CHOOSE(CONTROL!$C$42, 0.1146, 0.1146)*CHOOSE(CONTROL!$C$42, 121.5, 121.5)*CHOOSE(CONTROL!$C$42, 31, 31))/1000000</f>
        <v>0.43164089999999994</v>
      </c>
      <c r="X658" s="38">
        <f>(31*0.1790888*245000/1000000)+(31*0.2374*100000/1000000)</f>
        <v>2.0961194359999999</v>
      </c>
      <c r="Y658" s="38">
        <f>(1000*600*CHOOSE(CONTROL!$C$42, 1.0585, 1.0585)*CHOOSE(CONTROL!$C$42, 31, 31))/1000000</f>
        <v>19.688099999999999</v>
      </c>
      <c r="Z658" s="38"/>
      <c r="AA658" s="10"/>
      <c r="AB658" s="39"/>
      <c r="AC658" s="33">
        <f>(B658*131.881+C658*277.167+D658*79.08+E658*125.872+F658*40+G658*185+H658*0+I658*100+J658*300)/(131.881+277.167+79.08+125.872+0+40+185+100+300)</f>
        <v>17.312480630508475</v>
      </c>
      <c r="AD658" s="27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17.206762589928054</v>
      </c>
    </row>
    <row r="659" spans="1:30" ht="15.75" x14ac:dyDescent="0.25">
      <c r="A659" s="13">
        <v>61331</v>
      </c>
      <c r="B659" s="10">
        <f>CHOOSE(CONTROL!$C$42, 17.7474, 17.7474) * CHOOSE(CONTROL!$C$21, $C$9, 100%, $E$9)</f>
        <v>17.747399999999999</v>
      </c>
      <c r="C659" s="10">
        <f>CHOOSE(CONTROL!$C$42, 17.7524, 17.7524) * CHOOSE(CONTROL!$C$21, $C$9, 100%, $E$9)</f>
        <v>17.752400000000002</v>
      </c>
      <c r="D659" s="10">
        <f>CHOOSE(CONTROL!$C$42, 17.7768, 17.7768) * CHOOSE(CONTROL!$C$21, $C$9, 100%, $E$9)</f>
        <v>17.776800000000001</v>
      </c>
      <c r="E659" s="10">
        <f>CHOOSE(CONTROL!$C$42, 17.8106, 17.8106) * CHOOSE(CONTROL!$C$21, $C$9, 100%, $E$9)</f>
        <v>17.810600000000001</v>
      </c>
      <c r="F659" s="10">
        <f>CHOOSE(CONTROL!$C$42, 17.7168, 17.7168)*CHOOSE(CONTROL!$C$21, $C$9, 100%, $E$9)</f>
        <v>17.716799999999999</v>
      </c>
      <c r="G659" s="10">
        <f>CHOOSE(CONTROL!$C$42, 17.7332, 17.7332)*CHOOSE(CONTROL!$C$21, $C$9, 100%, $E$9)</f>
        <v>17.7332</v>
      </c>
      <c r="H659" s="10">
        <f>CHOOSE(CONTROL!$C$42, 17.7998, 17.7998) * CHOOSE(CONTROL!$C$21, $C$9, 100%, $E$9)</f>
        <v>17.799800000000001</v>
      </c>
      <c r="I659" s="10">
        <f>CHOOSE(CONTROL!$C$42, 17.7342, 17.7342)* CHOOSE(CONTROL!$C$21, $C$9, 100%, $E$9)</f>
        <v>17.734200000000001</v>
      </c>
      <c r="J659" s="10">
        <f>CHOOSE(CONTROL!$C$42, 17.7098, 17.7098)* CHOOSE(CONTROL!$C$21, $C$9, 100%, $E$9)</f>
        <v>17.709800000000001</v>
      </c>
      <c r="K659" s="10">
        <f>CHOOSE(CONTROL!$C$42, 17.3673, 17.3673) * CHOOSE(CONTROL!$C$21, $C$9, 100%, $E$9)</f>
        <v>17.3673</v>
      </c>
      <c r="L659" s="10">
        <f>CHOOSE(CONTROL!$C$42, 18.3868, 18.3868) * CHOOSE(CONTROL!$C$21, $C$9, 100%, $E$9)</f>
        <v>18.386800000000001</v>
      </c>
      <c r="M659" s="10">
        <f>CHOOSE(CONTROL!$C$42, 17.5449, 17.5449) * CHOOSE(CONTROL!$C$21, $C$9, 100%, $E$9)</f>
        <v>17.544899999999998</v>
      </c>
      <c r="N659" s="10">
        <f>CHOOSE(CONTROL!$C$42, 17.5611, 17.5611) * CHOOSE(CONTROL!$C$21, $C$9, 100%, $E$9)</f>
        <v>17.5611</v>
      </c>
      <c r="O659" s="10">
        <f>CHOOSE(CONTROL!$C$42, 17.634, 17.634) * CHOOSE(CONTROL!$C$21, $C$9, 100%, $E$9)</f>
        <v>17.634</v>
      </c>
      <c r="P659" s="10">
        <f>CHOOSE(CONTROL!$C$42, 17.5691, 17.5691) * CHOOSE(CONTROL!$C$21, $C$9, 100%, $E$9)</f>
        <v>17.569099999999999</v>
      </c>
      <c r="Q659" s="10">
        <f>CHOOSE(CONTROL!$C$42, 18.2293, 18.2293) * CHOOSE(CONTROL!$C$21, $C$9, 100%, $E$9)</f>
        <v>18.229299999999999</v>
      </c>
      <c r="R659" s="10">
        <f>CHOOSE(CONTROL!$C$42, 18.8619, 18.8619) * CHOOSE(CONTROL!$C$21, $C$9, 100%, $E$9)</f>
        <v>18.861899999999999</v>
      </c>
      <c r="S659" s="10">
        <f>CHOOSE(CONTROL!$C$42, 17.2324, 17.2324) * CHOOSE(CONTROL!$C$21, $C$9, 100%, $E$9)</f>
        <v>17.232399999999998</v>
      </c>
      <c r="T6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38">
        <f>(1000*CHOOSE(CONTROL!$C$42, 695, 695)*CHOOSE(CONTROL!$C$42, 0.5599, 0.5599)*CHOOSE(CONTROL!$C$42, 30, 30))/1000000</f>
        <v>11.673914999999997</v>
      </c>
      <c r="V659" s="38">
        <f>(1000*CHOOSE(CONTROL!$C$42, 500, 500)*CHOOSE(CONTROL!$C$42, 0.275, 0.275)*CHOOSE(CONTROL!$C$42, 30, 30))/1000000</f>
        <v>4.125</v>
      </c>
      <c r="W659" s="38">
        <f>(1000*CHOOSE(CONTROL!$C$42, 0.1146, 0.1146)*CHOOSE(CONTROL!$C$42, 121.5, 121.5)*CHOOSE(CONTROL!$C$42, 30, 30))/1000000</f>
        <v>0.417717</v>
      </c>
      <c r="X659" s="38">
        <f>(30*0.1790888*100000/1000000)+(30*0.2374*100000/1000000)</f>
        <v>1.2494664</v>
      </c>
      <c r="Y659" s="38">
        <f>(1000*600*CHOOSE(CONTROL!$C$42, 1.0585, 1.0585)*CHOOSE(CONTROL!$C$42, 30, 30))/1000000</f>
        <v>19.053000000000001</v>
      </c>
      <c r="Z659" s="38"/>
      <c r="AA659" s="10"/>
      <c r="AB659" s="39"/>
      <c r="AC659" s="33">
        <f>(B659*122.58+C659*297.941+D659*89.177+E659*40.302+F659*40+G659*160+H659*0+I659*100+J659*300)/(122.58+297.941+89.177+40.302+0+40+160+100+300)</f>
        <v>17.739193561043479</v>
      </c>
      <c r="AD659" s="27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17.589697841726618</v>
      </c>
    </row>
    <row r="660" spans="1:30" ht="15.75" x14ac:dyDescent="0.25">
      <c r="A660" s="13">
        <v>61362</v>
      </c>
      <c r="B660" s="10">
        <f>CHOOSE(CONTROL!$C$42, 18.9572, 18.9572) * CHOOSE(CONTROL!$C$21, $C$9, 100%, $E$9)</f>
        <v>18.9572</v>
      </c>
      <c r="C660" s="10">
        <f>CHOOSE(CONTROL!$C$42, 18.9622, 18.9622) * CHOOSE(CONTROL!$C$21, $C$9, 100%, $E$9)</f>
        <v>18.962199999999999</v>
      </c>
      <c r="D660" s="10">
        <f>CHOOSE(CONTROL!$C$42, 18.9867, 18.9867) * CHOOSE(CONTROL!$C$21, $C$9, 100%, $E$9)</f>
        <v>18.986699999999999</v>
      </c>
      <c r="E660" s="10">
        <f>CHOOSE(CONTROL!$C$42, 19.0204, 19.0204) * CHOOSE(CONTROL!$C$21, $C$9, 100%, $E$9)</f>
        <v>19.020399999999999</v>
      </c>
      <c r="F660" s="10">
        <f>CHOOSE(CONTROL!$C$42, 18.9289, 18.9289)*CHOOSE(CONTROL!$C$21, $C$9, 100%, $E$9)</f>
        <v>18.928899999999999</v>
      </c>
      <c r="G660" s="10">
        <f>CHOOSE(CONTROL!$C$42, 18.9459, 18.9459)*CHOOSE(CONTROL!$C$21, $C$9, 100%, $E$9)</f>
        <v>18.945900000000002</v>
      </c>
      <c r="H660" s="10">
        <f>CHOOSE(CONTROL!$C$42, 19.0096, 19.0096) * CHOOSE(CONTROL!$C$21, $C$9, 100%, $E$9)</f>
        <v>19.009599999999999</v>
      </c>
      <c r="I660" s="10">
        <f>CHOOSE(CONTROL!$C$42, 18.944, 18.944)* CHOOSE(CONTROL!$C$21, $C$9, 100%, $E$9)</f>
        <v>18.943999999999999</v>
      </c>
      <c r="J660" s="10">
        <f>CHOOSE(CONTROL!$C$42, 18.9219, 18.9219)* CHOOSE(CONTROL!$C$21, $C$9, 100%, $E$9)</f>
        <v>18.921900000000001</v>
      </c>
      <c r="K660" s="10">
        <f>CHOOSE(CONTROL!$C$42, 18.5478, 18.5478) * CHOOSE(CONTROL!$C$21, $C$9, 100%, $E$9)</f>
        <v>18.547799999999999</v>
      </c>
      <c r="L660" s="10">
        <f>CHOOSE(CONTROL!$C$42, 19.5966, 19.5966) * CHOOSE(CONTROL!$C$21, $C$9, 100%, $E$9)</f>
        <v>19.596599999999999</v>
      </c>
      <c r="M660" s="10">
        <f>CHOOSE(CONTROL!$C$42, 18.7447, 18.7447) * CHOOSE(CONTROL!$C$21, $C$9, 100%, $E$9)</f>
        <v>18.744700000000002</v>
      </c>
      <c r="N660" s="10">
        <f>CHOOSE(CONTROL!$C$42, 18.7616, 18.7616) * CHOOSE(CONTROL!$C$21, $C$9, 100%, $E$9)</f>
        <v>18.761600000000001</v>
      </c>
      <c r="O660" s="10">
        <f>CHOOSE(CONTROL!$C$42, 18.8316, 18.8316) * CHOOSE(CONTROL!$C$21, $C$9, 100%, $E$9)</f>
        <v>18.831600000000002</v>
      </c>
      <c r="P660" s="10">
        <f>CHOOSE(CONTROL!$C$42, 18.7667, 18.7667) * CHOOSE(CONTROL!$C$21, $C$9, 100%, $E$9)</f>
        <v>18.7667</v>
      </c>
      <c r="Q660" s="10">
        <f>CHOOSE(CONTROL!$C$42, 19.4269, 19.4269) * CHOOSE(CONTROL!$C$21, $C$9, 100%, $E$9)</f>
        <v>19.4269</v>
      </c>
      <c r="R660" s="10">
        <f>CHOOSE(CONTROL!$C$42, 20.0625, 20.0625) * CHOOSE(CONTROL!$C$21, $C$9, 100%, $E$9)</f>
        <v>20.0625</v>
      </c>
      <c r="S660" s="10">
        <f>CHOOSE(CONTROL!$C$42, 18.4072, 18.4072) * CHOOSE(CONTROL!$C$21, $C$9, 100%, $E$9)</f>
        <v>18.4072</v>
      </c>
      <c r="T6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38">
        <f>(1000*CHOOSE(CONTROL!$C$42, 695, 695)*CHOOSE(CONTROL!$C$42, 0.5599, 0.5599)*CHOOSE(CONTROL!$C$42, 31, 31))/1000000</f>
        <v>12.063045499999998</v>
      </c>
      <c r="V660" s="38">
        <f>(1000*CHOOSE(CONTROL!$C$42, 500, 500)*CHOOSE(CONTROL!$C$42, 0.275, 0.275)*CHOOSE(CONTROL!$C$42, 31, 31))/1000000</f>
        <v>4.2625000000000002</v>
      </c>
      <c r="W660" s="38">
        <f>(1000*CHOOSE(CONTROL!$C$42, 0.1146, 0.1146)*CHOOSE(CONTROL!$C$42, 121.5, 121.5)*CHOOSE(CONTROL!$C$42, 31, 31))/1000000</f>
        <v>0.43164089999999994</v>
      </c>
      <c r="X660" s="38">
        <f>(31*0.1790888*100000/1000000)+(31*0.2374*100000/1000000)</f>
        <v>1.2911152800000001</v>
      </c>
      <c r="Y660" s="38">
        <f>(1000*600*CHOOSE(CONTROL!$C$42, 1.0585, 1.0585)*CHOOSE(CONTROL!$C$42, 31, 31))/1000000</f>
        <v>19.688099999999999</v>
      </c>
      <c r="Z660" s="38"/>
      <c r="AA660" s="10"/>
      <c r="AB660" s="39"/>
      <c r="AC660" s="33">
        <f>(B660*122.58+C660*297.941+D660*89.177+E660*40.302+F660*40+G660*160+H660*0+I660*100+J660*300)/(122.58+297.941+89.177+40.302+0+40+160+100+300)</f>
        <v>18.95008479382609</v>
      </c>
      <c r="AD660" s="27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18.788224460431657</v>
      </c>
    </row>
    <row r="661" spans="1:30" ht="15.75" x14ac:dyDescent="0.25">
      <c r="A661" s="13">
        <v>61393</v>
      </c>
      <c r="B661" s="10">
        <f>CHOOSE(CONTROL!$C$42, 20.2365, 20.2365) * CHOOSE(CONTROL!$C$21, $C$9, 100%, $E$9)</f>
        <v>20.236499999999999</v>
      </c>
      <c r="C661" s="10">
        <f>CHOOSE(CONTROL!$C$42, 20.2415, 20.2415) * CHOOSE(CONTROL!$C$21, $C$9, 100%, $E$9)</f>
        <v>20.241499999999998</v>
      </c>
      <c r="D661" s="10">
        <f>CHOOSE(CONTROL!$C$42, 20.266, 20.266) * CHOOSE(CONTROL!$C$21, $C$9, 100%, $E$9)</f>
        <v>20.265999999999998</v>
      </c>
      <c r="E661" s="10">
        <f>CHOOSE(CONTROL!$C$42, 20.2997, 20.2997) * CHOOSE(CONTROL!$C$21, $C$9, 100%, $E$9)</f>
        <v>20.299700000000001</v>
      </c>
      <c r="F661" s="10">
        <f>CHOOSE(CONTROL!$C$42, 20.2195, 20.2195)*CHOOSE(CONTROL!$C$21, $C$9, 100%, $E$9)</f>
        <v>20.2195</v>
      </c>
      <c r="G661" s="10">
        <f>CHOOSE(CONTROL!$C$42, 20.2381, 20.2381)*CHOOSE(CONTROL!$C$21, $C$9, 100%, $E$9)</f>
        <v>20.238099999999999</v>
      </c>
      <c r="H661" s="10">
        <f>CHOOSE(CONTROL!$C$42, 20.2889, 20.2889) * CHOOSE(CONTROL!$C$21, $C$9, 100%, $E$9)</f>
        <v>20.288900000000002</v>
      </c>
      <c r="I661" s="10">
        <f>CHOOSE(CONTROL!$C$42, 20.231, 20.231)* CHOOSE(CONTROL!$C$21, $C$9, 100%, $E$9)</f>
        <v>20.231000000000002</v>
      </c>
      <c r="J661" s="10">
        <f>CHOOSE(CONTROL!$C$42, 20.2125, 20.2125)* CHOOSE(CONTROL!$C$21, $C$9, 100%, $E$9)</f>
        <v>20.212499999999999</v>
      </c>
      <c r="K661" s="10">
        <f>CHOOSE(CONTROL!$C$42, 19.8117, 19.8117) * CHOOSE(CONTROL!$C$21, $C$9, 100%, $E$9)</f>
        <v>19.811699999999998</v>
      </c>
      <c r="L661" s="10">
        <f>CHOOSE(CONTROL!$C$42, 20.8759, 20.8759) * CHOOSE(CONTROL!$C$21, $C$9, 100%, $E$9)</f>
        <v>20.875900000000001</v>
      </c>
      <c r="M661" s="10">
        <f>CHOOSE(CONTROL!$C$42, 20.0223, 20.0223) * CHOOSE(CONTROL!$C$21, $C$9, 100%, $E$9)</f>
        <v>20.022300000000001</v>
      </c>
      <c r="N661" s="10">
        <f>CHOOSE(CONTROL!$C$42, 20.0408, 20.0408) * CHOOSE(CONTROL!$C$21, $C$9, 100%, $E$9)</f>
        <v>20.040800000000001</v>
      </c>
      <c r="O661" s="10">
        <f>CHOOSE(CONTROL!$C$42, 20.098, 20.098) * CHOOSE(CONTROL!$C$21, $C$9, 100%, $E$9)</f>
        <v>20.097999999999999</v>
      </c>
      <c r="P661" s="10">
        <f>CHOOSE(CONTROL!$C$42, 20.0407, 20.0407) * CHOOSE(CONTROL!$C$21, $C$9, 100%, $E$9)</f>
        <v>20.040700000000001</v>
      </c>
      <c r="Q661" s="10">
        <f>CHOOSE(CONTROL!$C$42, 20.6933, 20.6933) * CHOOSE(CONTROL!$C$21, $C$9, 100%, $E$9)</f>
        <v>20.693300000000001</v>
      </c>
      <c r="R661" s="10">
        <f>CHOOSE(CONTROL!$C$42, 21.332, 21.332) * CHOOSE(CONTROL!$C$21, $C$9, 100%, $E$9)</f>
        <v>21.332000000000001</v>
      </c>
      <c r="S661" s="10">
        <f>CHOOSE(CONTROL!$C$42, 19.6496, 19.6496) * CHOOSE(CONTROL!$C$21, $C$9, 100%, $E$9)</f>
        <v>19.6496</v>
      </c>
      <c r="T6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38">
        <f>(1000*CHOOSE(CONTROL!$C$42, 695, 695)*CHOOSE(CONTROL!$C$42, 0.5599, 0.5599)*CHOOSE(CONTROL!$C$42, 31, 31))/1000000</f>
        <v>12.063045499999998</v>
      </c>
      <c r="V661" s="38">
        <f>(1000*CHOOSE(CONTROL!$C$42, 500, 500)*CHOOSE(CONTROL!$C$42, 0.275, 0.275)*CHOOSE(CONTROL!$C$42, 31, 31))/1000000</f>
        <v>4.2625000000000002</v>
      </c>
      <c r="W661" s="38">
        <f>(1000*CHOOSE(CONTROL!$C$42, 0.1146, 0.1146)*CHOOSE(CONTROL!$C$42, 121.5, 121.5)*CHOOSE(CONTROL!$C$42, 31, 31))/1000000</f>
        <v>0.43164089999999994</v>
      </c>
      <c r="X661" s="38">
        <f>(31*0.1790888*100000/1000000)+(31*0.2374*100000/1000000)</f>
        <v>1.2911152800000001</v>
      </c>
      <c r="Y661" s="38">
        <f>(1000*600*CHOOSE(CONTROL!$C$42, 1.0585, 1.0585)*CHOOSE(CONTROL!$C$42, 31, 31))/1000000</f>
        <v>19.688099999999999</v>
      </c>
      <c r="Z661" s="38"/>
      <c r="AA661" s="10"/>
      <c r="AB661" s="39"/>
      <c r="AC661" s="33">
        <f>(B661*122.58+C661*297.941+D661*89.177+E661*40.302+F661*40+G661*160+H661*0+I661*100+J661*300)/(122.58+297.941+89.177+40.302+0+40+160+100+300)</f>
        <v>20.235190011217387</v>
      </c>
      <c r="AD661" s="27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20.060322302158273</v>
      </c>
    </row>
    <row r="662" spans="1:30" ht="15.75" x14ac:dyDescent="0.25">
      <c r="A662" s="13">
        <v>61422</v>
      </c>
      <c r="B662" s="10">
        <f>CHOOSE(CONTROL!$C$42, 20.5967, 20.5967) * CHOOSE(CONTROL!$C$21, $C$9, 100%, $E$9)</f>
        <v>20.596699999999998</v>
      </c>
      <c r="C662" s="10">
        <f>CHOOSE(CONTROL!$C$42, 20.6017, 20.6017) * CHOOSE(CONTROL!$C$21, $C$9, 100%, $E$9)</f>
        <v>20.601700000000001</v>
      </c>
      <c r="D662" s="10">
        <f>CHOOSE(CONTROL!$C$42, 20.6261, 20.6261) * CHOOSE(CONTROL!$C$21, $C$9, 100%, $E$9)</f>
        <v>20.626100000000001</v>
      </c>
      <c r="E662" s="10">
        <f>CHOOSE(CONTROL!$C$42, 20.6599, 20.6599) * CHOOSE(CONTROL!$C$21, $C$9, 100%, $E$9)</f>
        <v>20.6599</v>
      </c>
      <c r="F662" s="10">
        <f>CHOOSE(CONTROL!$C$42, 20.579, 20.579)*CHOOSE(CONTROL!$C$21, $C$9, 100%, $E$9)</f>
        <v>20.579000000000001</v>
      </c>
      <c r="G662" s="10">
        <f>CHOOSE(CONTROL!$C$42, 20.5975, 20.5975)*CHOOSE(CONTROL!$C$21, $C$9, 100%, $E$9)</f>
        <v>20.5975</v>
      </c>
      <c r="H662" s="10">
        <f>CHOOSE(CONTROL!$C$42, 20.6491, 20.6491) * CHOOSE(CONTROL!$C$21, $C$9, 100%, $E$9)</f>
        <v>20.649100000000001</v>
      </c>
      <c r="I662" s="10">
        <f>CHOOSE(CONTROL!$C$42, 20.5912, 20.5912)* CHOOSE(CONTROL!$C$21, $C$9, 100%, $E$9)</f>
        <v>20.591200000000001</v>
      </c>
      <c r="J662" s="10">
        <f>CHOOSE(CONTROL!$C$42, 20.572, 20.572)* CHOOSE(CONTROL!$C$21, $C$9, 100%, $E$9)</f>
        <v>20.571999999999999</v>
      </c>
      <c r="K662" s="10">
        <f>CHOOSE(CONTROL!$C$42, 20.1602, 20.1602) * CHOOSE(CONTROL!$C$21, $C$9, 100%, $E$9)</f>
        <v>20.1602</v>
      </c>
      <c r="L662" s="10">
        <f>CHOOSE(CONTROL!$C$42, 21.2361, 21.2361) * CHOOSE(CONTROL!$C$21, $C$9, 100%, $E$9)</f>
        <v>21.2361</v>
      </c>
      <c r="M662" s="10">
        <f>CHOOSE(CONTROL!$C$42, 20.3782, 20.3782) * CHOOSE(CONTROL!$C$21, $C$9, 100%, $E$9)</f>
        <v>20.3782</v>
      </c>
      <c r="N662" s="10">
        <f>CHOOSE(CONTROL!$C$42, 20.3965, 20.3965) * CHOOSE(CONTROL!$C$21, $C$9, 100%, $E$9)</f>
        <v>20.3965</v>
      </c>
      <c r="O662" s="10">
        <f>CHOOSE(CONTROL!$C$42, 20.4546, 20.4546) * CHOOSE(CONTROL!$C$21, $C$9, 100%, $E$9)</f>
        <v>20.454599999999999</v>
      </c>
      <c r="P662" s="10">
        <f>CHOOSE(CONTROL!$C$42, 20.3973, 20.3973) * CHOOSE(CONTROL!$C$21, $C$9, 100%, $E$9)</f>
        <v>20.397300000000001</v>
      </c>
      <c r="Q662" s="10">
        <f>CHOOSE(CONTROL!$C$42, 21.0499, 21.0499) * CHOOSE(CONTROL!$C$21, $C$9, 100%, $E$9)</f>
        <v>21.049900000000001</v>
      </c>
      <c r="R662" s="10">
        <f>CHOOSE(CONTROL!$C$42, 21.6895, 21.6895) * CHOOSE(CONTROL!$C$21, $C$9, 100%, $E$9)</f>
        <v>21.689499999999999</v>
      </c>
      <c r="S662" s="10">
        <f>CHOOSE(CONTROL!$C$42, 19.9994, 19.9994) * CHOOSE(CONTROL!$C$21, $C$9, 100%, $E$9)</f>
        <v>19.999400000000001</v>
      </c>
      <c r="T66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62" s="38">
        <f>(1000*CHOOSE(CONTROL!$C$42, 695, 695)*CHOOSE(CONTROL!$C$42, 0.5599, 0.5599)*CHOOSE(CONTROL!$C$42, 29, 29))/1000000</f>
        <v>11.284784499999999</v>
      </c>
      <c r="V662" s="38">
        <f>(1000*CHOOSE(CONTROL!$C$42, 500, 500)*CHOOSE(CONTROL!$C$42, 0.275, 0.275)*CHOOSE(CONTROL!$C$42, 29, 29))/1000000</f>
        <v>3.9874999999999998</v>
      </c>
      <c r="W662" s="38">
        <f>(1000*CHOOSE(CONTROL!$C$42, 0.1146, 0.1146)*CHOOSE(CONTROL!$C$42, 121.5, 121.5)*CHOOSE(CONTROL!$C$42, 29, 29))/1000000</f>
        <v>0.40379309999999996</v>
      </c>
      <c r="X662" s="38">
        <f>(29*0.1790888*100000/1000000)+(29*0.2374*100000/1000000)</f>
        <v>1.2078175199999999</v>
      </c>
      <c r="Y662" s="38">
        <f>(1000*600*CHOOSE(CONTROL!$C$42, 1.0585, 1.0585)*CHOOSE(CONTROL!$C$42, 29, 29))/1000000</f>
        <v>18.417899999999999</v>
      </c>
      <c r="Z662" s="38"/>
      <c r="AA662" s="10"/>
      <c r="AB662" s="39"/>
      <c r="AC662" s="33">
        <f>(B662*122.58+C662*297.941+D662*89.177+E662*40.302+F662*40+G662*160+H662*0+I662*100+J662*300)/(122.58+297.941+89.177+40.302+0+40+160+100+300)</f>
        <v>20.595063995826088</v>
      </c>
      <c r="AD662" s="27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20.416628776978417</v>
      </c>
    </row>
    <row r="663" spans="1:30" ht="15.75" x14ac:dyDescent="0.25">
      <c r="A663" s="13">
        <v>61453</v>
      </c>
      <c r="B663" s="10">
        <f>CHOOSE(CONTROL!$C$42, 20.0121, 20.0121) * CHOOSE(CONTROL!$C$21, $C$9, 100%, $E$9)</f>
        <v>20.0121</v>
      </c>
      <c r="C663" s="10">
        <f>CHOOSE(CONTROL!$C$42, 20.017, 20.017) * CHOOSE(CONTROL!$C$21, $C$9, 100%, $E$9)</f>
        <v>20.016999999999999</v>
      </c>
      <c r="D663" s="10">
        <f>CHOOSE(CONTROL!$C$42, 20.0415, 20.0415) * CHOOSE(CONTROL!$C$21, $C$9, 100%, $E$9)</f>
        <v>20.041499999999999</v>
      </c>
      <c r="E663" s="10">
        <f>CHOOSE(CONTROL!$C$42, 20.0753, 20.0753) * CHOOSE(CONTROL!$C$21, $C$9, 100%, $E$9)</f>
        <v>20.075299999999999</v>
      </c>
      <c r="F663" s="10">
        <f>CHOOSE(CONTROL!$C$42, 19.9928, 19.9928)*CHOOSE(CONTROL!$C$21, $C$9, 100%, $E$9)</f>
        <v>19.992799999999999</v>
      </c>
      <c r="G663" s="10">
        <f>CHOOSE(CONTROL!$C$42, 20.0109, 20.0109)*CHOOSE(CONTROL!$C$21, $C$9, 100%, $E$9)</f>
        <v>20.010899999999999</v>
      </c>
      <c r="H663" s="10">
        <f>CHOOSE(CONTROL!$C$42, 20.0644, 20.0644) * CHOOSE(CONTROL!$C$21, $C$9, 100%, $E$9)</f>
        <v>20.064399999999999</v>
      </c>
      <c r="I663" s="10">
        <f>CHOOSE(CONTROL!$C$42, 20.0066, 20.0066)* CHOOSE(CONTROL!$C$21, $C$9, 100%, $E$9)</f>
        <v>20.006599999999999</v>
      </c>
      <c r="J663" s="10">
        <f>CHOOSE(CONTROL!$C$42, 19.9858, 19.9858)* CHOOSE(CONTROL!$C$21, $C$9, 100%, $E$9)</f>
        <v>19.985800000000001</v>
      </c>
      <c r="K663" s="10">
        <f>CHOOSE(CONTROL!$C$42, 19.5888, 19.5888) * CHOOSE(CONTROL!$C$21, $C$9, 100%, $E$9)</f>
        <v>19.588799999999999</v>
      </c>
      <c r="L663" s="10">
        <f>CHOOSE(CONTROL!$C$42, 20.6514, 20.6514) * CHOOSE(CONTROL!$C$21, $C$9, 100%, $E$9)</f>
        <v>20.651399999999999</v>
      </c>
      <c r="M663" s="10">
        <f>CHOOSE(CONTROL!$C$42, 19.7979, 19.7979) * CHOOSE(CONTROL!$C$21, $C$9, 100%, $E$9)</f>
        <v>19.797899999999998</v>
      </c>
      <c r="N663" s="10">
        <f>CHOOSE(CONTROL!$C$42, 19.8158, 19.8158) * CHOOSE(CONTROL!$C$21, $C$9, 100%, $E$9)</f>
        <v>19.815799999999999</v>
      </c>
      <c r="O663" s="10">
        <f>CHOOSE(CONTROL!$C$42, 19.8758, 19.8758) * CHOOSE(CONTROL!$C$21, $C$9, 100%, $E$9)</f>
        <v>19.875800000000002</v>
      </c>
      <c r="P663" s="10">
        <f>CHOOSE(CONTROL!$C$42, 19.8185, 19.8185) * CHOOSE(CONTROL!$C$21, $C$9, 100%, $E$9)</f>
        <v>19.8185</v>
      </c>
      <c r="Q663" s="10">
        <f>CHOOSE(CONTROL!$C$42, 20.4711, 20.4711) * CHOOSE(CONTROL!$C$21, $C$9, 100%, $E$9)</f>
        <v>20.4711</v>
      </c>
      <c r="R663" s="10">
        <f>CHOOSE(CONTROL!$C$42, 21.1093, 21.1093) * CHOOSE(CONTROL!$C$21, $C$9, 100%, $E$9)</f>
        <v>21.109300000000001</v>
      </c>
      <c r="S663" s="10">
        <f>CHOOSE(CONTROL!$C$42, 19.4316, 19.4316) * CHOOSE(CONTROL!$C$21, $C$9, 100%, $E$9)</f>
        <v>19.4316</v>
      </c>
      <c r="T6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38">
        <f>(1000*CHOOSE(CONTROL!$C$42, 695, 695)*CHOOSE(CONTROL!$C$42, 0.5599, 0.5599)*CHOOSE(CONTROL!$C$42, 31, 31))/1000000</f>
        <v>12.063045499999998</v>
      </c>
      <c r="V663" s="38">
        <f>(1000*CHOOSE(CONTROL!$C$42, 500, 500)*CHOOSE(CONTROL!$C$42, 0.275, 0.275)*CHOOSE(CONTROL!$C$42, 31, 31))/1000000</f>
        <v>4.2625000000000002</v>
      </c>
      <c r="W663" s="38">
        <f>(1000*CHOOSE(CONTROL!$C$42, 0.1146, 0.1146)*CHOOSE(CONTROL!$C$42, 121.5, 121.5)*CHOOSE(CONTROL!$C$42, 31, 31))/1000000</f>
        <v>0.43164089999999994</v>
      </c>
      <c r="X663" s="38">
        <f>(31*0.1790888*100000/1000000)+(31*0.2374*100000/1000000)</f>
        <v>1.2911152800000001</v>
      </c>
      <c r="Y663" s="38">
        <f>(1000*600*CHOOSE(CONTROL!$C$42, 1.0585, 1.0585)*CHOOSE(CONTROL!$C$42, 31, 31))/1000000</f>
        <v>19.688099999999999</v>
      </c>
      <c r="Z663" s="38"/>
      <c r="AA663" s="10"/>
      <c r="AB663" s="39"/>
      <c r="AC663" s="33">
        <f>(B663*122.58+C663*297.941+D663*89.177+E663*40.302+F663*40+G663*160+H663*0+I663*100+J663*300)/(122.58+297.941+89.177+40.302+0+40+160+100+300)</f>
        <v>20.009686783565215</v>
      </c>
      <c r="AD663" s="27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19.837201438848922</v>
      </c>
    </row>
    <row r="664" spans="1:30" ht="15.75" x14ac:dyDescent="0.25">
      <c r="A664" s="13">
        <v>61483</v>
      </c>
      <c r="B664" s="10">
        <f>CHOOSE(CONTROL!$C$42, 19.9529, 19.9529) * CHOOSE(CONTROL!$C$21, $C$9, 100%, $E$9)</f>
        <v>19.9529</v>
      </c>
      <c r="C664" s="10">
        <f>CHOOSE(CONTROL!$C$42, 19.9573, 19.9573) * CHOOSE(CONTROL!$C$21, $C$9, 100%, $E$9)</f>
        <v>19.9573</v>
      </c>
      <c r="D664" s="10">
        <f>CHOOSE(CONTROL!$C$42, 20.1374, 20.1374) * CHOOSE(CONTROL!$C$21, $C$9, 100%, $E$9)</f>
        <v>20.1374</v>
      </c>
      <c r="E664" s="10">
        <f>CHOOSE(CONTROL!$C$42, 20.1692, 20.1692) * CHOOSE(CONTROL!$C$21, $C$9, 100%, $E$9)</f>
        <v>20.1692</v>
      </c>
      <c r="F664" s="10">
        <f>CHOOSE(CONTROL!$C$42, 19.9183, 19.9183)*CHOOSE(CONTROL!$C$21, $C$9, 100%, $E$9)</f>
        <v>19.918299999999999</v>
      </c>
      <c r="G664" s="10">
        <f>CHOOSE(CONTROL!$C$42, 19.9345, 19.9345)*CHOOSE(CONTROL!$C$21, $C$9, 100%, $E$9)</f>
        <v>19.9345</v>
      </c>
      <c r="H664" s="10">
        <f>CHOOSE(CONTROL!$C$42, 20.159, 20.159) * CHOOSE(CONTROL!$C$21, $C$9, 100%, $E$9)</f>
        <v>20.158999999999999</v>
      </c>
      <c r="I664" s="10">
        <f>CHOOSE(CONTROL!$C$42, 19.9389, 19.9389)* CHOOSE(CONTROL!$C$21, $C$9, 100%, $E$9)</f>
        <v>19.9389</v>
      </c>
      <c r="J664" s="10">
        <f>CHOOSE(CONTROL!$C$42, 19.9113, 19.9113)* CHOOSE(CONTROL!$C$21, $C$9, 100%, $E$9)</f>
        <v>19.911300000000001</v>
      </c>
      <c r="K664" s="10">
        <f>CHOOSE(CONTROL!$C$42, 19.5081, 19.5081) * CHOOSE(CONTROL!$C$21, $C$9, 100%, $E$9)</f>
        <v>19.508099999999999</v>
      </c>
      <c r="L664" s="10">
        <f>CHOOSE(CONTROL!$C$42, 20.746, 20.746) * CHOOSE(CONTROL!$C$21, $C$9, 100%, $E$9)</f>
        <v>20.745999999999999</v>
      </c>
      <c r="M664" s="10">
        <f>CHOOSE(CONTROL!$C$42, 19.7241, 19.7241) * CHOOSE(CONTROL!$C$21, $C$9, 100%, $E$9)</f>
        <v>19.7241</v>
      </c>
      <c r="N664" s="10">
        <f>CHOOSE(CONTROL!$C$42, 19.7402, 19.7402) * CHOOSE(CONTROL!$C$21, $C$9, 100%, $E$9)</f>
        <v>19.740200000000002</v>
      </c>
      <c r="O664" s="10">
        <f>CHOOSE(CONTROL!$C$42, 19.9694, 19.9694) * CHOOSE(CONTROL!$C$21, $C$9, 100%, $E$9)</f>
        <v>19.9694</v>
      </c>
      <c r="P664" s="10">
        <f>CHOOSE(CONTROL!$C$42, 19.7516, 19.7516) * CHOOSE(CONTROL!$C$21, $C$9, 100%, $E$9)</f>
        <v>19.7516</v>
      </c>
      <c r="Q664" s="10">
        <f>CHOOSE(CONTROL!$C$42, 20.5647, 20.5647) * CHOOSE(CONTROL!$C$21, $C$9, 100%, $E$9)</f>
        <v>20.564699999999998</v>
      </c>
      <c r="R664" s="10">
        <f>CHOOSE(CONTROL!$C$42, 21.2031, 21.2031) * CHOOSE(CONTROL!$C$21, $C$9, 100%, $E$9)</f>
        <v>21.203099999999999</v>
      </c>
      <c r="S664" s="10">
        <f>CHOOSE(CONTROL!$C$42, 19.3734, 19.3734) * CHOOSE(CONTROL!$C$21, $C$9, 100%, $E$9)</f>
        <v>19.3734</v>
      </c>
      <c r="T6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38">
        <f>(1000*CHOOSE(CONTROL!$C$42, 695, 695)*CHOOSE(CONTROL!$C$42, 0.5599, 0.5599)*CHOOSE(CONTROL!$C$42, 30, 30))/1000000</f>
        <v>11.673914999999997</v>
      </c>
      <c r="V664" s="38">
        <f>(1000*CHOOSE(CONTROL!$C$42, 500, 500)*CHOOSE(CONTROL!$C$42, 0.275, 0.275)*CHOOSE(CONTROL!$C$42, 30, 30))/1000000</f>
        <v>4.125</v>
      </c>
      <c r="W664" s="38">
        <f>(1000*CHOOSE(CONTROL!$C$42, 0.1146, 0.1146)*CHOOSE(CONTROL!$C$42, 121.5, 121.5)*CHOOSE(CONTROL!$C$42, 30, 30))/1000000</f>
        <v>0.417717</v>
      </c>
      <c r="X664" s="38">
        <f>(30*0.1790888*245000/1000000)+(30*0.2374*100000/1000000)</f>
        <v>2.0285026799999999</v>
      </c>
      <c r="Y664" s="38">
        <f>(1000*600*CHOOSE(CONTROL!$C$42, 1.0585, 1.0585)*CHOOSE(CONTROL!$C$42, 30, 30))/1000000</f>
        <v>19.053000000000001</v>
      </c>
      <c r="Z664" s="38"/>
      <c r="AA664" s="10"/>
      <c r="AB664" s="39"/>
      <c r="AC664" s="33">
        <f>(B664*141.293+C664*267.993+D664*115.016+E664*89.698+F664*40+G664*185+H664*0+I664*100+J664*300)/(141.293+267.993+115.016+89.698+0+40+185+100+300)</f>
        <v>19.971570943179984</v>
      </c>
      <c r="AD664" s="27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19.84016258992806</v>
      </c>
    </row>
    <row r="665" spans="1:30" ht="15.75" x14ac:dyDescent="0.25">
      <c r="A665" s="13">
        <v>61514</v>
      </c>
      <c r="B665" s="10">
        <f>CHOOSE(CONTROL!$C$42, 20.1308, 20.1308) * CHOOSE(CONTROL!$C$21, $C$9, 100%, $E$9)</f>
        <v>20.130800000000001</v>
      </c>
      <c r="C665" s="10">
        <f>CHOOSE(CONTROL!$C$42, 20.1387, 20.1387) * CHOOSE(CONTROL!$C$21, $C$9, 100%, $E$9)</f>
        <v>20.1387</v>
      </c>
      <c r="D665" s="10">
        <f>CHOOSE(CONTROL!$C$42, 20.3157, 20.3157) * CHOOSE(CONTROL!$C$21, $C$9, 100%, $E$9)</f>
        <v>20.3157</v>
      </c>
      <c r="E665" s="10">
        <f>CHOOSE(CONTROL!$C$42, 20.3468, 20.3468) * CHOOSE(CONTROL!$C$21, $C$9, 100%, $E$9)</f>
        <v>20.346800000000002</v>
      </c>
      <c r="F665" s="10">
        <f>CHOOSE(CONTROL!$C$42, 20.0941, 20.0941)*CHOOSE(CONTROL!$C$21, $C$9, 100%, $E$9)</f>
        <v>20.094100000000001</v>
      </c>
      <c r="G665" s="10">
        <f>CHOOSE(CONTROL!$C$42, 20.1106, 20.1106)*CHOOSE(CONTROL!$C$21, $C$9, 100%, $E$9)</f>
        <v>20.110600000000002</v>
      </c>
      <c r="H665" s="10">
        <f>CHOOSE(CONTROL!$C$42, 20.3355, 20.3355) * CHOOSE(CONTROL!$C$21, $C$9, 100%, $E$9)</f>
        <v>20.3355</v>
      </c>
      <c r="I665" s="10">
        <f>CHOOSE(CONTROL!$C$42, 20.1154, 20.1154)* CHOOSE(CONTROL!$C$21, $C$9, 100%, $E$9)</f>
        <v>20.115400000000001</v>
      </c>
      <c r="J665" s="10">
        <f>CHOOSE(CONTROL!$C$42, 20.0871, 20.0871)* CHOOSE(CONTROL!$C$21, $C$9, 100%, $E$9)</f>
        <v>20.0871</v>
      </c>
      <c r="K665" s="10">
        <f>CHOOSE(CONTROL!$C$42, 19.6783, 19.6783) * CHOOSE(CONTROL!$C$21, $C$9, 100%, $E$9)</f>
        <v>19.6783</v>
      </c>
      <c r="L665" s="10">
        <f>CHOOSE(CONTROL!$C$42, 20.9225, 20.9225) * CHOOSE(CONTROL!$C$21, $C$9, 100%, $E$9)</f>
        <v>20.922499999999999</v>
      </c>
      <c r="M665" s="10">
        <f>CHOOSE(CONTROL!$C$42, 19.8983, 19.8983) * CHOOSE(CONTROL!$C$21, $C$9, 100%, $E$9)</f>
        <v>19.898299999999999</v>
      </c>
      <c r="N665" s="10">
        <f>CHOOSE(CONTROL!$C$42, 19.9146, 19.9146) * CHOOSE(CONTROL!$C$21, $C$9, 100%, $E$9)</f>
        <v>19.9146</v>
      </c>
      <c r="O665" s="10">
        <f>CHOOSE(CONTROL!$C$42, 20.1441, 20.1441) * CHOOSE(CONTROL!$C$21, $C$9, 100%, $E$9)</f>
        <v>20.144100000000002</v>
      </c>
      <c r="P665" s="10">
        <f>CHOOSE(CONTROL!$C$42, 19.9262, 19.9262) * CHOOSE(CONTROL!$C$21, $C$9, 100%, $E$9)</f>
        <v>19.926200000000001</v>
      </c>
      <c r="Q665" s="10">
        <f>CHOOSE(CONTROL!$C$42, 20.7394, 20.7394) * CHOOSE(CONTROL!$C$21, $C$9, 100%, $E$9)</f>
        <v>20.7394</v>
      </c>
      <c r="R665" s="10">
        <f>CHOOSE(CONTROL!$C$42, 21.3782, 21.3782) * CHOOSE(CONTROL!$C$21, $C$9, 100%, $E$9)</f>
        <v>21.3782</v>
      </c>
      <c r="S665" s="10">
        <f>CHOOSE(CONTROL!$C$42, 19.5448, 19.5448) * CHOOSE(CONTROL!$C$21, $C$9, 100%, $E$9)</f>
        <v>19.544799999999999</v>
      </c>
      <c r="T6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38">
        <f>(1000*CHOOSE(CONTROL!$C$42, 695, 695)*CHOOSE(CONTROL!$C$42, 0.5599, 0.5599)*CHOOSE(CONTROL!$C$42, 31, 31))/1000000</f>
        <v>12.063045499999998</v>
      </c>
      <c r="V665" s="38">
        <f>(1000*CHOOSE(CONTROL!$C$42, 500, 500)*CHOOSE(CONTROL!$C$42, 0.275, 0.275)*CHOOSE(CONTROL!$C$42, 31, 31))/1000000</f>
        <v>4.2625000000000002</v>
      </c>
      <c r="W665" s="38">
        <f>(1000*CHOOSE(CONTROL!$C$42, 0.1146, 0.1146)*CHOOSE(CONTROL!$C$42, 121.5, 121.5)*CHOOSE(CONTROL!$C$42, 31, 31))/1000000</f>
        <v>0.43164089999999994</v>
      </c>
      <c r="X665" s="38">
        <f>(31*0.1790888*245000/1000000)+(31*0.2374*100000/1000000)</f>
        <v>2.0961194359999999</v>
      </c>
      <c r="Y665" s="38">
        <f>(1000*600*CHOOSE(CONTROL!$C$42, 1.0585, 1.0585)*CHOOSE(CONTROL!$C$42, 31, 31))/1000000</f>
        <v>19.688099999999999</v>
      </c>
      <c r="Z665" s="38"/>
      <c r="AA665" s="10"/>
      <c r="AB665" s="39"/>
      <c r="AC665" s="33">
        <f>(B665*194.205+C665*267.466+D665*133.845+E665*53.484+F665*40+G665*185+H665*0+I665*100+J665*300)/(194.205+267.466+133.845+53.484+0+40+185+100+300)</f>
        <v>20.145367084693881</v>
      </c>
      <c r="AD665" s="27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20.014658273381297</v>
      </c>
    </row>
    <row r="666" spans="1:30" ht="15.75" x14ac:dyDescent="0.25">
      <c r="A666" s="13">
        <v>61544</v>
      </c>
      <c r="B666" s="10">
        <f>CHOOSE(CONTROL!$C$42, 20.7017, 20.7017) * CHOOSE(CONTROL!$C$21, $C$9, 100%, $E$9)</f>
        <v>20.701699999999999</v>
      </c>
      <c r="C666" s="10">
        <f>CHOOSE(CONTROL!$C$42, 20.7096, 20.7096) * CHOOSE(CONTROL!$C$21, $C$9, 100%, $E$9)</f>
        <v>20.709599999999998</v>
      </c>
      <c r="D666" s="10">
        <f>CHOOSE(CONTROL!$C$42, 20.8866, 20.8866) * CHOOSE(CONTROL!$C$21, $C$9, 100%, $E$9)</f>
        <v>20.886600000000001</v>
      </c>
      <c r="E666" s="10">
        <f>CHOOSE(CONTROL!$C$42, 20.9177, 20.9177) * CHOOSE(CONTROL!$C$21, $C$9, 100%, $E$9)</f>
        <v>20.9177</v>
      </c>
      <c r="F666" s="10">
        <f>CHOOSE(CONTROL!$C$42, 20.6652, 20.6652)*CHOOSE(CONTROL!$C$21, $C$9, 100%, $E$9)</f>
        <v>20.665199999999999</v>
      </c>
      <c r="G666" s="10">
        <f>CHOOSE(CONTROL!$C$42, 20.6817, 20.6817)*CHOOSE(CONTROL!$C$21, $C$9, 100%, $E$9)</f>
        <v>20.681699999999999</v>
      </c>
      <c r="H666" s="10">
        <f>CHOOSE(CONTROL!$C$42, 20.9063, 20.9063) * CHOOSE(CONTROL!$C$21, $C$9, 100%, $E$9)</f>
        <v>20.906300000000002</v>
      </c>
      <c r="I666" s="10">
        <f>CHOOSE(CONTROL!$C$42, 20.6863, 20.6863)* CHOOSE(CONTROL!$C$21, $C$9, 100%, $E$9)</f>
        <v>20.686299999999999</v>
      </c>
      <c r="J666" s="10">
        <f>CHOOSE(CONTROL!$C$42, 20.6582, 20.6582)* CHOOSE(CONTROL!$C$21, $C$9, 100%, $E$9)</f>
        <v>20.658200000000001</v>
      </c>
      <c r="K666" s="10">
        <f>CHOOSE(CONTROL!$C$42, 20.2333, 20.2333) * CHOOSE(CONTROL!$C$21, $C$9, 100%, $E$9)</f>
        <v>20.2333</v>
      </c>
      <c r="L666" s="10">
        <f>CHOOSE(CONTROL!$C$42, 21.4933, 21.4933) * CHOOSE(CONTROL!$C$21, $C$9, 100%, $E$9)</f>
        <v>21.493300000000001</v>
      </c>
      <c r="M666" s="10">
        <f>CHOOSE(CONTROL!$C$42, 20.4636, 20.4636) * CHOOSE(CONTROL!$C$21, $C$9, 100%, $E$9)</f>
        <v>20.4636</v>
      </c>
      <c r="N666" s="10">
        <f>CHOOSE(CONTROL!$C$42, 20.4799, 20.4799) * CHOOSE(CONTROL!$C$21, $C$9, 100%, $E$9)</f>
        <v>20.479900000000001</v>
      </c>
      <c r="O666" s="10">
        <f>CHOOSE(CONTROL!$C$42, 20.7092, 20.7092) * CHOOSE(CONTROL!$C$21, $C$9, 100%, $E$9)</f>
        <v>20.709199999999999</v>
      </c>
      <c r="P666" s="10">
        <f>CHOOSE(CONTROL!$C$42, 20.4914, 20.4914) * CHOOSE(CONTROL!$C$21, $C$9, 100%, $E$9)</f>
        <v>20.491399999999999</v>
      </c>
      <c r="Q666" s="10">
        <f>CHOOSE(CONTROL!$C$42, 21.3045, 21.3045) * CHOOSE(CONTROL!$C$21, $C$9, 100%, $E$9)</f>
        <v>21.304500000000001</v>
      </c>
      <c r="R666" s="10">
        <f>CHOOSE(CONTROL!$C$42, 21.9448, 21.9448) * CHOOSE(CONTROL!$C$21, $C$9, 100%, $E$9)</f>
        <v>21.944800000000001</v>
      </c>
      <c r="S666" s="10">
        <f>CHOOSE(CONTROL!$C$42, 20.0991, 20.0991) * CHOOSE(CONTROL!$C$21, $C$9, 100%, $E$9)</f>
        <v>20.0991</v>
      </c>
      <c r="T6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38">
        <f>(1000*CHOOSE(CONTROL!$C$42, 695, 695)*CHOOSE(CONTROL!$C$42, 0.5599, 0.5599)*CHOOSE(CONTROL!$C$42, 30, 30))/1000000</f>
        <v>11.673914999999997</v>
      </c>
      <c r="V666" s="38">
        <f>(1000*CHOOSE(CONTROL!$C$42, 500, 500)*CHOOSE(CONTROL!$C$42, 0.275, 0.275)*CHOOSE(CONTROL!$C$42, 30, 30))/1000000</f>
        <v>4.125</v>
      </c>
      <c r="W666" s="38">
        <f>(1000*CHOOSE(CONTROL!$C$42, 0.1146, 0.1146)*CHOOSE(CONTROL!$C$42, 121.5, 121.5)*CHOOSE(CONTROL!$C$42, 30, 30))/1000000</f>
        <v>0.417717</v>
      </c>
      <c r="X666" s="38">
        <f>(30*0.1790888*245000/1000000)+(30*0.2374*100000/1000000)</f>
        <v>2.0285026799999999</v>
      </c>
      <c r="Y666" s="38">
        <f>(1000*600*CHOOSE(CONTROL!$C$42, 1.0585, 1.0585)*CHOOSE(CONTROL!$C$42, 30, 30))/1000000</f>
        <v>19.053000000000001</v>
      </c>
      <c r="Z666" s="38"/>
      <c r="AA666" s="10"/>
      <c r="AB666" s="39"/>
      <c r="AC666" s="33">
        <f>(B666*194.205+C666*267.466+D666*133.845+E666*53.484+F666*40+G666*185+H666*0+I666*100+J666*300)/(194.205+267.466+133.845+53.484+0+40+185+100+300)</f>
        <v>20.716349502276294</v>
      </c>
      <c r="AD666" s="27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20.57985323741007</v>
      </c>
    </row>
    <row r="667" spans="1:30" ht="15.75" x14ac:dyDescent="0.25">
      <c r="A667" s="13">
        <v>61575</v>
      </c>
      <c r="B667" s="10">
        <f>CHOOSE(CONTROL!$C$42, 20.3046, 20.3046) * CHOOSE(CONTROL!$C$21, $C$9, 100%, $E$9)</f>
        <v>20.304600000000001</v>
      </c>
      <c r="C667" s="10">
        <f>CHOOSE(CONTROL!$C$42, 20.3125, 20.3125) * CHOOSE(CONTROL!$C$21, $C$9, 100%, $E$9)</f>
        <v>20.3125</v>
      </c>
      <c r="D667" s="10">
        <f>CHOOSE(CONTROL!$C$42, 20.4895, 20.4895) * CHOOSE(CONTROL!$C$21, $C$9, 100%, $E$9)</f>
        <v>20.4895</v>
      </c>
      <c r="E667" s="10">
        <f>CHOOSE(CONTROL!$C$42, 20.5207, 20.5207) * CHOOSE(CONTROL!$C$21, $C$9, 100%, $E$9)</f>
        <v>20.520700000000001</v>
      </c>
      <c r="F667" s="10">
        <f>CHOOSE(CONTROL!$C$42, 20.2684, 20.2684)*CHOOSE(CONTROL!$C$21, $C$9, 100%, $E$9)</f>
        <v>20.2684</v>
      </c>
      <c r="G667" s="10">
        <f>CHOOSE(CONTROL!$C$42, 20.285, 20.285)*CHOOSE(CONTROL!$C$21, $C$9, 100%, $E$9)</f>
        <v>20.285</v>
      </c>
      <c r="H667" s="10">
        <f>CHOOSE(CONTROL!$C$42, 20.5093, 20.5093) * CHOOSE(CONTROL!$C$21, $C$9, 100%, $E$9)</f>
        <v>20.5093</v>
      </c>
      <c r="I667" s="10">
        <f>CHOOSE(CONTROL!$C$42, 20.2892, 20.2892)* CHOOSE(CONTROL!$C$21, $C$9, 100%, $E$9)</f>
        <v>20.289200000000001</v>
      </c>
      <c r="J667" s="10">
        <f>CHOOSE(CONTROL!$C$42, 20.2614, 20.2614)* CHOOSE(CONTROL!$C$21, $C$9, 100%, $E$9)</f>
        <v>20.261399999999998</v>
      </c>
      <c r="K667" s="10">
        <f>CHOOSE(CONTROL!$C$42, 19.8481, 19.8481) * CHOOSE(CONTROL!$C$21, $C$9, 100%, $E$9)</f>
        <v>19.848099999999999</v>
      </c>
      <c r="L667" s="10">
        <f>CHOOSE(CONTROL!$C$42, 21.0963, 21.0963) * CHOOSE(CONTROL!$C$21, $C$9, 100%, $E$9)</f>
        <v>21.096299999999999</v>
      </c>
      <c r="M667" s="10">
        <f>CHOOSE(CONTROL!$C$42, 20.0708, 20.0708) * CHOOSE(CONTROL!$C$21, $C$9, 100%, $E$9)</f>
        <v>20.070799999999998</v>
      </c>
      <c r="N667" s="10">
        <f>CHOOSE(CONTROL!$C$42, 20.0872, 20.0872) * CHOOSE(CONTROL!$C$21, $C$9, 100%, $E$9)</f>
        <v>20.087199999999999</v>
      </c>
      <c r="O667" s="10">
        <f>CHOOSE(CONTROL!$C$42, 20.3161, 20.3161) * CHOOSE(CONTROL!$C$21, $C$9, 100%, $E$9)</f>
        <v>20.316099999999999</v>
      </c>
      <c r="P667" s="10">
        <f>CHOOSE(CONTROL!$C$42, 20.0983, 20.0983) * CHOOSE(CONTROL!$C$21, $C$9, 100%, $E$9)</f>
        <v>20.098299999999998</v>
      </c>
      <c r="Q667" s="10">
        <f>CHOOSE(CONTROL!$C$42, 20.9114, 20.9114) * CHOOSE(CONTROL!$C$21, $C$9, 100%, $E$9)</f>
        <v>20.9114</v>
      </c>
      <c r="R667" s="10">
        <f>CHOOSE(CONTROL!$C$42, 21.5507, 21.5507) * CHOOSE(CONTROL!$C$21, $C$9, 100%, $E$9)</f>
        <v>21.550699999999999</v>
      </c>
      <c r="S667" s="10">
        <f>CHOOSE(CONTROL!$C$42, 19.7136, 19.7136) * CHOOSE(CONTROL!$C$21, $C$9, 100%, $E$9)</f>
        <v>19.7136</v>
      </c>
      <c r="T6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38">
        <f>(1000*CHOOSE(CONTROL!$C$42, 695, 695)*CHOOSE(CONTROL!$C$42, 0.5599, 0.5599)*CHOOSE(CONTROL!$C$42, 31, 31))/1000000</f>
        <v>12.063045499999998</v>
      </c>
      <c r="V667" s="38">
        <f>(1000*CHOOSE(CONTROL!$C$42, 500, 500)*CHOOSE(CONTROL!$C$42, 0.275, 0.275)*CHOOSE(CONTROL!$C$42, 31, 31))/1000000</f>
        <v>4.2625000000000002</v>
      </c>
      <c r="W667" s="38">
        <f>(1000*CHOOSE(CONTROL!$C$42, 0.1146, 0.1146)*CHOOSE(CONTROL!$C$42, 121.5, 121.5)*CHOOSE(CONTROL!$C$42, 31, 31))/1000000</f>
        <v>0.43164089999999994</v>
      </c>
      <c r="X667" s="38">
        <f>(31*0.1790888*245000/1000000)+(31*0.2374*100000/1000000)</f>
        <v>2.0961194359999999</v>
      </c>
      <c r="Y667" s="38">
        <f>(1000*600*CHOOSE(CONTROL!$C$42, 1.0585, 1.0585)*CHOOSE(CONTROL!$C$42, 31, 31))/1000000</f>
        <v>19.688099999999999</v>
      </c>
      <c r="Z667" s="38"/>
      <c r="AA667" s="10"/>
      <c r="AB667" s="39"/>
      <c r="AC667" s="33">
        <f>(B667*194.205+C667*267.466+D667*133.845+E667*53.484+F667*40+G667*185+H667*0+I667*100+J667*300)/(194.205+267.466+133.845+53.484+0+40+185+100+300)</f>
        <v>20.319391847959185</v>
      </c>
      <c r="AD667" s="27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20.186879856115109</v>
      </c>
    </row>
    <row r="668" spans="1:30" ht="15.75" x14ac:dyDescent="0.25">
      <c r="A668" s="13">
        <v>61606</v>
      </c>
      <c r="B668" s="10">
        <f>CHOOSE(CONTROL!$C$42, 19.3019, 19.3019) * CHOOSE(CONTROL!$C$21, $C$9, 100%, $E$9)</f>
        <v>19.3019</v>
      </c>
      <c r="C668" s="10">
        <f>CHOOSE(CONTROL!$C$42, 19.3099, 19.3099) * CHOOSE(CONTROL!$C$21, $C$9, 100%, $E$9)</f>
        <v>19.309899999999999</v>
      </c>
      <c r="D668" s="10">
        <f>CHOOSE(CONTROL!$C$42, 19.4868, 19.4868) * CHOOSE(CONTROL!$C$21, $C$9, 100%, $E$9)</f>
        <v>19.486799999999999</v>
      </c>
      <c r="E668" s="10">
        <f>CHOOSE(CONTROL!$C$42, 19.518, 19.518) * CHOOSE(CONTROL!$C$21, $C$9, 100%, $E$9)</f>
        <v>19.518000000000001</v>
      </c>
      <c r="F668" s="10">
        <f>CHOOSE(CONTROL!$C$42, 19.2658, 19.2658)*CHOOSE(CONTROL!$C$21, $C$9, 100%, $E$9)</f>
        <v>19.265799999999999</v>
      </c>
      <c r="G668" s="10">
        <f>CHOOSE(CONTROL!$C$42, 19.2824, 19.2824)*CHOOSE(CONTROL!$C$21, $C$9, 100%, $E$9)</f>
        <v>19.282399999999999</v>
      </c>
      <c r="H668" s="10">
        <f>CHOOSE(CONTROL!$C$42, 19.5066, 19.5066) * CHOOSE(CONTROL!$C$21, $C$9, 100%, $E$9)</f>
        <v>19.506599999999999</v>
      </c>
      <c r="I668" s="10">
        <f>CHOOSE(CONTROL!$C$42, 19.2865, 19.2865)* CHOOSE(CONTROL!$C$21, $C$9, 100%, $E$9)</f>
        <v>19.2865</v>
      </c>
      <c r="J668" s="10">
        <f>CHOOSE(CONTROL!$C$42, 19.2588, 19.2588)* CHOOSE(CONTROL!$C$21, $C$9, 100%, $E$9)</f>
        <v>19.258800000000001</v>
      </c>
      <c r="K668" s="10">
        <f>CHOOSE(CONTROL!$C$42, 18.874, 18.874) * CHOOSE(CONTROL!$C$21, $C$9, 100%, $E$9)</f>
        <v>18.873999999999999</v>
      </c>
      <c r="L668" s="10">
        <f>CHOOSE(CONTROL!$C$42, 20.0936, 20.0936) * CHOOSE(CONTROL!$C$21, $C$9, 100%, $E$9)</f>
        <v>20.093599999999999</v>
      </c>
      <c r="M668" s="10">
        <f>CHOOSE(CONTROL!$C$42, 19.0783, 19.0783) * CHOOSE(CONTROL!$C$21, $C$9, 100%, $E$9)</f>
        <v>19.078299999999999</v>
      </c>
      <c r="N668" s="10">
        <f>CHOOSE(CONTROL!$C$42, 19.0947, 19.0947) * CHOOSE(CONTROL!$C$21, $C$9, 100%, $E$9)</f>
        <v>19.0947</v>
      </c>
      <c r="O668" s="10">
        <f>CHOOSE(CONTROL!$C$42, 19.3236, 19.3236) * CHOOSE(CONTROL!$C$21, $C$9, 100%, $E$9)</f>
        <v>19.323599999999999</v>
      </c>
      <c r="P668" s="10">
        <f>CHOOSE(CONTROL!$C$42, 19.1058, 19.1058) * CHOOSE(CONTROL!$C$21, $C$9, 100%, $E$9)</f>
        <v>19.105799999999999</v>
      </c>
      <c r="Q668" s="10">
        <f>CHOOSE(CONTROL!$C$42, 19.9189, 19.9189) * CHOOSE(CONTROL!$C$21, $C$9, 100%, $E$9)</f>
        <v>19.918900000000001</v>
      </c>
      <c r="R668" s="10">
        <f>CHOOSE(CONTROL!$C$42, 20.5557, 20.5557) * CHOOSE(CONTROL!$C$21, $C$9, 100%, $E$9)</f>
        <v>20.555700000000002</v>
      </c>
      <c r="S668" s="10">
        <f>CHOOSE(CONTROL!$C$42, 18.7399, 18.7399) * CHOOSE(CONTROL!$C$21, $C$9, 100%, $E$9)</f>
        <v>18.739899999999999</v>
      </c>
      <c r="T6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38">
        <f>(1000*CHOOSE(CONTROL!$C$42, 695, 695)*CHOOSE(CONTROL!$C$42, 0.5599, 0.5599)*CHOOSE(CONTROL!$C$42, 31, 31))/1000000</f>
        <v>12.063045499999998</v>
      </c>
      <c r="V668" s="38">
        <f>(1000*CHOOSE(CONTROL!$C$42, 500, 500)*CHOOSE(CONTROL!$C$42, 0.275, 0.275)*CHOOSE(CONTROL!$C$42, 31, 31))/1000000</f>
        <v>4.2625000000000002</v>
      </c>
      <c r="W668" s="38">
        <f>(1000*CHOOSE(CONTROL!$C$42, 0.1146, 0.1146)*CHOOSE(CONTROL!$C$42, 121.5, 121.5)*CHOOSE(CONTROL!$C$42, 31, 31))/1000000</f>
        <v>0.43164089999999994</v>
      </c>
      <c r="X668" s="38">
        <f>(31*0.1790888*245000/1000000)+(31*0.2374*100000/1000000)</f>
        <v>2.0961194359999999</v>
      </c>
      <c r="Y668" s="38">
        <f>(1000*600*CHOOSE(CONTROL!$C$42, 1.0585, 1.0585)*CHOOSE(CONTROL!$C$42, 31, 31))/1000000</f>
        <v>19.688099999999999</v>
      </c>
      <c r="Z668" s="38"/>
      <c r="AA668" s="10"/>
      <c r="AB668" s="39"/>
      <c r="AC668" s="33">
        <f>(B668*194.205+C668*267.466+D668*133.845+E668*53.484+F668*40+G668*185+H668*0+I668*100+J668*300)/(194.205+267.466+133.845+53.484+0+40+185+100+300)</f>
        <v>19.316754050941913</v>
      </c>
      <c r="AD668" s="27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19.194379856115106</v>
      </c>
    </row>
    <row r="669" spans="1:30" ht="15.75" x14ac:dyDescent="0.25">
      <c r="A669" s="13">
        <v>61636</v>
      </c>
      <c r="B669" s="10">
        <f>CHOOSE(CONTROL!$C$42, 18.0769, 18.0769) * CHOOSE(CONTROL!$C$21, $C$9, 100%, $E$9)</f>
        <v>18.076899999999998</v>
      </c>
      <c r="C669" s="10">
        <f>CHOOSE(CONTROL!$C$42, 18.0848, 18.0848) * CHOOSE(CONTROL!$C$21, $C$9, 100%, $E$9)</f>
        <v>18.084800000000001</v>
      </c>
      <c r="D669" s="10">
        <f>CHOOSE(CONTROL!$C$42, 18.2618, 18.2618) * CHOOSE(CONTROL!$C$21, $C$9, 100%, $E$9)</f>
        <v>18.261800000000001</v>
      </c>
      <c r="E669" s="10">
        <f>CHOOSE(CONTROL!$C$42, 18.2929, 18.2929) * CHOOSE(CONTROL!$C$21, $C$9, 100%, $E$9)</f>
        <v>18.292899999999999</v>
      </c>
      <c r="F669" s="10">
        <f>CHOOSE(CONTROL!$C$42, 18.0404, 18.0404)*CHOOSE(CONTROL!$C$21, $C$9, 100%, $E$9)</f>
        <v>18.040400000000002</v>
      </c>
      <c r="G669" s="10">
        <f>CHOOSE(CONTROL!$C$42, 18.057, 18.057)*CHOOSE(CONTROL!$C$21, $C$9, 100%, $E$9)</f>
        <v>18.056999999999999</v>
      </c>
      <c r="H669" s="10">
        <f>CHOOSE(CONTROL!$C$42, 18.2815, 18.2815) * CHOOSE(CONTROL!$C$21, $C$9, 100%, $E$9)</f>
        <v>18.281500000000001</v>
      </c>
      <c r="I669" s="10">
        <f>CHOOSE(CONTROL!$C$42, 18.0614, 18.0614)* CHOOSE(CONTROL!$C$21, $C$9, 100%, $E$9)</f>
        <v>18.061399999999999</v>
      </c>
      <c r="J669" s="10">
        <f>CHOOSE(CONTROL!$C$42, 18.0334, 18.0334)* CHOOSE(CONTROL!$C$21, $C$9, 100%, $E$9)</f>
        <v>18.0334</v>
      </c>
      <c r="K669" s="10">
        <f>CHOOSE(CONTROL!$C$42, 17.6832, 17.6832) * CHOOSE(CONTROL!$C$21, $C$9, 100%, $E$9)</f>
        <v>17.683199999999999</v>
      </c>
      <c r="L669" s="10">
        <f>CHOOSE(CONTROL!$C$42, 18.8685, 18.8685) * CHOOSE(CONTROL!$C$21, $C$9, 100%, $E$9)</f>
        <v>18.868500000000001</v>
      </c>
      <c r="M669" s="10">
        <f>CHOOSE(CONTROL!$C$42, 17.8653, 17.8653) * CHOOSE(CONTROL!$C$21, $C$9, 100%, $E$9)</f>
        <v>17.865300000000001</v>
      </c>
      <c r="N669" s="10">
        <f>CHOOSE(CONTROL!$C$42, 17.8817, 17.8817) * CHOOSE(CONTROL!$C$21, $C$9, 100%, $E$9)</f>
        <v>17.881699999999999</v>
      </c>
      <c r="O669" s="10">
        <f>CHOOSE(CONTROL!$C$42, 18.1109, 18.1109) * CHOOSE(CONTROL!$C$21, $C$9, 100%, $E$9)</f>
        <v>18.110900000000001</v>
      </c>
      <c r="P669" s="10">
        <f>CHOOSE(CONTROL!$C$42, 17.893, 17.893) * CHOOSE(CONTROL!$C$21, $C$9, 100%, $E$9)</f>
        <v>17.893000000000001</v>
      </c>
      <c r="Q669" s="10">
        <f>CHOOSE(CONTROL!$C$42, 18.7062, 18.7062) * CHOOSE(CONTROL!$C$21, $C$9, 100%, $E$9)</f>
        <v>18.706199999999999</v>
      </c>
      <c r="R669" s="10">
        <f>CHOOSE(CONTROL!$C$42, 19.3399, 19.3399) * CHOOSE(CONTROL!$C$21, $C$9, 100%, $E$9)</f>
        <v>19.3399</v>
      </c>
      <c r="S669" s="10">
        <f>CHOOSE(CONTROL!$C$42, 17.5502, 17.5502) * CHOOSE(CONTROL!$C$21, $C$9, 100%, $E$9)</f>
        <v>17.5502</v>
      </c>
      <c r="T6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38">
        <f>(1000*CHOOSE(CONTROL!$C$42, 695, 695)*CHOOSE(CONTROL!$C$42, 0.5599, 0.5599)*CHOOSE(CONTROL!$C$42, 30, 30))/1000000</f>
        <v>11.673914999999997</v>
      </c>
      <c r="V669" s="38">
        <f>(1000*CHOOSE(CONTROL!$C$42, 500, 500)*CHOOSE(CONTROL!$C$42, 0.275, 0.275)*CHOOSE(CONTROL!$C$42, 30, 30))/1000000</f>
        <v>4.125</v>
      </c>
      <c r="W669" s="38">
        <f>(1000*CHOOSE(CONTROL!$C$42, 0.1146, 0.1146)*CHOOSE(CONTROL!$C$42, 121.5, 121.5)*CHOOSE(CONTROL!$C$42, 30, 30))/1000000</f>
        <v>0.417717</v>
      </c>
      <c r="X669" s="38">
        <f>(30*0.1790888*245000/1000000)+(30*0.2374*100000/1000000)</f>
        <v>2.0285026799999999</v>
      </c>
      <c r="Y669" s="38">
        <f>(1000*600*CHOOSE(CONTROL!$C$42, 1.0585, 1.0585)*CHOOSE(CONTROL!$C$42, 30, 30))/1000000</f>
        <v>19.053000000000001</v>
      </c>
      <c r="Z669" s="38"/>
      <c r="AA669" s="10"/>
      <c r="AB669" s="39"/>
      <c r="AC669" s="33">
        <f>(B669*194.205+C669*267.466+D669*133.845+E669*53.484+F669*40+G669*185+H669*0+I669*100+J669*300)/(194.205+267.466+133.845+53.484+0+40+185+100+300)</f>
        <v>18.091556174175825</v>
      </c>
      <c r="AD669" s="27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17.981544604316547</v>
      </c>
    </row>
    <row r="670" spans="1:30" ht="15.75" x14ac:dyDescent="0.25">
      <c r="A670" s="13">
        <v>61667</v>
      </c>
      <c r="B670" s="10">
        <f>CHOOSE(CONTROL!$C$42, 17.7078, 17.7078) * CHOOSE(CONTROL!$C$21, $C$9, 100%, $E$9)</f>
        <v>17.707799999999999</v>
      </c>
      <c r="C670" s="10">
        <f>CHOOSE(CONTROL!$C$42, 17.713, 17.713) * CHOOSE(CONTROL!$C$21, $C$9, 100%, $E$9)</f>
        <v>17.713000000000001</v>
      </c>
      <c r="D670" s="10">
        <f>CHOOSE(CONTROL!$C$42, 17.895, 17.895) * CHOOSE(CONTROL!$C$21, $C$9, 100%, $E$9)</f>
        <v>17.895</v>
      </c>
      <c r="E670" s="10">
        <f>CHOOSE(CONTROL!$C$42, 17.9237, 17.9237) * CHOOSE(CONTROL!$C$21, $C$9, 100%, $E$9)</f>
        <v>17.9237</v>
      </c>
      <c r="F670" s="10">
        <f>CHOOSE(CONTROL!$C$42, 17.6734, 17.6734)*CHOOSE(CONTROL!$C$21, $C$9, 100%, $E$9)</f>
        <v>17.673400000000001</v>
      </c>
      <c r="G670" s="10">
        <f>CHOOSE(CONTROL!$C$42, 17.6896, 17.6896)*CHOOSE(CONTROL!$C$21, $C$9, 100%, $E$9)</f>
        <v>17.689599999999999</v>
      </c>
      <c r="H670" s="10">
        <f>CHOOSE(CONTROL!$C$42, 17.9142, 17.9142) * CHOOSE(CONTROL!$C$21, $C$9, 100%, $E$9)</f>
        <v>17.914200000000001</v>
      </c>
      <c r="I670" s="10">
        <f>CHOOSE(CONTROL!$C$42, 17.6941, 17.6941)* CHOOSE(CONTROL!$C$21, $C$9, 100%, $E$9)</f>
        <v>17.694099999999999</v>
      </c>
      <c r="J670" s="10">
        <f>CHOOSE(CONTROL!$C$42, 17.6664, 17.6664)* CHOOSE(CONTROL!$C$21, $C$9, 100%, $E$9)</f>
        <v>17.666399999999999</v>
      </c>
      <c r="K670" s="10">
        <f>CHOOSE(CONTROL!$C$42, 17.3269, 17.3269) * CHOOSE(CONTROL!$C$21, $C$9, 100%, $E$9)</f>
        <v>17.326899999999998</v>
      </c>
      <c r="L670" s="10">
        <f>CHOOSE(CONTROL!$C$42, 18.5012, 18.5012) * CHOOSE(CONTROL!$C$21, $C$9, 100%, $E$9)</f>
        <v>18.501200000000001</v>
      </c>
      <c r="M670" s="10">
        <f>CHOOSE(CONTROL!$C$42, 17.5019, 17.5019) * CHOOSE(CONTROL!$C$21, $C$9, 100%, $E$9)</f>
        <v>17.501899999999999</v>
      </c>
      <c r="N670" s="10">
        <f>CHOOSE(CONTROL!$C$42, 17.518, 17.518) * CHOOSE(CONTROL!$C$21, $C$9, 100%, $E$9)</f>
        <v>17.518000000000001</v>
      </c>
      <c r="O670" s="10">
        <f>CHOOSE(CONTROL!$C$42, 17.7473, 17.7473) * CHOOSE(CONTROL!$C$21, $C$9, 100%, $E$9)</f>
        <v>17.747299999999999</v>
      </c>
      <c r="P670" s="10">
        <f>CHOOSE(CONTROL!$C$42, 17.5294, 17.5294) * CHOOSE(CONTROL!$C$21, $C$9, 100%, $E$9)</f>
        <v>17.529399999999999</v>
      </c>
      <c r="Q670" s="10">
        <f>CHOOSE(CONTROL!$C$42, 18.3426, 18.3426) * CHOOSE(CONTROL!$C$21, $C$9, 100%, $E$9)</f>
        <v>18.342600000000001</v>
      </c>
      <c r="R670" s="10">
        <f>CHOOSE(CONTROL!$C$42, 18.9754, 18.9754) * CHOOSE(CONTROL!$C$21, $C$9, 100%, $E$9)</f>
        <v>18.9754</v>
      </c>
      <c r="S670" s="10">
        <f>CHOOSE(CONTROL!$C$42, 17.1935, 17.1935) * CHOOSE(CONTROL!$C$21, $C$9, 100%, $E$9)</f>
        <v>17.1935</v>
      </c>
      <c r="T6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38">
        <f>(1000*CHOOSE(CONTROL!$C$42, 695, 695)*CHOOSE(CONTROL!$C$42, 0.5599, 0.5599)*CHOOSE(CONTROL!$C$42, 31, 31))/1000000</f>
        <v>12.063045499999998</v>
      </c>
      <c r="V670" s="38">
        <f>(1000*CHOOSE(CONTROL!$C$42, 500, 500)*CHOOSE(CONTROL!$C$42, 0.275, 0.275)*CHOOSE(CONTROL!$C$42, 31, 31))/1000000</f>
        <v>4.2625000000000002</v>
      </c>
      <c r="W670" s="38">
        <f>(1000*CHOOSE(CONTROL!$C$42, 0.1146, 0.1146)*CHOOSE(CONTROL!$C$42, 121.5, 121.5)*CHOOSE(CONTROL!$C$42, 31, 31))/1000000</f>
        <v>0.43164089999999994</v>
      </c>
      <c r="X670" s="38">
        <f>(31*0.1790888*245000/1000000)+(31*0.2374*100000/1000000)</f>
        <v>2.0961194359999999</v>
      </c>
      <c r="Y670" s="38">
        <f>(1000*600*CHOOSE(CONTROL!$C$42, 1.0585, 1.0585)*CHOOSE(CONTROL!$C$42, 31, 31))/1000000</f>
        <v>19.688099999999999</v>
      </c>
      <c r="Z670" s="38"/>
      <c r="AA670" s="10"/>
      <c r="AB670" s="39"/>
      <c r="AC670" s="33">
        <f>(B670*131.881+C670*277.167+D670*79.08+E670*125.872+F670*40+G670*185+H670*0+I670*100+J670*300)/(131.881+277.167+79.08+125.872+0+40+185+100+300)</f>
        <v>17.727887013075058</v>
      </c>
      <c r="AD670" s="27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17.618007913669064</v>
      </c>
    </row>
    <row r="671" spans="1:30" ht="15.75" x14ac:dyDescent="0.25">
      <c r="A671" s="13">
        <v>61697</v>
      </c>
      <c r="B671" s="10">
        <f>CHOOSE(CONTROL!$C$42, 18.1738, 18.1738) * CHOOSE(CONTROL!$C$21, $C$9, 100%, $E$9)</f>
        <v>18.1738</v>
      </c>
      <c r="C671" s="10">
        <f>CHOOSE(CONTROL!$C$42, 18.1787, 18.1787) * CHOOSE(CONTROL!$C$21, $C$9, 100%, $E$9)</f>
        <v>18.178699999999999</v>
      </c>
      <c r="D671" s="10">
        <f>CHOOSE(CONTROL!$C$42, 18.2032, 18.2032) * CHOOSE(CONTROL!$C$21, $C$9, 100%, $E$9)</f>
        <v>18.203199999999999</v>
      </c>
      <c r="E671" s="10">
        <f>CHOOSE(CONTROL!$C$42, 18.237, 18.237) * CHOOSE(CONTROL!$C$21, $C$9, 100%, $E$9)</f>
        <v>18.236999999999998</v>
      </c>
      <c r="F671" s="10">
        <f>CHOOSE(CONTROL!$C$42, 18.1431, 18.1431)*CHOOSE(CONTROL!$C$21, $C$9, 100%, $E$9)</f>
        <v>18.1431</v>
      </c>
      <c r="G671" s="10">
        <f>CHOOSE(CONTROL!$C$42, 18.1595, 18.1595)*CHOOSE(CONTROL!$C$21, $C$9, 100%, $E$9)</f>
        <v>18.159500000000001</v>
      </c>
      <c r="H671" s="10">
        <f>CHOOSE(CONTROL!$C$42, 18.2262, 18.2262) * CHOOSE(CONTROL!$C$21, $C$9, 100%, $E$9)</f>
        <v>18.226199999999999</v>
      </c>
      <c r="I671" s="10">
        <f>CHOOSE(CONTROL!$C$42, 18.1606, 18.1606)* CHOOSE(CONTROL!$C$21, $C$9, 100%, $E$9)</f>
        <v>18.160599999999999</v>
      </c>
      <c r="J671" s="10">
        <f>CHOOSE(CONTROL!$C$42, 18.1361, 18.1361)* CHOOSE(CONTROL!$C$21, $C$9, 100%, $E$9)</f>
        <v>18.136099999999999</v>
      </c>
      <c r="K671" s="10">
        <f>CHOOSE(CONTROL!$C$42, 17.7816, 17.7816) * CHOOSE(CONTROL!$C$21, $C$9, 100%, $E$9)</f>
        <v>17.781600000000001</v>
      </c>
      <c r="L671" s="10">
        <f>CHOOSE(CONTROL!$C$42, 18.8132, 18.8132) * CHOOSE(CONTROL!$C$21, $C$9, 100%, $E$9)</f>
        <v>18.813199999999998</v>
      </c>
      <c r="M671" s="10">
        <f>CHOOSE(CONTROL!$C$42, 17.9669, 17.9669) * CHOOSE(CONTROL!$C$21, $C$9, 100%, $E$9)</f>
        <v>17.966899999999999</v>
      </c>
      <c r="N671" s="10">
        <f>CHOOSE(CONTROL!$C$42, 17.9832, 17.9832) * CHOOSE(CONTROL!$C$21, $C$9, 100%, $E$9)</f>
        <v>17.9832</v>
      </c>
      <c r="O671" s="10">
        <f>CHOOSE(CONTROL!$C$42, 18.0561, 18.0561) * CHOOSE(CONTROL!$C$21, $C$9, 100%, $E$9)</f>
        <v>18.056100000000001</v>
      </c>
      <c r="P671" s="10">
        <f>CHOOSE(CONTROL!$C$42, 17.9911, 17.9911) * CHOOSE(CONTROL!$C$21, $C$9, 100%, $E$9)</f>
        <v>17.991099999999999</v>
      </c>
      <c r="Q671" s="10">
        <f>CHOOSE(CONTROL!$C$42, 18.6514, 18.6514) * CHOOSE(CONTROL!$C$21, $C$9, 100%, $E$9)</f>
        <v>18.651399999999999</v>
      </c>
      <c r="R671" s="10">
        <f>CHOOSE(CONTROL!$C$42, 19.285, 19.285) * CHOOSE(CONTROL!$C$21, $C$9, 100%, $E$9)</f>
        <v>19.285</v>
      </c>
      <c r="S671" s="10">
        <f>CHOOSE(CONTROL!$C$42, 17.6464, 17.6464) * CHOOSE(CONTROL!$C$21, $C$9, 100%, $E$9)</f>
        <v>17.6464</v>
      </c>
      <c r="T6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38">
        <f>(1000*CHOOSE(CONTROL!$C$42, 695, 695)*CHOOSE(CONTROL!$C$42, 0.5599, 0.5599)*CHOOSE(CONTROL!$C$42, 30, 30))/1000000</f>
        <v>11.673914999999997</v>
      </c>
      <c r="V671" s="38">
        <f>(1000*CHOOSE(CONTROL!$C$42, 500, 500)*CHOOSE(CONTROL!$C$42, 0.275, 0.275)*CHOOSE(CONTROL!$C$42, 30, 30))/1000000</f>
        <v>4.125</v>
      </c>
      <c r="W671" s="38">
        <f>(1000*CHOOSE(CONTROL!$C$42, 0.1146, 0.1146)*CHOOSE(CONTROL!$C$42, 121.5, 121.5)*CHOOSE(CONTROL!$C$42, 30, 30))/1000000</f>
        <v>0.417717</v>
      </c>
      <c r="X671" s="38">
        <f>(30*0.1790888*100000/1000000)+(30*0.2374*100000/1000000)</f>
        <v>1.2494664</v>
      </c>
      <c r="Y671" s="38">
        <f>(1000*600*CHOOSE(CONTROL!$C$42, 1.0585, 1.0585)*CHOOSE(CONTROL!$C$42, 30, 30))/1000000</f>
        <v>19.053000000000001</v>
      </c>
      <c r="Z671" s="38"/>
      <c r="AA671" s="10"/>
      <c r="AB671" s="39"/>
      <c r="AC671" s="33">
        <f>(B671*122.58+C671*297.941+D671*89.177+E671*40.302+F671*40+G671*160+H671*0+I671*100+J671*300)/(122.58+297.941+89.177+40.302+0+40+160+100+300)</f>
        <v>18.165524174869567</v>
      </c>
      <c r="AD671" s="27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18.011748920863312</v>
      </c>
    </row>
    <row r="672" spans="1:30" ht="15.75" x14ac:dyDescent="0.25">
      <c r="A672" s="13">
        <v>61728</v>
      </c>
      <c r="B672" s="10">
        <f>CHOOSE(CONTROL!$C$42, 19.4127, 19.4127) * CHOOSE(CONTROL!$C$21, $C$9, 100%, $E$9)</f>
        <v>19.412700000000001</v>
      </c>
      <c r="C672" s="10">
        <f>CHOOSE(CONTROL!$C$42, 19.4176, 19.4176) * CHOOSE(CONTROL!$C$21, $C$9, 100%, $E$9)</f>
        <v>19.4176</v>
      </c>
      <c r="D672" s="10">
        <f>CHOOSE(CONTROL!$C$42, 19.4421, 19.4421) * CHOOSE(CONTROL!$C$21, $C$9, 100%, $E$9)</f>
        <v>19.4421</v>
      </c>
      <c r="E672" s="10">
        <f>CHOOSE(CONTROL!$C$42, 19.4759, 19.4759) * CHOOSE(CONTROL!$C$21, $C$9, 100%, $E$9)</f>
        <v>19.475899999999999</v>
      </c>
      <c r="F672" s="10">
        <f>CHOOSE(CONTROL!$C$42, 19.3843, 19.3843)*CHOOSE(CONTROL!$C$21, $C$9, 100%, $E$9)</f>
        <v>19.3843</v>
      </c>
      <c r="G672" s="10">
        <f>CHOOSE(CONTROL!$C$42, 19.4013, 19.4013)*CHOOSE(CONTROL!$C$21, $C$9, 100%, $E$9)</f>
        <v>19.401299999999999</v>
      </c>
      <c r="H672" s="10">
        <f>CHOOSE(CONTROL!$C$42, 19.465, 19.465) * CHOOSE(CONTROL!$C$21, $C$9, 100%, $E$9)</f>
        <v>19.465</v>
      </c>
      <c r="I672" s="10">
        <f>CHOOSE(CONTROL!$C$42, 19.3994, 19.3994)* CHOOSE(CONTROL!$C$21, $C$9, 100%, $E$9)</f>
        <v>19.3994</v>
      </c>
      <c r="J672" s="10">
        <f>CHOOSE(CONTROL!$C$42, 19.3773, 19.3773)* CHOOSE(CONTROL!$C$21, $C$9, 100%, $E$9)</f>
        <v>19.377300000000002</v>
      </c>
      <c r="K672" s="10">
        <f>CHOOSE(CONTROL!$C$42, 18.9902, 18.9902) * CHOOSE(CONTROL!$C$21, $C$9, 100%, $E$9)</f>
        <v>18.990200000000002</v>
      </c>
      <c r="L672" s="10">
        <f>CHOOSE(CONTROL!$C$42, 20.052, 20.052) * CHOOSE(CONTROL!$C$21, $C$9, 100%, $E$9)</f>
        <v>20.052</v>
      </c>
      <c r="M672" s="10">
        <f>CHOOSE(CONTROL!$C$42, 19.1956, 19.1956) * CHOOSE(CONTROL!$C$21, $C$9, 100%, $E$9)</f>
        <v>19.195599999999999</v>
      </c>
      <c r="N672" s="10">
        <f>CHOOSE(CONTROL!$C$42, 19.2124, 19.2124) * CHOOSE(CONTROL!$C$21, $C$9, 100%, $E$9)</f>
        <v>19.212399999999999</v>
      </c>
      <c r="O672" s="10">
        <f>CHOOSE(CONTROL!$C$42, 19.2824, 19.2824) * CHOOSE(CONTROL!$C$21, $C$9, 100%, $E$9)</f>
        <v>19.282399999999999</v>
      </c>
      <c r="P672" s="10">
        <f>CHOOSE(CONTROL!$C$42, 19.2175, 19.2175) * CHOOSE(CONTROL!$C$21, $C$9, 100%, $E$9)</f>
        <v>19.217500000000001</v>
      </c>
      <c r="Q672" s="10">
        <f>CHOOSE(CONTROL!$C$42, 19.8777, 19.8777) * CHOOSE(CONTROL!$C$21, $C$9, 100%, $E$9)</f>
        <v>19.877700000000001</v>
      </c>
      <c r="R672" s="10">
        <f>CHOOSE(CONTROL!$C$42, 20.5144, 20.5144) * CHOOSE(CONTROL!$C$21, $C$9, 100%, $E$9)</f>
        <v>20.514399999999998</v>
      </c>
      <c r="S672" s="10">
        <f>CHOOSE(CONTROL!$C$42, 18.8495, 18.8495) * CHOOSE(CONTROL!$C$21, $C$9, 100%, $E$9)</f>
        <v>18.849499999999999</v>
      </c>
      <c r="T6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38">
        <f>(1000*CHOOSE(CONTROL!$C$42, 695, 695)*CHOOSE(CONTROL!$C$42, 0.5599, 0.5599)*CHOOSE(CONTROL!$C$42, 31, 31))/1000000</f>
        <v>12.063045499999998</v>
      </c>
      <c r="V672" s="38">
        <f>(1000*CHOOSE(CONTROL!$C$42, 500, 500)*CHOOSE(CONTROL!$C$42, 0.275, 0.275)*CHOOSE(CONTROL!$C$42, 31, 31))/1000000</f>
        <v>4.2625000000000002</v>
      </c>
      <c r="W672" s="38">
        <f>(1000*CHOOSE(CONTROL!$C$42, 0.1146, 0.1146)*CHOOSE(CONTROL!$C$42, 121.5, 121.5)*CHOOSE(CONTROL!$C$42, 31, 31))/1000000</f>
        <v>0.43164089999999994</v>
      </c>
      <c r="X672" s="38">
        <f>(31*0.1790888*100000/1000000)+(31*0.2374*100000/1000000)</f>
        <v>1.2911152800000001</v>
      </c>
      <c r="Y672" s="38">
        <f>(1000*600*CHOOSE(CONTROL!$C$42, 1.0585, 1.0585)*CHOOSE(CONTROL!$C$42, 31, 31))/1000000</f>
        <v>19.688099999999999</v>
      </c>
      <c r="Z672" s="38"/>
      <c r="AA672" s="10"/>
      <c r="AB672" s="39"/>
      <c r="AC672" s="33">
        <f>(B672*122.58+C672*297.941+D672*89.177+E672*40.302+F672*40+G672*160+H672*0+I672*100+J672*300)/(122.58+297.941+89.177+40.302+0+40+160+100+300)</f>
        <v>19.405498957478262</v>
      </c>
      <c r="AD672" s="27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19.239058992805756</v>
      </c>
    </row>
    <row r="673" spans="1:30" ht="15.75" x14ac:dyDescent="0.25">
      <c r="A673" s="13">
        <v>61759</v>
      </c>
      <c r="B673" s="10">
        <f>CHOOSE(CONTROL!$C$42, 20.7227, 20.7227) * CHOOSE(CONTROL!$C$21, $C$9, 100%, $E$9)</f>
        <v>20.7227</v>
      </c>
      <c r="C673" s="10">
        <f>CHOOSE(CONTROL!$C$42, 20.7277, 20.7277) * CHOOSE(CONTROL!$C$21, $C$9, 100%, $E$9)</f>
        <v>20.727699999999999</v>
      </c>
      <c r="D673" s="10">
        <f>CHOOSE(CONTROL!$C$42, 20.7521, 20.7521) * CHOOSE(CONTROL!$C$21, $C$9, 100%, $E$9)</f>
        <v>20.752099999999999</v>
      </c>
      <c r="E673" s="10">
        <f>CHOOSE(CONTROL!$C$42, 20.7859, 20.7859) * CHOOSE(CONTROL!$C$21, $C$9, 100%, $E$9)</f>
        <v>20.785900000000002</v>
      </c>
      <c r="F673" s="10">
        <f>CHOOSE(CONTROL!$C$42, 20.7056, 20.7056)*CHOOSE(CONTROL!$C$21, $C$9, 100%, $E$9)</f>
        <v>20.7056</v>
      </c>
      <c r="G673" s="10">
        <f>CHOOSE(CONTROL!$C$42, 20.7243, 20.7243)*CHOOSE(CONTROL!$C$21, $C$9, 100%, $E$9)</f>
        <v>20.724299999999999</v>
      </c>
      <c r="H673" s="10">
        <f>CHOOSE(CONTROL!$C$42, 20.7751, 20.7751) * CHOOSE(CONTROL!$C$21, $C$9, 100%, $E$9)</f>
        <v>20.775099999999998</v>
      </c>
      <c r="I673" s="10">
        <f>CHOOSE(CONTROL!$C$42, 20.7172, 20.7172)* CHOOSE(CONTROL!$C$21, $C$9, 100%, $E$9)</f>
        <v>20.717199999999998</v>
      </c>
      <c r="J673" s="10">
        <f>CHOOSE(CONTROL!$C$42, 20.6986, 20.6986)* CHOOSE(CONTROL!$C$21, $C$9, 100%, $E$9)</f>
        <v>20.698599999999999</v>
      </c>
      <c r="K673" s="10">
        <f>CHOOSE(CONTROL!$C$42, 20.284, 20.284) * CHOOSE(CONTROL!$C$21, $C$9, 100%, $E$9)</f>
        <v>20.283999999999999</v>
      </c>
      <c r="L673" s="10">
        <f>CHOOSE(CONTROL!$C$42, 21.3621, 21.3621) * CHOOSE(CONTROL!$C$21, $C$9, 100%, $E$9)</f>
        <v>21.362100000000002</v>
      </c>
      <c r="M673" s="10">
        <f>CHOOSE(CONTROL!$C$42, 20.5036, 20.5036) * CHOOSE(CONTROL!$C$21, $C$9, 100%, $E$9)</f>
        <v>20.503599999999999</v>
      </c>
      <c r="N673" s="10">
        <f>CHOOSE(CONTROL!$C$42, 20.5221, 20.5221) * CHOOSE(CONTROL!$C$21, $C$9, 100%, $E$9)</f>
        <v>20.522099999999998</v>
      </c>
      <c r="O673" s="10">
        <f>CHOOSE(CONTROL!$C$42, 20.5793, 20.5793) * CHOOSE(CONTROL!$C$21, $C$9, 100%, $E$9)</f>
        <v>20.5793</v>
      </c>
      <c r="P673" s="10">
        <f>CHOOSE(CONTROL!$C$42, 20.522, 20.522) * CHOOSE(CONTROL!$C$21, $C$9, 100%, $E$9)</f>
        <v>20.521999999999998</v>
      </c>
      <c r="Q673" s="10">
        <f>CHOOSE(CONTROL!$C$42, 21.1746, 21.1746) * CHOOSE(CONTROL!$C$21, $C$9, 100%, $E$9)</f>
        <v>21.174600000000002</v>
      </c>
      <c r="R673" s="10">
        <f>CHOOSE(CONTROL!$C$42, 21.8145, 21.8145) * CHOOSE(CONTROL!$C$21, $C$9, 100%, $E$9)</f>
        <v>21.814499999999999</v>
      </c>
      <c r="S673" s="10">
        <f>CHOOSE(CONTROL!$C$42, 20.1217, 20.1217) * CHOOSE(CONTROL!$C$21, $C$9, 100%, $E$9)</f>
        <v>20.121700000000001</v>
      </c>
      <c r="T6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38">
        <f>(1000*CHOOSE(CONTROL!$C$42, 695, 695)*CHOOSE(CONTROL!$C$42, 0.5599, 0.5599)*CHOOSE(CONTROL!$C$42, 31, 31))/1000000</f>
        <v>12.063045499999998</v>
      </c>
      <c r="V673" s="38">
        <f>(1000*CHOOSE(CONTROL!$C$42, 500, 500)*CHOOSE(CONTROL!$C$42, 0.275, 0.275)*CHOOSE(CONTROL!$C$42, 31, 31))/1000000</f>
        <v>4.2625000000000002</v>
      </c>
      <c r="W673" s="38">
        <f>(1000*CHOOSE(CONTROL!$C$42, 0.1146, 0.1146)*CHOOSE(CONTROL!$C$42, 121.5, 121.5)*CHOOSE(CONTROL!$C$42, 31, 31))/1000000</f>
        <v>0.43164089999999994</v>
      </c>
      <c r="X673" s="38">
        <f>(31*0.1790888*100000/1000000)+(31*0.2374*100000/1000000)</f>
        <v>1.2911152800000001</v>
      </c>
      <c r="Y673" s="38">
        <f>(1000*600*CHOOSE(CONTROL!$C$42, 1.0585, 1.0585)*CHOOSE(CONTROL!$C$42, 31, 31))/1000000</f>
        <v>19.688099999999999</v>
      </c>
      <c r="Z673" s="38"/>
      <c r="AA673" s="10"/>
      <c r="AB673" s="39"/>
      <c r="AC673" s="33">
        <f>(B673*122.58+C673*297.941+D673*89.177+E673*40.302+F673*40+G673*160+H673*0+I673*100+J673*300)/(122.58+297.941+89.177+40.302+0+40+160+100+300)</f>
        <v>20.721352691478259</v>
      </c>
      <c r="AD673" s="27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20.541622302158277</v>
      </c>
    </row>
    <row r="674" spans="1:30" ht="15.75" x14ac:dyDescent="0.25">
      <c r="A674" s="13">
        <v>61787</v>
      </c>
      <c r="B674" s="10">
        <f>CHOOSE(CONTROL!$C$42, 21.0915, 21.0915) * CHOOSE(CONTROL!$C$21, $C$9, 100%, $E$9)</f>
        <v>21.0915</v>
      </c>
      <c r="C674" s="10">
        <f>CHOOSE(CONTROL!$C$42, 21.0965, 21.0965) * CHOOSE(CONTROL!$C$21, $C$9, 100%, $E$9)</f>
        <v>21.096499999999999</v>
      </c>
      <c r="D674" s="10">
        <f>CHOOSE(CONTROL!$C$42, 21.121, 21.121) * CHOOSE(CONTROL!$C$21, $C$9, 100%, $E$9)</f>
        <v>21.120999999999999</v>
      </c>
      <c r="E674" s="10">
        <f>CHOOSE(CONTROL!$C$42, 21.1547, 21.1547) * CHOOSE(CONTROL!$C$21, $C$9, 100%, $E$9)</f>
        <v>21.154699999999998</v>
      </c>
      <c r="F674" s="10">
        <f>CHOOSE(CONTROL!$C$42, 21.0738, 21.0738)*CHOOSE(CONTROL!$C$21, $C$9, 100%, $E$9)</f>
        <v>21.073799999999999</v>
      </c>
      <c r="G674" s="10">
        <f>CHOOSE(CONTROL!$C$42, 21.0923, 21.0923)*CHOOSE(CONTROL!$C$21, $C$9, 100%, $E$9)</f>
        <v>21.092300000000002</v>
      </c>
      <c r="H674" s="10">
        <f>CHOOSE(CONTROL!$C$42, 21.1439, 21.1439) * CHOOSE(CONTROL!$C$21, $C$9, 100%, $E$9)</f>
        <v>21.143899999999999</v>
      </c>
      <c r="I674" s="10">
        <f>CHOOSE(CONTROL!$C$42, 21.086, 21.086)* CHOOSE(CONTROL!$C$21, $C$9, 100%, $E$9)</f>
        <v>21.085999999999999</v>
      </c>
      <c r="J674" s="10">
        <f>CHOOSE(CONTROL!$C$42, 21.0668, 21.0668)* CHOOSE(CONTROL!$C$21, $C$9, 100%, $E$9)</f>
        <v>21.066800000000001</v>
      </c>
      <c r="K674" s="10">
        <f>CHOOSE(CONTROL!$C$42, 20.6409, 20.6409) * CHOOSE(CONTROL!$C$21, $C$9, 100%, $E$9)</f>
        <v>20.640899999999998</v>
      </c>
      <c r="L674" s="10">
        <f>CHOOSE(CONTROL!$C$42, 21.7309, 21.7309) * CHOOSE(CONTROL!$C$21, $C$9, 100%, $E$9)</f>
        <v>21.730899999999998</v>
      </c>
      <c r="M674" s="10">
        <f>CHOOSE(CONTROL!$C$42, 20.868, 20.868) * CHOOSE(CONTROL!$C$21, $C$9, 100%, $E$9)</f>
        <v>20.867999999999999</v>
      </c>
      <c r="N674" s="10">
        <f>CHOOSE(CONTROL!$C$42, 20.8863, 20.8863) * CHOOSE(CONTROL!$C$21, $C$9, 100%, $E$9)</f>
        <v>20.886299999999999</v>
      </c>
      <c r="O674" s="10">
        <f>CHOOSE(CONTROL!$C$42, 20.9444, 20.9444) * CHOOSE(CONTROL!$C$21, $C$9, 100%, $E$9)</f>
        <v>20.944400000000002</v>
      </c>
      <c r="P674" s="10">
        <f>CHOOSE(CONTROL!$C$42, 20.8871, 20.8871) * CHOOSE(CONTROL!$C$21, $C$9, 100%, $E$9)</f>
        <v>20.8871</v>
      </c>
      <c r="Q674" s="10">
        <f>CHOOSE(CONTROL!$C$42, 21.5397, 21.5397) * CHOOSE(CONTROL!$C$21, $C$9, 100%, $E$9)</f>
        <v>21.5397</v>
      </c>
      <c r="R674" s="10">
        <f>CHOOSE(CONTROL!$C$42, 22.1805, 22.1805) * CHOOSE(CONTROL!$C$21, $C$9, 100%, $E$9)</f>
        <v>22.180499999999999</v>
      </c>
      <c r="S674" s="10">
        <f>CHOOSE(CONTROL!$C$42, 20.4799, 20.4799) * CHOOSE(CONTROL!$C$21, $C$9, 100%, $E$9)</f>
        <v>20.479900000000001</v>
      </c>
      <c r="T6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74" s="38">
        <f>(1000*CHOOSE(CONTROL!$C$42, 695, 695)*CHOOSE(CONTROL!$C$42, 0.5599, 0.5599)*CHOOSE(CONTROL!$C$42, 28, 28))/1000000</f>
        <v>10.895653999999999</v>
      </c>
      <c r="V674" s="38">
        <f>(1000*CHOOSE(CONTROL!$C$42, 500, 500)*CHOOSE(CONTROL!$C$42, 0.275, 0.275)*CHOOSE(CONTROL!$C$42, 28, 28))/1000000</f>
        <v>3.85</v>
      </c>
      <c r="W674" s="38">
        <f>(1000*CHOOSE(CONTROL!$C$42, 0.1146, 0.1146)*CHOOSE(CONTROL!$C$42, 121.5, 121.5)*CHOOSE(CONTROL!$C$42, 28, 28))/1000000</f>
        <v>0.38986920000000003</v>
      </c>
      <c r="X674" s="38">
        <f>(28*0.1790888*100000/1000000)+(28*0.2374*100000/1000000)</f>
        <v>1.16616864</v>
      </c>
      <c r="Y674" s="38">
        <f>(1000*600*CHOOSE(CONTROL!$C$42, 1.0585, 1.0585)*CHOOSE(CONTROL!$C$42, 28, 28))/1000000</f>
        <v>17.782800000000002</v>
      </c>
      <c r="Z674" s="38"/>
      <c r="AA674" s="10"/>
      <c r="AB674" s="39"/>
      <c r="AC674" s="33">
        <f>(B674*122.58+C674*297.941+D674*89.177+E674*40.302+F674*40+G674*160+H674*0+I674*100+J674*300)/(122.58+297.941+89.177+40.302+0+40+160+100+300)</f>
        <v>21.089871750347825</v>
      </c>
      <c r="AD674" s="27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20.906428776978419</v>
      </c>
    </row>
    <row r="675" spans="1:30" ht="15.75" x14ac:dyDescent="0.25">
      <c r="A675" s="13">
        <v>61818</v>
      </c>
      <c r="B675" s="10">
        <f>CHOOSE(CONTROL!$C$42, 20.4928, 20.4928) * CHOOSE(CONTROL!$C$21, $C$9, 100%, $E$9)</f>
        <v>20.492799999999999</v>
      </c>
      <c r="C675" s="10">
        <f>CHOOSE(CONTROL!$C$42, 20.4978, 20.4978) * CHOOSE(CONTROL!$C$21, $C$9, 100%, $E$9)</f>
        <v>20.497800000000002</v>
      </c>
      <c r="D675" s="10">
        <f>CHOOSE(CONTROL!$C$42, 20.5222, 20.5222) * CHOOSE(CONTROL!$C$21, $C$9, 100%, $E$9)</f>
        <v>20.522200000000002</v>
      </c>
      <c r="E675" s="10">
        <f>CHOOSE(CONTROL!$C$42, 20.556, 20.556) * CHOOSE(CONTROL!$C$21, $C$9, 100%, $E$9)</f>
        <v>20.556000000000001</v>
      </c>
      <c r="F675" s="10">
        <f>CHOOSE(CONTROL!$C$42, 20.4735, 20.4735)*CHOOSE(CONTROL!$C$21, $C$9, 100%, $E$9)</f>
        <v>20.473500000000001</v>
      </c>
      <c r="G675" s="10">
        <f>CHOOSE(CONTROL!$C$42, 20.4916, 20.4916)*CHOOSE(CONTROL!$C$21, $C$9, 100%, $E$9)</f>
        <v>20.491599999999998</v>
      </c>
      <c r="H675" s="10">
        <f>CHOOSE(CONTROL!$C$42, 20.5452, 20.5452) * CHOOSE(CONTROL!$C$21, $C$9, 100%, $E$9)</f>
        <v>20.545200000000001</v>
      </c>
      <c r="I675" s="10">
        <f>CHOOSE(CONTROL!$C$42, 20.4873, 20.4873)* CHOOSE(CONTROL!$C$21, $C$9, 100%, $E$9)</f>
        <v>20.487300000000001</v>
      </c>
      <c r="J675" s="10">
        <f>CHOOSE(CONTROL!$C$42, 20.4665, 20.4665)* CHOOSE(CONTROL!$C$21, $C$9, 100%, $E$9)</f>
        <v>20.4665</v>
      </c>
      <c r="K675" s="10">
        <f>CHOOSE(CONTROL!$C$42, 20.0559, 20.0559) * CHOOSE(CONTROL!$C$21, $C$9, 100%, $E$9)</f>
        <v>20.055900000000001</v>
      </c>
      <c r="L675" s="10">
        <f>CHOOSE(CONTROL!$C$42, 21.1322, 21.1322) * CHOOSE(CONTROL!$C$21, $C$9, 100%, $E$9)</f>
        <v>21.132200000000001</v>
      </c>
      <c r="M675" s="10">
        <f>CHOOSE(CONTROL!$C$42, 20.2738, 20.2738) * CHOOSE(CONTROL!$C$21, $C$9, 100%, $E$9)</f>
        <v>20.273800000000001</v>
      </c>
      <c r="N675" s="10">
        <f>CHOOSE(CONTROL!$C$42, 20.2917, 20.2917) * CHOOSE(CONTROL!$C$21, $C$9, 100%, $E$9)</f>
        <v>20.291699999999999</v>
      </c>
      <c r="O675" s="10">
        <f>CHOOSE(CONTROL!$C$42, 20.3517, 20.3517) * CHOOSE(CONTROL!$C$21, $C$9, 100%, $E$9)</f>
        <v>20.351700000000001</v>
      </c>
      <c r="P675" s="10">
        <f>CHOOSE(CONTROL!$C$42, 20.2944, 20.2944) * CHOOSE(CONTROL!$C$21, $C$9, 100%, $E$9)</f>
        <v>20.2944</v>
      </c>
      <c r="Q675" s="10">
        <f>CHOOSE(CONTROL!$C$42, 20.947, 20.947) * CHOOSE(CONTROL!$C$21, $C$9, 100%, $E$9)</f>
        <v>20.946999999999999</v>
      </c>
      <c r="R675" s="10">
        <f>CHOOSE(CONTROL!$C$42, 21.5864, 21.5864) * CHOOSE(CONTROL!$C$21, $C$9, 100%, $E$9)</f>
        <v>21.586400000000001</v>
      </c>
      <c r="S675" s="10">
        <f>CHOOSE(CONTROL!$C$42, 19.8984, 19.8984) * CHOOSE(CONTROL!$C$21, $C$9, 100%, $E$9)</f>
        <v>19.898399999999999</v>
      </c>
      <c r="T6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38">
        <f>(1000*CHOOSE(CONTROL!$C$42, 695, 695)*CHOOSE(CONTROL!$C$42, 0.5599, 0.5599)*CHOOSE(CONTROL!$C$42, 31, 31))/1000000</f>
        <v>12.063045499999998</v>
      </c>
      <c r="V675" s="38">
        <f>(1000*CHOOSE(CONTROL!$C$42, 500, 500)*CHOOSE(CONTROL!$C$42, 0.275, 0.275)*CHOOSE(CONTROL!$C$42, 31, 31))/1000000</f>
        <v>4.2625000000000002</v>
      </c>
      <c r="W675" s="38">
        <f>(1000*CHOOSE(CONTROL!$C$42, 0.1146, 0.1146)*CHOOSE(CONTROL!$C$42, 121.5, 121.5)*CHOOSE(CONTROL!$C$42, 31, 31))/1000000</f>
        <v>0.43164089999999994</v>
      </c>
      <c r="X675" s="38">
        <f>(31*0.1790888*100000/1000000)+(31*0.2374*100000/1000000)</f>
        <v>1.2911152800000001</v>
      </c>
      <c r="Y675" s="38">
        <f>(1000*600*CHOOSE(CONTROL!$C$42, 1.0585, 1.0585)*CHOOSE(CONTROL!$C$42, 31, 31))/1000000</f>
        <v>19.688099999999999</v>
      </c>
      <c r="Z675" s="38"/>
      <c r="AA675" s="10"/>
      <c r="AB675" s="39"/>
      <c r="AC675" s="33">
        <f>(B675*122.58+C675*297.941+D675*89.177+E675*40.302+F675*40+G675*160+H675*0+I675*100+J675*300)/(122.58+297.941+89.177+40.302+0+40+160+100+300)</f>
        <v>20.490412691478262</v>
      </c>
      <c r="AD675" s="27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20.313101438848921</v>
      </c>
    </row>
    <row r="676" spans="1:30" ht="15.75" x14ac:dyDescent="0.25">
      <c r="A676" s="13">
        <v>61848</v>
      </c>
      <c r="B676" s="10">
        <f>CHOOSE(CONTROL!$C$42, 20.4323, 20.4323) * CHOOSE(CONTROL!$C$21, $C$9, 100%, $E$9)</f>
        <v>20.432300000000001</v>
      </c>
      <c r="C676" s="10">
        <f>CHOOSE(CONTROL!$C$42, 20.4366, 20.4366) * CHOOSE(CONTROL!$C$21, $C$9, 100%, $E$9)</f>
        <v>20.436599999999999</v>
      </c>
      <c r="D676" s="10">
        <f>CHOOSE(CONTROL!$C$42, 20.6168, 20.6168) * CHOOSE(CONTROL!$C$21, $C$9, 100%, $E$9)</f>
        <v>20.616800000000001</v>
      </c>
      <c r="E676" s="10">
        <f>CHOOSE(CONTROL!$C$42, 20.6485, 20.6485) * CHOOSE(CONTROL!$C$21, $C$9, 100%, $E$9)</f>
        <v>20.648499999999999</v>
      </c>
      <c r="F676" s="10">
        <f>CHOOSE(CONTROL!$C$42, 20.3976, 20.3976)*CHOOSE(CONTROL!$C$21, $C$9, 100%, $E$9)</f>
        <v>20.397600000000001</v>
      </c>
      <c r="G676" s="10">
        <f>CHOOSE(CONTROL!$C$42, 20.4138, 20.4138)*CHOOSE(CONTROL!$C$21, $C$9, 100%, $E$9)</f>
        <v>20.413799999999998</v>
      </c>
      <c r="H676" s="10">
        <f>CHOOSE(CONTROL!$C$42, 20.6383, 20.6383) * CHOOSE(CONTROL!$C$21, $C$9, 100%, $E$9)</f>
        <v>20.638300000000001</v>
      </c>
      <c r="I676" s="10">
        <f>CHOOSE(CONTROL!$C$42, 20.4182, 20.4182)* CHOOSE(CONTROL!$C$21, $C$9, 100%, $E$9)</f>
        <v>20.418199999999999</v>
      </c>
      <c r="J676" s="10">
        <f>CHOOSE(CONTROL!$C$42, 20.3906, 20.3906)* CHOOSE(CONTROL!$C$21, $C$9, 100%, $E$9)</f>
        <v>20.390599999999999</v>
      </c>
      <c r="K676" s="10">
        <f>CHOOSE(CONTROL!$C$42, 19.9738, 19.9738) * CHOOSE(CONTROL!$C$21, $C$9, 100%, $E$9)</f>
        <v>19.973800000000001</v>
      </c>
      <c r="L676" s="10">
        <f>CHOOSE(CONTROL!$C$42, 21.2253, 21.2253) * CHOOSE(CONTROL!$C$21, $C$9, 100%, $E$9)</f>
        <v>21.225300000000001</v>
      </c>
      <c r="M676" s="10">
        <f>CHOOSE(CONTROL!$C$42, 20.1986, 20.1986) * CHOOSE(CONTROL!$C$21, $C$9, 100%, $E$9)</f>
        <v>20.198599999999999</v>
      </c>
      <c r="N676" s="10">
        <f>CHOOSE(CONTROL!$C$42, 20.2147, 20.2147) * CHOOSE(CONTROL!$C$21, $C$9, 100%, $E$9)</f>
        <v>20.214700000000001</v>
      </c>
      <c r="O676" s="10">
        <f>CHOOSE(CONTROL!$C$42, 20.4439, 20.4439) * CHOOSE(CONTROL!$C$21, $C$9, 100%, $E$9)</f>
        <v>20.443899999999999</v>
      </c>
      <c r="P676" s="10">
        <f>CHOOSE(CONTROL!$C$42, 20.2261, 20.2261) * CHOOSE(CONTROL!$C$21, $C$9, 100%, $E$9)</f>
        <v>20.226099999999999</v>
      </c>
      <c r="Q676" s="10">
        <f>CHOOSE(CONTROL!$C$42, 21.0392, 21.0392) * CHOOSE(CONTROL!$C$21, $C$9, 100%, $E$9)</f>
        <v>21.039200000000001</v>
      </c>
      <c r="R676" s="10">
        <f>CHOOSE(CONTROL!$C$42, 21.6788, 21.6788) * CHOOSE(CONTROL!$C$21, $C$9, 100%, $E$9)</f>
        <v>21.678799999999999</v>
      </c>
      <c r="S676" s="10">
        <f>CHOOSE(CONTROL!$C$42, 19.8389, 19.8389) * CHOOSE(CONTROL!$C$21, $C$9, 100%, $E$9)</f>
        <v>19.838899999999999</v>
      </c>
      <c r="T6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38">
        <f>(1000*CHOOSE(CONTROL!$C$42, 695, 695)*CHOOSE(CONTROL!$C$42, 0.5599, 0.5599)*CHOOSE(CONTROL!$C$42, 30, 30))/1000000</f>
        <v>11.673914999999997</v>
      </c>
      <c r="V676" s="38">
        <f>(1000*CHOOSE(CONTROL!$C$42, 500, 500)*CHOOSE(CONTROL!$C$42, 0.275, 0.275)*CHOOSE(CONTROL!$C$42, 30, 30))/1000000</f>
        <v>4.125</v>
      </c>
      <c r="W676" s="38">
        <f>(1000*CHOOSE(CONTROL!$C$42, 0.1146, 0.1146)*CHOOSE(CONTROL!$C$42, 121.5, 121.5)*CHOOSE(CONTROL!$C$42, 30, 30))/1000000</f>
        <v>0.417717</v>
      </c>
      <c r="X676" s="38">
        <f>(30*0.1790888*245000/1000000)+(30*0.2374*100000/1000000)</f>
        <v>2.0285026799999999</v>
      </c>
      <c r="Y676" s="38">
        <f>(1000*600*CHOOSE(CONTROL!$C$42, 1.0585, 1.0585)*CHOOSE(CONTROL!$C$42, 30, 30))/1000000</f>
        <v>19.053000000000001</v>
      </c>
      <c r="Z676" s="38"/>
      <c r="AA676" s="10"/>
      <c r="AB676" s="39"/>
      <c r="AC676" s="33">
        <f>(B676*141.293+C676*267.993+D676*115.016+E676*89.698+F676*40+G676*185+H676*0+I676*100+J676*300)/(141.293+267.993+115.016+89.698+0+40+185+100+300)</f>
        <v>20.450891629943502</v>
      </c>
      <c r="AD676" s="27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20.314662589928059</v>
      </c>
    </row>
    <row r="677" spans="1:30" ht="15.75" x14ac:dyDescent="0.25">
      <c r="A677" s="13">
        <v>61879</v>
      </c>
      <c r="B677" s="10">
        <f>CHOOSE(CONTROL!$C$42, 20.6143, 20.6143) * CHOOSE(CONTROL!$C$21, $C$9, 100%, $E$9)</f>
        <v>20.6143</v>
      </c>
      <c r="C677" s="10">
        <f>CHOOSE(CONTROL!$C$42, 20.6223, 20.6223) * CHOOSE(CONTROL!$C$21, $C$9, 100%, $E$9)</f>
        <v>20.622299999999999</v>
      </c>
      <c r="D677" s="10">
        <f>CHOOSE(CONTROL!$C$42, 20.7993, 20.7993) * CHOOSE(CONTROL!$C$21, $C$9, 100%, $E$9)</f>
        <v>20.799299999999999</v>
      </c>
      <c r="E677" s="10">
        <f>CHOOSE(CONTROL!$C$42, 20.8304, 20.8304) * CHOOSE(CONTROL!$C$21, $C$9, 100%, $E$9)</f>
        <v>20.830400000000001</v>
      </c>
      <c r="F677" s="10">
        <f>CHOOSE(CONTROL!$C$42, 20.5777, 20.5777)*CHOOSE(CONTROL!$C$21, $C$9, 100%, $E$9)</f>
        <v>20.5777</v>
      </c>
      <c r="G677" s="10">
        <f>CHOOSE(CONTROL!$C$42, 20.5942, 20.5942)*CHOOSE(CONTROL!$C$21, $C$9, 100%, $E$9)</f>
        <v>20.594200000000001</v>
      </c>
      <c r="H677" s="10">
        <f>CHOOSE(CONTROL!$C$42, 20.819, 20.819) * CHOOSE(CONTROL!$C$21, $C$9, 100%, $E$9)</f>
        <v>20.818999999999999</v>
      </c>
      <c r="I677" s="10">
        <f>CHOOSE(CONTROL!$C$42, 20.5989, 20.5989)* CHOOSE(CONTROL!$C$21, $C$9, 100%, $E$9)</f>
        <v>20.5989</v>
      </c>
      <c r="J677" s="10">
        <f>CHOOSE(CONTROL!$C$42, 20.5707, 20.5707)* CHOOSE(CONTROL!$C$21, $C$9, 100%, $E$9)</f>
        <v>20.570699999999999</v>
      </c>
      <c r="K677" s="10">
        <f>CHOOSE(CONTROL!$C$42, 20.1481, 20.1481) * CHOOSE(CONTROL!$C$21, $C$9, 100%, $E$9)</f>
        <v>20.148099999999999</v>
      </c>
      <c r="L677" s="10">
        <f>CHOOSE(CONTROL!$C$42, 21.406, 21.406) * CHOOSE(CONTROL!$C$21, $C$9, 100%, $E$9)</f>
        <v>21.405999999999999</v>
      </c>
      <c r="M677" s="10">
        <f>CHOOSE(CONTROL!$C$42, 20.3769, 20.3769) * CHOOSE(CONTROL!$C$21, $C$9, 100%, $E$9)</f>
        <v>20.376899999999999</v>
      </c>
      <c r="N677" s="10">
        <f>CHOOSE(CONTROL!$C$42, 20.3933, 20.3933) * CHOOSE(CONTROL!$C$21, $C$9, 100%, $E$9)</f>
        <v>20.3933</v>
      </c>
      <c r="O677" s="10">
        <f>CHOOSE(CONTROL!$C$42, 20.6227, 20.6227) * CHOOSE(CONTROL!$C$21, $C$9, 100%, $E$9)</f>
        <v>20.622699999999998</v>
      </c>
      <c r="P677" s="10">
        <f>CHOOSE(CONTROL!$C$42, 20.4049, 20.4049) * CHOOSE(CONTROL!$C$21, $C$9, 100%, $E$9)</f>
        <v>20.404900000000001</v>
      </c>
      <c r="Q677" s="10">
        <f>CHOOSE(CONTROL!$C$42, 21.218, 21.218) * CHOOSE(CONTROL!$C$21, $C$9, 100%, $E$9)</f>
        <v>21.218</v>
      </c>
      <c r="R677" s="10">
        <f>CHOOSE(CONTROL!$C$42, 21.8581, 21.8581) * CHOOSE(CONTROL!$C$21, $C$9, 100%, $E$9)</f>
        <v>21.8581</v>
      </c>
      <c r="S677" s="10">
        <f>CHOOSE(CONTROL!$C$42, 20.0143, 20.0143) * CHOOSE(CONTROL!$C$21, $C$9, 100%, $E$9)</f>
        <v>20.014299999999999</v>
      </c>
      <c r="T6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38">
        <f>(1000*CHOOSE(CONTROL!$C$42, 695, 695)*CHOOSE(CONTROL!$C$42, 0.5599, 0.5599)*CHOOSE(CONTROL!$C$42, 31, 31))/1000000</f>
        <v>12.063045499999998</v>
      </c>
      <c r="V677" s="38">
        <f>(1000*CHOOSE(CONTROL!$C$42, 500, 500)*CHOOSE(CONTROL!$C$42, 0.275, 0.275)*CHOOSE(CONTROL!$C$42, 31, 31))/1000000</f>
        <v>4.2625000000000002</v>
      </c>
      <c r="W677" s="38">
        <f>(1000*CHOOSE(CONTROL!$C$42, 0.1146, 0.1146)*CHOOSE(CONTROL!$C$42, 121.5, 121.5)*CHOOSE(CONTROL!$C$42, 31, 31))/1000000</f>
        <v>0.43164089999999994</v>
      </c>
      <c r="X677" s="38">
        <f>(31*0.1790888*245000/1000000)+(31*0.2374*100000/1000000)</f>
        <v>2.0961194359999999</v>
      </c>
      <c r="Y677" s="38">
        <f>(1000*600*CHOOSE(CONTROL!$C$42, 1.0585, 1.0585)*CHOOSE(CONTROL!$C$42, 31, 31))/1000000</f>
        <v>19.688099999999999</v>
      </c>
      <c r="Z677" s="38"/>
      <c r="AA677" s="10"/>
      <c r="AB677" s="39"/>
      <c r="AC677" s="33">
        <f>(B677*194.205+C677*267.466+D677*133.845+E677*53.484+F677*40+G677*185+H677*0+I677*100+J677*300)/(194.205+267.466+133.845+53.484+0+40+185+100+300)</f>
        <v>20.628943991679748</v>
      </c>
      <c r="AD677" s="27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20.493278417266186</v>
      </c>
    </row>
    <row r="678" spans="1:30" ht="15.75" x14ac:dyDescent="0.25">
      <c r="A678" s="13">
        <v>61909</v>
      </c>
      <c r="B678" s="10">
        <f>CHOOSE(CONTROL!$C$42, 21.1989, 21.1989) * CHOOSE(CONTROL!$C$21, $C$9, 100%, $E$9)</f>
        <v>21.198899999999998</v>
      </c>
      <c r="C678" s="10">
        <f>CHOOSE(CONTROL!$C$42, 21.2069, 21.2069) * CHOOSE(CONTROL!$C$21, $C$9, 100%, $E$9)</f>
        <v>21.206900000000001</v>
      </c>
      <c r="D678" s="10">
        <f>CHOOSE(CONTROL!$C$42, 21.3839, 21.3839) * CHOOSE(CONTROL!$C$21, $C$9, 100%, $E$9)</f>
        <v>21.383900000000001</v>
      </c>
      <c r="E678" s="10">
        <f>CHOOSE(CONTROL!$C$42, 21.415, 21.415) * CHOOSE(CONTROL!$C$21, $C$9, 100%, $E$9)</f>
        <v>21.414999999999999</v>
      </c>
      <c r="F678" s="10">
        <f>CHOOSE(CONTROL!$C$42, 21.1625, 21.1625)*CHOOSE(CONTROL!$C$21, $C$9, 100%, $E$9)</f>
        <v>21.162500000000001</v>
      </c>
      <c r="G678" s="10">
        <f>CHOOSE(CONTROL!$C$42, 21.179, 21.179)*CHOOSE(CONTROL!$C$21, $C$9, 100%, $E$9)</f>
        <v>21.178999999999998</v>
      </c>
      <c r="H678" s="10">
        <f>CHOOSE(CONTROL!$C$42, 21.4036, 21.4036) * CHOOSE(CONTROL!$C$21, $C$9, 100%, $E$9)</f>
        <v>21.403600000000001</v>
      </c>
      <c r="I678" s="10">
        <f>CHOOSE(CONTROL!$C$42, 21.1835, 21.1835)* CHOOSE(CONTROL!$C$21, $C$9, 100%, $E$9)</f>
        <v>21.183499999999999</v>
      </c>
      <c r="J678" s="10">
        <f>CHOOSE(CONTROL!$C$42, 21.1555, 21.1555)* CHOOSE(CONTROL!$C$21, $C$9, 100%, $E$9)</f>
        <v>21.1555</v>
      </c>
      <c r="K678" s="10">
        <f>CHOOSE(CONTROL!$C$42, 20.7165, 20.7165) * CHOOSE(CONTROL!$C$21, $C$9, 100%, $E$9)</f>
        <v>20.7165</v>
      </c>
      <c r="L678" s="10">
        <f>CHOOSE(CONTROL!$C$42, 21.9906, 21.9906) * CHOOSE(CONTROL!$C$21, $C$9, 100%, $E$9)</f>
        <v>21.990600000000001</v>
      </c>
      <c r="M678" s="10">
        <f>CHOOSE(CONTROL!$C$42, 20.9558, 20.9558) * CHOOSE(CONTROL!$C$21, $C$9, 100%, $E$9)</f>
        <v>20.9558</v>
      </c>
      <c r="N678" s="10">
        <f>CHOOSE(CONTROL!$C$42, 20.9722, 20.9722) * CHOOSE(CONTROL!$C$21, $C$9, 100%, $E$9)</f>
        <v>20.972200000000001</v>
      </c>
      <c r="O678" s="10">
        <f>CHOOSE(CONTROL!$C$42, 21.2014, 21.2014) * CHOOSE(CONTROL!$C$21, $C$9, 100%, $E$9)</f>
        <v>21.2014</v>
      </c>
      <c r="P678" s="10">
        <f>CHOOSE(CONTROL!$C$42, 20.9836, 20.9836) * CHOOSE(CONTROL!$C$21, $C$9, 100%, $E$9)</f>
        <v>20.983599999999999</v>
      </c>
      <c r="Q678" s="10">
        <f>CHOOSE(CONTROL!$C$42, 21.7967, 21.7967) * CHOOSE(CONTROL!$C$21, $C$9, 100%, $E$9)</f>
        <v>21.796700000000001</v>
      </c>
      <c r="R678" s="10">
        <f>CHOOSE(CONTROL!$C$42, 22.4382, 22.4382) * CHOOSE(CONTROL!$C$21, $C$9, 100%, $E$9)</f>
        <v>22.438199999999998</v>
      </c>
      <c r="S678" s="10">
        <f>CHOOSE(CONTROL!$C$42, 20.582, 20.582) * CHOOSE(CONTROL!$C$21, $C$9, 100%, $E$9)</f>
        <v>20.582000000000001</v>
      </c>
      <c r="T6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38">
        <f>(1000*CHOOSE(CONTROL!$C$42, 695, 695)*CHOOSE(CONTROL!$C$42, 0.5599, 0.5599)*CHOOSE(CONTROL!$C$42, 30, 30))/1000000</f>
        <v>11.673914999999997</v>
      </c>
      <c r="V678" s="38">
        <f>(1000*CHOOSE(CONTROL!$C$42, 500, 500)*CHOOSE(CONTROL!$C$42, 0.275, 0.275)*CHOOSE(CONTROL!$C$42, 30, 30))/1000000</f>
        <v>4.125</v>
      </c>
      <c r="W678" s="38">
        <f>(1000*CHOOSE(CONTROL!$C$42, 0.1146, 0.1146)*CHOOSE(CONTROL!$C$42, 121.5, 121.5)*CHOOSE(CONTROL!$C$42, 30, 30))/1000000</f>
        <v>0.417717</v>
      </c>
      <c r="X678" s="38">
        <f>(30*0.1790888*245000/1000000)+(30*0.2374*100000/1000000)</f>
        <v>2.0285026799999999</v>
      </c>
      <c r="Y678" s="38">
        <f>(1000*600*CHOOSE(CONTROL!$C$42, 1.0585, 1.0585)*CHOOSE(CONTROL!$C$42, 30, 30))/1000000</f>
        <v>19.053000000000001</v>
      </c>
      <c r="Z678" s="38"/>
      <c r="AA678" s="10"/>
      <c r="AB678" s="39"/>
      <c r="AC678" s="33">
        <f>(B678*194.205+C678*267.466+D678*133.845+E678*53.484+F678*40+G678*185+H678*0+I678*100+J678*300)/(194.205+267.466+133.845+53.484+0+40+185+100+300)</f>
        <v>21.213626409262165</v>
      </c>
      <c r="AD678" s="27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21.072058992805754</v>
      </c>
    </row>
    <row r="679" spans="1:30" ht="15.75" x14ac:dyDescent="0.25">
      <c r="A679" s="13">
        <v>61940</v>
      </c>
      <c r="B679" s="10">
        <f>CHOOSE(CONTROL!$C$42, 20.7924, 20.7924) * CHOOSE(CONTROL!$C$21, $C$9, 100%, $E$9)</f>
        <v>20.792400000000001</v>
      </c>
      <c r="C679" s="10">
        <f>CHOOSE(CONTROL!$C$42, 20.8003, 20.8003) * CHOOSE(CONTROL!$C$21, $C$9, 100%, $E$9)</f>
        <v>20.8003</v>
      </c>
      <c r="D679" s="10">
        <f>CHOOSE(CONTROL!$C$42, 20.9773, 20.9773) * CHOOSE(CONTROL!$C$21, $C$9, 100%, $E$9)</f>
        <v>20.9773</v>
      </c>
      <c r="E679" s="10">
        <f>CHOOSE(CONTROL!$C$42, 21.0084, 21.0084) * CHOOSE(CONTROL!$C$21, $C$9, 100%, $E$9)</f>
        <v>21.008400000000002</v>
      </c>
      <c r="F679" s="10">
        <f>CHOOSE(CONTROL!$C$42, 20.7561, 20.7561)*CHOOSE(CONTROL!$C$21, $C$9, 100%, $E$9)</f>
        <v>20.7561</v>
      </c>
      <c r="G679" s="10">
        <f>CHOOSE(CONTROL!$C$42, 20.7727, 20.7727)*CHOOSE(CONTROL!$C$21, $C$9, 100%, $E$9)</f>
        <v>20.7727</v>
      </c>
      <c r="H679" s="10">
        <f>CHOOSE(CONTROL!$C$42, 20.997, 20.997) * CHOOSE(CONTROL!$C$21, $C$9, 100%, $E$9)</f>
        <v>20.997</v>
      </c>
      <c r="I679" s="10">
        <f>CHOOSE(CONTROL!$C$42, 20.7769, 20.7769)* CHOOSE(CONTROL!$C$21, $C$9, 100%, $E$9)</f>
        <v>20.776900000000001</v>
      </c>
      <c r="J679" s="10">
        <f>CHOOSE(CONTROL!$C$42, 20.7491, 20.7491)* CHOOSE(CONTROL!$C$21, $C$9, 100%, $E$9)</f>
        <v>20.749099999999999</v>
      </c>
      <c r="K679" s="10">
        <f>CHOOSE(CONTROL!$C$42, 20.322, 20.322) * CHOOSE(CONTROL!$C$21, $C$9, 100%, $E$9)</f>
        <v>20.321999999999999</v>
      </c>
      <c r="L679" s="10">
        <f>CHOOSE(CONTROL!$C$42, 21.584, 21.584) * CHOOSE(CONTROL!$C$21, $C$9, 100%, $E$9)</f>
        <v>21.584</v>
      </c>
      <c r="M679" s="10">
        <f>CHOOSE(CONTROL!$C$42, 20.5536, 20.5536) * CHOOSE(CONTROL!$C$21, $C$9, 100%, $E$9)</f>
        <v>20.553599999999999</v>
      </c>
      <c r="N679" s="10">
        <f>CHOOSE(CONTROL!$C$42, 20.57, 20.57) * CHOOSE(CONTROL!$C$21, $C$9, 100%, $E$9)</f>
        <v>20.57</v>
      </c>
      <c r="O679" s="10">
        <f>CHOOSE(CONTROL!$C$42, 20.799, 20.799) * CHOOSE(CONTROL!$C$21, $C$9, 100%, $E$9)</f>
        <v>20.798999999999999</v>
      </c>
      <c r="P679" s="10">
        <f>CHOOSE(CONTROL!$C$42, 20.5811, 20.5811) * CHOOSE(CONTROL!$C$21, $C$9, 100%, $E$9)</f>
        <v>20.581099999999999</v>
      </c>
      <c r="Q679" s="10">
        <f>CHOOSE(CONTROL!$C$42, 21.3943, 21.3943) * CHOOSE(CONTROL!$C$21, $C$9, 100%, $E$9)</f>
        <v>21.394300000000001</v>
      </c>
      <c r="R679" s="10">
        <f>CHOOSE(CONTROL!$C$42, 22.0347, 22.0347) * CHOOSE(CONTROL!$C$21, $C$9, 100%, $E$9)</f>
        <v>22.034700000000001</v>
      </c>
      <c r="S679" s="10">
        <f>CHOOSE(CONTROL!$C$42, 20.1872, 20.1872) * CHOOSE(CONTROL!$C$21, $C$9, 100%, $E$9)</f>
        <v>20.187200000000001</v>
      </c>
      <c r="T6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38">
        <f>(1000*CHOOSE(CONTROL!$C$42, 695, 695)*CHOOSE(CONTROL!$C$42, 0.5599, 0.5599)*CHOOSE(CONTROL!$C$42, 31, 31))/1000000</f>
        <v>12.063045499999998</v>
      </c>
      <c r="V679" s="38">
        <f>(1000*CHOOSE(CONTROL!$C$42, 500, 500)*CHOOSE(CONTROL!$C$42, 0.275, 0.275)*CHOOSE(CONTROL!$C$42, 31, 31))/1000000</f>
        <v>4.2625000000000002</v>
      </c>
      <c r="W679" s="38">
        <f>(1000*CHOOSE(CONTROL!$C$42, 0.1146, 0.1146)*CHOOSE(CONTROL!$C$42, 121.5, 121.5)*CHOOSE(CONTROL!$C$42, 31, 31))/1000000</f>
        <v>0.43164089999999994</v>
      </c>
      <c r="X679" s="38">
        <f>(31*0.1790888*245000/1000000)+(31*0.2374*100000/1000000)</f>
        <v>2.0961194359999999</v>
      </c>
      <c r="Y679" s="38">
        <f>(1000*600*CHOOSE(CONTROL!$C$42, 1.0585, 1.0585)*CHOOSE(CONTROL!$C$42, 31, 31))/1000000</f>
        <v>19.688099999999999</v>
      </c>
      <c r="Z679" s="38"/>
      <c r="AA679" s="10"/>
      <c r="AB679" s="39"/>
      <c r="AC679" s="33">
        <f>(B679*194.205+C679*267.466+D679*133.845+E679*53.484+F679*40+G679*185+H679*0+I679*100+J679*300)/(194.205+267.466+133.845+53.484+0+40+185+100+300)</f>
        <v>20.807138591758243</v>
      </c>
      <c r="AD679" s="27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20.669725179856112</v>
      </c>
    </row>
    <row r="680" spans="1:30" ht="15.75" x14ac:dyDescent="0.25">
      <c r="A680" s="13">
        <v>61971</v>
      </c>
      <c r="B680" s="10">
        <f>CHOOSE(CONTROL!$C$42, 19.7656, 19.7656) * CHOOSE(CONTROL!$C$21, $C$9, 100%, $E$9)</f>
        <v>19.765599999999999</v>
      </c>
      <c r="C680" s="10">
        <f>CHOOSE(CONTROL!$C$42, 19.7735, 19.7735) * CHOOSE(CONTROL!$C$21, $C$9, 100%, $E$9)</f>
        <v>19.773499999999999</v>
      </c>
      <c r="D680" s="10">
        <f>CHOOSE(CONTROL!$C$42, 19.9505, 19.9505) * CHOOSE(CONTROL!$C$21, $C$9, 100%, $E$9)</f>
        <v>19.950500000000002</v>
      </c>
      <c r="E680" s="10">
        <f>CHOOSE(CONTROL!$C$42, 19.9816, 19.9816) * CHOOSE(CONTROL!$C$21, $C$9, 100%, $E$9)</f>
        <v>19.9816</v>
      </c>
      <c r="F680" s="10">
        <f>CHOOSE(CONTROL!$C$42, 19.7294, 19.7294)*CHOOSE(CONTROL!$C$21, $C$9, 100%, $E$9)</f>
        <v>19.729399999999998</v>
      </c>
      <c r="G680" s="10">
        <f>CHOOSE(CONTROL!$C$42, 19.746, 19.746)*CHOOSE(CONTROL!$C$21, $C$9, 100%, $E$9)</f>
        <v>19.745999999999999</v>
      </c>
      <c r="H680" s="10">
        <f>CHOOSE(CONTROL!$C$42, 19.9703, 19.9703) * CHOOSE(CONTROL!$C$21, $C$9, 100%, $E$9)</f>
        <v>19.970300000000002</v>
      </c>
      <c r="I680" s="10">
        <f>CHOOSE(CONTROL!$C$42, 19.7502, 19.7502)* CHOOSE(CONTROL!$C$21, $C$9, 100%, $E$9)</f>
        <v>19.7502</v>
      </c>
      <c r="J680" s="10">
        <f>CHOOSE(CONTROL!$C$42, 19.7224, 19.7224)* CHOOSE(CONTROL!$C$21, $C$9, 100%, $E$9)</f>
        <v>19.7224</v>
      </c>
      <c r="K680" s="10">
        <f>CHOOSE(CONTROL!$C$42, 19.3245, 19.3245) * CHOOSE(CONTROL!$C$21, $C$9, 100%, $E$9)</f>
        <v>19.3245</v>
      </c>
      <c r="L680" s="10">
        <f>CHOOSE(CONTROL!$C$42, 20.5573, 20.5573) * CHOOSE(CONTROL!$C$21, $C$9, 100%, $E$9)</f>
        <v>20.557300000000001</v>
      </c>
      <c r="M680" s="10">
        <f>CHOOSE(CONTROL!$C$42, 19.5372, 19.5372) * CHOOSE(CONTROL!$C$21, $C$9, 100%, $E$9)</f>
        <v>19.537199999999999</v>
      </c>
      <c r="N680" s="10">
        <f>CHOOSE(CONTROL!$C$42, 19.5537, 19.5537) * CHOOSE(CONTROL!$C$21, $C$9, 100%, $E$9)</f>
        <v>19.553699999999999</v>
      </c>
      <c r="O680" s="10">
        <f>CHOOSE(CONTROL!$C$42, 19.7826, 19.7826) * CHOOSE(CONTROL!$C$21, $C$9, 100%, $E$9)</f>
        <v>19.782599999999999</v>
      </c>
      <c r="P680" s="10">
        <f>CHOOSE(CONTROL!$C$42, 19.5647, 19.5647) * CHOOSE(CONTROL!$C$21, $C$9, 100%, $E$9)</f>
        <v>19.564699999999998</v>
      </c>
      <c r="Q680" s="10">
        <f>CHOOSE(CONTROL!$C$42, 20.3779, 20.3779) * CHOOSE(CONTROL!$C$21, $C$9, 100%, $E$9)</f>
        <v>20.3779</v>
      </c>
      <c r="R680" s="10">
        <f>CHOOSE(CONTROL!$C$42, 21.0158, 21.0158) * CHOOSE(CONTROL!$C$21, $C$9, 100%, $E$9)</f>
        <v>21.015799999999999</v>
      </c>
      <c r="S680" s="10">
        <f>CHOOSE(CONTROL!$C$42, 19.1901, 19.1901) * CHOOSE(CONTROL!$C$21, $C$9, 100%, $E$9)</f>
        <v>19.190100000000001</v>
      </c>
      <c r="T6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38">
        <f>(1000*CHOOSE(CONTROL!$C$42, 695, 695)*CHOOSE(CONTROL!$C$42, 0.5599, 0.5599)*CHOOSE(CONTROL!$C$42, 31, 31))/1000000</f>
        <v>12.063045499999998</v>
      </c>
      <c r="V680" s="38">
        <f>(1000*CHOOSE(CONTROL!$C$42, 500, 500)*CHOOSE(CONTROL!$C$42, 0.275, 0.275)*CHOOSE(CONTROL!$C$42, 31, 31))/1000000</f>
        <v>4.2625000000000002</v>
      </c>
      <c r="W680" s="38">
        <f>(1000*CHOOSE(CONTROL!$C$42, 0.1146, 0.1146)*CHOOSE(CONTROL!$C$42, 121.5, 121.5)*CHOOSE(CONTROL!$C$42, 31, 31))/1000000</f>
        <v>0.43164089999999994</v>
      </c>
      <c r="X680" s="38">
        <f>(31*0.1790888*245000/1000000)+(31*0.2374*100000/1000000)</f>
        <v>2.0961194359999999</v>
      </c>
      <c r="Y680" s="38">
        <f>(1000*600*CHOOSE(CONTROL!$C$42, 1.0585, 1.0585)*CHOOSE(CONTROL!$C$42, 31, 31))/1000000</f>
        <v>19.688099999999999</v>
      </c>
      <c r="Z680" s="38"/>
      <c r="AA680" s="10"/>
      <c r="AB680" s="39"/>
      <c r="AC680" s="33">
        <f>(B680*194.205+C680*267.466+D680*133.845+E680*53.484+F680*40+G680*185+H680*0+I680*100+J680*300)/(194.205+267.466+133.845+53.484+0+40+185+100+300)</f>
        <v>19.780387649843011</v>
      </c>
      <c r="AD680" s="27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19.653330935251798</v>
      </c>
    </row>
    <row r="681" spans="1:30" ht="15.75" x14ac:dyDescent="0.25">
      <c r="A681" s="13">
        <v>62001</v>
      </c>
      <c r="B681" s="10">
        <f>CHOOSE(CONTROL!$C$42, 18.5111, 18.5111) * CHOOSE(CONTROL!$C$21, $C$9, 100%, $E$9)</f>
        <v>18.511099999999999</v>
      </c>
      <c r="C681" s="10">
        <f>CHOOSE(CONTROL!$C$42, 18.519, 18.519) * CHOOSE(CONTROL!$C$21, $C$9, 100%, $E$9)</f>
        <v>18.518999999999998</v>
      </c>
      <c r="D681" s="10">
        <f>CHOOSE(CONTROL!$C$42, 18.696, 18.696) * CHOOSE(CONTROL!$C$21, $C$9, 100%, $E$9)</f>
        <v>18.696000000000002</v>
      </c>
      <c r="E681" s="10">
        <f>CHOOSE(CONTROL!$C$42, 18.7271, 18.7271) * CHOOSE(CONTROL!$C$21, $C$9, 100%, $E$9)</f>
        <v>18.7271</v>
      </c>
      <c r="F681" s="10">
        <f>CHOOSE(CONTROL!$C$42, 18.4746, 18.4746)*CHOOSE(CONTROL!$C$21, $C$9, 100%, $E$9)</f>
        <v>18.474599999999999</v>
      </c>
      <c r="G681" s="10">
        <f>CHOOSE(CONTROL!$C$42, 18.4912, 18.4912)*CHOOSE(CONTROL!$C$21, $C$9, 100%, $E$9)</f>
        <v>18.491199999999999</v>
      </c>
      <c r="H681" s="10">
        <f>CHOOSE(CONTROL!$C$42, 18.7157, 18.7157) * CHOOSE(CONTROL!$C$21, $C$9, 100%, $E$9)</f>
        <v>18.715699999999998</v>
      </c>
      <c r="I681" s="10">
        <f>CHOOSE(CONTROL!$C$42, 18.4957, 18.4957)* CHOOSE(CONTROL!$C$21, $C$9, 100%, $E$9)</f>
        <v>18.495699999999999</v>
      </c>
      <c r="J681" s="10">
        <f>CHOOSE(CONTROL!$C$42, 18.4676, 18.4676)* CHOOSE(CONTROL!$C$21, $C$9, 100%, $E$9)</f>
        <v>18.467600000000001</v>
      </c>
      <c r="K681" s="10">
        <f>CHOOSE(CONTROL!$C$42, 18.1051, 18.1051) * CHOOSE(CONTROL!$C$21, $C$9, 100%, $E$9)</f>
        <v>18.1051</v>
      </c>
      <c r="L681" s="10">
        <f>CHOOSE(CONTROL!$C$42, 19.3027, 19.3027) * CHOOSE(CONTROL!$C$21, $C$9, 100%, $E$9)</f>
        <v>19.302700000000002</v>
      </c>
      <c r="M681" s="10">
        <f>CHOOSE(CONTROL!$C$42, 18.2951, 18.2951) * CHOOSE(CONTROL!$C$21, $C$9, 100%, $E$9)</f>
        <v>18.295100000000001</v>
      </c>
      <c r="N681" s="10">
        <f>CHOOSE(CONTROL!$C$42, 18.3115, 18.3115) * CHOOSE(CONTROL!$C$21, $C$9, 100%, $E$9)</f>
        <v>18.311499999999999</v>
      </c>
      <c r="O681" s="10">
        <f>CHOOSE(CONTROL!$C$42, 18.5407, 18.5407) * CHOOSE(CONTROL!$C$21, $C$9, 100%, $E$9)</f>
        <v>18.540700000000001</v>
      </c>
      <c r="P681" s="10">
        <f>CHOOSE(CONTROL!$C$42, 18.3229, 18.3229) * CHOOSE(CONTROL!$C$21, $C$9, 100%, $E$9)</f>
        <v>18.322900000000001</v>
      </c>
      <c r="Q681" s="10">
        <f>CHOOSE(CONTROL!$C$42, 19.136, 19.136) * CHOOSE(CONTROL!$C$21, $C$9, 100%, $E$9)</f>
        <v>19.135999999999999</v>
      </c>
      <c r="R681" s="10">
        <f>CHOOSE(CONTROL!$C$42, 19.7708, 19.7708) * CHOOSE(CONTROL!$C$21, $C$9, 100%, $E$9)</f>
        <v>19.770800000000001</v>
      </c>
      <c r="S681" s="10">
        <f>CHOOSE(CONTROL!$C$42, 17.9718, 17.9718) * CHOOSE(CONTROL!$C$21, $C$9, 100%, $E$9)</f>
        <v>17.971800000000002</v>
      </c>
      <c r="T6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38">
        <f>(1000*CHOOSE(CONTROL!$C$42, 695, 695)*CHOOSE(CONTROL!$C$42, 0.5599, 0.5599)*CHOOSE(CONTROL!$C$42, 30, 30))/1000000</f>
        <v>11.673914999999997</v>
      </c>
      <c r="V681" s="38">
        <f>(1000*CHOOSE(CONTROL!$C$42, 500, 500)*CHOOSE(CONTROL!$C$42, 0.275, 0.275)*CHOOSE(CONTROL!$C$42, 30, 30))/1000000</f>
        <v>4.125</v>
      </c>
      <c r="W681" s="38">
        <f>(1000*CHOOSE(CONTROL!$C$42, 0.1146, 0.1146)*CHOOSE(CONTROL!$C$42, 121.5, 121.5)*CHOOSE(CONTROL!$C$42, 30, 30))/1000000</f>
        <v>0.417717</v>
      </c>
      <c r="X681" s="38">
        <f>(30*0.1790888*245000/1000000)+(30*0.2374*100000/1000000)</f>
        <v>2.0285026799999999</v>
      </c>
      <c r="Y681" s="38">
        <f>(1000*600*CHOOSE(CONTROL!$C$42, 1.0585, 1.0585)*CHOOSE(CONTROL!$C$42, 30, 30))/1000000</f>
        <v>19.053000000000001</v>
      </c>
      <c r="Z681" s="38"/>
      <c r="AA681" s="10"/>
      <c r="AB681" s="39"/>
      <c r="AC681" s="33">
        <f>(B681*194.205+C681*267.466+D681*133.845+E681*53.484+F681*40+G681*185+H681*0+I681*100+J681*300)/(194.205+267.466+133.845+53.484+0+40+185+100+300)</f>
        <v>18.525764023469389</v>
      </c>
      <c r="AD681" s="27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18.411358992805759</v>
      </c>
    </row>
    <row r="682" spans="1:30" ht="15.75" x14ac:dyDescent="0.25">
      <c r="A682" s="13">
        <v>62032</v>
      </c>
      <c r="B682" s="10">
        <f>CHOOSE(CONTROL!$C$42, 18.1332, 18.1332) * CHOOSE(CONTROL!$C$21, $C$9, 100%, $E$9)</f>
        <v>18.133199999999999</v>
      </c>
      <c r="C682" s="10">
        <f>CHOOSE(CONTROL!$C$42, 18.1384, 18.1384) * CHOOSE(CONTROL!$C$21, $C$9, 100%, $E$9)</f>
        <v>18.138400000000001</v>
      </c>
      <c r="D682" s="10">
        <f>CHOOSE(CONTROL!$C$42, 18.3203, 18.3203) * CHOOSE(CONTROL!$C$21, $C$9, 100%, $E$9)</f>
        <v>18.3203</v>
      </c>
      <c r="E682" s="10">
        <f>CHOOSE(CONTROL!$C$42, 18.3491, 18.3491) * CHOOSE(CONTROL!$C$21, $C$9, 100%, $E$9)</f>
        <v>18.3491</v>
      </c>
      <c r="F682" s="10">
        <f>CHOOSE(CONTROL!$C$42, 18.0988, 18.0988)*CHOOSE(CONTROL!$C$21, $C$9, 100%, $E$9)</f>
        <v>18.098800000000001</v>
      </c>
      <c r="G682" s="10">
        <f>CHOOSE(CONTROL!$C$42, 18.115, 18.115)*CHOOSE(CONTROL!$C$21, $C$9, 100%, $E$9)</f>
        <v>18.114999999999998</v>
      </c>
      <c r="H682" s="10">
        <f>CHOOSE(CONTROL!$C$42, 18.3396, 18.3396) * CHOOSE(CONTROL!$C$21, $C$9, 100%, $E$9)</f>
        <v>18.339600000000001</v>
      </c>
      <c r="I682" s="10">
        <f>CHOOSE(CONTROL!$C$42, 18.1195, 18.1195)* CHOOSE(CONTROL!$C$21, $C$9, 100%, $E$9)</f>
        <v>18.119499999999999</v>
      </c>
      <c r="J682" s="10">
        <f>CHOOSE(CONTROL!$C$42, 18.0918, 18.0918)* CHOOSE(CONTROL!$C$21, $C$9, 100%, $E$9)</f>
        <v>18.091799999999999</v>
      </c>
      <c r="K682" s="10">
        <f>CHOOSE(CONTROL!$C$42, 17.7402, 17.7402) * CHOOSE(CONTROL!$C$21, $C$9, 100%, $E$9)</f>
        <v>17.740200000000002</v>
      </c>
      <c r="L682" s="10">
        <f>CHOOSE(CONTROL!$C$42, 18.9266, 18.9266) * CHOOSE(CONTROL!$C$21, $C$9, 100%, $E$9)</f>
        <v>18.926600000000001</v>
      </c>
      <c r="M682" s="10">
        <f>CHOOSE(CONTROL!$C$42, 17.923, 17.923) * CHOOSE(CONTROL!$C$21, $C$9, 100%, $E$9)</f>
        <v>17.922999999999998</v>
      </c>
      <c r="N682" s="10">
        <f>CHOOSE(CONTROL!$C$42, 17.9391, 17.9391) * CHOOSE(CONTROL!$C$21, $C$9, 100%, $E$9)</f>
        <v>17.9391</v>
      </c>
      <c r="O682" s="10">
        <f>CHOOSE(CONTROL!$C$42, 18.1684, 18.1684) * CHOOSE(CONTROL!$C$21, $C$9, 100%, $E$9)</f>
        <v>18.168399999999998</v>
      </c>
      <c r="P682" s="10">
        <f>CHOOSE(CONTROL!$C$42, 17.9505, 17.9505) * CHOOSE(CONTROL!$C$21, $C$9, 100%, $E$9)</f>
        <v>17.950500000000002</v>
      </c>
      <c r="Q682" s="10">
        <f>CHOOSE(CONTROL!$C$42, 18.7637, 18.7637) * CHOOSE(CONTROL!$C$21, $C$9, 100%, $E$9)</f>
        <v>18.7637</v>
      </c>
      <c r="R682" s="10">
        <f>CHOOSE(CONTROL!$C$42, 19.3976, 19.3976) * CHOOSE(CONTROL!$C$21, $C$9, 100%, $E$9)</f>
        <v>19.397600000000001</v>
      </c>
      <c r="S682" s="10">
        <f>CHOOSE(CONTROL!$C$42, 17.6066, 17.6066) * CHOOSE(CONTROL!$C$21, $C$9, 100%, $E$9)</f>
        <v>17.6066</v>
      </c>
      <c r="T6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38">
        <f>(1000*CHOOSE(CONTROL!$C$42, 695, 695)*CHOOSE(CONTROL!$C$42, 0.5599, 0.5599)*CHOOSE(CONTROL!$C$42, 31, 31))/1000000</f>
        <v>12.063045499999998</v>
      </c>
      <c r="V682" s="38">
        <f>(1000*CHOOSE(CONTROL!$C$42, 500, 500)*CHOOSE(CONTROL!$C$42, 0.275, 0.275)*CHOOSE(CONTROL!$C$42, 31, 31))/1000000</f>
        <v>4.2625000000000002</v>
      </c>
      <c r="W682" s="38">
        <f>(1000*CHOOSE(CONTROL!$C$42, 0.1146, 0.1146)*CHOOSE(CONTROL!$C$42, 121.5, 121.5)*CHOOSE(CONTROL!$C$42, 31, 31))/1000000</f>
        <v>0.43164089999999994</v>
      </c>
      <c r="X682" s="38">
        <f>(31*0.1790888*245000/1000000)+(31*0.2374*100000/1000000)</f>
        <v>2.0961194359999999</v>
      </c>
      <c r="Y682" s="38">
        <f>(1000*600*CHOOSE(CONTROL!$C$42, 1.0585, 1.0585)*CHOOSE(CONTROL!$C$42, 31, 31))/1000000</f>
        <v>19.688099999999999</v>
      </c>
      <c r="Z682" s="38"/>
      <c r="AA682" s="10"/>
      <c r="AB682" s="39"/>
      <c r="AC682" s="33">
        <f>(B682*131.881+C682*277.167+D682*79.08+E682*125.872+F682*40+G682*185+H682*0+I682*100+J682*300)/(131.881+277.167+79.08+125.872+0+40+185+100+300)</f>
        <v>18.153280630508473</v>
      </c>
      <c r="AD682" s="27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18.039107913669064</v>
      </c>
    </row>
    <row r="683" spans="1:30" ht="15.75" x14ac:dyDescent="0.25">
      <c r="A683" s="13">
        <v>62062</v>
      </c>
      <c r="B683" s="10">
        <f>CHOOSE(CONTROL!$C$42, 18.6104, 18.6104) * CHOOSE(CONTROL!$C$21, $C$9, 100%, $E$9)</f>
        <v>18.610399999999998</v>
      </c>
      <c r="C683" s="10">
        <f>CHOOSE(CONTROL!$C$42, 18.6153, 18.6153) * CHOOSE(CONTROL!$C$21, $C$9, 100%, $E$9)</f>
        <v>18.615300000000001</v>
      </c>
      <c r="D683" s="10">
        <f>CHOOSE(CONTROL!$C$42, 18.6398, 18.6398) * CHOOSE(CONTROL!$C$21, $C$9, 100%, $E$9)</f>
        <v>18.639800000000001</v>
      </c>
      <c r="E683" s="10">
        <f>CHOOSE(CONTROL!$C$42, 18.6736, 18.6736) * CHOOSE(CONTROL!$C$21, $C$9, 100%, $E$9)</f>
        <v>18.6736</v>
      </c>
      <c r="F683" s="10">
        <f>CHOOSE(CONTROL!$C$42, 18.5797, 18.5797)*CHOOSE(CONTROL!$C$21, $C$9, 100%, $E$9)</f>
        <v>18.579699999999999</v>
      </c>
      <c r="G683" s="10">
        <f>CHOOSE(CONTROL!$C$42, 18.5961, 18.5961)*CHOOSE(CONTROL!$C$21, $C$9, 100%, $E$9)</f>
        <v>18.5961</v>
      </c>
      <c r="H683" s="10">
        <f>CHOOSE(CONTROL!$C$42, 18.6628, 18.6628) * CHOOSE(CONTROL!$C$21, $C$9, 100%, $E$9)</f>
        <v>18.662800000000001</v>
      </c>
      <c r="I683" s="10">
        <f>CHOOSE(CONTROL!$C$42, 18.5972, 18.5972)* CHOOSE(CONTROL!$C$21, $C$9, 100%, $E$9)</f>
        <v>18.597200000000001</v>
      </c>
      <c r="J683" s="10">
        <f>CHOOSE(CONTROL!$C$42, 18.5727, 18.5727)* CHOOSE(CONTROL!$C$21, $C$9, 100%, $E$9)</f>
        <v>18.572700000000001</v>
      </c>
      <c r="K683" s="10">
        <f>CHOOSE(CONTROL!$C$42, 18.2057, 18.2057) * CHOOSE(CONTROL!$C$21, $C$9, 100%, $E$9)</f>
        <v>18.2057</v>
      </c>
      <c r="L683" s="10">
        <f>CHOOSE(CONTROL!$C$42, 19.2498, 19.2498) * CHOOSE(CONTROL!$C$21, $C$9, 100%, $E$9)</f>
        <v>19.2498</v>
      </c>
      <c r="M683" s="10">
        <f>CHOOSE(CONTROL!$C$42, 18.3991, 18.3991) * CHOOSE(CONTROL!$C$21, $C$9, 100%, $E$9)</f>
        <v>18.399100000000001</v>
      </c>
      <c r="N683" s="10">
        <f>CHOOSE(CONTROL!$C$42, 18.4154, 18.4154) * CHOOSE(CONTROL!$C$21, $C$9, 100%, $E$9)</f>
        <v>18.415400000000002</v>
      </c>
      <c r="O683" s="10">
        <f>CHOOSE(CONTROL!$C$42, 18.4883, 18.4883) * CHOOSE(CONTROL!$C$21, $C$9, 100%, $E$9)</f>
        <v>18.488299999999999</v>
      </c>
      <c r="P683" s="10">
        <f>CHOOSE(CONTROL!$C$42, 18.4233, 18.4233) * CHOOSE(CONTROL!$C$21, $C$9, 100%, $E$9)</f>
        <v>18.423300000000001</v>
      </c>
      <c r="Q683" s="10">
        <f>CHOOSE(CONTROL!$C$42, 19.0836, 19.0836) * CHOOSE(CONTROL!$C$21, $C$9, 100%, $E$9)</f>
        <v>19.083600000000001</v>
      </c>
      <c r="R683" s="10">
        <f>CHOOSE(CONTROL!$C$42, 19.7183, 19.7183) * CHOOSE(CONTROL!$C$21, $C$9, 100%, $E$9)</f>
        <v>19.718299999999999</v>
      </c>
      <c r="S683" s="10">
        <f>CHOOSE(CONTROL!$C$42, 18.0704, 18.0704) * CHOOSE(CONTROL!$C$21, $C$9, 100%, $E$9)</f>
        <v>18.070399999999999</v>
      </c>
      <c r="T6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38">
        <f>(1000*CHOOSE(CONTROL!$C$42, 695, 695)*CHOOSE(CONTROL!$C$42, 0.5599, 0.5599)*CHOOSE(CONTROL!$C$42, 30, 30))/1000000</f>
        <v>11.673914999999997</v>
      </c>
      <c r="V683" s="38">
        <f>(1000*CHOOSE(CONTROL!$C$42, 500, 500)*CHOOSE(CONTROL!$C$42, 0.275, 0.275)*CHOOSE(CONTROL!$C$42, 30, 30))/1000000</f>
        <v>4.125</v>
      </c>
      <c r="W683" s="38">
        <f>(1000*CHOOSE(CONTROL!$C$42, 0.1146, 0.1146)*CHOOSE(CONTROL!$C$42, 121.5, 121.5)*CHOOSE(CONTROL!$C$42, 30, 30))/1000000</f>
        <v>0.417717</v>
      </c>
      <c r="X683" s="38">
        <f>(30*0.1790888*100000/1000000)+(30*0.2374*100000/1000000)</f>
        <v>1.2494664</v>
      </c>
      <c r="Y683" s="38">
        <f>(1000*600*CHOOSE(CONTROL!$C$42, 1.0585, 1.0585)*CHOOSE(CONTROL!$C$42, 30, 30))/1000000</f>
        <v>19.053000000000001</v>
      </c>
      <c r="Z683" s="38"/>
      <c r="AA683" s="10"/>
      <c r="AB683" s="39"/>
      <c r="AC683" s="33">
        <f>(B683*122.58+C683*297.941+D683*89.177+E683*40.302+F683*40+G683*160+H683*0+I683*100+J683*300)/(122.58+297.941+89.177+40.302+0+40+160+100+300)</f>
        <v>18.602124174869562</v>
      </c>
      <c r="AD683" s="27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18.44394892086331</v>
      </c>
    </row>
    <row r="684" spans="1:30" ht="15.75" x14ac:dyDescent="0.25">
      <c r="A684" s="13">
        <v>62093</v>
      </c>
      <c r="B684" s="10">
        <f>CHOOSE(CONTROL!$C$42, 19.879, 19.879) * CHOOSE(CONTROL!$C$21, $C$9, 100%, $E$9)</f>
        <v>19.879000000000001</v>
      </c>
      <c r="C684" s="10">
        <f>CHOOSE(CONTROL!$C$42, 19.884, 19.884) * CHOOSE(CONTROL!$C$21, $C$9, 100%, $E$9)</f>
        <v>19.884</v>
      </c>
      <c r="D684" s="10">
        <f>CHOOSE(CONTROL!$C$42, 19.9084, 19.9084) * CHOOSE(CONTROL!$C$21, $C$9, 100%, $E$9)</f>
        <v>19.9084</v>
      </c>
      <c r="E684" s="10">
        <f>CHOOSE(CONTROL!$C$42, 19.9422, 19.9422) * CHOOSE(CONTROL!$C$21, $C$9, 100%, $E$9)</f>
        <v>19.9422</v>
      </c>
      <c r="F684" s="10">
        <f>CHOOSE(CONTROL!$C$42, 19.8507, 19.8507)*CHOOSE(CONTROL!$C$21, $C$9, 100%, $E$9)</f>
        <v>19.8507</v>
      </c>
      <c r="G684" s="10">
        <f>CHOOSE(CONTROL!$C$42, 19.8677, 19.8677)*CHOOSE(CONTROL!$C$21, $C$9, 100%, $E$9)</f>
        <v>19.867699999999999</v>
      </c>
      <c r="H684" s="10">
        <f>CHOOSE(CONTROL!$C$42, 19.9314, 19.9314) * CHOOSE(CONTROL!$C$21, $C$9, 100%, $E$9)</f>
        <v>19.9314</v>
      </c>
      <c r="I684" s="10">
        <f>CHOOSE(CONTROL!$C$42, 19.8658, 19.8658)* CHOOSE(CONTROL!$C$21, $C$9, 100%, $E$9)</f>
        <v>19.8658</v>
      </c>
      <c r="J684" s="10">
        <f>CHOOSE(CONTROL!$C$42, 19.8437, 19.8437)* CHOOSE(CONTROL!$C$21, $C$9, 100%, $E$9)</f>
        <v>19.843699999999998</v>
      </c>
      <c r="K684" s="10">
        <f>CHOOSE(CONTROL!$C$42, 19.4434, 19.4434) * CHOOSE(CONTROL!$C$21, $C$9, 100%, $E$9)</f>
        <v>19.4434</v>
      </c>
      <c r="L684" s="10">
        <f>CHOOSE(CONTROL!$C$42, 20.5184, 20.5184) * CHOOSE(CONTROL!$C$21, $C$9, 100%, $E$9)</f>
        <v>20.5184</v>
      </c>
      <c r="M684" s="10">
        <f>CHOOSE(CONTROL!$C$42, 19.6572, 19.6572) * CHOOSE(CONTROL!$C$21, $C$9, 100%, $E$9)</f>
        <v>19.6572</v>
      </c>
      <c r="N684" s="10">
        <f>CHOOSE(CONTROL!$C$42, 19.6741, 19.6741) * CHOOSE(CONTROL!$C$21, $C$9, 100%, $E$9)</f>
        <v>19.674099999999999</v>
      </c>
      <c r="O684" s="10">
        <f>CHOOSE(CONTROL!$C$42, 19.7441, 19.7441) * CHOOSE(CONTROL!$C$21, $C$9, 100%, $E$9)</f>
        <v>19.7441</v>
      </c>
      <c r="P684" s="10">
        <f>CHOOSE(CONTROL!$C$42, 19.6792, 19.6792) * CHOOSE(CONTROL!$C$21, $C$9, 100%, $E$9)</f>
        <v>19.679200000000002</v>
      </c>
      <c r="Q684" s="10">
        <f>CHOOSE(CONTROL!$C$42, 20.3394, 20.3394) * CHOOSE(CONTROL!$C$21, $C$9, 100%, $E$9)</f>
        <v>20.339400000000001</v>
      </c>
      <c r="R684" s="10">
        <f>CHOOSE(CONTROL!$C$42, 20.9772, 20.9772) * CHOOSE(CONTROL!$C$21, $C$9, 100%, $E$9)</f>
        <v>20.9772</v>
      </c>
      <c r="S684" s="10">
        <f>CHOOSE(CONTROL!$C$42, 19.3024, 19.3024) * CHOOSE(CONTROL!$C$21, $C$9, 100%, $E$9)</f>
        <v>19.302399999999999</v>
      </c>
      <c r="T6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38">
        <f>(1000*CHOOSE(CONTROL!$C$42, 695, 695)*CHOOSE(CONTROL!$C$42, 0.5599, 0.5599)*CHOOSE(CONTROL!$C$42, 31, 31))/1000000</f>
        <v>12.063045499999998</v>
      </c>
      <c r="V684" s="38">
        <f>(1000*CHOOSE(CONTROL!$C$42, 500, 500)*CHOOSE(CONTROL!$C$42, 0.275, 0.275)*CHOOSE(CONTROL!$C$42, 31, 31))/1000000</f>
        <v>4.2625000000000002</v>
      </c>
      <c r="W684" s="38">
        <f>(1000*CHOOSE(CONTROL!$C$42, 0.1146, 0.1146)*CHOOSE(CONTROL!$C$42, 121.5, 121.5)*CHOOSE(CONTROL!$C$42, 31, 31))/1000000</f>
        <v>0.43164089999999994</v>
      </c>
      <c r="X684" s="38">
        <f>(31*0.1790888*100000/1000000)+(31*0.2374*100000/1000000)</f>
        <v>1.2911152800000001</v>
      </c>
      <c r="Y684" s="38">
        <f>(1000*600*CHOOSE(CONTROL!$C$42, 1.0585, 1.0585)*CHOOSE(CONTROL!$C$42, 31, 31))/1000000</f>
        <v>19.688099999999999</v>
      </c>
      <c r="Z684" s="38"/>
      <c r="AA684" s="10"/>
      <c r="AB684" s="39"/>
      <c r="AC684" s="33">
        <f>(B684*122.58+C684*297.941+D684*89.177+E684*40.302+F684*40+G684*160+H684*0+I684*100+J684*300)/(122.58+297.941+89.177+40.302+0+40+160+100+300)</f>
        <v>19.871877039304351</v>
      </c>
      <c r="AD684" s="27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19.700724460431655</v>
      </c>
    </row>
    <row r="685" spans="1:30" ht="15.75" x14ac:dyDescent="0.25">
      <c r="A685" s="13">
        <v>62124</v>
      </c>
      <c r="B685" s="10">
        <f>CHOOSE(CONTROL!$C$42, 21.2205, 21.2205) * CHOOSE(CONTROL!$C$21, $C$9, 100%, $E$9)</f>
        <v>21.220500000000001</v>
      </c>
      <c r="C685" s="10">
        <f>CHOOSE(CONTROL!$C$42, 21.2255, 21.2255) * CHOOSE(CONTROL!$C$21, $C$9, 100%, $E$9)</f>
        <v>21.2255</v>
      </c>
      <c r="D685" s="10">
        <f>CHOOSE(CONTROL!$C$42, 21.25, 21.25) * CHOOSE(CONTROL!$C$21, $C$9, 100%, $E$9)</f>
        <v>21.25</v>
      </c>
      <c r="E685" s="10">
        <f>CHOOSE(CONTROL!$C$42, 21.2837, 21.2837) * CHOOSE(CONTROL!$C$21, $C$9, 100%, $E$9)</f>
        <v>21.2837</v>
      </c>
      <c r="F685" s="10">
        <f>CHOOSE(CONTROL!$C$42, 21.2035, 21.2035)*CHOOSE(CONTROL!$C$21, $C$9, 100%, $E$9)</f>
        <v>21.203499999999998</v>
      </c>
      <c r="G685" s="10">
        <f>CHOOSE(CONTROL!$C$42, 21.2221, 21.2221)*CHOOSE(CONTROL!$C$21, $C$9, 100%, $E$9)</f>
        <v>21.222100000000001</v>
      </c>
      <c r="H685" s="10">
        <f>CHOOSE(CONTROL!$C$42, 21.2729, 21.2729) * CHOOSE(CONTROL!$C$21, $C$9, 100%, $E$9)</f>
        <v>21.2729</v>
      </c>
      <c r="I685" s="10">
        <f>CHOOSE(CONTROL!$C$42, 21.215, 21.215)* CHOOSE(CONTROL!$C$21, $C$9, 100%, $E$9)</f>
        <v>21.215</v>
      </c>
      <c r="J685" s="10">
        <f>CHOOSE(CONTROL!$C$42, 21.1965, 21.1965)* CHOOSE(CONTROL!$C$21, $C$9, 100%, $E$9)</f>
        <v>21.1965</v>
      </c>
      <c r="K685" s="10">
        <f>CHOOSE(CONTROL!$C$42, 20.7677, 20.7677) * CHOOSE(CONTROL!$C$21, $C$9, 100%, $E$9)</f>
        <v>20.767700000000001</v>
      </c>
      <c r="L685" s="10">
        <f>CHOOSE(CONTROL!$C$42, 21.8599, 21.8599) * CHOOSE(CONTROL!$C$21, $C$9, 100%, $E$9)</f>
        <v>21.8599</v>
      </c>
      <c r="M685" s="10">
        <f>CHOOSE(CONTROL!$C$42, 20.9964, 20.9964) * CHOOSE(CONTROL!$C$21, $C$9, 100%, $E$9)</f>
        <v>20.996400000000001</v>
      </c>
      <c r="N685" s="10">
        <f>CHOOSE(CONTROL!$C$42, 21.0149, 21.0149) * CHOOSE(CONTROL!$C$21, $C$9, 100%, $E$9)</f>
        <v>21.014900000000001</v>
      </c>
      <c r="O685" s="10">
        <f>CHOOSE(CONTROL!$C$42, 21.0721, 21.0721) * CHOOSE(CONTROL!$C$21, $C$9, 100%, $E$9)</f>
        <v>21.072099999999999</v>
      </c>
      <c r="P685" s="10">
        <f>CHOOSE(CONTROL!$C$42, 21.0148, 21.0148) * CHOOSE(CONTROL!$C$21, $C$9, 100%, $E$9)</f>
        <v>21.014800000000001</v>
      </c>
      <c r="Q685" s="10">
        <f>CHOOSE(CONTROL!$C$42, 21.6674, 21.6674) * CHOOSE(CONTROL!$C$21, $C$9, 100%, $E$9)</f>
        <v>21.667400000000001</v>
      </c>
      <c r="R685" s="10">
        <f>CHOOSE(CONTROL!$C$42, 22.3085, 22.3085) * CHOOSE(CONTROL!$C$21, $C$9, 100%, $E$9)</f>
        <v>22.308499999999999</v>
      </c>
      <c r="S685" s="10">
        <f>CHOOSE(CONTROL!$C$42, 20.6051, 20.6051) * CHOOSE(CONTROL!$C$21, $C$9, 100%, $E$9)</f>
        <v>20.6051</v>
      </c>
      <c r="T6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38">
        <f>(1000*CHOOSE(CONTROL!$C$42, 695, 695)*CHOOSE(CONTROL!$C$42, 0.5599, 0.5599)*CHOOSE(CONTROL!$C$42, 31, 31))/1000000</f>
        <v>12.063045499999998</v>
      </c>
      <c r="V685" s="38">
        <f>(1000*CHOOSE(CONTROL!$C$42, 500, 500)*CHOOSE(CONTROL!$C$42, 0.275, 0.275)*CHOOSE(CONTROL!$C$42, 31, 31))/1000000</f>
        <v>4.2625000000000002</v>
      </c>
      <c r="W685" s="38">
        <f>(1000*CHOOSE(CONTROL!$C$42, 0.1146, 0.1146)*CHOOSE(CONTROL!$C$42, 121.5, 121.5)*CHOOSE(CONTROL!$C$42, 31, 31))/1000000</f>
        <v>0.43164089999999994</v>
      </c>
      <c r="X685" s="38">
        <f>(31*0.1790888*100000/1000000)+(31*0.2374*100000/1000000)</f>
        <v>1.2911152800000001</v>
      </c>
      <c r="Y685" s="38">
        <f>(1000*600*CHOOSE(CONTROL!$C$42, 1.0585, 1.0585)*CHOOSE(CONTROL!$C$42, 31, 31))/1000000</f>
        <v>19.688099999999999</v>
      </c>
      <c r="Z685" s="38"/>
      <c r="AA685" s="10"/>
      <c r="AB685" s="39"/>
      <c r="AC685" s="33">
        <f>(B685*122.58+C685*297.941+D685*89.177+E685*40.302+F685*40+G685*160+H685*0+I685*100+J685*300)/(122.58+297.941+89.177+40.302+0+40+160+100+300)</f>
        <v>21.219190011217393</v>
      </c>
      <c r="AD685" s="27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21.034422302158273</v>
      </c>
    </row>
    <row r="686" spans="1:30" ht="15.75" x14ac:dyDescent="0.25">
      <c r="A686" s="13">
        <v>62152</v>
      </c>
      <c r="B686" s="10">
        <f>CHOOSE(CONTROL!$C$42, 21.5982, 21.5982) * CHOOSE(CONTROL!$C$21, $C$9, 100%, $E$9)</f>
        <v>21.598199999999999</v>
      </c>
      <c r="C686" s="10">
        <f>CHOOSE(CONTROL!$C$42, 21.6032, 21.6032) * CHOOSE(CONTROL!$C$21, $C$9, 100%, $E$9)</f>
        <v>21.603200000000001</v>
      </c>
      <c r="D686" s="10">
        <f>CHOOSE(CONTROL!$C$42, 21.6277, 21.6277) * CHOOSE(CONTROL!$C$21, $C$9, 100%, $E$9)</f>
        <v>21.627700000000001</v>
      </c>
      <c r="E686" s="10">
        <f>CHOOSE(CONTROL!$C$42, 21.6614, 21.6614) * CHOOSE(CONTROL!$C$21, $C$9, 100%, $E$9)</f>
        <v>21.6614</v>
      </c>
      <c r="F686" s="10">
        <f>CHOOSE(CONTROL!$C$42, 21.5805, 21.5805)*CHOOSE(CONTROL!$C$21, $C$9, 100%, $E$9)</f>
        <v>21.580500000000001</v>
      </c>
      <c r="G686" s="10">
        <f>CHOOSE(CONTROL!$C$42, 21.599, 21.599)*CHOOSE(CONTROL!$C$21, $C$9, 100%, $E$9)</f>
        <v>21.599</v>
      </c>
      <c r="H686" s="10">
        <f>CHOOSE(CONTROL!$C$42, 21.6506, 21.6506) * CHOOSE(CONTROL!$C$21, $C$9, 100%, $E$9)</f>
        <v>21.650600000000001</v>
      </c>
      <c r="I686" s="10">
        <f>CHOOSE(CONTROL!$C$42, 21.5927, 21.5927)* CHOOSE(CONTROL!$C$21, $C$9, 100%, $E$9)</f>
        <v>21.592700000000001</v>
      </c>
      <c r="J686" s="10">
        <f>CHOOSE(CONTROL!$C$42, 21.5735, 21.5735)* CHOOSE(CONTROL!$C$21, $C$9, 100%, $E$9)</f>
        <v>21.573499999999999</v>
      </c>
      <c r="K686" s="10">
        <f>CHOOSE(CONTROL!$C$42, 21.1332, 21.1332) * CHOOSE(CONTROL!$C$21, $C$9, 100%, $E$9)</f>
        <v>21.133199999999999</v>
      </c>
      <c r="L686" s="10">
        <f>CHOOSE(CONTROL!$C$42, 22.2376, 22.2376) * CHOOSE(CONTROL!$C$21, $C$9, 100%, $E$9)</f>
        <v>22.2376</v>
      </c>
      <c r="M686" s="10">
        <f>CHOOSE(CONTROL!$C$42, 21.3696, 21.3696) * CHOOSE(CONTROL!$C$21, $C$9, 100%, $E$9)</f>
        <v>21.369599999999998</v>
      </c>
      <c r="N686" s="10">
        <f>CHOOSE(CONTROL!$C$42, 21.3879, 21.3879) * CHOOSE(CONTROL!$C$21, $C$9, 100%, $E$9)</f>
        <v>21.387899999999998</v>
      </c>
      <c r="O686" s="10">
        <f>CHOOSE(CONTROL!$C$42, 21.446, 21.446) * CHOOSE(CONTROL!$C$21, $C$9, 100%, $E$9)</f>
        <v>21.446000000000002</v>
      </c>
      <c r="P686" s="10">
        <f>CHOOSE(CONTROL!$C$42, 21.3887, 21.3887) * CHOOSE(CONTROL!$C$21, $C$9, 100%, $E$9)</f>
        <v>21.3887</v>
      </c>
      <c r="Q686" s="10">
        <f>CHOOSE(CONTROL!$C$42, 22.0413, 22.0413) * CHOOSE(CONTROL!$C$21, $C$9, 100%, $E$9)</f>
        <v>22.0413</v>
      </c>
      <c r="R686" s="10">
        <f>CHOOSE(CONTROL!$C$42, 22.6834, 22.6834) * CHOOSE(CONTROL!$C$21, $C$9, 100%, $E$9)</f>
        <v>22.683399999999999</v>
      </c>
      <c r="S686" s="10">
        <f>CHOOSE(CONTROL!$C$42, 20.9719, 20.9719) * CHOOSE(CONTROL!$C$21, $C$9, 100%, $E$9)</f>
        <v>20.971900000000002</v>
      </c>
      <c r="T6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38">
        <f>(1000*CHOOSE(CONTROL!$C$42, 695, 695)*CHOOSE(CONTROL!$C$42, 0.5599, 0.5599)*CHOOSE(CONTROL!$C$42, 28, 28))/1000000</f>
        <v>10.895653999999999</v>
      </c>
      <c r="V686" s="38">
        <f>(1000*CHOOSE(CONTROL!$C$42, 500, 500)*CHOOSE(CONTROL!$C$42, 0.275, 0.275)*CHOOSE(CONTROL!$C$42, 28, 28))/1000000</f>
        <v>3.85</v>
      </c>
      <c r="W686" s="38">
        <f>(1000*CHOOSE(CONTROL!$C$42, 0.1146, 0.1146)*CHOOSE(CONTROL!$C$42, 121.5, 121.5)*CHOOSE(CONTROL!$C$42, 28, 28))/1000000</f>
        <v>0.38986920000000003</v>
      </c>
      <c r="X686" s="38">
        <f>(28*0.1790888*100000/1000000)+(28*0.2374*100000/1000000)</f>
        <v>1.16616864</v>
      </c>
      <c r="Y686" s="38">
        <f>(1000*600*CHOOSE(CONTROL!$C$42, 1.0585, 1.0585)*CHOOSE(CONTROL!$C$42, 28, 28))/1000000</f>
        <v>17.782800000000002</v>
      </c>
      <c r="Z686" s="38"/>
      <c r="AA686" s="10"/>
      <c r="AB686" s="39"/>
      <c r="AC686" s="33">
        <f>(B686*122.58+C686*297.941+D686*89.177+E686*40.302+F686*40+G686*160+H686*0+I686*100+J686*300)/(122.58+297.941+89.177+40.302+0+40+160+100+300)</f>
        <v>21.596571750347824</v>
      </c>
      <c r="AD686" s="27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21.408028776978416</v>
      </c>
    </row>
    <row r="687" spans="1:30" ht="15.75" x14ac:dyDescent="0.25">
      <c r="A687" s="13">
        <v>62183</v>
      </c>
      <c r="B687" s="10">
        <f>CHOOSE(CONTROL!$C$42, 20.9851, 20.9851) * CHOOSE(CONTROL!$C$21, $C$9, 100%, $E$9)</f>
        <v>20.985099999999999</v>
      </c>
      <c r="C687" s="10">
        <f>CHOOSE(CONTROL!$C$42, 20.9901, 20.9901) * CHOOSE(CONTROL!$C$21, $C$9, 100%, $E$9)</f>
        <v>20.990100000000002</v>
      </c>
      <c r="D687" s="10">
        <f>CHOOSE(CONTROL!$C$42, 21.0146, 21.0146) * CHOOSE(CONTROL!$C$21, $C$9, 100%, $E$9)</f>
        <v>21.014600000000002</v>
      </c>
      <c r="E687" s="10">
        <f>CHOOSE(CONTROL!$C$42, 21.0483, 21.0483) * CHOOSE(CONTROL!$C$21, $C$9, 100%, $E$9)</f>
        <v>21.048300000000001</v>
      </c>
      <c r="F687" s="10">
        <f>CHOOSE(CONTROL!$C$42, 20.9659, 20.9659)*CHOOSE(CONTROL!$C$21, $C$9, 100%, $E$9)</f>
        <v>20.965900000000001</v>
      </c>
      <c r="G687" s="10">
        <f>CHOOSE(CONTROL!$C$42, 20.9839, 20.9839)*CHOOSE(CONTROL!$C$21, $C$9, 100%, $E$9)</f>
        <v>20.983899999999998</v>
      </c>
      <c r="H687" s="10">
        <f>CHOOSE(CONTROL!$C$42, 21.0375, 21.0375) * CHOOSE(CONTROL!$C$21, $C$9, 100%, $E$9)</f>
        <v>21.037500000000001</v>
      </c>
      <c r="I687" s="10">
        <f>CHOOSE(CONTROL!$C$42, 20.9796, 20.9796)* CHOOSE(CONTROL!$C$21, $C$9, 100%, $E$9)</f>
        <v>20.979600000000001</v>
      </c>
      <c r="J687" s="10">
        <f>CHOOSE(CONTROL!$C$42, 20.9589, 20.9589)* CHOOSE(CONTROL!$C$21, $C$9, 100%, $E$9)</f>
        <v>20.9589</v>
      </c>
      <c r="K687" s="10">
        <f>CHOOSE(CONTROL!$C$42, 20.5342, 20.5342) * CHOOSE(CONTROL!$C$21, $C$9, 100%, $E$9)</f>
        <v>20.534199999999998</v>
      </c>
      <c r="L687" s="10">
        <f>CHOOSE(CONTROL!$C$42, 21.6245, 21.6245) * CHOOSE(CONTROL!$C$21, $C$9, 100%, $E$9)</f>
        <v>21.624500000000001</v>
      </c>
      <c r="M687" s="10">
        <f>CHOOSE(CONTROL!$C$42, 20.7612, 20.7612) * CHOOSE(CONTROL!$C$21, $C$9, 100%, $E$9)</f>
        <v>20.761199999999999</v>
      </c>
      <c r="N687" s="10">
        <f>CHOOSE(CONTROL!$C$42, 20.7791, 20.7791) * CHOOSE(CONTROL!$C$21, $C$9, 100%, $E$9)</f>
        <v>20.7791</v>
      </c>
      <c r="O687" s="10">
        <f>CHOOSE(CONTROL!$C$42, 20.8391, 20.8391) * CHOOSE(CONTROL!$C$21, $C$9, 100%, $E$9)</f>
        <v>20.839099999999998</v>
      </c>
      <c r="P687" s="10">
        <f>CHOOSE(CONTROL!$C$42, 20.7818, 20.7818) * CHOOSE(CONTROL!$C$21, $C$9, 100%, $E$9)</f>
        <v>20.7818</v>
      </c>
      <c r="Q687" s="10">
        <f>CHOOSE(CONTROL!$C$42, 21.4344, 21.4344) * CHOOSE(CONTROL!$C$21, $C$9, 100%, $E$9)</f>
        <v>21.4344</v>
      </c>
      <c r="R687" s="10">
        <f>CHOOSE(CONTROL!$C$42, 22.0749, 22.0749) * CHOOSE(CONTROL!$C$21, $C$9, 100%, $E$9)</f>
        <v>22.0749</v>
      </c>
      <c r="S687" s="10">
        <f>CHOOSE(CONTROL!$C$42, 20.3765, 20.3765) * CHOOSE(CONTROL!$C$21, $C$9, 100%, $E$9)</f>
        <v>20.3765</v>
      </c>
      <c r="T6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38">
        <f>(1000*CHOOSE(CONTROL!$C$42, 695, 695)*CHOOSE(CONTROL!$C$42, 0.5599, 0.5599)*CHOOSE(CONTROL!$C$42, 31, 31))/1000000</f>
        <v>12.063045499999998</v>
      </c>
      <c r="V687" s="38">
        <f>(1000*CHOOSE(CONTROL!$C$42, 500, 500)*CHOOSE(CONTROL!$C$42, 0.275, 0.275)*CHOOSE(CONTROL!$C$42, 31, 31))/1000000</f>
        <v>4.2625000000000002</v>
      </c>
      <c r="W687" s="38">
        <f>(1000*CHOOSE(CONTROL!$C$42, 0.1146, 0.1146)*CHOOSE(CONTROL!$C$42, 121.5, 121.5)*CHOOSE(CONTROL!$C$42, 31, 31))/1000000</f>
        <v>0.43164089999999994</v>
      </c>
      <c r="X687" s="38">
        <f>(31*0.1790888*100000/1000000)+(31*0.2374*100000/1000000)</f>
        <v>1.2911152800000001</v>
      </c>
      <c r="Y687" s="38">
        <f>(1000*600*CHOOSE(CONTROL!$C$42, 1.0585, 1.0585)*CHOOSE(CONTROL!$C$42, 31, 31))/1000000</f>
        <v>19.688099999999999</v>
      </c>
      <c r="Z687" s="38"/>
      <c r="AA687" s="10"/>
      <c r="AB687" s="39"/>
      <c r="AC687" s="33">
        <f>(B687*122.58+C687*297.941+D687*89.177+E687*40.302+F687*40+G687*160+H687*0+I687*100+J687*300)/(122.58+297.941+89.177+40.302+0+40+160+100+300)</f>
        <v>20.982750011217394</v>
      </c>
      <c r="AD687" s="27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20.800501438848922</v>
      </c>
    </row>
    <row r="688" spans="1:30" ht="15.75" x14ac:dyDescent="0.25">
      <c r="A688" s="13">
        <v>62213</v>
      </c>
      <c r="B688" s="10">
        <f>CHOOSE(CONTROL!$C$42, 20.9231, 20.9231) * CHOOSE(CONTROL!$C$21, $C$9, 100%, $E$9)</f>
        <v>20.923100000000002</v>
      </c>
      <c r="C688" s="10">
        <f>CHOOSE(CONTROL!$C$42, 20.9275, 20.9275) * CHOOSE(CONTROL!$C$21, $C$9, 100%, $E$9)</f>
        <v>20.927499999999998</v>
      </c>
      <c r="D688" s="10">
        <f>CHOOSE(CONTROL!$C$42, 21.1076, 21.1076) * CHOOSE(CONTROL!$C$21, $C$9, 100%, $E$9)</f>
        <v>21.107600000000001</v>
      </c>
      <c r="E688" s="10">
        <f>CHOOSE(CONTROL!$C$42, 21.1394, 21.1394) * CHOOSE(CONTROL!$C$21, $C$9, 100%, $E$9)</f>
        <v>21.139399999999998</v>
      </c>
      <c r="F688" s="10">
        <f>CHOOSE(CONTROL!$C$42, 20.8884, 20.8884)*CHOOSE(CONTROL!$C$21, $C$9, 100%, $E$9)</f>
        <v>20.888400000000001</v>
      </c>
      <c r="G688" s="10">
        <f>CHOOSE(CONTROL!$C$42, 20.9047, 20.9047)*CHOOSE(CONTROL!$C$21, $C$9, 100%, $E$9)</f>
        <v>20.904699999999998</v>
      </c>
      <c r="H688" s="10">
        <f>CHOOSE(CONTROL!$C$42, 21.1292, 21.1292) * CHOOSE(CONTROL!$C$21, $C$9, 100%, $E$9)</f>
        <v>21.129200000000001</v>
      </c>
      <c r="I688" s="10">
        <f>CHOOSE(CONTROL!$C$42, 20.9091, 20.9091)* CHOOSE(CONTROL!$C$21, $C$9, 100%, $E$9)</f>
        <v>20.909099999999999</v>
      </c>
      <c r="J688" s="10">
        <f>CHOOSE(CONTROL!$C$42, 20.8814, 20.8814)* CHOOSE(CONTROL!$C$21, $C$9, 100%, $E$9)</f>
        <v>20.881399999999999</v>
      </c>
      <c r="K688" s="10">
        <f>CHOOSE(CONTROL!$C$42, 20.4507, 20.4507) * CHOOSE(CONTROL!$C$21, $C$9, 100%, $E$9)</f>
        <v>20.450700000000001</v>
      </c>
      <c r="L688" s="10">
        <f>CHOOSE(CONTROL!$C$42, 21.7162, 21.7162) * CHOOSE(CONTROL!$C$21, $C$9, 100%, $E$9)</f>
        <v>21.716200000000001</v>
      </c>
      <c r="M688" s="10">
        <f>CHOOSE(CONTROL!$C$42, 20.6845, 20.6845) * CHOOSE(CONTROL!$C$21, $C$9, 100%, $E$9)</f>
        <v>20.6845</v>
      </c>
      <c r="N688" s="10">
        <f>CHOOSE(CONTROL!$C$42, 20.7006, 20.7006) * CHOOSE(CONTROL!$C$21, $C$9, 100%, $E$9)</f>
        <v>20.700600000000001</v>
      </c>
      <c r="O688" s="10">
        <f>CHOOSE(CONTROL!$C$42, 20.9298, 20.9298) * CHOOSE(CONTROL!$C$21, $C$9, 100%, $E$9)</f>
        <v>20.9298</v>
      </c>
      <c r="P688" s="10">
        <f>CHOOSE(CONTROL!$C$42, 20.7119, 20.7119) * CHOOSE(CONTROL!$C$21, $C$9, 100%, $E$9)</f>
        <v>20.7119</v>
      </c>
      <c r="Q688" s="10">
        <f>CHOOSE(CONTROL!$C$42, 21.5251, 21.5251) * CHOOSE(CONTROL!$C$21, $C$9, 100%, $E$9)</f>
        <v>21.525099999999998</v>
      </c>
      <c r="R688" s="10">
        <f>CHOOSE(CONTROL!$C$42, 22.1659, 22.1659) * CHOOSE(CONTROL!$C$21, $C$9, 100%, $E$9)</f>
        <v>22.165900000000001</v>
      </c>
      <c r="S688" s="10">
        <f>CHOOSE(CONTROL!$C$42, 20.3155, 20.3155) * CHOOSE(CONTROL!$C$21, $C$9, 100%, $E$9)</f>
        <v>20.3155</v>
      </c>
      <c r="T6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38">
        <f>(1000*CHOOSE(CONTROL!$C$42, 695, 695)*CHOOSE(CONTROL!$C$42, 0.5599, 0.5599)*CHOOSE(CONTROL!$C$42, 30, 30))/1000000</f>
        <v>11.673914999999997</v>
      </c>
      <c r="V688" s="38">
        <f>(1000*CHOOSE(CONTROL!$C$42, 500, 500)*CHOOSE(CONTROL!$C$42, 0.275, 0.275)*CHOOSE(CONTROL!$C$42, 30, 30))/1000000</f>
        <v>4.125</v>
      </c>
      <c r="W688" s="38">
        <f>(1000*CHOOSE(CONTROL!$C$42, 0.1146, 0.1146)*CHOOSE(CONTROL!$C$42, 121.5, 121.5)*CHOOSE(CONTROL!$C$42, 30, 30))/1000000</f>
        <v>0.417717</v>
      </c>
      <c r="X688" s="38">
        <f>(30*0.1790888*245000/1000000)+(30*0.2374*100000/1000000)</f>
        <v>2.0285026799999999</v>
      </c>
      <c r="Y688" s="38">
        <f>(1000*600*CHOOSE(CONTROL!$C$42, 1.0585, 1.0585)*CHOOSE(CONTROL!$C$42, 30, 30))/1000000</f>
        <v>19.053000000000001</v>
      </c>
      <c r="Z688" s="38"/>
      <c r="AA688" s="10"/>
      <c r="AB688" s="39"/>
      <c r="AC688" s="33">
        <f>(B688*141.293+C688*267.993+D688*115.016+E688*89.698+F688*40+G688*185+H688*0+I688*100+J688*300)/(141.293+267.993+115.016+89.698+0+40+185+100+300)</f>
        <v>20.941743501694916</v>
      </c>
      <c r="AD688" s="27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20.800548201438847</v>
      </c>
    </row>
    <row r="689" spans="1:30" ht="15.75" x14ac:dyDescent="0.25">
      <c r="A689" s="13">
        <v>62244</v>
      </c>
      <c r="B689" s="10">
        <f>CHOOSE(CONTROL!$C$42, 21.1095, 21.1095) * CHOOSE(CONTROL!$C$21, $C$9, 100%, $E$9)</f>
        <v>21.109500000000001</v>
      </c>
      <c r="C689" s="10">
        <f>CHOOSE(CONTROL!$C$42, 21.1174, 21.1174) * CHOOSE(CONTROL!$C$21, $C$9, 100%, $E$9)</f>
        <v>21.1174</v>
      </c>
      <c r="D689" s="10">
        <f>CHOOSE(CONTROL!$C$42, 21.2944, 21.2944) * CHOOSE(CONTROL!$C$21, $C$9, 100%, $E$9)</f>
        <v>21.2944</v>
      </c>
      <c r="E689" s="10">
        <f>CHOOSE(CONTROL!$C$42, 21.3256, 21.3256) * CHOOSE(CONTROL!$C$21, $C$9, 100%, $E$9)</f>
        <v>21.325600000000001</v>
      </c>
      <c r="F689" s="10">
        <f>CHOOSE(CONTROL!$C$42, 21.0729, 21.0729)*CHOOSE(CONTROL!$C$21, $C$9, 100%, $E$9)</f>
        <v>21.072900000000001</v>
      </c>
      <c r="G689" s="10">
        <f>CHOOSE(CONTROL!$C$42, 21.0894, 21.0894)*CHOOSE(CONTROL!$C$21, $C$9, 100%, $E$9)</f>
        <v>21.089400000000001</v>
      </c>
      <c r="H689" s="10">
        <f>CHOOSE(CONTROL!$C$42, 21.3142, 21.3142) * CHOOSE(CONTROL!$C$21, $C$9, 100%, $E$9)</f>
        <v>21.3142</v>
      </c>
      <c r="I689" s="10">
        <f>CHOOSE(CONTROL!$C$42, 21.0941, 21.0941)* CHOOSE(CONTROL!$C$21, $C$9, 100%, $E$9)</f>
        <v>21.094100000000001</v>
      </c>
      <c r="J689" s="10">
        <f>CHOOSE(CONTROL!$C$42, 21.0659, 21.0659)* CHOOSE(CONTROL!$C$21, $C$9, 100%, $E$9)</f>
        <v>21.065899999999999</v>
      </c>
      <c r="K689" s="10">
        <f>CHOOSE(CONTROL!$C$42, 20.6292, 20.6292) * CHOOSE(CONTROL!$C$21, $C$9, 100%, $E$9)</f>
        <v>20.629200000000001</v>
      </c>
      <c r="L689" s="10">
        <f>CHOOSE(CONTROL!$C$42, 21.9012, 21.9012) * CHOOSE(CONTROL!$C$21, $C$9, 100%, $E$9)</f>
        <v>21.901199999999999</v>
      </c>
      <c r="M689" s="10">
        <f>CHOOSE(CONTROL!$C$42, 20.8671, 20.8671) * CHOOSE(CONTROL!$C$21, $C$9, 100%, $E$9)</f>
        <v>20.867100000000001</v>
      </c>
      <c r="N689" s="10">
        <f>CHOOSE(CONTROL!$C$42, 20.8835, 20.8835) * CHOOSE(CONTROL!$C$21, $C$9, 100%, $E$9)</f>
        <v>20.883500000000002</v>
      </c>
      <c r="O689" s="10">
        <f>CHOOSE(CONTROL!$C$42, 21.1129, 21.1129) * CHOOSE(CONTROL!$C$21, $C$9, 100%, $E$9)</f>
        <v>21.1129</v>
      </c>
      <c r="P689" s="10">
        <f>CHOOSE(CONTROL!$C$42, 20.8951, 20.8951) * CHOOSE(CONTROL!$C$21, $C$9, 100%, $E$9)</f>
        <v>20.895099999999999</v>
      </c>
      <c r="Q689" s="10">
        <f>CHOOSE(CONTROL!$C$42, 21.7082, 21.7082) * CHOOSE(CONTROL!$C$21, $C$9, 100%, $E$9)</f>
        <v>21.708200000000001</v>
      </c>
      <c r="R689" s="10">
        <f>CHOOSE(CONTROL!$C$42, 22.3495, 22.3495) * CHOOSE(CONTROL!$C$21, $C$9, 100%, $E$9)</f>
        <v>22.349499999999999</v>
      </c>
      <c r="S689" s="10">
        <f>CHOOSE(CONTROL!$C$42, 20.4952, 20.4952) * CHOOSE(CONTROL!$C$21, $C$9, 100%, $E$9)</f>
        <v>20.495200000000001</v>
      </c>
      <c r="T6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38">
        <f>(1000*CHOOSE(CONTROL!$C$42, 695, 695)*CHOOSE(CONTROL!$C$42, 0.5599, 0.5599)*CHOOSE(CONTROL!$C$42, 31, 31))/1000000</f>
        <v>12.063045499999998</v>
      </c>
      <c r="V689" s="38">
        <f>(1000*CHOOSE(CONTROL!$C$42, 500, 500)*CHOOSE(CONTROL!$C$42, 0.275, 0.275)*CHOOSE(CONTROL!$C$42, 31, 31))/1000000</f>
        <v>4.2625000000000002</v>
      </c>
      <c r="W689" s="38">
        <f>(1000*CHOOSE(CONTROL!$C$42, 0.1146, 0.1146)*CHOOSE(CONTROL!$C$42, 121.5, 121.5)*CHOOSE(CONTROL!$C$42, 31, 31))/1000000</f>
        <v>0.43164089999999994</v>
      </c>
      <c r="X689" s="38">
        <f>(31*0.1790888*245000/1000000)+(31*0.2374*100000/1000000)</f>
        <v>2.0961194359999999</v>
      </c>
      <c r="Y689" s="38">
        <f>(1000*600*CHOOSE(CONTROL!$C$42, 1.0585, 1.0585)*CHOOSE(CONTROL!$C$42, 31, 31))/1000000</f>
        <v>19.688099999999999</v>
      </c>
      <c r="Z689" s="38"/>
      <c r="AA689" s="10"/>
      <c r="AB689" s="39"/>
      <c r="AC689" s="33">
        <f>(B689*194.205+C689*267.466+D689*133.845+E689*53.484+F689*40+G689*185+H689*0+I689*100+J689*300)/(194.205+267.466+133.845+53.484+0+40+185+100+300)</f>
        <v>21.124112491601256</v>
      </c>
      <c r="AD689" s="27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20.983478417266188</v>
      </c>
    </row>
    <row r="690" spans="1:30" ht="15.75" x14ac:dyDescent="0.25">
      <c r="A690" s="13">
        <v>62274</v>
      </c>
      <c r="B690" s="10">
        <f>CHOOSE(CONTROL!$C$42, 21.7082, 21.7082) * CHOOSE(CONTROL!$C$21, $C$9, 100%, $E$9)</f>
        <v>21.708200000000001</v>
      </c>
      <c r="C690" s="10">
        <f>CHOOSE(CONTROL!$C$42, 21.7161, 21.7161) * CHOOSE(CONTROL!$C$21, $C$9, 100%, $E$9)</f>
        <v>21.716100000000001</v>
      </c>
      <c r="D690" s="10">
        <f>CHOOSE(CONTROL!$C$42, 21.8931, 21.8931) * CHOOSE(CONTROL!$C$21, $C$9, 100%, $E$9)</f>
        <v>21.8931</v>
      </c>
      <c r="E690" s="10">
        <f>CHOOSE(CONTROL!$C$42, 21.9242, 21.9242) * CHOOSE(CONTROL!$C$21, $C$9, 100%, $E$9)</f>
        <v>21.924199999999999</v>
      </c>
      <c r="F690" s="10">
        <f>CHOOSE(CONTROL!$C$42, 21.6717, 21.6717)*CHOOSE(CONTROL!$C$21, $C$9, 100%, $E$9)</f>
        <v>21.671700000000001</v>
      </c>
      <c r="G690" s="10">
        <f>CHOOSE(CONTROL!$C$42, 21.6882, 21.6882)*CHOOSE(CONTROL!$C$21, $C$9, 100%, $E$9)</f>
        <v>21.688199999999998</v>
      </c>
      <c r="H690" s="10">
        <f>CHOOSE(CONTROL!$C$42, 21.9128, 21.9128) * CHOOSE(CONTROL!$C$21, $C$9, 100%, $E$9)</f>
        <v>21.912800000000001</v>
      </c>
      <c r="I690" s="10">
        <f>CHOOSE(CONTROL!$C$42, 21.6928, 21.6928)* CHOOSE(CONTROL!$C$21, $C$9, 100%, $E$9)</f>
        <v>21.692799999999998</v>
      </c>
      <c r="J690" s="10">
        <f>CHOOSE(CONTROL!$C$42, 21.6647, 21.6647)* CHOOSE(CONTROL!$C$21, $C$9, 100%, $E$9)</f>
        <v>21.6647</v>
      </c>
      <c r="K690" s="10">
        <f>CHOOSE(CONTROL!$C$42, 21.2112, 21.2112) * CHOOSE(CONTROL!$C$21, $C$9, 100%, $E$9)</f>
        <v>21.211200000000002</v>
      </c>
      <c r="L690" s="10">
        <f>CHOOSE(CONTROL!$C$42, 22.4998, 22.4998) * CHOOSE(CONTROL!$C$21, $C$9, 100%, $E$9)</f>
        <v>22.4998</v>
      </c>
      <c r="M690" s="10">
        <f>CHOOSE(CONTROL!$C$42, 21.4599, 21.4599) * CHOOSE(CONTROL!$C$21, $C$9, 100%, $E$9)</f>
        <v>21.459900000000001</v>
      </c>
      <c r="N690" s="10">
        <f>CHOOSE(CONTROL!$C$42, 21.4763, 21.4763) * CHOOSE(CONTROL!$C$21, $C$9, 100%, $E$9)</f>
        <v>21.476299999999998</v>
      </c>
      <c r="O690" s="10">
        <f>CHOOSE(CONTROL!$C$42, 21.7055, 21.7055) * CHOOSE(CONTROL!$C$21, $C$9, 100%, $E$9)</f>
        <v>21.705500000000001</v>
      </c>
      <c r="P690" s="10">
        <f>CHOOSE(CONTROL!$C$42, 21.4877, 21.4877) * CHOOSE(CONTROL!$C$21, $C$9, 100%, $E$9)</f>
        <v>21.4877</v>
      </c>
      <c r="Q690" s="10">
        <f>CHOOSE(CONTROL!$C$42, 22.3008, 22.3008) * CHOOSE(CONTROL!$C$21, $C$9, 100%, $E$9)</f>
        <v>22.300799999999999</v>
      </c>
      <c r="R690" s="10">
        <f>CHOOSE(CONTROL!$C$42, 22.9436, 22.9436) * CHOOSE(CONTROL!$C$21, $C$9, 100%, $E$9)</f>
        <v>22.9436</v>
      </c>
      <c r="S690" s="10">
        <f>CHOOSE(CONTROL!$C$42, 21.0766, 21.0766) * CHOOSE(CONTROL!$C$21, $C$9, 100%, $E$9)</f>
        <v>21.076599999999999</v>
      </c>
      <c r="T6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38">
        <f>(1000*CHOOSE(CONTROL!$C$42, 695, 695)*CHOOSE(CONTROL!$C$42, 0.5599, 0.5599)*CHOOSE(CONTROL!$C$42, 30, 30))/1000000</f>
        <v>11.673914999999997</v>
      </c>
      <c r="V690" s="38">
        <f>(1000*CHOOSE(CONTROL!$C$42, 500, 500)*CHOOSE(CONTROL!$C$42, 0.275, 0.275)*CHOOSE(CONTROL!$C$42, 30, 30))/1000000</f>
        <v>4.125</v>
      </c>
      <c r="W690" s="38">
        <f>(1000*CHOOSE(CONTROL!$C$42, 0.1146, 0.1146)*CHOOSE(CONTROL!$C$42, 121.5, 121.5)*CHOOSE(CONTROL!$C$42, 30, 30))/1000000</f>
        <v>0.417717</v>
      </c>
      <c r="X690" s="38">
        <f>(30*0.1790888*245000/1000000)+(30*0.2374*100000/1000000)</f>
        <v>2.0285026799999999</v>
      </c>
      <c r="Y690" s="38">
        <f>(1000*600*CHOOSE(CONTROL!$C$42, 1.0585, 1.0585)*CHOOSE(CONTROL!$C$42, 30, 30))/1000000</f>
        <v>19.053000000000001</v>
      </c>
      <c r="Z690" s="38"/>
      <c r="AA690" s="10"/>
      <c r="AB690" s="39"/>
      <c r="AC690" s="33">
        <f>(B690*194.205+C690*267.466+D690*133.845+E690*53.484+F690*40+G690*185+H690*0+I690*100+J690*300)/(194.205+267.466+133.845+53.484+0+40+185+100+300)</f>
        <v>21.722849502276297</v>
      </c>
      <c r="AD690" s="27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21.576158992805755</v>
      </c>
    </row>
    <row r="691" spans="1:30" ht="15.75" x14ac:dyDescent="0.25">
      <c r="A691" s="13">
        <v>62305</v>
      </c>
      <c r="B691" s="10">
        <f>CHOOSE(CONTROL!$C$42, 21.2918, 21.2918) * CHOOSE(CONTROL!$C$21, $C$9, 100%, $E$9)</f>
        <v>21.291799999999999</v>
      </c>
      <c r="C691" s="10">
        <f>CHOOSE(CONTROL!$C$42, 21.2997, 21.2997) * CHOOSE(CONTROL!$C$21, $C$9, 100%, $E$9)</f>
        <v>21.299700000000001</v>
      </c>
      <c r="D691" s="10">
        <f>CHOOSE(CONTROL!$C$42, 21.4767, 21.4767) * CHOOSE(CONTROL!$C$21, $C$9, 100%, $E$9)</f>
        <v>21.476700000000001</v>
      </c>
      <c r="E691" s="10">
        <f>CHOOSE(CONTROL!$C$42, 21.5078, 21.5078) * CHOOSE(CONTROL!$C$21, $C$9, 100%, $E$9)</f>
        <v>21.5078</v>
      </c>
      <c r="F691" s="10">
        <f>CHOOSE(CONTROL!$C$42, 21.2556, 21.2556)*CHOOSE(CONTROL!$C$21, $C$9, 100%, $E$9)</f>
        <v>21.255600000000001</v>
      </c>
      <c r="G691" s="10">
        <f>CHOOSE(CONTROL!$C$42, 21.2722, 21.2722)*CHOOSE(CONTROL!$C$21, $C$9, 100%, $E$9)</f>
        <v>21.272200000000002</v>
      </c>
      <c r="H691" s="10">
        <f>CHOOSE(CONTROL!$C$42, 21.4965, 21.4965) * CHOOSE(CONTROL!$C$21, $C$9, 100%, $E$9)</f>
        <v>21.496500000000001</v>
      </c>
      <c r="I691" s="10">
        <f>CHOOSE(CONTROL!$C$42, 21.2764, 21.2764)* CHOOSE(CONTROL!$C$21, $C$9, 100%, $E$9)</f>
        <v>21.276399999999999</v>
      </c>
      <c r="J691" s="10">
        <f>CHOOSE(CONTROL!$C$42, 21.2486, 21.2486)* CHOOSE(CONTROL!$C$21, $C$9, 100%, $E$9)</f>
        <v>21.2486</v>
      </c>
      <c r="K691" s="10">
        <f>CHOOSE(CONTROL!$C$42, 20.8072, 20.8072) * CHOOSE(CONTROL!$C$21, $C$9, 100%, $E$9)</f>
        <v>20.807200000000002</v>
      </c>
      <c r="L691" s="10">
        <f>CHOOSE(CONTROL!$C$42, 22.0835, 22.0835) * CHOOSE(CONTROL!$C$21, $C$9, 100%, $E$9)</f>
        <v>22.083500000000001</v>
      </c>
      <c r="M691" s="10">
        <f>CHOOSE(CONTROL!$C$42, 21.048, 21.048) * CHOOSE(CONTROL!$C$21, $C$9, 100%, $E$9)</f>
        <v>21.047999999999998</v>
      </c>
      <c r="N691" s="10">
        <f>CHOOSE(CONTROL!$C$42, 21.0644, 21.0644) * CHOOSE(CONTROL!$C$21, $C$9, 100%, $E$9)</f>
        <v>21.064399999999999</v>
      </c>
      <c r="O691" s="10">
        <f>CHOOSE(CONTROL!$C$42, 21.2934, 21.2934) * CHOOSE(CONTROL!$C$21, $C$9, 100%, $E$9)</f>
        <v>21.293399999999998</v>
      </c>
      <c r="P691" s="10">
        <f>CHOOSE(CONTROL!$C$42, 21.0756, 21.0756) * CHOOSE(CONTROL!$C$21, $C$9, 100%, $E$9)</f>
        <v>21.075600000000001</v>
      </c>
      <c r="Q691" s="10">
        <f>CHOOSE(CONTROL!$C$42, 21.8887, 21.8887) * CHOOSE(CONTROL!$C$21, $C$9, 100%, $E$9)</f>
        <v>21.8887</v>
      </c>
      <c r="R691" s="10">
        <f>CHOOSE(CONTROL!$C$42, 22.5304, 22.5304) * CHOOSE(CONTROL!$C$21, $C$9, 100%, $E$9)</f>
        <v>22.5304</v>
      </c>
      <c r="S691" s="10">
        <f>CHOOSE(CONTROL!$C$42, 20.6722, 20.6722) * CHOOSE(CONTROL!$C$21, $C$9, 100%, $E$9)</f>
        <v>20.6722</v>
      </c>
      <c r="T6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38">
        <f>(1000*CHOOSE(CONTROL!$C$42, 695, 695)*CHOOSE(CONTROL!$C$42, 0.5599, 0.5599)*CHOOSE(CONTROL!$C$42, 31, 31))/1000000</f>
        <v>12.063045499999998</v>
      </c>
      <c r="V691" s="38">
        <f>(1000*CHOOSE(CONTROL!$C$42, 500, 500)*CHOOSE(CONTROL!$C$42, 0.275, 0.275)*CHOOSE(CONTROL!$C$42, 31, 31))/1000000</f>
        <v>4.2625000000000002</v>
      </c>
      <c r="W691" s="38">
        <f>(1000*CHOOSE(CONTROL!$C$42, 0.1146, 0.1146)*CHOOSE(CONTROL!$C$42, 121.5, 121.5)*CHOOSE(CONTROL!$C$42, 31, 31))/1000000</f>
        <v>0.43164089999999994</v>
      </c>
      <c r="X691" s="38">
        <f>(31*0.1790888*245000/1000000)+(31*0.2374*100000/1000000)</f>
        <v>2.0961194359999999</v>
      </c>
      <c r="Y691" s="38">
        <f>(1000*600*CHOOSE(CONTROL!$C$42, 1.0585, 1.0585)*CHOOSE(CONTROL!$C$42, 31, 31))/1000000</f>
        <v>19.688099999999999</v>
      </c>
      <c r="Z691" s="38"/>
      <c r="AA691" s="10"/>
      <c r="AB691" s="39"/>
      <c r="AC691" s="33">
        <f>(B691*194.205+C691*267.466+D691*133.845+E691*53.484+F691*40+G691*185+H691*0+I691*100+J691*300)/(194.205+267.466+133.845+53.484+0+40+185+100+300)</f>
        <v>21.306587649843017</v>
      </c>
      <c r="AD691" s="27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21.164139568345323</v>
      </c>
    </row>
    <row r="692" spans="1:30" ht="15.75" x14ac:dyDescent="0.25">
      <c r="A692" s="13">
        <v>62336</v>
      </c>
      <c r="B692" s="10">
        <f>CHOOSE(CONTROL!$C$42, 20.2404, 20.2404) * CHOOSE(CONTROL!$C$21, $C$9, 100%, $E$9)</f>
        <v>20.240400000000001</v>
      </c>
      <c r="C692" s="10">
        <f>CHOOSE(CONTROL!$C$42, 20.2483, 20.2483) * CHOOSE(CONTROL!$C$21, $C$9, 100%, $E$9)</f>
        <v>20.2483</v>
      </c>
      <c r="D692" s="10">
        <f>CHOOSE(CONTROL!$C$42, 20.4253, 20.4253) * CHOOSE(CONTROL!$C$21, $C$9, 100%, $E$9)</f>
        <v>20.4253</v>
      </c>
      <c r="E692" s="10">
        <f>CHOOSE(CONTROL!$C$42, 20.4564, 20.4564) * CHOOSE(CONTROL!$C$21, $C$9, 100%, $E$9)</f>
        <v>20.456399999999999</v>
      </c>
      <c r="F692" s="10">
        <f>CHOOSE(CONTROL!$C$42, 20.2042, 20.2042)*CHOOSE(CONTROL!$C$21, $C$9, 100%, $E$9)</f>
        <v>20.2042</v>
      </c>
      <c r="G692" s="10">
        <f>CHOOSE(CONTROL!$C$42, 20.2208, 20.2208)*CHOOSE(CONTROL!$C$21, $C$9, 100%, $E$9)</f>
        <v>20.220800000000001</v>
      </c>
      <c r="H692" s="10">
        <f>CHOOSE(CONTROL!$C$42, 20.445, 20.445) * CHOOSE(CONTROL!$C$21, $C$9, 100%, $E$9)</f>
        <v>20.445</v>
      </c>
      <c r="I692" s="10">
        <f>CHOOSE(CONTROL!$C$42, 20.225, 20.225)* CHOOSE(CONTROL!$C$21, $C$9, 100%, $E$9)</f>
        <v>20.225000000000001</v>
      </c>
      <c r="J692" s="10">
        <f>CHOOSE(CONTROL!$C$42, 20.1972, 20.1972)* CHOOSE(CONTROL!$C$21, $C$9, 100%, $E$9)</f>
        <v>20.197199999999999</v>
      </c>
      <c r="K692" s="10">
        <f>CHOOSE(CONTROL!$C$42, 19.7858, 19.7858) * CHOOSE(CONTROL!$C$21, $C$9, 100%, $E$9)</f>
        <v>19.785799999999998</v>
      </c>
      <c r="L692" s="10">
        <f>CHOOSE(CONTROL!$C$42, 21.032, 21.032) * CHOOSE(CONTROL!$C$21, $C$9, 100%, $E$9)</f>
        <v>21.032</v>
      </c>
      <c r="M692" s="10">
        <f>CHOOSE(CONTROL!$C$42, 20.0072, 20.0072) * CHOOSE(CONTROL!$C$21, $C$9, 100%, $E$9)</f>
        <v>20.007200000000001</v>
      </c>
      <c r="N692" s="10">
        <f>CHOOSE(CONTROL!$C$42, 20.0237, 20.0237) * CHOOSE(CONTROL!$C$21, $C$9, 100%, $E$9)</f>
        <v>20.023700000000002</v>
      </c>
      <c r="O692" s="10">
        <f>CHOOSE(CONTROL!$C$42, 20.2525, 20.2525) * CHOOSE(CONTROL!$C$21, $C$9, 100%, $E$9)</f>
        <v>20.252500000000001</v>
      </c>
      <c r="P692" s="10">
        <f>CHOOSE(CONTROL!$C$42, 20.0347, 20.0347) * CHOOSE(CONTROL!$C$21, $C$9, 100%, $E$9)</f>
        <v>20.034700000000001</v>
      </c>
      <c r="Q692" s="10">
        <f>CHOOSE(CONTROL!$C$42, 20.8478, 20.8478) * CHOOSE(CONTROL!$C$21, $C$9, 100%, $E$9)</f>
        <v>20.847799999999999</v>
      </c>
      <c r="R692" s="10">
        <f>CHOOSE(CONTROL!$C$42, 21.487, 21.487) * CHOOSE(CONTROL!$C$21, $C$9, 100%, $E$9)</f>
        <v>21.486999999999998</v>
      </c>
      <c r="S692" s="10">
        <f>CHOOSE(CONTROL!$C$42, 19.6512, 19.6512) * CHOOSE(CONTROL!$C$21, $C$9, 100%, $E$9)</f>
        <v>19.651199999999999</v>
      </c>
      <c r="T6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38">
        <f>(1000*CHOOSE(CONTROL!$C$42, 695, 695)*CHOOSE(CONTROL!$C$42, 0.5599, 0.5599)*CHOOSE(CONTROL!$C$42, 31, 31))/1000000</f>
        <v>12.063045499999998</v>
      </c>
      <c r="V692" s="38">
        <f>(1000*CHOOSE(CONTROL!$C$42, 500, 500)*CHOOSE(CONTROL!$C$42, 0.275, 0.275)*CHOOSE(CONTROL!$C$42, 31, 31))/1000000</f>
        <v>4.2625000000000002</v>
      </c>
      <c r="W692" s="38">
        <f>(1000*CHOOSE(CONTROL!$C$42, 0.1146, 0.1146)*CHOOSE(CONTROL!$C$42, 121.5, 121.5)*CHOOSE(CONTROL!$C$42, 31, 31))/1000000</f>
        <v>0.43164089999999994</v>
      </c>
      <c r="X692" s="38">
        <f>(31*0.1790888*245000/1000000)+(31*0.2374*100000/1000000)</f>
        <v>2.0961194359999999</v>
      </c>
      <c r="Y692" s="38">
        <f>(1000*600*CHOOSE(CONTROL!$C$42, 1.0585, 1.0585)*CHOOSE(CONTROL!$C$42, 31, 31))/1000000</f>
        <v>19.688099999999999</v>
      </c>
      <c r="Z692" s="38"/>
      <c r="AA692" s="10"/>
      <c r="AB692" s="39"/>
      <c r="AC692" s="33">
        <f>(B692*194.205+C692*267.466+D692*133.845+E692*53.484+F692*40+G692*185+H692*0+I692*100+J692*300)/(194.205+267.466+133.845+53.484+0+40+185+100+300)</f>
        <v>20.255187649843013</v>
      </c>
      <c r="AD692" s="27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20.123285611510791</v>
      </c>
    </row>
    <row r="693" spans="1:30" ht="15.75" x14ac:dyDescent="0.25">
      <c r="A693" s="13">
        <v>62366</v>
      </c>
      <c r="B693" s="10">
        <f>CHOOSE(CONTROL!$C$42, 18.9557, 18.9557) * CHOOSE(CONTROL!$C$21, $C$9, 100%, $E$9)</f>
        <v>18.9557</v>
      </c>
      <c r="C693" s="10">
        <f>CHOOSE(CONTROL!$C$42, 18.9636, 18.9636) * CHOOSE(CONTROL!$C$21, $C$9, 100%, $E$9)</f>
        <v>18.9636</v>
      </c>
      <c r="D693" s="10">
        <f>CHOOSE(CONTROL!$C$42, 19.1406, 19.1406) * CHOOSE(CONTROL!$C$21, $C$9, 100%, $E$9)</f>
        <v>19.140599999999999</v>
      </c>
      <c r="E693" s="10">
        <f>CHOOSE(CONTROL!$C$42, 19.1717, 19.1717) * CHOOSE(CONTROL!$C$21, $C$9, 100%, $E$9)</f>
        <v>19.171700000000001</v>
      </c>
      <c r="F693" s="10">
        <f>CHOOSE(CONTROL!$C$42, 18.9193, 18.9193)*CHOOSE(CONTROL!$C$21, $C$9, 100%, $E$9)</f>
        <v>18.9193</v>
      </c>
      <c r="G693" s="10">
        <f>CHOOSE(CONTROL!$C$42, 18.9358, 18.9358)*CHOOSE(CONTROL!$C$21, $C$9, 100%, $E$9)</f>
        <v>18.9358</v>
      </c>
      <c r="H693" s="10">
        <f>CHOOSE(CONTROL!$C$42, 19.1604, 19.1604) * CHOOSE(CONTROL!$C$21, $C$9, 100%, $E$9)</f>
        <v>19.160399999999999</v>
      </c>
      <c r="I693" s="10">
        <f>CHOOSE(CONTROL!$C$42, 18.9403, 18.9403)* CHOOSE(CONTROL!$C$21, $C$9, 100%, $E$9)</f>
        <v>18.940300000000001</v>
      </c>
      <c r="J693" s="10">
        <f>CHOOSE(CONTROL!$C$42, 18.9123, 18.9123)* CHOOSE(CONTROL!$C$21, $C$9, 100%, $E$9)</f>
        <v>18.912299999999998</v>
      </c>
      <c r="K693" s="10">
        <f>CHOOSE(CONTROL!$C$42, 18.5371, 18.5371) * CHOOSE(CONTROL!$C$21, $C$9, 100%, $E$9)</f>
        <v>18.537099999999999</v>
      </c>
      <c r="L693" s="10">
        <f>CHOOSE(CONTROL!$C$42, 19.7474, 19.7474) * CHOOSE(CONTROL!$C$21, $C$9, 100%, $E$9)</f>
        <v>19.747399999999999</v>
      </c>
      <c r="M693" s="10">
        <f>CHOOSE(CONTROL!$C$42, 18.7353, 18.7353) * CHOOSE(CONTROL!$C$21, $C$9, 100%, $E$9)</f>
        <v>18.735299999999999</v>
      </c>
      <c r="N693" s="10">
        <f>CHOOSE(CONTROL!$C$42, 18.7516, 18.7516) * CHOOSE(CONTROL!$C$21, $C$9, 100%, $E$9)</f>
        <v>18.7516</v>
      </c>
      <c r="O693" s="10">
        <f>CHOOSE(CONTROL!$C$42, 18.9808, 18.9808) * CHOOSE(CONTROL!$C$21, $C$9, 100%, $E$9)</f>
        <v>18.980799999999999</v>
      </c>
      <c r="P693" s="10">
        <f>CHOOSE(CONTROL!$C$42, 18.763, 18.763) * CHOOSE(CONTROL!$C$21, $C$9, 100%, $E$9)</f>
        <v>18.763000000000002</v>
      </c>
      <c r="Q693" s="10">
        <f>CHOOSE(CONTROL!$C$42, 19.5761, 19.5761) * CHOOSE(CONTROL!$C$21, $C$9, 100%, $E$9)</f>
        <v>19.5761</v>
      </c>
      <c r="R693" s="10">
        <f>CHOOSE(CONTROL!$C$42, 20.2121, 20.2121) * CHOOSE(CONTROL!$C$21, $C$9, 100%, $E$9)</f>
        <v>20.2121</v>
      </c>
      <c r="S693" s="10">
        <f>CHOOSE(CONTROL!$C$42, 18.4036, 18.4036) * CHOOSE(CONTROL!$C$21, $C$9, 100%, $E$9)</f>
        <v>18.403600000000001</v>
      </c>
      <c r="T6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38">
        <f>(1000*CHOOSE(CONTROL!$C$42, 695, 695)*CHOOSE(CONTROL!$C$42, 0.5599, 0.5599)*CHOOSE(CONTROL!$C$42, 30, 30))/1000000</f>
        <v>11.673914999999997</v>
      </c>
      <c r="V693" s="38">
        <f>(1000*CHOOSE(CONTROL!$C$42, 500, 500)*CHOOSE(CONTROL!$C$42, 0.275, 0.275)*CHOOSE(CONTROL!$C$42, 30, 30))/1000000</f>
        <v>4.125</v>
      </c>
      <c r="W693" s="38">
        <f>(1000*CHOOSE(CONTROL!$C$42, 0.1146, 0.1146)*CHOOSE(CONTROL!$C$42, 121.5, 121.5)*CHOOSE(CONTROL!$C$42, 30, 30))/1000000</f>
        <v>0.417717</v>
      </c>
      <c r="X693" s="38">
        <f>(30*0.1790888*245000/1000000)+(30*0.2374*100000/1000000)</f>
        <v>2.0285026799999999</v>
      </c>
      <c r="Y693" s="38">
        <f>(1000*600*CHOOSE(CONTROL!$C$42, 1.0585, 1.0585)*CHOOSE(CONTROL!$C$42, 30, 30))/1000000</f>
        <v>19.053000000000001</v>
      </c>
      <c r="Z693" s="38"/>
      <c r="AA693" s="10"/>
      <c r="AB693" s="39"/>
      <c r="AC693" s="33">
        <f>(B693*194.205+C693*267.466+D693*133.845+E693*53.484+F693*40+G693*185+H693*0+I693*100+J693*300)/(194.205+267.466+133.845+53.484+0+40+185+100+300)</f>
        <v>18.970390711067502</v>
      </c>
      <c r="AD693" s="27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18.851493525179858</v>
      </c>
    </row>
    <row r="694" spans="1:30" ht="15.75" x14ac:dyDescent="0.25">
      <c r="A694" s="13">
        <v>62397</v>
      </c>
      <c r="B694" s="10">
        <f>CHOOSE(CONTROL!$C$42, 18.5688, 18.5688) * CHOOSE(CONTROL!$C$21, $C$9, 100%, $E$9)</f>
        <v>18.5688</v>
      </c>
      <c r="C694" s="10">
        <f>CHOOSE(CONTROL!$C$42, 18.574, 18.574) * CHOOSE(CONTROL!$C$21, $C$9, 100%, $E$9)</f>
        <v>18.574000000000002</v>
      </c>
      <c r="D694" s="10">
        <f>CHOOSE(CONTROL!$C$42, 18.756, 18.756) * CHOOSE(CONTROL!$C$21, $C$9, 100%, $E$9)</f>
        <v>18.756</v>
      </c>
      <c r="E694" s="10">
        <f>CHOOSE(CONTROL!$C$42, 18.7848, 18.7848) * CHOOSE(CONTROL!$C$21, $C$9, 100%, $E$9)</f>
        <v>18.784800000000001</v>
      </c>
      <c r="F694" s="10">
        <f>CHOOSE(CONTROL!$C$42, 18.5344, 18.5344)*CHOOSE(CONTROL!$C$21, $C$9, 100%, $E$9)</f>
        <v>18.534400000000002</v>
      </c>
      <c r="G694" s="10">
        <f>CHOOSE(CONTROL!$C$42, 18.5506, 18.5506)*CHOOSE(CONTROL!$C$21, $C$9, 100%, $E$9)</f>
        <v>18.550599999999999</v>
      </c>
      <c r="H694" s="10">
        <f>CHOOSE(CONTROL!$C$42, 18.7752, 18.7752) * CHOOSE(CONTROL!$C$21, $C$9, 100%, $E$9)</f>
        <v>18.775200000000002</v>
      </c>
      <c r="I694" s="10">
        <f>CHOOSE(CONTROL!$C$42, 18.5551, 18.5551)* CHOOSE(CONTROL!$C$21, $C$9, 100%, $E$9)</f>
        <v>18.555099999999999</v>
      </c>
      <c r="J694" s="10">
        <f>CHOOSE(CONTROL!$C$42, 18.5274, 18.5274)* CHOOSE(CONTROL!$C$21, $C$9, 100%, $E$9)</f>
        <v>18.5274</v>
      </c>
      <c r="K694" s="10">
        <f>CHOOSE(CONTROL!$C$42, 18.1634, 18.1634) * CHOOSE(CONTROL!$C$21, $C$9, 100%, $E$9)</f>
        <v>18.163399999999999</v>
      </c>
      <c r="L694" s="10">
        <f>CHOOSE(CONTROL!$C$42, 19.3622, 19.3622) * CHOOSE(CONTROL!$C$21, $C$9, 100%, $E$9)</f>
        <v>19.362200000000001</v>
      </c>
      <c r="M694" s="10">
        <f>CHOOSE(CONTROL!$C$42, 18.3542, 18.3542) * CHOOSE(CONTROL!$C$21, $C$9, 100%, $E$9)</f>
        <v>18.354199999999999</v>
      </c>
      <c r="N694" s="10">
        <f>CHOOSE(CONTROL!$C$42, 18.3703, 18.3703) * CHOOSE(CONTROL!$C$21, $C$9, 100%, $E$9)</f>
        <v>18.3703</v>
      </c>
      <c r="O694" s="10">
        <f>CHOOSE(CONTROL!$C$42, 18.5996, 18.5996) * CHOOSE(CONTROL!$C$21, $C$9, 100%, $E$9)</f>
        <v>18.599599999999999</v>
      </c>
      <c r="P694" s="10">
        <f>CHOOSE(CONTROL!$C$42, 18.3818, 18.3818) * CHOOSE(CONTROL!$C$21, $C$9, 100%, $E$9)</f>
        <v>18.381799999999998</v>
      </c>
      <c r="Q694" s="10">
        <f>CHOOSE(CONTROL!$C$42, 19.1949, 19.1949) * CHOOSE(CONTROL!$C$21, $C$9, 100%, $E$9)</f>
        <v>19.194900000000001</v>
      </c>
      <c r="R694" s="10">
        <f>CHOOSE(CONTROL!$C$42, 19.8299, 19.8299) * CHOOSE(CONTROL!$C$21, $C$9, 100%, $E$9)</f>
        <v>19.829899999999999</v>
      </c>
      <c r="S694" s="10">
        <f>CHOOSE(CONTROL!$C$42, 18.0296, 18.0296) * CHOOSE(CONTROL!$C$21, $C$9, 100%, $E$9)</f>
        <v>18.029599999999999</v>
      </c>
      <c r="T6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38">
        <f>(1000*CHOOSE(CONTROL!$C$42, 695, 695)*CHOOSE(CONTROL!$C$42, 0.5599, 0.5599)*CHOOSE(CONTROL!$C$42, 31, 31))/1000000</f>
        <v>12.063045499999998</v>
      </c>
      <c r="V694" s="38">
        <f>(1000*CHOOSE(CONTROL!$C$42, 500, 500)*CHOOSE(CONTROL!$C$42, 0.275, 0.275)*CHOOSE(CONTROL!$C$42, 31, 31))/1000000</f>
        <v>4.2625000000000002</v>
      </c>
      <c r="W694" s="38">
        <f>(1000*CHOOSE(CONTROL!$C$42, 0.1146, 0.1146)*CHOOSE(CONTROL!$C$42, 121.5, 121.5)*CHOOSE(CONTROL!$C$42, 31, 31))/1000000</f>
        <v>0.43164089999999994</v>
      </c>
      <c r="X694" s="38">
        <f>(31*0.1790888*245000/1000000)+(31*0.2374*100000/1000000)</f>
        <v>2.0961194359999999</v>
      </c>
      <c r="Y694" s="38">
        <f>(1000*600*CHOOSE(CONTROL!$C$42, 1.0585, 1.0585)*CHOOSE(CONTROL!$C$42, 31, 31))/1000000</f>
        <v>19.688099999999999</v>
      </c>
      <c r="Z694" s="38"/>
      <c r="AA694" s="10"/>
      <c r="AB694" s="39"/>
      <c r="AC694" s="33">
        <f>(B694*131.881+C694*277.167+D694*79.08+E694*125.872+F694*40+G694*185+H694*0+I694*100+J694*300)/(131.881+277.167+79.08+125.872+0+40+185+100+300)</f>
        <v>18.588897172235676</v>
      </c>
      <c r="AD694" s="27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18.470322302158273</v>
      </c>
    </row>
    <row r="695" spans="1:30" ht="15.75" x14ac:dyDescent="0.25">
      <c r="A695" s="13">
        <v>62427</v>
      </c>
      <c r="B695" s="10">
        <f>CHOOSE(CONTROL!$C$42, 19.0575, 19.0575) * CHOOSE(CONTROL!$C$21, $C$9, 100%, $E$9)</f>
        <v>19.057500000000001</v>
      </c>
      <c r="C695" s="10">
        <f>CHOOSE(CONTROL!$C$42, 19.0624, 19.0624) * CHOOSE(CONTROL!$C$21, $C$9, 100%, $E$9)</f>
        <v>19.0624</v>
      </c>
      <c r="D695" s="10">
        <f>CHOOSE(CONTROL!$C$42, 19.0869, 19.0869) * CHOOSE(CONTROL!$C$21, $C$9, 100%, $E$9)</f>
        <v>19.0869</v>
      </c>
      <c r="E695" s="10">
        <f>CHOOSE(CONTROL!$C$42, 19.1207, 19.1207) * CHOOSE(CONTROL!$C$21, $C$9, 100%, $E$9)</f>
        <v>19.120699999999999</v>
      </c>
      <c r="F695" s="10">
        <f>CHOOSE(CONTROL!$C$42, 19.0268, 19.0268)*CHOOSE(CONTROL!$C$21, $C$9, 100%, $E$9)</f>
        <v>19.026800000000001</v>
      </c>
      <c r="G695" s="10">
        <f>CHOOSE(CONTROL!$C$42, 19.0432, 19.0432)*CHOOSE(CONTROL!$C$21, $C$9, 100%, $E$9)</f>
        <v>19.043199999999999</v>
      </c>
      <c r="H695" s="10">
        <f>CHOOSE(CONTROL!$C$42, 19.1099, 19.1099) * CHOOSE(CONTROL!$C$21, $C$9, 100%, $E$9)</f>
        <v>19.1099</v>
      </c>
      <c r="I695" s="10">
        <f>CHOOSE(CONTROL!$C$42, 19.0442, 19.0442)* CHOOSE(CONTROL!$C$21, $C$9, 100%, $E$9)</f>
        <v>19.0442</v>
      </c>
      <c r="J695" s="10">
        <f>CHOOSE(CONTROL!$C$42, 19.0198, 19.0198)* CHOOSE(CONTROL!$C$21, $C$9, 100%, $E$9)</f>
        <v>19.0198</v>
      </c>
      <c r="K695" s="10">
        <f>CHOOSE(CONTROL!$C$42, 18.6401, 18.6401) * CHOOSE(CONTROL!$C$21, $C$9, 100%, $E$9)</f>
        <v>18.6401</v>
      </c>
      <c r="L695" s="10">
        <f>CHOOSE(CONTROL!$C$42, 19.6969, 19.6969) * CHOOSE(CONTROL!$C$21, $C$9, 100%, $E$9)</f>
        <v>19.696899999999999</v>
      </c>
      <c r="M695" s="10">
        <f>CHOOSE(CONTROL!$C$42, 18.8417, 18.8417) * CHOOSE(CONTROL!$C$21, $C$9, 100%, $E$9)</f>
        <v>18.841699999999999</v>
      </c>
      <c r="N695" s="10">
        <f>CHOOSE(CONTROL!$C$42, 18.8579, 18.8579) * CHOOSE(CONTROL!$C$21, $C$9, 100%, $E$9)</f>
        <v>18.857900000000001</v>
      </c>
      <c r="O695" s="10">
        <f>CHOOSE(CONTROL!$C$42, 18.9308, 18.9308) * CHOOSE(CONTROL!$C$21, $C$9, 100%, $E$9)</f>
        <v>18.930800000000001</v>
      </c>
      <c r="P695" s="10">
        <f>CHOOSE(CONTROL!$C$42, 18.8659, 18.8659) * CHOOSE(CONTROL!$C$21, $C$9, 100%, $E$9)</f>
        <v>18.8659</v>
      </c>
      <c r="Q695" s="10">
        <f>CHOOSE(CONTROL!$C$42, 19.5261, 19.5261) * CHOOSE(CONTROL!$C$21, $C$9, 100%, $E$9)</f>
        <v>19.5261</v>
      </c>
      <c r="R695" s="10">
        <f>CHOOSE(CONTROL!$C$42, 20.1619, 20.1619) * CHOOSE(CONTROL!$C$21, $C$9, 100%, $E$9)</f>
        <v>20.161899999999999</v>
      </c>
      <c r="S695" s="10">
        <f>CHOOSE(CONTROL!$C$42, 18.5046, 18.5046) * CHOOSE(CONTROL!$C$21, $C$9, 100%, $E$9)</f>
        <v>18.5046</v>
      </c>
      <c r="T6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38">
        <f>(1000*CHOOSE(CONTROL!$C$42, 695, 695)*CHOOSE(CONTROL!$C$42, 0.5599, 0.5599)*CHOOSE(CONTROL!$C$42, 30, 30))/1000000</f>
        <v>11.673914999999997</v>
      </c>
      <c r="V695" s="38">
        <f>(1000*CHOOSE(CONTROL!$C$42, 500, 500)*CHOOSE(CONTROL!$C$42, 0.275, 0.275)*CHOOSE(CONTROL!$C$42, 30, 30))/1000000</f>
        <v>4.125</v>
      </c>
      <c r="W695" s="38">
        <f>(1000*CHOOSE(CONTROL!$C$42, 0.1146, 0.1146)*CHOOSE(CONTROL!$C$42, 121.5, 121.5)*CHOOSE(CONTROL!$C$42, 30, 30))/1000000</f>
        <v>0.417717</v>
      </c>
      <c r="X695" s="38">
        <f>(30*0.1790888*100000/1000000)+(30*0.2374*100000/1000000)</f>
        <v>1.2494664</v>
      </c>
      <c r="Y695" s="38">
        <f>(1000*600*CHOOSE(CONTROL!$C$42, 1.0585, 1.0585)*CHOOSE(CONTROL!$C$42, 30, 30))/1000000</f>
        <v>19.053000000000001</v>
      </c>
      <c r="Z695" s="38"/>
      <c r="AA695" s="10"/>
      <c r="AB695" s="39"/>
      <c r="AC695" s="33">
        <f>(B695*122.58+C695*297.941+D695*89.177+E695*40.302+F695*40+G695*160+H695*0+I695*100+J695*300)/(122.58+297.941+89.177+40.302+0+40+160+100+300)</f>
        <v>19.049215479217391</v>
      </c>
      <c r="AD695" s="27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18.886497841726619</v>
      </c>
    </row>
    <row r="696" spans="1:30" ht="15.75" x14ac:dyDescent="0.25">
      <c r="A696" s="13">
        <v>62458</v>
      </c>
      <c r="B696" s="10">
        <f>CHOOSE(CONTROL!$C$42, 20.3566, 20.3566) * CHOOSE(CONTROL!$C$21, $C$9, 100%, $E$9)</f>
        <v>20.3566</v>
      </c>
      <c r="C696" s="10">
        <f>CHOOSE(CONTROL!$C$42, 20.3615, 20.3615) * CHOOSE(CONTROL!$C$21, $C$9, 100%, $E$9)</f>
        <v>20.361499999999999</v>
      </c>
      <c r="D696" s="10">
        <f>CHOOSE(CONTROL!$C$42, 20.386, 20.386) * CHOOSE(CONTROL!$C$21, $C$9, 100%, $E$9)</f>
        <v>20.385999999999999</v>
      </c>
      <c r="E696" s="10">
        <f>CHOOSE(CONTROL!$C$42, 20.4198, 20.4198) * CHOOSE(CONTROL!$C$21, $C$9, 100%, $E$9)</f>
        <v>20.419799999999999</v>
      </c>
      <c r="F696" s="10">
        <f>CHOOSE(CONTROL!$C$42, 20.3282, 20.3282)*CHOOSE(CONTROL!$C$21, $C$9, 100%, $E$9)</f>
        <v>20.328199999999999</v>
      </c>
      <c r="G696" s="10">
        <f>CHOOSE(CONTROL!$C$42, 20.3453, 20.3453)*CHOOSE(CONTROL!$C$21, $C$9, 100%, $E$9)</f>
        <v>20.345300000000002</v>
      </c>
      <c r="H696" s="10">
        <f>CHOOSE(CONTROL!$C$42, 20.409, 20.409) * CHOOSE(CONTROL!$C$21, $C$9, 100%, $E$9)</f>
        <v>20.408999999999999</v>
      </c>
      <c r="I696" s="10">
        <f>CHOOSE(CONTROL!$C$42, 20.3434, 20.3434)* CHOOSE(CONTROL!$C$21, $C$9, 100%, $E$9)</f>
        <v>20.343399999999999</v>
      </c>
      <c r="J696" s="10">
        <f>CHOOSE(CONTROL!$C$42, 20.3212, 20.3212)* CHOOSE(CONTROL!$C$21, $C$9, 100%, $E$9)</f>
        <v>20.321200000000001</v>
      </c>
      <c r="K696" s="10">
        <f>CHOOSE(CONTROL!$C$42, 19.9074, 19.9074) * CHOOSE(CONTROL!$C$21, $C$9, 100%, $E$9)</f>
        <v>19.907399999999999</v>
      </c>
      <c r="L696" s="10">
        <f>CHOOSE(CONTROL!$C$42, 20.996, 20.996) * CHOOSE(CONTROL!$C$21, $C$9, 100%, $E$9)</f>
        <v>20.995999999999999</v>
      </c>
      <c r="M696" s="10">
        <f>CHOOSE(CONTROL!$C$42, 20.13, 20.13) * CHOOSE(CONTROL!$C$21, $C$9, 100%, $E$9)</f>
        <v>20.13</v>
      </c>
      <c r="N696" s="10">
        <f>CHOOSE(CONTROL!$C$42, 20.1468, 20.1468) * CHOOSE(CONTROL!$C$21, $C$9, 100%, $E$9)</f>
        <v>20.146799999999999</v>
      </c>
      <c r="O696" s="10">
        <f>CHOOSE(CONTROL!$C$42, 20.2168, 20.2168) * CHOOSE(CONTROL!$C$21, $C$9, 100%, $E$9)</f>
        <v>20.216799999999999</v>
      </c>
      <c r="P696" s="10">
        <f>CHOOSE(CONTROL!$C$42, 20.1519, 20.1519) * CHOOSE(CONTROL!$C$21, $C$9, 100%, $E$9)</f>
        <v>20.151900000000001</v>
      </c>
      <c r="Q696" s="10">
        <f>CHOOSE(CONTROL!$C$42, 20.8121, 20.8121) * CHOOSE(CONTROL!$C$21, $C$9, 100%, $E$9)</f>
        <v>20.812100000000001</v>
      </c>
      <c r="R696" s="10">
        <f>CHOOSE(CONTROL!$C$42, 21.4512, 21.4512) * CHOOSE(CONTROL!$C$21, $C$9, 100%, $E$9)</f>
        <v>21.4512</v>
      </c>
      <c r="S696" s="10">
        <f>CHOOSE(CONTROL!$C$42, 19.7662, 19.7662) * CHOOSE(CONTROL!$C$21, $C$9, 100%, $E$9)</f>
        <v>19.766200000000001</v>
      </c>
      <c r="T6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38">
        <f>(1000*CHOOSE(CONTROL!$C$42, 695, 695)*CHOOSE(CONTROL!$C$42, 0.5599, 0.5599)*CHOOSE(CONTROL!$C$42, 31, 31))/1000000</f>
        <v>12.063045499999998</v>
      </c>
      <c r="V696" s="38">
        <f>(1000*CHOOSE(CONTROL!$C$42, 500, 500)*CHOOSE(CONTROL!$C$42, 0.275, 0.275)*CHOOSE(CONTROL!$C$42, 31, 31))/1000000</f>
        <v>4.2625000000000002</v>
      </c>
      <c r="W696" s="38">
        <f>(1000*CHOOSE(CONTROL!$C$42, 0.1146, 0.1146)*CHOOSE(CONTROL!$C$42, 121.5, 121.5)*CHOOSE(CONTROL!$C$42, 31, 31))/1000000</f>
        <v>0.43164089999999994</v>
      </c>
      <c r="X696" s="38">
        <f>(31*0.1790888*100000/1000000)+(31*0.2374*100000/1000000)</f>
        <v>1.2911152800000001</v>
      </c>
      <c r="Y696" s="38">
        <f>(1000*600*CHOOSE(CONTROL!$C$42, 1.0585, 1.0585)*CHOOSE(CONTROL!$C$42, 31, 31))/1000000</f>
        <v>19.688099999999999</v>
      </c>
      <c r="Z696" s="38"/>
      <c r="AA696" s="10"/>
      <c r="AB696" s="39"/>
      <c r="AC696" s="33">
        <f>(B696*122.58+C696*297.941+D696*89.177+E696*40.302+F696*40+G696*160+H696*0+I696*100+J696*300)/(122.58+297.941+89.177+40.302+0+40+160+100+300)</f>
        <v>20.349421566173916</v>
      </c>
      <c r="AD696" s="27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20.173458992805756</v>
      </c>
    </row>
    <row r="697" spans="1:30" ht="15.75" x14ac:dyDescent="0.25">
      <c r="A697" s="13">
        <v>62489</v>
      </c>
      <c r="B697" s="10">
        <f>CHOOSE(CONTROL!$C$42, 21.7303, 21.7303) * CHOOSE(CONTROL!$C$21, $C$9, 100%, $E$9)</f>
        <v>21.7303</v>
      </c>
      <c r="C697" s="10">
        <f>CHOOSE(CONTROL!$C$42, 21.7353, 21.7353) * CHOOSE(CONTROL!$C$21, $C$9, 100%, $E$9)</f>
        <v>21.735299999999999</v>
      </c>
      <c r="D697" s="10">
        <f>CHOOSE(CONTROL!$C$42, 21.7598, 21.7598) * CHOOSE(CONTROL!$C$21, $C$9, 100%, $E$9)</f>
        <v>21.759799999999998</v>
      </c>
      <c r="E697" s="10">
        <f>CHOOSE(CONTROL!$C$42, 21.7935, 21.7935) * CHOOSE(CONTROL!$C$21, $C$9, 100%, $E$9)</f>
        <v>21.793500000000002</v>
      </c>
      <c r="F697" s="10">
        <f>CHOOSE(CONTROL!$C$42, 21.7133, 21.7133)*CHOOSE(CONTROL!$C$21, $C$9, 100%, $E$9)</f>
        <v>21.7133</v>
      </c>
      <c r="G697" s="10">
        <f>CHOOSE(CONTROL!$C$42, 21.7319, 21.7319)*CHOOSE(CONTROL!$C$21, $C$9, 100%, $E$9)</f>
        <v>21.7319</v>
      </c>
      <c r="H697" s="10">
        <f>CHOOSE(CONTROL!$C$42, 21.7827, 21.7827) * CHOOSE(CONTROL!$C$21, $C$9, 100%, $E$9)</f>
        <v>21.782699999999998</v>
      </c>
      <c r="I697" s="10">
        <f>CHOOSE(CONTROL!$C$42, 21.7248, 21.7248)* CHOOSE(CONTROL!$C$21, $C$9, 100%, $E$9)</f>
        <v>21.724799999999998</v>
      </c>
      <c r="J697" s="10">
        <f>CHOOSE(CONTROL!$C$42, 21.7063, 21.7063)* CHOOSE(CONTROL!$C$21, $C$9, 100%, $E$9)</f>
        <v>21.706299999999999</v>
      </c>
      <c r="K697" s="10">
        <f>CHOOSE(CONTROL!$C$42, 21.2631, 21.2631) * CHOOSE(CONTROL!$C$21, $C$9, 100%, $E$9)</f>
        <v>21.263100000000001</v>
      </c>
      <c r="L697" s="10">
        <f>CHOOSE(CONTROL!$C$42, 22.3697, 22.3697) * CHOOSE(CONTROL!$C$21, $C$9, 100%, $E$9)</f>
        <v>22.369700000000002</v>
      </c>
      <c r="M697" s="10">
        <f>CHOOSE(CONTROL!$C$42, 21.5011, 21.5011) * CHOOSE(CONTROL!$C$21, $C$9, 100%, $E$9)</f>
        <v>21.501100000000001</v>
      </c>
      <c r="N697" s="10">
        <f>CHOOSE(CONTROL!$C$42, 21.5195, 21.5195) * CHOOSE(CONTROL!$C$21, $C$9, 100%, $E$9)</f>
        <v>21.519500000000001</v>
      </c>
      <c r="O697" s="10">
        <f>CHOOSE(CONTROL!$C$42, 21.5767, 21.5767) * CHOOSE(CONTROL!$C$21, $C$9, 100%, $E$9)</f>
        <v>21.576699999999999</v>
      </c>
      <c r="P697" s="10">
        <f>CHOOSE(CONTROL!$C$42, 21.5195, 21.5195) * CHOOSE(CONTROL!$C$21, $C$9, 100%, $E$9)</f>
        <v>21.519500000000001</v>
      </c>
      <c r="Q697" s="10">
        <f>CHOOSE(CONTROL!$C$42, 22.172, 22.172) * CHOOSE(CONTROL!$C$21, $C$9, 100%, $E$9)</f>
        <v>22.172000000000001</v>
      </c>
      <c r="R697" s="10">
        <f>CHOOSE(CONTROL!$C$42, 22.8145, 22.8145) * CHOOSE(CONTROL!$C$21, $C$9, 100%, $E$9)</f>
        <v>22.814499999999999</v>
      </c>
      <c r="S697" s="10">
        <f>CHOOSE(CONTROL!$C$42, 21.1002, 21.1002) * CHOOSE(CONTROL!$C$21, $C$9, 100%, $E$9)</f>
        <v>21.100200000000001</v>
      </c>
      <c r="T6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38">
        <f>(1000*CHOOSE(CONTROL!$C$42, 695, 695)*CHOOSE(CONTROL!$C$42, 0.5599, 0.5599)*CHOOSE(CONTROL!$C$42, 31, 31))/1000000</f>
        <v>12.063045499999998</v>
      </c>
      <c r="V697" s="38">
        <f>(1000*CHOOSE(CONTROL!$C$42, 500, 500)*CHOOSE(CONTROL!$C$42, 0.275, 0.275)*CHOOSE(CONTROL!$C$42, 31, 31))/1000000</f>
        <v>4.2625000000000002</v>
      </c>
      <c r="W697" s="38">
        <f>(1000*CHOOSE(CONTROL!$C$42, 0.1146, 0.1146)*CHOOSE(CONTROL!$C$42, 121.5, 121.5)*CHOOSE(CONTROL!$C$42, 31, 31))/1000000</f>
        <v>0.43164089999999994</v>
      </c>
      <c r="X697" s="38">
        <f>(31*0.1790888*100000/1000000)+(31*0.2374*100000/1000000)</f>
        <v>1.2911152800000001</v>
      </c>
      <c r="Y697" s="38">
        <f>(1000*600*CHOOSE(CONTROL!$C$42, 1.0585, 1.0585)*CHOOSE(CONTROL!$C$42, 31, 31))/1000000</f>
        <v>19.688099999999999</v>
      </c>
      <c r="Z697" s="38"/>
      <c r="AA697" s="10"/>
      <c r="AB697" s="39"/>
      <c r="AC697" s="33">
        <f>(B697*122.58+C697*297.941+D697*89.177+E697*40.302+F697*40+G697*160+H697*0+I697*100+J697*300)/(122.58+297.941+89.177+40.302+0+40+160+100+300)</f>
        <v>21.728990011217391</v>
      </c>
      <c r="AD697" s="27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21.539071223021583</v>
      </c>
    </row>
    <row r="698" spans="1:30" ht="15.75" x14ac:dyDescent="0.25">
      <c r="A698" s="13">
        <v>62517</v>
      </c>
      <c r="B698" s="10">
        <f>CHOOSE(CONTROL!$C$42, 22.1171, 22.1171) * CHOOSE(CONTROL!$C$21, $C$9, 100%, $E$9)</f>
        <v>22.117100000000001</v>
      </c>
      <c r="C698" s="10">
        <f>CHOOSE(CONTROL!$C$42, 22.1221, 22.1221) * CHOOSE(CONTROL!$C$21, $C$9, 100%, $E$9)</f>
        <v>22.1221</v>
      </c>
      <c r="D698" s="10">
        <f>CHOOSE(CONTROL!$C$42, 22.1465, 22.1465) * CHOOSE(CONTROL!$C$21, $C$9, 100%, $E$9)</f>
        <v>22.1465</v>
      </c>
      <c r="E698" s="10">
        <f>CHOOSE(CONTROL!$C$42, 22.1803, 22.1803) * CHOOSE(CONTROL!$C$21, $C$9, 100%, $E$9)</f>
        <v>22.180299999999999</v>
      </c>
      <c r="F698" s="10">
        <f>CHOOSE(CONTROL!$C$42, 22.0994, 22.0994)*CHOOSE(CONTROL!$C$21, $C$9, 100%, $E$9)</f>
        <v>22.099399999999999</v>
      </c>
      <c r="G698" s="10">
        <f>CHOOSE(CONTROL!$C$42, 22.1179, 22.1179)*CHOOSE(CONTROL!$C$21, $C$9, 100%, $E$9)</f>
        <v>22.117899999999999</v>
      </c>
      <c r="H698" s="10">
        <f>CHOOSE(CONTROL!$C$42, 22.1695, 22.1695) * CHOOSE(CONTROL!$C$21, $C$9, 100%, $E$9)</f>
        <v>22.169499999999999</v>
      </c>
      <c r="I698" s="10">
        <f>CHOOSE(CONTROL!$C$42, 22.1116, 22.1116)* CHOOSE(CONTROL!$C$21, $C$9, 100%, $E$9)</f>
        <v>22.111599999999999</v>
      </c>
      <c r="J698" s="10">
        <f>CHOOSE(CONTROL!$C$42, 22.0924, 22.0924)* CHOOSE(CONTROL!$C$21, $C$9, 100%, $E$9)</f>
        <v>22.092400000000001</v>
      </c>
      <c r="K698" s="10">
        <f>CHOOSE(CONTROL!$C$42, 21.6374, 21.6374) * CHOOSE(CONTROL!$C$21, $C$9, 100%, $E$9)</f>
        <v>21.6374</v>
      </c>
      <c r="L698" s="10">
        <f>CHOOSE(CONTROL!$C$42, 22.7565, 22.7565) * CHOOSE(CONTROL!$C$21, $C$9, 100%, $E$9)</f>
        <v>22.756499999999999</v>
      </c>
      <c r="M698" s="10">
        <f>CHOOSE(CONTROL!$C$42, 21.8833, 21.8833) * CHOOSE(CONTROL!$C$21, $C$9, 100%, $E$9)</f>
        <v>21.883299999999998</v>
      </c>
      <c r="N698" s="10">
        <f>CHOOSE(CONTROL!$C$42, 21.9016, 21.9016) * CHOOSE(CONTROL!$C$21, $C$9, 100%, $E$9)</f>
        <v>21.901599999999998</v>
      </c>
      <c r="O698" s="10">
        <f>CHOOSE(CONTROL!$C$42, 21.9596, 21.9596) * CHOOSE(CONTROL!$C$21, $C$9, 100%, $E$9)</f>
        <v>21.959599999999998</v>
      </c>
      <c r="P698" s="10">
        <f>CHOOSE(CONTROL!$C$42, 21.9023, 21.9023) * CHOOSE(CONTROL!$C$21, $C$9, 100%, $E$9)</f>
        <v>21.9023</v>
      </c>
      <c r="Q698" s="10">
        <f>CHOOSE(CONTROL!$C$42, 22.5549, 22.5549) * CHOOSE(CONTROL!$C$21, $C$9, 100%, $E$9)</f>
        <v>22.5549</v>
      </c>
      <c r="R698" s="10">
        <f>CHOOSE(CONTROL!$C$42, 23.1983, 23.1983) * CHOOSE(CONTROL!$C$21, $C$9, 100%, $E$9)</f>
        <v>23.1983</v>
      </c>
      <c r="S698" s="10">
        <f>CHOOSE(CONTROL!$C$42, 21.4758, 21.4758) * CHOOSE(CONTROL!$C$21, $C$9, 100%, $E$9)</f>
        <v>21.4758</v>
      </c>
      <c r="T6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38">
        <f>(1000*CHOOSE(CONTROL!$C$42, 695, 695)*CHOOSE(CONTROL!$C$42, 0.5599, 0.5599)*CHOOSE(CONTROL!$C$42, 28, 28))/1000000</f>
        <v>10.895653999999999</v>
      </c>
      <c r="V698" s="38">
        <f>(1000*CHOOSE(CONTROL!$C$42, 500, 500)*CHOOSE(CONTROL!$C$42, 0.275, 0.275)*CHOOSE(CONTROL!$C$42, 28, 28))/1000000</f>
        <v>3.85</v>
      </c>
      <c r="W698" s="38">
        <f>(1000*CHOOSE(CONTROL!$C$42, 0.1146, 0.1146)*CHOOSE(CONTROL!$C$42, 121.5, 121.5)*CHOOSE(CONTROL!$C$42, 28, 28))/1000000</f>
        <v>0.38986920000000003</v>
      </c>
      <c r="X698" s="38">
        <f>(28*0.1790888*100000/1000000)+(28*0.2374*100000/1000000)</f>
        <v>1.16616864</v>
      </c>
      <c r="Y698" s="38">
        <f>(1000*600*CHOOSE(CONTROL!$C$42, 1.0585, 1.0585)*CHOOSE(CONTROL!$C$42, 28, 28))/1000000</f>
        <v>17.782800000000002</v>
      </c>
      <c r="Z698" s="38"/>
      <c r="AA698" s="10"/>
      <c r="AB698" s="39"/>
      <c r="AC698" s="33">
        <f>(B698*122.58+C698*297.941+D698*89.177+E698*40.302+F698*40+G698*160+H698*0+I698*100+J698*300)/(122.58+297.941+89.177+40.302+0+40+160+100+300)</f>
        <v>22.11546399582609</v>
      </c>
      <c r="AD698" s="27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21.921669064748198</v>
      </c>
    </row>
    <row r="699" spans="1:30" ht="15.75" x14ac:dyDescent="0.25">
      <c r="A699" s="13">
        <v>62548</v>
      </c>
      <c r="B699" s="10">
        <f>CHOOSE(CONTROL!$C$42, 21.4893, 21.4893) * CHOOSE(CONTROL!$C$21, $C$9, 100%, $E$9)</f>
        <v>21.4893</v>
      </c>
      <c r="C699" s="10">
        <f>CHOOSE(CONTROL!$C$42, 21.4942, 21.4942) * CHOOSE(CONTROL!$C$21, $C$9, 100%, $E$9)</f>
        <v>21.494199999999999</v>
      </c>
      <c r="D699" s="10">
        <f>CHOOSE(CONTROL!$C$42, 21.5187, 21.5187) * CHOOSE(CONTROL!$C$21, $C$9, 100%, $E$9)</f>
        <v>21.518699999999999</v>
      </c>
      <c r="E699" s="10">
        <f>CHOOSE(CONTROL!$C$42, 21.5525, 21.5525) * CHOOSE(CONTROL!$C$21, $C$9, 100%, $E$9)</f>
        <v>21.552499999999998</v>
      </c>
      <c r="F699" s="10">
        <f>CHOOSE(CONTROL!$C$42, 21.47, 21.47)*CHOOSE(CONTROL!$C$21, $C$9, 100%, $E$9)</f>
        <v>21.47</v>
      </c>
      <c r="G699" s="10">
        <f>CHOOSE(CONTROL!$C$42, 21.4881, 21.4881)*CHOOSE(CONTROL!$C$21, $C$9, 100%, $E$9)</f>
        <v>21.488099999999999</v>
      </c>
      <c r="H699" s="10">
        <f>CHOOSE(CONTROL!$C$42, 21.5417, 21.5417) * CHOOSE(CONTROL!$C$21, $C$9, 100%, $E$9)</f>
        <v>21.541699999999999</v>
      </c>
      <c r="I699" s="10">
        <f>CHOOSE(CONTROL!$C$42, 21.4838, 21.4838)* CHOOSE(CONTROL!$C$21, $C$9, 100%, $E$9)</f>
        <v>21.483799999999999</v>
      </c>
      <c r="J699" s="10">
        <f>CHOOSE(CONTROL!$C$42, 21.463, 21.463)* CHOOSE(CONTROL!$C$21, $C$9, 100%, $E$9)</f>
        <v>21.463000000000001</v>
      </c>
      <c r="K699" s="10">
        <f>CHOOSE(CONTROL!$C$42, 21.024, 21.024) * CHOOSE(CONTROL!$C$21, $C$9, 100%, $E$9)</f>
        <v>21.024000000000001</v>
      </c>
      <c r="L699" s="10">
        <f>CHOOSE(CONTROL!$C$42, 22.1287, 22.1287) * CHOOSE(CONTROL!$C$21, $C$9, 100%, $E$9)</f>
        <v>22.128699999999998</v>
      </c>
      <c r="M699" s="10">
        <f>CHOOSE(CONTROL!$C$42, 21.2602, 21.2602) * CHOOSE(CONTROL!$C$21, $C$9, 100%, $E$9)</f>
        <v>21.260200000000001</v>
      </c>
      <c r="N699" s="10">
        <f>CHOOSE(CONTROL!$C$42, 21.2781, 21.2781) * CHOOSE(CONTROL!$C$21, $C$9, 100%, $E$9)</f>
        <v>21.278099999999998</v>
      </c>
      <c r="O699" s="10">
        <f>CHOOSE(CONTROL!$C$42, 21.3381, 21.3381) * CHOOSE(CONTROL!$C$21, $C$9, 100%, $E$9)</f>
        <v>21.338100000000001</v>
      </c>
      <c r="P699" s="10">
        <f>CHOOSE(CONTROL!$C$42, 21.2808, 21.2808) * CHOOSE(CONTROL!$C$21, $C$9, 100%, $E$9)</f>
        <v>21.280799999999999</v>
      </c>
      <c r="Q699" s="10">
        <f>CHOOSE(CONTROL!$C$42, 21.9334, 21.9334) * CHOOSE(CONTROL!$C$21, $C$9, 100%, $E$9)</f>
        <v>21.933399999999999</v>
      </c>
      <c r="R699" s="10">
        <f>CHOOSE(CONTROL!$C$42, 22.5752, 22.5752) * CHOOSE(CONTROL!$C$21, $C$9, 100%, $E$9)</f>
        <v>22.575199999999999</v>
      </c>
      <c r="S699" s="10">
        <f>CHOOSE(CONTROL!$C$42, 20.8661, 20.8661) * CHOOSE(CONTROL!$C$21, $C$9, 100%, $E$9)</f>
        <v>20.866099999999999</v>
      </c>
      <c r="T6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38">
        <f>(1000*CHOOSE(CONTROL!$C$42, 695, 695)*CHOOSE(CONTROL!$C$42, 0.5599, 0.5599)*CHOOSE(CONTROL!$C$42, 31, 31))/1000000</f>
        <v>12.063045499999998</v>
      </c>
      <c r="V699" s="38">
        <f>(1000*CHOOSE(CONTROL!$C$42, 500, 500)*CHOOSE(CONTROL!$C$42, 0.275, 0.275)*CHOOSE(CONTROL!$C$42, 31, 31))/1000000</f>
        <v>4.2625000000000002</v>
      </c>
      <c r="W699" s="38">
        <f>(1000*CHOOSE(CONTROL!$C$42, 0.1146, 0.1146)*CHOOSE(CONTROL!$C$42, 121.5, 121.5)*CHOOSE(CONTROL!$C$42, 31, 31))/1000000</f>
        <v>0.43164089999999994</v>
      </c>
      <c r="X699" s="38">
        <f>(31*0.1790888*100000/1000000)+(31*0.2374*100000/1000000)</f>
        <v>1.2911152800000001</v>
      </c>
      <c r="Y699" s="38">
        <f>(1000*600*CHOOSE(CONTROL!$C$42, 1.0585, 1.0585)*CHOOSE(CONTROL!$C$42, 31, 31))/1000000</f>
        <v>19.688099999999999</v>
      </c>
      <c r="Z699" s="38"/>
      <c r="AA699" s="10"/>
      <c r="AB699" s="39"/>
      <c r="AC699" s="33">
        <f>(B699*122.58+C699*297.941+D699*89.177+E699*40.302+F699*40+G699*160+H699*0+I699*100+J699*300)/(122.58+297.941+89.177+40.302+0+40+160+100+300)</f>
        <v>21.486886783565218</v>
      </c>
      <c r="AD699" s="27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21.299501438848921</v>
      </c>
    </row>
    <row r="700" spans="1:30" ht="15.75" x14ac:dyDescent="0.25">
      <c r="A700" s="13">
        <v>62578</v>
      </c>
      <c r="B700" s="10">
        <f>CHOOSE(CONTROL!$C$42, 21.4257, 21.4257) * CHOOSE(CONTROL!$C$21, $C$9, 100%, $E$9)</f>
        <v>21.425699999999999</v>
      </c>
      <c r="C700" s="10">
        <f>CHOOSE(CONTROL!$C$42, 21.4301, 21.4301) * CHOOSE(CONTROL!$C$21, $C$9, 100%, $E$9)</f>
        <v>21.430099999999999</v>
      </c>
      <c r="D700" s="10">
        <f>CHOOSE(CONTROL!$C$42, 21.6102, 21.6102) * CHOOSE(CONTROL!$C$21, $C$9, 100%, $E$9)</f>
        <v>21.610199999999999</v>
      </c>
      <c r="E700" s="10">
        <f>CHOOSE(CONTROL!$C$42, 21.642, 21.642) * CHOOSE(CONTROL!$C$21, $C$9, 100%, $E$9)</f>
        <v>21.641999999999999</v>
      </c>
      <c r="F700" s="10">
        <f>CHOOSE(CONTROL!$C$42, 21.3911, 21.3911)*CHOOSE(CONTROL!$C$21, $C$9, 100%, $E$9)</f>
        <v>21.391100000000002</v>
      </c>
      <c r="G700" s="10">
        <f>CHOOSE(CONTROL!$C$42, 21.4073, 21.4073)*CHOOSE(CONTROL!$C$21, $C$9, 100%, $E$9)</f>
        <v>21.407299999999999</v>
      </c>
      <c r="H700" s="10">
        <f>CHOOSE(CONTROL!$C$42, 21.6318, 21.6318) * CHOOSE(CONTROL!$C$21, $C$9, 100%, $E$9)</f>
        <v>21.631799999999998</v>
      </c>
      <c r="I700" s="10">
        <f>CHOOSE(CONTROL!$C$42, 21.4117, 21.4117)* CHOOSE(CONTROL!$C$21, $C$9, 100%, $E$9)</f>
        <v>21.4117</v>
      </c>
      <c r="J700" s="10">
        <f>CHOOSE(CONTROL!$C$42, 21.3841, 21.3841)* CHOOSE(CONTROL!$C$21, $C$9, 100%, $E$9)</f>
        <v>21.3841</v>
      </c>
      <c r="K700" s="10">
        <f>CHOOSE(CONTROL!$C$42, 20.939, 20.939) * CHOOSE(CONTROL!$C$21, $C$9, 100%, $E$9)</f>
        <v>20.939</v>
      </c>
      <c r="L700" s="10">
        <f>CHOOSE(CONTROL!$C$42, 22.2188, 22.2188) * CHOOSE(CONTROL!$C$21, $C$9, 100%, $E$9)</f>
        <v>22.218800000000002</v>
      </c>
      <c r="M700" s="10">
        <f>CHOOSE(CONTROL!$C$42, 21.1821, 21.1821) * CHOOSE(CONTROL!$C$21, $C$9, 100%, $E$9)</f>
        <v>21.182099999999998</v>
      </c>
      <c r="N700" s="10">
        <f>CHOOSE(CONTROL!$C$42, 21.1982, 21.1982) * CHOOSE(CONTROL!$C$21, $C$9, 100%, $E$9)</f>
        <v>21.1982</v>
      </c>
      <c r="O700" s="10">
        <f>CHOOSE(CONTROL!$C$42, 21.4273, 21.4273) * CHOOSE(CONTROL!$C$21, $C$9, 100%, $E$9)</f>
        <v>21.427299999999999</v>
      </c>
      <c r="P700" s="10">
        <f>CHOOSE(CONTROL!$C$42, 21.2095, 21.2095) * CHOOSE(CONTROL!$C$21, $C$9, 100%, $E$9)</f>
        <v>21.209499999999998</v>
      </c>
      <c r="Q700" s="10">
        <f>CHOOSE(CONTROL!$C$42, 22.0226, 22.0226) * CHOOSE(CONTROL!$C$21, $C$9, 100%, $E$9)</f>
        <v>22.022600000000001</v>
      </c>
      <c r="R700" s="10">
        <f>CHOOSE(CONTROL!$C$42, 22.6647, 22.6647) * CHOOSE(CONTROL!$C$21, $C$9, 100%, $E$9)</f>
        <v>22.6647</v>
      </c>
      <c r="S700" s="10">
        <f>CHOOSE(CONTROL!$C$42, 20.8036, 20.8036) * CHOOSE(CONTROL!$C$21, $C$9, 100%, $E$9)</f>
        <v>20.803599999999999</v>
      </c>
      <c r="T7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38">
        <f>(1000*CHOOSE(CONTROL!$C$42, 695, 695)*CHOOSE(CONTROL!$C$42, 0.5599, 0.5599)*CHOOSE(CONTROL!$C$42, 30, 30))/1000000</f>
        <v>11.673914999999997</v>
      </c>
      <c r="V700" s="38">
        <f>(1000*CHOOSE(CONTROL!$C$42, 500, 500)*CHOOSE(CONTROL!$C$42, 0.275, 0.275)*CHOOSE(CONTROL!$C$42, 30, 30))/1000000</f>
        <v>4.125</v>
      </c>
      <c r="W700" s="38">
        <f>(1000*CHOOSE(CONTROL!$C$42, 0.1146, 0.1146)*CHOOSE(CONTROL!$C$42, 121.5, 121.5)*CHOOSE(CONTROL!$C$42, 30, 30))/1000000</f>
        <v>0.417717</v>
      </c>
      <c r="X700" s="38">
        <f>(30*0.1790888*245000/1000000)+(30*0.2374*100000/1000000)</f>
        <v>2.0285026799999999</v>
      </c>
      <c r="Y700" s="38">
        <f>(1000*600*CHOOSE(CONTROL!$C$42, 1.0585, 1.0585)*CHOOSE(CONTROL!$C$42, 30, 30))/1000000</f>
        <v>19.053000000000001</v>
      </c>
      <c r="Z700" s="38"/>
      <c r="AA700" s="10"/>
      <c r="AB700" s="39"/>
      <c r="AC700" s="33">
        <f>(B700*141.293+C700*267.993+D700*115.016+E700*89.698+F700*40+G700*185+H700*0+I700*100+J700*300)/(141.293+267.993+115.016+89.698+0+40+185+100+300)</f>
        <v>21.44437094317998</v>
      </c>
      <c r="AD700" s="27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21.29810287769784</v>
      </c>
    </row>
    <row r="701" spans="1:30" ht="15.75" x14ac:dyDescent="0.25">
      <c r="A701" s="13">
        <v>62609</v>
      </c>
      <c r="B701" s="10">
        <f>CHOOSE(CONTROL!$C$42, 21.6166, 21.6166) * CHOOSE(CONTROL!$C$21, $C$9, 100%, $E$9)</f>
        <v>21.616599999999998</v>
      </c>
      <c r="C701" s="10">
        <f>CHOOSE(CONTROL!$C$42, 21.6245, 21.6245) * CHOOSE(CONTROL!$C$21, $C$9, 100%, $E$9)</f>
        <v>21.624500000000001</v>
      </c>
      <c r="D701" s="10">
        <f>CHOOSE(CONTROL!$C$42, 21.8015, 21.8015) * CHOOSE(CONTROL!$C$21, $C$9, 100%, $E$9)</f>
        <v>21.801500000000001</v>
      </c>
      <c r="E701" s="10">
        <f>CHOOSE(CONTROL!$C$42, 21.8326, 21.8326) * CHOOSE(CONTROL!$C$21, $C$9, 100%, $E$9)</f>
        <v>21.832599999999999</v>
      </c>
      <c r="F701" s="10">
        <f>CHOOSE(CONTROL!$C$42, 21.58, 21.58)*CHOOSE(CONTROL!$C$21, $C$9, 100%, $E$9)</f>
        <v>21.58</v>
      </c>
      <c r="G701" s="10">
        <f>CHOOSE(CONTROL!$C$42, 21.5965, 21.5965)*CHOOSE(CONTROL!$C$21, $C$9, 100%, $E$9)</f>
        <v>21.596499999999999</v>
      </c>
      <c r="H701" s="10">
        <f>CHOOSE(CONTROL!$C$42, 21.8213, 21.8213) * CHOOSE(CONTROL!$C$21, $C$9, 100%, $E$9)</f>
        <v>21.821300000000001</v>
      </c>
      <c r="I701" s="10">
        <f>CHOOSE(CONTROL!$C$42, 21.6012, 21.6012)* CHOOSE(CONTROL!$C$21, $C$9, 100%, $E$9)</f>
        <v>21.601199999999999</v>
      </c>
      <c r="J701" s="10">
        <f>CHOOSE(CONTROL!$C$42, 21.573, 21.573)* CHOOSE(CONTROL!$C$21, $C$9, 100%, $E$9)</f>
        <v>21.573</v>
      </c>
      <c r="K701" s="10">
        <f>CHOOSE(CONTROL!$C$42, 21.1219, 21.1219) * CHOOSE(CONTROL!$C$21, $C$9, 100%, $E$9)</f>
        <v>21.1219</v>
      </c>
      <c r="L701" s="10">
        <f>CHOOSE(CONTROL!$C$42, 22.4083, 22.4083) * CHOOSE(CONTROL!$C$21, $C$9, 100%, $E$9)</f>
        <v>22.408300000000001</v>
      </c>
      <c r="M701" s="10">
        <f>CHOOSE(CONTROL!$C$42, 21.3691, 21.3691) * CHOOSE(CONTROL!$C$21, $C$9, 100%, $E$9)</f>
        <v>21.3691</v>
      </c>
      <c r="N701" s="10">
        <f>CHOOSE(CONTROL!$C$42, 21.3854, 21.3854) * CHOOSE(CONTROL!$C$21, $C$9, 100%, $E$9)</f>
        <v>21.385400000000001</v>
      </c>
      <c r="O701" s="10">
        <f>CHOOSE(CONTROL!$C$42, 21.6149, 21.6149) * CHOOSE(CONTROL!$C$21, $C$9, 100%, $E$9)</f>
        <v>21.614899999999999</v>
      </c>
      <c r="P701" s="10">
        <f>CHOOSE(CONTROL!$C$42, 21.3971, 21.3971) * CHOOSE(CONTROL!$C$21, $C$9, 100%, $E$9)</f>
        <v>21.397099999999998</v>
      </c>
      <c r="Q701" s="10">
        <f>CHOOSE(CONTROL!$C$42, 22.2102, 22.2102) * CHOOSE(CONTROL!$C$21, $C$9, 100%, $E$9)</f>
        <v>22.2102</v>
      </c>
      <c r="R701" s="10">
        <f>CHOOSE(CONTROL!$C$42, 22.8527, 22.8527) * CHOOSE(CONTROL!$C$21, $C$9, 100%, $E$9)</f>
        <v>22.852699999999999</v>
      </c>
      <c r="S701" s="10">
        <f>CHOOSE(CONTROL!$C$42, 20.9876, 20.9876) * CHOOSE(CONTROL!$C$21, $C$9, 100%, $E$9)</f>
        <v>20.9876</v>
      </c>
      <c r="T7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38">
        <f>(1000*CHOOSE(CONTROL!$C$42, 695, 695)*CHOOSE(CONTROL!$C$42, 0.5599, 0.5599)*CHOOSE(CONTROL!$C$42, 31, 31))/1000000</f>
        <v>12.063045499999998</v>
      </c>
      <c r="V701" s="38">
        <f>(1000*CHOOSE(CONTROL!$C$42, 500, 500)*CHOOSE(CONTROL!$C$42, 0.275, 0.275)*CHOOSE(CONTROL!$C$42, 31, 31))/1000000</f>
        <v>4.2625000000000002</v>
      </c>
      <c r="W701" s="38">
        <f>(1000*CHOOSE(CONTROL!$C$42, 0.1146, 0.1146)*CHOOSE(CONTROL!$C$42, 121.5, 121.5)*CHOOSE(CONTROL!$C$42, 31, 31))/1000000</f>
        <v>0.43164089999999994</v>
      </c>
      <c r="X701" s="38">
        <f>(31*0.1790888*245000/1000000)+(31*0.2374*100000/1000000)</f>
        <v>2.0961194359999999</v>
      </c>
      <c r="Y701" s="38">
        <f>(1000*600*CHOOSE(CONTROL!$C$42, 1.0585, 1.0585)*CHOOSE(CONTROL!$C$42, 31, 31))/1000000</f>
        <v>19.688099999999999</v>
      </c>
      <c r="Z701" s="38"/>
      <c r="AA701" s="10"/>
      <c r="AB701" s="39"/>
      <c r="AC701" s="33">
        <f>(B701*194.205+C701*267.466+D701*133.845+E701*53.484+F701*40+G701*185+H701*0+I701*100+J701*300)/(194.205+267.466+133.845+53.484+0+40+185+100+300)</f>
        <v>21.631208293485088</v>
      </c>
      <c r="AD701" s="27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21.485472661870503</v>
      </c>
    </row>
    <row r="702" spans="1:30" ht="15.75" x14ac:dyDescent="0.25">
      <c r="A702" s="13">
        <v>62639</v>
      </c>
      <c r="B702" s="10">
        <f>CHOOSE(CONTROL!$C$42, 22.2296, 22.2296) * CHOOSE(CONTROL!$C$21, $C$9, 100%, $E$9)</f>
        <v>22.229600000000001</v>
      </c>
      <c r="C702" s="10">
        <f>CHOOSE(CONTROL!$C$42, 22.2375, 22.2375) * CHOOSE(CONTROL!$C$21, $C$9, 100%, $E$9)</f>
        <v>22.237500000000001</v>
      </c>
      <c r="D702" s="10">
        <f>CHOOSE(CONTROL!$C$42, 22.4145, 22.4145) * CHOOSE(CONTROL!$C$21, $C$9, 100%, $E$9)</f>
        <v>22.4145</v>
      </c>
      <c r="E702" s="10">
        <f>CHOOSE(CONTROL!$C$42, 22.4457, 22.4457) * CHOOSE(CONTROL!$C$21, $C$9, 100%, $E$9)</f>
        <v>22.445699999999999</v>
      </c>
      <c r="F702" s="10">
        <f>CHOOSE(CONTROL!$C$42, 22.1932, 22.1932)*CHOOSE(CONTROL!$C$21, $C$9, 100%, $E$9)</f>
        <v>22.193200000000001</v>
      </c>
      <c r="G702" s="10">
        <f>CHOOSE(CONTROL!$C$42, 22.2097, 22.2097)*CHOOSE(CONTROL!$C$21, $C$9, 100%, $E$9)</f>
        <v>22.209700000000002</v>
      </c>
      <c r="H702" s="10">
        <f>CHOOSE(CONTROL!$C$42, 22.4343, 22.4343) * CHOOSE(CONTROL!$C$21, $C$9, 100%, $E$9)</f>
        <v>22.4343</v>
      </c>
      <c r="I702" s="10">
        <f>CHOOSE(CONTROL!$C$42, 22.2142, 22.2142)* CHOOSE(CONTROL!$C$21, $C$9, 100%, $E$9)</f>
        <v>22.214200000000002</v>
      </c>
      <c r="J702" s="10">
        <f>CHOOSE(CONTROL!$C$42, 22.1862, 22.1862)* CHOOSE(CONTROL!$C$21, $C$9, 100%, $E$9)</f>
        <v>22.186199999999999</v>
      </c>
      <c r="K702" s="10">
        <f>CHOOSE(CONTROL!$C$42, 21.7179, 21.7179) * CHOOSE(CONTROL!$C$21, $C$9, 100%, $E$9)</f>
        <v>21.7179</v>
      </c>
      <c r="L702" s="10">
        <f>CHOOSE(CONTROL!$C$42, 23.0213, 23.0213) * CHOOSE(CONTROL!$C$21, $C$9, 100%, $E$9)</f>
        <v>23.0213</v>
      </c>
      <c r="M702" s="10">
        <f>CHOOSE(CONTROL!$C$42, 21.9761, 21.9761) * CHOOSE(CONTROL!$C$21, $C$9, 100%, $E$9)</f>
        <v>21.976099999999999</v>
      </c>
      <c r="N702" s="10">
        <f>CHOOSE(CONTROL!$C$42, 21.9925, 21.9925) * CHOOSE(CONTROL!$C$21, $C$9, 100%, $E$9)</f>
        <v>21.9925</v>
      </c>
      <c r="O702" s="10">
        <f>CHOOSE(CONTROL!$C$42, 22.2217, 22.2217) * CHOOSE(CONTROL!$C$21, $C$9, 100%, $E$9)</f>
        <v>22.221699999999998</v>
      </c>
      <c r="P702" s="10">
        <f>CHOOSE(CONTROL!$C$42, 22.0039, 22.0039) * CHOOSE(CONTROL!$C$21, $C$9, 100%, $E$9)</f>
        <v>22.003900000000002</v>
      </c>
      <c r="Q702" s="10">
        <f>CHOOSE(CONTROL!$C$42, 22.817, 22.817) * CHOOSE(CONTROL!$C$21, $C$9, 100%, $E$9)</f>
        <v>22.817</v>
      </c>
      <c r="R702" s="10">
        <f>CHOOSE(CONTROL!$C$42, 23.4611, 23.4611) * CHOOSE(CONTROL!$C$21, $C$9, 100%, $E$9)</f>
        <v>23.461099999999998</v>
      </c>
      <c r="S702" s="10">
        <f>CHOOSE(CONTROL!$C$42, 21.5829, 21.5829) * CHOOSE(CONTROL!$C$21, $C$9, 100%, $E$9)</f>
        <v>21.582899999999999</v>
      </c>
      <c r="T7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38">
        <f>(1000*CHOOSE(CONTROL!$C$42, 695, 695)*CHOOSE(CONTROL!$C$42, 0.5599, 0.5599)*CHOOSE(CONTROL!$C$42, 30, 30))/1000000</f>
        <v>11.673914999999997</v>
      </c>
      <c r="V702" s="38">
        <f>(1000*CHOOSE(CONTROL!$C$42, 500, 500)*CHOOSE(CONTROL!$C$42, 0.275, 0.275)*CHOOSE(CONTROL!$C$42, 30, 30))/1000000</f>
        <v>4.125</v>
      </c>
      <c r="W702" s="38">
        <f>(1000*CHOOSE(CONTROL!$C$42, 0.1146, 0.1146)*CHOOSE(CONTROL!$C$42, 121.5, 121.5)*CHOOSE(CONTROL!$C$42, 30, 30))/1000000</f>
        <v>0.417717</v>
      </c>
      <c r="X702" s="38">
        <f>(30*0.1790888*245000/1000000)+(30*0.2374*100000/1000000)</f>
        <v>2.0285026799999999</v>
      </c>
      <c r="Y702" s="38">
        <f>(1000*600*CHOOSE(CONTROL!$C$42, 1.0585, 1.0585)*CHOOSE(CONTROL!$C$42, 30, 30))/1000000</f>
        <v>19.053000000000001</v>
      </c>
      <c r="Z702" s="38"/>
      <c r="AA702" s="10"/>
      <c r="AB702" s="39"/>
      <c r="AC702" s="33">
        <f>(B702*194.205+C702*267.466+D702*133.845+E702*53.484+F702*40+G702*185+H702*0+I702*100+J702*300)/(194.205+267.466+133.845+53.484+0+40+185+100+300)</f>
        <v>22.244294909183676</v>
      </c>
      <c r="AD702" s="27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22.092358992805757</v>
      </c>
    </row>
    <row r="703" spans="1:30" ht="15.75" x14ac:dyDescent="0.25">
      <c r="A703" s="13">
        <v>62670</v>
      </c>
      <c r="B703" s="10">
        <f>CHOOSE(CONTROL!$C$42, 21.8033, 21.8033) * CHOOSE(CONTROL!$C$21, $C$9, 100%, $E$9)</f>
        <v>21.8033</v>
      </c>
      <c r="C703" s="10">
        <f>CHOOSE(CONTROL!$C$42, 21.8112, 21.8112) * CHOOSE(CONTROL!$C$21, $C$9, 100%, $E$9)</f>
        <v>21.811199999999999</v>
      </c>
      <c r="D703" s="10">
        <f>CHOOSE(CONTROL!$C$42, 21.9882, 21.9882) * CHOOSE(CONTROL!$C$21, $C$9, 100%, $E$9)</f>
        <v>21.988199999999999</v>
      </c>
      <c r="E703" s="10">
        <f>CHOOSE(CONTROL!$C$42, 22.0193, 22.0193) * CHOOSE(CONTROL!$C$21, $C$9, 100%, $E$9)</f>
        <v>22.019300000000001</v>
      </c>
      <c r="F703" s="10">
        <f>CHOOSE(CONTROL!$C$42, 21.767, 21.767)*CHOOSE(CONTROL!$C$21, $C$9, 100%, $E$9)</f>
        <v>21.766999999999999</v>
      </c>
      <c r="G703" s="10">
        <f>CHOOSE(CONTROL!$C$42, 21.7837, 21.7837)*CHOOSE(CONTROL!$C$21, $C$9, 100%, $E$9)</f>
        <v>21.7837</v>
      </c>
      <c r="H703" s="10">
        <f>CHOOSE(CONTROL!$C$42, 22.0079, 22.0079) * CHOOSE(CONTROL!$C$21, $C$9, 100%, $E$9)</f>
        <v>22.007899999999999</v>
      </c>
      <c r="I703" s="10">
        <f>CHOOSE(CONTROL!$C$42, 21.7879, 21.7879)* CHOOSE(CONTROL!$C$21, $C$9, 100%, $E$9)</f>
        <v>21.7879</v>
      </c>
      <c r="J703" s="10">
        <f>CHOOSE(CONTROL!$C$42, 21.76, 21.76)* CHOOSE(CONTROL!$C$21, $C$9, 100%, $E$9)</f>
        <v>21.76</v>
      </c>
      <c r="K703" s="10">
        <f>CHOOSE(CONTROL!$C$42, 21.3041, 21.3041) * CHOOSE(CONTROL!$C$21, $C$9, 100%, $E$9)</f>
        <v>21.304099999999998</v>
      </c>
      <c r="L703" s="10">
        <f>CHOOSE(CONTROL!$C$42, 22.5949, 22.5949) * CHOOSE(CONTROL!$C$21, $C$9, 100%, $E$9)</f>
        <v>22.594899999999999</v>
      </c>
      <c r="M703" s="10">
        <f>CHOOSE(CONTROL!$C$42, 21.5543, 21.5543) * CHOOSE(CONTROL!$C$21, $C$9, 100%, $E$9)</f>
        <v>21.554300000000001</v>
      </c>
      <c r="N703" s="10">
        <f>CHOOSE(CONTROL!$C$42, 21.5707, 21.5707) * CHOOSE(CONTROL!$C$21, $C$9, 100%, $E$9)</f>
        <v>21.570699999999999</v>
      </c>
      <c r="O703" s="10">
        <f>CHOOSE(CONTROL!$C$42, 21.7997, 21.7997) * CHOOSE(CONTROL!$C$21, $C$9, 100%, $E$9)</f>
        <v>21.799700000000001</v>
      </c>
      <c r="P703" s="10">
        <f>CHOOSE(CONTROL!$C$42, 21.5818, 21.5818) * CHOOSE(CONTROL!$C$21, $C$9, 100%, $E$9)</f>
        <v>21.581800000000001</v>
      </c>
      <c r="Q703" s="10">
        <f>CHOOSE(CONTROL!$C$42, 22.395, 22.395) * CHOOSE(CONTROL!$C$21, $C$9, 100%, $E$9)</f>
        <v>22.395</v>
      </c>
      <c r="R703" s="10">
        <f>CHOOSE(CONTROL!$C$42, 23.038, 23.038) * CHOOSE(CONTROL!$C$21, $C$9, 100%, $E$9)</f>
        <v>23.038</v>
      </c>
      <c r="S703" s="10">
        <f>CHOOSE(CONTROL!$C$42, 21.1689, 21.1689) * CHOOSE(CONTROL!$C$21, $C$9, 100%, $E$9)</f>
        <v>21.168900000000001</v>
      </c>
      <c r="T7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38">
        <f>(1000*CHOOSE(CONTROL!$C$42, 695, 695)*CHOOSE(CONTROL!$C$42, 0.5599, 0.5599)*CHOOSE(CONTROL!$C$42, 31, 31))/1000000</f>
        <v>12.063045499999998</v>
      </c>
      <c r="V703" s="38">
        <f>(1000*CHOOSE(CONTROL!$C$42, 500, 500)*CHOOSE(CONTROL!$C$42, 0.275, 0.275)*CHOOSE(CONTROL!$C$42, 31, 31))/1000000</f>
        <v>4.2625000000000002</v>
      </c>
      <c r="W703" s="38">
        <f>(1000*CHOOSE(CONTROL!$C$42, 0.1146, 0.1146)*CHOOSE(CONTROL!$C$42, 121.5, 121.5)*CHOOSE(CONTROL!$C$42, 31, 31))/1000000</f>
        <v>0.43164089999999994</v>
      </c>
      <c r="X703" s="38">
        <f>(31*0.1790888*245000/1000000)+(31*0.2374*100000/1000000)</f>
        <v>2.0961194359999999</v>
      </c>
      <c r="Y703" s="38">
        <f>(1000*600*CHOOSE(CONTROL!$C$42, 1.0585, 1.0585)*CHOOSE(CONTROL!$C$42, 31, 31))/1000000</f>
        <v>19.688099999999999</v>
      </c>
      <c r="Z703" s="38"/>
      <c r="AA703" s="10"/>
      <c r="AB703" s="39"/>
      <c r="AC703" s="33">
        <f>(B703*194.205+C703*267.466+D703*133.845+E703*53.484+F703*40+G703*185+H703*0+I703*100+J703*300)/(194.205+267.466+133.845+53.484+0+40+185+100+300)</f>
        <v>21.8180609622449</v>
      </c>
      <c r="AD703" s="27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21.670425179856117</v>
      </c>
    </row>
    <row r="704" spans="1:30" ht="15.75" x14ac:dyDescent="0.25">
      <c r="A704" s="13">
        <v>62701</v>
      </c>
      <c r="B704" s="10">
        <f>CHOOSE(CONTROL!$C$42, 20.7266, 20.7266) * CHOOSE(CONTROL!$C$21, $C$9, 100%, $E$9)</f>
        <v>20.726600000000001</v>
      </c>
      <c r="C704" s="10">
        <f>CHOOSE(CONTROL!$C$42, 20.7345, 20.7345) * CHOOSE(CONTROL!$C$21, $C$9, 100%, $E$9)</f>
        <v>20.734500000000001</v>
      </c>
      <c r="D704" s="10">
        <f>CHOOSE(CONTROL!$C$42, 20.9115, 20.9115) * CHOOSE(CONTROL!$C$21, $C$9, 100%, $E$9)</f>
        <v>20.9115</v>
      </c>
      <c r="E704" s="10">
        <f>CHOOSE(CONTROL!$C$42, 20.9426, 20.9426) * CHOOSE(CONTROL!$C$21, $C$9, 100%, $E$9)</f>
        <v>20.942599999999999</v>
      </c>
      <c r="F704" s="10">
        <f>CHOOSE(CONTROL!$C$42, 20.6904, 20.6904)*CHOOSE(CONTROL!$C$21, $C$9, 100%, $E$9)</f>
        <v>20.6904</v>
      </c>
      <c r="G704" s="10">
        <f>CHOOSE(CONTROL!$C$42, 20.707, 20.707)*CHOOSE(CONTROL!$C$21, $C$9, 100%, $E$9)</f>
        <v>20.707000000000001</v>
      </c>
      <c r="H704" s="10">
        <f>CHOOSE(CONTROL!$C$42, 20.9312, 20.9312) * CHOOSE(CONTROL!$C$21, $C$9, 100%, $E$9)</f>
        <v>20.9312</v>
      </c>
      <c r="I704" s="10">
        <f>CHOOSE(CONTROL!$C$42, 20.7111, 20.7111)* CHOOSE(CONTROL!$C$21, $C$9, 100%, $E$9)</f>
        <v>20.711099999999998</v>
      </c>
      <c r="J704" s="10">
        <f>CHOOSE(CONTROL!$C$42, 20.6834, 20.6834)* CHOOSE(CONTROL!$C$21, $C$9, 100%, $E$9)</f>
        <v>20.683399999999999</v>
      </c>
      <c r="K704" s="10">
        <f>CHOOSE(CONTROL!$C$42, 20.2582, 20.2582) * CHOOSE(CONTROL!$C$21, $C$9, 100%, $E$9)</f>
        <v>20.258199999999999</v>
      </c>
      <c r="L704" s="10">
        <f>CHOOSE(CONTROL!$C$42, 21.5182, 21.5182) * CHOOSE(CONTROL!$C$21, $C$9, 100%, $E$9)</f>
        <v>21.5182</v>
      </c>
      <c r="M704" s="10">
        <f>CHOOSE(CONTROL!$C$42, 20.4885, 20.4885) * CHOOSE(CONTROL!$C$21, $C$9, 100%, $E$9)</f>
        <v>20.488499999999998</v>
      </c>
      <c r="N704" s="10">
        <f>CHOOSE(CONTROL!$C$42, 20.5049, 20.5049) * CHOOSE(CONTROL!$C$21, $C$9, 100%, $E$9)</f>
        <v>20.504899999999999</v>
      </c>
      <c r="O704" s="10">
        <f>CHOOSE(CONTROL!$C$42, 20.7338, 20.7338) * CHOOSE(CONTROL!$C$21, $C$9, 100%, $E$9)</f>
        <v>20.733799999999999</v>
      </c>
      <c r="P704" s="10">
        <f>CHOOSE(CONTROL!$C$42, 20.516, 20.516) * CHOOSE(CONTROL!$C$21, $C$9, 100%, $E$9)</f>
        <v>20.515999999999998</v>
      </c>
      <c r="Q704" s="10">
        <f>CHOOSE(CONTROL!$C$42, 21.3291, 21.3291) * CHOOSE(CONTROL!$C$21, $C$9, 100%, $E$9)</f>
        <v>21.3291</v>
      </c>
      <c r="R704" s="10">
        <f>CHOOSE(CONTROL!$C$42, 21.9694, 21.9694) * CHOOSE(CONTROL!$C$21, $C$9, 100%, $E$9)</f>
        <v>21.9694</v>
      </c>
      <c r="S704" s="10">
        <f>CHOOSE(CONTROL!$C$42, 20.1233, 20.1233) * CHOOSE(CONTROL!$C$21, $C$9, 100%, $E$9)</f>
        <v>20.1233</v>
      </c>
      <c r="T7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38">
        <f>(1000*CHOOSE(CONTROL!$C$42, 695, 695)*CHOOSE(CONTROL!$C$42, 0.5599, 0.5599)*CHOOSE(CONTROL!$C$42, 31, 31))/1000000</f>
        <v>12.063045499999998</v>
      </c>
      <c r="V704" s="38">
        <f>(1000*CHOOSE(CONTROL!$C$42, 500, 500)*CHOOSE(CONTROL!$C$42, 0.275, 0.275)*CHOOSE(CONTROL!$C$42, 31, 31))/1000000</f>
        <v>4.2625000000000002</v>
      </c>
      <c r="W704" s="38">
        <f>(1000*CHOOSE(CONTROL!$C$42, 0.1146, 0.1146)*CHOOSE(CONTROL!$C$42, 121.5, 121.5)*CHOOSE(CONTROL!$C$42, 31, 31))/1000000</f>
        <v>0.43164089999999994</v>
      </c>
      <c r="X704" s="38">
        <f>(31*0.1790888*245000/1000000)+(31*0.2374*100000/1000000)</f>
        <v>2.0961194359999999</v>
      </c>
      <c r="Y704" s="38">
        <f>(1000*600*CHOOSE(CONTROL!$C$42, 1.0585, 1.0585)*CHOOSE(CONTROL!$C$42, 31, 31))/1000000</f>
        <v>19.688099999999999</v>
      </c>
      <c r="Z704" s="38"/>
      <c r="AA704" s="10"/>
      <c r="AB704" s="39"/>
      <c r="AC704" s="33">
        <f>(B704*194.205+C704*267.466+D704*133.845+E704*53.484+F704*40+G704*185+H704*0+I704*100+J704*300)/(194.205+267.466+133.845+53.484+0+40+185+100+300)</f>
        <v>20.741379800549453</v>
      </c>
      <c r="AD704" s="27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20.604579856115105</v>
      </c>
    </row>
    <row r="705" spans="1:30" ht="15.75" x14ac:dyDescent="0.25">
      <c r="A705" s="13">
        <v>62731</v>
      </c>
      <c r="B705" s="10">
        <f>CHOOSE(CONTROL!$C$42, 19.411, 19.411) * CHOOSE(CONTROL!$C$21, $C$9, 100%, $E$9)</f>
        <v>19.411000000000001</v>
      </c>
      <c r="C705" s="10">
        <f>CHOOSE(CONTROL!$C$42, 19.4189, 19.4189) * CHOOSE(CONTROL!$C$21, $C$9, 100%, $E$9)</f>
        <v>19.418900000000001</v>
      </c>
      <c r="D705" s="10">
        <f>CHOOSE(CONTROL!$C$42, 19.5959, 19.5959) * CHOOSE(CONTROL!$C$21, $C$9, 100%, $E$9)</f>
        <v>19.5959</v>
      </c>
      <c r="E705" s="10">
        <f>CHOOSE(CONTROL!$C$42, 19.6271, 19.6271) * CHOOSE(CONTROL!$C$21, $C$9, 100%, $E$9)</f>
        <v>19.627099999999999</v>
      </c>
      <c r="F705" s="10">
        <f>CHOOSE(CONTROL!$C$42, 19.3746, 19.3746)*CHOOSE(CONTROL!$C$21, $C$9, 100%, $E$9)</f>
        <v>19.374600000000001</v>
      </c>
      <c r="G705" s="10">
        <f>CHOOSE(CONTROL!$C$42, 19.3912, 19.3912)*CHOOSE(CONTROL!$C$21, $C$9, 100%, $E$9)</f>
        <v>19.391200000000001</v>
      </c>
      <c r="H705" s="10">
        <f>CHOOSE(CONTROL!$C$42, 19.6157, 19.6157) * CHOOSE(CONTROL!$C$21, $C$9, 100%, $E$9)</f>
        <v>19.6157</v>
      </c>
      <c r="I705" s="10">
        <f>CHOOSE(CONTROL!$C$42, 19.3956, 19.3956)* CHOOSE(CONTROL!$C$21, $C$9, 100%, $E$9)</f>
        <v>19.395600000000002</v>
      </c>
      <c r="J705" s="10">
        <f>CHOOSE(CONTROL!$C$42, 19.3676, 19.3676)* CHOOSE(CONTROL!$C$21, $C$9, 100%, $E$9)</f>
        <v>19.367599999999999</v>
      </c>
      <c r="K705" s="10">
        <f>CHOOSE(CONTROL!$C$42, 18.9795, 18.9795) * CHOOSE(CONTROL!$C$21, $C$9, 100%, $E$9)</f>
        <v>18.979500000000002</v>
      </c>
      <c r="L705" s="10">
        <f>CHOOSE(CONTROL!$C$42, 20.2027, 20.2027) * CHOOSE(CONTROL!$C$21, $C$9, 100%, $E$9)</f>
        <v>20.2027</v>
      </c>
      <c r="M705" s="10">
        <f>CHOOSE(CONTROL!$C$42, 19.186, 19.186) * CHOOSE(CONTROL!$C$21, $C$9, 100%, $E$9)</f>
        <v>19.186</v>
      </c>
      <c r="N705" s="10">
        <f>CHOOSE(CONTROL!$C$42, 19.2024, 19.2024) * CHOOSE(CONTROL!$C$21, $C$9, 100%, $E$9)</f>
        <v>19.202400000000001</v>
      </c>
      <c r="O705" s="10">
        <f>CHOOSE(CONTROL!$C$42, 19.4316, 19.4316) * CHOOSE(CONTROL!$C$21, $C$9, 100%, $E$9)</f>
        <v>19.4316</v>
      </c>
      <c r="P705" s="10">
        <f>CHOOSE(CONTROL!$C$42, 19.2137, 19.2137) * CHOOSE(CONTROL!$C$21, $C$9, 100%, $E$9)</f>
        <v>19.213699999999999</v>
      </c>
      <c r="Q705" s="10">
        <f>CHOOSE(CONTROL!$C$42, 20.0269, 20.0269) * CHOOSE(CONTROL!$C$21, $C$9, 100%, $E$9)</f>
        <v>20.026900000000001</v>
      </c>
      <c r="R705" s="10">
        <f>CHOOSE(CONTROL!$C$42, 20.6639, 20.6639) * CHOOSE(CONTROL!$C$21, $C$9, 100%, $E$9)</f>
        <v>20.663900000000002</v>
      </c>
      <c r="S705" s="10">
        <f>CHOOSE(CONTROL!$C$42, 18.8458, 18.8458) * CHOOSE(CONTROL!$C$21, $C$9, 100%, $E$9)</f>
        <v>18.845800000000001</v>
      </c>
      <c r="T7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38">
        <f>(1000*CHOOSE(CONTROL!$C$42, 695, 695)*CHOOSE(CONTROL!$C$42, 0.5599, 0.5599)*CHOOSE(CONTROL!$C$42, 30, 30))/1000000</f>
        <v>11.673914999999997</v>
      </c>
      <c r="V705" s="38">
        <f>(1000*CHOOSE(CONTROL!$C$42, 500, 500)*CHOOSE(CONTROL!$C$42, 0.275, 0.275)*CHOOSE(CONTROL!$C$42, 30, 30))/1000000</f>
        <v>4.125</v>
      </c>
      <c r="W705" s="38">
        <f>(1000*CHOOSE(CONTROL!$C$42, 0.1146, 0.1146)*CHOOSE(CONTROL!$C$42, 121.5, 121.5)*CHOOSE(CONTROL!$C$42, 30, 30))/1000000</f>
        <v>0.417717</v>
      </c>
      <c r="X705" s="38">
        <f>(30*0.1790888*245000/1000000)+(30*0.2374*100000/1000000)</f>
        <v>2.0285026799999999</v>
      </c>
      <c r="Y705" s="38">
        <f>(1000*600*CHOOSE(CONTROL!$C$42, 1.0585, 1.0585)*CHOOSE(CONTROL!$C$42, 30, 30))/1000000</f>
        <v>19.053000000000001</v>
      </c>
      <c r="Z705" s="38"/>
      <c r="AA705" s="10"/>
      <c r="AB705" s="39"/>
      <c r="AC705" s="33">
        <f>(B705*194.205+C705*267.466+D705*133.845+E705*53.484+F705*40+G705*185+H705*0+I705*100+J705*300)/(194.205+267.466+133.845+53.484+0+40+185+100+300)</f>
        <v>19.425709430376767</v>
      </c>
      <c r="AD705" s="27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19.302244604316549</v>
      </c>
    </row>
    <row r="706" spans="1:30" ht="15.75" x14ac:dyDescent="0.25">
      <c r="A706" s="13">
        <v>62762</v>
      </c>
      <c r="B706" s="10">
        <f>CHOOSE(CONTROL!$C$42, 19.0149, 19.0149) * CHOOSE(CONTROL!$C$21, $C$9, 100%, $E$9)</f>
        <v>19.014900000000001</v>
      </c>
      <c r="C706" s="10">
        <f>CHOOSE(CONTROL!$C$42, 19.0201, 19.0201) * CHOOSE(CONTROL!$C$21, $C$9, 100%, $E$9)</f>
        <v>19.020099999999999</v>
      </c>
      <c r="D706" s="10">
        <f>CHOOSE(CONTROL!$C$42, 19.202, 19.202) * CHOOSE(CONTROL!$C$21, $C$9, 100%, $E$9)</f>
        <v>19.202000000000002</v>
      </c>
      <c r="E706" s="10">
        <f>CHOOSE(CONTROL!$C$42, 19.2308, 19.2308) * CHOOSE(CONTROL!$C$21, $C$9, 100%, $E$9)</f>
        <v>19.230799999999999</v>
      </c>
      <c r="F706" s="10">
        <f>CHOOSE(CONTROL!$C$42, 18.9805, 18.9805)*CHOOSE(CONTROL!$C$21, $C$9, 100%, $E$9)</f>
        <v>18.980499999999999</v>
      </c>
      <c r="G706" s="10">
        <f>CHOOSE(CONTROL!$C$42, 18.9967, 18.9967)*CHOOSE(CONTROL!$C$21, $C$9, 100%, $E$9)</f>
        <v>18.996700000000001</v>
      </c>
      <c r="H706" s="10">
        <f>CHOOSE(CONTROL!$C$42, 19.2213, 19.2213) * CHOOSE(CONTROL!$C$21, $C$9, 100%, $E$9)</f>
        <v>19.221299999999999</v>
      </c>
      <c r="I706" s="10">
        <f>CHOOSE(CONTROL!$C$42, 19.0012, 19.0012)* CHOOSE(CONTROL!$C$21, $C$9, 100%, $E$9)</f>
        <v>19.001200000000001</v>
      </c>
      <c r="J706" s="10">
        <f>CHOOSE(CONTROL!$C$42, 18.9735, 18.9735)* CHOOSE(CONTROL!$C$21, $C$9, 100%, $E$9)</f>
        <v>18.973500000000001</v>
      </c>
      <c r="K706" s="10">
        <f>CHOOSE(CONTROL!$C$42, 18.5968, 18.5968) * CHOOSE(CONTROL!$C$21, $C$9, 100%, $E$9)</f>
        <v>18.596800000000002</v>
      </c>
      <c r="L706" s="10">
        <f>CHOOSE(CONTROL!$C$42, 19.8083, 19.8083) * CHOOSE(CONTROL!$C$21, $C$9, 100%, $E$9)</f>
        <v>19.808299999999999</v>
      </c>
      <c r="M706" s="10">
        <f>CHOOSE(CONTROL!$C$42, 18.7958, 18.7958) * CHOOSE(CONTROL!$C$21, $C$9, 100%, $E$9)</f>
        <v>18.7958</v>
      </c>
      <c r="N706" s="10">
        <f>CHOOSE(CONTROL!$C$42, 18.8119, 18.8119) * CHOOSE(CONTROL!$C$21, $C$9, 100%, $E$9)</f>
        <v>18.811900000000001</v>
      </c>
      <c r="O706" s="10">
        <f>CHOOSE(CONTROL!$C$42, 19.0411, 19.0411) * CHOOSE(CONTROL!$C$21, $C$9, 100%, $E$9)</f>
        <v>19.0411</v>
      </c>
      <c r="P706" s="10">
        <f>CHOOSE(CONTROL!$C$42, 18.8233, 18.8233) * CHOOSE(CONTROL!$C$21, $C$9, 100%, $E$9)</f>
        <v>18.8233</v>
      </c>
      <c r="Q706" s="10">
        <f>CHOOSE(CONTROL!$C$42, 19.6364, 19.6364) * CHOOSE(CONTROL!$C$21, $C$9, 100%, $E$9)</f>
        <v>19.636399999999998</v>
      </c>
      <c r="R706" s="10">
        <f>CHOOSE(CONTROL!$C$42, 20.2725, 20.2725) * CHOOSE(CONTROL!$C$21, $C$9, 100%, $E$9)</f>
        <v>20.272500000000001</v>
      </c>
      <c r="S706" s="10">
        <f>CHOOSE(CONTROL!$C$42, 18.4628, 18.4628) * CHOOSE(CONTROL!$C$21, $C$9, 100%, $E$9)</f>
        <v>18.462800000000001</v>
      </c>
      <c r="T7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38">
        <f>(1000*CHOOSE(CONTROL!$C$42, 695, 695)*CHOOSE(CONTROL!$C$42, 0.5599, 0.5599)*CHOOSE(CONTROL!$C$42, 31, 31))/1000000</f>
        <v>12.063045499999998</v>
      </c>
      <c r="V706" s="38">
        <f>(1000*CHOOSE(CONTROL!$C$42, 500, 500)*CHOOSE(CONTROL!$C$42, 0.275, 0.275)*CHOOSE(CONTROL!$C$42, 31, 31))/1000000</f>
        <v>4.2625000000000002</v>
      </c>
      <c r="W706" s="38">
        <f>(1000*CHOOSE(CONTROL!$C$42, 0.1146, 0.1146)*CHOOSE(CONTROL!$C$42, 121.5, 121.5)*CHOOSE(CONTROL!$C$42, 31, 31))/1000000</f>
        <v>0.43164089999999994</v>
      </c>
      <c r="X706" s="38">
        <f>(31*0.1790888*245000/1000000)+(31*0.2374*100000/1000000)</f>
        <v>2.0961194359999999</v>
      </c>
      <c r="Y706" s="38">
        <f>(1000*600*CHOOSE(CONTROL!$C$42, 1.0585, 1.0585)*CHOOSE(CONTROL!$C$42, 31, 31))/1000000</f>
        <v>19.688099999999999</v>
      </c>
      <c r="Z706" s="38"/>
      <c r="AA706" s="10"/>
      <c r="AB706" s="39"/>
      <c r="AC706" s="33">
        <f>(B706*131.881+C706*277.167+D706*79.08+E706*125.872+F706*40+G706*185+H706*0+I706*100+J706*300)/(131.881+277.167+79.08+125.872+0+40+185+100+300)</f>
        <v>19.034980630508471</v>
      </c>
      <c r="AD706" s="27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18.911862589928059</v>
      </c>
    </row>
    <row r="707" spans="1:30" ht="15.75" x14ac:dyDescent="0.25">
      <c r="A707" s="13">
        <v>62792</v>
      </c>
      <c r="B707" s="10">
        <f>CHOOSE(CONTROL!$C$42, 19.5153, 19.5153) * CHOOSE(CONTROL!$C$21, $C$9, 100%, $E$9)</f>
        <v>19.5153</v>
      </c>
      <c r="C707" s="10">
        <f>CHOOSE(CONTROL!$C$42, 19.5203, 19.5203) * CHOOSE(CONTROL!$C$21, $C$9, 100%, $E$9)</f>
        <v>19.520299999999999</v>
      </c>
      <c r="D707" s="10">
        <f>CHOOSE(CONTROL!$C$42, 19.5447, 19.5447) * CHOOSE(CONTROL!$C$21, $C$9, 100%, $E$9)</f>
        <v>19.544699999999999</v>
      </c>
      <c r="E707" s="10">
        <f>CHOOSE(CONTROL!$C$42, 19.5785, 19.5785) * CHOOSE(CONTROL!$C$21, $C$9, 100%, $E$9)</f>
        <v>19.578499999999998</v>
      </c>
      <c r="F707" s="10">
        <f>CHOOSE(CONTROL!$C$42, 19.4846, 19.4846)*CHOOSE(CONTROL!$C$21, $C$9, 100%, $E$9)</f>
        <v>19.4846</v>
      </c>
      <c r="G707" s="10">
        <f>CHOOSE(CONTROL!$C$42, 19.501, 19.501)*CHOOSE(CONTROL!$C$21, $C$9, 100%, $E$9)</f>
        <v>19.501000000000001</v>
      </c>
      <c r="H707" s="10">
        <f>CHOOSE(CONTROL!$C$42, 19.5677, 19.5677) * CHOOSE(CONTROL!$C$21, $C$9, 100%, $E$9)</f>
        <v>19.567699999999999</v>
      </c>
      <c r="I707" s="10">
        <f>CHOOSE(CONTROL!$C$42, 19.5021, 19.5021)* CHOOSE(CONTROL!$C$21, $C$9, 100%, $E$9)</f>
        <v>19.502099999999999</v>
      </c>
      <c r="J707" s="10">
        <f>CHOOSE(CONTROL!$C$42, 19.4776, 19.4776)* CHOOSE(CONTROL!$C$21, $C$9, 100%, $E$9)</f>
        <v>19.477599999999999</v>
      </c>
      <c r="K707" s="10">
        <f>CHOOSE(CONTROL!$C$42, 19.085, 19.085) * CHOOSE(CONTROL!$C$21, $C$9, 100%, $E$9)</f>
        <v>19.085000000000001</v>
      </c>
      <c r="L707" s="10">
        <f>CHOOSE(CONTROL!$C$42, 20.1547, 20.1547) * CHOOSE(CONTROL!$C$21, $C$9, 100%, $E$9)</f>
        <v>20.154699999999998</v>
      </c>
      <c r="M707" s="10">
        <f>CHOOSE(CONTROL!$C$42, 19.2949, 19.2949) * CHOOSE(CONTROL!$C$21, $C$9, 100%, $E$9)</f>
        <v>19.294899999999998</v>
      </c>
      <c r="N707" s="10">
        <f>CHOOSE(CONTROL!$C$42, 19.3111, 19.3111) * CHOOSE(CONTROL!$C$21, $C$9, 100%, $E$9)</f>
        <v>19.3111</v>
      </c>
      <c r="O707" s="10">
        <f>CHOOSE(CONTROL!$C$42, 19.384, 19.384) * CHOOSE(CONTROL!$C$21, $C$9, 100%, $E$9)</f>
        <v>19.384</v>
      </c>
      <c r="P707" s="10">
        <f>CHOOSE(CONTROL!$C$42, 19.3191, 19.3191) * CHOOSE(CONTROL!$C$21, $C$9, 100%, $E$9)</f>
        <v>19.319099999999999</v>
      </c>
      <c r="Q707" s="10">
        <f>CHOOSE(CONTROL!$C$42, 19.9793, 19.9793) * CHOOSE(CONTROL!$C$21, $C$9, 100%, $E$9)</f>
        <v>19.979299999999999</v>
      </c>
      <c r="R707" s="10">
        <f>CHOOSE(CONTROL!$C$42, 20.6163, 20.6163) * CHOOSE(CONTROL!$C$21, $C$9, 100%, $E$9)</f>
        <v>20.616299999999999</v>
      </c>
      <c r="S707" s="10">
        <f>CHOOSE(CONTROL!$C$42, 18.9492, 18.9492) * CHOOSE(CONTROL!$C$21, $C$9, 100%, $E$9)</f>
        <v>18.949200000000001</v>
      </c>
      <c r="T7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38">
        <f>(1000*CHOOSE(CONTROL!$C$42, 695, 695)*CHOOSE(CONTROL!$C$42, 0.5599, 0.5599)*CHOOSE(CONTROL!$C$42, 30, 30))/1000000</f>
        <v>11.673914999999997</v>
      </c>
      <c r="V707" s="38">
        <f>(1000*CHOOSE(CONTROL!$C$42, 500, 500)*CHOOSE(CONTROL!$C$42, 0.275, 0.275)*CHOOSE(CONTROL!$C$42, 30, 30))/1000000</f>
        <v>4.125</v>
      </c>
      <c r="W707" s="38">
        <f>(1000*CHOOSE(CONTROL!$C$42, 0.1146, 0.1146)*CHOOSE(CONTROL!$C$42, 121.5, 121.5)*CHOOSE(CONTROL!$C$42, 30, 30))/1000000</f>
        <v>0.417717</v>
      </c>
      <c r="X707" s="38">
        <f>(30*0.1790888*100000/1000000)+(30*0.2374*100000/1000000)</f>
        <v>1.2494664</v>
      </c>
      <c r="Y707" s="38">
        <f>(1000*600*CHOOSE(CONTROL!$C$42, 1.0585, 1.0585)*CHOOSE(CONTROL!$C$42, 30, 30))/1000000</f>
        <v>19.053000000000001</v>
      </c>
      <c r="Z707" s="38"/>
      <c r="AA707" s="10"/>
      <c r="AB707" s="39"/>
      <c r="AC707" s="33">
        <f>(B707*122.58+C707*297.941+D707*89.177+E707*40.302+F707*40+G707*160+H707*0+I707*100+J707*300)/(122.58+297.941+89.177+40.302+0+40+160+100+300)</f>
        <v>19.507050082782609</v>
      </c>
      <c r="AD707" s="27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19.339697841726618</v>
      </c>
    </row>
    <row r="708" spans="1:30" ht="15.75" x14ac:dyDescent="0.25">
      <c r="A708" s="13">
        <v>62823</v>
      </c>
      <c r="B708" s="10">
        <f>CHOOSE(CONTROL!$C$42, 20.8456, 20.8456) * CHOOSE(CONTROL!$C$21, $C$9, 100%, $E$9)</f>
        <v>20.845600000000001</v>
      </c>
      <c r="C708" s="10">
        <f>CHOOSE(CONTROL!$C$42, 20.8506, 20.8506) * CHOOSE(CONTROL!$C$21, $C$9, 100%, $E$9)</f>
        <v>20.8506</v>
      </c>
      <c r="D708" s="10">
        <f>CHOOSE(CONTROL!$C$42, 20.8751, 20.8751) * CHOOSE(CONTROL!$C$21, $C$9, 100%, $E$9)</f>
        <v>20.8751</v>
      </c>
      <c r="E708" s="10">
        <f>CHOOSE(CONTROL!$C$42, 20.9088, 20.9088) * CHOOSE(CONTROL!$C$21, $C$9, 100%, $E$9)</f>
        <v>20.908799999999999</v>
      </c>
      <c r="F708" s="10">
        <f>CHOOSE(CONTROL!$C$42, 20.8173, 20.8173)*CHOOSE(CONTROL!$C$21, $C$9, 100%, $E$9)</f>
        <v>20.817299999999999</v>
      </c>
      <c r="G708" s="10">
        <f>CHOOSE(CONTROL!$C$42, 20.8343, 20.8343)*CHOOSE(CONTROL!$C$21, $C$9, 100%, $E$9)</f>
        <v>20.834299999999999</v>
      </c>
      <c r="H708" s="10">
        <f>CHOOSE(CONTROL!$C$42, 20.898, 20.898) * CHOOSE(CONTROL!$C$21, $C$9, 100%, $E$9)</f>
        <v>20.898</v>
      </c>
      <c r="I708" s="10">
        <f>CHOOSE(CONTROL!$C$42, 20.8324, 20.8324)* CHOOSE(CONTROL!$C$21, $C$9, 100%, $E$9)</f>
        <v>20.8324</v>
      </c>
      <c r="J708" s="10">
        <f>CHOOSE(CONTROL!$C$42, 20.8103, 20.8103)* CHOOSE(CONTROL!$C$21, $C$9, 100%, $E$9)</f>
        <v>20.810300000000002</v>
      </c>
      <c r="K708" s="10">
        <f>CHOOSE(CONTROL!$C$42, 20.3825, 20.3825) * CHOOSE(CONTROL!$C$21, $C$9, 100%, $E$9)</f>
        <v>20.3825</v>
      </c>
      <c r="L708" s="10">
        <f>CHOOSE(CONTROL!$C$42, 21.485, 21.485) * CHOOSE(CONTROL!$C$21, $C$9, 100%, $E$9)</f>
        <v>21.484999999999999</v>
      </c>
      <c r="M708" s="10">
        <f>CHOOSE(CONTROL!$C$42, 20.6141, 20.6141) * CHOOSE(CONTROL!$C$21, $C$9, 100%, $E$9)</f>
        <v>20.614100000000001</v>
      </c>
      <c r="N708" s="10">
        <f>CHOOSE(CONTROL!$C$42, 20.6309, 20.6309) * CHOOSE(CONTROL!$C$21, $C$9, 100%, $E$9)</f>
        <v>20.6309</v>
      </c>
      <c r="O708" s="10">
        <f>CHOOSE(CONTROL!$C$42, 20.701, 20.701) * CHOOSE(CONTROL!$C$21, $C$9, 100%, $E$9)</f>
        <v>20.701000000000001</v>
      </c>
      <c r="P708" s="10">
        <f>CHOOSE(CONTROL!$C$42, 20.636, 20.636) * CHOOSE(CONTROL!$C$21, $C$9, 100%, $E$9)</f>
        <v>20.635999999999999</v>
      </c>
      <c r="Q708" s="10">
        <f>CHOOSE(CONTROL!$C$42, 21.2963, 21.2963) * CHOOSE(CONTROL!$C$21, $C$9, 100%, $E$9)</f>
        <v>21.296299999999999</v>
      </c>
      <c r="R708" s="10">
        <f>CHOOSE(CONTROL!$C$42, 21.9365, 21.9365) * CHOOSE(CONTROL!$C$21, $C$9, 100%, $E$9)</f>
        <v>21.936499999999999</v>
      </c>
      <c r="S708" s="10">
        <f>CHOOSE(CONTROL!$C$42, 20.2411, 20.2411) * CHOOSE(CONTROL!$C$21, $C$9, 100%, $E$9)</f>
        <v>20.241099999999999</v>
      </c>
      <c r="T7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38">
        <f>(1000*CHOOSE(CONTROL!$C$42, 695, 695)*CHOOSE(CONTROL!$C$42, 0.5599, 0.5599)*CHOOSE(CONTROL!$C$42, 31, 31))/1000000</f>
        <v>12.063045499999998</v>
      </c>
      <c r="V708" s="38">
        <f>(1000*CHOOSE(CONTROL!$C$42, 500, 500)*CHOOSE(CONTROL!$C$42, 0.275, 0.275)*CHOOSE(CONTROL!$C$42, 31, 31))/1000000</f>
        <v>4.2625000000000002</v>
      </c>
      <c r="W708" s="38">
        <f>(1000*CHOOSE(CONTROL!$C$42, 0.1146, 0.1146)*CHOOSE(CONTROL!$C$42, 121.5, 121.5)*CHOOSE(CONTROL!$C$42, 31, 31))/1000000</f>
        <v>0.43164089999999994</v>
      </c>
      <c r="X708" s="38">
        <f>(31*0.1790888*100000/1000000)+(31*0.2374*100000/1000000)</f>
        <v>1.2911152800000001</v>
      </c>
      <c r="Y708" s="38">
        <f>(1000*600*CHOOSE(CONTROL!$C$42, 1.0585, 1.0585)*CHOOSE(CONTROL!$C$42, 31, 31))/1000000</f>
        <v>19.688099999999999</v>
      </c>
      <c r="Z708" s="38"/>
      <c r="AA708" s="10"/>
      <c r="AB708" s="39"/>
      <c r="AC708" s="33">
        <f>(B708*122.58+C708*297.941+D708*89.177+E708*40.302+F708*40+G708*160+H708*0+I708*100+J708*300)/(122.58+297.941+89.177+40.302+0+40+160+100+300)</f>
        <v>20.838484793826087</v>
      </c>
      <c r="AD708" s="27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20.657604316546767</v>
      </c>
    </row>
    <row r="709" spans="1:30" ht="15.75" x14ac:dyDescent="0.25">
      <c r="A709" s="13">
        <v>62854</v>
      </c>
      <c r="B709" s="10">
        <f>CHOOSE(CONTROL!$C$42, 22.2524, 22.2524) * CHOOSE(CONTROL!$C$21, $C$9, 100%, $E$9)</f>
        <v>22.252400000000002</v>
      </c>
      <c r="C709" s="10">
        <f>CHOOSE(CONTROL!$C$42, 22.2574, 22.2574) * CHOOSE(CONTROL!$C$21, $C$9, 100%, $E$9)</f>
        <v>22.257400000000001</v>
      </c>
      <c r="D709" s="10">
        <f>CHOOSE(CONTROL!$C$42, 22.2818, 22.2818) * CHOOSE(CONTROL!$C$21, $C$9, 100%, $E$9)</f>
        <v>22.2818</v>
      </c>
      <c r="E709" s="10">
        <f>CHOOSE(CONTROL!$C$42, 22.3156, 22.3156) * CHOOSE(CONTROL!$C$21, $C$9, 100%, $E$9)</f>
        <v>22.3156</v>
      </c>
      <c r="F709" s="10">
        <f>CHOOSE(CONTROL!$C$42, 22.2353, 22.2353)*CHOOSE(CONTROL!$C$21, $C$9, 100%, $E$9)</f>
        <v>22.235299999999999</v>
      </c>
      <c r="G709" s="10">
        <f>CHOOSE(CONTROL!$C$42, 22.254, 22.254)*CHOOSE(CONTROL!$C$21, $C$9, 100%, $E$9)</f>
        <v>22.254000000000001</v>
      </c>
      <c r="H709" s="10">
        <f>CHOOSE(CONTROL!$C$42, 22.3048, 22.3048) * CHOOSE(CONTROL!$C$21, $C$9, 100%, $E$9)</f>
        <v>22.3048</v>
      </c>
      <c r="I709" s="10">
        <f>CHOOSE(CONTROL!$C$42, 22.2469, 22.2469)* CHOOSE(CONTROL!$C$21, $C$9, 100%, $E$9)</f>
        <v>22.2469</v>
      </c>
      <c r="J709" s="10">
        <f>CHOOSE(CONTROL!$C$42, 22.2283, 22.2283)* CHOOSE(CONTROL!$C$21, $C$9, 100%, $E$9)</f>
        <v>22.228300000000001</v>
      </c>
      <c r="K709" s="10">
        <f>CHOOSE(CONTROL!$C$42, 21.7703, 21.7703) * CHOOSE(CONTROL!$C$21, $C$9, 100%, $E$9)</f>
        <v>21.770299999999999</v>
      </c>
      <c r="L709" s="10">
        <f>CHOOSE(CONTROL!$C$42, 22.8918, 22.8918) * CHOOSE(CONTROL!$C$21, $C$9, 100%, $E$9)</f>
        <v>22.8918</v>
      </c>
      <c r="M709" s="10">
        <f>CHOOSE(CONTROL!$C$42, 22.0178, 22.0178) * CHOOSE(CONTROL!$C$21, $C$9, 100%, $E$9)</f>
        <v>22.017800000000001</v>
      </c>
      <c r="N709" s="10">
        <f>CHOOSE(CONTROL!$C$42, 22.0363, 22.0363) * CHOOSE(CONTROL!$C$21, $C$9, 100%, $E$9)</f>
        <v>22.036300000000001</v>
      </c>
      <c r="O709" s="10">
        <f>CHOOSE(CONTROL!$C$42, 22.0935, 22.0935) * CHOOSE(CONTROL!$C$21, $C$9, 100%, $E$9)</f>
        <v>22.093499999999999</v>
      </c>
      <c r="P709" s="10">
        <f>CHOOSE(CONTROL!$C$42, 22.0362, 22.0362) * CHOOSE(CONTROL!$C$21, $C$9, 100%, $E$9)</f>
        <v>22.036200000000001</v>
      </c>
      <c r="Q709" s="10">
        <f>CHOOSE(CONTROL!$C$42, 22.6888, 22.6888) * CHOOSE(CONTROL!$C$21, $C$9, 100%, $E$9)</f>
        <v>22.688800000000001</v>
      </c>
      <c r="R709" s="10">
        <f>CHOOSE(CONTROL!$C$42, 23.3325, 23.3325) * CHOOSE(CONTROL!$C$21, $C$9, 100%, $E$9)</f>
        <v>23.3325</v>
      </c>
      <c r="S709" s="10">
        <f>CHOOSE(CONTROL!$C$42, 21.6072, 21.6072) * CHOOSE(CONTROL!$C$21, $C$9, 100%, $E$9)</f>
        <v>21.607199999999999</v>
      </c>
      <c r="T7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38">
        <f>(1000*CHOOSE(CONTROL!$C$42, 695, 695)*CHOOSE(CONTROL!$C$42, 0.5599, 0.5599)*CHOOSE(CONTROL!$C$42, 31, 31))/1000000</f>
        <v>12.063045499999998</v>
      </c>
      <c r="V709" s="38">
        <f>(1000*CHOOSE(CONTROL!$C$42, 500, 500)*CHOOSE(CONTROL!$C$42, 0.275, 0.275)*CHOOSE(CONTROL!$C$42, 31, 31))/1000000</f>
        <v>4.2625000000000002</v>
      </c>
      <c r="W709" s="38">
        <f>(1000*CHOOSE(CONTROL!$C$42, 0.1146, 0.1146)*CHOOSE(CONTROL!$C$42, 121.5, 121.5)*CHOOSE(CONTROL!$C$42, 31, 31))/1000000</f>
        <v>0.43164089999999994</v>
      </c>
      <c r="X709" s="38">
        <f>(31*0.1790888*100000/1000000)+(31*0.2374*100000/1000000)</f>
        <v>1.2911152800000001</v>
      </c>
      <c r="Y709" s="38">
        <f>(1000*600*CHOOSE(CONTROL!$C$42, 1.0585, 1.0585)*CHOOSE(CONTROL!$C$42, 31, 31))/1000000</f>
        <v>19.688099999999999</v>
      </c>
      <c r="Z709" s="38"/>
      <c r="AA709" s="10"/>
      <c r="AB709" s="39"/>
      <c r="AC709" s="33">
        <f>(B709*122.58+C709*297.941+D709*89.177+E709*40.302+F709*40+G709*160+H709*0+I709*100+J709*300)/(122.58+297.941+89.177+40.302+0+40+160+100+300)</f>
        <v>22.251052691478261</v>
      </c>
      <c r="AD709" s="27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22.055822302158273</v>
      </c>
    </row>
    <row r="710" spans="1:30" ht="15.75" x14ac:dyDescent="0.25">
      <c r="A710" s="13">
        <v>62883</v>
      </c>
      <c r="B710" s="10">
        <f>CHOOSE(CONTROL!$C$42, 22.6485, 22.6485) * CHOOSE(CONTROL!$C$21, $C$9, 100%, $E$9)</f>
        <v>22.648499999999999</v>
      </c>
      <c r="C710" s="10">
        <f>CHOOSE(CONTROL!$C$42, 22.6534, 22.6534) * CHOOSE(CONTROL!$C$21, $C$9, 100%, $E$9)</f>
        <v>22.653400000000001</v>
      </c>
      <c r="D710" s="10">
        <f>CHOOSE(CONTROL!$C$42, 22.6779, 22.6779) * CHOOSE(CONTROL!$C$21, $C$9, 100%, $E$9)</f>
        <v>22.677900000000001</v>
      </c>
      <c r="E710" s="10">
        <f>CHOOSE(CONTROL!$C$42, 22.7117, 22.7117) * CHOOSE(CONTROL!$C$21, $C$9, 100%, $E$9)</f>
        <v>22.7117</v>
      </c>
      <c r="F710" s="10">
        <f>CHOOSE(CONTROL!$C$42, 22.6307, 22.6307)*CHOOSE(CONTROL!$C$21, $C$9, 100%, $E$9)</f>
        <v>22.630700000000001</v>
      </c>
      <c r="G710" s="10">
        <f>CHOOSE(CONTROL!$C$42, 22.6492, 22.6492)*CHOOSE(CONTROL!$C$21, $C$9, 100%, $E$9)</f>
        <v>22.6492</v>
      </c>
      <c r="H710" s="10">
        <f>CHOOSE(CONTROL!$C$42, 22.7009, 22.7009) * CHOOSE(CONTROL!$C$21, $C$9, 100%, $E$9)</f>
        <v>22.700900000000001</v>
      </c>
      <c r="I710" s="10">
        <f>CHOOSE(CONTROL!$C$42, 22.643, 22.643)* CHOOSE(CONTROL!$C$21, $C$9, 100%, $E$9)</f>
        <v>22.643000000000001</v>
      </c>
      <c r="J710" s="10">
        <f>CHOOSE(CONTROL!$C$42, 22.6237, 22.6237)* CHOOSE(CONTROL!$C$21, $C$9, 100%, $E$9)</f>
        <v>22.623699999999999</v>
      </c>
      <c r="K710" s="10">
        <f>CHOOSE(CONTROL!$C$42, 22.1536, 22.1536) * CHOOSE(CONTROL!$C$21, $C$9, 100%, $E$9)</f>
        <v>22.153600000000001</v>
      </c>
      <c r="L710" s="10">
        <f>CHOOSE(CONTROL!$C$42, 23.2879, 23.2879) * CHOOSE(CONTROL!$C$21, $C$9, 100%, $E$9)</f>
        <v>23.2879</v>
      </c>
      <c r="M710" s="10">
        <f>CHOOSE(CONTROL!$C$42, 22.4092, 22.4092) * CHOOSE(CONTROL!$C$21, $C$9, 100%, $E$9)</f>
        <v>22.409199999999998</v>
      </c>
      <c r="N710" s="10">
        <f>CHOOSE(CONTROL!$C$42, 22.4275, 22.4275) * CHOOSE(CONTROL!$C$21, $C$9, 100%, $E$9)</f>
        <v>22.427499999999998</v>
      </c>
      <c r="O710" s="10">
        <f>CHOOSE(CONTROL!$C$42, 22.4856, 22.4856) * CHOOSE(CONTROL!$C$21, $C$9, 100%, $E$9)</f>
        <v>22.485600000000002</v>
      </c>
      <c r="P710" s="10">
        <f>CHOOSE(CONTROL!$C$42, 22.4283, 22.4283) * CHOOSE(CONTROL!$C$21, $C$9, 100%, $E$9)</f>
        <v>22.4283</v>
      </c>
      <c r="Q710" s="10">
        <f>CHOOSE(CONTROL!$C$42, 23.0809, 23.0809) * CHOOSE(CONTROL!$C$21, $C$9, 100%, $E$9)</f>
        <v>23.0809</v>
      </c>
      <c r="R710" s="10">
        <f>CHOOSE(CONTROL!$C$42, 23.7256, 23.7256) * CHOOSE(CONTROL!$C$21, $C$9, 100%, $E$9)</f>
        <v>23.7256</v>
      </c>
      <c r="S710" s="10">
        <f>CHOOSE(CONTROL!$C$42, 21.9918, 21.9918) * CHOOSE(CONTROL!$C$21, $C$9, 100%, $E$9)</f>
        <v>21.991800000000001</v>
      </c>
      <c r="T71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10" s="38">
        <f>(1000*CHOOSE(CONTROL!$C$42, 695, 695)*CHOOSE(CONTROL!$C$42, 0.5599, 0.5599)*CHOOSE(CONTROL!$C$42, 29, 29))/1000000</f>
        <v>11.284784499999999</v>
      </c>
      <c r="V710" s="38">
        <f>(1000*CHOOSE(CONTROL!$C$42, 500, 500)*CHOOSE(CONTROL!$C$42, 0.275, 0.275)*CHOOSE(CONTROL!$C$42, 29, 29))/1000000</f>
        <v>3.9874999999999998</v>
      </c>
      <c r="W710" s="38">
        <f>(1000*CHOOSE(CONTROL!$C$42, 0.1146, 0.1146)*CHOOSE(CONTROL!$C$42, 121.5, 121.5)*CHOOSE(CONTROL!$C$42, 29, 29))/1000000</f>
        <v>0.40379309999999996</v>
      </c>
      <c r="X710" s="38">
        <f>(29*0.1790888*100000/1000000)+(29*0.2374*100000/1000000)</f>
        <v>1.2078175199999999</v>
      </c>
      <c r="Y710" s="38">
        <f>(1000*600*CHOOSE(CONTROL!$C$42, 1.0585, 1.0585)*CHOOSE(CONTROL!$C$42, 29, 29))/1000000</f>
        <v>18.417899999999999</v>
      </c>
      <c r="Z710" s="38"/>
      <c r="AA710" s="10"/>
      <c r="AB710" s="39"/>
      <c r="AC710" s="33">
        <f>(B710*122.58+C710*297.941+D710*89.177+E710*40.302+F710*40+G710*160+H710*0+I710*100+J710*300)/(122.58+297.941+89.177+40.302+0+40+160+100+300)</f>
        <v>22.646794609652176</v>
      </c>
      <c r="AD710" s="27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22.447628776978419</v>
      </c>
    </row>
    <row r="711" spans="1:30" ht="15.75" x14ac:dyDescent="0.25">
      <c r="A711" s="13">
        <v>62914</v>
      </c>
      <c r="B711" s="10">
        <f>CHOOSE(CONTROL!$C$42, 22.0056, 22.0056) * CHOOSE(CONTROL!$C$21, $C$9, 100%, $E$9)</f>
        <v>22.005600000000001</v>
      </c>
      <c r="C711" s="10">
        <f>CHOOSE(CONTROL!$C$42, 22.0105, 22.0105) * CHOOSE(CONTROL!$C$21, $C$9, 100%, $E$9)</f>
        <v>22.0105</v>
      </c>
      <c r="D711" s="10">
        <f>CHOOSE(CONTROL!$C$42, 22.035, 22.035) * CHOOSE(CONTROL!$C$21, $C$9, 100%, $E$9)</f>
        <v>22.035</v>
      </c>
      <c r="E711" s="10">
        <f>CHOOSE(CONTROL!$C$42, 22.0687, 22.0687) * CHOOSE(CONTROL!$C$21, $C$9, 100%, $E$9)</f>
        <v>22.0687</v>
      </c>
      <c r="F711" s="10">
        <f>CHOOSE(CONTROL!$C$42, 21.9863, 21.9863)*CHOOSE(CONTROL!$C$21, $C$9, 100%, $E$9)</f>
        <v>21.9863</v>
      </c>
      <c r="G711" s="10">
        <f>CHOOSE(CONTROL!$C$42, 22.0044, 22.0044)*CHOOSE(CONTROL!$C$21, $C$9, 100%, $E$9)</f>
        <v>22.0044</v>
      </c>
      <c r="H711" s="10">
        <f>CHOOSE(CONTROL!$C$42, 22.0579, 22.0579) * CHOOSE(CONTROL!$C$21, $C$9, 100%, $E$9)</f>
        <v>22.0579</v>
      </c>
      <c r="I711" s="10">
        <f>CHOOSE(CONTROL!$C$42, 22, 22)* CHOOSE(CONTROL!$C$21, $C$9, 100%, $E$9)</f>
        <v>22</v>
      </c>
      <c r="J711" s="10">
        <f>CHOOSE(CONTROL!$C$42, 21.9793, 21.9793)* CHOOSE(CONTROL!$C$21, $C$9, 100%, $E$9)</f>
        <v>21.979299999999999</v>
      </c>
      <c r="K711" s="10">
        <f>CHOOSE(CONTROL!$C$42, 21.5256, 21.5256) * CHOOSE(CONTROL!$C$21, $C$9, 100%, $E$9)</f>
        <v>21.525600000000001</v>
      </c>
      <c r="L711" s="10">
        <f>CHOOSE(CONTROL!$C$42, 22.6449, 22.6449) * CHOOSE(CONTROL!$C$21, $C$9, 100%, $E$9)</f>
        <v>22.6449</v>
      </c>
      <c r="M711" s="10">
        <f>CHOOSE(CONTROL!$C$42, 21.7713, 21.7713) * CHOOSE(CONTROL!$C$21, $C$9, 100%, $E$9)</f>
        <v>21.7713</v>
      </c>
      <c r="N711" s="10">
        <f>CHOOSE(CONTROL!$C$42, 21.7892, 21.7892) * CHOOSE(CONTROL!$C$21, $C$9, 100%, $E$9)</f>
        <v>21.789200000000001</v>
      </c>
      <c r="O711" s="10">
        <f>CHOOSE(CONTROL!$C$42, 21.8492, 21.8492) * CHOOSE(CONTROL!$C$21, $C$9, 100%, $E$9)</f>
        <v>21.8492</v>
      </c>
      <c r="P711" s="10">
        <f>CHOOSE(CONTROL!$C$42, 21.7919, 21.7919) * CHOOSE(CONTROL!$C$21, $C$9, 100%, $E$9)</f>
        <v>21.791899999999998</v>
      </c>
      <c r="Q711" s="10">
        <f>CHOOSE(CONTROL!$C$42, 22.4445, 22.4445) * CHOOSE(CONTROL!$C$21, $C$9, 100%, $E$9)</f>
        <v>22.444500000000001</v>
      </c>
      <c r="R711" s="10">
        <f>CHOOSE(CONTROL!$C$42, 23.0876, 23.0876) * CHOOSE(CONTROL!$C$21, $C$9, 100%, $E$9)</f>
        <v>23.087599999999998</v>
      </c>
      <c r="S711" s="10">
        <f>CHOOSE(CONTROL!$C$42, 21.3675, 21.3675) * CHOOSE(CONTROL!$C$21, $C$9, 100%, $E$9)</f>
        <v>21.3675</v>
      </c>
      <c r="T7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38">
        <f>(1000*CHOOSE(CONTROL!$C$42, 695, 695)*CHOOSE(CONTROL!$C$42, 0.5599, 0.5599)*CHOOSE(CONTROL!$C$42, 31, 31))/1000000</f>
        <v>12.063045499999998</v>
      </c>
      <c r="V711" s="38">
        <f>(1000*CHOOSE(CONTROL!$C$42, 500, 500)*CHOOSE(CONTROL!$C$42, 0.275, 0.275)*CHOOSE(CONTROL!$C$42, 31, 31))/1000000</f>
        <v>4.2625000000000002</v>
      </c>
      <c r="W711" s="38">
        <f>(1000*CHOOSE(CONTROL!$C$42, 0.1146, 0.1146)*CHOOSE(CONTROL!$C$42, 121.5, 121.5)*CHOOSE(CONTROL!$C$42, 31, 31))/1000000</f>
        <v>0.43164089999999994</v>
      </c>
      <c r="X711" s="38">
        <f>(31*0.1790888*100000/1000000)+(31*0.2374*100000/1000000)</f>
        <v>1.2911152800000001</v>
      </c>
      <c r="Y711" s="38">
        <f>(1000*600*CHOOSE(CONTROL!$C$42, 1.0585, 1.0585)*CHOOSE(CONTROL!$C$42, 31, 31))/1000000</f>
        <v>19.688099999999999</v>
      </c>
      <c r="Z711" s="38"/>
      <c r="AA711" s="10"/>
      <c r="AB711" s="39"/>
      <c r="AC711" s="33">
        <f>(B711*122.58+C711*297.941+D711*89.177+E711*40.302+F711*40+G711*160+H711*0+I711*100+J711*300)/(122.58+297.941+89.177+40.302+0+40+160+100+300)</f>
        <v>22.003174583391303</v>
      </c>
      <c r="AD711" s="27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21.81060143884892</v>
      </c>
    </row>
    <row r="712" spans="1:30" ht="15.75" x14ac:dyDescent="0.25">
      <c r="A712" s="13">
        <v>62944</v>
      </c>
      <c r="B712" s="10">
        <f>CHOOSE(CONTROL!$C$42, 21.9405, 21.9405) * CHOOSE(CONTROL!$C$21, $C$9, 100%, $E$9)</f>
        <v>21.9405</v>
      </c>
      <c r="C712" s="10">
        <f>CHOOSE(CONTROL!$C$42, 21.9448, 21.9448) * CHOOSE(CONTROL!$C$21, $C$9, 100%, $E$9)</f>
        <v>21.944800000000001</v>
      </c>
      <c r="D712" s="10">
        <f>CHOOSE(CONTROL!$C$42, 22.125, 22.125) * CHOOSE(CONTROL!$C$21, $C$9, 100%, $E$9)</f>
        <v>22.125</v>
      </c>
      <c r="E712" s="10">
        <f>CHOOSE(CONTROL!$C$42, 22.1567, 22.1567) * CHOOSE(CONTROL!$C$21, $C$9, 100%, $E$9)</f>
        <v>22.156700000000001</v>
      </c>
      <c r="F712" s="10">
        <f>CHOOSE(CONTROL!$C$42, 21.9058, 21.9058)*CHOOSE(CONTROL!$C$21, $C$9, 100%, $E$9)</f>
        <v>21.905799999999999</v>
      </c>
      <c r="G712" s="10">
        <f>CHOOSE(CONTROL!$C$42, 21.922, 21.922)*CHOOSE(CONTROL!$C$21, $C$9, 100%, $E$9)</f>
        <v>21.922000000000001</v>
      </c>
      <c r="H712" s="10">
        <f>CHOOSE(CONTROL!$C$42, 22.1465, 22.1465) * CHOOSE(CONTROL!$C$21, $C$9, 100%, $E$9)</f>
        <v>22.1465</v>
      </c>
      <c r="I712" s="10">
        <f>CHOOSE(CONTROL!$C$42, 21.9264, 21.9264)* CHOOSE(CONTROL!$C$21, $C$9, 100%, $E$9)</f>
        <v>21.926400000000001</v>
      </c>
      <c r="J712" s="10">
        <f>CHOOSE(CONTROL!$C$42, 21.8988, 21.8988)* CHOOSE(CONTROL!$C$21, $C$9, 100%, $E$9)</f>
        <v>21.898800000000001</v>
      </c>
      <c r="K712" s="10">
        <f>CHOOSE(CONTROL!$C$42, 21.4391, 21.4391) * CHOOSE(CONTROL!$C$21, $C$9, 100%, $E$9)</f>
        <v>21.4391</v>
      </c>
      <c r="L712" s="10">
        <f>CHOOSE(CONTROL!$C$42, 22.7335, 22.7335) * CHOOSE(CONTROL!$C$21, $C$9, 100%, $E$9)</f>
        <v>22.733499999999999</v>
      </c>
      <c r="M712" s="10">
        <f>CHOOSE(CONTROL!$C$42, 21.6916, 21.6916) * CHOOSE(CONTROL!$C$21, $C$9, 100%, $E$9)</f>
        <v>21.691600000000001</v>
      </c>
      <c r="N712" s="10">
        <f>CHOOSE(CONTROL!$C$42, 21.7077, 21.7077) * CHOOSE(CONTROL!$C$21, $C$9, 100%, $E$9)</f>
        <v>21.707699999999999</v>
      </c>
      <c r="O712" s="10">
        <f>CHOOSE(CONTROL!$C$42, 21.9369, 21.9369) * CHOOSE(CONTROL!$C$21, $C$9, 100%, $E$9)</f>
        <v>21.936900000000001</v>
      </c>
      <c r="P712" s="10">
        <f>CHOOSE(CONTROL!$C$42, 21.719, 21.719) * CHOOSE(CONTROL!$C$21, $C$9, 100%, $E$9)</f>
        <v>21.719000000000001</v>
      </c>
      <c r="Q712" s="10">
        <f>CHOOSE(CONTROL!$C$42, 22.5322, 22.5322) * CHOOSE(CONTROL!$C$21, $C$9, 100%, $E$9)</f>
        <v>22.5322</v>
      </c>
      <c r="R712" s="10">
        <f>CHOOSE(CONTROL!$C$42, 23.1755, 23.1755) * CHOOSE(CONTROL!$C$21, $C$9, 100%, $E$9)</f>
        <v>23.1755</v>
      </c>
      <c r="S712" s="10">
        <f>CHOOSE(CONTROL!$C$42, 21.3035, 21.3035) * CHOOSE(CONTROL!$C$21, $C$9, 100%, $E$9)</f>
        <v>21.3035</v>
      </c>
      <c r="T7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38">
        <f>(1000*CHOOSE(CONTROL!$C$42, 695, 695)*CHOOSE(CONTROL!$C$42, 0.5599, 0.5599)*CHOOSE(CONTROL!$C$42, 30, 30))/1000000</f>
        <v>11.673914999999997</v>
      </c>
      <c r="V712" s="38">
        <f>(1000*CHOOSE(CONTROL!$C$42, 500, 500)*CHOOSE(CONTROL!$C$42, 0.275, 0.275)*CHOOSE(CONTROL!$C$42, 30, 30))/1000000</f>
        <v>4.125</v>
      </c>
      <c r="W712" s="38">
        <f>(1000*CHOOSE(CONTROL!$C$42, 0.1146, 0.1146)*CHOOSE(CONTROL!$C$42, 121.5, 121.5)*CHOOSE(CONTROL!$C$42, 30, 30))/1000000</f>
        <v>0.417717</v>
      </c>
      <c r="X712" s="38">
        <f>(30*0.1790888*245000/1000000)+(30*0.2374*100000/1000000)</f>
        <v>2.0285026799999999</v>
      </c>
      <c r="Y712" s="38">
        <f>(1000*600*CHOOSE(CONTROL!$C$42, 1.0585, 1.0585)*CHOOSE(CONTROL!$C$42, 30, 30))/1000000</f>
        <v>19.053000000000001</v>
      </c>
      <c r="Z712" s="38"/>
      <c r="AA712" s="10"/>
      <c r="AB712" s="39"/>
      <c r="AC712" s="33">
        <f>(B712*141.293+C712*267.993+D712*115.016+E712*89.698+F712*40+G712*185+H712*0+I712*100+J712*300)/(141.293+267.993+115.016+89.698+0+40+185+100+300)</f>
        <v>21.959091629943501</v>
      </c>
      <c r="AD712" s="27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21.807648201438848</v>
      </c>
    </row>
    <row r="713" spans="1:30" ht="15.75" x14ac:dyDescent="0.25">
      <c r="A713" s="13">
        <v>62975</v>
      </c>
      <c r="B713" s="10">
        <f>CHOOSE(CONTROL!$C$42, 22.1359, 22.1359) * CHOOSE(CONTROL!$C$21, $C$9, 100%, $E$9)</f>
        <v>22.135899999999999</v>
      </c>
      <c r="C713" s="10">
        <f>CHOOSE(CONTROL!$C$42, 22.1438, 22.1438) * CHOOSE(CONTROL!$C$21, $C$9, 100%, $E$9)</f>
        <v>22.143799999999999</v>
      </c>
      <c r="D713" s="10">
        <f>CHOOSE(CONTROL!$C$42, 22.3208, 22.3208) * CHOOSE(CONTROL!$C$21, $C$9, 100%, $E$9)</f>
        <v>22.320799999999998</v>
      </c>
      <c r="E713" s="10">
        <f>CHOOSE(CONTROL!$C$42, 22.3519, 22.3519) * CHOOSE(CONTROL!$C$21, $C$9, 100%, $E$9)</f>
        <v>22.351900000000001</v>
      </c>
      <c r="F713" s="10">
        <f>CHOOSE(CONTROL!$C$42, 22.0992, 22.0992)*CHOOSE(CONTROL!$C$21, $C$9, 100%, $E$9)</f>
        <v>22.0992</v>
      </c>
      <c r="G713" s="10">
        <f>CHOOSE(CONTROL!$C$42, 22.1157, 22.1157)*CHOOSE(CONTROL!$C$21, $C$9, 100%, $E$9)</f>
        <v>22.1157</v>
      </c>
      <c r="H713" s="10">
        <f>CHOOSE(CONTROL!$C$42, 22.3405, 22.3405) * CHOOSE(CONTROL!$C$21, $C$9, 100%, $E$9)</f>
        <v>22.340499999999999</v>
      </c>
      <c r="I713" s="10">
        <f>CHOOSE(CONTROL!$C$42, 22.1204, 22.1204)* CHOOSE(CONTROL!$C$21, $C$9, 100%, $E$9)</f>
        <v>22.1204</v>
      </c>
      <c r="J713" s="10">
        <f>CHOOSE(CONTROL!$C$42, 22.0922, 22.0922)* CHOOSE(CONTROL!$C$21, $C$9, 100%, $E$9)</f>
        <v>22.092199999999998</v>
      </c>
      <c r="K713" s="10">
        <f>CHOOSE(CONTROL!$C$42, 21.6264, 21.6264) * CHOOSE(CONTROL!$C$21, $C$9, 100%, $E$9)</f>
        <v>21.6264</v>
      </c>
      <c r="L713" s="10">
        <f>CHOOSE(CONTROL!$C$42, 22.9275, 22.9275) * CHOOSE(CONTROL!$C$21, $C$9, 100%, $E$9)</f>
        <v>22.927499999999998</v>
      </c>
      <c r="M713" s="10">
        <f>CHOOSE(CONTROL!$C$42, 21.8831, 21.8831) * CHOOSE(CONTROL!$C$21, $C$9, 100%, $E$9)</f>
        <v>21.883099999999999</v>
      </c>
      <c r="N713" s="10">
        <f>CHOOSE(CONTROL!$C$42, 21.8994, 21.8994) * CHOOSE(CONTROL!$C$21, $C$9, 100%, $E$9)</f>
        <v>21.8994</v>
      </c>
      <c r="O713" s="10">
        <f>CHOOSE(CONTROL!$C$42, 22.1289, 22.1289) * CHOOSE(CONTROL!$C$21, $C$9, 100%, $E$9)</f>
        <v>22.128900000000002</v>
      </c>
      <c r="P713" s="10">
        <f>CHOOSE(CONTROL!$C$42, 21.9111, 21.9111) * CHOOSE(CONTROL!$C$21, $C$9, 100%, $E$9)</f>
        <v>21.911100000000001</v>
      </c>
      <c r="Q713" s="10">
        <f>CHOOSE(CONTROL!$C$42, 22.7242, 22.7242) * CHOOSE(CONTROL!$C$21, $C$9, 100%, $E$9)</f>
        <v>22.7242</v>
      </c>
      <c r="R713" s="10">
        <f>CHOOSE(CONTROL!$C$42, 23.368, 23.368) * CHOOSE(CONTROL!$C$21, $C$9, 100%, $E$9)</f>
        <v>23.367999999999999</v>
      </c>
      <c r="S713" s="10">
        <f>CHOOSE(CONTROL!$C$42, 21.4919, 21.4919) * CHOOSE(CONTROL!$C$21, $C$9, 100%, $E$9)</f>
        <v>21.491900000000001</v>
      </c>
      <c r="T7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38">
        <f>(1000*CHOOSE(CONTROL!$C$42, 695, 695)*CHOOSE(CONTROL!$C$42, 0.5599, 0.5599)*CHOOSE(CONTROL!$C$42, 31, 31))/1000000</f>
        <v>12.063045499999998</v>
      </c>
      <c r="V713" s="38">
        <f>(1000*CHOOSE(CONTROL!$C$42, 500, 500)*CHOOSE(CONTROL!$C$42, 0.275, 0.275)*CHOOSE(CONTROL!$C$42, 31, 31))/1000000</f>
        <v>4.2625000000000002</v>
      </c>
      <c r="W713" s="38">
        <f>(1000*CHOOSE(CONTROL!$C$42, 0.1146, 0.1146)*CHOOSE(CONTROL!$C$42, 121.5, 121.5)*CHOOSE(CONTROL!$C$42, 31, 31))/1000000</f>
        <v>0.43164089999999994</v>
      </c>
      <c r="X713" s="38">
        <f>(31*0.1790888*245000/1000000)+(31*0.2374*100000/1000000)</f>
        <v>2.0961194359999999</v>
      </c>
      <c r="Y713" s="38">
        <f>(1000*600*CHOOSE(CONTROL!$C$42, 1.0585, 1.0585)*CHOOSE(CONTROL!$C$42, 31, 31))/1000000</f>
        <v>19.688099999999999</v>
      </c>
      <c r="Z713" s="38"/>
      <c r="AA713" s="10"/>
      <c r="AB713" s="39"/>
      <c r="AC713" s="33">
        <f>(B713*194.205+C713*267.466+D713*133.845+E713*53.484+F713*40+G713*185+H713*0+I713*100+J713*300)/(194.205+267.466+133.845+53.484+0+40+185+100+300)</f>
        <v>22.150459235400316</v>
      </c>
      <c r="AD713" s="27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21.999472661870502</v>
      </c>
    </row>
    <row r="714" spans="1:30" ht="15.75" x14ac:dyDescent="0.25">
      <c r="A714" s="13">
        <v>63005</v>
      </c>
      <c r="B714" s="10">
        <f>CHOOSE(CONTROL!$C$42, 22.7636, 22.7636) * CHOOSE(CONTROL!$C$21, $C$9, 100%, $E$9)</f>
        <v>22.7636</v>
      </c>
      <c r="C714" s="10">
        <f>CHOOSE(CONTROL!$C$42, 22.7715, 22.7715) * CHOOSE(CONTROL!$C$21, $C$9, 100%, $E$9)</f>
        <v>22.7715</v>
      </c>
      <c r="D714" s="10">
        <f>CHOOSE(CONTROL!$C$42, 22.9485, 22.9485) * CHOOSE(CONTROL!$C$21, $C$9, 100%, $E$9)</f>
        <v>22.948499999999999</v>
      </c>
      <c r="E714" s="10">
        <f>CHOOSE(CONTROL!$C$42, 22.9797, 22.9797) * CHOOSE(CONTROL!$C$21, $C$9, 100%, $E$9)</f>
        <v>22.979700000000001</v>
      </c>
      <c r="F714" s="10">
        <f>CHOOSE(CONTROL!$C$42, 22.7271, 22.7271)*CHOOSE(CONTROL!$C$21, $C$9, 100%, $E$9)</f>
        <v>22.7271</v>
      </c>
      <c r="G714" s="10">
        <f>CHOOSE(CONTROL!$C$42, 22.7437, 22.7437)*CHOOSE(CONTROL!$C$21, $C$9, 100%, $E$9)</f>
        <v>22.7437</v>
      </c>
      <c r="H714" s="10">
        <f>CHOOSE(CONTROL!$C$42, 22.9683, 22.9683) * CHOOSE(CONTROL!$C$21, $C$9, 100%, $E$9)</f>
        <v>22.968299999999999</v>
      </c>
      <c r="I714" s="10">
        <f>CHOOSE(CONTROL!$C$42, 22.7482, 22.7482)* CHOOSE(CONTROL!$C$21, $C$9, 100%, $E$9)</f>
        <v>22.748200000000001</v>
      </c>
      <c r="J714" s="10">
        <f>CHOOSE(CONTROL!$C$42, 22.7201, 22.7201)* CHOOSE(CONTROL!$C$21, $C$9, 100%, $E$9)</f>
        <v>22.720099999999999</v>
      </c>
      <c r="K714" s="10">
        <f>CHOOSE(CONTROL!$C$42, 22.2367, 22.2367) * CHOOSE(CONTROL!$C$21, $C$9, 100%, $E$9)</f>
        <v>22.236699999999999</v>
      </c>
      <c r="L714" s="10">
        <f>CHOOSE(CONTROL!$C$42, 23.5553, 23.5553) * CHOOSE(CONTROL!$C$21, $C$9, 100%, $E$9)</f>
        <v>23.555299999999999</v>
      </c>
      <c r="M714" s="10">
        <f>CHOOSE(CONTROL!$C$42, 22.5047, 22.5047) * CHOOSE(CONTROL!$C$21, $C$9, 100%, $E$9)</f>
        <v>22.5047</v>
      </c>
      <c r="N714" s="10">
        <f>CHOOSE(CONTROL!$C$42, 22.5211, 22.5211) * CHOOSE(CONTROL!$C$21, $C$9, 100%, $E$9)</f>
        <v>22.521100000000001</v>
      </c>
      <c r="O714" s="10">
        <f>CHOOSE(CONTROL!$C$42, 22.7503, 22.7503) * CHOOSE(CONTROL!$C$21, $C$9, 100%, $E$9)</f>
        <v>22.750299999999999</v>
      </c>
      <c r="P714" s="10">
        <f>CHOOSE(CONTROL!$C$42, 22.5325, 22.5325) * CHOOSE(CONTROL!$C$21, $C$9, 100%, $E$9)</f>
        <v>22.532499999999999</v>
      </c>
      <c r="Q714" s="10">
        <f>CHOOSE(CONTROL!$C$42, 23.3456, 23.3456) * CHOOSE(CONTROL!$C$21, $C$9, 100%, $E$9)</f>
        <v>23.345600000000001</v>
      </c>
      <c r="R714" s="10">
        <f>CHOOSE(CONTROL!$C$42, 23.991, 23.991) * CHOOSE(CONTROL!$C$21, $C$9, 100%, $E$9)</f>
        <v>23.991</v>
      </c>
      <c r="S714" s="10">
        <f>CHOOSE(CONTROL!$C$42, 22.1015, 22.1015) * CHOOSE(CONTROL!$C$21, $C$9, 100%, $E$9)</f>
        <v>22.101500000000001</v>
      </c>
      <c r="T7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38">
        <f>(1000*CHOOSE(CONTROL!$C$42, 695, 695)*CHOOSE(CONTROL!$C$42, 0.5599, 0.5599)*CHOOSE(CONTROL!$C$42, 30, 30))/1000000</f>
        <v>11.673914999999997</v>
      </c>
      <c r="V714" s="38">
        <f>(1000*CHOOSE(CONTROL!$C$42, 500, 500)*CHOOSE(CONTROL!$C$42, 0.275, 0.275)*CHOOSE(CONTROL!$C$42, 30, 30))/1000000</f>
        <v>4.125</v>
      </c>
      <c r="W714" s="38">
        <f>(1000*CHOOSE(CONTROL!$C$42, 0.1146, 0.1146)*CHOOSE(CONTROL!$C$42, 121.5, 121.5)*CHOOSE(CONTROL!$C$42, 30, 30))/1000000</f>
        <v>0.417717</v>
      </c>
      <c r="X714" s="38">
        <f>(30*0.1790888*245000/1000000)+(30*0.2374*100000/1000000)</f>
        <v>2.0285026799999999</v>
      </c>
      <c r="Y714" s="38">
        <f>(1000*600*CHOOSE(CONTROL!$C$42, 1.0585, 1.0585)*CHOOSE(CONTROL!$C$42, 30, 30))/1000000</f>
        <v>19.053000000000001</v>
      </c>
      <c r="Z714" s="38"/>
      <c r="AA714" s="10"/>
      <c r="AB714" s="39"/>
      <c r="AC714" s="33">
        <f>(B714*194.205+C714*267.466+D714*133.845+E714*53.484+F714*40+G714*185+H714*0+I714*100+J714*300)/(194.205+267.466+133.845+53.484+0+40+185+100+300)</f>
        <v>22.778268221585552</v>
      </c>
      <c r="AD714" s="27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22.620958992805758</v>
      </c>
    </row>
    <row r="715" spans="1:30" ht="15.75" x14ac:dyDescent="0.25">
      <c r="A715" s="13">
        <v>63036</v>
      </c>
      <c r="B715" s="10">
        <f>CHOOSE(CONTROL!$C$42, 22.327, 22.327) * CHOOSE(CONTROL!$C$21, $C$9, 100%, $E$9)</f>
        <v>22.327000000000002</v>
      </c>
      <c r="C715" s="10">
        <f>CHOOSE(CONTROL!$C$42, 22.3349, 22.3349) * CHOOSE(CONTROL!$C$21, $C$9, 100%, $E$9)</f>
        <v>22.334900000000001</v>
      </c>
      <c r="D715" s="10">
        <f>CHOOSE(CONTROL!$C$42, 22.5119, 22.5119) * CHOOSE(CONTROL!$C$21, $C$9, 100%, $E$9)</f>
        <v>22.511900000000001</v>
      </c>
      <c r="E715" s="10">
        <f>CHOOSE(CONTROL!$C$42, 22.543, 22.543) * CHOOSE(CONTROL!$C$21, $C$9, 100%, $E$9)</f>
        <v>22.542999999999999</v>
      </c>
      <c r="F715" s="10">
        <f>CHOOSE(CONTROL!$C$42, 22.2908, 22.2908)*CHOOSE(CONTROL!$C$21, $C$9, 100%, $E$9)</f>
        <v>22.290800000000001</v>
      </c>
      <c r="G715" s="10">
        <f>CHOOSE(CONTROL!$C$42, 22.3074, 22.3074)*CHOOSE(CONTROL!$C$21, $C$9, 100%, $E$9)</f>
        <v>22.307400000000001</v>
      </c>
      <c r="H715" s="10">
        <f>CHOOSE(CONTROL!$C$42, 22.5317, 22.5317) * CHOOSE(CONTROL!$C$21, $C$9, 100%, $E$9)</f>
        <v>22.531700000000001</v>
      </c>
      <c r="I715" s="10">
        <f>CHOOSE(CONTROL!$C$42, 22.3116, 22.3116)* CHOOSE(CONTROL!$C$21, $C$9, 100%, $E$9)</f>
        <v>22.311599999999999</v>
      </c>
      <c r="J715" s="10">
        <f>CHOOSE(CONTROL!$C$42, 22.2838, 22.2838)* CHOOSE(CONTROL!$C$21, $C$9, 100%, $E$9)</f>
        <v>22.283799999999999</v>
      </c>
      <c r="K715" s="10">
        <f>CHOOSE(CONTROL!$C$42, 21.813, 21.813) * CHOOSE(CONTROL!$C$21, $C$9, 100%, $E$9)</f>
        <v>21.812999999999999</v>
      </c>
      <c r="L715" s="10">
        <f>CHOOSE(CONTROL!$C$42, 23.1187, 23.1187) * CHOOSE(CONTROL!$C$21, $C$9, 100%, $E$9)</f>
        <v>23.1187</v>
      </c>
      <c r="M715" s="10">
        <f>CHOOSE(CONTROL!$C$42, 22.0727, 22.0727) * CHOOSE(CONTROL!$C$21, $C$9, 100%, $E$9)</f>
        <v>22.072700000000001</v>
      </c>
      <c r="N715" s="10">
        <f>CHOOSE(CONTROL!$C$42, 22.0892, 22.0892) * CHOOSE(CONTROL!$C$21, $C$9, 100%, $E$9)</f>
        <v>22.089200000000002</v>
      </c>
      <c r="O715" s="10">
        <f>CHOOSE(CONTROL!$C$42, 22.3181, 22.3181) * CHOOSE(CONTROL!$C$21, $C$9, 100%, $E$9)</f>
        <v>22.318100000000001</v>
      </c>
      <c r="P715" s="10">
        <f>CHOOSE(CONTROL!$C$42, 22.1003, 22.1003) * CHOOSE(CONTROL!$C$21, $C$9, 100%, $E$9)</f>
        <v>22.100300000000001</v>
      </c>
      <c r="Q715" s="10">
        <f>CHOOSE(CONTROL!$C$42, 22.9134, 22.9134) * CHOOSE(CONTROL!$C$21, $C$9, 100%, $E$9)</f>
        <v>22.913399999999999</v>
      </c>
      <c r="R715" s="10">
        <f>CHOOSE(CONTROL!$C$42, 23.5577, 23.5577) * CHOOSE(CONTROL!$C$21, $C$9, 100%, $E$9)</f>
        <v>23.557700000000001</v>
      </c>
      <c r="S715" s="10">
        <f>CHOOSE(CONTROL!$C$42, 21.6775, 21.6775) * CHOOSE(CONTROL!$C$21, $C$9, 100%, $E$9)</f>
        <v>21.677499999999998</v>
      </c>
      <c r="T7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38">
        <f>(1000*CHOOSE(CONTROL!$C$42, 695, 695)*CHOOSE(CONTROL!$C$42, 0.5599, 0.5599)*CHOOSE(CONTROL!$C$42, 31, 31))/1000000</f>
        <v>12.063045499999998</v>
      </c>
      <c r="V715" s="38">
        <f>(1000*CHOOSE(CONTROL!$C$42, 500, 500)*CHOOSE(CONTROL!$C$42, 0.275, 0.275)*CHOOSE(CONTROL!$C$42, 31, 31))/1000000</f>
        <v>4.2625000000000002</v>
      </c>
      <c r="W715" s="38">
        <f>(1000*CHOOSE(CONTROL!$C$42, 0.1146, 0.1146)*CHOOSE(CONTROL!$C$42, 121.5, 121.5)*CHOOSE(CONTROL!$C$42, 31, 31))/1000000</f>
        <v>0.43164089999999994</v>
      </c>
      <c r="X715" s="38">
        <f>(31*0.1790888*245000/1000000)+(31*0.2374*100000/1000000)</f>
        <v>2.0961194359999999</v>
      </c>
      <c r="Y715" s="38">
        <f>(1000*600*CHOOSE(CONTROL!$C$42, 1.0585, 1.0585)*CHOOSE(CONTROL!$C$42, 31, 31))/1000000</f>
        <v>19.688099999999999</v>
      </c>
      <c r="Z715" s="38"/>
      <c r="AA715" s="10"/>
      <c r="AB715" s="39"/>
      <c r="AC715" s="33">
        <f>(B715*194.205+C715*267.466+D715*133.845+E715*53.484+F715*40+G715*185+H715*0+I715*100+J715*300)/(194.205+267.466+133.845+53.484+0+40+185+100+300)</f>
        <v>22.341787649843013</v>
      </c>
      <c r="AD715" s="27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22.18884532374101</v>
      </c>
    </row>
    <row r="716" spans="1:30" ht="15.75" x14ac:dyDescent="0.25">
      <c r="A716" s="13">
        <v>63067</v>
      </c>
      <c r="B716" s="10">
        <f>CHOOSE(CONTROL!$C$42, 21.2244, 21.2244) * CHOOSE(CONTROL!$C$21, $C$9, 100%, $E$9)</f>
        <v>21.224399999999999</v>
      </c>
      <c r="C716" s="10">
        <f>CHOOSE(CONTROL!$C$42, 21.2323, 21.2323) * CHOOSE(CONTROL!$C$21, $C$9, 100%, $E$9)</f>
        <v>21.232299999999999</v>
      </c>
      <c r="D716" s="10">
        <f>CHOOSE(CONTROL!$C$42, 21.4093, 21.4093) * CHOOSE(CONTROL!$C$21, $C$9, 100%, $E$9)</f>
        <v>21.409300000000002</v>
      </c>
      <c r="E716" s="10">
        <f>CHOOSE(CONTROL!$C$42, 21.4405, 21.4405) * CHOOSE(CONTROL!$C$21, $C$9, 100%, $E$9)</f>
        <v>21.4405</v>
      </c>
      <c r="F716" s="10">
        <f>CHOOSE(CONTROL!$C$42, 21.1883, 21.1883)*CHOOSE(CONTROL!$C$21, $C$9, 100%, $E$9)</f>
        <v>21.188300000000002</v>
      </c>
      <c r="G716" s="10">
        <f>CHOOSE(CONTROL!$C$42, 21.2049, 21.2049)*CHOOSE(CONTROL!$C$21, $C$9, 100%, $E$9)</f>
        <v>21.204899999999999</v>
      </c>
      <c r="H716" s="10">
        <f>CHOOSE(CONTROL!$C$42, 21.4291, 21.4291) * CHOOSE(CONTROL!$C$21, $C$9, 100%, $E$9)</f>
        <v>21.429099999999998</v>
      </c>
      <c r="I716" s="10">
        <f>CHOOSE(CONTROL!$C$42, 21.209, 21.209)* CHOOSE(CONTROL!$C$21, $C$9, 100%, $E$9)</f>
        <v>21.209</v>
      </c>
      <c r="J716" s="10">
        <f>CHOOSE(CONTROL!$C$42, 21.1813, 21.1813)* CHOOSE(CONTROL!$C$21, $C$9, 100%, $E$9)</f>
        <v>21.1813</v>
      </c>
      <c r="K716" s="10">
        <f>CHOOSE(CONTROL!$C$42, 20.7419, 20.7419) * CHOOSE(CONTROL!$C$21, $C$9, 100%, $E$9)</f>
        <v>20.741900000000001</v>
      </c>
      <c r="L716" s="10">
        <f>CHOOSE(CONTROL!$C$42, 22.0161, 22.0161) * CHOOSE(CONTROL!$C$21, $C$9, 100%, $E$9)</f>
        <v>22.016100000000002</v>
      </c>
      <c r="M716" s="10">
        <f>CHOOSE(CONTROL!$C$42, 20.9813, 20.9813) * CHOOSE(CONTROL!$C$21, $C$9, 100%, $E$9)</f>
        <v>20.981300000000001</v>
      </c>
      <c r="N716" s="10">
        <f>CHOOSE(CONTROL!$C$42, 20.9978, 20.9978) * CHOOSE(CONTROL!$C$21, $C$9, 100%, $E$9)</f>
        <v>20.997800000000002</v>
      </c>
      <c r="O716" s="10">
        <f>CHOOSE(CONTROL!$C$42, 21.2267, 21.2267) * CHOOSE(CONTROL!$C$21, $C$9, 100%, $E$9)</f>
        <v>21.226700000000001</v>
      </c>
      <c r="P716" s="10">
        <f>CHOOSE(CONTROL!$C$42, 21.0089, 21.0089) * CHOOSE(CONTROL!$C$21, $C$9, 100%, $E$9)</f>
        <v>21.008900000000001</v>
      </c>
      <c r="Q716" s="10">
        <f>CHOOSE(CONTROL!$C$42, 21.822, 21.822) * CHOOSE(CONTROL!$C$21, $C$9, 100%, $E$9)</f>
        <v>21.821999999999999</v>
      </c>
      <c r="R716" s="10">
        <f>CHOOSE(CONTROL!$C$42, 22.4635, 22.4635) * CHOOSE(CONTROL!$C$21, $C$9, 100%, $E$9)</f>
        <v>22.4635</v>
      </c>
      <c r="S716" s="10">
        <f>CHOOSE(CONTROL!$C$42, 20.6068, 20.6068) * CHOOSE(CONTROL!$C$21, $C$9, 100%, $E$9)</f>
        <v>20.6068</v>
      </c>
      <c r="T7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38">
        <f>(1000*CHOOSE(CONTROL!$C$42, 695, 695)*CHOOSE(CONTROL!$C$42, 0.5599, 0.5599)*CHOOSE(CONTROL!$C$42, 31, 31))/1000000</f>
        <v>12.063045499999998</v>
      </c>
      <c r="V716" s="38">
        <f>(1000*CHOOSE(CONTROL!$C$42, 500, 500)*CHOOSE(CONTROL!$C$42, 0.275, 0.275)*CHOOSE(CONTROL!$C$42, 31, 31))/1000000</f>
        <v>4.2625000000000002</v>
      </c>
      <c r="W716" s="38">
        <f>(1000*CHOOSE(CONTROL!$C$42, 0.1146, 0.1146)*CHOOSE(CONTROL!$C$42, 121.5, 121.5)*CHOOSE(CONTROL!$C$42, 31, 31))/1000000</f>
        <v>0.43164089999999994</v>
      </c>
      <c r="X716" s="38">
        <f>(31*0.1790888*245000/1000000)+(31*0.2374*100000/1000000)</f>
        <v>2.0961194359999999</v>
      </c>
      <c r="Y716" s="38">
        <f>(1000*600*CHOOSE(CONTROL!$C$42, 1.0585, 1.0585)*CHOOSE(CONTROL!$C$42, 31, 31))/1000000</f>
        <v>19.688099999999999</v>
      </c>
      <c r="Z716" s="38"/>
      <c r="AA716" s="10"/>
      <c r="AB716" s="39"/>
      <c r="AC716" s="33">
        <f>(B716*194.205+C716*267.466+D716*133.845+E716*53.484+F716*40+G716*185+H716*0+I716*100+J716*300)/(194.205+267.466+133.845+53.484+0+40+185+100+300)</f>
        <v>21.239233056750393</v>
      </c>
      <c r="AD716" s="27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21.097445323741006</v>
      </c>
    </row>
    <row r="717" spans="1:30" ht="15.75" x14ac:dyDescent="0.25">
      <c r="A717" s="13">
        <v>63097</v>
      </c>
      <c r="B717" s="10">
        <f>CHOOSE(CONTROL!$C$42, 19.8773, 19.8773) * CHOOSE(CONTROL!$C$21, $C$9, 100%, $E$9)</f>
        <v>19.877300000000002</v>
      </c>
      <c r="C717" s="10">
        <f>CHOOSE(CONTROL!$C$42, 19.8852, 19.8852) * CHOOSE(CONTROL!$C$21, $C$9, 100%, $E$9)</f>
        <v>19.885200000000001</v>
      </c>
      <c r="D717" s="10">
        <f>CHOOSE(CONTROL!$C$42, 20.0622, 20.0622) * CHOOSE(CONTROL!$C$21, $C$9, 100%, $E$9)</f>
        <v>20.062200000000001</v>
      </c>
      <c r="E717" s="10">
        <f>CHOOSE(CONTROL!$C$42, 20.0933, 20.0933) * CHOOSE(CONTROL!$C$21, $C$9, 100%, $E$9)</f>
        <v>20.093299999999999</v>
      </c>
      <c r="F717" s="10">
        <f>CHOOSE(CONTROL!$C$42, 19.8409, 19.8409)*CHOOSE(CONTROL!$C$21, $C$9, 100%, $E$9)</f>
        <v>19.840900000000001</v>
      </c>
      <c r="G717" s="10">
        <f>CHOOSE(CONTROL!$C$42, 19.8574, 19.8574)*CHOOSE(CONTROL!$C$21, $C$9, 100%, $E$9)</f>
        <v>19.857399999999998</v>
      </c>
      <c r="H717" s="10">
        <f>CHOOSE(CONTROL!$C$42, 20.082, 20.082) * CHOOSE(CONTROL!$C$21, $C$9, 100%, $E$9)</f>
        <v>20.082000000000001</v>
      </c>
      <c r="I717" s="10">
        <f>CHOOSE(CONTROL!$C$42, 19.8619, 19.8619)* CHOOSE(CONTROL!$C$21, $C$9, 100%, $E$9)</f>
        <v>19.861899999999999</v>
      </c>
      <c r="J717" s="10">
        <f>CHOOSE(CONTROL!$C$42, 19.8339, 19.8339)* CHOOSE(CONTROL!$C$21, $C$9, 100%, $E$9)</f>
        <v>19.8339</v>
      </c>
      <c r="K717" s="10">
        <f>CHOOSE(CONTROL!$C$42, 19.4325, 19.4325) * CHOOSE(CONTROL!$C$21, $C$9, 100%, $E$9)</f>
        <v>19.432500000000001</v>
      </c>
      <c r="L717" s="10">
        <f>CHOOSE(CONTROL!$C$42, 20.669, 20.669) * CHOOSE(CONTROL!$C$21, $C$9, 100%, $E$9)</f>
        <v>20.669</v>
      </c>
      <c r="M717" s="10">
        <f>CHOOSE(CONTROL!$C$42, 19.6475, 19.6475) * CHOOSE(CONTROL!$C$21, $C$9, 100%, $E$9)</f>
        <v>19.647500000000001</v>
      </c>
      <c r="N717" s="10">
        <f>CHOOSE(CONTROL!$C$42, 19.6639, 19.6639) * CHOOSE(CONTROL!$C$21, $C$9, 100%, $E$9)</f>
        <v>19.663900000000002</v>
      </c>
      <c r="O717" s="10">
        <f>CHOOSE(CONTROL!$C$42, 19.8931, 19.8931) * CHOOSE(CONTROL!$C$21, $C$9, 100%, $E$9)</f>
        <v>19.8931</v>
      </c>
      <c r="P717" s="10">
        <f>CHOOSE(CONTROL!$C$42, 19.6753, 19.6753) * CHOOSE(CONTROL!$C$21, $C$9, 100%, $E$9)</f>
        <v>19.6753</v>
      </c>
      <c r="Q717" s="10">
        <f>CHOOSE(CONTROL!$C$42, 20.4884, 20.4884) * CHOOSE(CONTROL!$C$21, $C$9, 100%, $E$9)</f>
        <v>20.488399999999999</v>
      </c>
      <c r="R717" s="10">
        <f>CHOOSE(CONTROL!$C$42, 21.1266, 21.1266) * CHOOSE(CONTROL!$C$21, $C$9, 100%, $E$9)</f>
        <v>21.1266</v>
      </c>
      <c r="S717" s="10">
        <f>CHOOSE(CONTROL!$C$42, 19.2986, 19.2986) * CHOOSE(CONTROL!$C$21, $C$9, 100%, $E$9)</f>
        <v>19.2986</v>
      </c>
      <c r="T7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38">
        <f>(1000*CHOOSE(CONTROL!$C$42, 695, 695)*CHOOSE(CONTROL!$C$42, 0.5599, 0.5599)*CHOOSE(CONTROL!$C$42, 30, 30))/1000000</f>
        <v>11.673914999999997</v>
      </c>
      <c r="V717" s="38">
        <f>(1000*CHOOSE(CONTROL!$C$42, 500, 500)*CHOOSE(CONTROL!$C$42, 0.275, 0.275)*CHOOSE(CONTROL!$C$42, 30, 30))/1000000</f>
        <v>4.125</v>
      </c>
      <c r="W717" s="38">
        <f>(1000*CHOOSE(CONTROL!$C$42, 0.1146, 0.1146)*CHOOSE(CONTROL!$C$42, 121.5, 121.5)*CHOOSE(CONTROL!$C$42, 30, 30))/1000000</f>
        <v>0.417717</v>
      </c>
      <c r="X717" s="38">
        <f>(30*0.1790888*245000/1000000)+(30*0.2374*100000/1000000)</f>
        <v>2.0285026799999999</v>
      </c>
      <c r="Y717" s="38">
        <f>(1000*600*CHOOSE(CONTROL!$C$42, 1.0585, 1.0585)*CHOOSE(CONTROL!$C$42, 30, 30))/1000000</f>
        <v>19.053000000000001</v>
      </c>
      <c r="Z717" s="38"/>
      <c r="AA717" s="10"/>
      <c r="AB717" s="39"/>
      <c r="AC717" s="33">
        <f>(B717*194.205+C717*267.466+D717*133.845+E717*53.484+F717*40+G717*185+H717*0+I717*100+J717*300)/(194.205+267.466+133.845+53.484+0+40+185+100+300)</f>
        <v>19.891990711067503</v>
      </c>
      <c r="AD717" s="27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19.763758992805759</v>
      </c>
    </row>
    <row r="718" spans="1:30" ht="15.75" x14ac:dyDescent="0.25">
      <c r="A718" s="13">
        <v>63128</v>
      </c>
      <c r="B718" s="10">
        <f>CHOOSE(CONTROL!$C$42, 19.4717, 19.4717) * CHOOSE(CONTROL!$C$21, $C$9, 100%, $E$9)</f>
        <v>19.471699999999998</v>
      </c>
      <c r="C718" s="10">
        <f>CHOOSE(CONTROL!$C$42, 19.4769, 19.4769) * CHOOSE(CONTROL!$C$21, $C$9, 100%, $E$9)</f>
        <v>19.476900000000001</v>
      </c>
      <c r="D718" s="10">
        <f>CHOOSE(CONTROL!$C$42, 19.6588, 19.6588) * CHOOSE(CONTROL!$C$21, $C$9, 100%, $E$9)</f>
        <v>19.658799999999999</v>
      </c>
      <c r="E718" s="10">
        <f>CHOOSE(CONTROL!$C$42, 19.6876, 19.6876) * CHOOSE(CONTROL!$C$21, $C$9, 100%, $E$9)</f>
        <v>19.6876</v>
      </c>
      <c r="F718" s="10">
        <f>CHOOSE(CONTROL!$C$42, 19.4373, 19.4373)*CHOOSE(CONTROL!$C$21, $C$9, 100%, $E$9)</f>
        <v>19.4373</v>
      </c>
      <c r="G718" s="10">
        <f>CHOOSE(CONTROL!$C$42, 19.4535, 19.4535)*CHOOSE(CONTROL!$C$21, $C$9, 100%, $E$9)</f>
        <v>19.453499999999998</v>
      </c>
      <c r="H718" s="10">
        <f>CHOOSE(CONTROL!$C$42, 19.6781, 19.6781) * CHOOSE(CONTROL!$C$21, $C$9, 100%, $E$9)</f>
        <v>19.678100000000001</v>
      </c>
      <c r="I718" s="10">
        <f>CHOOSE(CONTROL!$C$42, 19.458, 19.458)* CHOOSE(CONTROL!$C$21, $C$9, 100%, $E$9)</f>
        <v>19.457999999999998</v>
      </c>
      <c r="J718" s="10">
        <f>CHOOSE(CONTROL!$C$42, 19.4303, 19.4303)* CHOOSE(CONTROL!$C$21, $C$9, 100%, $E$9)</f>
        <v>19.430299999999999</v>
      </c>
      <c r="K718" s="10">
        <f>CHOOSE(CONTROL!$C$42, 19.0407, 19.0407) * CHOOSE(CONTROL!$C$21, $C$9, 100%, $E$9)</f>
        <v>19.040700000000001</v>
      </c>
      <c r="L718" s="10">
        <f>CHOOSE(CONTROL!$C$42, 20.2651, 20.2651) * CHOOSE(CONTROL!$C$21, $C$9, 100%, $E$9)</f>
        <v>20.2651</v>
      </c>
      <c r="M718" s="10">
        <f>CHOOSE(CONTROL!$C$42, 19.248, 19.248) * CHOOSE(CONTROL!$C$21, $C$9, 100%, $E$9)</f>
        <v>19.248000000000001</v>
      </c>
      <c r="N718" s="10">
        <f>CHOOSE(CONTROL!$C$42, 19.2641, 19.2641) * CHOOSE(CONTROL!$C$21, $C$9, 100%, $E$9)</f>
        <v>19.264099999999999</v>
      </c>
      <c r="O718" s="10">
        <f>CHOOSE(CONTROL!$C$42, 19.4933, 19.4933) * CHOOSE(CONTROL!$C$21, $C$9, 100%, $E$9)</f>
        <v>19.493300000000001</v>
      </c>
      <c r="P718" s="10">
        <f>CHOOSE(CONTROL!$C$42, 19.2755, 19.2755) * CHOOSE(CONTROL!$C$21, $C$9, 100%, $E$9)</f>
        <v>19.275500000000001</v>
      </c>
      <c r="Q718" s="10">
        <f>CHOOSE(CONTROL!$C$42, 20.0886, 20.0886) * CHOOSE(CONTROL!$C$21, $C$9, 100%, $E$9)</f>
        <v>20.0886</v>
      </c>
      <c r="R718" s="10">
        <f>CHOOSE(CONTROL!$C$42, 20.7259, 20.7259) * CHOOSE(CONTROL!$C$21, $C$9, 100%, $E$9)</f>
        <v>20.725899999999999</v>
      </c>
      <c r="S718" s="10">
        <f>CHOOSE(CONTROL!$C$42, 18.9064, 18.9064) * CHOOSE(CONTROL!$C$21, $C$9, 100%, $E$9)</f>
        <v>18.906400000000001</v>
      </c>
      <c r="T7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38">
        <f>(1000*CHOOSE(CONTROL!$C$42, 695, 695)*CHOOSE(CONTROL!$C$42, 0.5599, 0.5599)*CHOOSE(CONTROL!$C$42, 31, 31))/1000000</f>
        <v>12.063045499999998</v>
      </c>
      <c r="V718" s="38">
        <f>(1000*CHOOSE(CONTROL!$C$42, 500, 500)*CHOOSE(CONTROL!$C$42, 0.275, 0.275)*CHOOSE(CONTROL!$C$42, 31, 31))/1000000</f>
        <v>4.2625000000000002</v>
      </c>
      <c r="W718" s="38">
        <f>(1000*CHOOSE(CONTROL!$C$42, 0.1146, 0.1146)*CHOOSE(CONTROL!$C$42, 121.5, 121.5)*CHOOSE(CONTROL!$C$42, 31, 31))/1000000</f>
        <v>0.43164089999999994</v>
      </c>
      <c r="X718" s="38">
        <f>(31*0.1790888*245000/1000000)+(31*0.2374*100000/1000000)</f>
        <v>2.0961194359999999</v>
      </c>
      <c r="Y718" s="38">
        <f>(1000*600*CHOOSE(CONTROL!$C$42, 1.0585, 1.0585)*CHOOSE(CONTROL!$C$42, 31, 31))/1000000</f>
        <v>19.688099999999999</v>
      </c>
      <c r="Z718" s="38"/>
      <c r="AA718" s="10"/>
      <c r="AB718" s="39"/>
      <c r="AC718" s="33">
        <f>(B718*131.881+C718*277.167+D718*79.08+E718*125.872+F718*40+G718*185+H718*0+I718*100+J718*300)/(131.881+277.167+79.08+125.872+0+40+185+100+300)</f>
        <v>19.491780630508472</v>
      </c>
      <c r="AD718" s="27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19.364062589928057</v>
      </c>
    </row>
    <row r="719" spans="1:30" ht="15.75" x14ac:dyDescent="0.25">
      <c r="A719" s="13">
        <v>63158</v>
      </c>
      <c r="B719" s="10">
        <f>CHOOSE(CONTROL!$C$42, 19.9841, 19.9841) * CHOOSE(CONTROL!$C$21, $C$9, 100%, $E$9)</f>
        <v>19.984100000000002</v>
      </c>
      <c r="C719" s="10">
        <f>CHOOSE(CONTROL!$C$42, 19.9891, 19.9891) * CHOOSE(CONTROL!$C$21, $C$9, 100%, $E$9)</f>
        <v>19.989100000000001</v>
      </c>
      <c r="D719" s="10">
        <f>CHOOSE(CONTROL!$C$42, 20.0135, 20.0135) * CHOOSE(CONTROL!$C$21, $C$9, 100%, $E$9)</f>
        <v>20.013500000000001</v>
      </c>
      <c r="E719" s="10">
        <f>CHOOSE(CONTROL!$C$42, 20.0473, 20.0473) * CHOOSE(CONTROL!$C$21, $C$9, 100%, $E$9)</f>
        <v>20.0473</v>
      </c>
      <c r="F719" s="10">
        <f>CHOOSE(CONTROL!$C$42, 19.9535, 19.9535)*CHOOSE(CONTROL!$C$21, $C$9, 100%, $E$9)</f>
        <v>19.953499999999998</v>
      </c>
      <c r="G719" s="10">
        <f>CHOOSE(CONTROL!$C$42, 19.9699, 19.9699)*CHOOSE(CONTROL!$C$21, $C$9, 100%, $E$9)</f>
        <v>19.969899999999999</v>
      </c>
      <c r="H719" s="10">
        <f>CHOOSE(CONTROL!$C$42, 20.0365, 20.0365) * CHOOSE(CONTROL!$C$21, $C$9, 100%, $E$9)</f>
        <v>20.0365</v>
      </c>
      <c r="I719" s="10">
        <f>CHOOSE(CONTROL!$C$42, 19.9709, 19.9709)* CHOOSE(CONTROL!$C$21, $C$9, 100%, $E$9)</f>
        <v>19.9709</v>
      </c>
      <c r="J719" s="10">
        <f>CHOOSE(CONTROL!$C$42, 19.9465, 19.9465)* CHOOSE(CONTROL!$C$21, $C$9, 100%, $E$9)</f>
        <v>19.9465</v>
      </c>
      <c r="K719" s="10">
        <f>CHOOSE(CONTROL!$C$42, 19.5405, 19.5405) * CHOOSE(CONTROL!$C$21, $C$9, 100%, $E$9)</f>
        <v>19.540500000000002</v>
      </c>
      <c r="L719" s="10">
        <f>CHOOSE(CONTROL!$C$42, 20.6235, 20.6235) * CHOOSE(CONTROL!$C$21, $C$9, 100%, $E$9)</f>
        <v>20.6235</v>
      </c>
      <c r="M719" s="10">
        <f>CHOOSE(CONTROL!$C$42, 19.759, 19.759) * CHOOSE(CONTROL!$C$21, $C$9, 100%, $E$9)</f>
        <v>19.759</v>
      </c>
      <c r="N719" s="10">
        <f>CHOOSE(CONTROL!$C$42, 19.7752, 19.7752) * CHOOSE(CONTROL!$C$21, $C$9, 100%, $E$9)</f>
        <v>19.775200000000002</v>
      </c>
      <c r="O719" s="10">
        <f>CHOOSE(CONTROL!$C$42, 19.8481, 19.8481) * CHOOSE(CONTROL!$C$21, $C$9, 100%, $E$9)</f>
        <v>19.848099999999999</v>
      </c>
      <c r="P719" s="10">
        <f>CHOOSE(CONTROL!$C$42, 19.7832, 19.7832) * CHOOSE(CONTROL!$C$21, $C$9, 100%, $E$9)</f>
        <v>19.783200000000001</v>
      </c>
      <c r="Q719" s="10">
        <f>CHOOSE(CONTROL!$C$42, 20.4434, 20.4434) * CHOOSE(CONTROL!$C$21, $C$9, 100%, $E$9)</f>
        <v>20.4434</v>
      </c>
      <c r="R719" s="10">
        <f>CHOOSE(CONTROL!$C$42, 21.0815, 21.0815) * CHOOSE(CONTROL!$C$21, $C$9, 100%, $E$9)</f>
        <v>21.081499999999998</v>
      </c>
      <c r="S719" s="10">
        <f>CHOOSE(CONTROL!$C$42, 19.4045, 19.4045) * CHOOSE(CONTROL!$C$21, $C$9, 100%, $E$9)</f>
        <v>19.404499999999999</v>
      </c>
      <c r="T7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38">
        <f>(1000*CHOOSE(CONTROL!$C$42, 695, 695)*CHOOSE(CONTROL!$C$42, 0.5599, 0.5599)*CHOOSE(CONTROL!$C$42, 30, 30))/1000000</f>
        <v>11.673914999999997</v>
      </c>
      <c r="V719" s="38">
        <f>(1000*CHOOSE(CONTROL!$C$42, 500, 500)*CHOOSE(CONTROL!$C$42, 0.275, 0.275)*CHOOSE(CONTROL!$C$42, 30, 30))/1000000</f>
        <v>4.125</v>
      </c>
      <c r="W719" s="38">
        <f>(1000*CHOOSE(CONTROL!$C$42, 0.1146, 0.1146)*CHOOSE(CONTROL!$C$42, 121.5, 121.5)*CHOOSE(CONTROL!$C$42, 30, 30))/1000000</f>
        <v>0.417717</v>
      </c>
      <c r="X719" s="38">
        <f>(30*0.1790888*100000/1000000)+(30*0.2374*100000/1000000)</f>
        <v>1.2494664</v>
      </c>
      <c r="Y719" s="38">
        <f>(1000*600*CHOOSE(CONTROL!$C$42, 1.0585, 1.0585)*CHOOSE(CONTROL!$C$42, 30, 30))/1000000</f>
        <v>19.053000000000001</v>
      </c>
      <c r="Z719" s="38"/>
      <c r="AA719" s="10"/>
      <c r="AB719" s="39"/>
      <c r="AC719" s="33">
        <f>(B719*122.58+C719*297.941+D719*89.177+E719*40.302+F719*40+G719*160+H719*0+I719*100+J719*300)/(122.58+297.941+89.177+40.302+0+40+160+100+300)</f>
        <v>19.975893561043478</v>
      </c>
      <c r="AD719" s="27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19.803797841726617</v>
      </c>
    </row>
    <row r="720" spans="1:30" ht="15.75" x14ac:dyDescent="0.25">
      <c r="A720" s="13">
        <v>63189</v>
      </c>
      <c r="B720" s="10">
        <f>CHOOSE(CONTROL!$C$42, 21.3464, 21.3464) * CHOOSE(CONTROL!$C$21, $C$9, 100%, $E$9)</f>
        <v>21.346399999999999</v>
      </c>
      <c r="C720" s="10">
        <f>CHOOSE(CONTROL!$C$42, 21.3514, 21.3514) * CHOOSE(CONTROL!$C$21, $C$9, 100%, $E$9)</f>
        <v>21.351400000000002</v>
      </c>
      <c r="D720" s="10">
        <f>CHOOSE(CONTROL!$C$42, 21.3758, 21.3758) * CHOOSE(CONTROL!$C$21, $C$9, 100%, $E$9)</f>
        <v>21.375800000000002</v>
      </c>
      <c r="E720" s="10">
        <f>CHOOSE(CONTROL!$C$42, 21.4096, 21.4096) * CHOOSE(CONTROL!$C$21, $C$9, 100%, $E$9)</f>
        <v>21.409600000000001</v>
      </c>
      <c r="F720" s="10">
        <f>CHOOSE(CONTROL!$C$42, 21.3181, 21.3181)*CHOOSE(CONTROL!$C$21, $C$9, 100%, $E$9)</f>
        <v>21.318100000000001</v>
      </c>
      <c r="G720" s="10">
        <f>CHOOSE(CONTROL!$C$42, 21.3351, 21.3351)*CHOOSE(CONTROL!$C$21, $C$9, 100%, $E$9)</f>
        <v>21.335100000000001</v>
      </c>
      <c r="H720" s="10">
        <f>CHOOSE(CONTROL!$C$42, 21.3988, 21.3988) * CHOOSE(CONTROL!$C$21, $C$9, 100%, $E$9)</f>
        <v>21.398800000000001</v>
      </c>
      <c r="I720" s="10">
        <f>CHOOSE(CONTROL!$C$42, 21.3332, 21.3332)* CHOOSE(CONTROL!$C$21, $C$9, 100%, $E$9)</f>
        <v>21.333200000000001</v>
      </c>
      <c r="J720" s="10">
        <f>CHOOSE(CONTROL!$C$42, 21.3111, 21.3111)* CHOOSE(CONTROL!$C$21, $C$9, 100%, $E$9)</f>
        <v>21.3111</v>
      </c>
      <c r="K720" s="10">
        <f>CHOOSE(CONTROL!$C$42, 20.8691, 20.8691) * CHOOSE(CONTROL!$C$21, $C$9, 100%, $E$9)</f>
        <v>20.8691</v>
      </c>
      <c r="L720" s="10">
        <f>CHOOSE(CONTROL!$C$42, 21.9858, 21.9858) * CHOOSE(CONTROL!$C$21, $C$9, 100%, $E$9)</f>
        <v>21.985800000000001</v>
      </c>
      <c r="M720" s="10">
        <f>CHOOSE(CONTROL!$C$42, 21.1098, 21.1098) * CHOOSE(CONTROL!$C$21, $C$9, 100%, $E$9)</f>
        <v>21.1098</v>
      </c>
      <c r="N720" s="10">
        <f>CHOOSE(CONTROL!$C$42, 21.1267, 21.1267) * CHOOSE(CONTROL!$C$21, $C$9, 100%, $E$9)</f>
        <v>21.1267</v>
      </c>
      <c r="O720" s="10">
        <f>CHOOSE(CONTROL!$C$42, 21.1967, 21.1967) * CHOOSE(CONTROL!$C$21, $C$9, 100%, $E$9)</f>
        <v>21.1967</v>
      </c>
      <c r="P720" s="10">
        <f>CHOOSE(CONTROL!$C$42, 21.1318, 21.1318) * CHOOSE(CONTROL!$C$21, $C$9, 100%, $E$9)</f>
        <v>21.131799999999998</v>
      </c>
      <c r="Q720" s="10">
        <f>CHOOSE(CONTROL!$C$42, 21.792, 21.792) * CHOOSE(CONTROL!$C$21, $C$9, 100%, $E$9)</f>
        <v>21.792000000000002</v>
      </c>
      <c r="R720" s="10">
        <f>CHOOSE(CONTROL!$C$42, 22.4335, 22.4335) * CHOOSE(CONTROL!$C$21, $C$9, 100%, $E$9)</f>
        <v>22.433499999999999</v>
      </c>
      <c r="S720" s="10">
        <f>CHOOSE(CONTROL!$C$42, 20.7274, 20.7274) * CHOOSE(CONTROL!$C$21, $C$9, 100%, $E$9)</f>
        <v>20.727399999999999</v>
      </c>
      <c r="T7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38">
        <f>(1000*CHOOSE(CONTROL!$C$42, 695, 695)*CHOOSE(CONTROL!$C$42, 0.5599, 0.5599)*CHOOSE(CONTROL!$C$42, 31, 31))/1000000</f>
        <v>12.063045499999998</v>
      </c>
      <c r="V720" s="38">
        <f>(1000*CHOOSE(CONTROL!$C$42, 500, 500)*CHOOSE(CONTROL!$C$42, 0.275, 0.275)*CHOOSE(CONTROL!$C$42, 31, 31))/1000000</f>
        <v>4.2625000000000002</v>
      </c>
      <c r="W720" s="38">
        <f>(1000*CHOOSE(CONTROL!$C$42, 0.1146, 0.1146)*CHOOSE(CONTROL!$C$42, 121.5, 121.5)*CHOOSE(CONTROL!$C$42, 31, 31))/1000000</f>
        <v>0.43164089999999994</v>
      </c>
      <c r="X720" s="38">
        <f>(31*0.1790888*100000/1000000)+(31*0.2374*100000/1000000)</f>
        <v>1.2911152800000001</v>
      </c>
      <c r="Y720" s="38">
        <f>(1000*600*CHOOSE(CONTROL!$C$42, 1.0585, 1.0585)*CHOOSE(CONTROL!$C$42, 31, 31))/1000000</f>
        <v>19.688099999999999</v>
      </c>
      <c r="Z720" s="38"/>
      <c r="AA720" s="10"/>
      <c r="AB720" s="39"/>
      <c r="AC720" s="33">
        <f>(B720*122.58+C720*297.941+D720*89.177+E720*40.302+F720*40+G720*160+H720*0+I720*100+J720*300)/(122.58+297.941+89.177+40.302+0+40+160+100+300)</f>
        <v>21.339277039304353</v>
      </c>
      <c r="AD720" s="27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21.153324460431655</v>
      </c>
    </row>
    <row r="721" spans="1:30" ht="15.75" x14ac:dyDescent="0.25">
      <c r="A721" s="13">
        <v>63220</v>
      </c>
      <c r="B721" s="10">
        <f>CHOOSE(CONTROL!$C$42, 22.787, 22.787) * CHOOSE(CONTROL!$C$21, $C$9, 100%, $E$9)</f>
        <v>22.786999999999999</v>
      </c>
      <c r="C721" s="10">
        <f>CHOOSE(CONTROL!$C$42, 22.792, 22.792) * CHOOSE(CONTROL!$C$21, $C$9, 100%, $E$9)</f>
        <v>22.792000000000002</v>
      </c>
      <c r="D721" s="10">
        <f>CHOOSE(CONTROL!$C$42, 22.8164, 22.8164) * CHOOSE(CONTROL!$C$21, $C$9, 100%, $E$9)</f>
        <v>22.816400000000002</v>
      </c>
      <c r="E721" s="10">
        <f>CHOOSE(CONTROL!$C$42, 22.8502, 22.8502) * CHOOSE(CONTROL!$C$21, $C$9, 100%, $E$9)</f>
        <v>22.850200000000001</v>
      </c>
      <c r="F721" s="10">
        <f>CHOOSE(CONTROL!$C$42, 22.7699, 22.7699)*CHOOSE(CONTROL!$C$21, $C$9, 100%, $E$9)</f>
        <v>22.7699</v>
      </c>
      <c r="G721" s="10">
        <f>CHOOSE(CONTROL!$C$42, 22.7886, 22.7886)*CHOOSE(CONTROL!$C$21, $C$9, 100%, $E$9)</f>
        <v>22.788599999999999</v>
      </c>
      <c r="H721" s="10">
        <f>CHOOSE(CONTROL!$C$42, 22.8394, 22.8394) * CHOOSE(CONTROL!$C$21, $C$9, 100%, $E$9)</f>
        <v>22.839400000000001</v>
      </c>
      <c r="I721" s="10">
        <f>CHOOSE(CONTROL!$C$42, 22.7815, 22.7815)* CHOOSE(CONTROL!$C$21, $C$9, 100%, $E$9)</f>
        <v>22.781500000000001</v>
      </c>
      <c r="J721" s="10">
        <f>CHOOSE(CONTROL!$C$42, 22.7629, 22.7629)* CHOOSE(CONTROL!$C$21, $C$9, 100%, $E$9)</f>
        <v>22.762899999999998</v>
      </c>
      <c r="K721" s="10">
        <f>CHOOSE(CONTROL!$C$42, 22.2897, 22.2897) * CHOOSE(CONTROL!$C$21, $C$9, 100%, $E$9)</f>
        <v>22.2897</v>
      </c>
      <c r="L721" s="10">
        <f>CHOOSE(CONTROL!$C$42, 23.4264, 23.4264) * CHOOSE(CONTROL!$C$21, $C$9, 100%, $E$9)</f>
        <v>23.426400000000001</v>
      </c>
      <c r="M721" s="10">
        <f>CHOOSE(CONTROL!$C$42, 22.547, 22.547) * CHOOSE(CONTROL!$C$21, $C$9, 100%, $E$9)</f>
        <v>22.547000000000001</v>
      </c>
      <c r="N721" s="10">
        <f>CHOOSE(CONTROL!$C$42, 22.5655, 22.5655) * CHOOSE(CONTROL!$C$21, $C$9, 100%, $E$9)</f>
        <v>22.5655</v>
      </c>
      <c r="O721" s="10">
        <f>CHOOSE(CONTROL!$C$42, 22.6227, 22.6227) * CHOOSE(CONTROL!$C$21, $C$9, 100%, $E$9)</f>
        <v>22.622699999999998</v>
      </c>
      <c r="P721" s="10">
        <f>CHOOSE(CONTROL!$C$42, 22.5655, 22.5655) * CHOOSE(CONTROL!$C$21, $C$9, 100%, $E$9)</f>
        <v>22.5655</v>
      </c>
      <c r="Q721" s="10">
        <f>CHOOSE(CONTROL!$C$42, 23.218, 23.218) * CHOOSE(CONTROL!$C$21, $C$9, 100%, $E$9)</f>
        <v>23.218</v>
      </c>
      <c r="R721" s="10">
        <f>CHOOSE(CONTROL!$C$42, 23.8631, 23.8631) * CHOOSE(CONTROL!$C$21, $C$9, 100%, $E$9)</f>
        <v>23.863099999999999</v>
      </c>
      <c r="S721" s="10">
        <f>CHOOSE(CONTROL!$C$42, 22.1263, 22.1263) * CHOOSE(CONTROL!$C$21, $C$9, 100%, $E$9)</f>
        <v>22.126300000000001</v>
      </c>
      <c r="T7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38">
        <f>(1000*CHOOSE(CONTROL!$C$42, 695, 695)*CHOOSE(CONTROL!$C$42, 0.5599, 0.5599)*CHOOSE(CONTROL!$C$42, 31, 31))/1000000</f>
        <v>12.063045499999998</v>
      </c>
      <c r="V721" s="38">
        <f>(1000*CHOOSE(CONTROL!$C$42, 500, 500)*CHOOSE(CONTROL!$C$42, 0.275, 0.275)*CHOOSE(CONTROL!$C$42, 31, 31))/1000000</f>
        <v>4.2625000000000002</v>
      </c>
      <c r="W721" s="38">
        <f>(1000*CHOOSE(CONTROL!$C$42, 0.1146, 0.1146)*CHOOSE(CONTROL!$C$42, 121.5, 121.5)*CHOOSE(CONTROL!$C$42, 31, 31))/1000000</f>
        <v>0.43164089999999994</v>
      </c>
      <c r="X721" s="38">
        <f>(31*0.1790888*100000/1000000)+(31*0.2374*100000/1000000)</f>
        <v>1.2911152800000001</v>
      </c>
      <c r="Y721" s="38">
        <f>(1000*600*CHOOSE(CONTROL!$C$42, 1.0585, 1.0585)*CHOOSE(CONTROL!$C$42, 31, 31))/1000000</f>
        <v>19.688099999999999</v>
      </c>
      <c r="Z721" s="38"/>
      <c r="AA721" s="10"/>
      <c r="AB721" s="39"/>
      <c r="AC721" s="33">
        <f>(B721*122.58+C721*297.941+D721*89.177+E721*40.302+F721*40+G721*160+H721*0+I721*100+J721*300)/(122.58+297.941+89.177+40.302+0+40+160+100+300)</f>
        <v>22.785652691478258</v>
      </c>
      <c r="AD721" s="27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22.585036690647481</v>
      </c>
    </row>
    <row r="722" spans="1:30" ht="15.75" x14ac:dyDescent="0.25">
      <c r="A722" s="13">
        <v>63248</v>
      </c>
      <c r="B722" s="10">
        <f>CHOOSE(CONTROL!$C$42, 23.1926, 23.1926) * CHOOSE(CONTROL!$C$21, $C$9, 100%, $E$9)</f>
        <v>23.192599999999999</v>
      </c>
      <c r="C722" s="10">
        <f>CHOOSE(CONTROL!$C$42, 23.1975, 23.1975) * CHOOSE(CONTROL!$C$21, $C$9, 100%, $E$9)</f>
        <v>23.197500000000002</v>
      </c>
      <c r="D722" s="10">
        <f>CHOOSE(CONTROL!$C$42, 23.222, 23.222) * CHOOSE(CONTROL!$C$21, $C$9, 100%, $E$9)</f>
        <v>23.222000000000001</v>
      </c>
      <c r="E722" s="10">
        <f>CHOOSE(CONTROL!$C$42, 23.2558, 23.2558) * CHOOSE(CONTROL!$C$21, $C$9, 100%, $E$9)</f>
        <v>23.255800000000001</v>
      </c>
      <c r="F722" s="10">
        <f>CHOOSE(CONTROL!$C$42, 23.1748, 23.1748)*CHOOSE(CONTROL!$C$21, $C$9, 100%, $E$9)</f>
        <v>23.174800000000001</v>
      </c>
      <c r="G722" s="10">
        <f>CHOOSE(CONTROL!$C$42, 23.1933, 23.1933)*CHOOSE(CONTROL!$C$21, $C$9, 100%, $E$9)</f>
        <v>23.193300000000001</v>
      </c>
      <c r="H722" s="10">
        <f>CHOOSE(CONTROL!$C$42, 23.245, 23.245) * CHOOSE(CONTROL!$C$21, $C$9, 100%, $E$9)</f>
        <v>23.245000000000001</v>
      </c>
      <c r="I722" s="10">
        <f>CHOOSE(CONTROL!$C$42, 23.1871, 23.1871)* CHOOSE(CONTROL!$C$21, $C$9, 100%, $E$9)</f>
        <v>23.187100000000001</v>
      </c>
      <c r="J722" s="10">
        <f>CHOOSE(CONTROL!$C$42, 23.1678, 23.1678)* CHOOSE(CONTROL!$C$21, $C$9, 100%, $E$9)</f>
        <v>23.1678</v>
      </c>
      <c r="K722" s="10">
        <f>CHOOSE(CONTROL!$C$42, 22.6823, 22.6823) * CHOOSE(CONTROL!$C$21, $C$9, 100%, $E$9)</f>
        <v>22.682300000000001</v>
      </c>
      <c r="L722" s="10">
        <f>CHOOSE(CONTROL!$C$42, 23.832, 23.832) * CHOOSE(CONTROL!$C$21, $C$9, 100%, $E$9)</f>
        <v>23.832000000000001</v>
      </c>
      <c r="M722" s="10">
        <f>CHOOSE(CONTROL!$C$42, 22.9479, 22.9479) * CHOOSE(CONTROL!$C$21, $C$9, 100%, $E$9)</f>
        <v>22.947900000000001</v>
      </c>
      <c r="N722" s="10">
        <f>CHOOSE(CONTROL!$C$42, 22.9662, 22.9662) * CHOOSE(CONTROL!$C$21, $C$9, 100%, $E$9)</f>
        <v>22.966200000000001</v>
      </c>
      <c r="O722" s="10">
        <f>CHOOSE(CONTROL!$C$42, 23.0242, 23.0242) * CHOOSE(CONTROL!$C$21, $C$9, 100%, $E$9)</f>
        <v>23.0242</v>
      </c>
      <c r="P722" s="10">
        <f>CHOOSE(CONTROL!$C$42, 22.9669, 22.9669) * CHOOSE(CONTROL!$C$21, $C$9, 100%, $E$9)</f>
        <v>22.966899999999999</v>
      </c>
      <c r="Q722" s="10">
        <f>CHOOSE(CONTROL!$C$42, 23.6195, 23.6195) * CHOOSE(CONTROL!$C$21, $C$9, 100%, $E$9)</f>
        <v>23.619499999999999</v>
      </c>
      <c r="R722" s="10">
        <f>CHOOSE(CONTROL!$C$42, 24.2656, 24.2656) * CHOOSE(CONTROL!$C$21, $C$9, 100%, $E$9)</f>
        <v>24.265599999999999</v>
      </c>
      <c r="S722" s="10">
        <f>CHOOSE(CONTROL!$C$42, 22.5202, 22.5202) * CHOOSE(CONTROL!$C$21, $C$9, 100%, $E$9)</f>
        <v>22.520199999999999</v>
      </c>
      <c r="T7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22" s="38">
        <f>(1000*CHOOSE(CONTROL!$C$42, 695, 695)*CHOOSE(CONTROL!$C$42, 0.5599, 0.5599)*CHOOSE(CONTROL!$C$42, 28, 28))/1000000</f>
        <v>10.895653999999999</v>
      </c>
      <c r="V722" s="38">
        <f>(1000*CHOOSE(CONTROL!$C$42, 500, 500)*CHOOSE(CONTROL!$C$42, 0.275, 0.275)*CHOOSE(CONTROL!$C$42, 28, 28))/1000000</f>
        <v>3.85</v>
      </c>
      <c r="W722" s="38">
        <f>(1000*CHOOSE(CONTROL!$C$42, 0.1146, 0.1146)*CHOOSE(CONTROL!$C$42, 121.5, 121.5)*CHOOSE(CONTROL!$C$42, 28, 28))/1000000</f>
        <v>0.38986920000000003</v>
      </c>
      <c r="X722" s="38">
        <f>(28*0.1790888*100000/1000000)+(28*0.2374*100000/1000000)</f>
        <v>1.16616864</v>
      </c>
      <c r="Y722" s="38">
        <f>(1000*600*CHOOSE(CONTROL!$C$42, 1.0585, 1.0585)*CHOOSE(CONTROL!$C$42, 28, 28))/1000000</f>
        <v>17.782800000000002</v>
      </c>
      <c r="Z722" s="38"/>
      <c r="AA722" s="10"/>
      <c r="AB722" s="39"/>
      <c r="AC722" s="33">
        <f>(B722*122.58+C722*297.941+D722*89.177+E722*40.302+F722*40+G722*160+H722*0+I722*100+J722*300)/(122.58+297.941+89.177+40.302+0+40+160+100+300)</f>
        <v>23.190894609652172</v>
      </c>
      <c r="AD722" s="27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22.986269064748203</v>
      </c>
    </row>
    <row r="723" spans="1:30" ht="15.75" x14ac:dyDescent="0.25">
      <c r="A723" s="13">
        <v>63279</v>
      </c>
      <c r="B723" s="10">
        <f>CHOOSE(CONTROL!$C$42, 22.5342, 22.5342) * CHOOSE(CONTROL!$C$21, $C$9, 100%, $E$9)</f>
        <v>22.534199999999998</v>
      </c>
      <c r="C723" s="10">
        <f>CHOOSE(CONTROL!$C$42, 22.5392, 22.5392) * CHOOSE(CONTROL!$C$21, $C$9, 100%, $E$9)</f>
        <v>22.539200000000001</v>
      </c>
      <c r="D723" s="10">
        <f>CHOOSE(CONTROL!$C$42, 22.5636, 22.5636) * CHOOSE(CONTROL!$C$21, $C$9, 100%, $E$9)</f>
        <v>22.563600000000001</v>
      </c>
      <c r="E723" s="10">
        <f>CHOOSE(CONTROL!$C$42, 22.5974, 22.5974) * CHOOSE(CONTROL!$C$21, $C$9, 100%, $E$9)</f>
        <v>22.5974</v>
      </c>
      <c r="F723" s="10">
        <f>CHOOSE(CONTROL!$C$42, 22.5149, 22.5149)*CHOOSE(CONTROL!$C$21, $C$9, 100%, $E$9)</f>
        <v>22.514900000000001</v>
      </c>
      <c r="G723" s="10">
        <f>CHOOSE(CONTROL!$C$42, 22.533, 22.533)*CHOOSE(CONTROL!$C$21, $C$9, 100%, $E$9)</f>
        <v>22.533000000000001</v>
      </c>
      <c r="H723" s="10">
        <f>CHOOSE(CONTROL!$C$42, 22.5866, 22.5866) * CHOOSE(CONTROL!$C$21, $C$9, 100%, $E$9)</f>
        <v>22.586600000000001</v>
      </c>
      <c r="I723" s="10">
        <f>CHOOSE(CONTROL!$C$42, 22.5287, 22.5287)* CHOOSE(CONTROL!$C$21, $C$9, 100%, $E$9)</f>
        <v>22.528700000000001</v>
      </c>
      <c r="J723" s="10">
        <f>CHOOSE(CONTROL!$C$42, 22.5079, 22.5079)* CHOOSE(CONTROL!$C$21, $C$9, 100%, $E$9)</f>
        <v>22.507899999999999</v>
      </c>
      <c r="K723" s="10">
        <f>CHOOSE(CONTROL!$C$42, 22.0393, 22.0393) * CHOOSE(CONTROL!$C$21, $C$9, 100%, $E$9)</f>
        <v>22.039300000000001</v>
      </c>
      <c r="L723" s="10">
        <f>CHOOSE(CONTROL!$C$42, 23.1736, 23.1736) * CHOOSE(CONTROL!$C$21, $C$9, 100%, $E$9)</f>
        <v>23.1736</v>
      </c>
      <c r="M723" s="10">
        <f>CHOOSE(CONTROL!$C$42, 22.2946, 22.2946) * CHOOSE(CONTROL!$C$21, $C$9, 100%, $E$9)</f>
        <v>22.294599999999999</v>
      </c>
      <c r="N723" s="10">
        <f>CHOOSE(CONTROL!$C$42, 22.3125, 22.3125) * CHOOSE(CONTROL!$C$21, $C$9, 100%, $E$9)</f>
        <v>22.3125</v>
      </c>
      <c r="O723" s="10">
        <f>CHOOSE(CONTROL!$C$42, 22.3725, 22.3725) * CHOOSE(CONTROL!$C$21, $C$9, 100%, $E$9)</f>
        <v>22.372499999999999</v>
      </c>
      <c r="P723" s="10">
        <f>CHOOSE(CONTROL!$C$42, 22.3152, 22.3152) * CHOOSE(CONTROL!$C$21, $C$9, 100%, $E$9)</f>
        <v>22.315200000000001</v>
      </c>
      <c r="Q723" s="10">
        <f>CHOOSE(CONTROL!$C$42, 22.9678, 22.9678) * CHOOSE(CONTROL!$C$21, $C$9, 100%, $E$9)</f>
        <v>22.9678</v>
      </c>
      <c r="R723" s="10">
        <f>CHOOSE(CONTROL!$C$42, 23.6122, 23.6122) * CHOOSE(CONTROL!$C$21, $C$9, 100%, $E$9)</f>
        <v>23.612200000000001</v>
      </c>
      <c r="S723" s="10">
        <f>CHOOSE(CONTROL!$C$42, 21.8808, 21.8808) * CHOOSE(CONTROL!$C$21, $C$9, 100%, $E$9)</f>
        <v>21.880800000000001</v>
      </c>
      <c r="T7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38">
        <f>(1000*CHOOSE(CONTROL!$C$42, 695, 695)*CHOOSE(CONTROL!$C$42, 0.5599, 0.5599)*CHOOSE(CONTROL!$C$42, 31, 31))/1000000</f>
        <v>12.063045499999998</v>
      </c>
      <c r="V723" s="38">
        <f>(1000*CHOOSE(CONTROL!$C$42, 500, 500)*CHOOSE(CONTROL!$C$42, 0.275, 0.275)*CHOOSE(CONTROL!$C$42, 31, 31))/1000000</f>
        <v>4.2625000000000002</v>
      </c>
      <c r="W723" s="38">
        <f>(1000*CHOOSE(CONTROL!$C$42, 0.1146, 0.1146)*CHOOSE(CONTROL!$C$42, 121.5, 121.5)*CHOOSE(CONTROL!$C$42, 31, 31))/1000000</f>
        <v>0.43164089999999994</v>
      </c>
      <c r="X723" s="38">
        <f>(31*0.1790888*100000/1000000)+(31*0.2374*100000/1000000)</f>
        <v>1.2911152800000001</v>
      </c>
      <c r="Y723" s="38">
        <f>(1000*600*CHOOSE(CONTROL!$C$42, 1.0585, 1.0585)*CHOOSE(CONTROL!$C$42, 31, 31))/1000000</f>
        <v>19.688099999999999</v>
      </c>
      <c r="Z723" s="38"/>
      <c r="AA723" s="10"/>
      <c r="AB723" s="39"/>
      <c r="AC723" s="33">
        <f>(B723*122.58+C723*297.941+D723*89.177+E723*40.302+F723*40+G723*160+H723*0+I723*100+J723*300)/(122.58+297.941+89.177+40.302+0+40+160+100+300)</f>
        <v>22.531812691478258</v>
      </c>
      <c r="AD723" s="27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22.333901438848919</v>
      </c>
    </row>
    <row r="724" spans="1:30" ht="15.75" x14ac:dyDescent="0.25">
      <c r="A724" s="13">
        <v>63309</v>
      </c>
      <c r="B724" s="10">
        <f>CHOOSE(CONTROL!$C$42, 22.4675, 22.4675) * CHOOSE(CONTROL!$C$21, $C$9, 100%, $E$9)</f>
        <v>22.467500000000001</v>
      </c>
      <c r="C724" s="10">
        <f>CHOOSE(CONTROL!$C$42, 22.4719, 22.4719) * CHOOSE(CONTROL!$C$21, $C$9, 100%, $E$9)</f>
        <v>22.471900000000002</v>
      </c>
      <c r="D724" s="10">
        <f>CHOOSE(CONTROL!$C$42, 22.652, 22.652) * CHOOSE(CONTROL!$C$21, $C$9, 100%, $E$9)</f>
        <v>22.652000000000001</v>
      </c>
      <c r="E724" s="10">
        <f>CHOOSE(CONTROL!$C$42, 22.6838, 22.6838) * CHOOSE(CONTROL!$C$21, $C$9, 100%, $E$9)</f>
        <v>22.683800000000002</v>
      </c>
      <c r="F724" s="10">
        <f>CHOOSE(CONTROL!$C$42, 22.4329, 22.4329)*CHOOSE(CONTROL!$C$21, $C$9, 100%, $E$9)</f>
        <v>22.4329</v>
      </c>
      <c r="G724" s="10">
        <f>CHOOSE(CONTROL!$C$42, 22.4491, 22.4491)*CHOOSE(CONTROL!$C$21, $C$9, 100%, $E$9)</f>
        <v>22.449100000000001</v>
      </c>
      <c r="H724" s="10">
        <f>CHOOSE(CONTROL!$C$42, 22.6736, 22.6736) * CHOOSE(CONTROL!$C$21, $C$9, 100%, $E$9)</f>
        <v>22.6736</v>
      </c>
      <c r="I724" s="10">
        <f>CHOOSE(CONTROL!$C$42, 22.4535, 22.4535)* CHOOSE(CONTROL!$C$21, $C$9, 100%, $E$9)</f>
        <v>22.453499999999998</v>
      </c>
      <c r="J724" s="10">
        <f>CHOOSE(CONTROL!$C$42, 22.4259, 22.4259)* CHOOSE(CONTROL!$C$21, $C$9, 100%, $E$9)</f>
        <v>22.425899999999999</v>
      </c>
      <c r="K724" s="10">
        <f>CHOOSE(CONTROL!$C$42, 21.9512, 21.9512) * CHOOSE(CONTROL!$C$21, $C$9, 100%, $E$9)</f>
        <v>21.9512</v>
      </c>
      <c r="L724" s="10">
        <f>CHOOSE(CONTROL!$C$42, 23.2606, 23.2606) * CHOOSE(CONTROL!$C$21, $C$9, 100%, $E$9)</f>
        <v>23.2606</v>
      </c>
      <c r="M724" s="10">
        <f>CHOOSE(CONTROL!$C$42, 22.2134, 22.2134) * CHOOSE(CONTROL!$C$21, $C$9, 100%, $E$9)</f>
        <v>22.2134</v>
      </c>
      <c r="N724" s="10">
        <f>CHOOSE(CONTROL!$C$42, 22.2295, 22.2295) * CHOOSE(CONTROL!$C$21, $C$9, 100%, $E$9)</f>
        <v>22.229500000000002</v>
      </c>
      <c r="O724" s="10">
        <f>CHOOSE(CONTROL!$C$42, 22.4586, 22.4586) * CHOOSE(CONTROL!$C$21, $C$9, 100%, $E$9)</f>
        <v>22.458600000000001</v>
      </c>
      <c r="P724" s="10">
        <f>CHOOSE(CONTROL!$C$42, 22.2408, 22.2408) * CHOOSE(CONTROL!$C$21, $C$9, 100%, $E$9)</f>
        <v>22.2408</v>
      </c>
      <c r="Q724" s="10">
        <f>CHOOSE(CONTROL!$C$42, 23.0539, 23.0539) * CHOOSE(CONTROL!$C$21, $C$9, 100%, $E$9)</f>
        <v>23.053899999999999</v>
      </c>
      <c r="R724" s="10">
        <f>CHOOSE(CONTROL!$C$42, 23.6986, 23.6986) * CHOOSE(CONTROL!$C$21, $C$9, 100%, $E$9)</f>
        <v>23.698599999999999</v>
      </c>
      <c r="S724" s="10">
        <f>CHOOSE(CONTROL!$C$42, 21.8153, 21.8153) * CHOOSE(CONTROL!$C$21, $C$9, 100%, $E$9)</f>
        <v>21.815300000000001</v>
      </c>
      <c r="T7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38">
        <f>(1000*CHOOSE(CONTROL!$C$42, 695, 695)*CHOOSE(CONTROL!$C$42, 0.5599, 0.5599)*CHOOSE(CONTROL!$C$42, 30, 30))/1000000</f>
        <v>11.673914999999997</v>
      </c>
      <c r="V724" s="38">
        <f>(1000*CHOOSE(CONTROL!$C$42, 500, 500)*CHOOSE(CONTROL!$C$42, 0.275, 0.275)*CHOOSE(CONTROL!$C$42, 30, 30))/1000000</f>
        <v>4.125</v>
      </c>
      <c r="W724" s="38">
        <f>(1000*CHOOSE(CONTROL!$C$42, 0.1146, 0.1146)*CHOOSE(CONTROL!$C$42, 121.5, 121.5)*CHOOSE(CONTROL!$C$42, 30, 30))/1000000</f>
        <v>0.417717</v>
      </c>
      <c r="X724" s="38">
        <f>(30*0.1790888*245000/1000000)+(30*0.2374*100000/1000000)</f>
        <v>2.0285026799999999</v>
      </c>
      <c r="Y724" s="38">
        <f>(1000*600*CHOOSE(CONTROL!$C$42, 1.0585, 1.0585)*CHOOSE(CONTROL!$C$42, 30, 30))/1000000</f>
        <v>19.053000000000001</v>
      </c>
      <c r="Z724" s="38"/>
      <c r="AA724" s="10"/>
      <c r="AB724" s="39"/>
      <c r="AC724" s="33">
        <f>(B724*141.293+C724*267.993+D724*115.016+E724*89.698+F724*40+G724*185+H724*0+I724*100+J724*300)/(141.293+267.993+115.016+89.698+0+40+185+100+300)</f>
        <v>22.486170943179985</v>
      </c>
      <c r="AD724" s="27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22.329402877697841</v>
      </c>
    </row>
    <row r="725" spans="1:30" ht="15.75" x14ac:dyDescent="0.25">
      <c r="A725" s="13">
        <v>63340</v>
      </c>
      <c r="B725" s="10">
        <f>CHOOSE(CONTROL!$C$42, 22.6676, 22.6676) * CHOOSE(CONTROL!$C$21, $C$9, 100%, $E$9)</f>
        <v>22.6676</v>
      </c>
      <c r="C725" s="10">
        <f>CHOOSE(CONTROL!$C$42, 22.6755, 22.6755) * CHOOSE(CONTROL!$C$21, $C$9, 100%, $E$9)</f>
        <v>22.6755</v>
      </c>
      <c r="D725" s="10">
        <f>CHOOSE(CONTROL!$C$42, 22.8525, 22.8525) * CHOOSE(CONTROL!$C$21, $C$9, 100%, $E$9)</f>
        <v>22.852499999999999</v>
      </c>
      <c r="E725" s="10">
        <f>CHOOSE(CONTROL!$C$42, 22.8836, 22.8836) * CHOOSE(CONTROL!$C$21, $C$9, 100%, $E$9)</f>
        <v>22.883600000000001</v>
      </c>
      <c r="F725" s="10">
        <f>CHOOSE(CONTROL!$C$42, 22.6309, 22.6309)*CHOOSE(CONTROL!$C$21, $C$9, 100%, $E$9)</f>
        <v>22.6309</v>
      </c>
      <c r="G725" s="10">
        <f>CHOOSE(CONTROL!$C$42, 22.6474, 22.6474)*CHOOSE(CONTROL!$C$21, $C$9, 100%, $E$9)</f>
        <v>22.647400000000001</v>
      </c>
      <c r="H725" s="10">
        <f>CHOOSE(CONTROL!$C$42, 22.8723, 22.8723) * CHOOSE(CONTROL!$C$21, $C$9, 100%, $E$9)</f>
        <v>22.872299999999999</v>
      </c>
      <c r="I725" s="10">
        <f>CHOOSE(CONTROL!$C$42, 22.6522, 22.6522)* CHOOSE(CONTROL!$C$21, $C$9, 100%, $E$9)</f>
        <v>22.652200000000001</v>
      </c>
      <c r="J725" s="10">
        <f>CHOOSE(CONTROL!$C$42, 22.6239, 22.6239)* CHOOSE(CONTROL!$C$21, $C$9, 100%, $E$9)</f>
        <v>22.623899999999999</v>
      </c>
      <c r="K725" s="10">
        <f>CHOOSE(CONTROL!$C$42, 22.143, 22.143) * CHOOSE(CONTROL!$C$21, $C$9, 100%, $E$9)</f>
        <v>22.143000000000001</v>
      </c>
      <c r="L725" s="10">
        <f>CHOOSE(CONTROL!$C$42, 23.4593, 23.4593) * CHOOSE(CONTROL!$C$21, $C$9, 100%, $E$9)</f>
        <v>23.459299999999999</v>
      </c>
      <c r="M725" s="10">
        <f>CHOOSE(CONTROL!$C$42, 22.4095, 22.4095) * CHOOSE(CONTROL!$C$21, $C$9, 100%, $E$9)</f>
        <v>22.409500000000001</v>
      </c>
      <c r="N725" s="10">
        <f>CHOOSE(CONTROL!$C$42, 22.4258, 22.4258) * CHOOSE(CONTROL!$C$21, $C$9, 100%, $E$9)</f>
        <v>22.425799999999999</v>
      </c>
      <c r="O725" s="10">
        <f>CHOOSE(CONTROL!$C$42, 22.6553, 22.6553) * CHOOSE(CONTROL!$C$21, $C$9, 100%, $E$9)</f>
        <v>22.6553</v>
      </c>
      <c r="P725" s="10">
        <f>CHOOSE(CONTROL!$C$42, 22.4374, 22.4374) * CHOOSE(CONTROL!$C$21, $C$9, 100%, $E$9)</f>
        <v>22.4374</v>
      </c>
      <c r="Q725" s="10">
        <f>CHOOSE(CONTROL!$C$42, 23.2506, 23.2506) * CHOOSE(CONTROL!$C$21, $C$9, 100%, $E$9)</f>
        <v>23.250599999999999</v>
      </c>
      <c r="R725" s="10">
        <f>CHOOSE(CONTROL!$C$42, 23.8957, 23.8957) * CHOOSE(CONTROL!$C$21, $C$9, 100%, $E$9)</f>
        <v>23.895700000000001</v>
      </c>
      <c r="S725" s="10">
        <f>CHOOSE(CONTROL!$C$42, 22.0082, 22.0082) * CHOOSE(CONTROL!$C$21, $C$9, 100%, $E$9)</f>
        <v>22.008199999999999</v>
      </c>
      <c r="T7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38">
        <f>(1000*CHOOSE(CONTROL!$C$42, 695, 695)*CHOOSE(CONTROL!$C$42, 0.5599, 0.5599)*CHOOSE(CONTROL!$C$42, 31, 31))/1000000</f>
        <v>12.063045499999998</v>
      </c>
      <c r="V725" s="38">
        <f>(1000*CHOOSE(CONTROL!$C$42, 500, 500)*CHOOSE(CONTROL!$C$42, 0.275, 0.275)*CHOOSE(CONTROL!$C$42, 31, 31))/1000000</f>
        <v>4.2625000000000002</v>
      </c>
      <c r="W725" s="38">
        <f>(1000*CHOOSE(CONTROL!$C$42, 0.1146, 0.1146)*CHOOSE(CONTROL!$C$42, 121.5, 121.5)*CHOOSE(CONTROL!$C$42, 31, 31))/1000000</f>
        <v>0.43164089999999994</v>
      </c>
      <c r="X725" s="38">
        <f>(31*0.1790888*245000/1000000)+(31*0.2374*100000/1000000)</f>
        <v>2.0961194359999999</v>
      </c>
      <c r="Y725" s="38">
        <f>(1000*600*CHOOSE(CONTROL!$C$42, 1.0585, 1.0585)*CHOOSE(CONTROL!$C$42, 31, 31))/1000000</f>
        <v>19.688099999999999</v>
      </c>
      <c r="Z725" s="38"/>
      <c r="AA725" s="10"/>
      <c r="AB725" s="39"/>
      <c r="AC725" s="33">
        <f>(B725*194.205+C725*267.466+D725*133.845+E725*53.484+F725*40+G725*185+H725*0+I725*100+J725*300)/(194.205+267.466+133.845+53.484+0+40+185+100+300)</f>
        <v>22.68216708469388</v>
      </c>
      <c r="AD725" s="27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22.525858273381296</v>
      </c>
    </row>
    <row r="726" spans="1:30" ht="15.75" x14ac:dyDescent="0.25">
      <c r="A726" s="13">
        <v>63370</v>
      </c>
      <c r="B726" s="10">
        <f>CHOOSE(CONTROL!$C$42, 23.3104, 23.3104) * CHOOSE(CONTROL!$C$21, $C$9, 100%, $E$9)</f>
        <v>23.310400000000001</v>
      </c>
      <c r="C726" s="10">
        <f>CHOOSE(CONTROL!$C$42, 23.3183, 23.3183) * CHOOSE(CONTROL!$C$21, $C$9, 100%, $E$9)</f>
        <v>23.318300000000001</v>
      </c>
      <c r="D726" s="10">
        <f>CHOOSE(CONTROL!$C$42, 23.4953, 23.4953) * CHOOSE(CONTROL!$C$21, $C$9, 100%, $E$9)</f>
        <v>23.4953</v>
      </c>
      <c r="E726" s="10">
        <f>CHOOSE(CONTROL!$C$42, 23.5265, 23.5265) * CHOOSE(CONTROL!$C$21, $C$9, 100%, $E$9)</f>
        <v>23.526499999999999</v>
      </c>
      <c r="F726" s="10">
        <f>CHOOSE(CONTROL!$C$42, 23.274, 23.274)*CHOOSE(CONTROL!$C$21, $C$9, 100%, $E$9)</f>
        <v>23.274000000000001</v>
      </c>
      <c r="G726" s="10">
        <f>CHOOSE(CONTROL!$C$42, 23.2905, 23.2905)*CHOOSE(CONTROL!$C$21, $C$9, 100%, $E$9)</f>
        <v>23.290500000000002</v>
      </c>
      <c r="H726" s="10">
        <f>CHOOSE(CONTROL!$C$42, 23.5151, 23.5151) * CHOOSE(CONTROL!$C$21, $C$9, 100%, $E$9)</f>
        <v>23.5151</v>
      </c>
      <c r="I726" s="10">
        <f>CHOOSE(CONTROL!$C$42, 23.295, 23.295)* CHOOSE(CONTROL!$C$21, $C$9, 100%, $E$9)</f>
        <v>23.295000000000002</v>
      </c>
      <c r="J726" s="10">
        <f>CHOOSE(CONTROL!$C$42, 23.267, 23.267)* CHOOSE(CONTROL!$C$21, $C$9, 100%, $E$9)</f>
        <v>23.266999999999999</v>
      </c>
      <c r="K726" s="10">
        <f>CHOOSE(CONTROL!$C$42, 22.7679, 22.7679) * CHOOSE(CONTROL!$C$21, $C$9, 100%, $E$9)</f>
        <v>22.767900000000001</v>
      </c>
      <c r="L726" s="10">
        <f>CHOOSE(CONTROL!$C$42, 24.1021, 24.1021) * CHOOSE(CONTROL!$C$21, $C$9, 100%, $E$9)</f>
        <v>24.1021</v>
      </c>
      <c r="M726" s="10">
        <f>CHOOSE(CONTROL!$C$42, 23.046, 23.046) * CHOOSE(CONTROL!$C$21, $C$9, 100%, $E$9)</f>
        <v>23.045999999999999</v>
      </c>
      <c r="N726" s="10">
        <f>CHOOSE(CONTROL!$C$42, 23.0624, 23.0624) * CHOOSE(CONTROL!$C$21, $C$9, 100%, $E$9)</f>
        <v>23.0624</v>
      </c>
      <c r="O726" s="10">
        <f>CHOOSE(CONTROL!$C$42, 23.2916, 23.2916) * CHOOSE(CONTROL!$C$21, $C$9, 100%, $E$9)</f>
        <v>23.291599999999999</v>
      </c>
      <c r="P726" s="10">
        <f>CHOOSE(CONTROL!$C$42, 23.0738, 23.0738) * CHOOSE(CONTROL!$C$21, $C$9, 100%, $E$9)</f>
        <v>23.073799999999999</v>
      </c>
      <c r="Q726" s="10">
        <f>CHOOSE(CONTROL!$C$42, 23.8869, 23.8869) * CHOOSE(CONTROL!$C$21, $C$9, 100%, $E$9)</f>
        <v>23.886900000000001</v>
      </c>
      <c r="R726" s="10">
        <f>CHOOSE(CONTROL!$C$42, 24.5336, 24.5336) * CHOOSE(CONTROL!$C$21, $C$9, 100%, $E$9)</f>
        <v>24.5336</v>
      </c>
      <c r="S726" s="10">
        <f>CHOOSE(CONTROL!$C$42, 22.6325, 22.6325) * CHOOSE(CONTROL!$C$21, $C$9, 100%, $E$9)</f>
        <v>22.6325</v>
      </c>
      <c r="T7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38">
        <f>(1000*CHOOSE(CONTROL!$C$42, 695, 695)*CHOOSE(CONTROL!$C$42, 0.5599, 0.5599)*CHOOSE(CONTROL!$C$42, 30, 30))/1000000</f>
        <v>11.673914999999997</v>
      </c>
      <c r="V726" s="38">
        <f>(1000*CHOOSE(CONTROL!$C$42, 500, 500)*CHOOSE(CONTROL!$C$42, 0.275, 0.275)*CHOOSE(CONTROL!$C$42, 30, 30))/1000000</f>
        <v>4.125</v>
      </c>
      <c r="W726" s="38">
        <f>(1000*CHOOSE(CONTROL!$C$42, 0.1146, 0.1146)*CHOOSE(CONTROL!$C$42, 121.5, 121.5)*CHOOSE(CONTROL!$C$42, 30, 30))/1000000</f>
        <v>0.417717</v>
      </c>
      <c r="X726" s="38">
        <f>(30*0.1790888*245000/1000000)+(30*0.2374*100000/1000000)</f>
        <v>2.0285026799999999</v>
      </c>
      <c r="Y726" s="38">
        <f>(1000*600*CHOOSE(CONTROL!$C$42, 1.0585, 1.0585)*CHOOSE(CONTROL!$C$42, 30, 30))/1000000</f>
        <v>19.053000000000001</v>
      </c>
      <c r="Z726" s="38"/>
      <c r="AA726" s="10"/>
      <c r="AB726" s="39"/>
      <c r="AC726" s="33">
        <f>(B726*194.205+C726*267.466+D726*133.845+E726*53.484+F726*40+G726*185+H726*0+I726*100+J726*300)/(194.205+267.466+133.845+53.484+0+40+185+100+300)</f>
        <v>23.325094909183672</v>
      </c>
      <c r="AD726" s="27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23.162258992805754</v>
      </c>
    </row>
    <row r="727" spans="1:30" ht="15.75" x14ac:dyDescent="0.25">
      <c r="A727" s="13">
        <v>63401</v>
      </c>
      <c r="B727" s="10">
        <f>CHOOSE(CONTROL!$C$42, 22.8633, 22.8633) * CHOOSE(CONTROL!$C$21, $C$9, 100%, $E$9)</f>
        <v>22.863299999999999</v>
      </c>
      <c r="C727" s="10">
        <f>CHOOSE(CONTROL!$C$42, 22.8712, 22.8712) * CHOOSE(CONTROL!$C$21, $C$9, 100%, $E$9)</f>
        <v>22.871200000000002</v>
      </c>
      <c r="D727" s="10">
        <f>CHOOSE(CONTROL!$C$42, 23.0482, 23.0482) * CHOOSE(CONTROL!$C$21, $C$9, 100%, $E$9)</f>
        <v>23.048200000000001</v>
      </c>
      <c r="E727" s="10">
        <f>CHOOSE(CONTROL!$C$42, 23.0794, 23.0794) * CHOOSE(CONTROL!$C$21, $C$9, 100%, $E$9)</f>
        <v>23.0794</v>
      </c>
      <c r="F727" s="10">
        <f>CHOOSE(CONTROL!$C$42, 22.8271, 22.8271)*CHOOSE(CONTROL!$C$21, $C$9, 100%, $E$9)</f>
        <v>22.827100000000002</v>
      </c>
      <c r="G727" s="10">
        <f>CHOOSE(CONTROL!$C$42, 22.8437, 22.8437)*CHOOSE(CONTROL!$C$21, $C$9, 100%, $E$9)</f>
        <v>22.843699999999998</v>
      </c>
      <c r="H727" s="10">
        <f>CHOOSE(CONTROL!$C$42, 23.068, 23.068) * CHOOSE(CONTROL!$C$21, $C$9, 100%, $E$9)</f>
        <v>23.068000000000001</v>
      </c>
      <c r="I727" s="10">
        <f>CHOOSE(CONTROL!$C$42, 22.8479, 22.8479)* CHOOSE(CONTROL!$C$21, $C$9, 100%, $E$9)</f>
        <v>22.847899999999999</v>
      </c>
      <c r="J727" s="10">
        <f>CHOOSE(CONTROL!$C$42, 22.8201, 22.8201)* CHOOSE(CONTROL!$C$21, $C$9, 100%, $E$9)</f>
        <v>22.8201</v>
      </c>
      <c r="K727" s="10">
        <f>CHOOSE(CONTROL!$C$42, 22.3341, 22.3341) * CHOOSE(CONTROL!$C$21, $C$9, 100%, $E$9)</f>
        <v>22.334099999999999</v>
      </c>
      <c r="L727" s="10">
        <f>CHOOSE(CONTROL!$C$42, 23.655, 23.655) * CHOOSE(CONTROL!$C$21, $C$9, 100%, $E$9)</f>
        <v>23.655000000000001</v>
      </c>
      <c r="M727" s="10">
        <f>CHOOSE(CONTROL!$C$42, 22.6036, 22.6036) * CHOOSE(CONTROL!$C$21, $C$9, 100%, $E$9)</f>
        <v>22.6036</v>
      </c>
      <c r="N727" s="10">
        <f>CHOOSE(CONTROL!$C$42, 22.6201, 22.6201) * CHOOSE(CONTROL!$C$21, $C$9, 100%, $E$9)</f>
        <v>22.620100000000001</v>
      </c>
      <c r="O727" s="10">
        <f>CHOOSE(CONTROL!$C$42, 22.849, 22.849) * CHOOSE(CONTROL!$C$21, $C$9, 100%, $E$9)</f>
        <v>22.849</v>
      </c>
      <c r="P727" s="10">
        <f>CHOOSE(CONTROL!$C$42, 22.6312, 22.6312) * CHOOSE(CONTROL!$C$21, $C$9, 100%, $E$9)</f>
        <v>22.6312</v>
      </c>
      <c r="Q727" s="10">
        <f>CHOOSE(CONTROL!$C$42, 23.4443, 23.4443) * CHOOSE(CONTROL!$C$21, $C$9, 100%, $E$9)</f>
        <v>23.444299999999998</v>
      </c>
      <c r="R727" s="10">
        <f>CHOOSE(CONTROL!$C$42, 24.0899, 24.0899) * CHOOSE(CONTROL!$C$21, $C$9, 100%, $E$9)</f>
        <v>24.0899</v>
      </c>
      <c r="S727" s="10">
        <f>CHOOSE(CONTROL!$C$42, 22.1983, 22.1983) * CHOOSE(CONTROL!$C$21, $C$9, 100%, $E$9)</f>
        <v>22.1983</v>
      </c>
      <c r="T7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38">
        <f>(1000*CHOOSE(CONTROL!$C$42, 695, 695)*CHOOSE(CONTROL!$C$42, 0.5599, 0.5599)*CHOOSE(CONTROL!$C$42, 31, 31))/1000000</f>
        <v>12.063045499999998</v>
      </c>
      <c r="V727" s="38">
        <f>(1000*CHOOSE(CONTROL!$C$42, 500, 500)*CHOOSE(CONTROL!$C$42, 0.275, 0.275)*CHOOSE(CONTROL!$C$42, 31, 31))/1000000</f>
        <v>4.2625000000000002</v>
      </c>
      <c r="W727" s="38">
        <f>(1000*CHOOSE(CONTROL!$C$42, 0.1146, 0.1146)*CHOOSE(CONTROL!$C$42, 121.5, 121.5)*CHOOSE(CONTROL!$C$42, 31, 31))/1000000</f>
        <v>0.43164089999999994</v>
      </c>
      <c r="X727" s="38">
        <f>(31*0.1790888*245000/1000000)+(31*0.2374*100000/1000000)</f>
        <v>2.0961194359999999</v>
      </c>
      <c r="Y727" s="38">
        <f>(1000*600*CHOOSE(CONTROL!$C$42, 1.0585, 1.0585)*CHOOSE(CONTROL!$C$42, 31, 31))/1000000</f>
        <v>19.688099999999999</v>
      </c>
      <c r="Z727" s="38"/>
      <c r="AA727" s="10"/>
      <c r="AB727" s="39"/>
      <c r="AC727" s="33">
        <f>(B727*194.205+C727*267.466+D727*133.845+E727*53.484+F727*40+G727*185+H727*0+I727*100+J727*300)/(194.205+267.466+133.845+53.484+0+40+185+100+300)</f>
        <v>22.878091847959187</v>
      </c>
      <c r="AD727" s="27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22.719745323741005</v>
      </c>
    </row>
    <row r="728" spans="1:30" ht="15.75" x14ac:dyDescent="0.25">
      <c r="A728" s="13">
        <v>63432</v>
      </c>
      <c r="B728" s="10">
        <f>CHOOSE(CONTROL!$C$42, 21.7343, 21.7343) * CHOOSE(CONTROL!$C$21, $C$9, 100%, $E$9)</f>
        <v>21.734300000000001</v>
      </c>
      <c r="C728" s="10">
        <f>CHOOSE(CONTROL!$C$42, 21.7422, 21.7422) * CHOOSE(CONTROL!$C$21, $C$9, 100%, $E$9)</f>
        <v>21.7422</v>
      </c>
      <c r="D728" s="10">
        <f>CHOOSE(CONTROL!$C$42, 21.9192, 21.9192) * CHOOSE(CONTROL!$C$21, $C$9, 100%, $E$9)</f>
        <v>21.9192</v>
      </c>
      <c r="E728" s="10">
        <f>CHOOSE(CONTROL!$C$42, 21.9503, 21.9503) * CHOOSE(CONTROL!$C$21, $C$9, 100%, $E$9)</f>
        <v>21.950299999999999</v>
      </c>
      <c r="F728" s="10">
        <f>CHOOSE(CONTROL!$C$42, 21.6981, 21.6981)*CHOOSE(CONTROL!$C$21, $C$9, 100%, $E$9)</f>
        <v>21.6981</v>
      </c>
      <c r="G728" s="10">
        <f>CHOOSE(CONTROL!$C$42, 21.7147, 21.7147)*CHOOSE(CONTROL!$C$21, $C$9, 100%, $E$9)</f>
        <v>21.714700000000001</v>
      </c>
      <c r="H728" s="10">
        <f>CHOOSE(CONTROL!$C$42, 21.9389, 21.9389) * CHOOSE(CONTROL!$C$21, $C$9, 100%, $E$9)</f>
        <v>21.9389</v>
      </c>
      <c r="I728" s="10">
        <f>CHOOSE(CONTROL!$C$42, 21.7189, 21.7189)* CHOOSE(CONTROL!$C$21, $C$9, 100%, $E$9)</f>
        <v>21.718900000000001</v>
      </c>
      <c r="J728" s="10">
        <f>CHOOSE(CONTROL!$C$42, 21.6911, 21.6911)* CHOOSE(CONTROL!$C$21, $C$9, 100%, $E$9)</f>
        <v>21.691099999999999</v>
      </c>
      <c r="K728" s="10">
        <f>CHOOSE(CONTROL!$C$42, 21.2372, 21.2372) * CHOOSE(CONTROL!$C$21, $C$9, 100%, $E$9)</f>
        <v>21.237200000000001</v>
      </c>
      <c r="L728" s="10">
        <f>CHOOSE(CONTROL!$C$42, 22.5259, 22.5259) * CHOOSE(CONTROL!$C$21, $C$9, 100%, $E$9)</f>
        <v>22.5259</v>
      </c>
      <c r="M728" s="10">
        <f>CHOOSE(CONTROL!$C$42, 21.486, 21.486) * CHOOSE(CONTROL!$C$21, $C$9, 100%, $E$9)</f>
        <v>21.486000000000001</v>
      </c>
      <c r="N728" s="10">
        <f>CHOOSE(CONTROL!$C$42, 21.5025, 21.5025) * CHOOSE(CONTROL!$C$21, $C$9, 100%, $E$9)</f>
        <v>21.502500000000001</v>
      </c>
      <c r="O728" s="10">
        <f>CHOOSE(CONTROL!$C$42, 21.7314, 21.7314) * CHOOSE(CONTROL!$C$21, $C$9, 100%, $E$9)</f>
        <v>21.731400000000001</v>
      </c>
      <c r="P728" s="10">
        <f>CHOOSE(CONTROL!$C$42, 21.5135, 21.5135) * CHOOSE(CONTROL!$C$21, $C$9, 100%, $E$9)</f>
        <v>21.513500000000001</v>
      </c>
      <c r="Q728" s="10">
        <f>CHOOSE(CONTROL!$C$42, 22.3267, 22.3267) * CHOOSE(CONTROL!$C$21, $C$9, 100%, $E$9)</f>
        <v>22.326699999999999</v>
      </c>
      <c r="R728" s="10">
        <f>CHOOSE(CONTROL!$C$42, 22.9695, 22.9695) * CHOOSE(CONTROL!$C$21, $C$9, 100%, $E$9)</f>
        <v>22.9695</v>
      </c>
      <c r="S728" s="10">
        <f>CHOOSE(CONTROL!$C$42, 21.1019, 21.1019) * CHOOSE(CONTROL!$C$21, $C$9, 100%, $E$9)</f>
        <v>21.101900000000001</v>
      </c>
      <c r="T7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38">
        <f>(1000*CHOOSE(CONTROL!$C$42, 695, 695)*CHOOSE(CONTROL!$C$42, 0.5599, 0.5599)*CHOOSE(CONTROL!$C$42, 31, 31))/1000000</f>
        <v>12.063045499999998</v>
      </c>
      <c r="V728" s="38">
        <f>(1000*CHOOSE(CONTROL!$C$42, 500, 500)*CHOOSE(CONTROL!$C$42, 0.275, 0.275)*CHOOSE(CONTROL!$C$42, 31, 31))/1000000</f>
        <v>4.2625000000000002</v>
      </c>
      <c r="W728" s="38">
        <f>(1000*CHOOSE(CONTROL!$C$42, 0.1146, 0.1146)*CHOOSE(CONTROL!$C$42, 121.5, 121.5)*CHOOSE(CONTROL!$C$42, 31, 31))/1000000</f>
        <v>0.43164089999999994</v>
      </c>
      <c r="X728" s="38">
        <f>(31*0.1790888*245000/1000000)+(31*0.2374*100000/1000000)</f>
        <v>2.0961194359999999</v>
      </c>
      <c r="Y728" s="38">
        <f>(1000*600*CHOOSE(CONTROL!$C$42, 1.0585, 1.0585)*CHOOSE(CONTROL!$C$42, 31, 31))/1000000</f>
        <v>19.688099999999999</v>
      </c>
      <c r="Z728" s="38"/>
      <c r="AA728" s="10"/>
      <c r="AB728" s="39"/>
      <c r="AC728" s="33">
        <f>(B728*194.205+C728*267.466+D728*133.845+E728*53.484+F728*40+G728*185+H728*0+I728*100+J728*300)/(194.205+267.466+133.845+53.484+0+40+185+100+300)</f>
        <v>21.749087649843013</v>
      </c>
      <c r="AD728" s="27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21.6021309352518</v>
      </c>
    </row>
    <row r="729" spans="1:30" ht="15.75" x14ac:dyDescent="0.25">
      <c r="A729" s="13">
        <v>63462</v>
      </c>
      <c r="B729" s="10">
        <f>CHOOSE(CONTROL!$C$42, 20.3548, 20.3548) * CHOOSE(CONTROL!$C$21, $C$9, 100%, $E$9)</f>
        <v>20.354800000000001</v>
      </c>
      <c r="C729" s="10">
        <f>CHOOSE(CONTROL!$C$42, 20.3627, 20.3627) * CHOOSE(CONTROL!$C$21, $C$9, 100%, $E$9)</f>
        <v>20.3627</v>
      </c>
      <c r="D729" s="10">
        <f>CHOOSE(CONTROL!$C$42, 20.5397, 20.5397) * CHOOSE(CONTROL!$C$21, $C$9, 100%, $E$9)</f>
        <v>20.5397</v>
      </c>
      <c r="E729" s="10">
        <f>CHOOSE(CONTROL!$C$42, 20.5708, 20.5708) * CHOOSE(CONTROL!$C$21, $C$9, 100%, $E$9)</f>
        <v>20.570799999999998</v>
      </c>
      <c r="F729" s="10">
        <f>CHOOSE(CONTROL!$C$42, 20.3183, 20.3183)*CHOOSE(CONTROL!$C$21, $C$9, 100%, $E$9)</f>
        <v>20.318300000000001</v>
      </c>
      <c r="G729" s="10">
        <f>CHOOSE(CONTROL!$C$42, 20.3349, 20.3349)*CHOOSE(CONTROL!$C$21, $C$9, 100%, $E$9)</f>
        <v>20.334900000000001</v>
      </c>
      <c r="H729" s="10">
        <f>CHOOSE(CONTROL!$C$42, 20.5594, 20.5594) * CHOOSE(CONTROL!$C$21, $C$9, 100%, $E$9)</f>
        <v>20.5594</v>
      </c>
      <c r="I729" s="10">
        <f>CHOOSE(CONTROL!$C$42, 20.3393, 20.3393)* CHOOSE(CONTROL!$C$21, $C$9, 100%, $E$9)</f>
        <v>20.339300000000001</v>
      </c>
      <c r="J729" s="10">
        <f>CHOOSE(CONTROL!$C$42, 20.3113, 20.3113)* CHOOSE(CONTROL!$C$21, $C$9, 100%, $E$9)</f>
        <v>20.311299999999999</v>
      </c>
      <c r="K729" s="10">
        <f>CHOOSE(CONTROL!$C$42, 19.8964, 19.8964) * CHOOSE(CONTROL!$C$21, $C$9, 100%, $E$9)</f>
        <v>19.8964</v>
      </c>
      <c r="L729" s="10">
        <f>CHOOSE(CONTROL!$C$42, 21.1464, 21.1464) * CHOOSE(CONTROL!$C$21, $C$9, 100%, $E$9)</f>
        <v>21.1464</v>
      </c>
      <c r="M729" s="10">
        <f>CHOOSE(CONTROL!$C$42, 20.1202, 20.1202) * CHOOSE(CONTROL!$C$21, $C$9, 100%, $E$9)</f>
        <v>20.120200000000001</v>
      </c>
      <c r="N729" s="10">
        <f>CHOOSE(CONTROL!$C$42, 20.1366, 20.1366) * CHOOSE(CONTROL!$C$21, $C$9, 100%, $E$9)</f>
        <v>20.136600000000001</v>
      </c>
      <c r="O729" s="10">
        <f>CHOOSE(CONTROL!$C$42, 20.3658, 20.3658) * CHOOSE(CONTROL!$C$21, $C$9, 100%, $E$9)</f>
        <v>20.3658</v>
      </c>
      <c r="P729" s="10">
        <f>CHOOSE(CONTROL!$C$42, 20.148, 20.148) * CHOOSE(CONTROL!$C$21, $C$9, 100%, $E$9)</f>
        <v>20.148</v>
      </c>
      <c r="Q729" s="10">
        <f>CHOOSE(CONTROL!$C$42, 20.9611, 20.9611) * CHOOSE(CONTROL!$C$21, $C$9, 100%, $E$9)</f>
        <v>20.961099999999998</v>
      </c>
      <c r="R729" s="10">
        <f>CHOOSE(CONTROL!$C$42, 21.6005, 21.6005) * CHOOSE(CONTROL!$C$21, $C$9, 100%, $E$9)</f>
        <v>21.6005</v>
      </c>
      <c r="S729" s="10">
        <f>CHOOSE(CONTROL!$C$42, 19.7623, 19.7623) * CHOOSE(CONTROL!$C$21, $C$9, 100%, $E$9)</f>
        <v>19.7623</v>
      </c>
      <c r="T7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38">
        <f>(1000*CHOOSE(CONTROL!$C$42, 695, 695)*CHOOSE(CONTROL!$C$42, 0.5599, 0.5599)*CHOOSE(CONTROL!$C$42, 30, 30))/1000000</f>
        <v>11.673914999999997</v>
      </c>
      <c r="V729" s="38">
        <f>(1000*CHOOSE(CONTROL!$C$42, 500, 500)*CHOOSE(CONTROL!$C$42, 0.275, 0.275)*CHOOSE(CONTROL!$C$42, 30, 30))/1000000</f>
        <v>4.125</v>
      </c>
      <c r="W729" s="38">
        <f>(1000*CHOOSE(CONTROL!$C$42, 0.1146, 0.1146)*CHOOSE(CONTROL!$C$42, 121.5, 121.5)*CHOOSE(CONTROL!$C$42, 30, 30))/1000000</f>
        <v>0.417717</v>
      </c>
      <c r="X729" s="38">
        <f>(30*0.1790888*245000/1000000)+(30*0.2374*100000/1000000)</f>
        <v>2.0285026799999999</v>
      </c>
      <c r="Y729" s="38">
        <f>(1000*600*CHOOSE(CONTROL!$C$42, 1.0585, 1.0585)*CHOOSE(CONTROL!$C$42, 30, 30))/1000000</f>
        <v>19.053000000000001</v>
      </c>
      <c r="Z729" s="38"/>
      <c r="AA729" s="10"/>
      <c r="AB729" s="39"/>
      <c r="AC729" s="33">
        <f>(B729*194.205+C729*267.466+D729*133.845+E729*53.484+F729*40+G729*185+H729*0+I729*100+J729*300)/(194.205+267.466+133.845+53.484+0+40+185+100+300)</f>
        <v>20.369456174175827</v>
      </c>
      <c r="AD729" s="27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20.236458992805755</v>
      </c>
    </row>
    <row r="730" spans="1:30" ht="15.75" x14ac:dyDescent="0.25">
      <c r="A730" s="13">
        <v>63493</v>
      </c>
      <c r="B730" s="10">
        <f>CHOOSE(CONTROL!$C$42, 19.9394, 19.9394) * CHOOSE(CONTROL!$C$21, $C$9, 100%, $E$9)</f>
        <v>19.939399999999999</v>
      </c>
      <c r="C730" s="10">
        <f>CHOOSE(CONTROL!$C$42, 19.9446, 19.9446) * CHOOSE(CONTROL!$C$21, $C$9, 100%, $E$9)</f>
        <v>19.944600000000001</v>
      </c>
      <c r="D730" s="10">
        <f>CHOOSE(CONTROL!$C$42, 20.1266, 20.1266) * CHOOSE(CONTROL!$C$21, $C$9, 100%, $E$9)</f>
        <v>20.1266</v>
      </c>
      <c r="E730" s="10">
        <f>CHOOSE(CONTROL!$C$42, 20.1554, 20.1554) * CHOOSE(CONTROL!$C$21, $C$9, 100%, $E$9)</f>
        <v>20.1554</v>
      </c>
      <c r="F730" s="10">
        <f>CHOOSE(CONTROL!$C$42, 19.905, 19.905)*CHOOSE(CONTROL!$C$21, $C$9, 100%, $E$9)</f>
        <v>19.905000000000001</v>
      </c>
      <c r="G730" s="10">
        <f>CHOOSE(CONTROL!$C$42, 19.9213, 19.9213)*CHOOSE(CONTROL!$C$21, $C$9, 100%, $E$9)</f>
        <v>19.921299999999999</v>
      </c>
      <c r="H730" s="10">
        <f>CHOOSE(CONTROL!$C$42, 20.1459, 20.1459) * CHOOSE(CONTROL!$C$21, $C$9, 100%, $E$9)</f>
        <v>20.145900000000001</v>
      </c>
      <c r="I730" s="10">
        <f>CHOOSE(CONTROL!$C$42, 19.9258, 19.9258)* CHOOSE(CONTROL!$C$21, $C$9, 100%, $E$9)</f>
        <v>19.925799999999999</v>
      </c>
      <c r="J730" s="10">
        <f>CHOOSE(CONTROL!$C$42, 19.898, 19.898)* CHOOSE(CONTROL!$C$21, $C$9, 100%, $E$9)</f>
        <v>19.898</v>
      </c>
      <c r="K730" s="10">
        <f>CHOOSE(CONTROL!$C$42, 19.4951, 19.4951) * CHOOSE(CONTROL!$C$21, $C$9, 100%, $E$9)</f>
        <v>19.495100000000001</v>
      </c>
      <c r="L730" s="10">
        <f>CHOOSE(CONTROL!$C$42, 20.7329, 20.7329) * CHOOSE(CONTROL!$C$21, $C$9, 100%, $E$9)</f>
        <v>20.732900000000001</v>
      </c>
      <c r="M730" s="10">
        <f>CHOOSE(CONTROL!$C$42, 19.7111, 19.7111) * CHOOSE(CONTROL!$C$21, $C$9, 100%, $E$9)</f>
        <v>19.711099999999998</v>
      </c>
      <c r="N730" s="10">
        <f>CHOOSE(CONTROL!$C$42, 19.7271, 19.7271) * CHOOSE(CONTROL!$C$21, $C$9, 100%, $E$9)</f>
        <v>19.7271</v>
      </c>
      <c r="O730" s="10">
        <f>CHOOSE(CONTROL!$C$42, 19.9564, 19.9564) * CHOOSE(CONTROL!$C$21, $C$9, 100%, $E$9)</f>
        <v>19.956399999999999</v>
      </c>
      <c r="P730" s="10">
        <f>CHOOSE(CONTROL!$C$42, 19.7386, 19.7386) * CHOOSE(CONTROL!$C$21, $C$9, 100%, $E$9)</f>
        <v>19.738600000000002</v>
      </c>
      <c r="Q730" s="10">
        <f>CHOOSE(CONTROL!$C$42, 20.5517, 20.5517) * CHOOSE(CONTROL!$C$21, $C$9, 100%, $E$9)</f>
        <v>20.5517</v>
      </c>
      <c r="R730" s="10">
        <f>CHOOSE(CONTROL!$C$42, 21.1901, 21.1901) * CHOOSE(CONTROL!$C$21, $C$9, 100%, $E$9)</f>
        <v>21.190100000000001</v>
      </c>
      <c r="S730" s="10">
        <f>CHOOSE(CONTROL!$C$42, 19.3606, 19.3606) * CHOOSE(CONTROL!$C$21, $C$9, 100%, $E$9)</f>
        <v>19.360600000000002</v>
      </c>
      <c r="T7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38">
        <f>(1000*CHOOSE(CONTROL!$C$42, 695, 695)*CHOOSE(CONTROL!$C$42, 0.5599, 0.5599)*CHOOSE(CONTROL!$C$42, 31, 31))/1000000</f>
        <v>12.063045499999998</v>
      </c>
      <c r="V730" s="38">
        <f>(1000*CHOOSE(CONTROL!$C$42, 500, 500)*CHOOSE(CONTROL!$C$42, 0.275, 0.275)*CHOOSE(CONTROL!$C$42, 31, 31))/1000000</f>
        <v>4.2625000000000002</v>
      </c>
      <c r="W730" s="38">
        <f>(1000*CHOOSE(CONTROL!$C$42, 0.1146, 0.1146)*CHOOSE(CONTROL!$C$42, 121.5, 121.5)*CHOOSE(CONTROL!$C$42, 31, 31))/1000000</f>
        <v>0.43164089999999994</v>
      </c>
      <c r="X730" s="38">
        <f>(31*0.1790888*245000/1000000)+(31*0.2374*100000/1000000)</f>
        <v>2.0961194359999999</v>
      </c>
      <c r="Y730" s="38">
        <f>(1000*600*CHOOSE(CONTROL!$C$42, 1.0585, 1.0585)*CHOOSE(CONTROL!$C$42, 31, 31))/1000000</f>
        <v>19.688099999999999</v>
      </c>
      <c r="Z730" s="38"/>
      <c r="AA730" s="10"/>
      <c r="AB730" s="39"/>
      <c r="AC730" s="33">
        <f>(B730*131.881+C730*277.167+D730*79.08+E730*125.872+F730*40+G730*185+H730*0+I730*100+J730*300)/(131.881+277.167+79.08+125.872+0+40+185+100+300)</f>
        <v>19.959520174656987</v>
      </c>
      <c r="AD730" s="27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19.827156834532374</v>
      </c>
    </row>
    <row r="731" spans="1:30" ht="15.75" x14ac:dyDescent="0.25">
      <c r="A731" s="13">
        <v>63523</v>
      </c>
      <c r="B731" s="10">
        <f>CHOOSE(CONTROL!$C$42, 20.4642, 20.4642) * CHOOSE(CONTROL!$C$21, $C$9, 100%, $E$9)</f>
        <v>20.464200000000002</v>
      </c>
      <c r="C731" s="10">
        <f>CHOOSE(CONTROL!$C$42, 20.4692, 20.4692) * CHOOSE(CONTROL!$C$21, $C$9, 100%, $E$9)</f>
        <v>20.469200000000001</v>
      </c>
      <c r="D731" s="10">
        <f>CHOOSE(CONTROL!$C$42, 20.4936, 20.4936) * CHOOSE(CONTROL!$C$21, $C$9, 100%, $E$9)</f>
        <v>20.493600000000001</v>
      </c>
      <c r="E731" s="10">
        <f>CHOOSE(CONTROL!$C$42, 20.5274, 20.5274) * CHOOSE(CONTROL!$C$21, $C$9, 100%, $E$9)</f>
        <v>20.5274</v>
      </c>
      <c r="F731" s="10">
        <f>CHOOSE(CONTROL!$C$42, 20.4335, 20.4335)*CHOOSE(CONTROL!$C$21, $C$9, 100%, $E$9)</f>
        <v>20.433499999999999</v>
      </c>
      <c r="G731" s="10">
        <f>CHOOSE(CONTROL!$C$42, 20.45, 20.45)*CHOOSE(CONTROL!$C$21, $C$9, 100%, $E$9)</f>
        <v>20.45</v>
      </c>
      <c r="H731" s="10">
        <f>CHOOSE(CONTROL!$C$42, 20.5166, 20.5166) * CHOOSE(CONTROL!$C$21, $C$9, 100%, $E$9)</f>
        <v>20.5166</v>
      </c>
      <c r="I731" s="10">
        <f>CHOOSE(CONTROL!$C$42, 20.451, 20.451)* CHOOSE(CONTROL!$C$21, $C$9, 100%, $E$9)</f>
        <v>20.451000000000001</v>
      </c>
      <c r="J731" s="10">
        <f>CHOOSE(CONTROL!$C$42, 20.4265, 20.4265)* CHOOSE(CONTROL!$C$21, $C$9, 100%, $E$9)</f>
        <v>20.426500000000001</v>
      </c>
      <c r="K731" s="10">
        <f>CHOOSE(CONTROL!$C$42, 20.0069, 20.0069) * CHOOSE(CONTROL!$C$21, $C$9, 100%, $E$9)</f>
        <v>20.006900000000002</v>
      </c>
      <c r="L731" s="10">
        <f>CHOOSE(CONTROL!$C$42, 21.1036, 21.1036) * CHOOSE(CONTROL!$C$21, $C$9, 100%, $E$9)</f>
        <v>21.1036</v>
      </c>
      <c r="M731" s="10">
        <f>CHOOSE(CONTROL!$C$42, 20.2342, 20.2342) * CHOOSE(CONTROL!$C$21, $C$9, 100%, $E$9)</f>
        <v>20.234200000000001</v>
      </c>
      <c r="N731" s="10">
        <f>CHOOSE(CONTROL!$C$42, 20.2505, 20.2505) * CHOOSE(CONTROL!$C$21, $C$9, 100%, $E$9)</f>
        <v>20.250499999999999</v>
      </c>
      <c r="O731" s="10">
        <f>CHOOSE(CONTROL!$C$42, 20.3234, 20.3234) * CHOOSE(CONTROL!$C$21, $C$9, 100%, $E$9)</f>
        <v>20.323399999999999</v>
      </c>
      <c r="P731" s="10">
        <f>CHOOSE(CONTROL!$C$42, 20.2585, 20.2585) * CHOOSE(CONTROL!$C$21, $C$9, 100%, $E$9)</f>
        <v>20.258500000000002</v>
      </c>
      <c r="Q731" s="10">
        <f>CHOOSE(CONTROL!$C$42, 20.9187, 20.9187) * CHOOSE(CONTROL!$C$21, $C$9, 100%, $E$9)</f>
        <v>20.918700000000001</v>
      </c>
      <c r="R731" s="10">
        <f>CHOOSE(CONTROL!$C$42, 21.558, 21.558) * CHOOSE(CONTROL!$C$21, $C$9, 100%, $E$9)</f>
        <v>21.558</v>
      </c>
      <c r="S731" s="10">
        <f>CHOOSE(CONTROL!$C$42, 19.8707, 19.8707) * CHOOSE(CONTROL!$C$21, $C$9, 100%, $E$9)</f>
        <v>19.870699999999999</v>
      </c>
      <c r="T7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38">
        <f>(1000*CHOOSE(CONTROL!$C$42, 695, 695)*CHOOSE(CONTROL!$C$42, 0.5599, 0.5599)*CHOOSE(CONTROL!$C$42, 30, 30))/1000000</f>
        <v>11.673914999999997</v>
      </c>
      <c r="V731" s="38">
        <f>(1000*CHOOSE(CONTROL!$C$42, 500, 500)*CHOOSE(CONTROL!$C$42, 0.275, 0.275)*CHOOSE(CONTROL!$C$42, 30, 30))/1000000</f>
        <v>4.125</v>
      </c>
      <c r="W731" s="38">
        <f>(1000*CHOOSE(CONTROL!$C$42, 0.1146, 0.1146)*CHOOSE(CONTROL!$C$42, 121.5, 121.5)*CHOOSE(CONTROL!$C$42, 30, 30))/1000000</f>
        <v>0.417717</v>
      </c>
      <c r="X731" s="38">
        <f>(30*0.1790888*100000/1000000)+(30*0.2374*100000/1000000)</f>
        <v>1.2494664</v>
      </c>
      <c r="Y731" s="38">
        <f>(1000*600*CHOOSE(CONTROL!$C$42, 1.0585, 1.0585)*CHOOSE(CONTROL!$C$42, 30, 30))/1000000</f>
        <v>19.053000000000001</v>
      </c>
      <c r="Z731" s="38"/>
      <c r="AA731" s="10"/>
      <c r="AB731" s="39"/>
      <c r="AC731" s="33">
        <f>(B731*122.58+C731*297.941+D731*89.177+E731*40.302+F731*40+G731*160+H731*0+I731*100+J731*300)/(122.58+297.941+89.177+40.302+0+40+160+100+300)</f>
        <v>20.455963995826085</v>
      </c>
      <c r="AD731" s="27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20.279063309352523</v>
      </c>
    </row>
    <row r="732" spans="1:30" ht="15.75" x14ac:dyDescent="0.25">
      <c r="A732" s="13">
        <v>63554</v>
      </c>
      <c r="B732" s="10">
        <f>CHOOSE(CONTROL!$C$42, 21.8593, 21.8593) * CHOOSE(CONTROL!$C$21, $C$9, 100%, $E$9)</f>
        <v>21.859300000000001</v>
      </c>
      <c r="C732" s="10">
        <f>CHOOSE(CONTROL!$C$42, 21.8642, 21.8642) * CHOOSE(CONTROL!$C$21, $C$9, 100%, $E$9)</f>
        <v>21.8642</v>
      </c>
      <c r="D732" s="10">
        <f>CHOOSE(CONTROL!$C$42, 21.8887, 21.8887) * CHOOSE(CONTROL!$C$21, $C$9, 100%, $E$9)</f>
        <v>21.8887</v>
      </c>
      <c r="E732" s="10">
        <f>CHOOSE(CONTROL!$C$42, 21.9225, 21.9225) * CHOOSE(CONTROL!$C$21, $C$9, 100%, $E$9)</f>
        <v>21.922499999999999</v>
      </c>
      <c r="F732" s="10">
        <f>CHOOSE(CONTROL!$C$42, 21.8309, 21.8309)*CHOOSE(CONTROL!$C$21, $C$9, 100%, $E$9)</f>
        <v>21.8309</v>
      </c>
      <c r="G732" s="10">
        <f>CHOOSE(CONTROL!$C$42, 21.8479, 21.8479)*CHOOSE(CONTROL!$C$21, $C$9, 100%, $E$9)</f>
        <v>21.847899999999999</v>
      </c>
      <c r="H732" s="10">
        <f>CHOOSE(CONTROL!$C$42, 21.9116, 21.9116) * CHOOSE(CONTROL!$C$21, $C$9, 100%, $E$9)</f>
        <v>21.9116</v>
      </c>
      <c r="I732" s="10">
        <f>CHOOSE(CONTROL!$C$42, 21.846, 21.846)* CHOOSE(CONTROL!$C$21, $C$9, 100%, $E$9)</f>
        <v>21.846</v>
      </c>
      <c r="J732" s="10">
        <f>CHOOSE(CONTROL!$C$42, 21.8239, 21.8239)* CHOOSE(CONTROL!$C$21, $C$9, 100%, $E$9)</f>
        <v>21.823899999999998</v>
      </c>
      <c r="K732" s="10">
        <f>CHOOSE(CONTROL!$C$42, 21.3673, 21.3673) * CHOOSE(CONTROL!$C$21, $C$9, 100%, $E$9)</f>
        <v>21.3673</v>
      </c>
      <c r="L732" s="10">
        <f>CHOOSE(CONTROL!$C$42, 22.4986, 22.4986) * CHOOSE(CONTROL!$C$21, $C$9, 100%, $E$9)</f>
        <v>22.4986</v>
      </c>
      <c r="M732" s="10">
        <f>CHOOSE(CONTROL!$C$42, 21.6175, 21.6175) * CHOOSE(CONTROL!$C$21, $C$9, 100%, $E$9)</f>
        <v>21.6175</v>
      </c>
      <c r="N732" s="10">
        <f>CHOOSE(CONTROL!$C$42, 21.6343, 21.6343) * CHOOSE(CONTROL!$C$21, $C$9, 100%, $E$9)</f>
        <v>21.6343</v>
      </c>
      <c r="O732" s="10">
        <f>CHOOSE(CONTROL!$C$42, 21.7044, 21.7044) * CHOOSE(CONTROL!$C$21, $C$9, 100%, $E$9)</f>
        <v>21.7044</v>
      </c>
      <c r="P732" s="10">
        <f>CHOOSE(CONTROL!$C$42, 21.6394, 21.6394) * CHOOSE(CONTROL!$C$21, $C$9, 100%, $E$9)</f>
        <v>21.639399999999998</v>
      </c>
      <c r="Q732" s="10">
        <f>CHOOSE(CONTROL!$C$42, 22.2997, 22.2997) * CHOOSE(CONTROL!$C$21, $C$9, 100%, $E$9)</f>
        <v>22.299700000000001</v>
      </c>
      <c r="R732" s="10">
        <f>CHOOSE(CONTROL!$C$42, 22.9424, 22.9424) * CHOOSE(CONTROL!$C$21, $C$9, 100%, $E$9)</f>
        <v>22.942399999999999</v>
      </c>
      <c r="S732" s="10">
        <f>CHOOSE(CONTROL!$C$42, 21.2254, 21.2254) * CHOOSE(CONTROL!$C$21, $C$9, 100%, $E$9)</f>
        <v>21.2254</v>
      </c>
      <c r="T7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38">
        <f>(1000*CHOOSE(CONTROL!$C$42, 695, 695)*CHOOSE(CONTROL!$C$42, 0.5599, 0.5599)*CHOOSE(CONTROL!$C$42, 31, 31))/1000000</f>
        <v>12.063045499999998</v>
      </c>
      <c r="V732" s="38">
        <f>(1000*CHOOSE(CONTROL!$C$42, 500, 500)*CHOOSE(CONTROL!$C$42, 0.275, 0.275)*CHOOSE(CONTROL!$C$42, 31, 31))/1000000</f>
        <v>4.2625000000000002</v>
      </c>
      <c r="W732" s="38">
        <f>(1000*CHOOSE(CONTROL!$C$42, 0.1146, 0.1146)*CHOOSE(CONTROL!$C$42, 121.5, 121.5)*CHOOSE(CONTROL!$C$42, 31, 31))/1000000</f>
        <v>0.43164089999999994</v>
      </c>
      <c r="X732" s="38">
        <f>(31*0.1790888*100000/1000000)+(31*0.2374*100000/1000000)</f>
        <v>1.2911152800000001</v>
      </c>
      <c r="Y732" s="38">
        <f>(1000*600*CHOOSE(CONTROL!$C$42, 1.0585, 1.0585)*CHOOSE(CONTROL!$C$42, 31, 31))/1000000</f>
        <v>19.688099999999999</v>
      </c>
      <c r="Z732" s="38"/>
      <c r="AA732" s="10"/>
      <c r="AB732" s="39"/>
      <c r="AC732" s="33">
        <f>(B732*122.58+C732*297.941+D732*89.177+E732*40.302+F732*40+G732*160+H732*0+I732*100+J732*300)/(122.58+297.941+89.177+40.302+0+40+160+100+300)</f>
        <v>21.852098957478258</v>
      </c>
      <c r="AD732" s="27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21.661004316546762</v>
      </c>
    </row>
    <row r="733" spans="1:30" ht="15.75" x14ac:dyDescent="0.25">
      <c r="A733" s="13">
        <v>63585</v>
      </c>
      <c r="B733" s="10">
        <f>CHOOSE(CONTROL!$C$42, 23.3344, 23.3344) * CHOOSE(CONTROL!$C$21, $C$9, 100%, $E$9)</f>
        <v>23.334399999999999</v>
      </c>
      <c r="C733" s="10">
        <f>CHOOSE(CONTROL!$C$42, 23.3394, 23.3394) * CHOOSE(CONTROL!$C$21, $C$9, 100%, $E$9)</f>
        <v>23.339400000000001</v>
      </c>
      <c r="D733" s="10">
        <f>CHOOSE(CONTROL!$C$42, 23.3639, 23.3639) * CHOOSE(CONTROL!$C$21, $C$9, 100%, $E$9)</f>
        <v>23.363900000000001</v>
      </c>
      <c r="E733" s="10">
        <f>CHOOSE(CONTROL!$C$42, 23.3976, 23.3976) * CHOOSE(CONTROL!$C$21, $C$9, 100%, $E$9)</f>
        <v>23.397600000000001</v>
      </c>
      <c r="F733" s="10">
        <f>CHOOSE(CONTROL!$C$42, 23.3174, 23.3174)*CHOOSE(CONTROL!$C$21, $C$9, 100%, $E$9)</f>
        <v>23.317399999999999</v>
      </c>
      <c r="G733" s="10">
        <f>CHOOSE(CONTROL!$C$42, 23.336, 23.336)*CHOOSE(CONTROL!$C$21, $C$9, 100%, $E$9)</f>
        <v>23.335999999999999</v>
      </c>
      <c r="H733" s="10">
        <f>CHOOSE(CONTROL!$C$42, 23.3868, 23.3868) * CHOOSE(CONTROL!$C$21, $C$9, 100%, $E$9)</f>
        <v>23.386800000000001</v>
      </c>
      <c r="I733" s="10">
        <f>CHOOSE(CONTROL!$C$42, 23.3289, 23.3289)* CHOOSE(CONTROL!$C$21, $C$9, 100%, $E$9)</f>
        <v>23.328900000000001</v>
      </c>
      <c r="J733" s="10">
        <f>CHOOSE(CONTROL!$C$42, 23.3104, 23.3104)* CHOOSE(CONTROL!$C$21, $C$9, 100%, $E$9)</f>
        <v>23.310400000000001</v>
      </c>
      <c r="K733" s="10">
        <f>CHOOSE(CONTROL!$C$42, 22.8216, 22.8216) * CHOOSE(CONTROL!$C$21, $C$9, 100%, $E$9)</f>
        <v>22.8216</v>
      </c>
      <c r="L733" s="10">
        <f>CHOOSE(CONTROL!$C$42, 23.9738, 23.9738) * CHOOSE(CONTROL!$C$21, $C$9, 100%, $E$9)</f>
        <v>23.973800000000001</v>
      </c>
      <c r="M733" s="10">
        <f>CHOOSE(CONTROL!$C$42, 23.089, 23.089) * CHOOSE(CONTROL!$C$21, $C$9, 100%, $E$9)</f>
        <v>23.088999999999999</v>
      </c>
      <c r="N733" s="10">
        <f>CHOOSE(CONTROL!$C$42, 23.1074, 23.1074) * CHOOSE(CONTROL!$C$21, $C$9, 100%, $E$9)</f>
        <v>23.107399999999998</v>
      </c>
      <c r="O733" s="10">
        <f>CHOOSE(CONTROL!$C$42, 23.1646, 23.1646) * CHOOSE(CONTROL!$C$21, $C$9, 100%, $E$9)</f>
        <v>23.1646</v>
      </c>
      <c r="P733" s="10">
        <f>CHOOSE(CONTROL!$C$42, 23.1074, 23.1074) * CHOOSE(CONTROL!$C$21, $C$9, 100%, $E$9)</f>
        <v>23.107399999999998</v>
      </c>
      <c r="Q733" s="10">
        <f>CHOOSE(CONTROL!$C$42, 23.7599, 23.7599) * CHOOSE(CONTROL!$C$21, $C$9, 100%, $E$9)</f>
        <v>23.759899999999998</v>
      </c>
      <c r="R733" s="10">
        <f>CHOOSE(CONTROL!$C$42, 24.4063, 24.4063) * CHOOSE(CONTROL!$C$21, $C$9, 100%, $E$9)</f>
        <v>24.406300000000002</v>
      </c>
      <c r="S733" s="10">
        <f>CHOOSE(CONTROL!$C$42, 22.6579, 22.6579) * CHOOSE(CONTROL!$C$21, $C$9, 100%, $E$9)</f>
        <v>22.657900000000001</v>
      </c>
      <c r="T7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38">
        <f>(1000*CHOOSE(CONTROL!$C$42, 695, 695)*CHOOSE(CONTROL!$C$42, 0.5599, 0.5599)*CHOOSE(CONTROL!$C$42, 31, 31))/1000000</f>
        <v>12.063045499999998</v>
      </c>
      <c r="V733" s="38">
        <f>(1000*CHOOSE(CONTROL!$C$42, 500, 500)*CHOOSE(CONTROL!$C$42, 0.275, 0.275)*CHOOSE(CONTROL!$C$42, 31, 31))/1000000</f>
        <v>4.2625000000000002</v>
      </c>
      <c r="W733" s="38">
        <f>(1000*CHOOSE(CONTROL!$C$42, 0.1146, 0.1146)*CHOOSE(CONTROL!$C$42, 121.5, 121.5)*CHOOSE(CONTROL!$C$42, 31, 31))/1000000</f>
        <v>0.43164089999999994</v>
      </c>
      <c r="X733" s="38">
        <f>(31*0.1790888*100000/1000000)+(31*0.2374*100000/1000000)</f>
        <v>1.2911152800000001</v>
      </c>
      <c r="Y733" s="38">
        <f>(1000*600*CHOOSE(CONTROL!$C$42, 1.0585, 1.0585)*CHOOSE(CONTROL!$C$42, 31, 31))/1000000</f>
        <v>19.688099999999999</v>
      </c>
      <c r="Z733" s="38"/>
      <c r="AA733" s="10"/>
      <c r="AB733" s="39"/>
      <c r="AC733" s="33">
        <f>(B733*122.58+C733*297.941+D733*89.177+E733*40.302+F733*40+G733*160+H733*0+I733*100+J733*300)/(122.58+297.941+89.177+40.302+0+40+160+100+300)</f>
        <v>23.33309001121739</v>
      </c>
      <c r="AD733" s="27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23.126971223021584</v>
      </c>
    </row>
    <row r="734" spans="1:30" ht="15.75" x14ac:dyDescent="0.25">
      <c r="A734" s="13">
        <v>63613</v>
      </c>
      <c r="B734" s="10">
        <f>CHOOSE(CONTROL!$C$42, 23.7498, 23.7498) * CHOOSE(CONTROL!$C$21, $C$9, 100%, $E$9)</f>
        <v>23.7498</v>
      </c>
      <c r="C734" s="10">
        <f>CHOOSE(CONTROL!$C$42, 23.7547, 23.7547) * CHOOSE(CONTROL!$C$21, $C$9, 100%, $E$9)</f>
        <v>23.7547</v>
      </c>
      <c r="D734" s="10">
        <f>CHOOSE(CONTROL!$C$42, 23.7792, 23.7792) * CHOOSE(CONTROL!$C$21, $C$9, 100%, $E$9)</f>
        <v>23.779199999999999</v>
      </c>
      <c r="E734" s="10">
        <f>CHOOSE(CONTROL!$C$42, 23.813, 23.813) * CHOOSE(CONTROL!$C$21, $C$9, 100%, $E$9)</f>
        <v>23.812999999999999</v>
      </c>
      <c r="F734" s="10">
        <f>CHOOSE(CONTROL!$C$42, 23.732, 23.732)*CHOOSE(CONTROL!$C$21, $C$9, 100%, $E$9)</f>
        <v>23.731999999999999</v>
      </c>
      <c r="G734" s="10">
        <f>CHOOSE(CONTROL!$C$42, 23.7505, 23.7505)*CHOOSE(CONTROL!$C$21, $C$9, 100%, $E$9)</f>
        <v>23.750499999999999</v>
      </c>
      <c r="H734" s="10">
        <f>CHOOSE(CONTROL!$C$42, 23.8022, 23.8022) * CHOOSE(CONTROL!$C$21, $C$9, 100%, $E$9)</f>
        <v>23.802199999999999</v>
      </c>
      <c r="I734" s="10">
        <f>CHOOSE(CONTROL!$C$42, 23.7443, 23.7443)* CHOOSE(CONTROL!$C$21, $C$9, 100%, $E$9)</f>
        <v>23.744299999999999</v>
      </c>
      <c r="J734" s="10">
        <f>CHOOSE(CONTROL!$C$42, 23.725, 23.725)* CHOOSE(CONTROL!$C$21, $C$9, 100%, $E$9)</f>
        <v>23.725000000000001</v>
      </c>
      <c r="K734" s="10">
        <f>CHOOSE(CONTROL!$C$42, 23.2236, 23.2236) * CHOOSE(CONTROL!$C$21, $C$9, 100%, $E$9)</f>
        <v>23.223600000000001</v>
      </c>
      <c r="L734" s="10">
        <f>CHOOSE(CONTROL!$C$42, 24.3892, 24.3892) * CHOOSE(CONTROL!$C$21, $C$9, 100%, $E$9)</f>
        <v>24.389199999999999</v>
      </c>
      <c r="M734" s="10">
        <f>CHOOSE(CONTROL!$C$42, 23.4994, 23.4994) * CHOOSE(CONTROL!$C$21, $C$9, 100%, $E$9)</f>
        <v>23.499400000000001</v>
      </c>
      <c r="N734" s="10">
        <f>CHOOSE(CONTROL!$C$42, 23.5177, 23.5177) * CHOOSE(CONTROL!$C$21, $C$9, 100%, $E$9)</f>
        <v>23.517700000000001</v>
      </c>
      <c r="O734" s="10">
        <f>CHOOSE(CONTROL!$C$42, 23.5758, 23.5758) * CHOOSE(CONTROL!$C$21, $C$9, 100%, $E$9)</f>
        <v>23.575800000000001</v>
      </c>
      <c r="P734" s="10">
        <f>CHOOSE(CONTROL!$C$42, 23.5185, 23.5185) * CHOOSE(CONTROL!$C$21, $C$9, 100%, $E$9)</f>
        <v>23.5185</v>
      </c>
      <c r="Q734" s="10">
        <f>CHOOSE(CONTROL!$C$42, 24.1711, 24.1711) * CHOOSE(CONTROL!$C$21, $C$9, 100%, $E$9)</f>
        <v>24.171099999999999</v>
      </c>
      <c r="R734" s="10">
        <f>CHOOSE(CONTROL!$C$42, 24.8185, 24.8185) * CHOOSE(CONTROL!$C$21, $C$9, 100%, $E$9)</f>
        <v>24.8185</v>
      </c>
      <c r="S734" s="10">
        <f>CHOOSE(CONTROL!$C$42, 23.0613, 23.0613) * CHOOSE(CONTROL!$C$21, $C$9, 100%, $E$9)</f>
        <v>23.061299999999999</v>
      </c>
      <c r="T7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38">
        <f>(1000*CHOOSE(CONTROL!$C$42, 695, 695)*CHOOSE(CONTROL!$C$42, 0.5599, 0.5599)*CHOOSE(CONTROL!$C$42, 28, 28))/1000000</f>
        <v>10.895653999999999</v>
      </c>
      <c r="V734" s="38">
        <f>(1000*CHOOSE(CONTROL!$C$42, 500, 500)*CHOOSE(CONTROL!$C$42, 0.275, 0.275)*CHOOSE(CONTROL!$C$42, 28, 28))/1000000</f>
        <v>3.85</v>
      </c>
      <c r="W734" s="38">
        <f>(1000*CHOOSE(CONTROL!$C$42, 0.1146, 0.1146)*CHOOSE(CONTROL!$C$42, 121.5, 121.5)*CHOOSE(CONTROL!$C$42, 28, 28))/1000000</f>
        <v>0.38986920000000003</v>
      </c>
      <c r="X734" s="38">
        <f>(28*0.1790888*100000/1000000)+(28*0.2374*100000/1000000)</f>
        <v>1.16616864</v>
      </c>
      <c r="Y734" s="38">
        <f>(1000*600*CHOOSE(CONTROL!$C$42, 1.0585, 1.0585)*CHOOSE(CONTROL!$C$42, 28, 28))/1000000</f>
        <v>17.782800000000002</v>
      </c>
      <c r="Z734" s="38"/>
      <c r="AA734" s="10"/>
      <c r="AB734" s="39"/>
      <c r="AC734" s="33">
        <f>(B734*122.58+C734*297.941+D734*89.177+E734*40.302+F734*40+G734*160+H734*0+I734*100+J734*300)/(122.58+297.941+89.177+40.302+0+40+160+100+300)</f>
        <v>23.748094609652174</v>
      </c>
      <c r="AD734" s="27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23.537828776978419</v>
      </c>
    </row>
    <row r="735" spans="1:30" ht="15.75" x14ac:dyDescent="0.25">
      <c r="A735" s="13">
        <v>63644</v>
      </c>
      <c r="B735" s="10">
        <f>CHOOSE(CONTROL!$C$42, 23.0756, 23.0756) * CHOOSE(CONTROL!$C$21, $C$9, 100%, $E$9)</f>
        <v>23.075600000000001</v>
      </c>
      <c r="C735" s="10">
        <f>CHOOSE(CONTROL!$C$42, 23.0805, 23.0805) * CHOOSE(CONTROL!$C$21, $C$9, 100%, $E$9)</f>
        <v>23.080500000000001</v>
      </c>
      <c r="D735" s="10">
        <f>CHOOSE(CONTROL!$C$42, 23.105, 23.105) * CHOOSE(CONTROL!$C$21, $C$9, 100%, $E$9)</f>
        <v>23.105</v>
      </c>
      <c r="E735" s="10">
        <f>CHOOSE(CONTROL!$C$42, 23.1388, 23.1388) * CHOOSE(CONTROL!$C$21, $C$9, 100%, $E$9)</f>
        <v>23.1388</v>
      </c>
      <c r="F735" s="10">
        <f>CHOOSE(CONTROL!$C$42, 23.0563, 23.0563)*CHOOSE(CONTROL!$C$21, $C$9, 100%, $E$9)</f>
        <v>23.0563</v>
      </c>
      <c r="G735" s="10">
        <f>CHOOSE(CONTROL!$C$42, 23.0744, 23.0744)*CHOOSE(CONTROL!$C$21, $C$9, 100%, $E$9)</f>
        <v>23.074400000000001</v>
      </c>
      <c r="H735" s="10">
        <f>CHOOSE(CONTROL!$C$42, 23.128, 23.128) * CHOOSE(CONTROL!$C$21, $C$9, 100%, $E$9)</f>
        <v>23.128</v>
      </c>
      <c r="I735" s="10">
        <f>CHOOSE(CONTROL!$C$42, 23.0701, 23.0701)* CHOOSE(CONTROL!$C$21, $C$9, 100%, $E$9)</f>
        <v>23.0701</v>
      </c>
      <c r="J735" s="10">
        <f>CHOOSE(CONTROL!$C$42, 23.0493, 23.0493)* CHOOSE(CONTROL!$C$21, $C$9, 100%, $E$9)</f>
        <v>23.049299999999999</v>
      </c>
      <c r="K735" s="10">
        <f>CHOOSE(CONTROL!$C$42, 22.5653, 22.5653) * CHOOSE(CONTROL!$C$21, $C$9, 100%, $E$9)</f>
        <v>22.565300000000001</v>
      </c>
      <c r="L735" s="10">
        <f>CHOOSE(CONTROL!$C$42, 23.715, 23.715) * CHOOSE(CONTROL!$C$21, $C$9, 100%, $E$9)</f>
        <v>23.715</v>
      </c>
      <c r="M735" s="10">
        <f>CHOOSE(CONTROL!$C$42, 22.8305, 22.8305) * CHOOSE(CONTROL!$C$21, $C$9, 100%, $E$9)</f>
        <v>22.830500000000001</v>
      </c>
      <c r="N735" s="10">
        <f>CHOOSE(CONTROL!$C$42, 22.8484, 22.8484) * CHOOSE(CONTROL!$C$21, $C$9, 100%, $E$9)</f>
        <v>22.848400000000002</v>
      </c>
      <c r="O735" s="10">
        <f>CHOOSE(CONTROL!$C$42, 22.9084, 22.9084) * CHOOSE(CONTROL!$C$21, $C$9, 100%, $E$9)</f>
        <v>22.9084</v>
      </c>
      <c r="P735" s="10">
        <f>CHOOSE(CONTROL!$C$42, 22.8511, 22.8511) * CHOOSE(CONTROL!$C$21, $C$9, 100%, $E$9)</f>
        <v>22.851099999999999</v>
      </c>
      <c r="Q735" s="10">
        <f>CHOOSE(CONTROL!$C$42, 23.5037, 23.5037) * CHOOSE(CONTROL!$C$21, $C$9, 100%, $E$9)</f>
        <v>23.503699999999998</v>
      </c>
      <c r="R735" s="10">
        <f>CHOOSE(CONTROL!$C$42, 24.1495, 24.1495) * CHOOSE(CONTROL!$C$21, $C$9, 100%, $E$9)</f>
        <v>24.1495</v>
      </c>
      <c r="S735" s="10">
        <f>CHOOSE(CONTROL!$C$42, 22.4066, 22.4066) * CHOOSE(CONTROL!$C$21, $C$9, 100%, $E$9)</f>
        <v>22.406600000000001</v>
      </c>
      <c r="T7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38">
        <f>(1000*CHOOSE(CONTROL!$C$42, 695, 695)*CHOOSE(CONTROL!$C$42, 0.5599, 0.5599)*CHOOSE(CONTROL!$C$42, 31, 31))/1000000</f>
        <v>12.063045499999998</v>
      </c>
      <c r="V735" s="38">
        <f>(1000*CHOOSE(CONTROL!$C$42, 500, 500)*CHOOSE(CONTROL!$C$42, 0.275, 0.275)*CHOOSE(CONTROL!$C$42, 31, 31))/1000000</f>
        <v>4.2625000000000002</v>
      </c>
      <c r="W735" s="38">
        <f>(1000*CHOOSE(CONTROL!$C$42, 0.1146, 0.1146)*CHOOSE(CONTROL!$C$42, 121.5, 121.5)*CHOOSE(CONTROL!$C$42, 31, 31))/1000000</f>
        <v>0.43164089999999994</v>
      </c>
      <c r="X735" s="38">
        <f>(31*0.1790888*100000/1000000)+(31*0.2374*100000/1000000)</f>
        <v>1.2911152800000001</v>
      </c>
      <c r="Y735" s="38">
        <f>(1000*600*CHOOSE(CONTROL!$C$42, 1.0585, 1.0585)*CHOOSE(CONTROL!$C$42, 31, 31))/1000000</f>
        <v>19.688099999999999</v>
      </c>
      <c r="Z735" s="38"/>
      <c r="AA735" s="10"/>
      <c r="AB735" s="39"/>
      <c r="AC735" s="33">
        <f>(B735*122.58+C735*297.941+D735*89.177+E735*40.302+F735*40+G735*160+H735*0+I735*100+J735*300)/(122.58+297.941+89.177+40.302+0+40+160+100+300)</f>
        <v>23.073186783565216</v>
      </c>
      <c r="AD735" s="27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22.869801438848921</v>
      </c>
    </row>
    <row r="736" spans="1:30" ht="15.75" x14ac:dyDescent="0.25">
      <c r="A736" s="13">
        <v>63674</v>
      </c>
      <c r="B736" s="10">
        <f>CHOOSE(CONTROL!$C$42, 23.0073, 23.0073) * CHOOSE(CONTROL!$C$21, $C$9, 100%, $E$9)</f>
        <v>23.007300000000001</v>
      </c>
      <c r="C736" s="10">
        <f>CHOOSE(CONTROL!$C$42, 23.0117, 23.0117) * CHOOSE(CONTROL!$C$21, $C$9, 100%, $E$9)</f>
        <v>23.011700000000001</v>
      </c>
      <c r="D736" s="10">
        <f>CHOOSE(CONTROL!$C$42, 23.1918, 23.1918) * CHOOSE(CONTROL!$C$21, $C$9, 100%, $E$9)</f>
        <v>23.191800000000001</v>
      </c>
      <c r="E736" s="10">
        <f>CHOOSE(CONTROL!$C$42, 23.2236, 23.2236) * CHOOSE(CONTROL!$C$21, $C$9, 100%, $E$9)</f>
        <v>23.223600000000001</v>
      </c>
      <c r="F736" s="10">
        <f>CHOOSE(CONTROL!$C$42, 22.9726, 22.9726)*CHOOSE(CONTROL!$C$21, $C$9, 100%, $E$9)</f>
        <v>22.9726</v>
      </c>
      <c r="G736" s="10">
        <f>CHOOSE(CONTROL!$C$42, 22.9889, 22.9889)*CHOOSE(CONTROL!$C$21, $C$9, 100%, $E$9)</f>
        <v>22.988900000000001</v>
      </c>
      <c r="H736" s="10">
        <f>CHOOSE(CONTROL!$C$42, 23.2134, 23.2134) * CHOOSE(CONTROL!$C$21, $C$9, 100%, $E$9)</f>
        <v>23.2134</v>
      </c>
      <c r="I736" s="10">
        <f>CHOOSE(CONTROL!$C$42, 22.9933, 22.9933)* CHOOSE(CONTROL!$C$21, $C$9, 100%, $E$9)</f>
        <v>22.993300000000001</v>
      </c>
      <c r="J736" s="10">
        <f>CHOOSE(CONTROL!$C$42, 22.9656, 22.9656)* CHOOSE(CONTROL!$C$21, $C$9, 100%, $E$9)</f>
        <v>22.965599999999998</v>
      </c>
      <c r="K736" s="10">
        <f>CHOOSE(CONTROL!$C$42, 22.4756, 22.4756) * CHOOSE(CONTROL!$C$21, $C$9, 100%, $E$9)</f>
        <v>22.4756</v>
      </c>
      <c r="L736" s="10">
        <f>CHOOSE(CONTROL!$C$42, 23.8004, 23.8004) * CHOOSE(CONTROL!$C$21, $C$9, 100%, $E$9)</f>
        <v>23.8004</v>
      </c>
      <c r="M736" s="10">
        <f>CHOOSE(CONTROL!$C$42, 22.7477, 22.7477) * CHOOSE(CONTROL!$C$21, $C$9, 100%, $E$9)</f>
        <v>22.747699999999998</v>
      </c>
      <c r="N736" s="10">
        <f>CHOOSE(CONTROL!$C$42, 22.7638, 22.7638) * CHOOSE(CONTROL!$C$21, $C$9, 100%, $E$9)</f>
        <v>22.7638</v>
      </c>
      <c r="O736" s="10">
        <f>CHOOSE(CONTROL!$C$42, 22.9929, 22.9929) * CHOOSE(CONTROL!$C$21, $C$9, 100%, $E$9)</f>
        <v>22.992899999999999</v>
      </c>
      <c r="P736" s="10">
        <f>CHOOSE(CONTROL!$C$42, 22.7751, 22.7751) * CHOOSE(CONTROL!$C$21, $C$9, 100%, $E$9)</f>
        <v>22.775099999999998</v>
      </c>
      <c r="Q736" s="10">
        <f>CHOOSE(CONTROL!$C$42, 23.5882, 23.5882) * CHOOSE(CONTROL!$C$21, $C$9, 100%, $E$9)</f>
        <v>23.588200000000001</v>
      </c>
      <c r="R736" s="10">
        <f>CHOOSE(CONTROL!$C$42, 24.2342, 24.2342) * CHOOSE(CONTROL!$C$21, $C$9, 100%, $E$9)</f>
        <v>24.234200000000001</v>
      </c>
      <c r="S736" s="10">
        <f>CHOOSE(CONTROL!$C$42, 22.3395, 22.3395) * CHOOSE(CONTROL!$C$21, $C$9, 100%, $E$9)</f>
        <v>22.339500000000001</v>
      </c>
      <c r="T7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38">
        <f>(1000*CHOOSE(CONTROL!$C$42, 695, 695)*CHOOSE(CONTROL!$C$42, 0.5599, 0.5599)*CHOOSE(CONTROL!$C$42, 30, 30))/1000000</f>
        <v>11.673914999999997</v>
      </c>
      <c r="V736" s="38">
        <f>(1000*CHOOSE(CONTROL!$C$42, 500, 500)*CHOOSE(CONTROL!$C$42, 0.275, 0.275)*CHOOSE(CONTROL!$C$42, 30, 30))/1000000</f>
        <v>4.125</v>
      </c>
      <c r="W736" s="38">
        <f>(1000*CHOOSE(CONTROL!$C$42, 0.1146, 0.1146)*CHOOSE(CONTROL!$C$42, 121.5, 121.5)*CHOOSE(CONTROL!$C$42, 30, 30))/1000000</f>
        <v>0.417717</v>
      </c>
      <c r="X736" s="38">
        <f>(30*0.1790888*245000/1000000)+(30*0.2374*100000/1000000)</f>
        <v>2.0285026799999999</v>
      </c>
      <c r="Y736" s="38">
        <f>(1000*600*CHOOSE(CONTROL!$C$42, 1.0585, 1.0585)*CHOOSE(CONTROL!$C$42, 30, 30))/1000000</f>
        <v>19.053000000000001</v>
      </c>
      <c r="Z736" s="38"/>
      <c r="AA736" s="10"/>
      <c r="AB736" s="39"/>
      <c r="AC736" s="33">
        <f>(B736*141.293+C736*267.993+D736*115.016+E736*89.698+F736*40+G736*185+H736*0+I736*100+J736*300)/(141.293+267.993+115.016+89.698+0+40+185+100+300)</f>
        <v>23.025943501694911</v>
      </c>
      <c r="AD736" s="27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22.86370287769784</v>
      </c>
    </row>
    <row r="737" spans="1:30" ht="15.75" x14ac:dyDescent="0.25">
      <c r="A737" s="13">
        <v>63705</v>
      </c>
      <c r="B737" s="10">
        <f>CHOOSE(CONTROL!$C$42, 23.2121, 23.2121) * CHOOSE(CONTROL!$C$21, $C$9, 100%, $E$9)</f>
        <v>23.2121</v>
      </c>
      <c r="C737" s="10">
        <f>CHOOSE(CONTROL!$C$42, 23.22, 23.22) * CHOOSE(CONTROL!$C$21, $C$9, 100%, $E$9)</f>
        <v>23.22</v>
      </c>
      <c r="D737" s="10">
        <f>CHOOSE(CONTROL!$C$42, 23.397, 23.397) * CHOOSE(CONTROL!$C$21, $C$9, 100%, $E$9)</f>
        <v>23.396999999999998</v>
      </c>
      <c r="E737" s="10">
        <f>CHOOSE(CONTROL!$C$42, 23.4281, 23.4281) * CHOOSE(CONTROL!$C$21, $C$9, 100%, $E$9)</f>
        <v>23.428100000000001</v>
      </c>
      <c r="F737" s="10">
        <f>CHOOSE(CONTROL!$C$42, 23.1755, 23.1755)*CHOOSE(CONTROL!$C$21, $C$9, 100%, $E$9)</f>
        <v>23.1755</v>
      </c>
      <c r="G737" s="10">
        <f>CHOOSE(CONTROL!$C$42, 23.192, 23.192)*CHOOSE(CONTROL!$C$21, $C$9, 100%, $E$9)</f>
        <v>23.192</v>
      </c>
      <c r="H737" s="10">
        <f>CHOOSE(CONTROL!$C$42, 23.4168, 23.4168) * CHOOSE(CONTROL!$C$21, $C$9, 100%, $E$9)</f>
        <v>23.416799999999999</v>
      </c>
      <c r="I737" s="10">
        <f>CHOOSE(CONTROL!$C$42, 23.1967, 23.1967)* CHOOSE(CONTROL!$C$21, $C$9, 100%, $E$9)</f>
        <v>23.1967</v>
      </c>
      <c r="J737" s="10">
        <f>CHOOSE(CONTROL!$C$42, 23.1685, 23.1685)* CHOOSE(CONTROL!$C$21, $C$9, 100%, $E$9)</f>
        <v>23.168500000000002</v>
      </c>
      <c r="K737" s="10">
        <f>CHOOSE(CONTROL!$C$42, 22.672, 22.672) * CHOOSE(CONTROL!$C$21, $C$9, 100%, $E$9)</f>
        <v>22.672000000000001</v>
      </c>
      <c r="L737" s="10">
        <f>CHOOSE(CONTROL!$C$42, 24.0038, 24.0038) * CHOOSE(CONTROL!$C$21, $C$9, 100%, $E$9)</f>
        <v>24.003799999999998</v>
      </c>
      <c r="M737" s="10">
        <f>CHOOSE(CONTROL!$C$42, 22.9485, 22.9485) * CHOOSE(CONTROL!$C$21, $C$9, 100%, $E$9)</f>
        <v>22.948499999999999</v>
      </c>
      <c r="N737" s="10">
        <f>CHOOSE(CONTROL!$C$42, 22.9648, 22.9648) * CHOOSE(CONTROL!$C$21, $C$9, 100%, $E$9)</f>
        <v>22.9648</v>
      </c>
      <c r="O737" s="10">
        <f>CHOOSE(CONTROL!$C$42, 23.1943, 23.1943) * CHOOSE(CONTROL!$C$21, $C$9, 100%, $E$9)</f>
        <v>23.194299999999998</v>
      </c>
      <c r="P737" s="10">
        <f>CHOOSE(CONTROL!$C$42, 22.9765, 22.9765) * CHOOSE(CONTROL!$C$21, $C$9, 100%, $E$9)</f>
        <v>22.976500000000001</v>
      </c>
      <c r="Q737" s="10">
        <f>CHOOSE(CONTROL!$C$42, 23.7896, 23.7896) * CHOOSE(CONTROL!$C$21, $C$9, 100%, $E$9)</f>
        <v>23.7896</v>
      </c>
      <c r="R737" s="10">
        <f>CHOOSE(CONTROL!$C$42, 24.4361, 24.4361) * CHOOSE(CONTROL!$C$21, $C$9, 100%, $E$9)</f>
        <v>24.4361</v>
      </c>
      <c r="S737" s="10">
        <f>CHOOSE(CONTROL!$C$42, 22.537, 22.537) * CHOOSE(CONTROL!$C$21, $C$9, 100%, $E$9)</f>
        <v>22.536999999999999</v>
      </c>
      <c r="T7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38">
        <f>(1000*CHOOSE(CONTROL!$C$42, 695, 695)*CHOOSE(CONTROL!$C$42, 0.5599, 0.5599)*CHOOSE(CONTROL!$C$42, 31, 31))/1000000</f>
        <v>12.063045499999998</v>
      </c>
      <c r="V737" s="38">
        <f>(1000*CHOOSE(CONTROL!$C$42, 500, 500)*CHOOSE(CONTROL!$C$42, 0.275, 0.275)*CHOOSE(CONTROL!$C$42, 31, 31))/1000000</f>
        <v>4.2625000000000002</v>
      </c>
      <c r="W737" s="38">
        <f>(1000*CHOOSE(CONTROL!$C$42, 0.1146, 0.1146)*CHOOSE(CONTROL!$C$42, 121.5, 121.5)*CHOOSE(CONTROL!$C$42, 31, 31))/1000000</f>
        <v>0.43164089999999994</v>
      </c>
      <c r="X737" s="38">
        <f>(31*0.1790888*245000/1000000)+(31*0.2374*100000/1000000)</f>
        <v>2.0961194359999999</v>
      </c>
      <c r="Y737" s="38">
        <f>(1000*600*CHOOSE(CONTROL!$C$42, 1.0585, 1.0585)*CHOOSE(CONTROL!$C$42, 31, 31))/1000000</f>
        <v>19.688099999999999</v>
      </c>
      <c r="Z737" s="38"/>
      <c r="AA737" s="10"/>
      <c r="AB737" s="39"/>
      <c r="AC737" s="33">
        <f>(B737*194.205+C737*267.466+D737*133.845+E737*53.484+F737*40+G737*185+H737*0+I737*100+J737*300)/(194.205+267.466+133.845+53.484+0+40+185+100+300)</f>
        <v>23.226708293485089</v>
      </c>
      <c r="AD737" s="27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23.064872661870503</v>
      </c>
    </row>
    <row r="738" spans="1:30" ht="15.75" x14ac:dyDescent="0.25">
      <c r="A738" s="13">
        <v>63735</v>
      </c>
      <c r="B738" s="10">
        <f>CHOOSE(CONTROL!$C$42, 23.8704, 23.8704) * CHOOSE(CONTROL!$C$21, $C$9, 100%, $E$9)</f>
        <v>23.8704</v>
      </c>
      <c r="C738" s="10">
        <f>CHOOSE(CONTROL!$C$42, 23.8783, 23.8783) * CHOOSE(CONTROL!$C$21, $C$9, 100%, $E$9)</f>
        <v>23.878299999999999</v>
      </c>
      <c r="D738" s="10">
        <f>CHOOSE(CONTROL!$C$42, 24.0553, 24.0553) * CHOOSE(CONTROL!$C$21, $C$9, 100%, $E$9)</f>
        <v>24.055299999999999</v>
      </c>
      <c r="E738" s="10">
        <f>CHOOSE(CONTROL!$C$42, 24.0864, 24.0864) * CHOOSE(CONTROL!$C$21, $C$9, 100%, $E$9)</f>
        <v>24.086400000000001</v>
      </c>
      <c r="F738" s="10">
        <f>CHOOSE(CONTROL!$C$42, 23.8339, 23.8339)*CHOOSE(CONTROL!$C$21, $C$9, 100%, $E$9)</f>
        <v>23.8339</v>
      </c>
      <c r="G738" s="10">
        <f>CHOOSE(CONTROL!$C$42, 23.8505, 23.8505)*CHOOSE(CONTROL!$C$21, $C$9, 100%, $E$9)</f>
        <v>23.8505</v>
      </c>
      <c r="H738" s="10">
        <f>CHOOSE(CONTROL!$C$42, 24.0751, 24.0751) * CHOOSE(CONTROL!$C$21, $C$9, 100%, $E$9)</f>
        <v>24.075099999999999</v>
      </c>
      <c r="I738" s="10">
        <f>CHOOSE(CONTROL!$C$42, 23.855, 23.855)* CHOOSE(CONTROL!$C$21, $C$9, 100%, $E$9)</f>
        <v>23.855</v>
      </c>
      <c r="J738" s="10">
        <f>CHOOSE(CONTROL!$C$42, 23.8269, 23.8269)* CHOOSE(CONTROL!$C$21, $C$9, 100%, $E$9)</f>
        <v>23.826899999999998</v>
      </c>
      <c r="K738" s="10">
        <f>CHOOSE(CONTROL!$C$42, 23.312, 23.312) * CHOOSE(CONTROL!$C$21, $C$9, 100%, $E$9)</f>
        <v>23.312000000000001</v>
      </c>
      <c r="L738" s="10">
        <f>CHOOSE(CONTROL!$C$42, 24.6621, 24.6621) * CHOOSE(CONTROL!$C$21, $C$9, 100%, $E$9)</f>
        <v>24.662099999999999</v>
      </c>
      <c r="M738" s="10">
        <f>CHOOSE(CONTROL!$C$42, 23.6003, 23.6003) * CHOOSE(CONTROL!$C$21, $C$9, 100%, $E$9)</f>
        <v>23.600300000000001</v>
      </c>
      <c r="N738" s="10">
        <f>CHOOSE(CONTROL!$C$42, 23.6167, 23.6167) * CHOOSE(CONTROL!$C$21, $C$9, 100%, $E$9)</f>
        <v>23.616700000000002</v>
      </c>
      <c r="O738" s="10">
        <f>CHOOSE(CONTROL!$C$42, 23.8459, 23.8459) * CHOOSE(CONTROL!$C$21, $C$9, 100%, $E$9)</f>
        <v>23.8459</v>
      </c>
      <c r="P738" s="10">
        <f>CHOOSE(CONTROL!$C$42, 23.6281, 23.6281) * CHOOSE(CONTROL!$C$21, $C$9, 100%, $E$9)</f>
        <v>23.6281</v>
      </c>
      <c r="Q738" s="10">
        <f>CHOOSE(CONTROL!$C$42, 24.4412, 24.4412) * CHOOSE(CONTROL!$C$21, $C$9, 100%, $E$9)</f>
        <v>24.441199999999998</v>
      </c>
      <c r="R738" s="10">
        <f>CHOOSE(CONTROL!$C$42, 25.0893, 25.0893) * CHOOSE(CONTROL!$C$21, $C$9, 100%, $E$9)</f>
        <v>25.089300000000001</v>
      </c>
      <c r="S738" s="10">
        <f>CHOOSE(CONTROL!$C$42, 23.1763, 23.1763) * CHOOSE(CONTROL!$C$21, $C$9, 100%, $E$9)</f>
        <v>23.176300000000001</v>
      </c>
      <c r="T7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38">
        <f>(1000*CHOOSE(CONTROL!$C$42, 695, 695)*CHOOSE(CONTROL!$C$42, 0.5599, 0.5599)*CHOOSE(CONTROL!$C$42, 30, 30))/1000000</f>
        <v>11.673914999999997</v>
      </c>
      <c r="V738" s="38">
        <f>(1000*CHOOSE(CONTROL!$C$42, 500, 500)*CHOOSE(CONTROL!$C$42, 0.275, 0.275)*CHOOSE(CONTROL!$C$42, 30, 30))/1000000</f>
        <v>4.125</v>
      </c>
      <c r="W738" s="38">
        <f>(1000*CHOOSE(CONTROL!$C$42, 0.1146, 0.1146)*CHOOSE(CONTROL!$C$42, 121.5, 121.5)*CHOOSE(CONTROL!$C$42, 30, 30))/1000000</f>
        <v>0.417717</v>
      </c>
      <c r="X738" s="38">
        <f>(30*0.1790888*245000/1000000)+(30*0.2374*100000/1000000)</f>
        <v>2.0285026799999999</v>
      </c>
      <c r="Y738" s="38">
        <f>(1000*600*CHOOSE(CONTROL!$C$42, 1.0585, 1.0585)*CHOOSE(CONTROL!$C$42, 30, 30))/1000000</f>
        <v>19.053000000000001</v>
      </c>
      <c r="Z738" s="38"/>
      <c r="AA738" s="10"/>
      <c r="AB738" s="39"/>
      <c r="AC738" s="33">
        <f>(B738*194.205+C738*267.466+D738*133.845+E738*53.484+F738*40+G738*185+H738*0+I738*100+J738*300)/(194.205+267.466+133.845+53.484+0+40+185+100+300)</f>
        <v>23.88506402346939</v>
      </c>
      <c r="AD738" s="27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23.716558992805755</v>
      </c>
    </row>
    <row r="739" spans="1:30" ht="15.75" x14ac:dyDescent="0.25">
      <c r="A739" s="13">
        <v>63766</v>
      </c>
      <c r="B739" s="10">
        <f>CHOOSE(CONTROL!$C$42, 23.4125, 23.4125) * CHOOSE(CONTROL!$C$21, $C$9, 100%, $E$9)</f>
        <v>23.412500000000001</v>
      </c>
      <c r="C739" s="10">
        <f>CHOOSE(CONTROL!$C$42, 23.4205, 23.4205) * CHOOSE(CONTROL!$C$21, $C$9, 100%, $E$9)</f>
        <v>23.420500000000001</v>
      </c>
      <c r="D739" s="10">
        <f>CHOOSE(CONTROL!$C$42, 23.5975, 23.5975) * CHOOSE(CONTROL!$C$21, $C$9, 100%, $E$9)</f>
        <v>23.5975</v>
      </c>
      <c r="E739" s="10">
        <f>CHOOSE(CONTROL!$C$42, 23.6286, 23.6286) * CHOOSE(CONTROL!$C$21, $C$9, 100%, $E$9)</f>
        <v>23.628599999999999</v>
      </c>
      <c r="F739" s="10">
        <f>CHOOSE(CONTROL!$C$42, 23.3763, 23.3763)*CHOOSE(CONTROL!$C$21, $C$9, 100%, $E$9)</f>
        <v>23.376300000000001</v>
      </c>
      <c r="G739" s="10">
        <f>CHOOSE(CONTROL!$C$42, 23.3929, 23.3929)*CHOOSE(CONTROL!$C$21, $C$9, 100%, $E$9)</f>
        <v>23.392900000000001</v>
      </c>
      <c r="H739" s="10">
        <f>CHOOSE(CONTROL!$C$42, 23.6172, 23.6172) * CHOOSE(CONTROL!$C$21, $C$9, 100%, $E$9)</f>
        <v>23.6172</v>
      </c>
      <c r="I739" s="10">
        <f>CHOOSE(CONTROL!$C$42, 23.3971, 23.3971)* CHOOSE(CONTROL!$C$21, $C$9, 100%, $E$9)</f>
        <v>23.397099999999998</v>
      </c>
      <c r="J739" s="10">
        <f>CHOOSE(CONTROL!$C$42, 23.3693, 23.3693)* CHOOSE(CONTROL!$C$21, $C$9, 100%, $E$9)</f>
        <v>23.369299999999999</v>
      </c>
      <c r="K739" s="10">
        <f>CHOOSE(CONTROL!$C$42, 22.8677, 22.8677) * CHOOSE(CONTROL!$C$21, $C$9, 100%, $E$9)</f>
        <v>22.867699999999999</v>
      </c>
      <c r="L739" s="10">
        <f>CHOOSE(CONTROL!$C$42, 24.2042, 24.2042) * CHOOSE(CONTROL!$C$21, $C$9, 100%, $E$9)</f>
        <v>24.2042</v>
      </c>
      <c r="M739" s="10">
        <f>CHOOSE(CONTROL!$C$42, 23.1473, 23.1473) * CHOOSE(CONTROL!$C$21, $C$9, 100%, $E$9)</f>
        <v>23.147300000000001</v>
      </c>
      <c r="N739" s="10">
        <f>CHOOSE(CONTROL!$C$42, 23.1638, 23.1638) * CHOOSE(CONTROL!$C$21, $C$9, 100%, $E$9)</f>
        <v>23.163799999999998</v>
      </c>
      <c r="O739" s="10">
        <f>CHOOSE(CONTROL!$C$42, 23.3927, 23.3927) * CHOOSE(CONTROL!$C$21, $C$9, 100%, $E$9)</f>
        <v>23.392700000000001</v>
      </c>
      <c r="P739" s="10">
        <f>CHOOSE(CONTROL!$C$42, 23.1749, 23.1749) * CHOOSE(CONTROL!$C$21, $C$9, 100%, $E$9)</f>
        <v>23.174900000000001</v>
      </c>
      <c r="Q739" s="10">
        <f>CHOOSE(CONTROL!$C$42, 23.988, 23.988) * CHOOSE(CONTROL!$C$21, $C$9, 100%, $E$9)</f>
        <v>23.988</v>
      </c>
      <c r="R739" s="10">
        <f>CHOOSE(CONTROL!$C$42, 24.635, 24.635) * CHOOSE(CONTROL!$C$21, $C$9, 100%, $E$9)</f>
        <v>24.635000000000002</v>
      </c>
      <c r="S739" s="10">
        <f>CHOOSE(CONTROL!$C$42, 22.7317, 22.7317) * CHOOSE(CONTROL!$C$21, $C$9, 100%, $E$9)</f>
        <v>22.7317</v>
      </c>
      <c r="T7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38">
        <f>(1000*CHOOSE(CONTROL!$C$42, 695, 695)*CHOOSE(CONTROL!$C$42, 0.5599, 0.5599)*CHOOSE(CONTROL!$C$42, 31, 31))/1000000</f>
        <v>12.063045499999998</v>
      </c>
      <c r="V739" s="38">
        <f>(1000*CHOOSE(CONTROL!$C$42, 500, 500)*CHOOSE(CONTROL!$C$42, 0.275, 0.275)*CHOOSE(CONTROL!$C$42, 31, 31))/1000000</f>
        <v>4.2625000000000002</v>
      </c>
      <c r="W739" s="38">
        <f>(1000*CHOOSE(CONTROL!$C$42, 0.1146, 0.1146)*CHOOSE(CONTROL!$C$42, 121.5, 121.5)*CHOOSE(CONTROL!$C$42, 31, 31))/1000000</f>
        <v>0.43164089999999994</v>
      </c>
      <c r="X739" s="38">
        <f>(31*0.1790888*245000/1000000)+(31*0.2374*100000/1000000)</f>
        <v>2.0961194359999999</v>
      </c>
      <c r="Y739" s="38">
        <f>(1000*600*CHOOSE(CONTROL!$C$42, 1.0585, 1.0585)*CHOOSE(CONTROL!$C$42, 31, 31))/1000000</f>
        <v>19.688099999999999</v>
      </c>
      <c r="Z739" s="38"/>
      <c r="AA739" s="10"/>
      <c r="AB739" s="39"/>
      <c r="AC739" s="33">
        <f>(B739*194.205+C739*267.466+D739*133.845+E739*53.484+F739*40+G739*185+H739*0+I739*100+J739*300)/(194.205+267.466+133.845+53.484+0+40+185+100+300)</f>
        <v>23.427323348037675</v>
      </c>
      <c r="AD739" s="27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23.26344532374101</v>
      </c>
    </row>
    <row r="740" spans="1:30" ht="15.75" x14ac:dyDescent="0.25">
      <c r="A740" s="13">
        <v>63797</v>
      </c>
      <c r="B740" s="10">
        <f>CHOOSE(CONTROL!$C$42, 22.2563, 22.2563) * CHOOSE(CONTROL!$C$21, $C$9, 100%, $E$9)</f>
        <v>22.2563</v>
      </c>
      <c r="C740" s="10">
        <f>CHOOSE(CONTROL!$C$42, 22.2643, 22.2643) * CHOOSE(CONTROL!$C$21, $C$9, 100%, $E$9)</f>
        <v>22.264299999999999</v>
      </c>
      <c r="D740" s="10">
        <f>CHOOSE(CONTROL!$C$42, 22.4413, 22.4413) * CHOOSE(CONTROL!$C$21, $C$9, 100%, $E$9)</f>
        <v>22.441299999999998</v>
      </c>
      <c r="E740" s="10">
        <f>CHOOSE(CONTROL!$C$42, 22.4724, 22.4724) * CHOOSE(CONTROL!$C$21, $C$9, 100%, $E$9)</f>
        <v>22.4724</v>
      </c>
      <c r="F740" s="10">
        <f>CHOOSE(CONTROL!$C$42, 22.2202, 22.2202)*CHOOSE(CONTROL!$C$21, $C$9, 100%, $E$9)</f>
        <v>22.220199999999998</v>
      </c>
      <c r="G740" s="10">
        <f>CHOOSE(CONTROL!$C$42, 22.2368, 22.2368)*CHOOSE(CONTROL!$C$21, $C$9, 100%, $E$9)</f>
        <v>22.236799999999999</v>
      </c>
      <c r="H740" s="10">
        <f>CHOOSE(CONTROL!$C$42, 22.461, 22.461) * CHOOSE(CONTROL!$C$21, $C$9, 100%, $E$9)</f>
        <v>22.460999999999999</v>
      </c>
      <c r="I740" s="10">
        <f>CHOOSE(CONTROL!$C$42, 22.2409, 22.2409)* CHOOSE(CONTROL!$C$21, $C$9, 100%, $E$9)</f>
        <v>22.2409</v>
      </c>
      <c r="J740" s="10">
        <f>CHOOSE(CONTROL!$C$42, 22.2132, 22.2132)* CHOOSE(CONTROL!$C$21, $C$9, 100%, $E$9)</f>
        <v>22.213200000000001</v>
      </c>
      <c r="K740" s="10">
        <f>CHOOSE(CONTROL!$C$42, 21.7445, 21.7445) * CHOOSE(CONTROL!$C$21, $C$9, 100%, $E$9)</f>
        <v>21.744499999999999</v>
      </c>
      <c r="L740" s="10">
        <f>CHOOSE(CONTROL!$C$42, 23.048, 23.048) * CHOOSE(CONTROL!$C$21, $C$9, 100%, $E$9)</f>
        <v>23.047999999999998</v>
      </c>
      <c r="M740" s="10">
        <f>CHOOSE(CONTROL!$C$42, 22.0028, 22.0028) * CHOOSE(CONTROL!$C$21, $C$9, 100%, $E$9)</f>
        <v>22.002800000000001</v>
      </c>
      <c r="N740" s="10">
        <f>CHOOSE(CONTROL!$C$42, 22.0193, 22.0193) * CHOOSE(CONTROL!$C$21, $C$9, 100%, $E$9)</f>
        <v>22.019300000000001</v>
      </c>
      <c r="O740" s="10">
        <f>CHOOSE(CONTROL!$C$42, 22.2482, 22.2482) * CHOOSE(CONTROL!$C$21, $C$9, 100%, $E$9)</f>
        <v>22.248200000000001</v>
      </c>
      <c r="P740" s="10">
        <f>CHOOSE(CONTROL!$C$42, 22.0304, 22.0304) * CHOOSE(CONTROL!$C$21, $C$9, 100%, $E$9)</f>
        <v>22.0304</v>
      </c>
      <c r="Q740" s="10">
        <f>CHOOSE(CONTROL!$C$42, 22.8435, 22.8435) * CHOOSE(CONTROL!$C$21, $C$9, 100%, $E$9)</f>
        <v>22.843499999999999</v>
      </c>
      <c r="R740" s="10">
        <f>CHOOSE(CONTROL!$C$42, 23.4876, 23.4876) * CHOOSE(CONTROL!$C$21, $C$9, 100%, $E$9)</f>
        <v>23.4876</v>
      </c>
      <c r="S740" s="10">
        <f>CHOOSE(CONTROL!$C$42, 21.6089, 21.6089) * CHOOSE(CONTROL!$C$21, $C$9, 100%, $E$9)</f>
        <v>21.608899999999998</v>
      </c>
      <c r="T7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38">
        <f>(1000*CHOOSE(CONTROL!$C$42, 695, 695)*CHOOSE(CONTROL!$C$42, 0.5599, 0.5599)*CHOOSE(CONTROL!$C$42, 31, 31))/1000000</f>
        <v>12.063045499999998</v>
      </c>
      <c r="V740" s="38">
        <f>(1000*CHOOSE(CONTROL!$C$42, 500, 500)*CHOOSE(CONTROL!$C$42, 0.275, 0.275)*CHOOSE(CONTROL!$C$42, 31, 31))/1000000</f>
        <v>4.2625000000000002</v>
      </c>
      <c r="W740" s="38">
        <f>(1000*CHOOSE(CONTROL!$C$42, 0.1146, 0.1146)*CHOOSE(CONTROL!$C$42, 121.5, 121.5)*CHOOSE(CONTROL!$C$42, 31, 31))/1000000</f>
        <v>0.43164089999999994</v>
      </c>
      <c r="X740" s="38">
        <f>(31*0.1790888*245000/1000000)+(31*0.2374*100000/1000000)</f>
        <v>2.0961194359999999</v>
      </c>
      <c r="Y740" s="38">
        <f>(1000*600*CHOOSE(CONTROL!$C$42, 1.0585, 1.0585)*CHOOSE(CONTROL!$C$42, 31, 31))/1000000</f>
        <v>19.688099999999999</v>
      </c>
      <c r="Z740" s="38"/>
      <c r="AA740" s="10"/>
      <c r="AB740" s="39"/>
      <c r="AC740" s="33">
        <f>(B740*194.205+C740*267.466+D740*133.845+E740*53.484+F740*40+G740*185+H740*0+I740*100+J740*300)/(194.205+267.466+133.845+53.484+0+40+185+100+300)</f>
        <v>22.271164556828886</v>
      </c>
      <c r="AD740" s="27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22.118945323741009</v>
      </c>
    </row>
    <row r="741" spans="1:30" ht="15.75" x14ac:dyDescent="0.25">
      <c r="A741" s="13">
        <v>63827</v>
      </c>
      <c r="B741" s="10">
        <f>CHOOSE(CONTROL!$C$42, 20.8437, 20.8437) * CHOOSE(CONTROL!$C$21, $C$9, 100%, $E$9)</f>
        <v>20.843699999999998</v>
      </c>
      <c r="C741" s="10">
        <f>CHOOSE(CONTROL!$C$42, 20.8516, 20.8516) * CHOOSE(CONTROL!$C$21, $C$9, 100%, $E$9)</f>
        <v>20.851600000000001</v>
      </c>
      <c r="D741" s="10">
        <f>CHOOSE(CONTROL!$C$42, 21.0286, 21.0286) * CHOOSE(CONTROL!$C$21, $C$9, 100%, $E$9)</f>
        <v>21.028600000000001</v>
      </c>
      <c r="E741" s="10">
        <f>CHOOSE(CONTROL!$C$42, 21.0597, 21.0597) * CHOOSE(CONTROL!$C$21, $C$9, 100%, $E$9)</f>
        <v>21.059699999999999</v>
      </c>
      <c r="F741" s="10">
        <f>CHOOSE(CONTROL!$C$42, 20.8073, 20.8073)*CHOOSE(CONTROL!$C$21, $C$9, 100%, $E$9)</f>
        <v>20.807300000000001</v>
      </c>
      <c r="G741" s="10">
        <f>CHOOSE(CONTROL!$C$42, 20.8238, 20.8238)*CHOOSE(CONTROL!$C$21, $C$9, 100%, $E$9)</f>
        <v>20.823799999999999</v>
      </c>
      <c r="H741" s="10">
        <f>CHOOSE(CONTROL!$C$42, 21.0484, 21.0484) * CHOOSE(CONTROL!$C$21, $C$9, 100%, $E$9)</f>
        <v>21.048400000000001</v>
      </c>
      <c r="I741" s="10">
        <f>CHOOSE(CONTROL!$C$42, 20.8283, 20.8283)* CHOOSE(CONTROL!$C$21, $C$9, 100%, $E$9)</f>
        <v>20.828299999999999</v>
      </c>
      <c r="J741" s="10">
        <f>CHOOSE(CONTROL!$C$42, 20.8003, 20.8003)* CHOOSE(CONTROL!$C$21, $C$9, 100%, $E$9)</f>
        <v>20.8003</v>
      </c>
      <c r="K741" s="10">
        <f>CHOOSE(CONTROL!$C$42, 20.3714, 20.3714) * CHOOSE(CONTROL!$C$21, $C$9, 100%, $E$9)</f>
        <v>20.371400000000001</v>
      </c>
      <c r="L741" s="10">
        <f>CHOOSE(CONTROL!$C$42, 21.6354, 21.6354) * CHOOSE(CONTROL!$C$21, $C$9, 100%, $E$9)</f>
        <v>21.635400000000001</v>
      </c>
      <c r="M741" s="10">
        <f>CHOOSE(CONTROL!$C$42, 20.6042, 20.6042) * CHOOSE(CONTROL!$C$21, $C$9, 100%, $E$9)</f>
        <v>20.604199999999999</v>
      </c>
      <c r="N741" s="10">
        <f>CHOOSE(CONTROL!$C$42, 20.6206, 20.6206) * CHOOSE(CONTROL!$C$21, $C$9, 100%, $E$9)</f>
        <v>20.6206</v>
      </c>
      <c r="O741" s="10">
        <f>CHOOSE(CONTROL!$C$42, 20.8498, 20.8498) * CHOOSE(CONTROL!$C$21, $C$9, 100%, $E$9)</f>
        <v>20.849799999999998</v>
      </c>
      <c r="P741" s="10">
        <f>CHOOSE(CONTROL!$C$42, 20.632, 20.632) * CHOOSE(CONTROL!$C$21, $C$9, 100%, $E$9)</f>
        <v>20.632000000000001</v>
      </c>
      <c r="Q741" s="10">
        <f>CHOOSE(CONTROL!$C$42, 21.4451, 21.4451) * CHOOSE(CONTROL!$C$21, $C$9, 100%, $E$9)</f>
        <v>21.4451</v>
      </c>
      <c r="R741" s="10">
        <f>CHOOSE(CONTROL!$C$42, 22.0857, 22.0857) * CHOOSE(CONTROL!$C$21, $C$9, 100%, $E$9)</f>
        <v>22.085699999999999</v>
      </c>
      <c r="S741" s="10">
        <f>CHOOSE(CONTROL!$C$42, 20.2371, 20.2371) * CHOOSE(CONTROL!$C$21, $C$9, 100%, $E$9)</f>
        <v>20.237100000000002</v>
      </c>
      <c r="T7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38">
        <f>(1000*CHOOSE(CONTROL!$C$42, 695, 695)*CHOOSE(CONTROL!$C$42, 0.5599, 0.5599)*CHOOSE(CONTROL!$C$42, 30, 30))/1000000</f>
        <v>11.673914999999997</v>
      </c>
      <c r="V741" s="38">
        <f>(1000*CHOOSE(CONTROL!$C$42, 500, 500)*CHOOSE(CONTROL!$C$42, 0.275, 0.275)*CHOOSE(CONTROL!$C$42, 30, 30))/1000000</f>
        <v>4.125</v>
      </c>
      <c r="W741" s="38">
        <f>(1000*CHOOSE(CONTROL!$C$42, 0.1146, 0.1146)*CHOOSE(CONTROL!$C$42, 121.5, 121.5)*CHOOSE(CONTROL!$C$42, 30, 30))/1000000</f>
        <v>0.417717</v>
      </c>
      <c r="X741" s="38">
        <f>(30*0.1790888*245000/1000000)+(30*0.2374*100000/1000000)</f>
        <v>2.0285026799999999</v>
      </c>
      <c r="Y741" s="38">
        <f>(1000*600*CHOOSE(CONTROL!$C$42, 1.0585, 1.0585)*CHOOSE(CONTROL!$C$42, 30, 30))/1000000</f>
        <v>19.053000000000001</v>
      </c>
      <c r="Z741" s="38"/>
      <c r="AA741" s="10"/>
      <c r="AB741" s="39"/>
      <c r="AC741" s="33">
        <f>(B741*194.205+C741*267.466+D741*133.845+E741*53.484+F741*40+G741*185+H741*0+I741*100+J741*300)/(194.205+267.466+133.845+53.484+0+40+185+100+300)</f>
        <v>20.858390711067504</v>
      </c>
      <c r="AD741" s="27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20.720458992805757</v>
      </c>
    </row>
    <row r="742" spans="1:30" ht="15.75" x14ac:dyDescent="0.25">
      <c r="A742" s="13">
        <v>63858</v>
      </c>
      <c r="B742" s="10">
        <f>CHOOSE(CONTROL!$C$42, 20.4184, 20.4184) * CHOOSE(CONTROL!$C$21, $C$9, 100%, $E$9)</f>
        <v>20.418399999999998</v>
      </c>
      <c r="C742" s="10">
        <f>CHOOSE(CONTROL!$C$42, 20.4237, 20.4237) * CHOOSE(CONTROL!$C$21, $C$9, 100%, $E$9)</f>
        <v>20.4237</v>
      </c>
      <c r="D742" s="10">
        <f>CHOOSE(CONTROL!$C$42, 20.6056, 20.6056) * CHOOSE(CONTROL!$C$21, $C$9, 100%, $E$9)</f>
        <v>20.605599999999999</v>
      </c>
      <c r="E742" s="10">
        <f>CHOOSE(CONTROL!$C$42, 20.6344, 20.6344) * CHOOSE(CONTROL!$C$21, $C$9, 100%, $E$9)</f>
        <v>20.634399999999999</v>
      </c>
      <c r="F742" s="10">
        <f>CHOOSE(CONTROL!$C$42, 20.3841, 20.3841)*CHOOSE(CONTROL!$C$21, $C$9, 100%, $E$9)</f>
        <v>20.3841</v>
      </c>
      <c r="G742" s="10">
        <f>CHOOSE(CONTROL!$C$42, 20.4003, 20.4003)*CHOOSE(CONTROL!$C$21, $C$9, 100%, $E$9)</f>
        <v>20.400300000000001</v>
      </c>
      <c r="H742" s="10">
        <f>CHOOSE(CONTROL!$C$42, 20.6249, 20.6249) * CHOOSE(CONTROL!$C$21, $C$9, 100%, $E$9)</f>
        <v>20.6249</v>
      </c>
      <c r="I742" s="10">
        <f>CHOOSE(CONTROL!$C$42, 20.4048, 20.4048)* CHOOSE(CONTROL!$C$21, $C$9, 100%, $E$9)</f>
        <v>20.404800000000002</v>
      </c>
      <c r="J742" s="10">
        <f>CHOOSE(CONTROL!$C$42, 20.3771, 20.3771)* CHOOSE(CONTROL!$C$21, $C$9, 100%, $E$9)</f>
        <v>20.377099999999999</v>
      </c>
      <c r="K742" s="10">
        <f>CHOOSE(CONTROL!$C$42, 19.9605, 19.9605) * CHOOSE(CONTROL!$C$21, $C$9, 100%, $E$9)</f>
        <v>19.9605</v>
      </c>
      <c r="L742" s="10">
        <f>CHOOSE(CONTROL!$C$42, 21.2119, 21.2119) * CHOOSE(CONTROL!$C$21, $C$9, 100%, $E$9)</f>
        <v>21.2119</v>
      </c>
      <c r="M742" s="10">
        <f>CHOOSE(CONTROL!$C$42, 20.1852, 20.1852) * CHOOSE(CONTROL!$C$21, $C$9, 100%, $E$9)</f>
        <v>20.185199999999998</v>
      </c>
      <c r="N742" s="10">
        <f>CHOOSE(CONTROL!$C$42, 20.2013, 20.2013) * CHOOSE(CONTROL!$C$21, $C$9, 100%, $E$9)</f>
        <v>20.2013</v>
      </c>
      <c r="O742" s="10">
        <f>CHOOSE(CONTROL!$C$42, 20.4306, 20.4306) * CHOOSE(CONTROL!$C$21, $C$9, 100%, $E$9)</f>
        <v>20.430599999999998</v>
      </c>
      <c r="P742" s="10">
        <f>CHOOSE(CONTROL!$C$42, 20.2127, 20.2127) * CHOOSE(CONTROL!$C$21, $C$9, 100%, $E$9)</f>
        <v>20.212700000000002</v>
      </c>
      <c r="Q742" s="10">
        <f>CHOOSE(CONTROL!$C$42, 21.0259, 21.0259) * CHOOSE(CONTROL!$C$21, $C$9, 100%, $E$9)</f>
        <v>21.0259</v>
      </c>
      <c r="R742" s="10">
        <f>CHOOSE(CONTROL!$C$42, 21.6654, 21.6654) * CHOOSE(CONTROL!$C$21, $C$9, 100%, $E$9)</f>
        <v>21.665400000000002</v>
      </c>
      <c r="S742" s="10">
        <f>CHOOSE(CONTROL!$C$42, 19.8258, 19.8258) * CHOOSE(CONTROL!$C$21, $C$9, 100%, $E$9)</f>
        <v>19.825800000000001</v>
      </c>
      <c r="T7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38">
        <f>(1000*CHOOSE(CONTROL!$C$42, 695, 695)*CHOOSE(CONTROL!$C$42, 0.5599, 0.5599)*CHOOSE(CONTROL!$C$42, 31, 31))/1000000</f>
        <v>12.063045499999998</v>
      </c>
      <c r="V742" s="38">
        <f>(1000*CHOOSE(CONTROL!$C$42, 500, 500)*CHOOSE(CONTROL!$C$42, 0.275, 0.275)*CHOOSE(CONTROL!$C$42, 31, 31))/1000000</f>
        <v>4.2625000000000002</v>
      </c>
      <c r="W742" s="38">
        <f>(1000*CHOOSE(CONTROL!$C$42, 0.1146, 0.1146)*CHOOSE(CONTROL!$C$42, 121.5, 121.5)*CHOOSE(CONTROL!$C$42, 31, 31))/1000000</f>
        <v>0.43164089999999994</v>
      </c>
      <c r="X742" s="38">
        <f>(31*0.1790888*245000/1000000)+(31*0.2374*100000/1000000)</f>
        <v>2.0961194359999999</v>
      </c>
      <c r="Y742" s="38">
        <f>(1000*600*CHOOSE(CONTROL!$C$42, 1.0585, 1.0585)*CHOOSE(CONTROL!$C$42, 31, 31))/1000000</f>
        <v>19.688099999999999</v>
      </c>
      <c r="Z742" s="38"/>
      <c r="AA742" s="10"/>
      <c r="AB742" s="39"/>
      <c r="AC742" s="33">
        <f>(B742*131.881+C742*277.167+D742*79.08+E742*125.872+F742*40+G742*185+H742*0+I742*100+J742*300)/(131.881+277.167+79.08+125.872+0+40+185+100+300)</f>
        <v>20.438569986359965</v>
      </c>
      <c r="AD742" s="27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20.301307913669064</v>
      </c>
    </row>
    <row r="743" spans="1:30" ht="15.75" x14ac:dyDescent="0.25">
      <c r="A743" s="13">
        <v>63888</v>
      </c>
      <c r="B743" s="10">
        <f>CHOOSE(CONTROL!$C$42, 20.9559, 20.9559) * CHOOSE(CONTROL!$C$21, $C$9, 100%, $E$9)</f>
        <v>20.9559</v>
      </c>
      <c r="C743" s="10">
        <f>CHOOSE(CONTROL!$C$42, 20.9608, 20.9608) * CHOOSE(CONTROL!$C$21, $C$9, 100%, $E$9)</f>
        <v>20.960799999999999</v>
      </c>
      <c r="D743" s="10">
        <f>CHOOSE(CONTROL!$C$42, 20.9853, 20.9853) * CHOOSE(CONTROL!$C$21, $C$9, 100%, $E$9)</f>
        <v>20.985299999999999</v>
      </c>
      <c r="E743" s="10">
        <f>CHOOSE(CONTROL!$C$42, 21.019, 21.019) * CHOOSE(CONTROL!$C$21, $C$9, 100%, $E$9)</f>
        <v>21.018999999999998</v>
      </c>
      <c r="F743" s="10">
        <f>CHOOSE(CONTROL!$C$42, 20.9252, 20.9252)*CHOOSE(CONTROL!$C$21, $C$9, 100%, $E$9)</f>
        <v>20.9252</v>
      </c>
      <c r="G743" s="10">
        <f>CHOOSE(CONTROL!$C$42, 20.9416, 20.9416)*CHOOSE(CONTROL!$C$21, $C$9, 100%, $E$9)</f>
        <v>20.941600000000001</v>
      </c>
      <c r="H743" s="10">
        <f>CHOOSE(CONTROL!$C$42, 21.0082, 21.0082) * CHOOSE(CONTROL!$C$21, $C$9, 100%, $E$9)</f>
        <v>21.008199999999999</v>
      </c>
      <c r="I743" s="10">
        <f>CHOOSE(CONTROL!$C$42, 20.9426, 20.9426)* CHOOSE(CONTROL!$C$21, $C$9, 100%, $E$9)</f>
        <v>20.942599999999999</v>
      </c>
      <c r="J743" s="10">
        <f>CHOOSE(CONTROL!$C$42, 20.9182, 20.9182)* CHOOSE(CONTROL!$C$21, $C$9, 100%, $E$9)</f>
        <v>20.918199999999999</v>
      </c>
      <c r="K743" s="10">
        <f>CHOOSE(CONTROL!$C$42, 20.4846, 20.4846) * CHOOSE(CONTROL!$C$21, $C$9, 100%, $E$9)</f>
        <v>20.4846</v>
      </c>
      <c r="L743" s="10">
        <f>CHOOSE(CONTROL!$C$42, 21.5952, 21.5952) * CHOOSE(CONTROL!$C$21, $C$9, 100%, $E$9)</f>
        <v>21.595199999999998</v>
      </c>
      <c r="M743" s="10">
        <f>CHOOSE(CONTROL!$C$42, 20.7209, 20.7209) * CHOOSE(CONTROL!$C$21, $C$9, 100%, $E$9)</f>
        <v>20.7209</v>
      </c>
      <c r="N743" s="10">
        <f>CHOOSE(CONTROL!$C$42, 20.7372, 20.7372) * CHOOSE(CONTROL!$C$21, $C$9, 100%, $E$9)</f>
        <v>20.737200000000001</v>
      </c>
      <c r="O743" s="10">
        <f>CHOOSE(CONTROL!$C$42, 20.8101, 20.8101) * CHOOSE(CONTROL!$C$21, $C$9, 100%, $E$9)</f>
        <v>20.810099999999998</v>
      </c>
      <c r="P743" s="10">
        <f>CHOOSE(CONTROL!$C$42, 20.7451, 20.7451) * CHOOSE(CONTROL!$C$21, $C$9, 100%, $E$9)</f>
        <v>20.745100000000001</v>
      </c>
      <c r="Q743" s="10">
        <f>CHOOSE(CONTROL!$C$42, 21.4054, 21.4054) * CHOOSE(CONTROL!$C$21, $C$9, 100%, $E$9)</f>
        <v>21.4054</v>
      </c>
      <c r="R743" s="10">
        <f>CHOOSE(CONTROL!$C$42, 22.0459, 22.0459) * CHOOSE(CONTROL!$C$21, $C$9, 100%, $E$9)</f>
        <v>22.0459</v>
      </c>
      <c r="S743" s="10">
        <f>CHOOSE(CONTROL!$C$42, 20.3481, 20.3481) * CHOOSE(CONTROL!$C$21, $C$9, 100%, $E$9)</f>
        <v>20.348099999999999</v>
      </c>
      <c r="T7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38">
        <f>(1000*CHOOSE(CONTROL!$C$42, 695, 695)*CHOOSE(CONTROL!$C$42, 0.5599, 0.5599)*CHOOSE(CONTROL!$C$42, 30, 30))/1000000</f>
        <v>11.673914999999997</v>
      </c>
      <c r="V743" s="38">
        <f>(1000*CHOOSE(CONTROL!$C$42, 500, 500)*CHOOSE(CONTROL!$C$42, 0.275, 0.275)*CHOOSE(CONTROL!$C$42, 30, 30))/1000000</f>
        <v>4.125</v>
      </c>
      <c r="W743" s="38">
        <f>(1000*CHOOSE(CONTROL!$C$42, 0.1146, 0.1146)*CHOOSE(CONTROL!$C$42, 121.5, 121.5)*CHOOSE(CONTROL!$C$42, 30, 30))/1000000</f>
        <v>0.417717</v>
      </c>
      <c r="X743" s="38">
        <f>(30*0.1790888*100000/1000000)+(30*0.2374*100000/1000000)</f>
        <v>1.2494664</v>
      </c>
      <c r="Y743" s="38">
        <f>(1000*600*CHOOSE(CONTROL!$C$42, 1.0585, 1.0585)*CHOOSE(CONTROL!$C$42, 30, 30))/1000000</f>
        <v>19.053000000000001</v>
      </c>
      <c r="Z743" s="38"/>
      <c r="AA743" s="10"/>
      <c r="AB743" s="39"/>
      <c r="AC743" s="33">
        <f>(B743*122.58+C743*297.941+D743*89.177+E743*40.302+F743*40+G743*160+H743*0+I743*100+J743*300)/(122.58+297.941+89.177+40.302+0+40+160+100+300)</f>
        <v>20.947611974695647</v>
      </c>
      <c r="AD743" s="27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20.765748920863309</v>
      </c>
    </row>
    <row r="744" spans="1:30" ht="15.75" x14ac:dyDescent="0.25">
      <c r="A744" s="13">
        <v>63919</v>
      </c>
      <c r="B744" s="10">
        <f>CHOOSE(CONTROL!$C$42, 22.3844, 22.3844) * CHOOSE(CONTROL!$C$21, $C$9, 100%, $E$9)</f>
        <v>22.384399999999999</v>
      </c>
      <c r="C744" s="10">
        <f>CHOOSE(CONTROL!$C$42, 22.3894, 22.3894) * CHOOSE(CONTROL!$C$21, $C$9, 100%, $E$9)</f>
        <v>22.389399999999998</v>
      </c>
      <c r="D744" s="10">
        <f>CHOOSE(CONTROL!$C$42, 22.4138, 22.4138) * CHOOSE(CONTROL!$C$21, $C$9, 100%, $E$9)</f>
        <v>22.413799999999998</v>
      </c>
      <c r="E744" s="10">
        <f>CHOOSE(CONTROL!$C$42, 22.4476, 22.4476) * CHOOSE(CONTROL!$C$21, $C$9, 100%, $E$9)</f>
        <v>22.447600000000001</v>
      </c>
      <c r="F744" s="10">
        <f>CHOOSE(CONTROL!$C$42, 22.356, 22.356)*CHOOSE(CONTROL!$C$21, $C$9, 100%, $E$9)</f>
        <v>22.356000000000002</v>
      </c>
      <c r="G744" s="10">
        <f>CHOOSE(CONTROL!$C$42, 22.3731, 22.3731)*CHOOSE(CONTROL!$C$21, $C$9, 100%, $E$9)</f>
        <v>22.373100000000001</v>
      </c>
      <c r="H744" s="10">
        <f>CHOOSE(CONTROL!$C$42, 22.4368, 22.4368) * CHOOSE(CONTROL!$C$21, $C$9, 100%, $E$9)</f>
        <v>22.436800000000002</v>
      </c>
      <c r="I744" s="10">
        <f>CHOOSE(CONTROL!$C$42, 22.3712, 22.3712)* CHOOSE(CONTROL!$C$21, $C$9, 100%, $E$9)</f>
        <v>22.371200000000002</v>
      </c>
      <c r="J744" s="10">
        <f>CHOOSE(CONTROL!$C$42, 22.349, 22.349)* CHOOSE(CONTROL!$C$21, $C$9, 100%, $E$9)</f>
        <v>22.349</v>
      </c>
      <c r="K744" s="10">
        <f>CHOOSE(CONTROL!$C$42, 21.8776, 21.8776) * CHOOSE(CONTROL!$C$21, $C$9, 100%, $E$9)</f>
        <v>21.877600000000001</v>
      </c>
      <c r="L744" s="10">
        <f>CHOOSE(CONTROL!$C$42, 23.0238, 23.0238) * CHOOSE(CONTROL!$C$21, $C$9, 100%, $E$9)</f>
        <v>23.023800000000001</v>
      </c>
      <c r="M744" s="10">
        <f>CHOOSE(CONTROL!$C$42, 22.1373, 22.1373) * CHOOSE(CONTROL!$C$21, $C$9, 100%, $E$9)</f>
        <v>22.1373</v>
      </c>
      <c r="N744" s="10">
        <f>CHOOSE(CONTROL!$C$42, 22.1542, 22.1542) * CHOOSE(CONTROL!$C$21, $C$9, 100%, $E$9)</f>
        <v>22.154199999999999</v>
      </c>
      <c r="O744" s="10">
        <f>CHOOSE(CONTROL!$C$42, 22.2242, 22.2242) * CHOOSE(CONTROL!$C$21, $C$9, 100%, $E$9)</f>
        <v>22.2242</v>
      </c>
      <c r="P744" s="10">
        <f>CHOOSE(CONTROL!$C$42, 22.1593, 22.1593) * CHOOSE(CONTROL!$C$21, $C$9, 100%, $E$9)</f>
        <v>22.159300000000002</v>
      </c>
      <c r="Q744" s="10">
        <f>CHOOSE(CONTROL!$C$42, 22.8195, 22.8195) * CHOOSE(CONTROL!$C$21, $C$9, 100%, $E$9)</f>
        <v>22.819500000000001</v>
      </c>
      <c r="R744" s="10">
        <f>CHOOSE(CONTROL!$C$42, 23.4635, 23.4635) * CHOOSE(CONTROL!$C$21, $C$9, 100%, $E$9)</f>
        <v>23.4635</v>
      </c>
      <c r="S744" s="10">
        <f>CHOOSE(CONTROL!$C$42, 21.7354, 21.7354) * CHOOSE(CONTROL!$C$21, $C$9, 100%, $E$9)</f>
        <v>21.735399999999998</v>
      </c>
      <c r="T7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38">
        <f>(1000*CHOOSE(CONTROL!$C$42, 695, 695)*CHOOSE(CONTROL!$C$42, 0.5599, 0.5599)*CHOOSE(CONTROL!$C$42, 31, 31))/1000000</f>
        <v>12.063045499999998</v>
      </c>
      <c r="V744" s="38">
        <f>(1000*CHOOSE(CONTROL!$C$42, 500, 500)*CHOOSE(CONTROL!$C$42, 0.275, 0.275)*CHOOSE(CONTROL!$C$42, 31, 31))/1000000</f>
        <v>4.2625000000000002</v>
      </c>
      <c r="W744" s="38">
        <f>(1000*CHOOSE(CONTROL!$C$42, 0.1146, 0.1146)*CHOOSE(CONTROL!$C$42, 121.5, 121.5)*CHOOSE(CONTROL!$C$42, 31, 31))/1000000</f>
        <v>0.43164089999999994</v>
      </c>
      <c r="X744" s="38">
        <f>(31*0.1790888*100000/1000000)+(31*0.2374*100000/1000000)</f>
        <v>1.2911152800000001</v>
      </c>
      <c r="Y744" s="38">
        <f>(1000*600*CHOOSE(CONTROL!$C$42, 1.0585, 1.0585)*CHOOSE(CONTROL!$C$42, 31, 31))/1000000</f>
        <v>19.688099999999999</v>
      </c>
      <c r="Z744" s="38"/>
      <c r="AA744" s="10"/>
      <c r="AB744" s="39"/>
      <c r="AC744" s="33">
        <f>(B744*122.58+C744*297.941+D744*89.177+E744*40.302+F744*40+G744*160+H744*0+I744*100+J744*300)/(122.58+297.941+89.177+40.302+0+40+160+100+300)</f>
        <v>22.377247474086953</v>
      </c>
      <c r="AD744" s="27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22.180824460431651</v>
      </c>
    </row>
    <row r="745" spans="1:30" ht="15.75" x14ac:dyDescent="0.25">
      <c r="A745" s="13">
        <v>63950</v>
      </c>
      <c r="B745" s="10">
        <f>CHOOSE(CONTROL!$C$42, 23.895, 23.895) * CHOOSE(CONTROL!$C$21, $C$9, 100%, $E$9)</f>
        <v>23.895</v>
      </c>
      <c r="C745" s="10">
        <f>CHOOSE(CONTROL!$C$42, 23.9, 23.9) * CHOOSE(CONTROL!$C$21, $C$9, 100%, $E$9)</f>
        <v>23.9</v>
      </c>
      <c r="D745" s="10">
        <f>CHOOSE(CONTROL!$C$42, 23.9244, 23.9244) * CHOOSE(CONTROL!$C$21, $C$9, 100%, $E$9)</f>
        <v>23.924399999999999</v>
      </c>
      <c r="E745" s="10">
        <f>CHOOSE(CONTROL!$C$42, 23.9582, 23.9582) * CHOOSE(CONTROL!$C$21, $C$9, 100%, $E$9)</f>
        <v>23.958200000000001</v>
      </c>
      <c r="F745" s="10">
        <f>CHOOSE(CONTROL!$C$42, 23.878, 23.878)*CHOOSE(CONTROL!$C$21, $C$9, 100%, $E$9)</f>
        <v>23.878</v>
      </c>
      <c r="G745" s="10">
        <f>CHOOSE(CONTROL!$C$42, 23.8966, 23.8966)*CHOOSE(CONTROL!$C$21, $C$9, 100%, $E$9)</f>
        <v>23.896599999999999</v>
      </c>
      <c r="H745" s="10">
        <f>CHOOSE(CONTROL!$C$42, 23.9474, 23.9474) * CHOOSE(CONTROL!$C$21, $C$9, 100%, $E$9)</f>
        <v>23.947399999999998</v>
      </c>
      <c r="I745" s="10">
        <f>CHOOSE(CONTROL!$C$42, 23.8895, 23.8895)* CHOOSE(CONTROL!$C$21, $C$9, 100%, $E$9)</f>
        <v>23.889500000000002</v>
      </c>
      <c r="J745" s="10">
        <f>CHOOSE(CONTROL!$C$42, 23.871, 23.871)* CHOOSE(CONTROL!$C$21, $C$9, 100%, $E$9)</f>
        <v>23.870999999999999</v>
      </c>
      <c r="K745" s="10">
        <f>CHOOSE(CONTROL!$C$42, 23.3662, 23.3662) * CHOOSE(CONTROL!$C$21, $C$9, 100%, $E$9)</f>
        <v>23.366199999999999</v>
      </c>
      <c r="L745" s="10">
        <f>CHOOSE(CONTROL!$C$42, 24.5344, 24.5344) * CHOOSE(CONTROL!$C$21, $C$9, 100%, $E$9)</f>
        <v>24.534400000000002</v>
      </c>
      <c r="M745" s="10">
        <f>CHOOSE(CONTROL!$C$42, 23.6439, 23.6439) * CHOOSE(CONTROL!$C$21, $C$9, 100%, $E$9)</f>
        <v>23.643899999999999</v>
      </c>
      <c r="N745" s="10">
        <f>CHOOSE(CONTROL!$C$42, 23.6624, 23.6624) * CHOOSE(CONTROL!$C$21, $C$9, 100%, $E$9)</f>
        <v>23.662400000000002</v>
      </c>
      <c r="O745" s="10">
        <f>CHOOSE(CONTROL!$C$42, 23.7196, 23.7196) * CHOOSE(CONTROL!$C$21, $C$9, 100%, $E$9)</f>
        <v>23.7196</v>
      </c>
      <c r="P745" s="10">
        <f>CHOOSE(CONTROL!$C$42, 23.6623, 23.6623) * CHOOSE(CONTROL!$C$21, $C$9, 100%, $E$9)</f>
        <v>23.662299999999998</v>
      </c>
      <c r="Q745" s="10">
        <f>CHOOSE(CONTROL!$C$42, 24.3149, 24.3149) * CHOOSE(CONTROL!$C$21, $C$9, 100%, $E$9)</f>
        <v>24.314900000000002</v>
      </c>
      <c r="R745" s="10">
        <f>CHOOSE(CONTROL!$C$42, 24.9627, 24.9627) * CHOOSE(CONTROL!$C$21, $C$9, 100%, $E$9)</f>
        <v>24.962700000000002</v>
      </c>
      <c r="S745" s="10">
        <f>CHOOSE(CONTROL!$C$42, 23.2023, 23.2023) * CHOOSE(CONTROL!$C$21, $C$9, 100%, $E$9)</f>
        <v>23.202300000000001</v>
      </c>
      <c r="T7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38">
        <f>(1000*CHOOSE(CONTROL!$C$42, 695, 695)*CHOOSE(CONTROL!$C$42, 0.5599, 0.5599)*CHOOSE(CONTROL!$C$42, 31, 31))/1000000</f>
        <v>12.063045499999998</v>
      </c>
      <c r="V745" s="38">
        <f>(1000*CHOOSE(CONTROL!$C$42, 500, 500)*CHOOSE(CONTROL!$C$42, 0.275, 0.275)*CHOOSE(CONTROL!$C$42, 31, 31))/1000000</f>
        <v>4.2625000000000002</v>
      </c>
      <c r="W745" s="38">
        <f>(1000*CHOOSE(CONTROL!$C$42, 0.1146, 0.1146)*CHOOSE(CONTROL!$C$42, 121.5, 121.5)*CHOOSE(CONTROL!$C$42, 31, 31))/1000000</f>
        <v>0.43164089999999994</v>
      </c>
      <c r="X745" s="38">
        <f>(31*0.1790888*100000/1000000)+(31*0.2374*100000/1000000)</f>
        <v>1.2911152800000001</v>
      </c>
      <c r="Y745" s="38">
        <f>(1000*600*CHOOSE(CONTROL!$C$42, 1.0585, 1.0585)*CHOOSE(CONTROL!$C$42, 31, 31))/1000000</f>
        <v>19.688099999999999</v>
      </c>
      <c r="Z745" s="38"/>
      <c r="AA745" s="10"/>
      <c r="AB745" s="39"/>
      <c r="AC745" s="33">
        <f>(B745*122.58+C745*297.941+D745*89.177+E745*40.302+F745*40+G745*160+H745*0+I745*100+J745*300)/(122.58+297.941+89.177+40.302+0+40+160+100+300)</f>
        <v>23.893682256695648</v>
      </c>
      <c r="AD745" s="27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23.681922302158277</v>
      </c>
    </row>
    <row r="746" spans="1:30" ht="15.75" x14ac:dyDescent="0.25">
      <c r="A746" s="13">
        <v>63978</v>
      </c>
      <c r="B746" s="10">
        <f>CHOOSE(CONTROL!$C$42, 24.3203, 24.3203) * CHOOSE(CONTROL!$C$21, $C$9, 100%, $E$9)</f>
        <v>24.3203</v>
      </c>
      <c r="C746" s="10">
        <f>CHOOSE(CONTROL!$C$42, 24.3253, 24.3253) * CHOOSE(CONTROL!$C$21, $C$9, 100%, $E$9)</f>
        <v>24.325299999999999</v>
      </c>
      <c r="D746" s="10">
        <f>CHOOSE(CONTROL!$C$42, 24.3498, 24.3498) * CHOOSE(CONTROL!$C$21, $C$9, 100%, $E$9)</f>
        <v>24.349799999999998</v>
      </c>
      <c r="E746" s="10">
        <f>CHOOSE(CONTROL!$C$42, 24.3835, 24.3835) * CHOOSE(CONTROL!$C$21, $C$9, 100%, $E$9)</f>
        <v>24.383500000000002</v>
      </c>
      <c r="F746" s="10">
        <f>CHOOSE(CONTROL!$C$42, 24.3026, 24.3026)*CHOOSE(CONTROL!$C$21, $C$9, 100%, $E$9)</f>
        <v>24.302600000000002</v>
      </c>
      <c r="G746" s="10">
        <f>CHOOSE(CONTROL!$C$42, 24.3211, 24.3211)*CHOOSE(CONTROL!$C$21, $C$9, 100%, $E$9)</f>
        <v>24.321100000000001</v>
      </c>
      <c r="H746" s="10">
        <f>CHOOSE(CONTROL!$C$42, 24.3727, 24.3727) * CHOOSE(CONTROL!$C$21, $C$9, 100%, $E$9)</f>
        <v>24.372699999999998</v>
      </c>
      <c r="I746" s="10">
        <f>CHOOSE(CONTROL!$C$42, 24.3148, 24.3148)* CHOOSE(CONTROL!$C$21, $C$9, 100%, $E$9)</f>
        <v>24.314800000000002</v>
      </c>
      <c r="J746" s="10">
        <f>CHOOSE(CONTROL!$C$42, 24.2956, 24.2956)* CHOOSE(CONTROL!$C$21, $C$9, 100%, $E$9)</f>
        <v>24.2956</v>
      </c>
      <c r="K746" s="10">
        <f>CHOOSE(CONTROL!$C$42, 23.778, 23.778) * CHOOSE(CONTROL!$C$21, $C$9, 100%, $E$9)</f>
        <v>23.777999999999999</v>
      </c>
      <c r="L746" s="10">
        <f>CHOOSE(CONTROL!$C$42, 24.9597, 24.9597) * CHOOSE(CONTROL!$C$21, $C$9, 100%, $E$9)</f>
        <v>24.959700000000002</v>
      </c>
      <c r="M746" s="10">
        <f>CHOOSE(CONTROL!$C$42, 24.0642, 24.0642) * CHOOSE(CONTROL!$C$21, $C$9, 100%, $E$9)</f>
        <v>24.0642</v>
      </c>
      <c r="N746" s="10">
        <f>CHOOSE(CONTROL!$C$42, 24.0825, 24.0825) * CHOOSE(CONTROL!$C$21, $C$9, 100%, $E$9)</f>
        <v>24.0825</v>
      </c>
      <c r="O746" s="10">
        <f>CHOOSE(CONTROL!$C$42, 24.1406, 24.1406) * CHOOSE(CONTROL!$C$21, $C$9, 100%, $E$9)</f>
        <v>24.140599999999999</v>
      </c>
      <c r="P746" s="10">
        <f>CHOOSE(CONTROL!$C$42, 24.0833, 24.0833) * CHOOSE(CONTROL!$C$21, $C$9, 100%, $E$9)</f>
        <v>24.083300000000001</v>
      </c>
      <c r="Q746" s="10">
        <f>CHOOSE(CONTROL!$C$42, 24.7359, 24.7359) * CHOOSE(CONTROL!$C$21, $C$9, 100%, $E$9)</f>
        <v>24.735900000000001</v>
      </c>
      <c r="R746" s="10">
        <f>CHOOSE(CONTROL!$C$42, 25.3847, 25.3847) * CHOOSE(CONTROL!$C$21, $C$9, 100%, $E$9)</f>
        <v>25.384699999999999</v>
      </c>
      <c r="S746" s="10">
        <f>CHOOSE(CONTROL!$C$42, 23.6154, 23.6154) * CHOOSE(CONTROL!$C$21, $C$9, 100%, $E$9)</f>
        <v>23.615400000000001</v>
      </c>
      <c r="T7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38">
        <f>(1000*CHOOSE(CONTROL!$C$42, 695, 695)*CHOOSE(CONTROL!$C$42, 0.5599, 0.5599)*CHOOSE(CONTROL!$C$42, 28, 28))/1000000</f>
        <v>10.895653999999999</v>
      </c>
      <c r="V746" s="38">
        <f>(1000*CHOOSE(CONTROL!$C$42, 500, 500)*CHOOSE(CONTROL!$C$42, 0.275, 0.275)*CHOOSE(CONTROL!$C$42, 28, 28))/1000000</f>
        <v>3.85</v>
      </c>
      <c r="W746" s="38">
        <f>(1000*CHOOSE(CONTROL!$C$42, 0.1146, 0.1146)*CHOOSE(CONTROL!$C$42, 121.5, 121.5)*CHOOSE(CONTROL!$C$42, 28, 28))/1000000</f>
        <v>0.38986920000000003</v>
      </c>
      <c r="X746" s="38">
        <f>(28*0.1790888*100000/1000000)+(28*0.2374*100000/1000000)</f>
        <v>1.16616864</v>
      </c>
      <c r="Y746" s="38">
        <f>(1000*600*CHOOSE(CONTROL!$C$42, 1.0585, 1.0585)*CHOOSE(CONTROL!$C$42, 28, 28))/1000000</f>
        <v>17.782800000000002</v>
      </c>
      <c r="Z746" s="38"/>
      <c r="AA746" s="10"/>
      <c r="AB746" s="39"/>
      <c r="AC746" s="33">
        <f>(B746*122.58+C746*297.941+D746*89.177+E746*40.302+F746*40+G746*160+H746*0+I746*100+J746*300)/(122.58+297.941+89.177+40.302+0+40+160+100+300)</f>
        <v>24.318671750347821</v>
      </c>
      <c r="AD746" s="27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24.102628776978413</v>
      </c>
    </row>
    <row r="747" spans="1:30" ht="15.75" x14ac:dyDescent="0.25">
      <c r="A747" s="13">
        <v>64009</v>
      </c>
      <c r="B747" s="10">
        <f>CHOOSE(CONTROL!$C$42, 23.63, 23.63) * CHOOSE(CONTROL!$C$21, $C$9, 100%, $E$9)</f>
        <v>23.63</v>
      </c>
      <c r="C747" s="10">
        <f>CHOOSE(CONTROL!$C$42, 23.6349, 23.6349) * CHOOSE(CONTROL!$C$21, $C$9, 100%, $E$9)</f>
        <v>23.634899999999998</v>
      </c>
      <c r="D747" s="10">
        <f>CHOOSE(CONTROL!$C$42, 23.6594, 23.6594) * CHOOSE(CONTROL!$C$21, $C$9, 100%, $E$9)</f>
        <v>23.659400000000002</v>
      </c>
      <c r="E747" s="10">
        <f>CHOOSE(CONTROL!$C$42, 23.6932, 23.6932) * CHOOSE(CONTROL!$C$21, $C$9, 100%, $E$9)</f>
        <v>23.693200000000001</v>
      </c>
      <c r="F747" s="10">
        <f>CHOOSE(CONTROL!$C$42, 23.6107, 23.6107)*CHOOSE(CONTROL!$C$21, $C$9, 100%, $E$9)</f>
        <v>23.610700000000001</v>
      </c>
      <c r="G747" s="10">
        <f>CHOOSE(CONTROL!$C$42, 23.6288, 23.6288)*CHOOSE(CONTROL!$C$21, $C$9, 100%, $E$9)</f>
        <v>23.628799999999998</v>
      </c>
      <c r="H747" s="10">
        <f>CHOOSE(CONTROL!$C$42, 23.6823, 23.6823) * CHOOSE(CONTROL!$C$21, $C$9, 100%, $E$9)</f>
        <v>23.682300000000001</v>
      </c>
      <c r="I747" s="10">
        <f>CHOOSE(CONTROL!$C$42, 23.6245, 23.6245)* CHOOSE(CONTROL!$C$21, $C$9, 100%, $E$9)</f>
        <v>23.624500000000001</v>
      </c>
      <c r="J747" s="10">
        <f>CHOOSE(CONTROL!$C$42, 23.6037, 23.6037)* CHOOSE(CONTROL!$C$21, $C$9, 100%, $E$9)</f>
        <v>23.6037</v>
      </c>
      <c r="K747" s="10">
        <f>CHOOSE(CONTROL!$C$42, 23.1039, 23.1039) * CHOOSE(CONTROL!$C$21, $C$9, 100%, $E$9)</f>
        <v>23.103899999999999</v>
      </c>
      <c r="L747" s="10">
        <f>CHOOSE(CONTROL!$C$42, 24.2693, 24.2693) * CHOOSE(CONTROL!$C$21, $C$9, 100%, $E$9)</f>
        <v>24.269300000000001</v>
      </c>
      <c r="M747" s="10">
        <f>CHOOSE(CONTROL!$C$42, 23.3793, 23.3793) * CHOOSE(CONTROL!$C$21, $C$9, 100%, $E$9)</f>
        <v>23.379300000000001</v>
      </c>
      <c r="N747" s="10">
        <f>CHOOSE(CONTROL!$C$42, 23.3972, 23.3972) * CHOOSE(CONTROL!$C$21, $C$9, 100%, $E$9)</f>
        <v>23.397200000000002</v>
      </c>
      <c r="O747" s="10">
        <f>CHOOSE(CONTROL!$C$42, 23.4572, 23.4572) * CHOOSE(CONTROL!$C$21, $C$9, 100%, $E$9)</f>
        <v>23.4572</v>
      </c>
      <c r="P747" s="10">
        <f>CHOOSE(CONTROL!$C$42, 23.3999, 23.3999) * CHOOSE(CONTROL!$C$21, $C$9, 100%, $E$9)</f>
        <v>23.399899999999999</v>
      </c>
      <c r="Q747" s="10">
        <f>CHOOSE(CONTROL!$C$42, 24.0525, 24.0525) * CHOOSE(CONTROL!$C$21, $C$9, 100%, $E$9)</f>
        <v>24.052499999999998</v>
      </c>
      <c r="R747" s="10">
        <f>CHOOSE(CONTROL!$C$42, 24.6996, 24.6996) * CHOOSE(CONTROL!$C$21, $C$9, 100%, $E$9)</f>
        <v>24.6996</v>
      </c>
      <c r="S747" s="10">
        <f>CHOOSE(CONTROL!$C$42, 22.9449, 22.9449) * CHOOSE(CONTROL!$C$21, $C$9, 100%, $E$9)</f>
        <v>22.944900000000001</v>
      </c>
      <c r="T7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38">
        <f>(1000*CHOOSE(CONTROL!$C$42, 695, 695)*CHOOSE(CONTROL!$C$42, 0.5599, 0.5599)*CHOOSE(CONTROL!$C$42, 31, 31))/1000000</f>
        <v>12.063045499999998</v>
      </c>
      <c r="V747" s="38">
        <f>(1000*CHOOSE(CONTROL!$C$42, 500, 500)*CHOOSE(CONTROL!$C$42, 0.275, 0.275)*CHOOSE(CONTROL!$C$42, 31, 31))/1000000</f>
        <v>4.2625000000000002</v>
      </c>
      <c r="W747" s="38">
        <f>(1000*CHOOSE(CONTROL!$C$42, 0.1146, 0.1146)*CHOOSE(CONTROL!$C$42, 121.5, 121.5)*CHOOSE(CONTROL!$C$42, 31, 31))/1000000</f>
        <v>0.43164089999999994</v>
      </c>
      <c r="X747" s="38">
        <f>(31*0.1790888*100000/1000000)+(31*0.2374*100000/1000000)</f>
        <v>1.2911152800000001</v>
      </c>
      <c r="Y747" s="38">
        <f>(1000*600*CHOOSE(CONTROL!$C$42, 1.0585, 1.0585)*CHOOSE(CONTROL!$C$42, 31, 31))/1000000</f>
        <v>19.688099999999999</v>
      </c>
      <c r="Z747" s="38"/>
      <c r="AA747" s="10"/>
      <c r="AB747" s="39"/>
      <c r="AC747" s="33">
        <f>(B747*122.58+C747*297.941+D747*89.177+E747*40.302+F747*40+G747*160+H747*0+I747*100+J747*300)/(122.58+297.941+89.177+40.302+0+40+160+100+300)</f>
        <v>23.627586783565217</v>
      </c>
      <c r="AD747" s="27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23.418601438848921</v>
      </c>
    </row>
    <row r="748" spans="1:30" ht="15.75" x14ac:dyDescent="0.25">
      <c r="A748" s="13">
        <v>64039</v>
      </c>
      <c r="B748" s="10">
        <f>CHOOSE(CONTROL!$C$42, 23.56, 23.56) * CHOOSE(CONTROL!$C$21, $C$9, 100%, $E$9)</f>
        <v>23.56</v>
      </c>
      <c r="C748" s="10">
        <f>CHOOSE(CONTROL!$C$42, 23.5644, 23.5644) * CHOOSE(CONTROL!$C$21, $C$9, 100%, $E$9)</f>
        <v>23.564399999999999</v>
      </c>
      <c r="D748" s="10">
        <f>CHOOSE(CONTROL!$C$42, 23.7445, 23.7445) * CHOOSE(CONTROL!$C$21, $C$9, 100%, $E$9)</f>
        <v>23.744499999999999</v>
      </c>
      <c r="E748" s="10">
        <f>CHOOSE(CONTROL!$C$42, 23.7763, 23.7763) * CHOOSE(CONTROL!$C$21, $C$9, 100%, $E$9)</f>
        <v>23.776299999999999</v>
      </c>
      <c r="F748" s="10">
        <f>CHOOSE(CONTROL!$C$42, 23.5253, 23.5253)*CHOOSE(CONTROL!$C$21, $C$9, 100%, $E$9)</f>
        <v>23.525300000000001</v>
      </c>
      <c r="G748" s="10">
        <f>CHOOSE(CONTROL!$C$42, 23.5416, 23.5416)*CHOOSE(CONTROL!$C$21, $C$9, 100%, $E$9)</f>
        <v>23.541599999999999</v>
      </c>
      <c r="H748" s="10">
        <f>CHOOSE(CONTROL!$C$42, 23.7661, 23.7661) * CHOOSE(CONTROL!$C$21, $C$9, 100%, $E$9)</f>
        <v>23.766100000000002</v>
      </c>
      <c r="I748" s="10">
        <f>CHOOSE(CONTROL!$C$42, 23.546, 23.546)* CHOOSE(CONTROL!$C$21, $C$9, 100%, $E$9)</f>
        <v>23.545999999999999</v>
      </c>
      <c r="J748" s="10">
        <f>CHOOSE(CONTROL!$C$42, 23.5183, 23.5183)* CHOOSE(CONTROL!$C$21, $C$9, 100%, $E$9)</f>
        <v>23.5183</v>
      </c>
      <c r="K748" s="10">
        <f>CHOOSE(CONTROL!$C$42, 23.0126, 23.0126) * CHOOSE(CONTROL!$C$21, $C$9, 100%, $E$9)</f>
        <v>23.012599999999999</v>
      </c>
      <c r="L748" s="10">
        <f>CHOOSE(CONTROL!$C$42, 24.3531, 24.3531) * CHOOSE(CONTROL!$C$21, $C$9, 100%, $E$9)</f>
        <v>24.353100000000001</v>
      </c>
      <c r="M748" s="10">
        <f>CHOOSE(CONTROL!$C$42, 23.2948, 23.2948) * CHOOSE(CONTROL!$C$21, $C$9, 100%, $E$9)</f>
        <v>23.294799999999999</v>
      </c>
      <c r="N748" s="10">
        <f>CHOOSE(CONTROL!$C$42, 23.3109, 23.3109) * CHOOSE(CONTROL!$C$21, $C$9, 100%, $E$9)</f>
        <v>23.3109</v>
      </c>
      <c r="O748" s="10">
        <f>CHOOSE(CONTROL!$C$42, 23.5401, 23.5401) * CHOOSE(CONTROL!$C$21, $C$9, 100%, $E$9)</f>
        <v>23.540099999999999</v>
      </c>
      <c r="P748" s="10">
        <f>CHOOSE(CONTROL!$C$42, 23.3222, 23.3222) * CHOOSE(CONTROL!$C$21, $C$9, 100%, $E$9)</f>
        <v>23.322199999999999</v>
      </c>
      <c r="Q748" s="10">
        <f>CHOOSE(CONTROL!$C$42, 24.1354, 24.1354) * CHOOSE(CONTROL!$C$21, $C$9, 100%, $E$9)</f>
        <v>24.135400000000001</v>
      </c>
      <c r="R748" s="10">
        <f>CHOOSE(CONTROL!$C$42, 24.7827, 24.7827) * CHOOSE(CONTROL!$C$21, $C$9, 100%, $E$9)</f>
        <v>24.782699999999998</v>
      </c>
      <c r="S748" s="10">
        <f>CHOOSE(CONTROL!$C$42, 22.8762, 22.8762) * CHOOSE(CONTROL!$C$21, $C$9, 100%, $E$9)</f>
        <v>22.876200000000001</v>
      </c>
      <c r="T7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38">
        <f>(1000*CHOOSE(CONTROL!$C$42, 695, 695)*CHOOSE(CONTROL!$C$42, 0.5599, 0.5599)*CHOOSE(CONTROL!$C$42, 30, 30))/1000000</f>
        <v>11.673914999999997</v>
      </c>
      <c r="V748" s="38">
        <f>(1000*CHOOSE(CONTROL!$C$42, 500, 500)*CHOOSE(CONTROL!$C$42, 0.275, 0.275)*CHOOSE(CONTROL!$C$42, 30, 30))/1000000</f>
        <v>4.125</v>
      </c>
      <c r="W748" s="38">
        <f>(1000*CHOOSE(CONTROL!$C$42, 0.1146, 0.1146)*CHOOSE(CONTROL!$C$42, 121.5, 121.5)*CHOOSE(CONTROL!$C$42, 30, 30))/1000000</f>
        <v>0.417717</v>
      </c>
      <c r="X748" s="38">
        <f>(30*0.1790888*245000/1000000)+(30*0.2374*100000/1000000)</f>
        <v>2.0285026799999999</v>
      </c>
      <c r="Y748" s="38">
        <f>(1000*600*CHOOSE(CONTROL!$C$42, 1.0585, 1.0585)*CHOOSE(CONTROL!$C$42, 30, 30))/1000000</f>
        <v>19.053000000000001</v>
      </c>
      <c r="Z748" s="38"/>
      <c r="AA748" s="10"/>
      <c r="AB748" s="39"/>
      <c r="AC748" s="33">
        <f>(B748*141.293+C748*267.993+D748*115.016+E748*89.698+F748*40+G748*185+H748*0+I748*100+J748*300)/(141.293+267.993+115.016+89.698+0+40+185+100+300)</f>
        <v>23.578643501694913</v>
      </c>
      <c r="AD748" s="27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23.410848201438846</v>
      </c>
    </row>
    <row r="749" spans="1:30" ht="15.75" x14ac:dyDescent="0.25">
      <c r="A749" s="13">
        <v>64070</v>
      </c>
      <c r="B749" s="10">
        <f>CHOOSE(CONTROL!$C$42, 23.7697, 23.7697) * CHOOSE(CONTROL!$C$21, $C$9, 100%, $E$9)</f>
        <v>23.7697</v>
      </c>
      <c r="C749" s="10">
        <f>CHOOSE(CONTROL!$C$42, 23.7776, 23.7776) * CHOOSE(CONTROL!$C$21, $C$9, 100%, $E$9)</f>
        <v>23.7776</v>
      </c>
      <c r="D749" s="10">
        <f>CHOOSE(CONTROL!$C$42, 23.9546, 23.9546) * CHOOSE(CONTROL!$C$21, $C$9, 100%, $E$9)</f>
        <v>23.954599999999999</v>
      </c>
      <c r="E749" s="10">
        <f>CHOOSE(CONTROL!$C$42, 23.9857, 23.9857) * CHOOSE(CONTROL!$C$21, $C$9, 100%, $E$9)</f>
        <v>23.985700000000001</v>
      </c>
      <c r="F749" s="10">
        <f>CHOOSE(CONTROL!$C$42, 23.7331, 23.7331)*CHOOSE(CONTROL!$C$21, $C$9, 100%, $E$9)</f>
        <v>23.7331</v>
      </c>
      <c r="G749" s="10">
        <f>CHOOSE(CONTROL!$C$42, 23.7496, 23.7496)*CHOOSE(CONTROL!$C$21, $C$9, 100%, $E$9)</f>
        <v>23.749600000000001</v>
      </c>
      <c r="H749" s="10">
        <f>CHOOSE(CONTROL!$C$42, 23.9744, 23.9744) * CHOOSE(CONTROL!$C$21, $C$9, 100%, $E$9)</f>
        <v>23.974399999999999</v>
      </c>
      <c r="I749" s="10">
        <f>CHOOSE(CONTROL!$C$42, 23.7543, 23.7543)* CHOOSE(CONTROL!$C$21, $C$9, 100%, $E$9)</f>
        <v>23.754300000000001</v>
      </c>
      <c r="J749" s="10">
        <f>CHOOSE(CONTROL!$C$42, 23.7261, 23.7261)* CHOOSE(CONTROL!$C$21, $C$9, 100%, $E$9)</f>
        <v>23.726099999999999</v>
      </c>
      <c r="K749" s="10">
        <f>CHOOSE(CONTROL!$C$42, 23.2138, 23.2138) * CHOOSE(CONTROL!$C$21, $C$9, 100%, $E$9)</f>
        <v>23.213799999999999</v>
      </c>
      <c r="L749" s="10">
        <f>CHOOSE(CONTROL!$C$42, 24.5614, 24.5614) * CHOOSE(CONTROL!$C$21, $C$9, 100%, $E$9)</f>
        <v>24.561399999999999</v>
      </c>
      <c r="M749" s="10">
        <f>CHOOSE(CONTROL!$C$42, 23.5004, 23.5004) * CHOOSE(CONTROL!$C$21, $C$9, 100%, $E$9)</f>
        <v>23.500399999999999</v>
      </c>
      <c r="N749" s="10">
        <f>CHOOSE(CONTROL!$C$42, 23.5168, 23.5168) * CHOOSE(CONTROL!$C$21, $C$9, 100%, $E$9)</f>
        <v>23.5168</v>
      </c>
      <c r="O749" s="10">
        <f>CHOOSE(CONTROL!$C$42, 23.7463, 23.7463) * CHOOSE(CONTROL!$C$21, $C$9, 100%, $E$9)</f>
        <v>23.746300000000002</v>
      </c>
      <c r="P749" s="10">
        <f>CHOOSE(CONTROL!$C$42, 23.5284, 23.5284) * CHOOSE(CONTROL!$C$21, $C$9, 100%, $E$9)</f>
        <v>23.528400000000001</v>
      </c>
      <c r="Q749" s="10">
        <f>CHOOSE(CONTROL!$C$42, 24.3416, 24.3416) * CHOOSE(CONTROL!$C$21, $C$9, 100%, $E$9)</f>
        <v>24.3416</v>
      </c>
      <c r="R749" s="10">
        <f>CHOOSE(CONTROL!$C$42, 24.9894, 24.9894) * CHOOSE(CONTROL!$C$21, $C$9, 100%, $E$9)</f>
        <v>24.9894</v>
      </c>
      <c r="S749" s="10">
        <f>CHOOSE(CONTROL!$C$42, 23.0785, 23.0785) * CHOOSE(CONTROL!$C$21, $C$9, 100%, $E$9)</f>
        <v>23.078499999999998</v>
      </c>
      <c r="T7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38">
        <f>(1000*CHOOSE(CONTROL!$C$42, 695, 695)*CHOOSE(CONTROL!$C$42, 0.5599, 0.5599)*CHOOSE(CONTROL!$C$42, 31, 31))/1000000</f>
        <v>12.063045499999998</v>
      </c>
      <c r="V749" s="38">
        <f>(1000*CHOOSE(CONTROL!$C$42, 500, 500)*CHOOSE(CONTROL!$C$42, 0.275, 0.275)*CHOOSE(CONTROL!$C$42, 31, 31))/1000000</f>
        <v>4.2625000000000002</v>
      </c>
      <c r="W749" s="38">
        <f>(1000*CHOOSE(CONTROL!$C$42, 0.1146, 0.1146)*CHOOSE(CONTROL!$C$42, 121.5, 121.5)*CHOOSE(CONTROL!$C$42, 31, 31))/1000000</f>
        <v>0.43164089999999994</v>
      </c>
      <c r="X749" s="38">
        <f>(31*0.1790888*245000/1000000)+(31*0.2374*100000/1000000)</f>
        <v>2.0961194359999999</v>
      </c>
      <c r="Y749" s="38">
        <f>(1000*600*CHOOSE(CONTROL!$C$42, 1.0585, 1.0585)*CHOOSE(CONTROL!$C$42, 31, 31))/1000000</f>
        <v>19.688099999999999</v>
      </c>
      <c r="Z749" s="38"/>
      <c r="AA749" s="10"/>
      <c r="AB749" s="39"/>
      <c r="AC749" s="33">
        <f>(B749*194.205+C749*267.466+D749*133.845+E749*53.484+F749*40+G749*185+H749*0+I749*100+J749*300)/(194.205+267.466+133.845+53.484+0+40+185+100+300)</f>
        <v>23.78430829348509</v>
      </c>
      <c r="AD749" s="27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23.616823741007195</v>
      </c>
    </row>
    <row r="750" spans="1:30" ht="15.75" x14ac:dyDescent="0.25">
      <c r="A750" s="13">
        <v>64100</v>
      </c>
      <c r="B750" s="10">
        <f>CHOOSE(CONTROL!$C$42, 24.4438, 24.4438) * CHOOSE(CONTROL!$C$21, $C$9, 100%, $E$9)</f>
        <v>24.4438</v>
      </c>
      <c r="C750" s="10">
        <f>CHOOSE(CONTROL!$C$42, 24.4517, 24.4517) * CHOOSE(CONTROL!$C$21, $C$9, 100%, $E$9)</f>
        <v>24.451699999999999</v>
      </c>
      <c r="D750" s="10">
        <f>CHOOSE(CONTROL!$C$42, 24.6287, 24.6287) * CHOOSE(CONTROL!$C$21, $C$9, 100%, $E$9)</f>
        <v>24.628699999999998</v>
      </c>
      <c r="E750" s="10">
        <f>CHOOSE(CONTROL!$C$42, 24.6598, 24.6598) * CHOOSE(CONTROL!$C$21, $C$9, 100%, $E$9)</f>
        <v>24.659800000000001</v>
      </c>
      <c r="F750" s="10">
        <f>CHOOSE(CONTROL!$C$42, 24.4073, 24.4073)*CHOOSE(CONTROL!$C$21, $C$9, 100%, $E$9)</f>
        <v>24.407299999999999</v>
      </c>
      <c r="G750" s="10">
        <f>CHOOSE(CONTROL!$C$42, 24.4239, 24.4239)*CHOOSE(CONTROL!$C$21, $C$9, 100%, $E$9)</f>
        <v>24.4239</v>
      </c>
      <c r="H750" s="10">
        <f>CHOOSE(CONTROL!$C$42, 24.6485, 24.6485) * CHOOSE(CONTROL!$C$21, $C$9, 100%, $E$9)</f>
        <v>24.648499999999999</v>
      </c>
      <c r="I750" s="10">
        <f>CHOOSE(CONTROL!$C$42, 24.4284, 24.4284)* CHOOSE(CONTROL!$C$21, $C$9, 100%, $E$9)</f>
        <v>24.4284</v>
      </c>
      <c r="J750" s="10">
        <f>CHOOSE(CONTROL!$C$42, 24.4003, 24.4003)* CHOOSE(CONTROL!$C$21, $C$9, 100%, $E$9)</f>
        <v>24.400300000000001</v>
      </c>
      <c r="K750" s="10">
        <f>CHOOSE(CONTROL!$C$42, 23.8691, 23.8691) * CHOOSE(CONTROL!$C$21, $C$9, 100%, $E$9)</f>
        <v>23.8691</v>
      </c>
      <c r="L750" s="10">
        <f>CHOOSE(CONTROL!$C$42, 25.2355, 25.2355) * CHOOSE(CONTROL!$C$21, $C$9, 100%, $E$9)</f>
        <v>25.235499999999998</v>
      </c>
      <c r="M750" s="10">
        <f>CHOOSE(CONTROL!$C$42, 24.1679, 24.1679) * CHOOSE(CONTROL!$C$21, $C$9, 100%, $E$9)</f>
        <v>24.167899999999999</v>
      </c>
      <c r="N750" s="10">
        <f>CHOOSE(CONTROL!$C$42, 24.1843, 24.1843) * CHOOSE(CONTROL!$C$21, $C$9, 100%, $E$9)</f>
        <v>24.1843</v>
      </c>
      <c r="O750" s="10">
        <f>CHOOSE(CONTROL!$C$42, 24.4136, 24.4136) * CHOOSE(CONTROL!$C$21, $C$9, 100%, $E$9)</f>
        <v>24.413599999999999</v>
      </c>
      <c r="P750" s="10">
        <f>CHOOSE(CONTROL!$C$42, 24.1957, 24.1957) * CHOOSE(CONTROL!$C$21, $C$9, 100%, $E$9)</f>
        <v>24.195699999999999</v>
      </c>
      <c r="Q750" s="10">
        <f>CHOOSE(CONTROL!$C$42, 25.0089, 25.0089) * CHOOSE(CONTROL!$C$21, $C$9, 100%, $E$9)</f>
        <v>25.008900000000001</v>
      </c>
      <c r="R750" s="10">
        <f>CHOOSE(CONTROL!$C$42, 25.6584, 25.6584) * CHOOSE(CONTROL!$C$21, $C$9, 100%, $E$9)</f>
        <v>25.6584</v>
      </c>
      <c r="S750" s="10">
        <f>CHOOSE(CONTROL!$C$42, 23.7331, 23.7331) * CHOOSE(CONTROL!$C$21, $C$9, 100%, $E$9)</f>
        <v>23.7331</v>
      </c>
      <c r="T7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38">
        <f>(1000*CHOOSE(CONTROL!$C$42, 695, 695)*CHOOSE(CONTROL!$C$42, 0.5599, 0.5599)*CHOOSE(CONTROL!$C$42, 30, 30))/1000000</f>
        <v>11.673914999999997</v>
      </c>
      <c r="V750" s="38">
        <f>(1000*CHOOSE(CONTROL!$C$42, 500, 500)*CHOOSE(CONTROL!$C$42, 0.275, 0.275)*CHOOSE(CONTROL!$C$42, 30, 30))/1000000</f>
        <v>4.125</v>
      </c>
      <c r="W750" s="38">
        <f>(1000*CHOOSE(CONTROL!$C$42, 0.1146, 0.1146)*CHOOSE(CONTROL!$C$42, 121.5, 121.5)*CHOOSE(CONTROL!$C$42, 30, 30))/1000000</f>
        <v>0.417717</v>
      </c>
      <c r="X750" s="38">
        <f>(30*0.1790888*245000/1000000)+(30*0.2374*100000/1000000)</f>
        <v>2.0285026799999999</v>
      </c>
      <c r="Y750" s="38">
        <f>(1000*600*CHOOSE(CONTROL!$C$42, 1.0585, 1.0585)*CHOOSE(CONTROL!$C$42, 30, 30))/1000000</f>
        <v>19.053000000000001</v>
      </c>
      <c r="Z750" s="38"/>
      <c r="AA750" s="10"/>
      <c r="AB750" s="39"/>
      <c r="AC750" s="33">
        <f>(B750*194.205+C750*267.466+D750*133.845+E750*53.484+F750*40+G750*185+H750*0+I750*100+J750*300)/(194.205+267.466+133.845+53.484+0+40+185+100+300)</f>
        <v>24.458464023469389</v>
      </c>
      <c r="AD750" s="27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24.284204316546763</v>
      </c>
    </row>
    <row r="751" spans="1:30" ht="15.75" x14ac:dyDescent="0.25">
      <c r="A751" s="13">
        <v>64131</v>
      </c>
      <c r="B751" s="10">
        <f>CHOOSE(CONTROL!$C$42, 23.975, 23.975) * CHOOSE(CONTROL!$C$21, $C$9, 100%, $E$9)</f>
        <v>23.975000000000001</v>
      </c>
      <c r="C751" s="10">
        <f>CHOOSE(CONTROL!$C$42, 23.9829, 23.9829) * CHOOSE(CONTROL!$C$21, $C$9, 100%, $E$9)</f>
        <v>23.982900000000001</v>
      </c>
      <c r="D751" s="10">
        <f>CHOOSE(CONTROL!$C$42, 24.1599, 24.1599) * CHOOSE(CONTROL!$C$21, $C$9, 100%, $E$9)</f>
        <v>24.1599</v>
      </c>
      <c r="E751" s="10">
        <f>CHOOSE(CONTROL!$C$42, 24.191, 24.191) * CHOOSE(CONTROL!$C$21, $C$9, 100%, $E$9)</f>
        <v>24.190999999999999</v>
      </c>
      <c r="F751" s="10">
        <f>CHOOSE(CONTROL!$C$42, 23.9387, 23.9387)*CHOOSE(CONTROL!$C$21, $C$9, 100%, $E$9)</f>
        <v>23.938700000000001</v>
      </c>
      <c r="G751" s="10">
        <f>CHOOSE(CONTROL!$C$42, 23.9553, 23.9553)*CHOOSE(CONTROL!$C$21, $C$9, 100%, $E$9)</f>
        <v>23.955300000000001</v>
      </c>
      <c r="H751" s="10">
        <f>CHOOSE(CONTROL!$C$42, 24.1796, 24.1796) * CHOOSE(CONTROL!$C$21, $C$9, 100%, $E$9)</f>
        <v>24.179600000000001</v>
      </c>
      <c r="I751" s="10">
        <f>CHOOSE(CONTROL!$C$42, 23.9595, 23.9595)* CHOOSE(CONTROL!$C$21, $C$9, 100%, $E$9)</f>
        <v>23.959499999999998</v>
      </c>
      <c r="J751" s="10">
        <f>CHOOSE(CONTROL!$C$42, 23.9317, 23.9317)* CHOOSE(CONTROL!$C$21, $C$9, 100%, $E$9)</f>
        <v>23.931699999999999</v>
      </c>
      <c r="K751" s="10">
        <f>CHOOSE(CONTROL!$C$42, 23.4141, 23.4141) * CHOOSE(CONTROL!$C$21, $C$9, 100%, $E$9)</f>
        <v>23.414100000000001</v>
      </c>
      <c r="L751" s="10">
        <f>CHOOSE(CONTROL!$C$42, 24.7666, 24.7666) * CHOOSE(CONTROL!$C$21, $C$9, 100%, $E$9)</f>
        <v>24.7666</v>
      </c>
      <c r="M751" s="10">
        <f>CHOOSE(CONTROL!$C$42, 23.7041, 23.7041) * CHOOSE(CONTROL!$C$21, $C$9, 100%, $E$9)</f>
        <v>23.7041</v>
      </c>
      <c r="N751" s="10">
        <f>CHOOSE(CONTROL!$C$42, 23.7205, 23.7205) * CHOOSE(CONTROL!$C$21, $C$9, 100%, $E$9)</f>
        <v>23.720500000000001</v>
      </c>
      <c r="O751" s="10">
        <f>CHOOSE(CONTROL!$C$42, 23.9494, 23.9494) * CHOOSE(CONTROL!$C$21, $C$9, 100%, $E$9)</f>
        <v>23.949400000000001</v>
      </c>
      <c r="P751" s="10">
        <f>CHOOSE(CONTROL!$C$42, 23.7316, 23.7316) * CHOOSE(CONTROL!$C$21, $C$9, 100%, $E$9)</f>
        <v>23.7316</v>
      </c>
      <c r="Q751" s="10">
        <f>CHOOSE(CONTROL!$C$42, 24.5447, 24.5447) * CHOOSE(CONTROL!$C$21, $C$9, 100%, $E$9)</f>
        <v>24.544699999999999</v>
      </c>
      <c r="R751" s="10">
        <f>CHOOSE(CONTROL!$C$42, 25.1931, 25.1931) * CHOOSE(CONTROL!$C$21, $C$9, 100%, $E$9)</f>
        <v>25.193100000000001</v>
      </c>
      <c r="S751" s="10">
        <f>CHOOSE(CONTROL!$C$42, 23.2778, 23.2778) * CHOOSE(CONTROL!$C$21, $C$9, 100%, $E$9)</f>
        <v>23.277799999999999</v>
      </c>
      <c r="T7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38">
        <f>(1000*CHOOSE(CONTROL!$C$42, 695, 695)*CHOOSE(CONTROL!$C$42, 0.5599, 0.5599)*CHOOSE(CONTROL!$C$42, 31, 31))/1000000</f>
        <v>12.063045499999998</v>
      </c>
      <c r="V751" s="38">
        <f>(1000*CHOOSE(CONTROL!$C$42, 500, 500)*CHOOSE(CONTROL!$C$42, 0.275, 0.275)*CHOOSE(CONTROL!$C$42, 31, 31))/1000000</f>
        <v>4.2625000000000002</v>
      </c>
      <c r="W751" s="38">
        <f>(1000*CHOOSE(CONTROL!$C$42, 0.1146, 0.1146)*CHOOSE(CONTROL!$C$42, 121.5, 121.5)*CHOOSE(CONTROL!$C$42, 31, 31))/1000000</f>
        <v>0.43164089999999994</v>
      </c>
      <c r="X751" s="38">
        <f>(31*0.1790888*245000/1000000)+(31*0.2374*100000/1000000)</f>
        <v>2.0961194359999999</v>
      </c>
      <c r="Y751" s="38">
        <f>(1000*600*CHOOSE(CONTROL!$C$42, 1.0585, 1.0585)*CHOOSE(CONTROL!$C$42, 31, 31))/1000000</f>
        <v>19.688099999999999</v>
      </c>
      <c r="Z751" s="38"/>
      <c r="AA751" s="10"/>
      <c r="AB751" s="39"/>
      <c r="AC751" s="33">
        <f>(B751*194.205+C751*267.466+D751*133.845+E751*53.484+F751*40+G751*185+H751*0+I751*100+J751*300)/(194.205+267.466+133.845+53.484+0+40+185+100+300)</f>
        <v>23.989738591758247</v>
      </c>
      <c r="AD751" s="27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23.820179856115111</v>
      </c>
    </row>
    <row r="752" spans="1:30" ht="15.75" x14ac:dyDescent="0.25">
      <c r="A752" s="13">
        <v>64162</v>
      </c>
      <c r="B752" s="10">
        <f>CHOOSE(CONTROL!$C$42, 22.791, 22.791) * CHOOSE(CONTROL!$C$21, $C$9, 100%, $E$9)</f>
        <v>22.791</v>
      </c>
      <c r="C752" s="10">
        <f>CHOOSE(CONTROL!$C$42, 22.7989, 22.7989) * CHOOSE(CONTROL!$C$21, $C$9, 100%, $E$9)</f>
        <v>22.7989</v>
      </c>
      <c r="D752" s="10">
        <f>CHOOSE(CONTROL!$C$42, 22.9759, 22.9759) * CHOOSE(CONTROL!$C$21, $C$9, 100%, $E$9)</f>
        <v>22.975899999999999</v>
      </c>
      <c r="E752" s="10">
        <f>CHOOSE(CONTROL!$C$42, 23.007, 23.007) * CHOOSE(CONTROL!$C$21, $C$9, 100%, $E$9)</f>
        <v>23.007000000000001</v>
      </c>
      <c r="F752" s="10">
        <f>CHOOSE(CONTROL!$C$42, 22.7548, 22.7548)*CHOOSE(CONTROL!$C$21, $C$9, 100%, $E$9)</f>
        <v>22.754799999999999</v>
      </c>
      <c r="G752" s="10">
        <f>CHOOSE(CONTROL!$C$42, 22.7714, 22.7714)*CHOOSE(CONTROL!$C$21, $C$9, 100%, $E$9)</f>
        <v>22.7714</v>
      </c>
      <c r="H752" s="10">
        <f>CHOOSE(CONTROL!$C$42, 22.9957, 22.9957) * CHOOSE(CONTROL!$C$21, $C$9, 100%, $E$9)</f>
        <v>22.995699999999999</v>
      </c>
      <c r="I752" s="10">
        <f>CHOOSE(CONTROL!$C$42, 22.7756, 22.7756)* CHOOSE(CONTROL!$C$21, $C$9, 100%, $E$9)</f>
        <v>22.775600000000001</v>
      </c>
      <c r="J752" s="10">
        <f>CHOOSE(CONTROL!$C$42, 22.7478, 22.7478)* CHOOSE(CONTROL!$C$21, $C$9, 100%, $E$9)</f>
        <v>22.747800000000002</v>
      </c>
      <c r="K752" s="10">
        <f>CHOOSE(CONTROL!$C$42, 22.2639, 22.2639) * CHOOSE(CONTROL!$C$21, $C$9, 100%, $E$9)</f>
        <v>22.2639</v>
      </c>
      <c r="L752" s="10">
        <f>CHOOSE(CONTROL!$C$42, 23.5827, 23.5827) * CHOOSE(CONTROL!$C$21, $C$9, 100%, $E$9)</f>
        <v>23.582699999999999</v>
      </c>
      <c r="M752" s="10">
        <f>CHOOSE(CONTROL!$C$42, 22.5321, 22.5321) * CHOOSE(CONTROL!$C$21, $C$9, 100%, $E$9)</f>
        <v>22.5321</v>
      </c>
      <c r="N752" s="10">
        <f>CHOOSE(CONTROL!$C$42, 22.5485, 22.5485) * CHOOSE(CONTROL!$C$21, $C$9, 100%, $E$9)</f>
        <v>22.548500000000001</v>
      </c>
      <c r="O752" s="10">
        <f>CHOOSE(CONTROL!$C$42, 22.7774, 22.7774) * CHOOSE(CONTROL!$C$21, $C$9, 100%, $E$9)</f>
        <v>22.7774</v>
      </c>
      <c r="P752" s="10">
        <f>CHOOSE(CONTROL!$C$42, 22.5596, 22.5596) * CHOOSE(CONTROL!$C$21, $C$9, 100%, $E$9)</f>
        <v>22.5596</v>
      </c>
      <c r="Q752" s="10">
        <f>CHOOSE(CONTROL!$C$42, 23.3727, 23.3727) * CHOOSE(CONTROL!$C$21, $C$9, 100%, $E$9)</f>
        <v>23.372699999999998</v>
      </c>
      <c r="R752" s="10">
        <f>CHOOSE(CONTROL!$C$42, 24.0181, 24.0181) * CHOOSE(CONTROL!$C$21, $C$9, 100%, $E$9)</f>
        <v>24.0181</v>
      </c>
      <c r="S752" s="10">
        <f>CHOOSE(CONTROL!$C$42, 22.1281, 22.1281) * CHOOSE(CONTROL!$C$21, $C$9, 100%, $E$9)</f>
        <v>22.1281</v>
      </c>
      <c r="T7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38">
        <f>(1000*CHOOSE(CONTROL!$C$42, 695, 695)*CHOOSE(CONTROL!$C$42, 0.5599, 0.5599)*CHOOSE(CONTROL!$C$42, 31, 31))/1000000</f>
        <v>12.063045499999998</v>
      </c>
      <c r="V752" s="38">
        <f>(1000*CHOOSE(CONTROL!$C$42, 500, 500)*CHOOSE(CONTROL!$C$42, 0.275, 0.275)*CHOOSE(CONTROL!$C$42, 31, 31))/1000000</f>
        <v>4.2625000000000002</v>
      </c>
      <c r="W752" s="38">
        <f>(1000*CHOOSE(CONTROL!$C$42, 0.1146, 0.1146)*CHOOSE(CONTROL!$C$42, 121.5, 121.5)*CHOOSE(CONTROL!$C$42, 31, 31))/1000000</f>
        <v>0.43164089999999994</v>
      </c>
      <c r="X752" s="38">
        <f>(31*0.1790888*245000/1000000)+(31*0.2374*100000/1000000)</f>
        <v>2.0961194359999999</v>
      </c>
      <c r="Y752" s="38">
        <f>(1000*600*CHOOSE(CONTROL!$C$42, 1.0585, 1.0585)*CHOOSE(CONTROL!$C$42, 31, 31))/1000000</f>
        <v>19.688099999999999</v>
      </c>
      <c r="Z752" s="38"/>
      <c r="AA752" s="10"/>
      <c r="AB752" s="39"/>
      <c r="AC752" s="33">
        <f>(B752*194.205+C752*267.466+D752*133.845+E752*53.484+F752*40+G752*185+H752*0+I752*100+J752*300)/(194.205+267.466+133.845+53.484+0+40+185+100+300)</f>
        <v>22.805787649843015</v>
      </c>
      <c r="AD752" s="27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22.64817985611511</v>
      </c>
    </row>
    <row r="753" spans="1:30" ht="15.75" x14ac:dyDescent="0.25">
      <c r="A753" s="13">
        <v>64192</v>
      </c>
      <c r="B753" s="10">
        <f>CHOOSE(CONTROL!$C$42, 21.3444, 21.3444) * CHOOSE(CONTROL!$C$21, $C$9, 100%, $E$9)</f>
        <v>21.3444</v>
      </c>
      <c r="C753" s="10">
        <f>CHOOSE(CONTROL!$C$42, 21.3523, 21.3523) * CHOOSE(CONTROL!$C$21, $C$9, 100%, $E$9)</f>
        <v>21.3523</v>
      </c>
      <c r="D753" s="10">
        <f>CHOOSE(CONTROL!$C$42, 21.5293, 21.5293) * CHOOSE(CONTROL!$C$21, $C$9, 100%, $E$9)</f>
        <v>21.529299999999999</v>
      </c>
      <c r="E753" s="10">
        <f>CHOOSE(CONTROL!$C$42, 21.5604, 21.5604) * CHOOSE(CONTROL!$C$21, $C$9, 100%, $E$9)</f>
        <v>21.560400000000001</v>
      </c>
      <c r="F753" s="10">
        <f>CHOOSE(CONTROL!$C$42, 21.308, 21.308)*CHOOSE(CONTROL!$C$21, $C$9, 100%, $E$9)</f>
        <v>21.308</v>
      </c>
      <c r="G753" s="10">
        <f>CHOOSE(CONTROL!$C$42, 21.3245, 21.3245)*CHOOSE(CONTROL!$C$21, $C$9, 100%, $E$9)</f>
        <v>21.3245</v>
      </c>
      <c r="H753" s="10">
        <f>CHOOSE(CONTROL!$C$42, 21.5491, 21.5491) * CHOOSE(CONTROL!$C$21, $C$9, 100%, $E$9)</f>
        <v>21.549099999999999</v>
      </c>
      <c r="I753" s="10">
        <f>CHOOSE(CONTROL!$C$42, 21.329, 21.329)* CHOOSE(CONTROL!$C$21, $C$9, 100%, $E$9)</f>
        <v>21.329000000000001</v>
      </c>
      <c r="J753" s="10">
        <f>CHOOSE(CONTROL!$C$42, 21.301, 21.301)* CHOOSE(CONTROL!$C$21, $C$9, 100%, $E$9)</f>
        <v>21.300999999999998</v>
      </c>
      <c r="K753" s="10">
        <f>CHOOSE(CONTROL!$C$42, 20.8579, 20.8579) * CHOOSE(CONTROL!$C$21, $C$9, 100%, $E$9)</f>
        <v>20.857900000000001</v>
      </c>
      <c r="L753" s="10">
        <f>CHOOSE(CONTROL!$C$42, 22.1361, 22.1361) * CHOOSE(CONTROL!$C$21, $C$9, 100%, $E$9)</f>
        <v>22.136099999999999</v>
      </c>
      <c r="M753" s="10">
        <f>CHOOSE(CONTROL!$C$42, 21.0998, 21.0998) * CHOOSE(CONTROL!$C$21, $C$9, 100%, $E$9)</f>
        <v>21.099799999999998</v>
      </c>
      <c r="N753" s="10">
        <f>CHOOSE(CONTROL!$C$42, 21.1162, 21.1162) * CHOOSE(CONTROL!$C$21, $C$9, 100%, $E$9)</f>
        <v>21.116199999999999</v>
      </c>
      <c r="O753" s="10">
        <f>CHOOSE(CONTROL!$C$42, 21.3454, 21.3454) * CHOOSE(CONTROL!$C$21, $C$9, 100%, $E$9)</f>
        <v>21.345400000000001</v>
      </c>
      <c r="P753" s="10">
        <f>CHOOSE(CONTROL!$C$42, 21.1276, 21.1276) * CHOOSE(CONTROL!$C$21, $C$9, 100%, $E$9)</f>
        <v>21.127600000000001</v>
      </c>
      <c r="Q753" s="10">
        <f>CHOOSE(CONTROL!$C$42, 21.9407, 21.9407) * CHOOSE(CONTROL!$C$21, $C$9, 100%, $E$9)</f>
        <v>21.9407</v>
      </c>
      <c r="R753" s="10">
        <f>CHOOSE(CONTROL!$C$42, 22.5826, 22.5826) * CHOOSE(CONTROL!$C$21, $C$9, 100%, $E$9)</f>
        <v>22.582599999999999</v>
      </c>
      <c r="S753" s="10">
        <f>CHOOSE(CONTROL!$C$42, 20.7233, 20.7233) * CHOOSE(CONTROL!$C$21, $C$9, 100%, $E$9)</f>
        <v>20.723299999999998</v>
      </c>
      <c r="T7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38">
        <f>(1000*CHOOSE(CONTROL!$C$42, 695, 695)*CHOOSE(CONTROL!$C$42, 0.5599, 0.5599)*CHOOSE(CONTROL!$C$42, 30, 30))/1000000</f>
        <v>11.673914999999997</v>
      </c>
      <c r="V753" s="38">
        <f>(1000*CHOOSE(CONTROL!$C$42, 500, 500)*CHOOSE(CONTROL!$C$42, 0.275, 0.275)*CHOOSE(CONTROL!$C$42, 30, 30))/1000000</f>
        <v>4.125</v>
      </c>
      <c r="W753" s="38">
        <f>(1000*CHOOSE(CONTROL!$C$42, 0.1146, 0.1146)*CHOOSE(CONTROL!$C$42, 121.5, 121.5)*CHOOSE(CONTROL!$C$42, 30, 30))/1000000</f>
        <v>0.417717</v>
      </c>
      <c r="X753" s="38">
        <f>(30*0.1790888*245000/1000000)+(30*0.2374*100000/1000000)</f>
        <v>2.0285026799999999</v>
      </c>
      <c r="Y753" s="38">
        <f>(1000*600*CHOOSE(CONTROL!$C$42, 1.0585, 1.0585)*CHOOSE(CONTROL!$C$42, 30, 30))/1000000</f>
        <v>19.053000000000001</v>
      </c>
      <c r="Z753" s="38"/>
      <c r="AA753" s="10"/>
      <c r="AB753" s="39"/>
      <c r="AC753" s="33">
        <f>(B753*194.205+C753*267.466+D753*133.845+E753*53.484+F753*40+G753*185+H753*0+I753*100+J753*300)/(194.205+267.466+133.845+53.484+0+40+185+100+300)</f>
        <v>21.359090711067505</v>
      </c>
      <c r="AD753" s="27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21.216058992805756</v>
      </c>
    </row>
    <row r="754" spans="1:30" ht="15.75" x14ac:dyDescent="0.25">
      <c r="A754" s="13">
        <v>64223</v>
      </c>
      <c r="B754" s="10">
        <f>CHOOSE(CONTROL!$C$42, 20.909, 20.909) * CHOOSE(CONTROL!$C$21, $C$9, 100%, $E$9)</f>
        <v>20.908999999999999</v>
      </c>
      <c r="C754" s="10">
        <f>CHOOSE(CONTROL!$C$42, 20.9142, 20.9142) * CHOOSE(CONTROL!$C$21, $C$9, 100%, $E$9)</f>
        <v>20.914200000000001</v>
      </c>
      <c r="D754" s="10">
        <f>CHOOSE(CONTROL!$C$42, 21.0961, 21.0961) * CHOOSE(CONTROL!$C$21, $C$9, 100%, $E$9)</f>
        <v>21.0961</v>
      </c>
      <c r="E754" s="10">
        <f>CHOOSE(CONTROL!$C$42, 21.1249, 21.1249) * CHOOSE(CONTROL!$C$21, $C$9, 100%, $E$9)</f>
        <v>21.1249</v>
      </c>
      <c r="F754" s="10">
        <f>CHOOSE(CONTROL!$C$42, 20.8746, 20.8746)*CHOOSE(CONTROL!$C$21, $C$9, 100%, $E$9)</f>
        <v>20.874600000000001</v>
      </c>
      <c r="G754" s="10">
        <f>CHOOSE(CONTROL!$C$42, 20.8908, 20.8908)*CHOOSE(CONTROL!$C$21, $C$9, 100%, $E$9)</f>
        <v>20.890799999999999</v>
      </c>
      <c r="H754" s="10">
        <f>CHOOSE(CONTROL!$C$42, 21.1154, 21.1154) * CHOOSE(CONTROL!$C$21, $C$9, 100%, $E$9)</f>
        <v>21.115400000000001</v>
      </c>
      <c r="I754" s="10">
        <f>CHOOSE(CONTROL!$C$42, 20.8953, 20.8953)* CHOOSE(CONTROL!$C$21, $C$9, 100%, $E$9)</f>
        <v>20.895299999999999</v>
      </c>
      <c r="J754" s="10">
        <f>CHOOSE(CONTROL!$C$42, 20.8676, 20.8676)* CHOOSE(CONTROL!$C$21, $C$9, 100%, $E$9)</f>
        <v>20.867599999999999</v>
      </c>
      <c r="K754" s="10">
        <f>CHOOSE(CONTROL!$C$42, 20.4371, 20.4371) * CHOOSE(CONTROL!$C$21, $C$9, 100%, $E$9)</f>
        <v>20.437100000000001</v>
      </c>
      <c r="L754" s="10">
        <f>CHOOSE(CONTROL!$C$42, 21.7024, 21.7024) * CHOOSE(CONTROL!$C$21, $C$9, 100%, $E$9)</f>
        <v>21.702400000000001</v>
      </c>
      <c r="M754" s="10">
        <f>CHOOSE(CONTROL!$C$42, 20.6708, 20.6708) * CHOOSE(CONTROL!$C$21, $C$9, 100%, $E$9)</f>
        <v>20.6708</v>
      </c>
      <c r="N754" s="10">
        <f>CHOOSE(CONTROL!$C$42, 20.6869, 20.6869) * CHOOSE(CONTROL!$C$21, $C$9, 100%, $E$9)</f>
        <v>20.686900000000001</v>
      </c>
      <c r="O754" s="10">
        <f>CHOOSE(CONTROL!$C$42, 20.9161, 20.9161) * CHOOSE(CONTROL!$C$21, $C$9, 100%, $E$9)</f>
        <v>20.9161</v>
      </c>
      <c r="P754" s="10">
        <f>CHOOSE(CONTROL!$C$42, 20.6983, 20.6983) * CHOOSE(CONTROL!$C$21, $C$9, 100%, $E$9)</f>
        <v>20.6983</v>
      </c>
      <c r="Q754" s="10">
        <f>CHOOSE(CONTROL!$C$42, 21.5114, 21.5114) * CHOOSE(CONTROL!$C$21, $C$9, 100%, $E$9)</f>
        <v>21.511399999999998</v>
      </c>
      <c r="R754" s="10">
        <f>CHOOSE(CONTROL!$C$42, 22.1522, 22.1522) * CHOOSE(CONTROL!$C$21, $C$9, 100%, $E$9)</f>
        <v>22.152200000000001</v>
      </c>
      <c r="S754" s="10">
        <f>CHOOSE(CONTROL!$C$42, 20.3022, 20.3022) * CHOOSE(CONTROL!$C$21, $C$9, 100%, $E$9)</f>
        <v>20.302199999999999</v>
      </c>
      <c r="T7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38">
        <f>(1000*CHOOSE(CONTROL!$C$42, 695, 695)*CHOOSE(CONTROL!$C$42, 0.5599, 0.5599)*CHOOSE(CONTROL!$C$42, 31, 31))/1000000</f>
        <v>12.063045499999998</v>
      </c>
      <c r="V754" s="38">
        <f>(1000*CHOOSE(CONTROL!$C$42, 500, 500)*CHOOSE(CONTROL!$C$42, 0.275, 0.275)*CHOOSE(CONTROL!$C$42, 31, 31))/1000000</f>
        <v>4.2625000000000002</v>
      </c>
      <c r="W754" s="38">
        <f>(1000*CHOOSE(CONTROL!$C$42, 0.1146, 0.1146)*CHOOSE(CONTROL!$C$42, 121.5, 121.5)*CHOOSE(CONTROL!$C$42, 31, 31))/1000000</f>
        <v>0.43164089999999994</v>
      </c>
      <c r="X754" s="38">
        <f>(31*0.1790888*245000/1000000)+(31*0.2374*100000/1000000)</f>
        <v>2.0961194359999999</v>
      </c>
      <c r="Y754" s="38">
        <f>(1000*600*CHOOSE(CONTROL!$C$42, 1.0585, 1.0585)*CHOOSE(CONTROL!$C$42, 31, 31))/1000000</f>
        <v>19.688099999999999</v>
      </c>
      <c r="Z754" s="38"/>
      <c r="AA754" s="10"/>
      <c r="AB754" s="39"/>
      <c r="AC754" s="33">
        <f>(B754*131.881+C754*277.167+D754*79.08+E754*125.872+F754*40+G754*185+H754*0+I754*100+J754*300)/(131.881+277.167+79.08+125.872+0+40+185+100+300)</f>
        <v>20.929080630508469</v>
      </c>
      <c r="AD754" s="27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20.786862589928059</v>
      </c>
    </row>
    <row r="755" spans="1:30" ht="15.75" x14ac:dyDescent="0.25">
      <c r="A755" s="13">
        <v>64253</v>
      </c>
      <c r="B755" s="10">
        <f>CHOOSE(CONTROL!$C$42, 21.4593, 21.4593) * CHOOSE(CONTROL!$C$21, $C$9, 100%, $E$9)</f>
        <v>21.459299999999999</v>
      </c>
      <c r="C755" s="10">
        <f>CHOOSE(CONTROL!$C$42, 21.4643, 21.4643) * CHOOSE(CONTROL!$C$21, $C$9, 100%, $E$9)</f>
        <v>21.464300000000001</v>
      </c>
      <c r="D755" s="10">
        <f>CHOOSE(CONTROL!$C$42, 21.4887, 21.4887) * CHOOSE(CONTROL!$C$21, $C$9, 100%, $E$9)</f>
        <v>21.488700000000001</v>
      </c>
      <c r="E755" s="10">
        <f>CHOOSE(CONTROL!$C$42, 21.5225, 21.5225) * CHOOSE(CONTROL!$C$21, $C$9, 100%, $E$9)</f>
        <v>21.522500000000001</v>
      </c>
      <c r="F755" s="10">
        <f>CHOOSE(CONTROL!$C$42, 21.4286, 21.4286)*CHOOSE(CONTROL!$C$21, $C$9, 100%, $E$9)</f>
        <v>21.428599999999999</v>
      </c>
      <c r="G755" s="10">
        <f>CHOOSE(CONTROL!$C$42, 21.445, 21.445)*CHOOSE(CONTROL!$C$21, $C$9, 100%, $E$9)</f>
        <v>21.445</v>
      </c>
      <c r="H755" s="10">
        <f>CHOOSE(CONTROL!$C$42, 21.5117, 21.5117) * CHOOSE(CONTROL!$C$21, $C$9, 100%, $E$9)</f>
        <v>21.511700000000001</v>
      </c>
      <c r="I755" s="10">
        <f>CHOOSE(CONTROL!$C$42, 21.4461, 21.4461)* CHOOSE(CONTROL!$C$21, $C$9, 100%, $E$9)</f>
        <v>21.446100000000001</v>
      </c>
      <c r="J755" s="10">
        <f>CHOOSE(CONTROL!$C$42, 21.4216, 21.4216)* CHOOSE(CONTROL!$C$21, $C$9, 100%, $E$9)</f>
        <v>21.421600000000002</v>
      </c>
      <c r="K755" s="10">
        <f>CHOOSE(CONTROL!$C$42, 20.9737, 20.9737) * CHOOSE(CONTROL!$C$21, $C$9, 100%, $E$9)</f>
        <v>20.973700000000001</v>
      </c>
      <c r="L755" s="10">
        <f>CHOOSE(CONTROL!$C$42, 22.0987, 22.0987) * CHOOSE(CONTROL!$C$21, $C$9, 100%, $E$9)</f>
        <v>22.098700000000001</v>
      </c>
      <c r="M755" s="10">
        <f>CHOOSE(CONTROL!$C$42, 21.2193, 21.2193) * CHOOSE(CONTROL!$C$21, $C$9, 100%, $E$9)</f>
        <v>21.2193</v>
      </c>
      <c r="N755" s="10">
        <f>CHOOSE(CONTROL!$C$42, 21.2355, 21.2355) * CHOOSE(CONTROL!$C$21, $C$9, 100%, $E$9)</f>
        <v>21.235499999999998</v>
      </c>
      <c r="O755" s="10">
        <f>CHOOSE(CONTROL!$C$42, 21.3084, 21.3084) * CHOOSE(CONTROL!$C$21, $C$9, 100%, $E$9)</f>
        <v>21.308399999999999</v>
      </c>
      <c r="P755" s="10">
        <f>CHOOSE(CONTROL!$C$42, 21.2435, 21.2435) * CHOOSE(CONTROL!$C$21, $C$9, 100%, $E$9)</f>
        <v>21.243500000000001</v>
      </c>
      <c r="Q755" s="10">
        <f>CHOOSE(CONTROL!$C$42, 21.9037, 21.9037) * CHOOSE(CONTROL!$C$21, $C$9, 100%, $E$9)</f>
        <v>21.903700000000001</v>
      </c>
      <c r="R755" s="10">
        <f>CHOOSE(CONTROL!$C$42, 22.5455, 22.5455) * CHOOSE(CONTROL!$C$21, $C$9, 100%, $E$9)</f>
        <v>22.545500000000001</v>
      </c>
      <c r="S755" s="10">
        <f>CHOOSE(CONTROL!$C$42, 20.837, 20.837) * CHOOSE(CONTROL!$C$21, $C$9, 100%, $E$9)</f>
        <v>20.837</v>
      </c>
      <c r="T7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38">
        <f>(1000*CHOOSE(CONTROL!$C$42, 695, 695)*CHOOSE(CONTROL!$C$42, 0.5599, 0.5599)*CHOOSE(CONTROL!$C$42, 30, 30))/1000000</f>
        <v>11.673914999999997</v>
      </c>
      <c r="V755" s="38">
        <f>(1000*CHOOSE(CONTROL!$C$42, 500, 500)*CHOOSE(CONTROL!$C$42, 0.275, 0.275)*CHOOSE(CONTROL!$C$42, 30, 30))/1000000</f>
        <v>4.125</v>
      </c>
      <c r="W755" s="38">
        <f>(1000*CHOOSE(CONTROL!$C$42, 0.1146, 0.1146)*CHOOSE(CONTROL!$C$42, 121.5, 121.5)*CHOOSE(CONTROL!$C$42, 30, 30))/1000000</f>
        <v>0.417717</v>
      </c>
      <c r="X755" s="38">
        <f>(30*0.1790888*100000/1000000)+(30*0.2374*100000/1000000)</f>
        <v>1.2494664</v>
      </c>
      <c r="Y755" s="38">
        <f>(1000*600*CHOOSE(CONTROL!$C$42, 1.0585, 1.0585)*CHOOSE(CONTROL!$C$42, 30, 30))/1000000</f>
        <v>19.053000000000001</v>
      </c>
      <c r="Z755" s="38"/>
      <c r="AA755" s="10"/>
      <c r="AB755" s="39"/>
      <c r="AC755" s="33">
        <f>(B755*122.58+C755*297.941+D755*89.177+E755*40.302+F755*40+G755*160+H755*0+I755*100+J755*300)/(122.58+297.941+89.177+40.302+0+40+160+100+300)</f>
        <v>21.451050082782608</v>
      </c>
      <c r="AD755" s="27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21.26409784172662</v>
      </c>
    </row>
    <row r="756" spans="1:30" ht="15.75" x14ac:dyDescent="0.25">
      <c r="A756" s="13">
        <v>64284</v>
      </c>
      <c r="B756" s="10">
        <f>CHOOSE(CONTROL!$C$42, 22.9222, 22.9222) * CHOOSE(CONTROL!$C$21, $C$9, 100%, $E$9)</f>
        <v>22.9222</v>
      </c>
      <c r="C756" s="10">
        <f>CHOOSE(CONTROL!$C$42, 22.9271, 22.9271) * CHOOSE(CONTROL!$C$21, $C$9, 100%, $E$9)</f>
        <v>22.927099999999999</v>
      </c>
      <c r="D756" s="10">
        <f>CHOOSE(CONTROL!$C$42, 22.9516, 22.9516) * CHOOSE(CONTROL!$C$21, $C$9, 100%, $E$9)</f>
        <v>22.951599999999999</v>
      </c>
      <c r="E756" s="10">
        <f>CHOOSE(CONTROL!$C$42, 22.9854, 22.9854) * CHOOSE(CONTROL!$C$21, $C$9, 100%, $E$9)</f>
        <v>22.985399999999998</v>
      </c>
      <c r="F756" s="10">
        <f>CHOOSE(CONTROL!$C$42, 22.8938, 22.8938)*CHOOSE(CONTROL!$C$21, $C$9, 100%, $E$9)</f>
        <v>22.893799999999999</v>
      </c>
      <c r="G756" s="10">
        <f>CHOOSE(CONTROL!$C$42, 22.9108, 22.9108)*CHOOSE(CONTROL!$C$21, $C$9, 100%, $E$9)</f>
        <v>22.910799999999998</v>
      </c>
      <c r="H756" s="10">
        <f>CHOOSE(CONTROL!$C$42, 22.9746, 22.9746) * CHOOSE(CONTROL!$C$21, $C$9, 100%, $E$9)</f>
        <v>22.974599999999999</v>
      </c>
      <c r="I756" s="10">
        <f>CHOOSE(CONTROL!$C$42, 22.9089, 22.9089)* CHOOSE(CONTROL!$C$21, $C$9, 100%, $E$9)</f>
        <v>22.908899999999999</v>
      </c>
      <c r="J756" s="10">
        <f>CHOOSE(CONTROL!$C$42, 22.8868, 22.8868)* CHOOSE(CONTROL!$C$21, $C$9, 100%, $E$9)</f>
        <v>22.886800000000001</v>
      </c>
      <c r="K756" s="10">
        <f>CHOOSE(CONTROL!$C$42, 22.4, 22.4) * CHOOSE(CONTROL!$C$21, $C$9, 100%, $E$9)</f>
        <v>22.4</v>
      </c>
      <c r="L756" s="10">
        <f>CHOOSE(CONTROL!$C$42, 23.5616, 23.5616) * CHOOSE(CONTROL!$C$21, $C$9, 100%, $E$9)</f>
        <v>23.561599999999999</v>
      </c>
      <c r="M756" s="10">
        <f>CHOOSE(CONTROL!$C$42, 22.6697, 22.6697) * CHOOSE(CONTROL!$C$21, $C$9, 100%, $E$9)</f>
        <v>22.669699999999999</v>
      </c>
      <c r="N756" s="10">
        <f>CHOOSE(CONTROL!$C$42, 22.6865, 22.6865) * CHOOSE(CONTROL!$C$21, $C$9, 100%, $E$9)</f>
        <v>22.686499999999999</v>
      </c>
      <c r="O756" s="10">
        <f>CHOOSE(CONTROL!$C$42, 22.7565, 22.7565) * CHOOSE(CONTROL!$C$21, $C$9, 100%, $E$9)</f>
        <v>22.756499999999999</v>
      </c>
      <c r="P756" s="10">
        <f>CHOOSE(CONTROL!$C$42, 22.6916, 22.6916) * CHOOSE(CONTROL!$C$21, $C$9, 100%, $E$9)</f>
        <v>22.691600000000001</v>
      </c>
      <c r="Q756" s="10">
        <f>CHOOSE(CONTROL!$C$42, 23.3518, 23.3518) * CHOOSE(CONTROL!$C$21, $C$9, 100%, $E$9)</f>
        <v>23.351800000000001</v>
      </c>
      <c r="R756" s="10">
        <f>CHOOSE(CONTROL!$C$42, 23.9972, 23.9972) * CHOOSE(CONTROL!$C$21, $C$9, 100%, $E$9)</f>
        <v>23.997199999999999</v>
      </c>
      <c r="S756" s="10">
        <f>CHOOSE(CONTROL!$C$42, 22.2576, 22.2576) * CHOOSE(CONTROL!$C$21, $C$9, 100%, $E$9)</f>
        <v>22.2576</v>
      </c>
      <c r="T7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38">
        <f>(1000*CHOOSE(CONTROL!$C$42, 695, 695)*CHOOSE(CONTROL!$C$42, 0.5599, 0.5599)*CHOOSE(CONTROL!$C$42, 31, 31))/1000000</f>
        <v>12.063045499999998</v>
      </c>
      <c r="V756" s="38">
        <f>(1000*CHOOSE(CONTROL!$C$42, 500, 500)*CHOOSE(CONTROL!$C$42, 0.275, 0.275)*CHOOSE(CONTROL!$C$42, 31, 31))/1000000</f>
        <v>4.2625000000000002</v>
      </c>
      <c r="W756" s="38">
        <f>(1000*CHOOSE(CONTROL!$C$42, 0.1146, 0.1146)*CHOOSE(CONTROL!$C$42, 121.5, 121.5)*CHOOSE(CONTROL!$C$42, 31, 31))/1000000</f>
        <v>0.43164089999999994</v>
      </c>
      <c r="X756" s="38">
        <f>(31*0.1790888*100000/1000000)+(31*0.2374*100000/1000000)</f>
        <v>1.2911152800000001</v>
      </c>
      <c r="Y756" s="38">
        <f>(1000*600*CHOOSE(CONTROL!$C$42, 1.0585, 1.0585)*CHOOSE(CONTROL!$C$42, 31, 31))/1000000</f>
        <v>19.688099999999999</v>
      </c>
      <c r="Z756" s="38"/>
      <c r="AA756" s="10"/>
      <c r="AB756" s="39"/>
      <c r="AC756" s="33">
        <f>(B756*122.58+C756*297.941+D756*89.177+E756*40.302+F756*40+G756*160+H756*0+I756*100+J756*300)/(122.58+297.941+89.177+40.302+0+40+160+100+300)</f>
        <v>22.914998957478264</v>
      </c>
      <c r="AD756" s="27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22.713158992805752</v>
      </c>
    </row>
    <row r="757" spans="1:30" ht="15.75" x14ac:dyDescent="0.25">
      <c r="A757" s="13">
        <v>64315</v>
      </c>
      <c r="B757" s="10">
        <f>CHOOSE(CONTROL!$C$42, 24.4691, 24.4691) * CHOOSE(CONTROL!$C$21, $C$9, 100%, $E$9)</f>
        <v>24.469100000000001</v>
      </c>
      <c r="C757" s="10">
        <f>CHOOSE(CONTROL!$C$42, 24.4741, 24.4741) * CHOOSE(CONTROL!$C$21, $C$9, 100%, $E$9)</f>
        <v>24.4741</v>
      </c>
      <c r="D757" s="10">
        <f>CHOOSE(CONTROL!$C$42, 24.4985, 24.4985) * CHOOSE(CONTROL!$C$21, $C$9, 100%, $E$9)</f>
        <v>24.4985</v>
      </c>
      <c r="E757" s="10">
        <f>CHOOSE(CONTROL!$C$42, 24.5323, 24.5323) * CHOOSE(CONTROL!$C$21, $C$9, 100%, $E$9)</f>
        <v>24.532299999999999</v>
      </c>
      <c r="F757" s="10">
        <f>CHOOSE(CONTROL!$C$42, 24.452, 24.452)*CHOOSE(CONTROL!$C$21, $C$9, 100%, $E$9)</f>
        <v>24.452000000000002</v>
      </c>
      <c r="G757" s="10">
        <f>CHOOSE(CONTROL!$C$42, 24.4707, 24.4707)*CHOOSE(CONTROL!$C$21, $C$9, 100%, $E$9)</f>
        <v>24.470700000000001</v>
      </c>
      <c r="H757" s="10">
        <f>CHOOSE(CONTROL!$C$42, 24.5215, 24.5215) * CHOOSE(CONTROL!$C$21, $C$9, 100%, $E$9)</f>
        <v>24.5215</v>
      </c>
      <c r="I757" s="10">
        <f>CHOOSE(CONTROL!$C$42, 24.4636, 24.4636)* CHOOSE(CONTROL!$C$21, $C$9, 100%, $E$9)</f>
        <v>24.4636</v>
      </c>
      <c r="J757" s="10">
        <f>CHOOSE(CONTROL!$C$42, 24.445, 24.445)* CHOOSE(CONTROL!$C$21, $C$9, 100%, $E$9)</f>
        <v>24.445</v>
      </c>
      <c r="K757" s="10">
        <f>CHOOSE(CONTROL!$C$42, 23.924, 23.924) * CHOOSE(CONTROL!$C$21, $C$9, 100%, $E$9)</f>
        <v>23.923999999999999</v>
      </c>
      <c r="L757" s="10">
        <f>CHOOSE(CONTROL!$C$42, 25.1085, 25.1085) * CHOOSE(CONTROL!$C$21, $C$9, 100%, $E$9)</f>
        <v>25.108499999999999</v>
      </c>
      <c r="M757" s="10">
        <f>CHOOSE(CONTROL!$C$42, 24.2122, 24.2122) * CHOOSE(CONTROL!$C$21, $C$9, 100%, $E$9)</f>
        <v>24.212199999999999</v>
      </c>
      <c r="N757" s="10">
        <f>CHOOSE(CONTROL!$C$42, 24.2306, 24.2306) * CHOOSE(CONTROL!$C$21, $C$9, 100%, $E$9)</f>
        <v>24.230599999999999</v>
      </c>
      <c r="O757" s="10">
        <f>CHOOSE(CONTROL!$C$42, 24.2878, 24.2878) * CHOOSE(CONTROL!$C$21, $C$9, 100%, $E$9)</f>
        <v>24.287800000000001</v>
      </c>
      <c r="P757" s="10">
        <f>CHOOSE(CONTROL!$C$42, 24.2306, 24.2306) * CHOOSE(CONTROL!$C$21, $C$9, 100%, $E$9)</f>
        <v>24.230599999999999</v>
      </c>
      <c r="Q757" s="10">
        <f>CHOOSE(CONTROL!$C$42, 24.8831, 24.8831) * CHOOSE(CONTROL!$C$21, $C$9, 100%, $E$9)</f>
        <v>24.883099999999999</v>
      </c>
      <c r="R757" s="10">
        <f>CHOOSE(CONTROL!$C$42, 25.5324, 25.5324) * CHOOSE(CONTROL!$C$21, $C$9, 100%, $E$9)</f>
        <v>25.532399999999999</v>
      </c>
      <c r="S757" s="10">
        <f>CHOOSE(CONTROL!$C$42, 23.7598, 23.7598) * CHOOSE(CONTROL!$C$21, $C$9, 100%, $E$9)</f>
        <v>23.759799999999998</v>
      </c>
      <c r="T7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38">
        <f>(1000*CHOOSE(CONTROL!$C$42, 695, 695)*CHOOSE(CONTROL!$C$42, 0.5599, 0.5599)*CHOOSE(CONTROL!$C$42, 31, 31))/1000000</f>
        <v>12.063045499999998</v>
      </c>
      <c r="V757" s="38">
        <f>(1000*CHOOSE(CONTROL!$C$42, 500, 500)*CHOOSE(CONTROL!$C$42, 0.275, 0.275)*CHOOSE(CONTROL!$C$42, 31, 31))/1000000</f>
        <v>4.2625000000000002</v>
      </c>
      <c r="W757" s="38">
        <f>(1000*CHOOSE(CONTROL!$C$42, 0.1146, 0.1146)*CHOOSE(CONTROL!$C$42, 121.5, 121.5)*CHOOSE(CONTROL!$C$42, 31, 31))/1000000</f>
        <v>0.43164089999999994</v>
      </c>
      <c r="X757" s="38">
        <f>(31*0.1790888*100000/1000000)+(31*0.2374*100000/1000000)</f>
        <v>1.2911152800000001</v>
      </c>
      <c r="Y757" s="38">
        <f>(1000*600*CHOOSE(CONTROL!$C$42, 1.0585, 1.0585)*CHOOSE(CONTROL!$C$42, 31, 31))/1000000</f>
        <v>19.688099999999999</v>
      </c>
      <c r="Z757" s="38"/>
      <c r="AA757" s="10"/>
      <c r="AB757" s="39"/>
      <c r="AC757" s="33">
        <f>(B757*122.58+C757*297.941+D757*89.177+E757*40.302+F757*40+G757*160+H757*0+I757*100+J757*300)/(122.58+297.941+89.177+40.302+0+40+160+100+300)</f>
        <v>24.46775269147826</v>
      </c>
      <c r="AD757" s="27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24.250171223021585</v>
      </c>
    </row>
    <row r="758" spans="1:30" ht="15.75" x14ac:dyDescent="0.25">
      <c r="A758" s="13">
        <v>64344</v>
      </c>
      <c r="B758" s="10">
        <f>CHOOSE(CONTROL!$C$42, 24.9046, 24.9046) * CHOOSE(CONTROL!$C$21, $C$9, 100%, $E$9)</f>
        <v>24.904599999999999</v>
      </c>
      <c r="C758" s="10">
        <f>CHOOSE(CONTROL!$C$42, 24.9096, 24.9096) * CHOOSE(CONTROL!$C$21, $C$9, 100%, $E$9)</f>
        <v>24.909600000000001</v>
      </c>
      <c r="D758" s="10">
        <f>CHOOSE(CONTROL!$C$42, 24.934, 24.934) * CHOOSE(CONTROL!$C$21, $C$9, 100%, $E$9)</f>
        <v>24.934000000000001</v>
      </c>
      <c r="E758" s="10">
        <f>CHOOSE(CONTROL!$C$42, 24.9678, 24.9678) * CHOOSE(CONTROL!$C$21, $C$9, 100%, $E$9)</f>
        <v>24.9678</v>
      </c>
      <c r="F758" s="10">
        <f>CHOOSE(CONTROL!$C$42, 24.8869, 24.8869)*CHOOSE(CONTROL!$C$21, $C$9, 100%, $E$9)</f>
        <v>24.886900000000001</v>
      </c>
      <c r="G758" s="10">
        <f>CHOOSE(CONTROL!$C$42, 24.9054, 24.9054)*CHOOSE(CONTROL!$C$21, $C$9, 100%, $E$9)</f>
        <v>24.9054</v>
      </c>
      <c r="H758" s="10">
        <f>CHOOSE(CONTROL!$C$42, 24.957, 24.957) * CHOOSE(CONTROL!$C$21, $C$9, 100%, $E$9)</f>
        <v>24.957000000000001</v>
      </c>
      <c r="I758" s="10">
        <f>CHOOSE(CONTROL!$C$42, 24.8991, 24.8991)* CHOOSE(CONTROL!$C$21, $C$9, 100%, $E$9)</f>
        <v>24.899100000000001</v>
      </c>
      <c r="J758" s="10">
        <f>CHOOSE(CONTROL!$C$42, 24.8799, 24.8799)* CHOOSE(CONTROL!$C$21, $C$9, 100%, $E$9)</f>
        <v>24.879899999999999</v>
      </c>
      <c r="K758" s="10">
        <f>CHOOSE(CONTROL!$C$42, 24.3457, 24.3457) * CHOOSE(CONTROL!$C$21, $C$9, 100%, $E$9)</f>
        <v>24.345700000000001</v>
      </c>
      <c r="L758" s="10">
        <f>CHOOSE(CONTROL!$C$42, 25.544, 25.544) * CHOOSE(CONTROL!$C$21, $C$9, 100%, $E$9)</f>
        <v>25.544</v>
      </c>
      <c r="M758" s="10">
        <f>CHOOSE(CONTROL!$C$42, 24.6426, 24.6426) * CHOOSE(CONTROL!$C$21, $C$9, 100%, $E$9)</f>
        <v>24.642600000000002</v>
      </c>
      <c r="N758" s="10">
        <f>CHOOSE(CONTROL!$C$42, 24.6609, 24.6609) * CHOOSE(CONTROL!$C$21, $C$9, 100%, $E$9)</f>
        <v>24.660900000000002</v>
      </c>
      <c r="O758" s="10">
        <f>CHOOSE(CONTROL!$C$42, 24.719, 24.719) * CHOOSE(CONTROL!$C$21, $C$9, 100%, $E$9)</f>
        <v>24.719000000000001</v>
      </c>
      <c r="P758" s="10">
        <f>CHOOSE(CONTROL!$C$42, 24.6617, 24.6617) * CHOOSE(CONTROL!$C$21, $C$9, 100%, $E$9)</f>
        <v>24.6617</v>
      </c>
      <c r="Q758" s="10">
        <f>CHOOSE(CONTROL!$C$42, 25.3143, 25.3143) * CHOOSE(CONTROL!$C$21, $C$9, 100%, $E$9)</f>
        <v>25.314299999999999</v>
      </c>
      <c r="R758" s="10">
        <f>CHOOSE(CONTROL!$C$42, 25.9646, 25.9646) * CHOOSE(CONTROL!$C$21, $C$9, 100%, $E$9)</f>
        <v>25.964600000000001</v>
      </c>
      <c r="S758" s="10">
        <f>CHOOSE(CONTROL!$C$42, 24.1828, 24.1828) * CHOOSE(CONTROL!$C$21, $C$9, 100%, $E$9)</f>
        <v>24.1828</v>
      </c>
      <c r="T75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58" s="38">
        <f>(1000*CHOOSE(CONTROL!$C$42, 695, 695)*CHOOSE(CONTROL!$C$42, 0.5599, 0.5599)*CHOOSE(CONTROL!$C$42, 29, 29))/1000000</f>
        <v>11.284784499999999</v>
      </c>
      <c r="V758" s="38">
        <f>(1000*CHOOSE(CONTROL!$C$42, 500, 500)*CHOOSE(CONTROL!$C$42, 0.275, 0.275)*CHOOSE(CONTROL!$C$42, 29, 29))/1000000</f>
        <v>3.9874999999999998</v>
      </c>
      <c r="W758" s="38">
        <f>(1000*CHOOSE(CONTROL!$C$42, 0.1146, 0.1146)*CHOOSE(CONTROL!$C$42, 121.5, 121.5)*CHOOSE(CONTROL!$C$42, 29, 29))/1000000</f>
        <v>0.40379309999999996</v>
      </c>
      <c r="X758" s="38">
        <f>(29*0.1790888*100000/1000000)+(29*0.2374*100000/1000000)</f>
        <v>1.2078175199999999</v>
      </c>
      <c r="Y758" s="38">
        <f>(1000*600*CHOOSE(CONTROL!$C$42, 1.0585, 1.0585)*CHOOSE(CONTROL!$C$42, 29, 29))/1000000</f>
        <v>18.417899999999999</v>
      </c>
      <c r="Z758" s="38"/>
      <c r="AA758" s="10"/>
      <c r="AB758" s="39"/>
      <c r="AC758" s="33">
        <f>(B758*122.58+C758*297.941+D758*89.177+E758*40.302+F758*40+G758*160+H758*0+I758*100+J758*300)/(122.58+297.941+89.177+40.302+0+40+160+100+300)</f>
        <v>24.902963995826088</v>
      </c>
      <c r="AD758" s="27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24.681028776978419</v>
      </c>
    </row>
    <row r="759" spans="1:30" ht="15.75" x14ac:dyDescent="0.25">
      <c r="A759" s="13">
        <v>64375</v>
      </c>
      <c r="B759" s="10">
        <f>CHOOSE(CONTROL!$C$42, 24.1977, 24.1977) * CHOOSE(CONTROL!$C$21, $C$9, 100%, $E$9)</f>
        <v>24.197700000000001</v>
      </c>
      <c r="C759" s="10">
        <f>CHOOSE(CONTROL!$C$42, 24.2026, 24.2026) * CHOOSE(CONTROL!$C$21, $C$9, 100%, $E$9)</f>
        <v>24.2026</v>
      </c>
      <c r="D759" s="10">
        <f>CHOOSE(CONTROL!$C$42, 24.2271, 24.2271) * CHOOSE(CONTROL!$C$21, $C$9, 100%, $E$9)</f>
        <v>24.2271</v>
      </c>
      <c r="E759" s="10">
        <f>CHOOSE(CONTROL!$C$42, 24.2608, 24.2608) * CHOOSE(CONTROL!$C$21, $C$9, 100%, $E$9)</f>
        <v>24.2608</v>
      </c>
      <c r="F759" s="10">
        <f>CHOOSE(CONTROL!$C$42, 24.1784, 24.1784)*CHOOSE(CONTROL!$C$21, $C$9, 100%, $E$9)</f>
        <v>24.1784</v>
      </c>
      <c r="G759" s="10">
        <f>CHOOSE(CONTROL!$C$42, 24.1965, 24.1965)*CHOOSE(CONTROL!$C$21, $C$9, 100%, $E$9)</f>
        <v>24.1965</v>
      </c>
      <c r="H759" s="10">
        <f>CHOOSE(CONTROL!$C$42, 24.25, 24.25) * CHOOSE(CONTROL!$C$21, $C$9, 100%, $E$9)</f>
        <v>24.25</v>
      </c>
      <c r="I759" s="10">
        <f>CHOOSE(CONTROL!$C$42, 24.1921, 24.1921)* CHOOSE(CONTROL!$C$21, $C$9, 100%, $E$9)</f>
        <v>24.1921</v>
      </c>
      <c r="J759" s="10">
        <f>CHOOSE(CONTROL!$C$42, 24.1714, 24.1714)* CHOOSE(CONTROL!$C$21, $C$9, 100%, $E$9)</f>
        <v>24.171399999999998</v>
      </c>
      <c r="K759" s="10">
        <f>CHOOSE(CONTROL!$C$42, 23.6554, 23.6554) * CHOOSE(CONTROL!$C$21, $C$9, 100%, $E$9)</f>
        <v>23.6554</v>
      </c>
      <c r="L759" s="10">
        <f>CHOOSE(CONTROL!$C$42, 24.837, 24.837) * CHOOSE(CONTROL!$C$21, $C$9, 100%, $E$9)</f>
        <v>24.837</v>
      </c>
      <c r="M759" s="10">
        <f>CHOOSE(CONTROL!$C$42, 23.9413, 23.9413) * CHOOSE(CONTROL!$C$21, $C$9, 100%, $E$9)</f>
        <v>23.941299999999998</v>
      </c>
      <c r="N759" s="10">
        <f>CHOOSE(CONTROL!$C$42, 23.9592, 23.9592) * CHOOSE(CONTROL!$C$21, $C$9, 100%, $E$9)</f>
        <v>23.959199999999999</v>
      </c>
      <c r="O759" s="10">
        <f>CHOOSE(CONTROL!$C$42, 24.0191, 24.0191) * CHOOSE(CONTROL!$C$21, $C$9, 100%, $E$9)</f>
        <v>24.019100000000002</v>
      </c>
      <c r="P759" s="10">
        <f>CHOOSE(CONTROL!$C$42, 23.9619, 23.9619) * CHOOSE(CONTROL!$C$21, $C$9, 100%, $E$9)</f>
        <v>23.9619</v>
      </c>
      <c r="Q759" s="10">
        <f>CHOOSE(CONTROL!$C$42, 24.6144, 24.6144) * CHOOSE(CONTROL!$C$21, $C$9, 100%, $E$9)</f>
        <v>24.6144</v>
      </c>
      <c r="R759" s="10">
        <f>CHOOSE(CONTROL!$C$42, 25.263, 25.263) * CHOOSE(CONTROL!$C$21, $C$9, 100%, $E$9)</f>
        <v>25.263000000000002</v>
      </c>
      <c r="S759" s="10">
        <f>CHOOSE(CONTROL!$C$42, 23.4962, 23.4962) * CHOOSE(CONTROL!$C$21, $C$9, 100%, $E$9)</f>
        <v>23.496200000000002</v>
      </c>
      <c r="T7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38">
        <f>(1000*CHOOSE(CONTROL!$C$42, 695, 695)*CHOOSE(CONTROL!$C$42, 0.5599, 0.5599)*CHOOSE(CONTROL!$C$42, 31, 31))/1000000</f>
        <v>12.063045499999998</v>
      </c>
      <c r="V759" s="38">
        <f>(1000*CHOOSE(CONTROL!$C$42, 500, 500)*CHOOSE(CONTROL!$C$42, 0.275, 0.275)*CHOOSE(CONTROL!$C$42, 31, 31))/1000000</f>
        <v>4.2625000000000002</v>
      </c>
      <c r="W759" s="38">
        <f>(1000*CHOOSE(CONTROL!$C$42, 0.1146, 0.1146)*CHOOSE(CONTROL!$C$42, 121.5, 121.5)*CHOOSE(CONTROL!$C$42, 31, 31))/1000000</f>
        <v>0.43164089999999994</v>
      </c>
      <c r="X759" s="38">
        <f>(31*0.1790888*100000/1000000)+(31*0.2374*100000/1000000)</f>
        <v>1.2911152800000001</v>
      </c>
      <c r="Y759" s="38">
        <f>(1000*600*CHOOSE(CONTROL!$C$42, 1.0585, 1.0585)*CHOOSE(CONTROL!$C$42, 31, 31))/1000000</f>
        <v>19.688099999999999</v>
      </c>
      <c r="Z759" s="38"/>
      <c r="AA759" s="10"/>
      <c r="AB759" s="39"/>
      <c r="AC759" s="33">
        <f>(B759*122.58+C759*297.941+D759*89.177+E759*40.302+F759*40+G759*160+H759*0+I759*100+J759*300)/(122.58+297.941+89.177+40.302+0+40+160+100+300)</f>
        <v>24.195274583391303</v>
      </c>
      <c r="AD759" s="27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23.980556115107913</v>
      </c>
    </row>
    <row r="760" spans="1:30" ht="15.75" x14ac:dyDescent="0.25">
      <c r="A760" s="13">
        <v>64405</v>
      </c>
      <c r="B760" s="10">
        <f>CHOOSE(CONTROL!$C$42, 24.126, 24.126) * CHOOSE(CONTROL!$C$21, $C$9, 100%, $E$9)</f>
        <v>24.126000000000001</v>
      </c>
      <c r="C760" s="10">
        <f>CHOOSE(CONTROL!$C$42, 24.1304, 24.1304) * CHOOSE(CONTROL!$C$21, $C$9, 100%, $E$9)</f>
        <v>24.130400000000002</v>
      </c>
      <c r="D760" s="10">
        <f>CHOOSE(CONTROL!$C$42, 24.3105, 24.3105) * CHOOSE(CONTROL!$C$21, $C$9, 100%, $E$9)</f>
        <v>24.310500000000001</v>
      </c>
      <c r="E760" s="10">
        <f>CHOOSE(CONTROL!$C$42, 24.3423, 24.3423) * CHOOSE(CONTROL!$C$21, $C$9, 100%, $E$9)</f>
        <v>24.342300000000002</v>
      </c>
      <c r="F760" s="10">
        <f>CHOOSE(CONTROL!$C$42, 24.0913, 24.0913)*CHOOSE(CONTROL!$C$21, $C$9, 100%, $E$9)</f>
        <v>24.0913</v>
      </c>
      <c r="G760" s="10">
        <f>CHOOSE(CONTROL!$C$42, 24.1076, 24.1076)*CHOOSE(CONTROL!$C$21, $C$9, 100%, $E$9)</f>
        <v>24.107600000000001</v>
      </c>
      <c r="H760" s="10">
        <f>CHOOSE(CONTROL!$C$42, 24.3321, 24.3321) * CHOOSE(CONTROL!$C$21, $C$9, 100%, $E$9)</f>
        <v>24.332100000000001</v>
      </c>
      <c r="I760" s="10">
        <f>CHOOSE(CONTROL!$C$42, 24.112, 24.112)* CHOOSE(CONTROL!$C$21, $C$9, 100%, $E$9)</f>
        <v>24.111999999999998</v>
      </c>
      <c r="J760" s="10">
        <f>CHOOSE(CONTROL!$C$42, 24.0843, 24.0843)* CHOOSE(CONTROL!$C$21, $C$9, 100%, $E$9)</f>
        <v>24.084299999999999</v>
      </c>
      <c r="K760" s="10">
        <f>CHOOSE(CONTROL!$C$42, 23.5626, 23.5626) * CHOOSE(CONTROL!$C$21, $C$9, 100%, $E$9)</f>
        <v>23.5626</v>
      </c>
      <c r="L760" s="10">
        <f>CHOOSE(CONTROL!$C$42, 24.9191, 24.9191) * CHOOSE(CONTROL!$C$21, $C$9, 100%, $E$9)</f>
        <v>24.9191</v>
      </c>
      <c r="M760" s="10">
        <f>CHOOSE(CONTROL!$C$42, 23.8551, 23.8551) * CHOOSE(CONTROL!$C$21, $C$9, 100%, $E$9)</f>
        <v>23.8551</v>
      </c>
      <c r="N760" s="10">
        <f>CHOOSE(CONTROL!$C$42, 23.8712, 23.8712) * CHOOSE(CONTROL!$C$21, $C$9, 100%, $E$9)</f>
        <v>23.871200000000002</v>
      </c>
      <c r="O760" s="10">
        <f>CHOOSE(CONTROL!$C$42, 24.1003, 24.1003) * CHOOSE(CONTROL!$C$21, $C$9, 100%, $E$9)</f>
        <v>24.100300000000001</v>
      </c>
      <c r="P760" s="10">
        <f>CHOOSE(CONTROL!$C$42, 23.8825, 23.8825) * CHOOSE(CONTROL!$C$21, $C$9, 100%, $E$9)</f>
        <v>23.8825</v>
      </c>
      <c r="Q760" s="10">
        <f>CHOOSE(CONTROL!$C$42, 24.6956, 24.6956) * CHOOSE(CONTROL!$C$21, $C$9, 100%, $E$9)</f>
        <v>24.695599999999999</v>
      </c>
      <c r="R760" s="10">
        <f>CHOOSE(CONTROL!$C$42, 25.3444, 25.3444) * CHOOSE(CONTROL!$C$21, $C$9, 100%, $E$9)</f>
        <v>25.3444</v>
      </c>
      <c r="S760" s="10">
        <f>CHOOSE(CONTROL!$C$42, 23.4259, 23.4259) * CHOOSE(CONTROL!$C$21, $C$9, 100%, $E$9)</f>
        <v>23.425899999999999</v>
      </c>
      <c r="T7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38">
        <f>(1000*CHOOSE(CONTROL!$C$42, 695, 695)*CHOOSE(CONTROL!$C$42, 0.5599, 0.5599)*CHOOSE(CONTROL!$C$42, 30, 30))/1000000</f>
        <v>11.673914999999997</v>
      </c>
      <c r="V760" s="38">
        <f>(1000*CHOOSE(CONTROL!$C$42, 500, 500)*CHOOSE(CONTROL!$C$42, 0.275, 0.275)*CHOOSE(CONTROL!$C$42, 30, 30))/1000000</f>
        <v>4.125</v>
      </c>
      <c r="W760" s="38">
        <f>(1000*CHOOSE(CONTROL!$C$42, 0.1146, 0.1146)*CHOOSE(CONTROL!$C$42, 121.5, 121.5)*CHOOSE(CONTROL!$C$42, 30, 30))/1000000</f>
        <v>0.417717</v>
      </c>
      <c r="X760" s="38">
        <f>(30*0.1790888*245000/1000000)+(30*0.2374*100000/1000000)</f>
        <v>2.0285026799999999</v>
      </c>
      <c r="Y760" s="38">
        <f>(1000*600*CHOOSE(CONTROL!$C$42, 1.0585, 1.0585)*CHOOSE(CONTROL!$C$42, 30, 30))/1000000</f>
        <v>19.053000000000001</v>
      </c>
      <c r="Z760" s="38"/>
      <c r="AA760" s="10"/>
      <c r="AB760" s="39"/>
      <c r="AC760" s="33">
        <f>(B760*141.293+C760*267.993+D760*115.016+E760*89.698+F760*40+G760*185+H760*0+I760*100+J760*300)/(141.293+267.993+115.016+89.698+0+40+185+100+300)</f>
        <v>24.144643501694919</v>
      </c>
      <c r="AD760" s="27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23.971102877697842</v>
      </c>
    </row>
    <row r="761" spans="1:30" ht="15.75" x14ac:dyDescent="0.25">
      <c r="A761" s="13">
        <v>64436</v>
      </c>
      <c r="B761" s="10">
        <f>CHOOSE(CONTROL!$C$42, 24.3407, 24.3407) * CHOOSE(CONTROL!$C$21, $C$9, 100%, $E$9)</f>
        <v>24.340699999999998</v>
      </c>
      <c r="C761" s="10">
        <f>CHOOSE(CONTROL!$C$42, 24.3486, 24.3486) * CHOOSE(CONTROL!$C$21, $C$9, 100%, $E$9)</f>
        <v>24.348600000000001</v>
      </c>
      <c r="D761" s="10">
        <f>CHOOSE(CONTROL!$C$42, 24.5256, 24.5256) * CHOOSE(CONTROL!$C$21, $C$9, 100%, $E$9)</f>
        <v>24.525600000000001</v>
      </c>
      <c r="E761" s="10">
        <f>CHOOSE(CONTROL!$C$42, 24.5567, 24.5567) * CHOOSE(CONTROL!$C$21, $C$9, 100%, $E$9)</f>
        <v>24.556699999999999</v>
      </c>
      <c r="F761" s="10">
        <f>CHOOSE(CONTROL!$C$42, 24.304, 24.304)*CHOOSE(CONTROL!$C$21, $C$9, 100%, $E$9)</f>
        <v>24.303999999999998</v>
      </c>
      <c r="G761" s="10">
        <f>CHOOSE(CONTROL!$C$42, 24.3205, 24.3205)*CHOOSE(CONTROL!$C$21, $C$9, 100%, $E$9)</f>
        <v>24.320499999999999</v>
      </c>
      <c r="H761" s="10">
        <f>CHOOSE(CONTROL!$C$42, 24.5454, 24.5454) * CHOOSE(CONTROL!$C$21, $C$9, 100%, $E$9)</f>
        <v>24.545400000000001</v>
      </c>
      <c r="I761" s="10">
        <f>CHOOSE(CONTROL!$C$42, 24.3253, 24.3253)* CHOOSE(CONTROL!$C$21, $C$9, 100%, $E$9)</f>
        <v>24.325299999999999</v>
      </c>
      <c r="J761" s="10">
        <f>CHOOSE(CONTROL!$C$42, 24.297, 24.297)* CHOOSE(CONTROL!$C$21, $C$9, 100%, $E$9)</f>
        <v>24.297000000000001</v>
      </c>
      <c r="K761" s="10">
        <f>CHOOSE(CONTROL!$C$42, 23.7685, 23.7685) * CHOOSE(CONTROL!$C$21, $C$9, 100%, $E$9)</f>
        <v>23.7685</v>
      </c>
      <c r="L761" s="10">
        <f>CHOOSE(CONTROL!$C$42, 25.1324, 25.1324) * CHOOSE(CONTROL!$C$21, $C$9, 100%, $E$9)</f>
        <v>25.132400000000001</v>
      </c>
      <c r="M761" s="10">
        <f>CHOOSE(CONTROL!$C$42, 24.0657, 24.0657) * CHOOSE(CONTROL!$C$21, $C$9, 100%, $E$9)</f>
        <v>24.0657</v>
      </c>
      <c r="N761" s="10">
        <f>CHOOSE(CONTROL!$C$42, 24.082, 24.082) * CHOOSE(CONTROL!$C$21, $C$9, 100%, $E$9)</f>
        <v>24.082000000000001</v>
      </c>
      <c r="O761" s="10">
        <f>CHOOSE(CONTROL!$C$42, 24.3115, 24.3115) * CHOOSE(CONTROL!$C$21, $C$9, 100%, $E$9)</f>
        <v>24.311499999999999</v>
      </c>
      <c r="P761" s="10">
        <f>CHOOSE(CONTROL!$C$42, 24.0937, 24.0937) * CHOOSE(CONTROL!$C$21, $C$9, 100%, $E$9)</f>
        <v>24.093699999999998</v>
      </c>
      <c r="Q761" s="10">
        <f>CHOOSE(CONTROL!$C$42, 24.9068, 24.9068) * CHOOSE(CONTROL!$C$21, $C$9, 100%, $E$9)</f>
        <v>24.9068</v>
      </c>
      <c r="R761" s="10">
        <f>CHOOSE(CONTROL!$C$42, 25.556, 25.556) * CHOOSE(CONTROL!$C$21, $C$9, 100%, $E$9)</f>
        <v>25.556000000000001</v>
      </c>
      <c r="S761" s="10">
        <f>CHOOSE(CONTROL!$C$42, 23.633, 23.633) * CHOOSE(CONTROL!$C$21, $C$9, 100%, $E$9)</f>
        <v>23.632999999999999</v>
      </c>
      <c r="T7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38">
        <f>(1000*CHOOSE(CONTROL!$C$42, 695, 695)*CHOOSE(CONTROL!$C$42, 0.5599, 0.5599)*CHOOSE(CONTROL!$C$42, 31, 31))/1000000</f>
        <v>12.063045499999998</v>
      </c>
      <c r="V761" s="38">
        <f>(1000*CHOOSE(CONTROL!$C$42, 500, 500)*CHOOSE(CONTROL!$C$42, 0.275, 0.275)*CHOOSE(CONTROL!$C$42, 31, 31))/1000000</f>
        <v>4.2625000000000002</v>
      </c>
      <c r="W761" s="38">
        <f>(1000*CHOOSE(CONTROL!$C$42, 0.1146, 0.1146)*CHOOSE(CONTROL!$C$42, 121.5, 121.5)*CHOOSE(CONTROL!$C$42, 31, 31))/1000000</f>
        <v>0.43164089999999994</v>
      </c>
      <c r="X761" s="38">
        <f>(31*0.1790888*245000/1000000)+(31*0.2374*100000/1000000)</f>
        <v>2.0961194359999999</v>
      </c>
      <c r="Y761" s="38">
        <f>(1000*600*CHOOSE(CONTROL!$C$42, 1.0585, 1.0585)*CHOOSE(CONTROL!$C$42, 31, 31))/1000000</f>
        <v>19.688099999999999</v>
      </c>
      <c r="Z761" s="38"/>
      <c r="AA761" s="10"/>
      <c r="AB761" s="39"/>
      <c r="AC761" s="33">
        <f>(B761*194.205+C761*267.466+D761*133.845+E761*53.484+F761*40+G761*185+H761*0+I761*100+J761*300)/(194.205+267.466+133.845+53.484+0+40+185+100+300)</f>
        <v>24.355267084693875</v>
      </c>
      <c r="AD761" s="27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24.182072661870503</v>
      </c>
    </row>
    <row r="762" spans="1:30" ht="15.75" x14ac:dyDescent="0.25">
      <c r="A762" s="13">
        <v>64466</v>
      </c>
      <c r="B762" s="10">
        <f>CHOOSE(CONTROL!$C$42, 25.031, 25.031) * CHOOSE(CONTROL!$C$21, $C$9, 100%, $E$9)</f>
        <v>25.030999999999999</v>
      </c>
      <c r="C762" s="10">
        <f>CHOOSE(CONTROL!$C$42, 25.0389, 25.0389) * CHOOSE(CONTROL!$C$21, $C$9, 100%, $E$9)</f>
        <v>25.038900000000002</v>
      </c>
      <c r="D762" s="10">
        <f>CHOOSE(CONTROL!$C$42, 25.2159, 25.2159) * CHOOSE(CONTROL!$C$21, $C$9, 100%, $E$9)</f>
        <v>25.215900000000001</v>
      </c>
      <c r="E762" s="10">
        <f>CHOOSE(CONTROL!$C$42, 25.247, 25.247) * CHOOSE(CONTROL!$C$21, $C$9, 100%, $E$9)</f>
        <v>25.247</v>
      </c>
      <c r="F762" s="10">
        <f>CHOOSE(CONTROL!$C$42, 24.9945, 24.9945)*CHOOSE(CONTROL!$C$21, $C$9, 100%, $E$9)</f>
        <v>24.994499999999999</v>
      </c>
      <c r="G762" s="10">
        <f>CHOOSE(CONTROL!$C$42, 25.0111, 25.0111)*CHOOSE(CONTROL!$C$21, $C$9, 100%, $E$9)</f>
        <v>25.011099999999999</v>
      </c>
      <c r="H762" s="10">
        <f>CHOOSE(CONTROL!$C$42, 25.2357, 25.2357) * CHOOSE(CONTROL!$C$21, $C$9, 100%, $E$9)</f>
        <v>25.235700000000001</v>
      </c>
      <c r="I762" s="10">
        <f>CHOOSE(CONTROL!$C$42, 25.0156, 25.0156)* CHOOSE(CONTROL!$C$21, $C$9, 100%, $E$9)</f>
        <v>25.015599999999999</v>
      </c>
      <c r="J762" s="10">
        <f>CHOOSE(CONTROL!$C$42, 24.9875, 24.9875)* CHOOSE(CONTROL!$C$21, $C$9, 100%, $E$9)</f>
        <v>24.987500000000001</v>
      </c>
      <c r="K762" s="10">
        <f>CHOOSE(CONTROL!$C$42, 24.4396, 24.4396) * CHOOSE(CONTROL!$C$21, $C$9, 100%, $E$9)</f>
        <v>24.439599999999999</v>
      </c>
      <c r="L762" s="10">
        <f>CHOOSE(CONTROL!$C$42, 25.8227, 25.8227) * CHOOSE(CONTROL!$C$21, $C$9, 100%, $E$9)</f>
        <v>25.822700000000001</v>
      </c>
      <c r="M762" s="10">
        <f>CHOOSE(CONTROL!$C$42, 24.7492, 24.7492) * CHOOSE(CONTROL!$C$21, $C$9, 100%, $E$9)</f>
        <v>24.749199999999998</v>
      </c>
      <c r="N762" s="10">
        <f>CHOOSE(CONTROL!$C$42, 24.7656, 24.7656) * CHOOSE(CONTROL!$C$21, $C$9, 100%, $E$9)</f>
        <v>24.765599999999999</v>
      </c>
      <c r="O762" s="10">
        <f>CHOOSE(CONTROL!$C$42, 24.9948, 24.9948) * CHOOSE(CONTROL!$C$21, $C$9, 100%, $E$9)</f>
        <v>24.994800000000001</v>
      </c>
      <c r="P762" s="10">
        <f>CHOOSE(CONTROL!$C$42, 24.777, 24.777) * CHOOSE(CONTROL!$C$21, $C$9, 100%, $E$9)</f>
        <v>24.777000000000001</v>
      </c>
      <c r="Q762" s="10">
        <f>CHOOSE(CONTROL!$C$42, 25.5901, 25.5901) * CHOOSE(CONTROL!$C$21, $C$9, 100%, $E$9)</f>
        <v>25.5901</v>
      </c>
      <c r="R762" s="10">
        <f>CHOOSE(CONTROL!$C$42, 26.2411, 26.2411) * CHOOSE(CONTROL!$C$21, $C$9, 100%, $E$9)</f>
        <v>26.241099999999999</v>
      </c>
      <c r="S762" s="10">
        <f>CHOOSE(CONTROL!$C$42, 24.3033, 24.3033) * CHOOSE(CONTROL!$C$21, $C$9, 100%, $E$9)</f>
        <v>24.3033</v>
      </c>
      <c r="T7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38">
        <f>(1000*CHOOSE(CONTROL!$C$42, 695, 695)*CHOOSE(CONTROL!$C$42, 0.5599, 0.5599)*CHOOSE(CONTROL!$C$42, 30, 30))/1000000</f>
        <v>11.673914999999997</v>
      </c>
      <c r="V762" s="38">
        <f>(1000*CHOOSE(CONTROL!$C$42, 500, 500)*CHOOSE(CONTROL!$C$42, 0.275, 0.275)*CHOOSE(CONTROL!$C$42, 30, 30))/1000000</f>
        <v>4.125</v>
      </c>
      <c r="W762" s="38">
        <f>(1000*CHOOSE(CONTROL!$C$42, 0.1146, 0.1146)*CHOOSE(CONTROL!$C$42, 121.5, 121.5)*CHOOSE(CONTROL!$C$42, 30, 30))/1000000</f>
        <v>0.417717</v>
      </c>
      <c r="X762" s="38">
        <f>(30*0.1790888*245000/1000000)+(30*0.2374*100000/1000000)</f>
        <v>2.0285026799999999</v>
      </c>
      <c r="Y762" s="38">
        <f>(1000*600*CHOOSE(CONTROL!$C$42, 1.0585, 1.0585)*CHOOSE(CONTROL!$C$42, 30, 30))/1000000</f>
        <v>19.053000000000001</v>
      </c>
      <c r="Z762" s="38"/>
      <c r="AA762" s="10"/>
      <c r="AB762" s="39"/>
      <c r="AC762" s="33">
        <f>(B762*194.205+C762*267.466+D762*133.845+E762*53.484+F762*40+G762*185+H762*0+I762*100+J762*300)/(194.205+267.466+133.845+53.484+0+40+185+100+300)</f>
        <v>25.045664023469385</v>
      </c>
      <c r="AD762" s="27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24.865458992805753</v>
      </c>
    </row>
    <row r="763" spans="1:30" ht="15.75" x14ac:dyDescent="0.25">
      <c r="A763" s="13">
        <v>64497</v>
      </c>
      <c r="B763" s="10">
        <f>CHOOSE(CONTROL!$C$42, 24.5509, 24.5509) * CHOOSE(CONTROL!$C$21, $C$9, 100%, $E$9)</f>
        <v>24.550899999999999</v>
      </c>
      <c r="C763" s="10">
        <f>CHOOSE(CONTROL!$C$42, 24.5588, 24.5588) * CHOOSE(CONTROL!$C$21, $C$9, 100%, $E$9)</f>
        <v>24.558800000000002</v>
      </c>
      <c r="D763" s="10">
        <f>CHOOSE(CONTROL!$C$42, 24.7358, 24.7358) * CHOOSE(CONTROL!$C$21, $C$9, 100%, $E$9)</f>
        <v>24.735800000000001</v>
      </c>
      <c r="E763" s="10">
        <f>CHOOSE(CONTROL!$C$42, 24.7669, 24.7669) * CHOOSE(CONTROL!$C$21, $C$9, 100%, $E$9)</f>
        <v>24.7669</v>
      </c>
      <c r="F763" s="10">
        <f>CHOOSE(CONTROL!$C$42, 24.5147, 24.5147)*CHOOSE(CONTROL!$C$21, $C$9, 100%, $E$9)</f>
        <v>24.514700000000001</v>
      </c>
      <c r="G763" s="10">
        <f>CHOOSE(CONTROL!$C$42, 24.5313, 24.5313)*CHOOSE(CONTROL!$C$21, $C$9, 100%, $E$9)</f>
        <v>24.531300000000002</v>
      </c>
      <c r="H763" s="10">
        <f>CHOOSE(CONTROL!$C$42, 24.7556, 24.7556) * CHOOSE(CONTROL!$C$21, $C$9, 100%, $E$9)</f>
        <v>24.755600000000001</v>
      </c>
      <c r="I763" s="10">
        <f>CHOOSE(CONTROL!$C$42, 24.5355, 24.5355)* CHOOSE(CONTROL!$C$21, $C$9, 100%, $E$9)</f>
        <v>24.535499999999999</v>
      </c>
      <c r="J763" s="10">
        <f>CHOOSE(CONTROL!$C$42, 24.5077, 24.5077)* CHOOSE(CONTROL!$C$21, $C$9, 100%, $E$9)</f>
        <v>24.5077</v>
      </c>
      <c r="K763" s="10">
        <f>CHOOSE(CONTROL!$C$42, 23.9737, 23.9737) * CHOOSE(CONTROL!$C$21, $C$9, 100%, $E$9)</f>
        <v>23.973700000000001</v>
      </c>
      <c r="L763" s="10">
        <f>CHOOSE(CONTROL!$C$42, 25.3426, 25.3426) * CHOOSE(CONTROL!$C$21, $C$9, 100%, $E$9)</f>
        <v>25.342600000000001</v>
      </c>
      <c r="M763" s="10">
        <f>CHOOSE(CONTROL!$C$42, 24.2742, 24.2742) * CHOOSE(CONTROL!$C$21, $C$9, 100%, $E$9)</f>
        <v>24.2742</v>
      </c>
      <c r="N763" s="10">
        <f>CHOOSE(CONTROL!$C$42, 24.2906, 24.2906) * CHOOSE(CONTROL!$C$21, $C$9, 100%, $E$9)</f>
        <v>24.290600000000001</v>
      </c>
      <c r="O763" s="10">
        <f>CHOOSE(CONTROL!$C$42, 24.5196, 24.5196) * CHOOSE(CONTROL!$C$21, $C$9, 100%, $E$9)</f>
        <v>24.519600000000001</v>
      </c>
      <c r="P763" s="10">
        <f>CHOOSE(CONTROL!$C$42, 24.3017, 24.3017) * CHOOSE(CONTROL!$C$21, $C$9, 100%, $E$9)</f>
        <v>24.3017</v>
      </c>
      <c r="Q763" s="10">
        <f>CHOOSE(CONTROL!$C$42, 25.1149, 25.1149) * CHOOSE(CONTROL!$C$21, $C$9, 100%, $E$9)</f>
        <v>25.114899999999999</v>
      </c>
      <c r="R763" s="10">
        <f>CHOOSE(CONTROL!$C$42, 25.7646, 25.7646) * CHOOSE(CONTROL!$C$21, $C$9, 100%, $E$9)</f>
        <v>25.764600000000002</v>
      </c>
      <c r="S763" s="10">
        <f>CHOOSE(CONTROL!$C$42, 23.8371, 23.8371) * CHOOSE(CONTROL!$C$21, $C$9, 100%, $E$9)</f>
        <v>23.8371</v>
      </c>
      <c r="T7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38">
        <f>(1000*CHOOSE(CONTROL!$C$42, 695, 695)*CHOOSE(CONTROL!$C$42, 0.5599, 0.5599)*CHOOSE(CONTROL!$C$42, 31, 31))/1000000</f>
        <v>12.063045499999998</v>
      </c>
      <c r="V763" s="38">
        <f>(1000*CHOOSE(CONTROL!$C$42, 500, 500)*CHOOSE(CONTROL!$C$42, 0.275, 0.275)*CHOOSE(CONTROL!$C$42, 31, 31))/1000000</f>
        <v>4.2625000000000002</v>
      </c>
      <c r="W763" s="38">
        <f>(1000*CHOOSE(CONTROL!$C$42, 0.1146, 0.1146)*CHOOSE(CONTROL!$C$42, 121.5, 121.5)*CHOOSE(CONTROL!$C$42, 31, 31))/1000000</f>
        <v>0.43164089999999994</v>
      </c>
      <c r="X763" s="38">
        <f>(31*0.1790888*245000/1000000)+(31*0.2374*100000/1000000)</f>
        <v>2.0961194359999999</v>
      </c>
      <c r="Y763" s="38">
        <f>(1000*600*CHOOSE(CONTROL!$C$42, 1.0585, 1.0585)*CHOOSE(CONTROL!$C$42, 31, 31))/1000000</f>
        <v>19.688099999999999</v>
      </c>
      <c r="Z763" s="38"/>
      <c r="AA763" s="10"/>
      <c r="AB763" s="39"/>
      <c r="AC763" s="33">
        <f>(B763*194.205+C763*267.466+D763*133.845+E763*53.484+F763*40+G763*185+H763*0+I763*100+J763*300)/(194.205+267.466+133.845+53.484+0+40+185+100+300)</f>
        <v>24.565687649843014</v>
      </c>
      <c r="AD763" s="27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24.390325179856113</v>
      </c>
    </row>
    <row r="764" spans="1:30" ht="15.75" x14ac:dyDescent="0.25">
      <c r="A764" s="13">
        <v>64528</v>
      </c>
      <c r="B764" s="10">
        <f>CHOOSE(CONTROL!$C$42, 23.3385, 23.3385) * CHOOSE(CONTROL!$C$21, $C$9, 100%, $E$9)</f>
        <v>23.3385</v>
      </c>
      <c r="C764" s="10">
        <f>CHOOSE(CONTROL!$C$42, 23.3464, 23.3464) * CHOOSE(CONTROL!$C$21, $C$9, 100%, $E$9)</f>
        <v>23.346399999999999</v>
      </c>
      <c r="D764" s="10">
        <f>CHOOSE(CONTROL!$C$42, 23.5234, 23.5234) * CHOOSE(CONTROL!$C$21, $C$9, 100%, $E$9)</f>
        <v>23.523399999999999</v>
      </c>
      <c r="E764" s="10">
        <f>CHOOSE(CONTROL!$C$42, 23.5545, 23.5545) * CHOOSE(CONTROL!$C$21, $C$9, 100%, $E$9)</f>
        <v>23.554500000000001</v>
      </c>
      <c r="F764" s="10">
        <f>CHOOSE(CONTROL!$C$42, 23.3023, 23.3023)*CHOOSE(CONTROL!$C$21, $C$9, 100%, $E$9)</f>
        <v>23.302299999999999</v>
      </c>
      <c r="G764" s="10">
        <f>CHOOSE(CONTROL!$C$42, 23.3189, 23.3189)*CHOOSE(CONTROL!$C$21, $C$9, 100%, $E$9)</f>
        <v>23.318899999999999</v>
      </c>
      <c r="H764" s="10">
        <f>CHOOSE(CONTROL!$C$42, 23.5431, 23.5431) * CHOOSE(CONTROL!$C$21, $C$9, 100%, $E$9)</f>
        <v>23.543099999999999</v>
      </c>
      <c r="I764" s="10">
        <f>CHOOSE(CONTROL!$C$42, 23.323, 23.323)* CHOOSE(CONTROL!$C$21, $C$9, 100%, $E$9)</f>
        <v>23.323</v>
      </c>
      <c r="J764" s="10">
        <f>CHOOSE(CONTROL!$C$42, 23.2953, 23.2953)* CHOOSE(CONTROL!$C$21, $C$9, 100%, $E$9)</f>
        <v>23.295300000000001</v>
      </c>
      <c r="K764" s="10">
        <f>CHOOSE(CONTROL!$C$42, 22.7958, 22.7958) * CHOOSE(CONTROL!$C$21, $C$9, 100%, $E$9)</f>
        <v>22.7958</v>
      </c>
      <c r="L764" s="10">
        <f>CHOOSE(CONTROL!$C$42, 24.1301, 24.1301) * CHOOSE(CONTROL!$C$21, $C$9, 100%, $E$9)</f>
        <v>24.130099999999999</v>
      </c>
      <c r="M764" s="10">
        <f>CHOOSE(CONTROL!$C$42, 23.074, 23.074) * CHOOSE(CONTROL!$C$21, $C$9, 100%, $E$9)</f>
        <v>23.074000000000002</v>
      </c>
      <c r="N764" s="10">
        <f>CHOOSE(CONTROL!$C$42, 23.0905, 23.0905) * CHOOSE(CONTROL!$C$21, $C$9, 100%, $E$9)</f>
        <v>23.090499999999999</v>
      </c>
      <c r="O764" s="10">
        <f>CHOOSE(CONTROL!$C$42, 23.3194, 23.3194) * CHOOSE(CONTROL!$C$21, $C$9, 100%, $E$9)</f>
        <v>23.319400000000002</v>
      </c>
      <c r="P764" s="10">
        <f>CHOOSE(CONTROL!$C$42, 23.1015, 23.1015) * CHOOSE(CONTROL!$C$21, $C$9, 100%, $E$9)</f>
        <v>23.101500000000001</v>
      </c>
      <c r="Q764" s="10">
        <f>CHOOSE(CONTROL!$C$42, 23.9147, 23.9147) * CHOOSE(CONTROL!$C$21, $C$9, 100%, $E$9)</f>
        <v>23.9147</v>
      </c>
      <c r="R764" s="10">
        <f>CHOOSE(CONTROL!$C$42, 24.5615, 24.5615) * CHOOSE(CONTROL!$C$21, $C$9, 100%, $E$9)</f>
        <v>24.561499999999999</v>
      </c>
      <c r="S764" s="10">
        <f>CHOOSE(CONTROL!$C$42, 22.6597, 22.6597) * CHOOSE(CONTROL!$C$21, $C$9, 100%, $E$9)</f>
        <v>22.659700000000001</v>
      </c>
      <c r="T7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38">
        <f>(1000*CHOOSE(CONTROL!$C$42, 695, 695)*CHOOSE(CONTROL!$C$42, 0.5599, 0.5599)*CHOOSE(CONTROL!$C$42, 31, 31))/1000000</f>
        <v>12.063045499999998</v>
      </c>
      <c r="V764" s="38">
        <f>(1000*CHOOSE(CONTROL!$C$42, 500, 500)*CHOOSE(CONTROL!$C$42, 0.275, 0.275)*CHOOSE(CONTROL!$C$42, 31, 31))/1000000</f>
        <v>4.2625000000000002</v>
      </c>
      <c r="W764" s="38">
        <f>(1000*CHOOSE(CONTROL!$C$42, 0.1146, 0.1146)*CHOOSE(CONTROL!$C$42, 121.5, 121.5)*CHOOSE(CONTROL!$C$42, 31, 31))/1000000</f>
        <v>0.43164089999999994</v>
      </c>
      <c r="X764" s="38">
        <f>(31*0.1790888*245000/1000000)+(31*0.2374*100000/1000000)</f>
        <v>2.0961194359999999</v>
      </c>
      <c r="Y764" s="38">
        <f>(1000*600*CHOOSE(CONTROL!$C$42, 1.0585, 1.0585)*CHOOSE(CONTROL!$C$42, 31, 31))/1000000</f>
        <v>19.688099999999999</v>
      </c>
      <c r="Z764" s="38"/>
      <c r="AA764" s="10"/>
      <c r="AB764" s="39"/>
      <c r="AC764" s="33">
        <f>(B764*194.205+C764*267.466+D764*133.845+E764*53.484+F764*40+G764*185+H764*0+I764*100+J764*300)/(194.205+267.466+133.845+53.484+0+40+185+100+300)</f>
        <v>23.353279800549448</v>
      </c>
      <c r="AD764" s="27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23.190130935251801</v>
      </c>
    </row>
    <row r="765" spans="1:30" ht="15.75" x14ac:dyDescent="0.25">
      <c r="A765" s="13">
        <v>64558</v>
      </c>
      <c r="B765" s="10">
        <f>CHOOSE(CONTROL!$C$42, 21.8571, 21.8571) * CHOOSE(CONTROL!$C$21, $C$9, 100%, $E$9)</f>
        <v>21.857099999999999</v>
      </c>
      <c r="C765" s="10">
        <f>CHOOSE(CONTROL!$C$42, 21.865, 21.865) * CHOOSE(CONTROL!$C$21, $C$9, 100%, $E$9)</f>
        <v>21.864999999999998</v>
      </c>
      <c r="D765" s="10">
        <f>CHOOSE(CONTROL!$C$42, 22.042, 22.042) * CHOOSE(CONTROL!$C$21, $C$9, 100%, $E$9)</f>
        <v>22.042000000000002</v>
      </c>
      <c r="E765" s="10">
        <f>CHOOSE(CONTROL!$C$42, 22.0731, 22.0731) * CHOOSE(CONTROL!$C$21, $C$9, 100%, $E$9)</f>
        <v>22.0731</v>
      </c>
      <c r="F765" s="10">
        <f>CHOOSE(CONTROL!$C$42, 21.8207, 21.8207)*CHOOSE(CONTROL!$C$21, $C$9, 100%, $E$9)</f>
        <v>21.820699999999999</v>
      </c>
      <c r="G765" s="10">
        <f>CHOOSE(CONTROL!$C$42, 21.8372, 21.8372)*CHOOSE(CONTROL!$C$21, $C$9, 100%, $E$9)</f>
        <v>21.837199999999999</v>
      </c>
      <c r="H765" s="10">
        <f>CHOOSE(CONTROL!$C$42, 22.0618, 22.0618) * CHOOSE(CONTROL!$C$21, $C$9, 100%, $E$9)</f>
        <v>22.061800000000002</v>
      </c>
      <c r="I765" s="10">
        <f>CHOOSE(CONTROL!$C$42, 21.8417, 21.8417)* CHOOSE(CONTROL!$C$21, $C$9, 100%, $E$9)</f>
        <v>21.841699999999999</v>
      </c>
      <c r="J765" s="10">
        <f>CHOOSE(CONTROL!$C$42, 21.8137, 21.8137)* CHOOSE(CONTROL!$C$21, $C$9, 100%, $E$9)</f>
        <v>21.813700000000001</v>
      </c>
      <c r="K765" s="10">
        <f>CHOOSE(CONTROL!$C$42, 21.356, 21.356) * CHOOSE(CONTROL!$C$21, $C$9, 100%, $E$9)</f>
        <v>21.356000000000002</v>
      </c>
      <c r="L765" s="10">
        <f>CHOOSE(CONTROL!$C$42, 22.6488, 22.6488) * CHOOSE(CONTROL!$C$21, $C$9, 100%, $E$9)</f>
        <v>22.648800000000001</v>
      </c>
      <c r="M765" s="10">
        <f>CHOOSE(CONTROL!$C$42, 21.6074, 21.6074) * CHOOSE(CONTROL!$C$21, $C$9, 100%, $E$9)</f>
        <v>21.607399999999998</v>
      </c>
      <c r="N765" s="10">
        <f>CHOOSE(CONTROL!$C$42, 21.6238, 21.6238) * CHOOSE(CONTROL!$C$21, $C$9, 100%, $E$9)</f>
        <v>21.623799999999999</v>
      </c>
      <c r="O765" s="10">
        <f>CHOOSE(CONTROL!$C$42, 21.853, 21.853) * CHOOSE(CONTROL!$C$21, $C$9, 100%, $E$9)</f>
        <v>21.853000000000002</v>
      </c>
      <c r="P765" s="10">
        <f>CHOOSE(CONTROL!$C$42, 21.6351, 21.6351) * CHOOSE(CONTROL!$C$21, $C$9, 100%, $E$9)</f>
        <v>21.635100000000001</v>
      </c>
      <c r="Q765" s="10">
        <f>CHOOSE(CONTROL!$C$42, 22.4483, 22.4483) * CHOOSE(CONTROL!$C$21, $C$9, 100%, $E$9)</f>
        <v>22.4483</v>
      </c>
      <c r="R765" s="10">
        <f>CHOOSE(CONTROL!$C$42, 23.0914, 23.0914) * CHOOSE(CONTROL!$C$21, $C$9, 100%, $E$9)</f>
        <v>23.0914</v>
      </c>
      <c r="S765" s="10">
        <f>CHOOSE(CONTROL!$C$42, 21.2212, 21.2212) * CHOOSE(CONTROL!$C$21, $C$9, 100%, $E$9)</f>
        <v>21.2212</v>
      </c>
      <c r="T7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38">
        <f>(1000*CHOOSE(CONTROL!$C$42, 695, 695)*CHOOSE(CONTROL!$C$42, 0.5599, 0.5599)*CHOOSE(CONTROL!$C$42, 30, 30))/1000000</f>
        <v>11.673914999999997</v>
      </c>
      <c r="V765" s="38">
        <f>(1000*CHOOSE(CONTROL!$C$42, 500, 500)*CHOOSE(CONTROL!$C$42, 0.275, 0.275)*CHOOSE(CONTROL!$C$42, 30, 30))/1000000</f>
        <v>4.125</v>
      </c>
      <c r="W765" s="38">
        <f>(1000*CHOOSE(CONTROL!$C$42, 0.1146, 0.1146)*CHOOSE(CONTROL!$C$42, 121.5, 121.5)*CHOOSE(CONTROL!$C$42, 30, 30))/1000000</f>
        <v>0.417717</v>
      </c>
      <c r="X765" s="38">
        <f>(30*0.1790888*245000/1000000)+(30*0.2374*100000/1000000)</f>
        <v>2.0285026799999999</v>
      </c>
      <c r="Y765" s="38">
        <f>(1000*600*CHOOSE(CONTROL!$C$42, 1.0585, 1.0585)*CHOOSE(CONTROL!$C$42, 30, 30))/1000000</f>
        <v>19.053000000000001</v>
      </c>
      <c r="Z765" s="38"/>
      <c r="AA765" s="10"/>
      <c r="AB765" s="39"/>
      <c r="AC765" s="33">
        <f>(B765*194.205+C765*267.466+D765*133.845+E765*53.484+F765*40+G765*185+H765*0+I765*100+J765*300)/(194.205+267.466+133.845+53.484+0+40+185+100+300)</f>
        <v>21.871790711067504</v>
      </c>
      <c r="AD765" s="27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21.723644604316547</v>
      </c>
    </row>
    <row r="766" spans="1:30" ht="15.75" x14ac:dyDescent="0.25">
      <c r="A766" s="13">
        <v>64589</v>
      </c>
      <c r="B766" s="10">
        <f>CHOOSE(CONTROL!$C$42, 21.4113, 21.4113) * CHOOSE(CONTROL!$C$21, $C$9, 100%, $E$9)</f>
        <v>21.411300000000001</v>
      </c>
      <c r="C766" s="10">
        <f>CHOOSE(CONTROL!$C$42, 21.4165, 21.4165) * CHOOSE(CONTROL!$C$21, $C$9, 100%, $E$9)</f>
        <v>21.416499999999999</v>
      </c>
      <c r="D766" s="10">
        <f>CHOOSE(CONTROL!$C$42, 21.5984, 21.5984) * CHOOSE(CONTROL!$C$21, $C$9, 100%, $E$9)</f>
        <v>21.598400000000002</v>
      </c>
      <c r="E766" s="10">
        <f>CHOOSE(CONTROL!$C$42, 21.6272, 21.6272) * CHOOSE(CONTROL!$C$21, $C$9, 100%, $E$9)</f>
        <v>21.627199999999998</v>
      </c>
      <c r="F766" s="10">
        <f>CHOOSE(CONTROL!$C$42, 21.3769, 21.3769)*CHOOSE(CONTROL!$C$21, $C$9, 100%, $E$9)</f>
        <v>21.376899999999999</v>
      </c>
      <c r="G766" s="10">
        <f>CHOOSE(CONTROL!$C$42, 21.3931, 21.3931)*CHOOSE(CONTROL!$C$21, $C$9, 100%, $E$9)</f>
        <v>21.3931</v>
      </c>
      <c r="H766" s="10">
        <f>CHOOSE(CONTROL!$C$42, 21.6177, 21.6177) * CHOOSE(CONTROL!$C$21, $C$9, 100%, $E$9)</f>
        <v>21.617699999999999</v>
      </c>
      <c r="I766" s="10">
        <f>CHOOSE(CONTROL!$C$42, 21.3976, 21.3976)* CHOOSE(CONTROL!$C$21, $C$9, 100%, $E$9)</f>
        <v>21.397600000000001</v>
      </c>
      <c r="J766" s="10">
        <f>CHOOSE(CONTROL!$C$42, 21.3699, 21.3699)* CHOOSE(CONTROL!$C$21, $C$9, 100%, $E$9)</f>
        <v>21.369900000000001</v>
      </c>
      <c r="K766" s="10">
        <f>CHOOSE(CONTROL!$C$42, 20.9251, 20.9251) * CHOOSE(CONTROL!$C$21, $C$9, 100%, $E$9)</f>
        <v>20.9251</v>
      </c>
      <c r="L766" s="10">
        <f>CHOOSE(CONTROL!$C$42, 22.2047, 22.2047) * CHOOSE(CONTROL!$C$21, $C$9, 100%, $E$9)</f>
        <v>22.204699999999999</v>
      </c>
      <c r="M766" s="10">
        <f>CHOOSE(CONTROL!$C$42, 21.168, 21.168) * CHOOSE(CONTROL!$C$21, $C$9, 100%, $E$9)</f>
        <v>21.167999999999999</v>
      </c>
      <c r="N766" s="10">
        <f>CHOOSE(CONTROL!$C$42, 21.1841, 21.1841) * CHOOSE(CONTROL!$C$21, $C$9, 100%, $E$9)</f>
        <v>21.184100000000001</v>
      </c>
      <c r="O766" s="10">
        <f>CHOOSE(CONTROL!$C$42, 21.4134, 21.4134) * CHOOSE(CONTROL!$C$21, $C$9, 100%, $E$9)</f>
        <v>21.413399999999999</v>
      </c>
      <c r="P766" s="10">
        <f>CHOOSE(CONTROL!$C$42, 21.1955, 21.1955) * CHOOSE(CONTROL!$C$21, $C$9, 100%, $E$9)</f>
        <v>21.195499999999999</v>
      </c>
      <c r="Q766" s="10">
        <f>CHOOSE(CONTROL!$C$42, 22.0087, 22.0087) * CHOOSE(CONTROL!$C$21, $C$9, 100%, $E$9)</f>
        <v>22.008700000000001</v>
      </c>
      <c r="R766" s="10">
        <f>CHOOSE(CONTROL!$C$42, 22.6507, 22.6507) * CHOOSE(CONTROL!$C$21, $C$9, 100%, $E$9)</f>
        <v>22.650700000000001</v>
      </c>
      <c r="S766" s="10">
        <f>CHOOSE(CONTROL!$C$42, 20.7899, 20.7899) * CHOOSE(CONTROL!$C$21, $C$9, 100%, $E$9)</f>
        <v>20.789899999999999</v>
      </c>
      <c r="T7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38">
        <f>(1000*CHOOSE(CONTROL!$C$42, 695, 695)*CHOOSE(CONTROL!$C$42, 0.5599, 0.5599)*CHOOSE(CONTROL!$C$42, 31, 31))/1000000</f>
        <v>12.063045499999998</v>
      </c>
      <c r="V766" s="38">
        <f>(1000*CHOOSE(CONTROL!$C$42, 500, 500)*CHOOSE(CONTROL!$C$42, 0.275, 0.275)*CHOOSE(CONTROL!$C$42, 31, 31))/1000000</f>
        <v>4.2625000000000002</v>
      </c>
      <c r="W766" s="38">
        <f>(1000*CHOOSE(CONTROL!$C$42, 0.1146, 0.1146)*CHOOSE(CONTROL!$C$42, 121.5, 121.5)*CHOOSE(CONTROL!$C$42, 31, 31))/1000000</f>
        <v>0.43164089999999994</v>
      </c>
      <c r="X766" s="38">
        <f>(31*0.1790888*245000/1000000)+(31*0.2374*100000/1000000)</f>
        <v>2.0961194359999999</v>
      </c>
      <c r="Y766" s="38">
        <f>(1000*600*CHOOSE(CONTROL!$C$42, 1.0585, 1.0585)*CHOOSE(CONTROL!$C$42, 31, 31))/1000000</f>
        <v>19.688099999999999</v>
      </c>
      <c r="Z766" s="38"/>
      <c r="AA766" s="10"/>
      <c r="AB766" s="39"/>
      <c r="AC766" s="33">
        <f>(B766*131.881+C766*277.167+D766*79.08+E766*125.872+F766*40+G766*185+H766*0+I766*100+J766*300)/(131.881+277.167+79.08+125.872+0+40+185+100+300)</f>
        <v>21.431380630508478</v>
      </c>
      <c r="AD766" s="27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21.284107913669061</v>
      </c>
    </row>
    <row r="767" spans="1:30" ht="15.75" x14ac:dyDescent="0.25">
      <c r="A767" s="13">
        <v>64619</v>
      </c>
      <c r="B767" s="10">
        <f>CHOOSE(CONTROL!$C$42, 21.9748, 21.9748) * CHOOSE(CONTROL!$C$21, $C$9, 100%, $E$9)</f>
        <v>21.974799999999998</v>
      </c>
      <c r="C767" s="10">
        <f>CHOOSE(CONTROL!$C$42, 21.9798, 21.9798) * CHOOSE(CONTROL!$C$21, $C$9, 100%, $E$9)</f>
        <v>21.979800000000001</v>
      </c>
      <c r="D767" s="10">
        <f>CHOOSE(CONTROL!$C$42, 22.0043, 22.0043) * CHOOSE(CONTROL!$C$21, $C$9, 100%, $E$9)</f>
        <v>22.004300000000001</v>
      </c>
      <c r="E767" s="10">
        <f>CHOOSE(CONTROL!$C$42, 22.038, 22.038) * CHOOSE(CONTROL!$C$21, $C$9, 100%, $E$9)</f>
        <v>22.038</v>
      </c>
      <c r="F767" s="10">
        <f>CHOOSE(CONTROL!$C$42, 21.9442, 21.9442)*CHOOSE(CONTROL!$C$21, $C$9, 100%, $E$9)</f>
        <v>21.944199999999999</v>
      </c>
      <c r="G767" s="10">
        <f>CHOOSE(CONTROL!$C$42, 21.9606, 21.9606)*CHOOSE(CONTROL!$C$21, $C$9, 100%, $E$9)</f>
        <v>21.960599999999999</v>
      </c>
      <c r="H767" s="10">
        <f>CHOOSE(CONTROL!$C$42, 22.0272, 22.0272) * CHOOSE(CONTROL!$C$21, $C$9, 100%, $E$9)</f>
        <v>22.027200000000001</v>
      </c>
      <c r="I767" s="10">
        <f>CHOOSE(CONTROL!$C$42, 21.9616, 21.9616)* CHOOSE(CONTROL!$C$21, $C$9, 100%, $E$9)</f>
        <v>21.961600000000001</v>
      </c>
      <c r="J767" s="10">
        <f>CHOOSE(CONTROL!$C$42, 21.9372, 21.9372)* CHOOSE(CONTROL!$C$21, $C$9, 100%, $E$9)</f>
        <v>21.937200000000001</v>
      </c>
      <c r="K767" s="10">
        <f>CHOOSE(CONTROL!$C$42, 21.4746, 21.4746) * CHOOSE(CONTROL!$C$21, $C$9, 100%, $E$9)</f>
        <v>21.474599999999999</v>
      </c>
      <c r="L767" s="10">
        <f>CHOOSE(CONTROL!$C$42, 22.6142, 22.6142) * CHOOSE(CONTROL!$C$21, $C$9, 100%, $E$9)</f>
        <v>22.6142</v>
      </c>
      <c r="M767" s="10">
        <f>CHOOSE(CONTROL!$C$42, 21.7296, 21.7296) * CHOOSE(CONTROL!$C$21, $C$9, 100%, $E$9)</f>
        <v>21.729600000000001</v>
      </c>
      <c r="N767" s="10">
        <f>CHOOSE(CONTROL!$C$42, 21.7459, 21.7459) * CHOOSE(CONTROL!$C$21, $C$9, 100%, $E$9)</f>
        <v>21.745899999999999</v>
      </c>
      <c r="O767" s="10">
        <f>CHOOSE(CONTROL!$C$42, 21.8188, 21.8188) * CHOOSE(CONTROL!$C$21, $C$9, 100%, $E$9)</f>
        <v>21.8188</v>
      </c>
      <c r="P767" s="10">
        <f>CHOOSE(CONTROL!$C$42, 21.7538, 21.7538) * CHOOSE(CONTROL!$C$21, $C$9, 100%, $E$9)</f>
        <v>21.753799999999998</v>
      </c>
      <c r="Q767" s="10">
        <f>CHOOSE(CONTROL!$C$42, 22.4141, 22.4141) * CHOOSE(CONTROL!$C$21, $C$9, 100%, $E$9)</f>
        <v>22.414100000000001</v>
      </c>
      <c r="R767" s="10">
        <f>CHOOSE(CONTROL!$C$42, 23.0571, 23.0571) * CHOOSE(CONTROL!$C$21, $C$9, 100%, $E$9)</f>
        <v>23.057099999999998</v>
      </c>
      <c r="S767" s="10">
        <f>CHOOSE(CONTROL!$C$42, 21.3376, 21.3376) * CHOOSE(CONTROL!$C$21, $C$9, 100%, $E$9)</f>
        <v>21.337599999999998</v>
      </c>
      <c r="T7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38">
        <f>(1000*CHOOSE(CONTROL!$C$42, 695, 695)*CHOOSE(CONTROL!$C$42, 0.5599, 0.5599)*CHOOSE(CONTROL!$C$42, 30, 30))/1000000</f>
        <v>11.673914999999997</v>
      </c>
      <c r="V767" s="38">
        <f>(1000*CHOOSE(CONTROL!$C$42, 500, 500)*CHOOSE(CONTROL!$C$42, 0.275, 0.275)*CHOOSE(CONTROL!$C$42, 30, 30))/1000000</f>
        <v>4.125</v>
      </c>
      <c r="W767" s="38">
        <f>(1000*CHOOSE(CONTROL!$C$42, 0.1146, 0.1146)*CHOOSE(CONTROL!$C$42, 121.5, 121.5)*CHOOSE(CONTROL!$C$42, 30, 30))/1000000</f>
        <v>0.417717</v>
      </c>
      <c r="X767" s="38">
        <f>(30*0.1790888*100000/1000000)+(30*0.2374*100000/1000000)</f>
        <v>1.2494664</v>
      </c>
      <c r="Y767" s="38">
        <f>(1000*600*CHOOSE(CONTROL!$C$42, 1.0585, 1.0585)*CHOOSE(CONTROL!$C$42, 30, 30))/1000000</f>
        <v>19.053000000000001</v>
      </c>
      <c r="Z767" s="38"/>
      <c r="AA767" s="10"/>
      <c r="AB767" s="39"/>
      <c r="AC767" s="33">
        <f>(B767*122.58+C767*297.941+D767*89.177+E767*40.302+F767*40+G767*160+H767*0+I767*100+J767*300)/(122.58+297.941+89.177+40.302+0+40+160+100+300)</f>
        <v>21.966601315565217</v>
      </c>
      <c r="AD767" s="27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21.774448920863311</v>
      </c>
    </row>
    <row r="768" spans="1:30" ht="15.75" x14ac:dyDescent="0.25">
      <c r="A768" s="13">
        <v>64650</v>
      </c>
      <c r="B768" s="10">
        <f>CHOOSE(CONTROL!$C$42, 23.4729, 23.4729) * CHOOSE(CONTROL!$C$21, $C$9, 100%, $E$9)</f>
        <v>23.472899999999999</v>
      </c>
      <c r="C768" s="10">
        <f>CHOOSE(CONTROL!$C$42, 23.4778, 23.4778) * CHOOSE(CONTROL!$C$21, $C$9, 100%, $E$9)</f>
        <v>23.477799999999998</v>
      </c>
      <c r="D768" s="10">
        <f>CHOOSE(CONTROL!$C$42, 23.5023, 23.5023) * CHOOSE(CONTROL!$C$21, $C$9, 100%, $E$9)</f>
        <v>23.502300000000002</v>
      </c>
      <c r="E768" s="10">
        <f>CHOOSE(CONTROL!$C$42, 23.5361, 23.5361) * CHOOSE(CONTROL!$C$21, $C$9, 100%, $E$9)</f>
        <v>23.536100000000001</v>
      </c>
      <c r="F768" s="10">
        <f>CHOOSE(CONTROL!$C$42, 23.4445, 23.4445)*CHOOSE(CONTROL!$C$21, $C$9, 100%, $E$9)</f>
        <v>23.444500000000001</v>
      </c>
      <c r="G768" s="10">
        <f>CHOOSE(CONTROL!$C$42, 23.4615, 23.4615)*CHOOSE(CONTROL!$C$21, $C$9, 100%, $E$9)</f>
        <v>23.461500000000001</v>
      </c>
      <c r="H768" s="10">
        <f>CHOOSE(CONTROL!$C$42, 23.5253, 23.5253) * CHOOSE(CONTROL!$C$21, $C$9, 100%, $E$9)</f>
        <v>23.525300000000001</v>
      </c>
      <c r="I768" s="10">
        <f>CHOOSE(CONTROL!$C$42, 23.4596, 23.4596)* CHOOSE(CONTROL!$C$21, $C$9, 100%, $E$9)</f>
        <v>23.459599999999998</v>
      </c>
      <c r="J768" s="10">
        <f>CHOOSE(CONTROL!$C$42, 23.4375, 23.4375)* CHOOSE(CONTROL!$C$21, $C$9, 100%, $E$9)</f>
        <v>23.4375</v>
      </c>
      <c r="K768" s="10">
        <f>CHOOSE(CONTROL!$C$42, 22.9351, 22.9351) * CHOOSE(CONTROL!$C$21, $C$9, 100%, $E$9)</f>
        <v>22.935099999999998</v>
      </c>
      <c r="L768" s="10">
        <f>CHOOSE(CONTROL!$C$42, 24.1123, 24.1123) * CHOOSE(CONTROL!$C$21, $C$9, 100%, $E$9)</f>
        <v>24.112300000000001</v>
      </c>
      <c r="M768" s="10">
        <f>CHOOSE(CONTROL!$C$42, 23.2148, 23.2148) * CHOOSE(CONTROL!$C$21, $C$9, 100%, $E$9)</f>
        <v>23.2148</v>
      </c>
      <c r="N768" s="10">
        <f>CHOOSE(CONTROL!$C$42, 23.2317, 23.2317) * CHOOSE(CONTROL!$C$21, $C$9, 100%, $E$9)</f>
        <v>23.2317</v>
      </c>
      <c r="O768" s="10">
        <f>CHOOSE(CONTROL!$C$42, 23.3017, 23.3017) * CHOOSE(CONTROL!$C$21, $C$9, 100%, $E$9)</f>
        <v>23.3017</v>
      </c>
      <c r="P768" s="10">
        <f>CHOOSE(CONTROL!$C$42, 23.2368, 23.2368) * CHOOSE(CONTROL!$C$21, $C$9, 100%, $E$9)</f>
        <v>23.236799999999999</v>
      </c>
      <c r="Q768" s="10">
        <f>CHOOSE(CONTROL!$C$42, 23.897, 23.897) * CHOOSE(CONTROL!$C$21, $C$9, 100%, $E$9)</f>
        <v>23.896999999999998</v>
      </c>
      <c r="R768" s="10">
        <f>CHOOSE(CONTROL!$C$42, 24.5437, 24.5437) * CHOOSE(CONTROL!$C$21, $C$9, 100%, $E$9)</f>
        <v>24.543700000000001</v>
      </c>
      <c r="S768" s="10">
        <f>CHOOSE(CONTROL!$C$42, 22.7924, 22.7924) * CHOOSE(CONTROL!$C$21, $C$9, 100%, $E$9)</f>
        <v>22.792400000000001</v>
      </c>
      <c r="T7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38">
        <f>(1000*CHOOSE(CONTROL!$C$42, 695, 695)*CHOOSE(CONTROL!$C$42, 0.5599, 0.5599)*CHOOSE(CONTROL!$C$42, 31, 31))/1000000</f>
        <v>12.063045499999998</v>
      </c>
      <c r="V768" s="38">
        <f>(1000*CHOOSE(CONTROL!$C$42, 500, 500)*CHOOSE(CONTROL!$C$42, 0.275, 0.275)*CHOOSE(CONTROL!$C$42, 31, 31))/1000000</f>
        <v>4.2625000000000002</v>
      </c>
      <c r="W768" s="38">
        <f>(1000*CHOOSE(CONTROL!$C$42, 0.1146, 0.1146)*CHOOSE(CONTROL!$C$42, 121.5, 121.5)*CHOOSE(CONTROL!$C$42, 31, 31))/1000000</f>
        <v>0.43164089999999994</v>
      </c>
      <c r="X768" s="38">
        <f>(31*0.1790888*100000/1000000)+(31*0.2374*100000/1000000)</f>
        <v>1.2911152800000001</v>
      </c>
      <c r="Y768" s="38">
        <f>(1000*600*CHOOSE(CONTROL!$C$42, 1.0585, 1.0585)*CHOOSE(CONTROL!$C$42, 31, 31))/1000000</f>
        <v>19.688099999999999</v>
      </c>
      <c r="Z768" s="38"/>
      <c r="AA768" s="10"/>
      <c r="AB768" s="39"/>
      <c r="AC768" s="33">
        <f>(B768*122.58+C768*297.941+D768*89.177+E768*40.302+F768*40+G768*160+H768*0+I768*100+J768*300)/(122.58+297.941+89.177+40.302+0+40+160+100+300)</f>
        <v>23.465698957478264</v>
      </c>
      <c r="AD768" s="27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23.258324460431655</v>
      </c>
    </row>
    <row r="769" spans="1:30" ht="15.75" x14ac:dyDescent="0.25">
      <c r="A769" s="13">
        <v>64681</v>
      </c>
      <c r="B769" s="10">
        <f>CHOOSE(CONTROL!$C$42, 25.057, 25.057) * CHOOSE(CONTROL!$C$21, $C$9, 100%, $E$9)</f>
        <v>25.056999999999999</v>
      </c>
      <c r="C769" s="10">
        <f>CHOOSE(CONTROL!$C$42, 25.0619, 25.0619) * CHOOSE(CONTROL!$C$21, $C$9, 100%, $E$9)</f>
        <v>25.061900000000001</v>
      </c>
      <c r="D769" s="10">
        <f>CHOOSE(CONTROL!$C$42, 25.0864, 25.0864) * CHOOSE(CONTROL!$C$21, $C$9, 100%, $E$9)</f>
        <v>25.086400000000001</v>
      </c>
      <c r="E769" s="10">
        <f>CHOOSE(CONTROL!$C$42, 25.1201, 25.1201) * CHOOSE(CONTROL!$C$21, $C$9, 100%, $E$9)</f>
        <v>25.120100000000001</v>
      </c>
      <c r="F769" s="10">
        <f>CHOOSE(CONTROL!$C$42, 25.0399, 25.0399)*CHOOSE(CONTROL!$C$21, $C$9, 100%, $E$9)</f>
        <v>25.039899999999999</v>
      </c>
      <c r="G769" s="10">
        <f>CHOOSE(CONTROL!$C$42, 25.0586, 25.0586)*CHOOSE(CONTROL!$C$21, $C$9, 100%, $E$9)</f>
        <v>25.058599999999998</v>
      </c>
      <c r="H769" s="10">
        <f>CHOOSE(CONTROL!$C$42, 25.1093, 25.1093) * CHOOSE(CONTROL!$C$21, $C$9, 100%, $E$9)</f>
        <v>25.109300000000001</v>
      </c>
      <c r="I769" s="10">
        <f>CHOOSE(CONTROL!$C$42, 25.0514, 25.0514)* CHOOSE(CONTROL!$C$21, $C$9, 100%, $E$9)</f>
        <v>25.051400000000001</v>
      </c>
      <c r="J769" s="10">
        <f>CHOOSE(CONTROL!$C$42, 25.0329, 25.0329)* CHOOSE(CONTROL!$C$21, $C$9, 100%, $E$9)</f>
        <v>25.032900000000001</v>
      </c>
      <c r="K769" s="10">
        <f>CHOOSE(CONTROL!$C$42, 24.4951, 24.4951) * CHOOSE(CONTROL!$C$21, $C$9, 100%, $E$9)</f>
        <v>24.495100000000001</v>
      </c>
      <c r="L769" s="10">
        <f>CHOOSE(CONTROL!$C$42, 25.6963, 25.6963) * CHOOSE(CONTROL!$C$21, $C$9, 100%, $E$9)</f>
        <v>25.696300000000001</v>
      </c>
      <c r="M769" s="10">
        <f>CHOOSE(CONTROL!$C$42, 24.7941, 24.7941) * CHOOSE(CONTROL!$C$21, $C$9, 100%, $E$9)</f>
        <v>24.7941</v>
      </c>
      <c r="N769" s="10">
        <f>CHOOSE(CONTROL!$C$42, 24.8126, 24.8126) * CHOOSE(CONTROL!$C$21, $C$9, 100%, $E$9)</f>
        <v>24.8126</v>
      </c>
      <c r="O769" s="10">
        <f>CHOOSE(CONTROL!$C$42, 24.8698, 24.8698) * CHOOSE(CONTROL!$C$21, $C$9, 100%, $E$9)</f>
        <v>24.869800000000001</v>
      </c>
      <c r="P769" s="10">
        <f>CHOOSE(CONTROL!$C$42, 24.8125, 24.8125) * CHOOSE(CONTROL!$C$21, $C$9, 100%, $E$9)</f>
        <v>24.8125</v>
      </c>
      <c r="Q769" s="10">
        <f>CHOOSE(CONTROL!$C$42, 25.4651, 25.4651) * CHOOSE(CONTROL!$C$21, $C$9, 100%, $E$9)</f>
        <v>25.4651</v>
      </c>
      <c r="R769" s="10">
        <f>CHOOSE(CONTROL!$C$42, 26.1157, 26.1157) * CHOOSE(CONTROL!$C$21, $C$9, 100%, $E$9)</f>
        <v>26.1157</v>
      </c>
      <c r="S769" s="10">
        <f>CHOOSE(CONTROL!$C$42, 24.3307, 24.3307) * CHOOSE(CONTROL!$C$21, $C$9, 100%, $E$9)</f>
        <v>24.3307</v>
      </c>
      <c r="T7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38">
        <f>(1000*CHOOSE(CONTROL!$C$42, 695, 695)*CHOOSE(CONTROL!$C$42, 0.5599, 0.5599)*CHOOSE(CONTROL!$C$42, 31, 31))/1000000</f>
        <v>12.063045499999998</v>
      </c>
      <c r="V769" s="38">
        <f>(1000*CHOOSE(CONTROL!$C$42, 500, 500)*CHOOSE(CONTROL!$C$42, 0.275, 0.275)*CHOOSE(CONTROL!$C$42, 31, 31))/1000000</f>
        <v>4.2625000000000002</v>
      </c>
      <c r="W769" s="38">
        <f>(1000*CHOOSE(CONTROL!$C$42, 0.1146, 0.1146)*CHOOSE(CONTROL!$C$42, 121.5, 121.5)*CHOOSE(CONTROL!$C$42, 31, 31))/1000000</f>
        <v>0.43164089999999994</v>
      </c>
      <c r="X769" s="38">
        <f>(31*0.1790888*100000/1000000)+(31*0.2374*100000/1000000)</f>
        <v>1.2911152800000001</v>
      </c>
      <c r="Y769" s="38">
        <f>(1000*600*CHOOSE(CONTROL!$C$42, 1.0585, 1.0585)*CHOOSE(CONTROL!$C$42, 31, 31))/1000000</f>
        <v>19.688099999999999</v>
      </c>
      <c r="Z769" s="38"/>
      <c r="AA769" s="10"/>
      <c r="AB769" s="39"/>
      <c r="AC769" s="33">
        <f>(B769*122.58+C769*297.941+D769*89.177+E769*40.302+F769*40+G769*160+H769*0+I769*100+J769*300)/(122.58+297.941+89.177+40.302+0+40+160+100+300)</f>
        <v>25.0556145833913</v>
      </c>
      <c r="AD769" s="27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24.832122302158275</v>
      </c>
    </row>
    <row r="770" spans="1:30" ht="15.75" x14ac:dyDescent="0.25">
      <c r="A770" s="13">
        <v>64709</v>
      </c>
      <c r="B770" s="10">
        <f>CHOOSE(CONTROL!$C$42, 25.503, 25.503) * CHOOSE(CONTROL!$C$21, $C$9, 100%, $E$9)</f>
        <v>25.503</v>
      </c>
      <c r="C770" s="10">
        <f>CHOOSE(CONTROL!$C$42, 25.5079, 25.5079) * CHOOSE(CONTROL!$C$21, $C$9, 100%, $E$9)</f>
        <v>25.507899999999999</v>
      </c>
      <c r="D770" s="10">
        <f>CHOOSE(CONTROL!$C$42, 25.5324, 25.5324) * CHOOSE(CONTROL!$C$21, $C$9, 100%, $E$9)</f>
        <v>25.532399999999999</v>
      </c>
      <c r="E770" s="10">
        <f>CHOOSE(CONTROL!$C$42, 25.5661, 25.5661) * CHOOSE(CONTROL!$C$21, $C$9, 100%, $E$9)</f>
        <v>25.566099999999999</v>
      </c>
      <c r="F770" s="10">
        <f>CHOOSE(CONTROL!$C$42, 25.4852, 25.4852)*CHOOSE(CONTROL!$C$21, $C$9, 100%, $E$9)</f>
        <v>25.485199999999999</v>
      </c>
      <c r="G770" s="10">
        <f>CHOOSE(CONTROL!$C$42, 25.5037, 25.5037)*CHOOSE(CONTROL!$C$21, $C$9, 100%, $E$9)</f>
        <v>25.503699999999998</v>
      </c>
      <c r="H770" s="10">
        <f>CHOOSE(CONTROL!$C$42, 25.5553, 25.5553) * CHOOSE(CONTROL!$C$21, $C$9, 100%, $E$9)</f>
        <v>25.555299999999999</v>
      </c>
      <c r="I770" s="10">
        <f>CHOOSE(CONTROL!$C$42, 25.4974, 25.4974)* CHOOSE(CONTROL!$C$21, $C$9, 100%, $E$9)</f>
        <v>25.497399999999999</v>
      </c>
      <c r="J770" s="10">
        <f>CHOOSE(CONTROL!$C$42, 25.4782, 25.4782)* CHOOSE(CONTROL!$C$21, $C$9, 100%, $E$9)</f>
        <v>25.478200000000001</v>
      </c>
      <c r="K770" s="10">
        <f>CHOOSE(CONTROL!$C$42, 24.927, 24.927) * CHOOSE(CONTROL!$C$21, $C$9, 100%, $E$9)</f>
        <v>24.927</v>
      </c>
      <c r="L770" s="10">
        <f>CHOOSE(CONTROL!$C$42, 26.1423, 26.1423) * CHOOSE(CONTROL!$C$21, $C$9, 100%, $E$9)</f>
        <v>26.142299999999999</v>
      </c>
      <c r="M770" s="10">
        <f>CHOOSE(CONTROL!$C$42, 25.2349, 25.2349) * CHOOSE(CONTROL!$C$21, $C$9, 100%, $E$9)</f>
        <v>25.2349</v>
      </c>
      <c r="N770" s="10">
        <f>CHOOSE(CONTROL!$C$42, 25.2532, 25.2532) * CHOOSE(CONTROL!$C$21, $C$9, 100%, $E$9)</f>
        <v>25.2532</v>
      </c>
      <c r="O770" s="10">
        <f>CHOOSE(CONTROL!$C$42, 25.3113, 25.3113) * CHOOSE(CONTROL!$C$21, $C$9, 100%, $E$9)</f>
        <v>25.311299999999999</v>
      </c>
      <c r="P770" s="10">
        <f>CHOOSE(CONTROL!$C$42, 25.254, 25.254) * CHOOSE(CONTROL!$C$21, $C$9, 100%, $E$9)</f>
        <v>25.254000000000001</v>
      </c>
      <c r="Q770" s="10">
        <f>CHOOSE(CONTROL!$C$42, 25.9066, 25.9066) * CHOOSE(CONTROL!$C$21, $C$9, 100%, $E$9)</f>
        <v>25.906600000000001</v>
      </c>
      <c r="R770" s="10">
        <f>CHOOSE(CONTROL!$C$42, 26.5583, 26.5583) * CHOOSE(CONTROL!$C$21, $C$9, 100%, $E$9)</f>
        <v>26.558299999999999</v>
      </c>
      <c r="S770" s="10">
        <f>CHOOSE(CONTROL!$C$42, 24.7638, 24.7638) * CHOOSE(CONTROL!$C$21, $C$9, 100%, $E$9)</f>
        <v>24.7638</v>
      </c>
      <c r="T7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70" s="38">
        <f>(1000*CHOOSE(CONTROL!$C$42, 695, 695)*CHOOSE(CONTROL!$C$42, 0.5599, 0.5599)*CHOOSE(CONTROL!$C$42, 28, 28))/1000000</f>
        <v>10.895653999999999</v>
      </c>
      <c r="V770" s="38">
        <f>(1000*CHOOSE(CONTROL!$C$42, 500, 500)*CHOOSE(CONTROL!$C$42, 0.275, 0.275)*CHOOSE(CONTROL!$C$42, 28, 28))/1000000</f>
        <v>3.85</v>
      </c>
      <c r="W770" s="38">
        <f>(1000*CHOOSE(CONTROL!$C$42, 0.1146, 0.1146)*CHOOSE(CONTROL!$C$42, 121.5, 121.5)*CHOOSE(CONTROL!$C$42, 28, 28))/1000000</f>
        <v>0.38986920000000003</v>
      </c>
      <c r="X770" s="38">
        <f>(28*0.1790888*100000/1000000)+(28*0.2374*100000/1000000)</f>
        <v>1.16616864</v>
      </c>
      <c r="Y770" s="38">
        <f>(1000*600*CHOOSE(CONTROL!$C$42, 1.0585, 1.0585)*CHOOSE(CONTROL!$C$42, 28, 28))/1000000</f>
        <v>17.782800000000002</v>
      </c>
      <c r="Z770" s="38"/>
      <c r="AA770" s="10"/>
      <c r="AB770" s="39"/>
      <c r="AC770" s="33">
        <f>(B770*122.58+C770*297.941+D770*89.177+E770*40.302+F770*40+G770*160+H770*0+I770*100+J770*300)/(122.58+297.941+89.177+40.302+0+40+160+100+300)</f>
        <v>25.501282409478254</v>
      </c>
      <c r="AD770" s="27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25.273328776978421</v>
      </c>
    </row>
    <row r="771" spans="1:30" ht="15.75" x14ac:dyDescent="0.25">
      <c r="A771" s="13">
        <v>64740</v>
      </c>
      <c r="B771" s="10">
        <f>CHOOSE(CONTROL!$C$42, 24.779, 24.779) * CHOOSE(CONTROL!$C$21, $C$9, 100%, $E$9)</f>
        <v>24.779</v>
      </c>
      <c r="C771" s="10">
        <f>CHOOSE(CONTROL!$C$42, 24.7839, 24.7839) * CHOOSE(CONTROL!$C$21, $C$9, 100%, $E$9)</f>
        <v>24.783899999999999</v>
      </c>
      <c r="D771" s="10">
        <f>CHOOSE(CONTROL!$C$42, 24.8084, 24.8084) * CHOOSE(CONTROL!$C$21, $C$9, 100%, $E$9)</f>
        <v>24.808399999999999</v>
      </c>
      <c r="E771" s="10">
        <f>CHOOSE(CONTROL!$C$42, 24.8422, 24.8422) * CHOOSE(CONTROL!$C$21, $C$9, 100%, $E$9)</f>
        <v>24.842199999999998</v>
      </c>
      <c r="F771" s="10">
        <f>CHOOSE(CONTROL!$C$42, 24.7597, 24.7597)*CHOOSE(CONTROL!$C$21, $C$9, 100%, $E$9)</f>
        <v>24.759699999999999</v>
      </c>
      <c r="G771" s="10">
        <f>CHOOSE(CONTROL!$C$42, 24.7778, 24.7778)*CHOOSE(CONTROL!$C$21, $C$9, 100%, $E$9)</f>
        <v>24.777799999999999</v>
      </c>
      <c r="H771" s="10">
        <f>CHOOSE(CONTROL!$C$42, 24.8314, 24.8314) * CHOOSE(CONTROL!$C$21, $C$9, 100%, $E$9)</f>
        <v>24.831399999999999</v>
      </c>
      <c r="I771" s="10">
        <f>CHOOSE(CONTROL!$C$42, 24.7735, 24.7735)* CHOOSE(CONTROL!$C$21, $C$9, 100%, $E$9)</f>
        <v>24.773499999999999</v>
      </c>
      <c r="J771" s="10">
        <f>CHOOSE(CONTROL!$C$42, 24.7527, 24.7527)* CHOOSE(CONTROL!$C$21, $C$9, 100%, $E$9)</f>
        <v>24.752700000000001</v>
      </c>
      <c r="K771" s="10">
        <f>CHOOSE(CONTROL!$C$42, 24.2203, 24.2203) * CHOOSE(CONTROL!$C$21, $C$9, 100%, $E$9)</f>
        <v>24.220300000000002</v>
      </c>
      <c r="L771" s="10">
        <f>CHOOSE(CONTROL!$C$42, 25.4184, 25.4184) * CHOOSE(CONTROL!$C$21, $C$9, 100%, $E$9)</f>
        <v>25.418399999999998</v>
      </c>
      <c r="M771" s="10">
        <f>CHOOSE(CONTROL!$C$42, 24.5167, 24.5167) * CHOOSE(CONTROL!$C$21, $C$9, 100%, $E$9)</f>
        <v>24.5167</v>
      </c>
      <c r="N771" s="10">
        <f>CHOOSE(CONTROL!$C$42, 24.5346, 24.5346) * CHOOSE(CONTROL!$C$21, $C$9, 100%, $E$9)</f>
        <v>24.534600000000001</v>
      </c>
      <c r="O771" s="10">
        <f>CHOOSE(CONTROL!$C$42, 24.5946, 24.5946) * CHOOSE(CONTROL!$C$21, $C$9, 100%, $E$9)</f>
        <v>24.5946</v>
      </c>
      <c r="P771" s="10">
        <f>CHOOSE(CONTROL!$C$42, 24.5373, 24.5373) * CHOOSE(CONTROL!$C$21, $C$9, 100%, $E$9)</f>
        <v>24.537299999999998</v>
      </c>
      <c r="Q771" s="10">
        <f>CHOOSE(CONTROL!$C$42, 25.1899, 25.1899) * CHOOSE(CONTROL!$C$21, $C$9, 100%, $E$9)</f>
        <v>25.189900000000002</v>
      </c>
      <c r="R771" s="10">
        <f>CHOOSE(CONTROL!$C$42, 25.8399, 25.8399) * CHOOSE(CONTROL!$C$21, $C$9, 100%, $E$9)</f>
        <v>25.8399</v>
      </c>
      <c r="S771" s="10">
        <f>CHOOSE(CONTROL!$C$42, 24.0607, 24.0607) * CHOOSE(CONTROL!$C$21, $C$9, 100%, $E$9)</f>
        <v>24.060700000000001</v>
      </c>
      <c r="T7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38">
        <f>(1000*CHOOSE(CONTROL!$C$42, 695, 695)*CHOOSE(CONTROL!$C$42, 0.5599, 0.5599)*CHOOSE(CONTROL!$C$42, 31, 31))/1000000</f>
        <v>12.063045499999998</v>
      </c>
      <c r="V771" s="38">
        <f>(1000*CHOOSE(CONTROL!$C$42, 500, 500)*CHOOSE(CONTROL!$C$42, 0.275, 0.275)*CHOOSE(CONTROL!$C$42, 31, 31))/1000000</f>
        <v>4.2625000000000002</v>
      </c>
      <c r="W771" s="38">
        <f>(1000*CHOOSE(CONTROL!$C$42, 0.1146, 0.1146)*CHOOSE(CONTROL!$C$42, 121.5, 121.5)*CHOOSE(CONTROL!$C$42, 31, 31))/1000000</f>
        <v>0.43164089999999994</v>
      </c>
      <c r="X771" s="38">
        <f>(31*0.1790888*100000/1000000)+(31*0.2374*100000/1000000)</f>
        <v>1.2911152800000001</v>
      </c>
      <c r="Y771" s="38">
        <f>(1000*600*CHOOSE(CONTROL!$C$42, 1.0585, 1.0585)*CHOOSE(CONTROL!$C$42, 31, 31))/1000000</f>
        <v>19.688099999999999</v>
      </c>
      <c r="Z771" s="38"/>
      <c r="AA771" s="10"/>
      <c r="AB771" s="39"/>
      <c r="AC771" s="33">
        <f>(B771*122.58+C771*297.941+D771*89.177+E771*40.302+F771*40+G771*160+H771*0+I771*100+J771*300)/(122.58+297.941+89.177+40.302+0+40+160+100+300)</f>
        <v>24.776586783565218</v>
      </c>
      <c r="AD771" s="27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24.55600143884892</v>
      </c>
    </row>
    <row r="772" spans="1:30" ht="15.75" x14ac:dyDescent="0.25">
      <c r="A772" s="13">
        <v>64770</v>
      </c>
      <c r="B772" s="10">
        <f>CHOOSE(CONTROL!$C$42, 24.7056, 24.7056) * CHOOSE(CONTROL!$C$21, $C$9, 100%, $E$9)</f>
        <v>24.7056</v>
      </c>
      <c r="C772" s="10">
        <f>CHOOSE(CONTROL!$C$42, 24.71, 24.71) * CHOOSE(CONTROL!$C$21, $C$9, 100%, $E$9)</f>
        <v>24.71</v>
      </c>
      <c r="D772" s="10">
        <f>CHOOSE(CONTROL!$C$42, 24.8901, 24.8901) * CHOOSE(CONTROL!$C$21, $C$9, 100%, $E$9)</f>
        <v>24.8901</v>
      </c>
      <c r="E772" s="10">
        <f>CHOOSE(CONTROL!$C$42, 24.9219, 24.9219) * CHOOSE(CONTROL!$C$21, $C$9, 100%, $E$9)</f>
        <v>24.921900000000001</v>
      </c>
      <c r="F772" s="10">
        <f>CHOOSE(CONTROL!$C$42, 24.6709, 24.6709)*CHOOSE(CONTROL!$C$21, $C$9, 100%, $E$9)</f>
        <v>24.6709</v>
      </c>
      <c r="G772" s="10">
        <f>CHOOSE(CONTROL!$C$42, 24.6872, 24.6872)*CHOOSE(CONTROL!$C$21, $C$9, 100%, $E$9)</f>
        <v>24.687200000000001</v>
      </c>
      <c r="H772" s="10">
        <f>CHOOSE(CONTROL!$C$42, 24.9117, 24.9117) * CHOOSE(CONTROL!$C$21, $C$9, 100%, $E$9)</f>
        <v>24.9117</v>
      </c>
      <c r="I772" s="10">
        <f>CHOOSE(CONTROL!$C$42, 24.6916, 24.6916)* CHOOSE(CONTROL!$C$21, $C$9, 100%, $E$9)</f>
        <v>24.691600000000001</v>
      </c>
      <c r="J772" s="10">
        <f>CHOOSE(CONTROL!$C$42, 24.6639, 24.6639)* CHOOSE(CONTROL!$C$21, $C$9, 100%, $E$9)</f>
        <v>24.663900000000002</v>
      </c>
      <c r="K772" s="10">
        <f>CHOOSE(CONTROL!$C$42, 24.1257, 24.1257) * CHOOSE(CONTROL!$C$21, $C$9, 100%, $E$9)</f>
        <v>24.125699999999998</v>
      </c>
      <c r="L772" s="10">
        <f>CHOOSE(CONTROL!$C$42, 25.4987, 25.4987) * CHOOSE(CONTROL!$C$21, $C$9, 100%, $E$9)</f>
        <v>25.498699999999999</v>
      </c>
      <c r="M772" s="10">
        <f>CHOOSE(CONTROL!$C$42, 24.4288, 24.4288) * CHOOSE(CONTROL!$C$21, $C$9, 100%, $E$9)</f>
        <v>24.428799999999999</v>
      </c>
      <c r="N772" s="10">
        <f>CHOOSE(CONTROL!$C$42, 24.4449, 24.4449) * CHOOSE(CONTROL!$C$21, $C$9, 100%, $E$9)</f>
        <v>24.444900000000001</v>
      </c>
      <c r="O772" s="10">
        <f>CHOOSE(CONTROL!$C$42, 24.6741, 24.6741) * CHOOSE(CONTROL!$C$21, $C$9, 100%, $E$9)</f>
        <v>24.674099999999999</v>
      </c>
      <c r="P772" s="10">
        <f>CHOOSE(CONTROL!$C$42, 24.4563, 24.4563) * CHOOSE(CONTROL!$C$21, $C$9, 100%, $E$9)</f>
        <v>24.456299999999999</v>
      </c>
      <c r="Q772" s="10">
        <f>CHOOSE(CONTROL!$C$42, 25.2694, 25.2694) * CHOOSE(CONTROL!$C$21, $C$9, 100%, $E$9)</f>
        <v>25.269400000000001</v>
      </c>
      <c r="R772" s="10">
        <f>CHOOSE(CONTROL!$C$42, 25.9196, 25.9196) * CHOOSE(CONTROL!$C$21, $C$9, 100%, $E$9)</f>
        <v>25.919599999999999</v>
      </c>
      <c r="S772" s="10">
        <f>CHOOSE(CONTROL!$C$42, 23.9887, 23.9887) * CHOOSE(CONTROL!$C$21, $C$9, 100%, $E$9)</f>
        <v>23.988700000000001</v>
      </c>
      <c r="T7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38">
        <f>(1000*CHOOSE(CONTROL!$C$42, 695, 695)*CHOOSE(CONTROL!$C$42, 0.5599, 0.5599)*CHOOSE(CONTROL!$C$42, 30, 30))/1000000</f>
        <v>11.673914999999997</v>
      </c>
      <c r="V772" s="38">
        <f>(1000*CHOOSE(CONTROL!$C$42, 500, 500)*CHOOSE(CONTROL!$C$42, 0.275, 0.275)*CHOOSE(CONTROL!$C$42, 30, 30))/1000000</f>
        <v>4.125</v>
      </c>
      <c r="W772" s="38">
        <f>(1000*CHOOSE(CONTROL!$C$42, 0.1146, 0.1146)*CHOOSE(CONTROL!$C$42, 121.5, 121.5)*CHOOSE(CONTROL!$C$42, 30, 30))/1000000</f>
        <v>0.417717</v>
      </c>
      <c r="X772" s="38">
        <f>(30*0.1790888*245000/1000000)+(30*0.2374*100000/1000000)</f>
        <v>2.0285026799999999</v>
      </c>
      <c r="Y772" s="38">
        <f>(1000*600*CHOOSE(CONTROL!$C$42, 1.0585, 1.0585)*CHOOSE(CONTROL!$C$42, 30, 30))/1000000</f>
        <v>19.053000000000001</v>
      </c>
      <c r="Z772" s="38"/>
      <c r="AA772" s="10"/>
      <c r="AB772" s="39"/>
      <c r="AC772" s="33">
        <f>(B772*141.293+C772*267.993+D772*115.016+E772*89.698+F772*40+G772*185+H772*0+I772*100+J772*300)/(141.293+267.993+115.016+89.698+0+40+185+100+300)</f>
        <v>24.724243501694914</v>
      </c>
      <c r="AD772" s="27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24.544862589928055</v>
      </c>
    </row>
    <row r="773" spans="1:30" ht="15.75" x14ac:dyDescent="0.25">
      <c r="A773" s="13">
        <v>64801</v>
      </c>
      <c r="B773" s="10">
        <f>CHOOSE(CONTROL!$C$42, 24.9254, 24.9254) * CHOOSE(CONTROL!$C$21, $C$9, 100%, $E$9)</f>
        <v>24.9254</v>
      </c>
      <c r="C773" s="10">
        <f>CHOOSE(CONTROL!$C$42, 24.9333, 24.9333) * CHOOSE(CONTROL!$C$21, $C$9, 100%, $E$9)</f>
        <v>24.933299999999999</v>
      </c>
      <c r="D773" s="10">
        <f>CHOOSE(CONTROL!$C$42, 25.1103, 25.1103) * CHOOSE(CONTROL!$C$21, $C$9, 100%, $E$9)</f>
        <v>25.110299999999999</v>
      </c>
      <c r="E773" s="10">
        <f>CHOOSE(CONTROL!$C$42, 25.1414, 25.1414) * CHOOSE(CONTROL!$C$21, $C$9, 100%, $E$9)</f>
        <v>25.141400000000001</v>
      </c>
      <c r="F773" s="10">
        <f>CHOOSE(CONTROL!$C$42, 24.8888, 24.8888)*CHOOSE(CONTROL!$C$21, $C$9, 100%, $E$9)</f>
        <v>24.8888</v>
      </c>
      <c r="G773" s="10">
        <f>CHOOSE(CONTROL!$C$42, 24.9053, 24.9053)*CHOOSE(CONTROL!$C$21, $C$9, 100%, $E$9)</f>
        <v>24.9053</v>
      </c>
      <c r="H773" s="10">
        <f>CHOOSE(CONTROL!$C$42, 25.1301, 25.1301) * CHOOSE(CONTROL!$C$21, $C$9, 100%, $E$9)</f>
        <v>25.130099999999999</v>
      </c>
      <c r="I773" s="10">
        <f>CHOOSE(CONTROL!$C$42, 24.91, 24.91)* CHOOSE(CONTROL!$C$21, $C$9, 100%, $E$9)</f>
        <v>24.91</v>
      </c>
      <c r="J773" s="10">
        <f>CHOOSE(CONTROL!$C$42, 24.8818, 24.8818)* CHOOSE(CONTROL!$C$21, $C$9, 100%, $E$9)</f>
        <v>24.881799999999998</v>
      </c>
      <c r="K773" s="10">
        <f>CHOOSE(CONTROL!$C$42, 24.3366, 24.3366) * CHOOSE(CONTROL!$C$21, $C$9, 100%, $E$9)</f>
        <v>24.336600000000001</v>
      </c>
      <c r="L773" s="10">
        <f>CHOOSE(CONTROL!$C$42, 25.7171, 25.7171) * CHOOSE(CONTROL!$C$21, $C$9, 100%, $E$9)</f>
        <v>25.717099999999999</v>
      </c>
      <c r="M773" s="10">
        <f>CHOOSE(CONTROL!$C$42, 24.6445, 24.6445) * CHOOSE(CONTROL!$C$21, $C$9, 100%, $E$9)</f>
        <v>24.644500000000001</v>
      </c>
      <c r="N773" s="10">
        <f>CHOOSE(CONTROL!$C$42, 24.6608, 24.6608) * CHOOSE(CONTROL!$C$21, $C$9, 100%, $E$9)</f>
        <v>24.660799999999998</v>
      </c>
      <c r="O773" s="10">
        <f>CHOOSE(CONTROL!$C$42, 24.8903, 24.8903) * CHOOSE(CONTROL!$C$21, $C$9, 100%, $E$9)</f>
        <v>24.8903</v>
      </c>
      <c r="P773" s="10">
        <f>CHOOSE(CONTROL!$C$42, 24.6725, 24.6725) * CHOOSE(CONTROL!$C$21, $C$9, 100%, $E$9)</f>
        <v>24.672499999999999</v>
      </c>
      <c r="Q773" s="10">
        <f>CHOOSE(CONTROL!$C$42, 25.4856, 25.4856) * CHOOSE(CONTROL!$C$21, $C$9, 100%, $E$9)</f>
        <v>25.485600000000002</v>
      </c>
      <c r="R773" s="10">
        <f>CHOOSE(CONTROL!$C$42, 26.1363, 26.1363) * CHOOSE(CONTROL!$C$21, $C$9, 100%, $E$9)</f>
        <v>26.136299999999999</v>
      </c>
      <c r="S773" s="10">
        <f>CHOOSE(CONTROL!$C$42, 24.2008, 24.2008) * CHOOSE(CONTROL!$C$21, $C$9, 100%, $E$9)</f>
        <v>24.200800000000001</v>
      </c>
      <c r="T7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38">
        <f>(1000*CHOOSE(CONTROL!$C$42, 695, 695)*CHOOSE(CONTROL!$C$42, 0.5599, 0.5599)*CHOOSE(CONTROL!$C$42, 31, 31))/1000000</f>
        <v>12.063045499999998</v>
      </c>
      <c r="V773" s="38">
        <f>(1000*CHOOSE(CONTROL!$C$42, 500, 500)*CHOOSE(CONTROL!$C$42, 0.275, 0.275)*CHOOSE(CONTROL!$C$42, 31, 31))/1000000</f>
        <v>4.2625000000000002</v>
      </c>
      <c r="W773" s="38">
        <f>(1000*CHOOSE(CONTROL!$C$42, 0.1146, 0.1146)*CHOOSE(CONTROL!$C$42, 121.5, 121.5)*CHOOSE(CONTROL!$C$42, 31, 31))/1000000</f>
        <v>0.43164089999999994</v>
      </c>
      <c r="X773" s="38">
        <f>(31*0.1790888*245000/1000000)+(31*0.2374*100000/1000000)</f>
        <v>2.0961194359999999</v>
      </c>
      <c r="Y773" s="38">
        <f>(1000*600*CHOOSE(CONTROL!$C$42, 1.0585, 1.0585)*CHOOSE(CONTROL!$C$42, 31, 31))/1000000</f>
        <v>19.688099999999999</v>
      </c>
      <c r="Z773" s="38"/>
      <c r="AA773" s="10"/>
      <c r="AB773" s="39"/>
      <c r="AC773" s="33">
        <f>(B773*194.205+C773*267.466+D773*133.845+E773*53.484+F773*40+G773*185+H773*0+I773*100+J773*300)/(194.205+267.466+133.845+53.484+0+40+185+100+300)</f>
        <v>24.940008293485086</v>
      </c>
      <c r="AD773" s="27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24.760872661870501</v>
      </c>
    </row>
    <row r="774" spans="1:30" ht="15.75" x14ac:dyDescent="0.25">
      <c r="A774" s="13">
        <v>64831</v>
      </c>
      <c r="B774" s="10">
        <f>CHOOSE(CONTROL!$C$42, 25.6323, 25.6323) * CHOOSE(CONTROL!$C$21, $C$9, 100%, $E$9)</f>
        <v>25.632300000000001</v>
      </c>
      <c r="C774" s="10">
        <f>CHOOSE(CONTROL!$C$42, 25.6402, 25.6402) * CHOOSE(CONTROL!$C$21, $C$9, 100%, $E$9)</f>
        <v>25.6402</v>
      </c>
      <c r="D774" s="10">
        <f>CHOOSE(CONTROL!$C$42, 25.8172, 25.8172) * CHOOSE(CONTROL!$C$21, $C$9, 100%, $E$9)</f>
        <v>25.8172</v>
      </c>
      <c r="E774" s="10">
        <f>CHOOSE(CONTROL!$C$42, 25.8483, 25.8483) * CHOOSE(CONTROL!$C$21, $C$9, 100%, $E$9)</f>
        <v>25.848299999999998</v>
      </c>
      <c r="F774" s="10">
        <f>CHOOSE(CONTROL!$C$42, 25.5958, 25.5958)*CHOOSE(CONTROL!$C$21, $C$9, 100%, $E$9)</f>
        <v>25.595800000000001</v>
      </c>
      <c r="G774" s="10">
        <f>CHOOSE(CONTROL!$C$42, 25.6124, 25.6124)*CHOOSE(CONTROL!$C$21, $C$9, 100%, $E$9)</f>
        <v>25.612400000000001</v>
      </c>
      <c r="H774" s="10">
        <f>CHOOSE(CONTROL!$C$42, 25.837, 25.837) * CHOOSE(CONTROL!$C$21, $C$9, 100%, $E$9)</f>
        <v>25.837</v>
      </c>
      <c r="I774" s="10">
        <f>CHOOSE(CONTROL!$C$42, 25.6169, 25.6169)* CHOOSE(CONTROL!$C$21, $C$9, 100%, $E$9)</f>
        <v>25.616900000000001</v>
      </c>
      <c r="J774" s="10">
        <f>CHOOSE(CONTROL!$C$42, 25.5888, 25.5888)* CHOOSE(CONTROL!$C$21, $C$9, 100%, $E$9)</f>
        <v>25.588799999999999</v>
      </c>
      <c r="K774" s="10">
        <f>CHOOSE(CONTROL!$C$42, 25.0238, 25.0238) * CHOOSE(CONTROL!$C$21, $C$9, 100%, $E$9)</f>
        <v>25.023800000000001</v>
      </c>
      <c r="L774" s="10">
        <f>CHOOSE(CONTROL!$C$42, 26.424, 26.424) * CHOOSE(CONTROL!$C$21, $C$9, 100%, $E$9)</f>
        <v>26.423999999999999</v>
      </c>
      <c r="M774" s="10">
        <f>CHOOSE(CONTROL!$C$42, 25.3444, 25.3444) * CHOOSE(CONTROL!$C$21, $C$9, 100%, $E$9)</f>
        <v>25.3444</v>
      </c>
      <c r="N774" s="10">
        <f>CHOOSE(CONTROL!$C$42, 25.3608, 25.3608) * CHOOSE(CONTROL!$C$21, $C$9, 100%, $E$9)</f>
        <v>25.360800000000001</v>
      </c>
      <c r="O774" s="10">
        <f>CHOOSE(CONTROL!$C$42, 25.59, 25.59) * CHOOSE(CONTROL!$C$21, $C$9, 100%, $E$9)</f>
        <v>25.59</v>
      </c>
      <c r="P774" s="10">
        <f>CHOOSE(CONTROL!$C$42, 25.3722, 25.3722) * CHOOSE(CONTROL!$C$21, $C$9, 100%, $E$9)</f>
        <v>25.372199999999999</v>
      </c>
      <c r="Q774" s="10">
        <f>CHOOSE(CONTROL!$C$42, 26.1853, 26.1853) * CHOOSE(CONTROL!$C$21, $C$9, 100%, $E$9)</f>
        <v>26.185300000000002</v>
      </c>
      <c r="R774" s="10">
        <f>CHOOSE(CONTROL!$C$42, 26.8378, 26.8378) * CHOOSE(CONTROL!$C$21, $C$9, 100%, $E$9)</f>
        <v>26.837800000000001</v>
      </c>
      <c r="S774" s="10">
        <f>CHOOSE(CONTROL!$C$42, 24.8873, 24.8873) * CHOOSE(CONTROL!$C$21, $C$9, 100%, $E$9)</f>
        <v>24.8873</v>
      </c>
      <c r="T7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38">
        <f>(1000*CHOOSE(CONTROL!$C$42, 695, 695)*CHOOSE(CONTROL!$C$42, 0.5599, 0.5599)*CHOOSE(CONTROL!$C$42, 30, 30))/1000000</f>
        <v>11.673914999999997</v>
      </c>
      <c r="V774" s="38">
        <f>(1000*CHOOSE(CONTROL!$C$42, 500, 500)*CHOOSE(CONTROL!$C$42, 0.275, 0.275)*CHOOSE(CONTROL!$C$42, 30, 30))/1000000</f>
        <v>4.125</v>
      </c>
      <c r="W774" s="38">
        <f>(1000*CHOOSE(CONTROL!$C$42, 0.1146, 0.1146)*CHOOSE(CONTROL!$C$42, 121.5, 121.5)*CHOOSE(CONTROL!$C$42, 30, 30))/1000000</f>
        <v>0.417717</v>
      </c>
      <c r="X774" s="38">
        <f>(30*0.1790888*245000/1000000)+(30*0.2374*100000/1000000)</f>
        <v>2.0285026799999999</v>
      </c>
      <c r="Y774" s="38">
        <f>(1000*600*CHOOSE(CONTROL!$C$42, 1.0585, 1.0585)*CHOOSE(CONTROL!$C$42, 30, 30))/1000000</f>
        <v>19.053000000000001</v>
      </c>
      <c r="Z774" s="38"/>
      <c r="AA774" s="10"/>
      <c r="AB774" s="39"/>
      <c r="AC774" s="33">
        <f>(B774*194.205+C774*267.466+D774*133.845+E774*53.484+F774*40+G774*185+H774*0+I774*100+J774*300)/(194.205+267.466+133.845+53.484+0+40+185+100+300)</f>
        <v>25.646964023469387</v>
      </c>
      <c r="AD774" s="27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25.460658992805755</v>
      </c>
    </row>
    <row r="775" spans="1:30" ht="15.75" x14ac:dyDescent="0.25">
      <c r="A775" s="13">
        <v>64862</v>
      </c>
      <c r="B775" s="10">
        <f>CHOOSE(CONTROL!$C$42, 25.1406, 25.1406) * CHOOSE(CONTROL!$C$21, $C$9, 100%, $E$9)</f>
        <v>25.140599999999999</v>
      </c>
      <c r="C775" s="10">
        <f>CHOOSE(CONTROL!$C$42, 25.1486, 25.1486) * CHOOSE(CONTROL!$C$21, $C$9, 100%, $E$9)</f>
        <v>25.148599999999998</v>
      </c>
      <c r="D775" s="10">
        <f>CHOOSE(CONTROL!$C$42, 25.3255, 25.3255) * CHOOSE(CONTROL!$C$21, $C$9, 100%, $E$9)</f>
        <v>25.325500000000002</v>
      </c>
      <c r="E775" s="10">
        <f>CHOOSE(CONTROL!$C$42, 25.3567, 25.3567) * CHOOSE(CONTROL!$C$21, $C$9, 100%, $E$9)</f>
        <v>25.3567</v>
      </c>
      <c r="F775" s="10">
        <f>CHOOSE(CONTROL!$C$42, 25.1044, 25.1044)*CHOOSE(CONTROL!$C$21, $C$9, 100%, $E$9)</f>
        <v>25.104399999999998</v>
      </c>
      <c r="G775" s="10">
        <f>CHOOSE(CONTROL!$C$42, 25.121, 25.121)*CHOOSE(CONTROL!$C$21, $C$9, 100%, $E$9)</f>
        <v>25.120999999999999</v>
      </c>
      <c r="H775" s="10">
        <f>CHOOSE(CONTROL!$C$42, 25.3453, 25.3453) * CHOOSE(CONTROL!$C$21, $C$9, 100%, $E$9)</f>
        <v>25.345300000000002</v>
      </c>
      <c r="I775" s="10">
        <f>CHOOSE(CONTROL!$C$42, 25.1252, 25.1252)* CHOOSE(CONTROL!$C$21, $C$9, 100%, $E$9)</f>
        <v>25.1252</v>
      </c>
      <c r="J775" s="10">
        <f>CHOOSE(CONTROL!$C$42, 25.0974, 25.0974)* CHOOSE(CONTROL!$C$21, $C$9, 100%, $E$9)</f>
        <v>25.0974</v>
      </c>
      <c r="K775" s="10">
        <f>CHOOSE(CONTROL!$C$42, 24.5467, 24.5467) * CHOOSE(CONTROL!$C$21, $C$9, 100%, $E$9)</f>
        <v>24.546700000000001</v>
      </c>
      <c r="L775" s="10">
        <f>CHOOSE(CONTROL!$C$42, 25.9323, 25.9323) * CHOOSE(CONTROL!$C$21, $C$9, 100%, $E$9)</f>
        <v>25.932300000000001</v>
      </c>
      <c r="M775" s="10">
        <f>CHOOSE(CONTROL!$C$42, 24.858, 24.858) * CHOOSE(CONTROL!$C$21, $C$9, 100%, $E$9)</f>
        <v>24.858000000000001</v>
      </c>
      <c r="N775" s="10">
        <f>CHOOSE(CONTROL!$C$42, 24.8744, 24.8744) * CHOOSE(CONTROL!$C$21, $C$9, 100%, $E$9)</f>
        <v>24.874400000000001</v>
      </c>
      <c r="O775" s="10">
        <f>CHOOSE(CONTROL!$C$42, 25.1034, 25.1034) * CHOOSE(CONTROL!$C$21, $C$9, 100%, $E$9)</f>
        <v>25.103400000000001</v>
      </c>
      <c r="P775" s="10">
        <f>CHOOSE(CONTROL!$C$42, 24.8855, 24.8855) * CHOOSE(CONTROL!$C$21, $C$9, 100%, $E$9)</f>
        <v>24.8855</v>
      </c>
      <c r="Q775" s="10">
        <f>CHOOSE(CONTROL!$C$42, 25.6987, 25.6987) * CHOOSE(CONTROL!$C$21, $C$9, 100%, $E$9)</f>
        <v>25.698699999999999</v>
      </c>
      <c r="R775" s="10">
        <f>CHOOSE(CONTROL!$C$42, 26.3499, 26.3499) * CHOOSE(CONTROL!$C$21, $C$9, 100%, $E$9)</f>
        <v>26.349900000000002</v>
      </c>
      <c r="S775" s="10">
        <f>CHOOSE(CONTROL!$C$42, 24.4098, 24.4098) * CHOOSE(CONTROL!$C$21, $C$9, 100%, $E$9)</f>
        <v>24.409800000000001</v>
      </c>
      <c r="T7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38">
        <f>(1000*CHOOSE(CONTROL!$C$42, 695, 695)*CHOOSE(CONTROL!$C$42, 0.5599, 0.5599)*CHOOSE(CONTROL!$C$42, 31, 31))/1000000</f>
        <v>12.063045499999998</v>
      </c>
      <c r="V775" s="38">
        <f>(1000*CHOOSE(CONTROL!$C$42, 500, 500)*CHOOSE(CONTROL!$C$42, 0.275, 0.275)*CHOOSE(CONTROL!$C$42, 31, 31))/1000000</f>
        <v>4.2625000000000002</v>
      </c>
      <c r="W775" s="38">
        <f>(1000*CHOOSE(CONTROL!$C$42, 0.1146, 0.1146)*CHOOSE(CONTROL!$C$42, 121.5, 121.5)*CHOOSE(CONTROL!$C$42, 31, 31))/1000000</f>
        <v>0.43164089999999994</v>
      </c>
      <c r="X775" s="38">
        <f>(31*0.1790888*245000/1000000)+(31*0.2374*100000/1000000)</f>
        <v>2.0961194359999999</v>
      </c>
      <c r="Y775" s="38">
        <f>(1000*600*CHOOSE(CONTROL!$C$42, 1.0585, 1.0585)*CHOOSE(CONTROL!$C$42, 31, 31))/1000000</f>
        <v>19.688099999999999</v>
      </c>
      <c r="Z775" s="38"/>
      <c r="AA775" s="10"/>
      <c r="AB775" s="39"/>
      <c r="AC775" s="33">
        <f>(B775*194.205+C775*267.466+D775*133.845+E775*53.484+F775*40+G775*185+H775*0+I775*100+J775*300)/(194.205+267.466+133.845+53.484+0+40+185+100+300)</f>
        <v>25.155412842150707</v>
      </c>
      <c r="AD775" s="27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24.974125179856117</v>
      </c>
    </row>
    <row r="776" spans="1:30" ht="15.75" x14ac:dyDescent="0.25">
      <c r="A776" s="13">
        <v>64893</v>
      </c>
      <c r="B776" s="10">
        <f>CHOOSE(CONTROL!$C$42, 23.8991, 23.8991) * CHOOSE(CONTROL!$C$21, $C$9, 100%, $E$9)</f>
        <v>23.899100000000001</v>
      </c>
      <c r="C776" s="10">
        <f>CHOOSE(CONTROL!$C$42, 23.907, 23.907) * CHOOSE(CONTROL!$C$21, $C$9, 100%, $E$9)</f>
        <v>23.907</v>
      </c>
      <c r="D776" s="10">
        <f>CHOOSE(CONTROL!$C$42, 24.084, 24.084) * CHOOSE(CONTROL!$C$21, $C$9, 100%, $E$9)</f>
        <v>24.084</v>
      </c>
      <c r="E776" s="10">
        <f>CHOOSE(CONTROL!$C$42, 24.1151, 24.1151) * CHOOSE(CONTROL!$C$21, $C$9, 100%, $E$9)</f>
        <v>24.115100000000002</v>
      </c>
      <c r="F776" s="10">
        <f>CHOOSE(CONTROL!$C$42, 23.8629, 23.8629)*CHOOSE(CONTROL!$C$21, $C$9, 100%, $E$9)</f>
        <v>23.8629</v>
      </c>
      <c r="G776" s="10">
        <f>CHOOSE(CONTROL!$C$42, 23.8795, 23.8795)*CHOOSE(CONTROL!$C$21, $C$9, 100%, $E$9)</f>
        <v>23.8795</v>
      </c>
      <c r="H776" s="10">
        <f>CHOOSE(CONTROL!$C$42, 24.1038, 24.1038) * CHOOSE(CONTROL!$C$21, $C$9, 100%, $E$9)</f>
        <v>24.1038</v>
      </c>
      <c r="I776" s="10">
        <f>CHOOSE(CONTROL!$C$42, 23.8837, 23.8837)* CHOOSE(CONTROL!$C$21, $C$9, 100%, $E$9)</f>
        <v>23.883700000000001</v>
      </c>
      <c r="J776" s="10">
        <f>CHOOSE(CONTROL!$C$42, 23.8559, 23.8559)* CHOOSE(CONTROL!$C$21, $C$9, 100%, $E$9)</f>
        <v>23.855899999999998</v>
      </c>
      <c r="K776" s="10">
        <f>CHOOSE(CONTROL!$C$42, 23.3405, 23.3405) * CHOOSE(CONTROL!$C$21, $C$9, 100%, $E$9)</f>
        <v>23.340499999999999</v>
      </c>
      <c r="L776" s="10">
        <f>CHOOSE(CONTROL!$C$42, 24.6908, 24.6908) * CHOOSE(CONTROL!$C$21, $C$9, 100%, $E$9)</f>
        <v>24.690799999999999</v>
      </c>
      <c r="M776" s="10">
        <f>CHOOSE(CONTROL!$C$42, 23.629, 23.629) * CHOOSE(CONTROL!$C$21, $C$9, 100%, $E$9)</f>
        <v>23.629000000000001</v>
      </c>
      <c r="N776" s="10">
        <f>CHOOSE(CONTROL!$C$42, 23.6455, 23.6455) * CHOOSE(CONTROL!$C$21, $C$9, 100%, $E$9)</f>
        <v>23.645499999999998</v>
      </c>
      <c r="O776" s="10">
        <f>CHOOSE(CONTROL!$C$42, 23.8743, 23.8743) * CHOOSE(CONTROL!$C$21, $C$9, 100%, $E$9)</f>
        <v>23.874300000000002</v>
      </c>
      <c r="P776" s="10">
        <f>CHOOSE(CONTROL!$C$42, 23.6565, 23.6565) * CHOOSE(CONTROL!$C$21, $C$9, 100%, $E$9)</f>
        <v>23.656500000000001</v>
      </c>
      <c r="Q776" s="10">
        <f>CHOOSE(CONTROL!$C$42, 24.4696, 24.4696) * CHOOSE(CONTROL!$C$21, $C$9, 100%, $E$9)</f>
        <v>24.4696</v>
      </c>
      <c r="R776" s="10">
        <f>CHOOSE(CONTROL!$C$42, 25.1178, 25.1178) * CHOOSE(CONTROL!$C$21, $C$9, 100%, $E$9)</f>
        <v>25.117799999999999</v>
      </c>
      <c r="S776" s="10">
        <f>CHOOSE(CONTROL!$C$42, 23.2042, 23.2042) * CHOOSE(CONTROL!$C$21, $C$9, 100%, $E$9)</f>
        <v>23.2042</v>
      </c>
      <c r="T7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38">
        <f>(1000*CHOOSE(CONTROL!$C$42, 695, 695)*CHOOSE(CONTROL!$C$42, 0.5599, 0.5599)*CHOOSE(CONTROL!$C$42, 31, 31))/1000000</f>
        <v>12.063045499999998</v>
      </c>
      <c r="V776" s="38">
        <f>(1000*CHOOSE(CONTROL!$C$42, 500, 500)*CHOOSE(CONTROL!$C$42, 0.275, 0.275)*CHOOSE(CONTROL!$C$42, 31, 31))/1000000</f>
        <v>4.2625000000000002</v>
      </c>
      <c r="W776" s="38">
        <f>(1000*CHOOSE(CONTROL!$C$42, 0.1146, 0.1146)*CHOOSE(CONTROL!$C$42, 121.5, 121.5)*CHOOSE(CONTROL!$C$42, 31, 31))/1000000</f>
        <v>0.43164089999999994</v>
      </c>
      <c r="X776" s="38">
        <f>(31*0.1790888*245000/1000000)+(31*0.2374*100000/1000000)</f>
        <v>2.0961194359999999</v>
      </c>
      <c r="Y776" s="38">
        <f>(1000*600*CHOOSE(CONTROL!$C$42, 1.0585, 1.0585)*CHOOSE(CONTROL!$C$42, 31, 31))/1000000</f>
        <v>19.688099999999999</v>
      </c>
      <c r="Z776" s="38"/>
      <c r="AA776" s="10"/>
      <c r="AB776" s="39"/>
      <c r="AC776" s="33">
        <f>(B776*194.205+C776*267.466+D776*133.845+E776*53.484+F776*40+G776*185+H776*0+I776*100+J776*300)/(194.205+267.466+133.845+53.484+0+40+185+100+300)</f>
        <v>23.913887649843016</v>
      </c>
      <c r="AD776" s="27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23.745085611510792</v>
      </c>
    </row>
    <row r="777" spans="1:30" ht="15.75" x14ac:dyDescent="0.25">
      <c r="A777" s="13">
        <v>64923</v>
      </c>
      <c r="B777" s="10">
        <f>CHOOSE(CONTROL!$C$42, 22.3821, 22.3821) * CHOOSE(CONTROL!$C$21, $C$9, 100%, $E$9)</f>
        <v>22.382100000000001</v>
      </c>
      <c r="C777" s="10">
        <f>CHOOSE(CONTROL!$C$42, 22.39, 22.39) * CHOOSE(CONTROL!$C$21, $C$9, 100%, $E$9)</f>
        <v>22.39</v>
      </c>
      <c r="D777" s="10">
        <f>CHOOSE(CONTROL!$C$42, 22.567, 22.567) * CHOOSE(CONTROL!$C$21, $C$9, 100%, $E$9)</f>
        <v>22.567</v>
      </c>
      <c r="E777" s="10">
        <f>CHOOSE(CONTROL!$C$42, 22.5982, 22.5982) * CHOOSE(CONTROL!$C$21, $C$9, 100%, $E$9)</f>
        <v>22.598199999999999</v>
      </c>
      <c r="F777" s="10">
        <f>CHOOSE(CONTROL!$C$42, 22.3457, 22.3457)*CHOOSE(CONTROL!$C$21, $C$9, 100%, $E$9)</f>
        <v>22.345700000000001</v>
      </c>
      <c r="G777" s="10">
        <f>CHOOSE(CONTROL!$C$42, 22.3623, 22.3623)*CHOOSE(CONTROL!$C$21, $C$9, 100%, $E$9)</f>
        <v>22.362300000000001</v>
      </c>
      <c r="H777" s="10">
        <f>CHOOSE(CONTROL!$C$42, 22.5868, 22.5868) * CHOOSE(CONTROL!$C$21, $C$9, 100%, $E$9)</f>
        <v>22.5868</v>
      </c>
      <c r="I777" s="10">
        <f>CHOOSE(CONTROL!$C$42, 22.3667, 22.3667)* CHOOSE(CONTROL!$C$21, $C$9, 100%, $E$9)</f>
        <v>22.366700000000002</v>
      </c>
      <c r="J777" s="10">
        <f>CHOOSE(CONTROL!$C$42, 22.3387, 22.3387)* CHOOSE(CONTROL!$C$21, $C$9, 100%, $E$9)</f>
        <v>22.338699999999999</v>
      </c>
      <c r="K777" s="10">
        <f>CHOOSE(CONTROL!$C$42, 21.8661, 21.8661) * CHOOSE(CONTROL!$C$21, $C$9, 100%, $E$9)</f>
        <v>21.866099999999999</v>
      </c>
      <c r="L777" s="10">
        <f>CHOOSE(CONTROL!$C$42, 23.1738, 23.1738) * CHOOSE(CONTROL!$C$21, $C$9, 100%, $E$9)</f>
        <v>23.1738</v>
      </c>
      <c r="M777" s="10">
        <f>CHOOSE(CONTROL!$C$42, 22.1271, 22.1271) * CHOOSE(CONTROL!$C$21, $C$9, 100%, $E$9)</f>
        <v>22.127099999999999</v>
      </c>
      <c r="N777" s="10">
        <f>CHOOSE(CONTROL!$C$42, 22.1435, 22.1435) * CHOOSE(CONTROL!$C$21, $C$9, 100%, $E$9)</f>
        <v>22.1435</v>
      </c>
      <c r="O777" s="10">
        <f>CHOOSE(CONTROL!$C$42, 22.3727, 22.3727) * CHOOSE(CONTROL!$C$21, $C$9, 100%, $E$9)</f>
        <v>22.372699999999998</v>
      </c>
      <c r="P777" s="10">
        <f>CHOOSE(CONTROL!$C$42, 22.1549, 22.1549) * CHOOSE(CONTROL!$C$21, $C$9, 100%, $E$9)</f>
        <v>22.154900000000001</v>
      </c>
      <c r="Q777" s="10">
        <f>CHOOSE(CONTROL!$C$42, 22.968, 22.968) * CHOOSE(CONTROL!$C$21, $C$9, 100%, $E$9)</f>
        <v>22.968</v>
      </c>
      <c r="R777" s="10">
        <f>CHOOSE(CONTROL!$C$42, 23.6124, 23.6124) * CHOOSE(CONTROL!$C$21, $C$9, 100%, $E$9)</f>
        <v>23.612400000000001</v>
      </c>
      <c r="S777" s="10">
        <f>CHOOSE(CONTROL!$C$42, 21.731, 21.731) * CHOOSE(CONTROL!$C$21, $C$9, 100%, $E$9)</f>
        <v>21.731000000000002</v>
      </c>
      <c r="T7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38">
        <f>(1000*CHOOSE(CONTROL!$C$42, 695, 695)*CHOOSE(CONTROL!$C$42, 0.5599, 0.5599)*CHOOSE(CONTROL!$C$42, 30, 30))/1000000</f>
        <v>11.673914999999997</v>
      </c>
      <c r="V777" s="38">
        <f>(1000*CHOOSE(CONTROL!$C$42, 500, 500)*CHOOSE(CONTROL!$C$42, 0.275, 0.275)*CHOOSE(CONTROL!$C$42, 30, 30))/1000000</f>
        <v>4.125</v>
      </c>
      <c r="W777" s="38">
        <f>(1000*CHOOSE(CONTROL!$C$42, 0.1146, 0.1146)*CHOOSE(CONTROL!$C$42, 121.5, 121.5)*CHOOSE(CONTROL!$C$42, 30, 30))/1000000</f>
        <v>0.417717</v>
      </c>
      <c r="X777" s="38">
        <f>(30*0.1790888*245000/1000000)+(30*0.2374*100000/1000000)</f>
        <v>2.0285026799999999</v>
      </c>
      <c r="Y777" s="38">
        <f>(1000*600*CHOOSE(CONTROL!$C$42, 1.0585, 1.0585)*CHOOSE(CONTROL!$C$42, 30, 30))/1000000</f>
        <v>19.053000000000001</v>
      </c>
      <c r="Z777" s="38"/>
      <c r="AA777" s="10"/>
      <c r="AB777" s="39"/>
      <c r="AC777" s="33">
        <f>(B777*194.205+C777*267.466+D777*133.845+E777*53.484+F777*40+G777*185+H777*0+I777*100+J777*300)/(194.205+267.466+133.845+53.484+0+40+185+100+300)</f>
        <v>22.39680943037677</v>
      </c>
      <c r="AD777" s="27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22.243358992805753</v>
      </c>
    </row>
    <row r="778" spans="1:30" ht="15.75" x14ac:dyDescent="0.25">
      <c r="A778" s="13">
        <v>64954</v>
      </c>
      <c r="B778" s="10">
        <f>CHOOSE(CONTROL!$C$42, 21.9256, 21.9256) * CHOOSE(CONTROL!$C$21, $C$9, 100%, $E$9)</f>
        <v>21.925599999999999</v>
      </c>
      <c r="C778" s="10">
        <f>CHOOSE(CONTROL!$C$42, 21.9309, 21.9309) * CHOOSE(CONTROL!$C$21, $C$9, 100%, $E$9)</f>
        <v>21.930900000000001</v>
      </c>
      <c r="D778" s="10">
        <f>CHOOSE(CONTROL!$C$42, 22.1128, 22.1128) * CHOOSE(CONTROL!$C$21, $C$9, 100%, $E$9)</f>
        <v>22.1128</v>
      </c>
      <c r="E778" s="10">
        <f>CHOOSE(CONTROL!$C$42, 22.1416, 22.1416) * CHOOSE(CONTROL!$C$21, $C$9, 100%, $E$9)</f>
        <v>22.1416</v>
      </c>
      <c r="F778" s="10">
        <f>CHOOSE(CONTROL!$C$42, 21.8913, 21.8913)*CHOOSE(CONTROL!$C$21, $C$9, 100%, $E$9)</f>
        <v>21.891300000000001</v>
      </c>
      <c r="G778" s="10">
        <f>CHOOSE(CONTROL!$C$42, 21.9075, 21.9075)*CHOOSE(CONTROL!$C$21, $C$9, 100%, $E$9)</f>
        <v>21.907499999999999</v>
      </c>
      <c r="H778" s="10">
        <f>CHOOSE(CONTROL!$C$42, 22.1321, 22.1321) * CHOOSE(CONTROL!$C$21, $C$9, 100%, $E$9)</f>
        <v>22.132100000000001</v>
      </c>
      <c r="I778" s="10">
        <f>CHOOSE(CONTROL!$C$42, 21.912, 21.912)* CHOOSE(CONTROL!$C$21, $C$9, 100%, $E$9)</f>
        <v>21.911999999999999</v>
      </c>
      <c r="J778" s="10">
        <f>CHOOSE(CONTROL!$C$42, 21.8843, 21.8843)* CHOOSE(CONTROL!$C$21, $C$9, 100%, $E$9)</f>
        <v>21.8843</v>
      </c>
      <c r="K778" s="10">
        <f>CHOOSE(CONTROL!$C$42, 21.4249, 21.4249) * CHOOSE(CONTROL!$C$21, $C$9, 100%, $E$9)</f>
        <v>21.424900000000001</v>
      </c>
      <c r="L778" s="10">
        <f>CHOOSE(CONTROL!$C$42, 22.7191, 22.7191) * CHOOSE(CONTROL!$C$21, $C$9, 100%, $E$9)</f>
        <v>22.719100000000001</v>
      </c>
      <c r="M778" s="10">
        <f>CHOOSE(CONTROL!$C$42, 21.6772, 21.6772) * CHOOSE(CONTROL!$C$21, $C$9, 100%, $E$9)</f>
        <v>21.677199999999999</v>
      </c>
      <c r="N778" s="10">
        <f>CHOOSE(CONTROL!$C$42, 21.6933, 21.6933) * CHOOSE(CONTROL!$C$21, $C$9, 100%, $E$9)</f>
        <v>21.693300000000001</v>
      </c>
      <c r="O778" s="10">
        <f>CHOOSE(CONTROL!$C$42, 21.9226, 21.9226) * CHOOSE(CONTROL!$C$21, $C$9, 100%, $E$9)</f>
        <v>21.922599999999999</v>
      </c>
      <c r="P778" s="10">
        <f>CHOOSE(CONTROL!$C$42, 21.7047, 21.7047) * CHOOSE(CONTROL!$C$21, $C$9, 100%, $E$9)</f>
        <v>21.704699999999999</v>
      </c>
      <c r="Q778" s="10">
        <f>CHOOSE(CONTROL!$C$42, 22.5179, 22.5179) * CHOOSE(CONTROL!$C$21, $C$9, 100%, $E$9)</f>
        <v>22.517900000000001</v>
      </c>
      <c r="R778" s="10">
        <f>CHOOSE(CONTROL!$C$42, 23.1612, 23.1612) * CHOOSE(CONTROL!$C$21, $C$9, 100%, $E$9)</f>
        <v>23.161200000000001</v>
      </c>
      <c r="S778" s="10">
        <f>CHOOSE(CONTROL!$C$42, 21.2895, 21.2895) * CHOOSE(CONTROL!$C$21, $C$9, 100%, $E$9)</f>
        <v>21.2895</v>
      </c>
      <c r="T7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38">
        <f>(1000*CHOOSE(CONTROL!$C$42, 695, 695)*CHOOSE(CONTROL!$C$42, 0.5599, 0.5599)*CHOOSE(CONTROL!$C$42, 31, 31))/1000000</f>
        <v>12.063045499999998</v>
      </c>
      <c r="V778" s="38">
        <f>(1000*CHOOSE(CONTROL!$C$42, 500, 500)*CHOOSE(CONTROL!$C$42, 0.275, 0.275)*CHOOSE(CONTROL!$C$42, 31, 31))/1000000</f>
        <v>4.2625000000000002</v>
      </c>
      <c r="W778" s="38">
        <f>(1000*CHOOSE(CONTROL!$C$42, 0.1146, 0.1146)*CHOOSE(CONTROL!$C$42, 121.5, 121.5)*CHOOSE(CONTROL!$C$42, 31, 31))/1000000</f>
        <v>0.43164089999999994</v>
      </c>
      <c r="X778" s="38">
        <f>(31*0.1790888*245000/1000000)+(31*0.2374*100000/1000000)</f>
        <v>2.0961194359999999</v>
      </c>
      <c r="Y778" s="38">
        <f>(1000*600*CHOOSE(CONTROL!$C$42, 1.0585, 1.0585)*CHOOSE(CONTROL!$C$42, 31, 31))/1000000</f>
        <v>19.688099999999999</v>
      </c>
      <c r="Z778" s="38"/>
      <c r="AA778" s="10"/>
      <c r="AB778" s="39"/>
      <c r="AC778" s="33">
        <f>(B778*131.881+C778*277.167+D778*79.08+E778*125.872+F778*40+G778*185+H778*0+I778*100+J778*300)/(131.881+277.167+79.08+125.872+0+40+185+100+300)</f>
        <v>21.94576998635997</v>
      </c>
      <c r="AD778" s="27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21.793307913669064</v>
      </c>
    </row>
    <row r="779" spans="1:30" ht="15.75" x14ac:dyDescent="0.25">
      <c r="A779" s="13">
        <v>64984</v>
      </c>
      <c r="B779" s="10">
        <f>CHOOSE(CONTROL!$C$42, 22.5028, 22.5028) * CHOOSE(CONTROL!$C$21, $C$9, 100%, $E$9)</f>
        <v>22.502800000000001</v>
      </c>
      <c r="C779" s="10">
        <f>CHOOSE(CONTROL!$C$42, 22.5077, 22.5077) * CHOOSE(CONTROL!$C$21, $C$9, 100%, $E$9)</f>
        <v>22.5077</v>
      </c>
      <c r="D779" s="10">
        <f>CHOOSE(CONTROL!$C$42, 22.5322, 22.5322) * CHOOSE(CONTROL!$C$21, $C$9, 100%, $E$9)</f>
        <v>22.5322</v>
      </c>
      <c r="E779" s="10">
        <f>CHOOSE(CONTROL!$C$42, 22.566, 22.566) * CHOOSE(CONTROL!$C$21, $C$9, 100%, $E$9)</f>
        <v>22.565999999999999</v>
      </c>
      <c r="F779" s="10">
        <f>CHOOSE(CONTROL!$C$42, 22.4721, 22.4721)*CHOOSE(CONTROL!$C$21, $C$9, 100%, $E$9)</f>
        <v>22.472100000000001</v>
      </c>
      <c r="G779" s="10">
        <f>CHOOSE(CONTROL!$C$42, 22.4885, 22.4885)*CHOOSE(CONTROL!$C$21, $C$9, 100%, $E$9)</f>
        <v>22.488499999999998</v>
      </c>
      <c r="H779" s="10">
        <f>CHOOSE(CONTROL!$C$42, 22.5552, 22.5552) * CHOOSE(CONTROL!$C$21, $C$9, 100%, $E$9)</f>
        <v>22.555199999999999</v>
      </c>
      <c r="I779" s="10">
        <f>CHOOSE(CONTROL!$C$42, 22.4895, 22.4895)* CHOOSE(CONTROL!$C$21, $C$9, 100%, $E$9)</f>
        <v>22.4895</v>
      </c>
      <c r="J779" s="10">
        <f>CHOOSE(CONTROL!$C$42, 22.4651, 22.4651)* CHOOSE(CONTROL!$C$21, $C$9, 100%, $E$9)</f>
        <v>22.4651</v>
      </c>
      <c r="K779" s="10">
        <f>CHOOSE(CONTROL!$C$42, 21.9875, 21.9875) * CHOOSE(CONTROL!$C$21, $C$9, 100%, $E$9)</f>
        <v>21.987500000000001</v>
      </c>
      <c r="L779" s="10">
        <f>CHOOSE(CONTROL!$C$42, 23.1422, 23.1422) * CHOOSE(CONTROL!$C$21, $C$9, 100%, $E$9)</f>
        <v>23.142199999999999</v>
      </c>
      <c r="M779" s="10">
        <f>CHOOSE(CONTROL!$C$42, 22.2522, 22.2522) * CHOOSE(CONTROL!$C$21, $C$9, 100%, $E$9)</f>
        <v>22.252199999999998</v>
      </c>
      <c r="N779" s="10">
        <f>CHOOSE(CONTROL!$C$42, 22.2685, 22.2685) * CHOOSE(CONTROL!$C$21, $C$9, 100%, $E$9)</f>
        <v>22.2685</v>
      </c>
      <c r="O779" s="10">
        <f>CHOOSE(CONTROL!$C$42, 22.3414, 22.3414) * CHOOSE(CONTROL!$C$21, $C$9, 100%, $E$9)</f>
        <v>22.3414</v>
      </c>
      <c r="P779" s="10">
        <f>CHOOSE(CONTROL!$C$42, 22.2764, 22.2764) * CHOOSE(CONTROL!$C$21, $C$9, 100%, $E$9)</f>
        <v>22.276399999999999</v>
      </c>
      <c r="Q779" s="10">
        <f>CHOOSE(CONTROL!$C$42, 22.9367, 22.9367) * CHOOSE(CONTROL!$C$21, $C$9, 100%, $E$9)</f>
        <v>22.936699999999998</v>
      </c>
      <c r="R779" s="10">
        <f>CHOOSE(CONTROL!$C$42, 23.581, 23.581) * CHOOSE(CONTROL!$C$21, $C$9, 100%, $E$9)</f>
        <v>23.581</v>
      </c>
      <c r="S779" s="10">
        <f>CHOOSE(CONTROL!$C$42, 21.8503, 21.8503) * CHOOSE(CONTROL!$C$21, $C$9, 100%, $E$9)</f>
        <v>21.850300000000001</v>
      </c>
      <c r="T7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38">
        <f>(1000*CHOOSE(CONTROL!$C$42, 695, 695)*CHOOSE(CONTROL!$C$42, 0.5599, 0.5599)*CHOOSE(CONTROL!$C$42, 30, 30))/1000000</f>
        <v>11.673914999999997</v>
      </c>
      <c r="V779" s="38">
        <f>(1000*CHOOSE(CONTROL!$C$42, 500, 500)*CHOOSE(CONTROL!$C$42, 0.275, 0.275)*CHOOSE(CONTROL!$C$42, 30, 30))/1000000</f>
        <v>4.125</v>
      </c>
      <c r="W779" s="38">
        <f>(1000*CHOOSE(CONTROL!$C$42, 0.1146, 0.1146)*CHOOSE(CONTROL!$C$42, 121.5, 121.5)*CHOOSE(CONTROL!$C$42, 30, 30))/1000000</f>
        <v>0.417717</v>
      </c>
      <c r="X779" s="38">
        <f>(30*0.1790888*100000/1000000)+(30*0.2374*100000/1000000)</f>
        <v>1.2494664</v>
      </c>
      <c r="Y779" s="38">
        <f>(1000*600*CHOOSE(CONTROL!$C$42, 1.0585, 1.0585)*CHOOSE(CONTROL!$C$42, 30, 30))/1000000</f>
        <v>19.053000000000001</v>
      </c>
      <c r="Z779" s="38"/>
      <c r="AA779" s="10"/>
      <c r="AB779" s="39"/>
      <c r="AC779" s="33">
        <f>(B779*122.58+C779*297.941+D779*89.177+E779*40.302+F779*40+G779*160+H779*0+I779*100+J779*300)/(122.58+297.941+89.177+40.302+0+40+160+100+300)</f>
        <v>22.494515479217394</v>
      </c>
      <c r="AD779" s="27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22.297048920863308</v>
      </c>
    </row>
    <row r="780" spans="1:30" ht="15.75" x14ac:dyDescent="0.25">
      <c r="A780" s="13">
        <v>65015</v>
      </c>
      <c r="B780" s="10">
        <f>CHOOSE(CONTROL!$C$42, 24.0368, 24.0368) * CHOOSE(CONTROL!$C$21, $C$9, 100%, $E$9)</f>
        <v>24.036799999999999</v>
      </c>
      <c r="C780" s="10">
        <f>CHOOSE(CONTROL!$C$42, 24.0417, 24.0417) * CHOOSE(CONTROL!$C$21, $C$9, 100%, $E$9)</f>
        <v>24.041699999999999</v>
      </c>
      <c r="D780" s="10">
        <f>CHOOSE(CONTROL!$C$42, 24.0662, 24.0662) * CHOOSE(CONTROL!$C$21, $C$9, 100%, $E$9)</f>
        <v>24.066199999999998</v>
      </c>
      <c r="E780" s="10">
        <f>CHOOSE(CONTROL!$C$42, 24.1, 24.1) * CHOOSE(CONTROL!$C$21, $C$9, 100%, $E$9)</f>
        <v>24.1</v>
      </c>
      <c r="F780" s="10">
        <f>CHOOSE(CONTROL!$C$42, 24.0084, 24.0084)*CHOOSE(CONTROL!$C$21, $C$9, 100%, $E$9)</f>
        <v>24.008400000000002</v>
      </c>
      <c r="G780" s="10">
        <f>CHOOSE(CONTROL!$C$42, 24.0255, 24.0255)*CHOOSE(CONTROL!$C$21, $C$9, 100%, $E$9)</f>
        <v>24.025500000000001</v>
      </c>
      <c r="H780" s="10">
        <f>CHOOSE(CONTROL!$C$42, 24.0892, 24.0892) * CHOOSE(CONTROL!$C$21, $C$9, 100%, $E$9)</f>
        <v>24.089200000000002</v>
      </c>
      <c r="I780" s="10">
        <f>CHOOSE(CONTROL!$C$42, 24.0236, 24.0236)* CHOOSE(CONTROL!$C$21, $C$9, 100%, $E$9)</f>
        <v>24.023599999999998</v>
      </c>
      <c r="J780" s="10">
        <f>CHOOSE(CONTROL!$C$42, 24.0014, 24.0014)* CHOOSE(CONTROL!$C$21, $C$9, 100%, $E$9)</f>
        <v>24.0014</v>
      </c>
      <c r="K780" s="10">
        <f>CHOOSE(CONTROL!$C$42, 23.483, 23.483) * CHOOSE(CONTROL!$C$21, $C$9, 100%, $E$9)</f>
        <v>23.483000000000001</v>
      </c>
      <c r="L780" s="10">
        <f>CHOOSE(CONTROL!$C$42, 24.6762, 24.6762) * CHOOSE(CONTROL!$C$21, $C$9, 100%, $E$9)</f>
        <v>24.676200000000001</v>
      </c>
      <c r="M780" s="10">
        <f>CHOOSE(CONTROL!$C$42, 23.773, 23.773) * CHOOSE(CONTROL!$C$21, $C$9, 100%, $E$9)</f>
        <v>23.773</v>
      </c>
      <c r="N780" s="10">
        <f>CHOOSE(CONTROL!$C$42, 23.7899, 23.7899) * CHOOSE(CONTROL!$C$21, $C$9, 100%, $E$9)</f>
        <v>23.789899999999999</v>
      </c>
      <c r="O780" s="10">
        <f>CHOOSE(CONTROL!$C$42, 23.8599, 23.8599) * CHOOSE(CONTROL!$C$21, $C$9, 100%, $E$9)</f>
        <v>23.8599</v>
      </c>
      <c r="P780" s="10">
        <f>CHOOSE(CONTROL!$C$42, 23.795, 23.795) * CHOOSE(CONTROL!$C$21, $C$9, 100%, $E$9)</f>
        <v>23.795000000000002</v>
      </c>
      <c r="Q780" s="10">
        <f>CHOOSE(CONTROL!$C$42, 24.4552, 24.4552) * CHOOSE(CONTROL!$C$21, $C$9, 100%, $E$9)</f>
        <v>24.455200000000001</v>
      </c>
      <c r="R780" s="10">
        <f>CHOOSE(CONTROL!$C$42, 25.1033, 25.1033) * CHOOSE(CONTROL!$C$21, $C$9, 100%, $E$9)</f>
        <v>25.103300000000001</v>
      </c>
      <c r="S780" s="10">
        <f>CHOOSE(CONTROL!$C$42, 23.34, 23.34) * CHOOSE(CONTROL!$C$21, $C$9, 100%, $E$9)</f>
        <v>23.34</v>
      </c>
      <c r="T7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38">
        <f>(1000*CHOOSE(CONTROL!$C$42, 695, 695)*CHOOSE(CONTROL!$C$42, 0.5599, 0.5599)*CHOOSE(CONTROL!$C$42, 31, 31))/1000000</f>
        <v>12.063045499999998</v>
      </c>
      <c r="V780" s="38">
        <f>(1000*CHOOSE(CONTROL!$C$42, 500, 500)*CHOOSE(CONTROL!$C$42, 0.275, 0.275)*CHOOSE(CONTROL!$C$42, 31, 31))/1000000</f>
        <v>4.2625000000000002</v>
      </c>
      <c r="W780" s="38">
        <f>(1000*CHOOSE(CONTROL!$C$42, 0.1146, 0.1146)*CHOOSE(CONTROL!$C$42, 121.5, 121.5)*CHOOSE(CONTROL!$C$42, 31, 31))/1000000</f>
        <v>0.43164089999999994</v>
      </c>
      <c r="X780" s="38">
        <f>(31*0.1790888*100000/1000000)+(31*0.2374*100000/1000000)</f>
        <v>1.2911152800000001</v>
      </c>
      <c r="Y780" s="38">
        <f>(1000*600*CHOOSE(CONTROL!$C$42, 1.0585, 1.0585)*CHOOSE(CONTROL!$C$42, 31, 31))/1000000</f>
        <v>19.688099999999999</v>
      </c>
      <c r="Z780" s="38"/>
      <c r="AA780" s="10"/>
      <c r="AB780" s="39"/>
      <c r="AC780" s="33">
        <f>(B780*122.58+C780*297.941+D780*89.177+E780*40.302+F780*40+G780*160+H780*0+I780*100+J780*300)/(122.58+297.941+89.177+40.302+0+40+160+100+300)</f>
        <v>24.029621566173915</v>
      </c>
      <c r="AD780" s="27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23.816524460431651</v>
      </c>
    </row>
    <row r="781" spans="1:30" ht="15.75" x14ac:dyDescent="0.25">
      <c r="A781" s="13">
        <v>65046</v>
      </c>
      <c r="B781" s="10">
        <f>CHOOSE(CONTROL!$C$42, 25.6589, 25.6589) * CHOOSE(CONTROL!$C$21, $C$9, 100%, $E$9)</f>
        <v>25.658899999999999</v>
      </c>
      <c r="C781" s="10">
        <f>CHOOSE(CONTROL!$C$42, 25.6639, 25.6639) * CHOOSE(CONTROL!$C$21, $C$9, 100%, $E$9)</f>
        <v>25.663900000000002</v>
      </c>
      <c r="D781" s="10">
        <f>CHOOSE(CONTROL!$C$42, 25.6884, 25.6884) * CHOOSE(CONTROL!$C$21, $C$9, 100%, $E$9)</f>
        <v>25.688400000000001</v>
      </c>
      <c r="E781" s="10">
        <f>CHOOSE(CONTROL!$C$42, 25.7221, 25.7221) * CHOOSE(CONTROL!$C$21, $C$9, 100%, $E$9)</f>
        <v>25.722100000000001</v>
      </c>
      <c r="F781" s="10">
        <f>CHOOSE(CONTROL!$C$42, 25.6419, 25.6419)*CHOOSE(CONTROL!$C$21, $C$9, 100%, $E$9)</f>
        <v>25.6419</v>
      </c>
      <c r="G781" s="10">
        <f>CHOOSE(CONTROL!$C$42, 25.6605, 25.6605)*CHOOSE(CONTROL!$C$21, $C$9, 100%, $E$9)</f>
        <v>25.660499999999999</v>
      </c>
      <c r="H781" s="10">
        <f>CHOOSE(CONTROL!$C$42, 25.7113, 25.7113) * CHOOSE(CONTROL!$C$21, $C$9, 100%, $E$9)</f>
        <v>25.711300000000001</v>
      </c>
      <c r="I781" s="10">
        <f>CHOOSE(CONTROL!$C$42, 25.6534, 25.6534)* CHOOSE(CONTROL!$C$21, $C$9, 100%, $E$9)</f>
        <v>25.653400000000001</v>
      </c>
      <c r="J781" s="10">
        <f>CHOOSE(CONTROL!$C$42, 25.6349, 25.6349)* CHOOSE(CONTROL!$C$21, $C$9, 100%, $E$9)</f>
        <v>25.634899999999998</v>
      </c>
      <c r="K781" s="10">
        <f>CHOOSE(CONTROL!$C$42, 25.08, 25.08) * CHOOSE(CONTROL!$C$21, $C$9, 100%, $E$9)</f>
        <v>25.08</v>
      </c>
      <c r="L781" s="10">
        <f>CHOOSE(CONTROL!$C$42, 26.2983, 26.2983) * CHOOSE(CONTROL!$C$21, $C$9, 100%, $E$9)</f>
        <v>26.298300000000001</v>
      </c>
      <c r="M781" s="10">
        <f>CHOOSE(CONTROL!$C$42, 25.39, 25.39) * CHOOSE(CONTROL!$C$21, $C$9, 100%, $E$9)</f>
        <v>25.39</v>
      </c>
      <c r="N781" s="10">
        <f>CHOOSE(CONTROL!$C$42, 25.4085, 25.4085) * CHOOSE(CONTROL!$C$21, $C$9, 100%, $E$9)</f>
        <v>25.4085</v>
      </c>
      <c r="O781" s="10">
        <f>CHOOSE(CONTROL!$C$42, 25.4657, 25.4657) * CHOOSE(CONTROL!$C$21, $C$9, 100%, $E$9)</f>
        <v>25.465699999999998</v>
      </c>
      <c r="P781" s="10">
        <f>CHOOSE(CONTROL!$C$42, 25.4084, 25.4084) * CHOOSE(CONTROL!$C$21, $C$9, 100%, $E$9)</f>
        <v>25.4084</v>
      </c>
      <c r="Q781" s="10">
        <f>CHOOSE(CONTROL!$C$42, 26.061, 26.061) * CHOOSE(CONTROL!$C$21, $C$9, 100%, $E$9)</f>
        <v>26.061</v>
      </c>
      <c r="R781" s="10">
        <f>CHOOSE(CONTROL!$C$42, 26.7131, 26.7131) * CHOOSE(CONTROL!$C$21, $C$9, 100%, $E$9)</f>
        <v>26.713100000000001</v>
      </c>
      <c r="S781" s="10">
        <f>CHOOSE(CONTROL!$C$42, 24.9153, 24.9153) * CHOOSE(CONTROL!$C$21, $C$9, 100%, $E$9)</f>
        <v>24.915299999999998</v>
      </c>
      <c r="T7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38">
        <f>(1000*CHOOSE(CONTROL!$C$42, 695, 695)*CHOOSE(CONTROL!$C$42, 0.5599, 0.5599)*CHOOSE(CONTROL!$C$42, 31, 31))/1000000</f>
        <v>12.063045499999998</v>
      </c>
      <c r="V781" s="38">
        <f>(1000*CHOOSE(CONTROL!$C$42, 500, 500)*CHOOSE(CONTROL!$C$42, 0.275, 0.275)*CHOOSE(CONTROL!$C$42, 31, 31))/1000000</f>
        <v>4.2625000000000002</v>
      </c>
      <c r="W781" s="38">
        <f>(1000*CHOOSE(CONTROL!$C$42, 0.1146, 0.1146)*CHOOSE(CONTROL!$C$42, 121.5, 121.5)*CHOOSE(CONTROL!$C$42, 31, 31))/1000000</f>
        <v>0.43164089999999994</v>
      </c>
      <c r="X781" s="38">
        <f>(31*0.1790888*100000/1000000)+(31*0.2374*100000/1000000)</f>
        <v>1.2911152800000001</v>
      </c>
      <c r="Y781" s="38">
        <f>(1000*600*CHOOSE(CONTROL!$C$42, 1.0585, 1.0585)*CHOOSE(CONTROL!$C$42, 31, 31))/1000000</f>
        <v>19.688099999999999</v>
      </c>
      <c r="Z781" s="38"/>
      <c r="AA781" s="10"/>
      <c r="AB781" s="39"/>
      <c r="AC781" s="33">
        <f>(B781*122.58+C781*297.941+D781*89.177+E781*40.302+F781*40+G781*160+H781*0+I781*100+J781*300)/(122.58+297.941+89.177+40.302+0+40+160+100+300)</f>
        <v>25.65759001121739</v>
      </c>
      <c r="AD781" s="27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25.428022302158276</v>
      </c>
    </row>
    <row r="782" spans="1:30" ht="15.75" x14ac:dyDescent="0.25">
      <c r="A782" s="13">
        <v>65074</v>
      </c>
      <c r="B782" s="10">
        <f>CHOOSE(CONTROL!$C$42, 26.1157, 26.1157) * CHOOSE(CONTROL!$C$21, $C$9, 100%, $E$9)</f>
        <v>26.1157</v>
      </c>
      <c r="C782" s="10">
        <f>CHOOSE(CONTROL!$C$42, 26.1206, 26.1206) * CHOOSE(CONTROL!$C$21, $C$9, 100%, $E$9)</f>
        <v>26.1206</v>
      </c>
      <c r="D782" s="10">
        <f>CHOOSE(CONTROL!$C$42, 26.1451, 26.1451) * CHOOSE(CONTROL!$C$21, $C$9, 100%, $E$9)</f>
        <v>26.145099999999999</v>
      </c>
      <c r="E782" s="10">
        <f>CHOOSE(CONTROL!$C$42, 26.1788, 26.1788) * CHOOSE(CONTROL!$C$21, $C$9, 100%, $E$9)</f>
        <v>26.178799999999999</v>
      </c>
      <c r="F782" s="10">
        <f>CHOOSE(CONTROL!$C$42, 26.0979, 26.0979)*CHOOSE(CONTROL!$C$21, $C$9, 100%, $E$9)</f>
        <v>26.097899999999999</v>
      </c>
      <c r="G782" s="10">
        <f>CHOOSE(CONTROL!$C$42, 26.1164, 26.1164)*CHOOSE(CONTROL!$C$21, $C$9, 100%, $E$9)</f>
        <v>26.116399999999999</v>
      </c>
      <c r="H782" s="10">
        <f>CHOOSE(CONTROL!$C$42, 26.168, 26.168) * CHOOSE(CONTROL!$C$21, $C$9, 100%, $E$9)</f>
        <v>26.167999999999999</v>
      </c>
      <c r="I782" s="10">
        <f>CHOOSE(CONTROL!$C$42, 26.1101, 26.1101)* CHOOSE(CONTROL!$C$21, $C$9, 100%, $E$9)</f>
        <v>26.110099999999999</v>
      </c>
      <c r="J782" s="10">
        <f>CHOOSE(CONTROL!$C$42, 26.0909, 26.0909)* CHOOSE(CONTROL!$C$21, $C$9, 100%, $E$9)</f>
        <v>26.090900000000001</v>
      </c>
      <c r="K782" s="10">
        <f>CHOOSE(CONTROL!$C$42, 25.5223, 25.5223) * CHOOSE(CONTROL!$C$21, $C$9, 100%, $E$9)</f>
        <v>25.522300000000001</v>
      </c>
      <c r="L782" s="10">
        <f>CHOOSE(CONTROL!$C$42, 26.755, 26.755) * CHOOSE(CONTROL!$C$21, $C$9, 100%, $E$9)</f>
        <v>26.754999999999999</v>
      </c>
      <c r="M782" s="10">
        <f>CHOOSE(CONTROL!$C$42, 25.8414, 25.8414) * CHOOSE(CONTROL!$C$21, $C$9, 100%, $E$9)</f>
        <v>25.8414</v>
      </c>
      <c r="N782" s="10">
        <f>CHOOSE(CONTROL!$C$42, 25.8597, 25.8597) * CHOOSE(CONTROL!$C$21, $C$9, 100%, $E$9)</f>
        <v>25.8597</v>
      </c>
      <c r="O782" s="10">
        <f>CHOOSE(CONTROL!$C$42, 25.9178, 25.9178) * CHOOSE(CONTROL!$C$21, $C$9, 100%, $E$9)</f>
        <v>25.9178</v>
      </c>
      <c r="P782" s="10">
        <f>CHOOSE(CONTROL!$C$42, 25.8605, 25.8605) * CHOOSE(CONTROL!$C$21, $C$9, 100%, $E$9)</f>
        <v>25.860499999999998</v>
      </c>
      <c r="Q782" s="10">
        <f>CHOOSE(CONTROL!$C$42, 26.5131, 26.5131) * CHOOSE(CONTROL!$C$21, $C$9, 100%, $E$9)</f>
        <v>26.513100000000001</v>
      </c>
      <c r="R782" s="10">
        <f>CHOOSE(CONTROL!$C$42, 27.1664, 27.1664) * CHOOSE(CONTROL!$C$21, $C$9, 100%, $E$9)</f>
        <v>27.166399999999999</v>
      </c>
      <c r="S782" s="10">
        <f>CHOOSE(CONTROL!$C$42, 25.3588, 25.3588) * CHOOSE(CONTROL!$C$21, $C$9, 100%, $E$9)</f>
        <v>25.358799999999999</v>
      </c>
      <c r="T7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38">
        <f>(1000*CHOOSE(CONTROL!$C$42, 695, 695)*CHOOSE(CONTROL!$C$42, 0.5599, 0.5599)*CHOOSE(CONTROL!$C$42, 28, 28))/1000000</f>
        <v>10.895653999999999</v>
      </c>
      <c r="V782" s="38">
        <f>(1000*CHOOSE(CONTROL!$C$42, 500, 500)*CHOOSE(CONTROL!$C$42, 0.275, 0.275)*CHOOSE(CONTROL!$C$42, 28, 28))/1000000</f>
        <v>3.85</v>
      </c>
      <c r="W782" s="38">
        <f>(1000*CHOOSE(CONTROL!$C$42, 0.1146, 0.1146)*CHOOSE(CONTROL!$C$42, 121.5, 121.5)*CHOOSE(CONTROL!$C$42, 28, 28))/1000000</f>
        <v>0.38986920000000003</v>
      </c>
      <c r="X782" s="38">
        <f>(28*0.1790888*100000/1000000)+(28*0.2374*100000/1000000)</f>
        <v>1.16616864</v>
      </c>
      <c r="Y782" s="38">
        <f>(1000*600*CHOOSE(CONTROL!$C$42, 1.0585, 1.0585)*CHOOSE(CONTROL!$C$42, 28, 28))/1000000</f>
        <v>17.782800000000002</v>
      </c>
      <c r="Z782" s="38"/>
      <c r="AA782" s="10"/>
      <c r="AB782" s="39"/>
      <c r="AC782" s="33">
        <f>(B782*122.58+C782*297.941+D782*89.177+E782*40.302+F782*40+G782*160+H782*0+I782*100+J782*300)/(122.58+297.941+89.177+40.302+0+40+160+100+300)</f>
        <v>26.113982409478258</v>
      </c>
      <c r="AD782" s="27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25.879828776978417</v>
      </c>
    </row>
    <row r="783" spans="1:30" ht="15.75" x14ac:dyDescent="0.25">
      <c r="A783" s="13">
        <v>65105</v>
      </c>
      <c r="B783" s="10">
        <f>CHOOSE(CONTROL!$C$42, 25.3743, 25.3743) * CHOOSE(CONTROL!$C$21, $C$9, 100%, $E$9)</f>
        <v>25.374300000000002</v>
      </c>
      <c r="C783" s="10">
        <f>CHOOSE(CONTROL!$C$42, 25.3792, 25.3792) * CHOOSE(CONTROL!$C$21, $C$9, 100%, $E$9)</f>
        <v>25.379200000000001</v>
      </c>
      <c r="D783" s="10">
        <f>CHOOSE(CONTROL!$C$42, 25.4037, 25.4037) * CHOOSE(CONTROL!$C$21, $C$9, 100%, $E$9)</f>
        <v>25.403700000000001</v>
      </c>
      <c r="E783" s="10">
        <f>CHOOSE(CONTROL!$C$42, 25.4375, 25.4375) * CHOOSE(CONTROL!$C$21, $C$9, 100%, $E$9)</f>
        <v>25.4375</v>
      </c>
      <c r="F783" s="10">
        <f>CHOOSE(CONTROL!$C$42, 25.355, 25.355)*CHOOSE(CONTROL!$C$21, $C$9, 100%, $E$9)</f>
        <v>25.355</v>
      </c>
      <c r="G783" s="10">
        <f>CHOOSE(CONTROL!$C$42, 25.3731, 25.3731)*CHOOSE(CONTROL!$C$21, $C$9, 100%, $E$9)</f>
        <v>25.373100000000001</v>
      </c>
      <c r="H783" s="10">
        <f>CHOOSE(CONTROL!$C$42, 25.4267, 25.4267) * CHOOSE(CONTROL!$C$21, $C$9, 100%, $E$9)</f>
        <v>25.4267</v>
      </c>
      <c r="I783" s="10">
        <f>CHOOSE(CONTROL!$C$42, 25.3688, 25.3688)* CHOOSE(CONTROL!$C$21, $C$9, 100%, $E$9)</f>
        <v>25.3688</v>
      </c>
      <c r="J783" s="10">
        <f>CHOOSE(CONTROL!$C$42, 25.348, 25.348)* CHOOSE(CONTROL!$C$21, $C$9, 100%, $E$9)</f>
        <v>25.347999999999999</v>
      </c>
      <c r="K783" s="10">
        <f>CHOOSE(CONTROL!$C$42, 24.7986, 24.7986) * CHOOSE(CONTROL!$C$21, $C$9, 100%, $E$9)</f>
        <v>24.7986</v>
      </c>
      <c r="L783" s="10">
        <f>CHOOSE(CONTROL!$C$42, 26.0137, 26.0137) * CHOOSE(CONTROL!$C$21, $C$9, 100%, $E$9)</f>
        <v>26.0137</v>
      </c>
      <c r="M783" s="10">
        <f>CHOOSE(CONTROL!$C$42, 25.106, 25.106) * CHOOSE(CONTROL!$C$21, $C$9, 100%, $E$9)</f>
        <v>25.106000000000002</v>
      </c>
      <c r="N783" s="10">
        <f>CHOOSE(CONTROL!$C$42, 25.1239, 25.1239) * CHOOSE(CONTROL!$C$21, $C$9, 100%, $E$9)</f>
        <v>25.123899999999999</v>
      </c>
      <c r="O783" s="10">
        <f>CHOOSE(CONTROL!$C$42, 25.1839, 25.1839) * CHOOSE(CONTROL!$C$21, $C$9, 100%, $E$9)</f>
        <v>25.183900000000001</v>
      </c>
      <c r="P783" s="10">
        <f>CHOOSE(CONTROL!$C$42, 25.1266, 25.1266) * CHOOSE(CONTROL!$C$21, $C$9, 100%, $E$9)</f>
        <v>25.1266</v>
      </c>
      <c r="Q783" s="10">
        <f>CHOOSE(CONTROL!$C$42, 25.7792, 25.7792) * CHOOSE(CONTROL!$C$21, $C$9, 100%, $E$9)</f>
        <v>25.779199999999999</v>
      </c>
      <c r="R783" s="10">
        <f>CHOOSE(CONTROL!$C$42, 26.4307, 26.4307) * CHOOSE(CONTROL!$C$21, $C$9, 100%, $E$9)</f>
        <v>26.430700000000002</v>
      </c>
      <c r="S783" s="10">
        <f>CHOOSE(CONTROL!$C$42, 24.6388, 24.6388) * CHOOSE(CONTROL!$C$21, $C$9, 100%, $E$9)</f>
        <v>24.6388</v>
      </c>
      <c r="T7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38">
        <f>(1000*CHOOSE(CONTROL!$C$42, 695, 695)*CHOOSE(CONTROL!$C$42, 0.5599, 0.5599)*CHOOSE(CONTROL!$C$42, 31, 31))/1000000</f>
        <v>12.063045499999998</v>
      </c>
      <c r="V783" s="38">
        <f>(1000*CHOOSE(CONTROL!$C$42, 500, 500)*CHOOSE(CONTROL!$C$42, 0.275, 0.275)*CHOOSE(CONTROL!$C$42, 31, 31))/1000000</f>
        <v>4.2625000000000002</v>
      </c>
      <c r="W783" s="38">
        <f>(1000*CHOOSE(CONTROL!$C$42, 0.1146, 0.1146)*CHOOSE(CONTROL!$C$42, 121.5, 121.5)*CHOOSE(CONTROL!$C$42, 31, 31))/1000000</f>
        <v>0.43164089999999994</v>
      </c>
      <c r="X783" s="38">
        <f>(31*0.1790888*100000/1000000)+(31*0.2374*100000/1000000)</f>
        <v>1.2911152800000001</v>
      </c>
      <c r="Y783" s="38">
        <f>(1000*600*CHOOSE(CONTROL!$C$42, 1.0585, 1.0585)*CHOOSE(CONTROL!$C$42, 31, 31))/1000000</f>
        <v>19.688099999999999</v>
      </c>
      <c r="Z783" s="38"/>
      <c r="AA783" s="10"/>
      <c r="AB783" s="39"/>
      <c r="AC783" s="33">
        <f>(B783*122.58+C783*297.941+D783*89.177+E783*40.302+F783*40+G783*160+H783*0+I783*100+J783*300)/(122.58+297.941+89.177+40.302+0+40+160+100+300)</f>
        <v>25.371886783565216</v>
      </c>
      <c r="AD783" s="27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25.145301438848918</v>
      </c>
    </row>
    <row r="784" spans="1:30" ht="15.75" x14ac:dyDescent="0.25">
      <c r="A784" s="13">
        <v>65135</v>
      </c>
      <c r="B784" s="10">
        <f>CHOOSE(CONTROL!$C$42, 25.2991, 25.2991) * CHOOSE(CONTROL!$C$21, $C$9, 100%, $E$9)</f>
        <v>25.299099999999999</v>
      </c>
      <c r="C784" s="10">
        <f>CHOOSE(CONTROL!$C$42, 25.3035, 25.3035) * CHOOSE(CONTROL!$C$21, $C$9, 100%, $E$9)</f>
        <v>25.3035</v>
      </c>
      <c r="D784" s="10">
        <f>CHOOSE(CONTROL!$C$42, 25.4836, 25.4836) * CHOOSE(CONTROL!$C$21, $C$9, 100%, $E$9)</f>
        <v>25.483599999999999</v>
      </c>
      <c r="E784" s="10">
        <f>CHOOSE(CONTROL!$C$42, 25.5154, 25.5154) * CHOOSE(CONTROL!$C$21, $C$9, 100%, $E$9)</f>
        <v>25.5154</v>
      </c>
      <c r="F784" s="10">
        <f>CHOOSE(CONTROL!$C$42, 25.2644, 25.2644)*CHOOSE(CONTROL!$C$21, $C$9, 100%, $E$9)</f>
        <v>25.264399999999998</v>
      </c>
      <c r="G784" s="10">
        <f>CHOOSE(CONTROL!$C$42, 25.2807, 25.2807)*CHOOSE(CONTROL!$C$21, $C$9, 100%, $E$9)</f>
        <v>25.2807</v>
      </c>
      <c r="H784" s="10">
        <f>CHOOSE(CONTROL!$C$42, 25.5052, 25.5052) * CHOOSE(CONTROL!$C$21, $C$9, 100%, $E$9)</f>
        <v>25.505199999999999</v>
      </c>
      <c r="I784" s="10">
        <f>CHOOSE(CONTROL!$C$42, 25.2851, 25.2851)* CHOOSE(CONTROL!$C$21, $C$9, 100%, $E$9)</f>
        <v>25.2851</v>
      </c>
      <c r="J784" s="10">
        <f>CHOOSE(CONTROL!$C$42, 25.2574, 25.2574)* CHOOSE(CONTROL!$C$21, $C$9, 100%, $E$9)</f>
        <v>25.257400000000001</v>
      </c>
      <c r="K784" s="10">
        <f>CHOOSE(CONTROL!$C$42, 24.7023, 24.7023) * CHOOSE(CONTROL!$C$21, $C$9, 100%, $E$9)</f>
        <v>24.702300000000001</v>
      </c>
      <c r="L784" s="10">
        <f>CHOOSE(CONTROL!$C$42, 26.0922, 26.0922) * CHOOSE(CONTROL!$C$21, $C$9, 100%, $E$9)</f>
        <v>26.092199999999998</v>
      </c>
      <c r="M784" s="10">
        <f>CHOOSE(CONTROL!$C$42, 25.0164, 25.0164) * CHOOSE(CONTROL!$C$21, $C$9, 100%, $E$9)</f>
        <v>25.016400000000001</v>
      </c>
      <c r="N784" s="10">
        <f>CHOOSE(CONTROL!$C$42, 25.0325, 25.0325) * CHOOSE(CONTROL!$C$21, $C$9, 100%, $E$9)</f>
        <v>25.032499999999999</v>
      </c>
      <c r="O784" s="10">
        <f>CHOOSE(CONTROL!$C$42, 25.2616, 25.2616) * CHOOSE(CONTROL!$C$21, $C$9, 100%, $E$9)</f>
        <v>25.261600000000001</v>
      </c>
      <c r="P784" s="10">
        <f>CHOOSE(CONTROL!$C$42, 25.0438, 25.0438) * CHOOSE(CONTROL!$C$21, $C$9, 100%, $E$9)</f>
        <v>25.043800000000001</v>
      </c>
      <c r="Q784" s="10">
        <f>CHOOSE(CONTROL!$C$42, 25.8569, 25.8569) * CHOOSE(CONTROL!$C$21, $C$9, 100%, $E$9)</f>
        <v>25.8569</v>
      </c>
      <c r="R784" s="10">
        <f>CHOOSE(CONTROL!$C$42, 26.5086, 26.5086) * CHOOSE(CONTROL!$C$21, $C$9, 100%, $E$9)</f>
        <v>26.508600000000001</v>
      </c>
      <c r="S784" s="10">
        <f>CHOOSE(CONTROL!$C$42, 24.5651, 24.5651) * CHOOSE(CONTROL!$C$21, $C$9, 100%, $E$9)</f>
        <v>24.565100000000001</v>
      </c>
      <c r="T7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38">
        <f>(1000*CHOOSE(CONTROL!$C$42, 695, 695)*CHOOSE(CONTROL!$C$42, 0.5599, 0.5599)*CHOOSE(CONTROL!$C$42, 30, 30))/1000000</f>
        <v>11.673914999999997</v>
      </c>
      <c r="V784" s="38">
        <f>(1000*CHOOSE(CONTROL!$C$42, 500, 500)*CHOOSE(CONTROL!$C$42, 0.275, 0.275)*CHOOSE(CONTROL!$C$42, 30, 30))/1000000</f>
        <v>4.125</v>
      </c>
      <c r="W784" s="38">
        <f>(1000*CHOOSE(CONTROL!$C$42, 0.1146, 0.1146)*CHOOSE(CONTROL!$C$42, 121.5, 121.5)*CHOOSE(CONTROL!$C$42, 30, 30))/1000000</f>
        <v>0.417717</v>
      </c>
      <c r="X784" s="38">
        <f>(30*0.1790888*245000/1000000)+(30*0.2374*100000/1000000)</f>
        <v>2.0285026799999999</v>
      </c>
      <c r="Y784" s="38">
        <f>(1000*600*CHOOSE(CONTROL!$C$42, 1.0585, 1.0585)*CHOOSE(CONTROL!$C$42, 30, 30))/1000000</f>
        <v>19.053000000000001</v>
      </c>
      <c r="Z784" s="38"/>
      <c r="AA784" s="10"/>
      <c r="AB784" s="39"/>
      <c r="AC784" s="33">
        <f>(B784*141.293+C784*267.993+D784*115.016+E784*89.698+F784*40+G784*185+H784*0+I784*100+J784*300)/(141.293+267.993+115.016+89.698+0+40+185+100+300)</f>
        <v>25.317743501694917</v>
      </c>
      <c r="AD784" s="27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25.132402877697842</v>
      </c>
    </row>
    <row r="785" spans="1:30" ht="15.75" x14ac:dyDescent="0.25">
      <c r="A785" s="13">
        <v>65166</v>
      </c>
      <c r="B785" s="10">
        <f>CHOOSE(CONTROL!$C$42, 25.5242, 25.5242) * CHOOSE(CONTROL!$C$21, $C$9, 100%, $E$9)</f>
        <v>25.5242</v>
      </c>
      <c r="C785" s="10">
        <f>CHOOSE(CONTROL!$C$42, 25.5321, 25.5321) * CHOOSE(CONTROL!$C$21, $C$9, 100%, $E$9)</f>
        <v>25.5321</v>
      </c>
      <c r="D785" s="10">
        <f>CHOOSE(CONTROL!$C$42, 25.7091, 25.7091) * CHOOSE(CONTROL!$C$21, $C$9, 100%, $E$9)</f>
        <v>25.709099999999999</v>
      </c>
      <c r="E785" s="10">
        <f>CHOOSE(CONTROL!$C$42, 25.7402, 25.7402) * CHOOSE(CONTROL!$C$21, $C$9, 100%, $E$9)</f>
        <v>25.740200000000002</v>
      </c>
      <c r="F785" s="10">
        <f>CHOOSE(CONTROL!$C$42, 25.4875, 25.4875)*CHOOSE(CONTROL!$C$21, $C$9, 100%, $E$9)</f>
        <v>25.487500000000001</v>
      </c>
      <c r="G785" s="10">
        <f>CHOOSE(CONTROL!$C$42, 25.504, 25.504)*CHOOSE(CONTROL!$C$21, $C$9, 100%, $E$9)</f>
        <v>25.504000000000001</v>
      </c>
      <c r="H785" s="10">
        <f>CHOOSE(CONTROL!$C$42, 25.7288, 25.7288) * CHOOSE(CONTROL!$C$21, $C$9, 100%, $E$9)</f>
        <v>25.7288</v>
      </c>
      <c r="I785" s="10">
        <f>CHOOSE(CONTROL!$C$42, 25.5087, 25.5087)* CHOOSE(CONTROL!$C$21, $C$9, 100%, $E$9)</f>
        <v>25.508700000000001</v>
      </c>
      <c r="J785" s="10">
        <f>CHOOSE(CONTROL!$C$42, 25.4805, 25.4805)* CHOOSE(CONTROL!$C$21, $C$9, 100%, $E$9)</f>
        <v>25.480499999999999</v>
      </c>
      <c r="K785" s="10">
        <f>CHOOSE(CONTROL!$C$42, 24.9184, 24.9184) * CHOOSE(CONTROL!$C$21, $C$9, 100%, $E$9)</f>
        <v>24.918399999999998</v>
      </c>
      <c r="L785" s="10">
        <f>CHOOSE(CONTROL!$C$42, 26.3158, 26.3158) * CHOOSE(CONTROL!$C$21, $C$9, 100%, $E$9)</f>
        <v>26.315799999999999</v>
      </c>
      <c r="M785" s="10">
        <f>CHOOSE(CONTROL!$C$42, 25.2372, 25.2372) * CHOOSE(CONTROL!$C$21, $C$9, 100%, $E$9)</f>
        <v>25.237200000000001</v>
      </c>
      <c r="N785" s="10">
        <f>CHOOSE(CONTROL!$C$42, 25.2535, 25.2535) * CHOOSE(CONTROL!$C$21, $C$9, 100%, $E$9)</f>
        <v>25.253499999999999</v>
      </c>
      <c r="O785" s="10">
        <f>CHOOSE(CONTROL!$C$42, 25.483, 25.483) * CHOOSE(CONTROL!$C$21, $C$9, 100%, $E$9)</f>
        <v>25.483000000000001</v>
      </c>
      <c r="P785" s="10">
        <f>CHOOSE(CONTROL!$C$42, 25.2652, 25.2652) * CHOOSE(CONTROL!$C$21, $C$9, 100%, $E$9)</f>
        <v>25.2652</v>
      </c>
      <c r="Q785" s="10">
        <f>CHOOSE(CONTROL!$C$42, 26.0783, 26.0783) * CHOOSE(CONTROL!$C$21, $C$9, 100%, $E$9)</f>
        <v>26.078299999999999</v>
      </c>
      <c r="R785" s="10">
        <f>CHOOSE(CONTROL!$C$42, 26.7305, 26.7305) * CHOOSE(CONTROL!$C$21, $C$9, 100%, $E$9)</f>
        <v>26.730499999999999</v>
      </c>
      <c r="S785" s="10">
        <f>CHOOSE(CONTROL!$C$42, 24.7823, 24.7823) * CHOOSE(CONTROL!$C$21, $C$9, 100%, $E$9)</f>
        <v>24.782299999999999</v>
      </c>
      <c r="T7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38">
        <f>(1000*CHOOSE(CONTROL!$C$42, 695, 695)*CHOOSE(CONTROL!$C$42, 0.5599, 0.5599)*CHOOSE(CONTROL!$C$42, 31, 31))/1000000</f>
        <v>12.063045499999998</v>
      </c>
      <c r="V785" s="38">
        <f>(1000*CHOOSE(CONTROL!$C$42, 500, 500)*CHOOSE(CONTROL!$C$42, 0.275, 0.275)*CHOOSE(CONTROL!$C$42, 31, 31))/1000000</f>
        <v>4.2625000000000002</v>
      </c>
      <c r="W785" s="38">
        <f>(1000*CHOOSE(CONTROL!$C$42, 0.1146, 0.1146)*CHOOSE(CONTROL!$C$42, 121.5, 121.5)*CHOOSE(CONTROL!$C$42, 31, 31))/1000000</f>
        <v>0.43164089999999994</v>
      </c>
      <c r="X785" s="38">
        <f>(31*0.1790888*245000/1000000)+(31*0.2374*100000/1000000)</f>
        <v>2.0961194359999999</v>
      </c>
      <c r="Y785" s="38">
        <f>(1000*600*CHOOSE(CONTROL!$C$42, 1.0585, 1.0585)*CHOOSE(CONTROL!$C$42, 31, 31))/1000000</f>
        <v>19.688099999999999</v>
      </c>
      <c r="Z785" s="38"/>
      <c r="AA785" s="10"/>
      <c r="AB785" s="39"/>
      <c r="AC785" s="33">
        <f>(B785*194.205+C785*267.466+D785*133.845+E785*53.484+F785*40+G785*185+H785*0+I785*100+J785*300)/(194.205+267.466+133.845+53.484+0+40+185+100+300)</f>
        <v>25.538759235400317</v>
      </c>
      <c r="AD785" s="27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25.353572661870505</v>
      </c>
    </row>
    <row r="786" spans="1:30" ht="15.75" x14ac:dyDescent="0.25">
      <c r="A786" s="13">
        <v>65196</v>
      </c>
      <c r="B786" s="10">
        <f>CHOOSE(CONTROL!$C$42, 26.248, 26.248) * CHOOSE(CONTROL!$C$21, $C$9, 100%, $E$9)</f>
        <v>26.248000000000001</v>
      </c>
      <c r="C786" s="10">
        <f>CHOOSE(CONTROL!$C$42, 26.2559, 26.2559) * CHOOSE(CONTROL!$C$21, $C$9, 100%, $E$9)</f>
        <v>26.2559</v>
      </c>
      <c r="D786" s="10">
        <f>CHOOSE(CONTROL!$C$42, 26.4329, 26.4329) * CHOOSE(CONTROL!$C$21, $C$9, 100%, $E$9)</f>
        <v>26.4329</v>
      </c>
      <c r="E786" s="10">
        <f>CHOOSE(CONTROL!$C$42, 26.4641, 26.4641) * CHOOSE(CONTROL!$C$21, $C$9, 100%, $E$9)</f>
        <v>26.464099999999998</v>
      </c>
      <c r="F786" s="10">
        <f>CHOOSE(CONTROL!$C$42, 26.2116, 26.2116)*CHOOSE(CONTROL!$C$21, $C$9, 100%, $E$9)</f>
        <v>26.211600000000001</v>
      </c>
      <c r="G786" s="10">
        <f>CHOOSE(CONTROL!$C$42, 26.2281, 26.2281)*CHOOSE(CONTROL!$C$21, $C$9, 100%, $E$9)</f>
        <v>26.228100000000001</v>
      </c>
      <c r="H786" s="10">
        <f>CHOOSE(CONTROL!$C$42, 26.4527, 26.4527) * CHOOSE(CONTROL!$C$21, $C$9, 100%, $E$9)</f>
        <v>26.4527</v>
      </c>
      <c r="I786" s="10">
        <f>CHOOSE(CONTROL!$C$42, 26.2326, 26.2326)* CHOOSE(CONTROL!$C$21, $C$9, 100%, $E$9)</f>
        <v>26.232600000000001</v>
      </c>
      <c r="J786" s="10">
        <f>CHOOSE(CONTROL!$C$42, 26.2046, 26.2046)* CHOOSE(CONTROL!$C$21, $C$9, 100%, $E$9)</f>
        <v>26.204599999999999</v>
      </c>
      <c r="K786" s="10">
        <f>CHOOSE(CONTROL!$C$42, 25.6221, 25.6221) * CHOOSE(CONTROL!$C$21, $C$9, 100%, $E$9)</f>
        <v>25.6221</v>
      </c>
      <c r="L786" s="10">
        <f>CHOOSE(CONTROL!$C$42, 27.0397, 27.0397) * CHOOSE(CONTROL!$C$21, $C$9, 100%, $E$9)</f>
        <v>27.0397</v>
      </c>
      <c r="M786" s="10">
        <f>CHOOSE(CONTROL!$C$42, 25.9539, 25.9539) * CHOOSE(CONTROL!$C$21, $C$9, 100%, $E$9)</f>
        <v>25.953900000000001</v>
      </c>
      <c r="N786" s="10">
        <f>CHOOSE(CONTROL!$C$42, 25.9703, 25.9703) * CHOOSE(CONTROL!$C$21, $C$9, 100%, $E$9)</f>
        <v>25.970300000000002</v>
      </c>
      <c r="O786" s="10">
        <f>CHOOSE(CONTROL!$C$42, 26.1996, 26.1996) * CHOOSE(CONTROL!$C$21, $C$9, 100%, $E$9)</f>
        <v>26.1996</v>
      </c>
      <c r="P786" s="10">
        <f>CHOOSE(CONTROL!$C$42, 25.9818, 25.9818) * CHOOSE(CONTROL!$C$21, $C$9, 100%, $E$9)</f>
        <v>25.9818</v>
      </c>
      <c r="Q786" s="10">
        <f>CHOOSE(CONTROL!$C$42, 26.7949, 26.7949) * CHOOSE(CONTROL!$C$21, $C$9, 100%, $E$9)</f>
        <v>26.794899999999998</v>
      </c>
      <c r="R786" s="10">
        <f>CHOOSE(CONTROL!$C$42, 27.4489, 27.4489) * CHOOSE(CONTROL!$C$21, $C$9, 100%, $E$9)</f>
        <v>27.448899999999998</v>
      </c>
      <c r="S786" s="10">
        <f>CHOOSE(CONTROL!$C$42, 25.4852, 25.4852) * CHOOSE(CONTROL!$C$21, $C$9, 100%, $E$9)</f>
        <v>25.485199999999999</v>
      </c>
      <c r="T7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38">
        <f>(1000*CHOOSE(CONTROL!$C$42, 695, 695)*CHOOSE(CONTROL!$C$42, 0.5599, 0.5599)*CHOOSE(CONTROL!$C$42, 30, 30))/1000000</f>
        <v>11.673914999999997</v>
      </c>
      <c r="V786" s="38">
        <f>(1000*CHOOSE(CONTROL!$C$42, 500, 500)*CHOOSE(CONTROL!$C$42, 0.275, 0.275)*CHOOSE(CONTROL!$C$42, 30, 30))/1000000</f>
        <v>4.125</v>
      </c>
      <c r="W786" s="38">
        <f>(1000*CHOOSE(CONTROL!$C$42, 0.1146, 0.1146)*CHOOSE(CONTROL!$C$42, 121.5, 121.5)*CHOOSE(CONTROL!$C$42, 30, 30))/1000000</f>
        <v>0.417717</v>
      </c>
      <c r="X786" s="38">
        <f>(30*0.1790888*245000/1000000)+(30*0.2374*100000/1000000)</f>
        <v>2.0285026799999999</v>
      </c>
      <c r="Y786" s="38">
        <f>(1000*600*CHOOSE(CONTROL!$C$42, 1.0585, 1.0585)*CHOOSE(CONTROL!$C$42, 30, 30))/1000000</f>
        <v>19.053000000000001</v>
      </c>
      <c r="Z786" s="38"/>
      <c r="AA786" s="10"/>
      <c r="AB786" s="39"/>
      <c r="AC786" s="33">
        <f>(B786*194.205+C786*267.466+D786*133.845+E786*53.484+F786*40+G786*185+H786*0+I786*100+J786*300)/(194.205+267.466+133.845+53.484+0+40+185+100+300)</f>
        <v>26.262694909183676</v>
      </c>
      <c r="AD786" s="27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26.07021870503597</v>
      </c>
    </row>
    <row r="787" spans="1:30" ht="15.75" x14ac:dyDescent="0.25">
      <c r="A787" s="13">
        <v>65227</v>
      </c>
      <c r="B787" s="10">
        <f>CHOOSE(CONTROL!$C$42, 25.7446, 25.7446) * CHOOSE(CONTROL!$C$21, $C$9, 100%, $E$9)</f>
        <v>25.744599999999998</v>
      </c>
      <c r="C787" s="10">
        <f>CHOOSE(CONTROL!$C$42, 25.7525, 25.7525) * CHOOSE(CONTROL!$C$21, $C$9, 100%, $E$9)</f>
        <v>25.752500000000001</v>
      </c>
      <c r="D787" s="10">
        <f>CHOOSE(CONTROL!$C$42, 25.9295, 25.9295) * CHOOSE(CONTROL!$C$21, $C$9, 100%, $E$9)</f>
        <v>25.929500000000001</v>
      </c>
      <c r="E787" s="10">
        <f>CHOOSE(CONTROL!$C$42, 25.9606, 25.9606) * CHOOSE(CONTROL!$C$21, $C$9, 100%, $E$9)</f>
        <v>25.960599999999999</v>
      </c>
      <c r="F787" s="10">
        <f>CHOOSE(CONTROL!$C$42, 25.7084, 25.7084)*CHOOSE(CONTROL!$C$21, $C$9, 100%, $E$9)</f>
        <v>25.708400000000001</v>
      </c>
      <c r="G787" s="10">
        <f>CHOOSE(CONTROL!$C$42, 25.725, 25.725)*CHOOSE(CONTROL!$C$21, $C$9, 100%, $E$9)</f>
        <v>25.725000000000001</v>
      </c>
      <c r="H787" s="10">
        <f>CHOOSE(CONTROL!$C$42, 25.9492, 25.9492) * CHOOSE(CONTROL!$C$21, $C$9, 100%, $E$9)</f>
        <v>25.949200000000001</v>
      </c>
      <c r="I787" s="10">
        <f>CHOOSE(CONTROL!$C$42, 25.7292, 25.7292)* CHOOSE(CONTROL!$C$21, $C$9, 100%, $E$9)</f>
        <v>25.729199999999999</v>
      </c>
      <c r="J787" s="10">
        <f>CHOOSE(CONTROL!$C$42, 25.7014, 25.7014)* CHOOSE(CONTROL!$C$21, $C$9, 100%, $E$9)</f>
        <v>25.7014</v>
      </c>
      <c r="K787" s="10">
        <f>CHOOSE(CONTROL!$C$42, 25.1335, 25.1335) * CHOOSE(CONTROL!$C$21, $C$9, 100%, $E$9)</f>
        <v>25.133500000000002</v>
      </c>
      <c r="L787" s="10">
        <f>CHOOSE(CONTROL!$C$42, 26.5362, 26.5362) * CHOOSE(CONTROL!$C$21, $C$9, 100%, $E$9)</f>
        <v>26.536200000000001</v>
      </c>
      <c r="M787" s="10">
        <f>CHOOSE(CONTROL!$C$42, 25.4558, 25.4558) * CHOOSE(CONTROL!$C$21, $C$9, 100%, $E$9)</f>
        <v>25.4558</v>
      </c>
      <c r="N787" s="10">
        <f>CHOOSE(CONTROL!$C$42, 25.4723, 25.4723) * CHOOSE(CONTROL!$C$21, $C$9, 100%, $E$9)</f>
        <v>25.472300000000001</v>
      </c>
      <c r="O787" s="10">
        <f>CHOOSE(CONTROL!$C$42, 25.7012, 25.7012) * CHOOSE(CONTROL!$C$21, $C$9, 100%, $E$9)</f>
        <v>25.7012</v>
      </c>
      <c r="P787" s="10">
        <f>CHOOSE(CONTROL!$C$42, 25.4834, 25.4834) * CHOOSE(CONTROL!$C$21, $C$9, 100%, $E$9)</f>
        <v>25.4834</v>
      </c>
      <c r="Q787" s="10">
        <f>CHOOSE(CONTROL!$C$42, 26.2965, 26.2965) * CHOOSE(CONTROL!$C$21, $C$9, 100%, $E$9)</f>
        <v>26.296500000000002</v>
      </c>
      <c r="R787" s="10">
        <f>CHOOSE(CONTROL!$C$42, 26.9492, 26.9492) * CHOOSE(CONTROL!$C$21, $C$9, 100%, $E$9)</f>
        <v>26.949200000000001</v>
      </c>
      <c r="S787" s="10">
        <f>CHOOSE(CONTROL!$C$42, 24.9963, 24.9963) * CHOOSE(CONTROL!$C$21, $C$9, 100%, $E$9)</f>
        <v>24.996300000000002</v>
      </c>
      <c r="T7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38">
        <f>(1000*CHOOSE(CONTROL!$C$42, 695, 695)*CHOOSE(CONTROL!$C$42, 0.5599, 0.5599)*CHOOSE(CONTROL!$C$42, 31, 31))/1000000</f>
        <v>12.063045499999998</v>
      </c>
      <c r="V787" s="38">
        <f>(1000*CHOOSE(CONTROL!$C$42, 500, 500)*CHOOSE(CONTROL!$C$42, 0.275, 0.275)*CHOOSE(CONTROL!$C$42, 31, 31))/1000000</f>
        <v>4.2625000000000002</v>
      </c>
      <c r="W787" s="38">
        <f>(1000*CHOOSE(CONTROL!$C$42, 0.1146, 0.1146)*CHOOSE(CONTROL!$C$42, 121.5, 121.5)*CHOOSE(CONTROL!$C$42, 31, 31))/1000000</f>
        <v>0.43164089999999994</v>
      </c>
      <c r="X787" s="38">
        <f>(31*0.1790888*245000/1000000)+(31*0.2374*100000/1000000)</f>
        <v>2.0961194359999999</v>
      </c>
      <c r="Y787" s="38">
        <f>(1000*600*CHOOSE(CONTROL!$C$42, 1.0585, 1.0585)*CHOOSE(CONTROL!$C$42, 31, 31))/1000000</f>
        <v>19.688099999999999</v>
      </c>
      <c r="Z787" s="38"/>
      <c r="AA787" s="10"/>
      <c r="AB787" s="39"/>
      <c r="AC787" s="33">
        <f>(B787*194.205+C787*267.466+D787*133.845+E787*53.484+F787*40+G787*185+H787*0+I787*100+J787*300)/(194.205+267.466+133.845+53.484+0+40+185+100+300)</f>
        <v>25.75938764984301</v>
      </c>
      <c r="AD787" s="27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25.571945323741009</v>
      </c>
    </row>
    <row r="788" spans="1:30" ht="15.75" x14ac:dyDescent="0.25">
      <c r="A788" s="13">
        <v>65258</v>
      </c>
      <c r="B788" s="10">
        <f>CHOOSE(CONTROL!$C$42, 24.4732, 24.4732) * CHOOSE(CONTROL!$C$21, $C$9, 100%, $E$9)</f>
        <v>24.473199999999999</v>
      </c>
      <c r="C788" s="10">
        <f>CHOOSE(CONTROL!$C$42, 24.4811, 24.4811) * CHOOSE(CONTROL!$C$21, $C$9, 100%, $E$9)</f>
        <v>24.481100000000001</v>
      </c>
      <c r="D788" s="10">
        <f>CHOOSE(CONTROL!$C$42, 24.6581, 24.6581) * CHOOSE(CONTROL!$C$21, $C$9, 100%, $E$9)</f>
        <v>24.658100000000001</v>
      </c>
      <c r="E788" s="10">
        <f>CHOOSE(CONTROL!$C$42, 24.6892, 24.6892) * CHOOSE(CONTROL!$C$21, $C$9, 100%, $E$9)</f>
        <v>24.6892</v>
      </c>
      <c r="F788" s="10">
        <f>CHOOSE(CONTROL!$C$42, 24.437, 24.437)*CHOOSE(CONTROL!$C$21, $C$9, 100%, $E$9)</f>
        <v>24.437000000000001</v>
      </c>
      <c r="G788" s="10">
        <f>CHOOSE(CONTROL!$C$42, 24.4536, 24.4536)*CHOOSE(CONTROL!$C$21, $C$9, 100%, $E$9)</f>
        <v>24.453600000000002</v>
      </c>
      <c r="H788" s="10">
        <f>CHOOSE(CONTROL!$C$42, 24.6779, 24.6779) * CHOOSE(CONTROL!$C$21, $C$9, 100%, $E$9)</f>
        <v>24.677900000000001</v>
      </c>
      <c r="I788" s="10">
        <f>CHOOSE(CONTROL!$C$42, 24.4578, 24.4578)* CHOOSE(CONTROL!$C$21, $C$9, 100%, $E$9)</f>
        <v>24.457799999999999</v>
      </c>
      <c r="J788" s="10">
        <f>CHOOSE(CONTROL!$C$42, 24.43, 24.43)* CHOOSE(CONTROL!$C$21, $C$9, 100%, $E$9)</f>
        <v>24.43</v>
      </c>
      <c r="K788" s="10">
        <f>CHOOSE(CONTROL!$C$42, 23.8983, 23.8983) * CHOOSE(CONTROL!$C$21, $C$9, 100%, $E$9)</f>
        <v>23.898299999999999</v>
      </c>
      <c r="L788" s="10">
        <f>CHOOSE(CONTROL!$C$42, 25.2649, 25.2649) * CHOOSE(CONTROL!$C$21, $C$9, 100%, $E$9)</f>
        <v>25.264900000000001</v>
      </c>
      <c r="M788" s="10">
        <f>CHOOSE(CONTROL!$C$42, 24.1973, 24.1973) * CHOOSE(CONTROL!$C$21, $C$9, 100%, $E$9)</f>
        <v>24.197299999999998</v>
      </c>
      <c r="N788" s="10">
        <f>CHOOSE(CONTROL!$C$42, 24.2138, 24.2138) * CHOOSE(CONTROL!$C$21, $C$9, 100%, $E$9)</f>
        <v>24.213799999999999</v>
      </c>
      <c r="O788" s="10">
        <f>CHOOSE(CONTROL!$C$42, 24.4426, 24.4426) * CHOOSE(CONTROL!$C$21, $C$9, 100%, $E$9)</f>
        <v>24.442599999999999</v>
      </c>
      <c r="P788" s="10">
        <f>CHOOSE(CONTROL!$C$42, 24.2248, 24.2248) * CHOOSE(CONTROL!$C$21, $C$9, 100%, $E$9)</f>
        <v>24.224799999999998</v>
      </c>
      <c r="Q788" s="10">
        <f>CHOOSE(CONTROL!$C$42, 25.0379, 25.0379) * CHOOSE(CONTROL!$C$21, $C$9, 100%, $E$9)</f>
        <v>25.0379</v>
      </c>
      <c r="R788" s="10">
        <f>CHOOSE(CONTROL!$C$42, 25.6875, 25.6875) * CHOOSE(CONTROL!$C$21, $C$9, 100%, $E$9)</f>
        <v>25.6875</v>
      </c>
      <c r="S788" s="10">
        <f>CHOOSE(CONTROL!$C$42, 23.7617, 23.7617) * CHOOSE(CONTROL!$C$21, $C$9, 100%, $E$9)</f>
        <v>23.761700000000001</v>
      </c>
      <c r="T7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38">
        <f>(1000*CHOOSE(CONTROL!$C$42, 695, 695)*CHOOSE(CONTROL!$C$42, 0.5599, 0.5599)*CHOOSE(CONTROL!$C$42, 31, 31))/1000000</f>
        <v>12.063045499999998</v>
      </c>
      <c r="V788" s="38">
        <f>(1000*CHOOSE(CONTROL!$C$42, 500, 500)*CHOOSE(CONTROL!$C$42, 0.275, 0.275)*CHOOSE(CONTROL!$C$42, 31, 31))/1000000</f>
        <v>4.2625000000000002</v>
      </c>
      <c r="W788" s="38">
        <f>(1000*CHOOSE(CONTROL!$C$42, 0.1146, 0.1146)*CHOOSE(CONTROL!$C$42, 121.5, 121.5)*CHOOSE(CONTROL!$C$42, 31, 31))/1000000</f>
        <v>0.43164089999999994</v>
      </c>
      <c r="X788" s="38">
        <f>(31*0.1790888*245000/1000000)+(31*0.2374*100000/1000000)</f>
        <v>2.0961194359999999</v>
      </c>
      <c r="Y788" s="38">
        <f>(1000*600*CHOOSE(CONTROL!$C$42, 1.0585, 1.0585)*CHOOSE(CONTROL!$C$42, 31, 31))/1000000</f>
        <v>19.688099999999999</v>
      </c>
      <c r="Z788" s="38"/>
      <c r="AA788" s="10"/>
      <c r="AB788" s="39"/>
      <c r="AC788" s="33">
        <f>(B788*194.205+C788*267.466+D788*133.845+E788*53.484+F788*40+G788*185+H788*0+I788*100+J788*300)/(194.205+267.466+133.845+53.484+0+40+185+100+300)</f>
        <v>24.487987649843017</v>
      </c>
      <c r="AD788" s="27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24.313385611510792</v>
      </c>
    </row>
    <row r="789" spans="1:30" ht="15.75" x14ac:dyDescent="0.25">
      <c r="A789" s="13">
        <v>65288</v>
      </c>
      <c r="B789" s="10">
        <f>CHOOSE(CONTROL!$C$42, 22.9198, 22.9198) * CHOOSE(CONTROL!$C$21, $C$9, 100%, $E$9)</f>
        <v>22.919799999999999</v>
      </c>
      <c r="C789" s="10">
        <f>CHOOSE(CONTROL!$C$42, 22.9277, 22.9277) * CHOOSE(CONTROL!$C$21, $C$9, 100%, $E$9)</f>
        <v>22.927700000000002</v>
      </c>
      <c r="D789" s="10">
        <f>CHOOSE(CONTROL!$C$42, 23.1047, 23.1047) * CHOOSE(CONTROL!$C$21, $C$9, 100%, $E$9)</f>
        <v>23.104700000000001</v>
      </c>
      <c r="E789" s="10">
        <f>CHOOSE(CONTROL!$C$42, 23.1358, 23.1358) * CHOOSE(CONTROL!$C$21, $C$9, 100%, $E$9)</f>
        <v>23.1358</v>
      </c>
      <c r="F789" s="10">
        <f>CHOOSE(CONTROL!$C$42, 22.8834, 22.8834)*CHOOSE(CONTROL!$C$21, $C$9, 100%, $E$9)</f>
        <v>22.883400000000002</v>
      </c>
      <c r="G789" s="10">
        <f>CHOOSE(CONTROL!$C$42, 22.8999, 22.8999)*CHOOSE(CONTROL!$C$21, $C$9, 100%, $E$9)</f>
        <v>22.899899999999999</v>
      </c>
      <c r="H789" s="10">
        <f>CHOOSE(CONTROL!$C$42, 23.1245, 23.1245) * CHOOSE(CONTROL!$C$21, $C$9, 100%, $E$9)</f>
        <v>23.124500000000001</v>
      </c>
      <c r="I789" s="10">
        <f>CHOOSE(CONTROL!$C$42, 22.9044, 22.9044)* CHOOSE(CONTROL!$C$21, $C$9, 100%, $E$9)</f>
        <v>22.904399999999999</v>
      </c>
      <c r="J789" s="10">
        <f>CHOOSE(CONTROL!$C$42, 22.8764, 22.8764)* CHOOSE(CONTROL!$C$21, $C$9, 100%, $E$9)</f>
        <v>22.8764</v>
      </c>
      <c r="K789" s="10">
        <f>CHOOSE(CONTROL!$C$42, 22.3885, 22.3885) * CHOOSE(CONTROL!$C$21, $C$9, 100%, $E$9)</f>
        <v>22.388500000000001</v>
      </c>
      <c r="L789" s="10">
        <f>CHOOSE(CONTROL!$C$42, 23.7115, 23.7115) * CHOOSE(CONTROL!$C$21, $C$9, 100%, $E$9)</f>
        <v>23.711500000000001</v>
      </c>
      <c r="M789" s="10">
        <f>CHOOSE(CONTROL!$C$42, 22.6593, 22.6593) * CHOOSE(CONTROL!$C$21, $C$9, 100%, $E$9)</f>
        <v>22.659300000000002</v>
      </c>
      <c r="N789" s="10">
        <f>CHOOSE(CONTROL!$C$42, 22.6757, 22.6757) * CHOOSE(CONTROL!$C$21, $C$9, 100%, $E$9)</f>
        <v>22.675699999999999</v>
      </c>
      <c r="O789" s="10">
        <f>CHOOSE(CONTROL!$C$42, 22.9049, 22.9049) * CHOOSE(CONTROL!$C$21, $C$9, 100%, $E$9)</f>
        <v>22.904900000000001</v>
      </c>
      <c r="P789" s="10">
        <f>CHOOSE(CONTROL!$C$42, 22.6871, 22.6871) * CHOOSE(CONTROL!$C$21, $C$9, 100%, $E$9)</f>
        <v>22.687100000000001</v>
      </c>
      <c r="Q789" s="10">
        <f>CHOOSE(CONTROL!$C$42, 23.5002, 23.5002) * CHOOSE(CONTROL!$C$21, $C$9, 100%, $E$9)</f>
        <v>23.5002</v>
      </c>
      <c r="R789" s="10">
        <f>CHOOSE(CONTROL!$C$42, 24.146, 24.146) * CHOOSE(CONTROL!$C$21, $C$9, 100%, $E$9)</f>
        <v>24.146000000000001</v>
      </c>
      <c r="S789" s="10">
        <f>CHOOSE(CONTROL!$C$42, 22.2532, 22.2532) * CHOOSE(CONTROL!$C$21, $C$9, 100%, $E$9)</f>
        <v>22.2532</v>
      </c>
      <c r="T7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38">
        <f>(1000*CHOOSE(CONTROL!$C$42, 695, 695)*CHOOSE(CONTROL!$C$42, 0.5599, 0.5599)*CHOOSE(CONTROL!$C$42, 30, 30))/1000000</f>
        <v>11.673914999999997</v>
      </c>
      <c r="V789" s="38">
        <f>(1000*CHOOSE(CONTROL!$C$42, 500, 500)*CHOOSE(CONTROL!$C$42, 0.275, 0.275)*CHOOSE(CONTROL!$C$42, 30, 30))/1000000</f>
        <v>4.125</v>
      </c>
      <c r="W789" s="38">
        <f>(1000*CHOOSE(CONTROL!$C$42, 0.1146, 0.1146)*CHOOSE(CONTROL!$C$42, 121.5, 121.5)*CHOOSE(CONTROL!$C$42, 30, 30))/1000000</f>
        <v>0.417717</v>
      </c>
      <c r="X789" s="38">
        <f>(30*0.1790888*245000/1000000)+(30*0.2374*100000/1000000)</f>
        <v>2.0285026799999999</v>
      </c>
      <c r="Y789" s="38">
        <f>(1000*600*CHOOSE(CONTROL!$C$42, 1.0585, 1.0585)*CHOOSE(CONTROL!$C$42, 30, 30))/1000000</f>
        <v>19.053000000000001</v>
      </c>
      <c r="Z789" s="38"/>
      <c r="AA789" s="10"/>
      <c r="AB789" s="39"/>
      <c r="AC789" s="33">
        <f>(B789*194.205+C789*267.466+D789*133.845+E789*53.484+F789*40+G789*185+H789*0+I789*100+J789*300)/(194.205+267.466+133.845+53.484+0+40+185+100+300)</f>
        <v>22.9344907110675</v>
      </c>
      <c r="AD789" s="27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22.775558992805756</v>
      </c>
    </row>
    <row r="790" spans="1:30" ht="15.75" x14ac:dyDescent="0.25">
      <c r="A790" s="13">
        <v>65319</v>
      </c>
      <c r="B790" s="10">
        <f>CHOOSE(CONTROL!$C$42, 22.4524, 22.4524) * CHOOSE(CONTROL!$C$21, $C$9, 100%, $E$9)</f>
        <v>22.452400000000001</v>
      </c>
      <c r="C790" s="10">
        <f>CHOOSE(CONTROL!$C$42, 22.4576, 22.4576) * CHOOSE(CONTROL!$C$21, $C$9, 100%, $E$9)</f>
        <v>22.457599999999999</v>
      </c>
      <c r="D790" s="10">
        <f>CHOOSE(CONTROL!$C$42, 22.6396, 22.6396) * CHOOSE(CONTROL!$C$21, $C$9, 100%, $E$9)</f>
        <v>22.639600000000002</v>
      </c>
      <c r="E790" s="10">
        <f>CHOOSE(CONTROL!$C$42, 22.6683, 22.6683) * CHOOSE(CONTROL!$C$21, $C$9, 100%, $E$9)</f>
        <v>22.668299999999999</v>
      </c>
      <c r="F790" s="10">
        <f>CHOOSE(CONTROL!$C$42, 22.418, 22.418)*CHOOSE(CONTROL!$C$21, $C$9, 100%, $E$9)</f>
        <v>22.417999999999999</v>
      </c>
      <c r="G790" s="10">
        <f>CHOOSE(CONTROL!$C$42, 22.4342, 22.4342)*CHOOSE(CONTROL!$C$21, $C$9, 100%, $E$9)</f>
        <v>22.434200000000001</v>
      </c>
      <c r="H790" s="10">
        <f>CHOOSE(CONTROL!$C$42, 22.6588, 22.6588) * CHOOSE(CONTROL!$C$21, $C$9, 100%, $E$9)</f>
        <v>22.658799999999999</v>
      </c>
      <c r="I790" s="10">
        <f>CHOOSE(CONTROL!$C$42, 22.4387, 22.4387)* CHOOSE(CONTROL!$C$21, $C$9, 100%, $E$9)</f>
        <v>22.438700000000001</v>
      </c>
      <c r="J790" s="10">
        <f>CHOOSE(CONTROL!$C$42, 22.411, 22.411)* CHOOSE(CONTROL!$C$21, $C$9, 100%, $E$9)</f>
        <v>22.411000000000001</v>
      </c>
      <c r="K790" s="10">
        <f>CHOOSE(CONTROL!$C$42, 21.9367, 21.9367) * CHOOSE(CONTROL!$C$21, $C$9, 100%, $E$9)</f>
        <v>21.936699999999998</v>
      </c>
      <c r="L790" s="10">
        <f>CHOOSE(CONTROL!$C$42, 23.2458, 23.2458) * CHOOSE(CONTROL!$C$21, $C$9, 100%, $E$9)</f>
        <v>23.245799999999999</v>
      </c>
      <c r="M790" s="10">
        <f>CHOOSE(CONTROL!$C$42, 22.1987, 22.1987) * CHOOSE(CONTROL!$C$21, $C$9, 100%, $E$9)</f>
        <v>22.198699999999999</v>
      </c>
      <c r="N790" s="10">
        <f>CHOOSE(CONTROL!$C$42, 22.2147, 22.2147) * CHOOSE(CONTROL!$C$21, $C$9, 100%, $E$9)</f>
        <v>22.214700000000001</v>
      </c>
      <c r="O790" s="10">
        <f>CHOOSE(CONTROL!$C$42, 22.444, 22.444) * CHOOSE(CONTROL!$C$21, $C$9, 100%, $E$9)</f>
        <v>22.443999999999999</v>
      </c>
      <c r="P790" s="10">
        <f>CHOOSE(CONTROL!$C$42, 22.2262, 22.2262) * CHOOSE(CONTROL!$C$21, $C$9, 100%, $E$9)</f>
        <v>22.226199999999999</v>
      </c>
      <c r="Q790" s="10">
        <f>CHOOSE(CONTROL!$C$42, 23.0393, 23.0393) * CHOOSE(CONTROL!$C$21, $C$9, 100%, $E$9)</f>
        <v>23.039300000000001</v>
      </c>
      <c r="R790" s="10">
        <f>CHOOSE(CONTROL!$C$42, 23.6839, 23.6839) * CHOOSE(CONTROL!$C$21, $C$9, 100%, $E$9)</f>
        <v>23.683900000000001</v>
      </c>
      <c r="S790" s="10">
        <f>CHOOSE(CONTROL!$C$42, 21.801, 21.801) * CHOOSE(CONTROL!$C$21, $C$9, 100%, $E$9)</f>
        <v>21.800999999999998</v>
      </c>
      <c r="T7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38">
        <f>(1000*CHOOSE(CONTROL!$C$42, 695, 695)*CHOOSE(CONTROL!$C$42, 0.5599, 0.5599)*CHOOSE(CONTROL!$C$42, 31, 31))/1000000</f>
        <v>12.063045499999998</v>
      </c>
      <c r="V790" s="38">
        <f>(1000*CHOOSE(CONTROL!$C$42, 500, 500)*CHOOSE(CONTROL!$C$42, 0.275, 0.275)*CHOOSE(CONTROL!$C$42, 31, 31))/1000000</f>
        <v>4.2625000000000002</v>
      </c>
      <c r="W790" s="38">
        <f>(1000*CHOOSE(CONTROL!$C$42, 0.1146, 0.1146)*CHOOSE(CONTROL!$C$42, 121.5, 121.5)*CHOOSE(CONTROL!$C$42, 31, 31))/1000000</f>
        <v>0.43164089999999994</v>
      </c>
      <c r="X790" s="38">
        <f>(31*0.1790888*245000/1000000)+(31*0.2374*100000/1000000)</f>
        <v>2.0961194359999999</v>
      </c>
      <c r="Y790" s="38">
        <f>(1000*600*CHOOSE(CONTROL!$C$42, 1.0585, 1.0585)*CHOOSE(CONTROL!$C$42, 31, 31))/1000000</f>
        <v>19.688099999999999</v>
      </c>
      <c r="Z790" s="38"/>
      <c r="AA790" s="10"/>
      <c r="AB790" s="39"/>
      <c r="AC790" s="33">
        <f>(B790*131.881+C790*277.167+D790*79.08+E790*125.872+F790*40+G790*185+H790*0+I790*100+J790*300)/(131.881+277.167+79.08+125.872+0+40+185+100+300)</f>
        <v>22.472487013075057</v>
      </c>
      <c r="AD790" s="27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22.314756834532371</v>
      </c>
    </row>
    <row r="791" spans="1:30" ht="15.75" x14ac:dyDescent="0.25">
      <c r="A791" s="13">
        <v>65349</v>
      </c>
      <c r="B791" s="10">
        <f>CHOOSE(CONTROL!$C$42, 23.0434, 23.0434) * CHOOSE(CONTROL!$C$21, $C$9, 100%, $E$9)</f>
        <v>23.043399999999998</v>
      </c>
      <c r="C791" s="10">
        <f>CHOOSE(CONTROL!$C$42, 23.0483, 23.0483) * CHOOSE(CONTROL!$C$21, $C$9, 100%, $E$9)</f>
        <v>23.048300000000001</v>
      </c>
      <c r="D791" s="10">
        <f>CHOOSE(CONTROL!$C$42, 23.0728, 23.0728) * CHOOSE(CONTROL!$C$21, $C$9, 100%, $E$9)</f>
        <v>23.072800000000001</v>
      </c>
      <c r="E791" s="10">
        <f>CHOOSE(CONTROL!$C$42, 23.1066, 23.1066) * CHOOSE(CONTROL!$C$21, $C$9, 100%, $E$9)</f>
        <v>23.1066</v>
      </c>
      <c r="F791" s="10">
        <f>CHOOSE(CONTROL!$C$42, 23.0127, 23.0127)*CHOOSE(CONTROL!$C$21, $C$9, 100%, $E$9)</f>
        <v>23.012699999999999</v>
      </c>
      <c r="G791" s="10">
        <f>CHOOSE(CONTROL!$C$42, 23.0291, 23.0291)*CHOOSE(CONTROL!$C$21, $C$9, 100%, $E$9)</f>
        <v>23.0291</v>
      </c>
      <c r="H791" s="10">
        <f>CHOOSE(CONTROL!$C$42, 23.0958, 23.0958) * CHOOSE(CONTROL!$C$21, $C$9, 100%, $E$9)</f>
        <v>23.095800000000001</v>
      </c>
      <c r="I791" s="10">
        <f>CHOOSE(CONTROL!$C$42, 23.0301, 23.0301)* CHOOSE(CONTROL!$C$21, $C$9, 100%, $E$9)</f>
        <v>23.030100000000001</v>
      </c>
      <c r="J791" s="10">
        <f>CHOOSE(CONTROL!$C$42, 23.0057, 23.0057)* CHOOSE(CONTROL!$C$21, $C$9, 100%, $E$9)</f>
        <v>23.005700000000001</v>
      </c>
      <c r="K791" s="10">
        <f>CHOOSE(CONTROL!$C$42, 22.5128, 22.5128) * CHOOSE(CONTROL!$C$21, $C$9, 100%, $E$9)</f>
        <v>22.512799999999999</v>
      </c>
      <c r="L791" s="10">
        <f>CHOOSE(CONTROL!$C$42, 23.6828, 23.6828) * CHOOSE(CONTROL!$C$21, $C$9, 100%, $E$9)</f>
        <v>23.6828</v>
      </c>
      <c r="M791" s="10">
        <f>CHOOSE(CONTROL!$C$42, 22.7874, 22.7874) * CHOOSE(CONTROL!$C$21, $C$9, 100%, $E$9)</f>
        <v>22.787400000000002</v>
      </c>
      <c r="N791" s="10">
        <f>CHOOSE(CONTROL!$C$42, 22.8036, 22.8036) * CHOOSE(CONTROL!$C$21, $C$9, 100%, $E$9)</f>
        <v>22.803599999999999</v>
      </c>
      <c r="O791" s="10">
        <f>CHOOSE(CONTROL!$C$42, 22.8765, 22.8765) * CHOOSE(CONTROL!$C$21, $C$9, 100%, $E$9)</f>
        <v>22.8765</v>
      </c>
      <c r="P791" s="10">
        <f>CHOOSE(CONTROL!$C$42, 22.8116, 22.8116) * CHOOSE(CONTROL!$C$21, $C$9, 100%, $E$9)</f>
        <v>22.811599999999999</v>
      </c>
      <c r="Q791" s="10">
        <f>CHOOSE(CONTROL!$C$42, 23.4718, 23.4718) * CHOOSE(CONTROL!$C$21, $C$9, 100%, $E$9)</f>
        <v>23.471800000000002</v>
      </c>
      <c r="R791" s="10">
        <f>CHOOSE(CONTROL!$C$42, 24.1175, 24.1175) * CHOOSE(CONTROL!$C$21, $C$9, 100%, $E$9)</f>
        <v>24.1175</v>
      </c>
      <c r="S791" s="10">
        <f>CHOOSE(CONTROL!$C$42, 22.3753, 22.3753) * CHOOSE(CONTROL!$C$21, $C$9, 100%, $E$9)</f>
        <v>22.375299999999999</v>
      </c>
      <c r="T7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38">
        <f>(1000*CHOOSE(CONTROL!$C$42, 695, 695)*CHOOSE(CONTROL!$C$42, 0.5599, 0.5599)*CHOOSE(CONTROL!$C$42, 30, 30))/1000000</f>
        <v>11.673914999999997</v>
      </c>
      <c r="V791" s="38">
        <f>(1000*CHOOSE(CONTROL!$C$42, 500, 500)*CHOOSE(CONTROL!$C$42, 0.275, 0.275)*CHOOSE(CONTROL!$C$42, 30, 30))/1000000</f>
        <v>4.125</v>
      </c>
      <c r="W791" s="38">
        <f>(1000*CHOOSE(CONTROL!$C$42, 0.1146, 0.1146)*CHOOSE(CONTROL!$C$42, 121.5, 121.5)*CHOOSE(CONTROL!$C$42, 30, 30))/1000000</f>
        <v>0.417717</v>
      </c>
      <c r="X791" s="38">
        <f>(30*0.1790888*100000/1000000)+(30*0.2374*100000/1000000)</f>
        <v>1.2494664</v>
      </c>
      <c r="Y791" s="38">
        <f>(1000*600*CHOOSE(CONTROL!$C$42, 1.0585, 1.0585)*CHOOSE(CONTROL!$C$42, 30, 30))/1000000</f>
        <v>19.053000000000001</v>
      </c>
      <c r="Z791" s="38"/>
      <c r="AA791" s="10"/>
      <c r="AB791" s="39"/>
      <c r="AC791" s="33">
        <f>(B791*122.58+C791*297.941+D791*89.177+E791*40.302+F791*40+G791*160+H791*0+I791*100+J791*300)/(122.58+297.941+89.177+40.302+0+40+160+100+300)</f>
        <v>23.035115479217392</v>
      </c>
      <c r="AD791" s="27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22.832197841726618</v>
      </c>
    </row>
    <row r="792" spans="1:30" ht="15.75" x14ac:dyDescent="0.25">
      <c r="A792" s="13">
        <v>65380</v>
      </c>
      <c r="B792" s="10">
        <f>CHOOSE(CONTROL!$C$42, 24.6143, 24.6143) * CHOOSE(CONTROL!$C$21, $C$9, 100%, $E$9)</f>
        <v>24.6143</v>
      </c>
      <c r="C792" s="10">
        <f>CHOOSE(CONTROL!$C$42, 24.6192, 24.6192) * CHOOSE(CONTROL!$C$21, $C$9, 100%, $E$9)</f>
        <v>24.619199999999999</v>
      </c>
      <c r="D792" s="10">
        <f>CHOOSE(CONTROL!$C$42, 24.6437, 24.6437) * CHOOSE(CONTROL!$C$21, $C$9, 100%, $E$9)</f>
        <v>24.643699999999999</v>
      </c>
      <c r="E792" s="10">
        <f>CHOOSE(CONTROL!$C$42, 24.6775, 24.6775) * CHOOSE(CONTROL!$C$21, $C$9, 100%, $E$9)</f>
        <v>24.677499999999998</v>
      </c>
      <c r="F792" s="10">
        <f>CHOOSE(CONTROL!$C$42, 24.5859, 24.5859)*CHOOSE(CONTROL!$C$21, $C$9, 100%, $E$9)</f>
        <v>24.585899999999999</v>
      </c>
      <c r="G792" s="10">
        <f>CHOOSE(CONTROL!$C$42, 24.6029, 24.6029)*CHOOSE(CONTROL!$C$21, $C$9, 100%, $E$9)</f>
        <v>24.602900000000002</v>
      </c>
      <c r="H792" s="10">
        <f>CHOOSE(CONTROL!$C$42, 24.6666, 24.6666) * CHOOSE(CONTROL!$C$21, $C$9, 100%, $E$9)</f>
        <v>24.666599999999999</v>
      </c>
      <c r="I792" s="10">
        <f>CHOOSE(CONTROL!$C$42, 24.601, 24.601)* CHOOSE(CONTROL!$C$21, $C$9, 100%, $E$9)</f>
        <v>24.600999999999999</v>
      </c>
      <c r="J792" s="10">
        <f>CHOOSE(CONTROL!$C$42, 24.5789, 24.5789)* CHOOSE(CONTROL!$C$21, $C$9, 100%, $E$9)</f>
        <v>24.578900000000001</v>
      </c>
      <c r="K792" s="10">
        <f>CHOOSE(CONTROL!$C$42, 24.044, 24.044) * CHOOSE(CONTROL!$C$21, $C$9, 100%, $E$9)</f>
        <v>24.044</v>
      </c>
      <c r="L792" s="10">
        <f>CHOOSE(CONTROL!$C$42, 25.2536, 25.2536) * CHOOSE(CONTROL!$C$21, $C$9, 100%, $E$9)</f>
        <v>25.253599999999999</v>
      </c>
      <c r="M792" s="10">
        <f>CHOOSE(CONTROL!$C$42, 24.3447, 24.3447) * CHOOSE(CONTROL!$C$21, $C$9, 100%, $E$9)</f>
        <v>24.3447</v>
      </c>
      <c r="N792" s="10">
        <f>CHOOSE(CONTROL!$C$42, 24.3615, 24.3615) * CHOOSE(CONTROL!$C$21, $C$9, 100%, $E$9)</f>
        <v>24.361499999999999</v>
      </c>
      <c r="O792" s="10">
        <f>CHOOSE(CONTROL!$C$42, 24.4315, 24.4315) * CHOOSE(CONTROL!$C$21, $C$9, 100%, $E$9)</f>
        <v>24.4315</v>
      </c>
      <c r="P792" s="10">
        <f>CHOOSE(CONTROL!$C$42, 24.3666, 24.3666) * CHOOSE(CONTROL!$C$21, $C$9, 100%, $E$9)</f>
        <v>24.366599999999998</v>
      </c>
      <c r="Q792" s="10">
        <f>CHOOSE(CONTROL!$C$42, 25.0268, 25.0268) * CHOOSE(CONTROL!$C$21, $C$9, 100%, $E$9)</f>
        <v>25.026800000000001</v>
      </c>
      <c r="R792" s="10">
        <f>CHOOSE(CONTROL!$C$42, 25.6764, 25.6764) * CHOOSE(CONTROL!$C$21, $C$9, 100%, $E$9)</f>
        <v>25.676400000000001</v>
      </c>
      <c r="S792" s="10">
        <f>CHOOSE(CONTROL!$C$42, 23.9008, 23.9008) * CHOOSE(CONTROL!$C$21, $C$9, 100%, $E$9)</f>
        <v>23.9008</v>
      </c>
      <c r="T7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38">
        <f>(1000*CHOOSE(CONTROL!$C$42, 695, 695)*CHOOSE(CONTROL!$C$42, 0.5599, 0.5599)*CHOOSE(CONTROL!$C$42, 31, 31))/1000000</f>
        <v>12.063045499999998</v>
      </c>
      <c r="V792" s="38">
        <f>(1000*CHOOSE(CONTROL!$C$42, 500, 500)*CHOOSE(CONTROL!$C$42, 0.275, 0.275)*CHOOSE(CONTROL!$C$42, 31, 31))/1000000</f>
        <v>4.2625000000000002</v>
      </c>
      <c r="W792" s="38">
        <f>(1000*CHOOSE(CONTROL!$C$42, 0.1146, 0.1146)*CHOOSE(CONTROL!$C$42, 121.5, 121.5)*CHOOSE(CONTROL!$C$42, 31, 31))/1000000</f>
        <v>0.43164089999999994</v>
      </c>
      <c r="X792" s="38">
        <f>(31*0.1790888*100000/1000000)+(31*0.2374*100000/1000000)</f>
        <v>1.2911152800000001</v>
      </c>
      <c r="Y792" s="38">
        <f>(1000*600*CHOOSE(CONTROL!$C$42, 1.0585, 1.0585)*CHOOSE(CONTROL!$C$42, 31, 31))/1000000</f>
        <v>19.688099999999999</v>
      </c>
      <c r="Z792" s="38"/>
      <c r="AA792" s="10"/>
      <c r="AB792" s="39"/>
      <c r="AC792" s="33">
        <f>(B792*122.58+C792*297.941+D792*89.177+E792*40.302+F792*40+G792*160+H792*0+I792*100+J792*300)/(122.58+297.941+89.177+40.302+0+40+160+100+300)</f>
        <v>24.607098957478264</v>
      </c>
      <c r="AD792" s="27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24.388158992805753</v>
      </c>
    </row>
    <row r="793" spans="1:30" ht="15.75" x14ac:dyDescent="0.25">
      <c r="A793" s="13">
        <v>65411</v>
      </c>
      <c r="B793" s="10">
        <f>CHOOSE(CONTROL!$C$42, 26.2754, 26.2754) * CHOOSE(CONTROL!$C$21, $C$9, 100%, $E$9)</f>
        <v>26.275400000000001</v>
      </c>
      <c r="C793" s="10">
        <f>CHOOSE(CONTROL!$C$42, 26.2803, 26.2803) * CHOOSE(CONTROL!$C$21, $C$9, 100%, $E$9)</f>
        <v>26.2803</v>
      </c>
      <c r="D793" s="10">
        <f>CHOOSE(CONTROL!$C$42, 26.3048, 26.3048) * CHOOSE(CONTROL!$C$21, $C$9, 100%, $E$9)</f>
        <v>26.3048</v>
      </c>
      <c r="E793" s="10">
        <f>CHOOSE(CONTROL!$C$42, 26.3386, 26.3386) * CHOOSE(CONTROL!$C$21, $C$9, 100%, $E$9)</f>
        <v>26.3386</v>
      </c>
      <c r="F793" s="10">
        <f>CHOOSE(CONTROL!$C$42, 26.2583, 26.2583)*CHOOSE(CONTROL!$C$21, $C$9, 100%, $E$9)</f>
        <v>26.258299999999998</v>
      </c>
      <c r="G793" s="10">
        <f>CHOOSE(CONTROL!$C$42, 26.277, 26.277)*CHOOSE(CONTROL!$C$21, $C$9, 100%, $E$9)</f>
        <v>26.277000000000001</v>
      </c>
      <c r="H793" s="10">
        <f>CHOOSE(CONTROL!$C$42, 26.3278, 26.3278) * CHOOSE(CONTROL!$C$21, $C$9, 100%, $E$9)</f>
        <v>26.3278</v>
      </c>
      <c r="I793" s="10">
        <f>CHOOSE(CONTROL!$C$42, 26.2699, 26.2699)* CHOOSE(CONTROL!$C$21, $C$9, 100%, $E$9)</f>
        <v>26.2699</v>
      </c>
      <c r="J793" s="10">
        <f>CHOOSE(CONTROL!$C$42, 26.2513, 26.2513)* CHOOSE(CONTROL!$C$21, $C$9, 100%, $E$9)</f>
        <v>26.251300000000001</v>
      </c>
      <c r="K793" s="10">
        <f>CHOOSE(CONTROL!$C$42, 25.6789, 25.6789) * CHOOSE(CONTROL!$C$21, $C$9, 100%, $E$9)</f>
        <v>25.678899999999999</v>
      </c>
      <c r="L793" s="10">
        <f>CHOOSE(CONTROL!$C$42, 26.9148, 26.9148) * CHOOSE(CONTROL!$C$21, $C$9, 100%, $E$9)</f>
        <v>26.9148</v>
      </c>
      <c r="M793" s="10">
        <f>CHOOSE(CONTROL!$C$42, 26.0002, 26.0002) * CHOOSE(CONTROL!$C$21, $C$9, 100%, $E$9)</f>
        <v>26.0002</v>
      </c>
      <c r="N793" s="10">
        <f>CHOOSE(CONTROL!$C$42, 26.0187, 26.0187) * CHOOSE(CONTROL!$C$21, $C$9, 100%, $E$9)</f>
        <v>26.018699999999999</v>
      </c>
      <c r="O793" s="10">
        <f>CHOOSE(CONTROL!$C$42, 26.0759, 26.0759) * CHOOSE(CONTROL!$C$21, $C$9, 100%, $E$9)</f>
        <v>26.075900000000001</v>
      </c>
      <c r="P793" s="10">
        <f>CHOOSE(CONTROL!$C$42, 26.0186, 26.0186) * CHOOSE(CONTROL!$C$21, $C$9, 100%, $E$9)</f>
        <v>26.018599999999999</v>
      </c>
      <c r="Q793" s="10">
        <f>CHOOSE(CONTROL!$C$42, 26.6712, 26.6712) * CHOOSE(CONTROL!$C$21, $C$9, 100%, $E$9)</f>
        <v>26.671199999999999</v>
      </c>
      <c r="R793" s="10">
        <f>CHOOSE(CONTROL!$C$42, 27.3249, 27.3249) * CHOOSE(CONTROL!$C$21, $C$9, 100%, $E$9)</f>
        <v>27.3249</v>
      </c>
      <c r="S793" s="10">
        <f>CHOOSE(CONTROL!$C$42, 25.5139, 25.5139) * CHOOSE(CONTROL!$C$21, $C$9, 100%, $E$9)</f>
        <v>25.5139</v>
      </c>
      <c r="T7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38">
        <f>(1000*CHOOSE(CONTROL!$C$42, 695, 695)*CHOOSE(CONTROL!$C$42, 0.5599, 0.5599)*CHOOSE(CONTROL!$C$42, 31, 31))/1000000</f>
        <v>12.063045499999998</v>
      </c>
      <c r="V793" s="38">
        <f>(1000*CHOOSE(CONTROL!$C$42, 500, 500)*CHOOSE(CONTROL!$C$42, 0.275, 0.275)*CHOOSE(CONTROL!$C$42, 31, 31))/1000000</f>
        <v>4.2625000000000002</v>
      </c>
      <c r="W793" s="38">
        <f>(1000*CHOOSE(CONTROL!$C$42, 0.1146, 0.1146)*CHOOSE(CONTROL!$C$42, 121.5, 121.5)*CHOOSE(CONTROL!$C$42, 31, 31))/1000000</f>
        <v>0.43164089999999994</v>
      </c>
      <c r="X793" s="38">
        <f>(31*0.1790888*100000/1000000)+(31*0.2374*100000/1000000)</f>
        <v>1.2911152800000001</v>
      </c>
      <c r="Y793" s="38">
        <f>(1000*600*CHOOSE(CONTROL!$C$42, 1.0585, 1.0585)*CHOOSE(CONTROL!$C$42, 31, 31))/1000000</f>
        <v>19.688099999999999</v>
      </c>
      <c r="Z793" s="38"/>
      <c r="AA793" s="10"/>
      <c r="AB793" s="39"/>
      <c r="AC793" s="33">
        <f>(B793*122.58+C793*297.941+D793*89.177+E793*40.302+F793*40+G793*160+H793*0+I793*100+J793*300)/(122.58+297.941+89.177+40.302+0+40+160+100+300)</f>
        <v>26.274026783565219</v>
      </c>
      <c r="AD793" s="27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26.038222302158275</v>
      </c>
    </row>
    <row r="794" spans="1:30" ht="15.75" x14ac:dyDescent="0.25">
      <c r="A794" s="13">
        <v>65439</v>
      </c>
      <c r="B794" s="10">
        <f>CHOOSE(CONTROL!$C$42, 26.7431, 26.7431) * CHOOSE(CONTROL!$C$21, $C$9, 100%, $E$9)</f>
        <v>26.743099999999998</v>
      </c>
      <c r="C794" s="10">
        <f>CHOOSE(CONTROL!$C$42, 26.748, 26.748) * CHOOSE(CONTROL!$C$21, $C$9, 100%, $E$9)</f>
        <v>26.748000000000001</v>
      </c>
      <c r="D794" s="10">
        <f>CHOOSE(CONTROL!$C$42, 26.7725, 26.7725) * CHOOSE(CONTROL!$C$21, $C$9, 100%, $E$9)</f>
        <v>26.772500000000001</v>
      </c>
      <c r="E794" s="10">
        <f>CHOOSE(CONTROL!$C$42, 26.8063, 26.8063) * CHOOSE(CONTROL!$C$21, $C$9, 100%, $E$9)</f>
        <v>26.8063</v>
      </c>
      <c r="F794" s="10">
        <f>CHOOSE(CONTROL!$C$42, 26.7253, 26.7253)*CHOOSE(CONTROL!$C$21, $C$9, 100%, $E$9)</f>
        <v>26.725300000000001</v>
      </c>
      <c r="G794" s="10">
        <f>CHOOSE(CONTROL!$C$42, 26.7438, 26.7438)*CHOOSE(CONTROL!$C$21, $C$9, 100%, $E$9)</f>
        <v>26.7438</v>
      </c>
      <c r="H794" s="10">
        <f>CHOOSE(CONTROL!$C$42, 26.7955, 26.7955) * CHOOSE(CONTROL!$C$21, $C$9, 100%, $E$9)</f>
        <v>26.795500000000001</v>
      </c>
      <c r="I794" s="10">
        <f>CHOOSE(CONTROL!$C$42, 26.7376, 26.7376)* CHOOSE(CONTROL!$C$21, $C$9, 100%, $E$9)</f>
        <v>26.7376</v>
      </c>
      <c r="J794" s="10">
        <f>CHOOSE(CONTROL!$C$42, 26.7183, 26.7183)* CHOOSE(CONTROL!$C$21, $C$9, 100%, $E$9)</f>
        <v>26.718299999999999</v>
      </c>
      <c r="K794" s="10">
        <f>CHOOSE(CONTROL!$C$42, 26.1319, 26.1319) * CHOOSE(CONTROL!$C$21, $C$9, 100%, $E$9)</f>
        <v>26.131900000000002</v>
      </c>
      <c r="L794" s="10">
        <f>CHOOSE(CONTROL!$C$42, 27.3825, 27.3825) * CHOOSE(CONTROL!$C$21, $C$9, 100%, $E$9)</f>
        <v>27.3825</v>
      </c>
      <c r="M794" s="10">
        <f>CHOOSE(CONTROL!$C$42, 26.4625, 26.4625) * CHOOSE(CONTROL!$C$21, $C$9, 100%, $E$9)</f>
        <v>26.462499999999999</v>
      </c>
      <c r="N794" s="10">
        <f>CHOOSE(CONTROL!$C$42, 26.4808, 26.4808) * CHOOSE(CONTROL!$C$21, $C$9, 100%, $E$9)</f>
        <v>26.480799999999999</v>
      </c>
      <c r="O794" s="10">
        <f>CHOOSE(CONTROL!$C$42, 26.5389, 26.5389) * CHOOSE(CONTROL!$C$21, $C$9, 100%, $E$9)</f>
        <v>26.538900000000002</v>
      </c>
      <c r="P794" s="10">
        <f>CHOOSE(CONTROL!$C$42, 26.4816, 26.4816) * CHOOSE(CONTROL!$C$21, $C$9, 100%, $E$9)</f>
        <v>26.4816</v>
      </c>
      <c r="Q794" s="10">
        <f>CHOOSE(CONTROL!$C$42, 27.1342, 27.1342) * CHOOSE(CONTROL!$C$21, $C$9, 100%, $E$9)</f>
        <v>27.1342</v>
      </c>
      <c r="R794" s="10">
        <f>CHOOSE(CONTROL!$C$42, 27.789, 27.789) * CHOOSE(CONTROL!$C$21, $C$9, 100%, $E$9)</f>
        <v>27.789000000000001</v>
      </c>
      <c r="S794" s="10">
        <f>CHOOSE(CONTROL!$C$42, 25.9681, 25.9681) * CHOOSE(CONTROL!$C$21, $C$9, 100%, $E$9)</f>
        <v>25.9681</v>
      </c>
      <c r="T7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38">
        <f>(1000*CHOOSE(CONTROL!$C$42, 695, 695)*CHOOSE(CONTROL!$C$42, 0.5599, 0.5599)*CHOOSE(CONTROL!$C$42, 28, 28))/1000000</f>
        <v>10.895653999999999</v>
      </c>
      <c r="V794" s="38">
        <f>(1000*CHOOSE(CONTROL!$C$42, 500, 500)*CHOOSE(CONTROL!$C$42, 0.275, 0.275)*CHOOSE(CONTROL!$C$42, 28, 28))/1000000</f>
        <v>3.85</v>
      </c>
      <c r="W794" s="38">
        <f>(1000*CHOOSE(CONTROL!$C$42, 0.1146, 0.1146)*CHOOSE(CONTROL!$C$42, 121.5, 121.5)*CHOOSE(CONTROL!$C$42, 28, 28))/1000000</f>
        <v>0.38986920000000003</v>
      </c>
      <c r="X794" s="38">
        <f>(28*0.1790888*100000/1000000)+(28*0.2374*100000/1000000)</f>
        <v>1.16616864</v>
      </c>
      <c r="Y794" s="38">
        <f>(1000*600*CHOOSE(CONTROL!$C$42, 1.0585, 1.0585)*CHOOSE(CONTROL!$C$42, 28, 28))/1000000</f>
        <v>17.782800000000002</v>
      </c>
      <c r="Z794" s="38"/>
      <c r="AA794" s="10"/>
      <c r="AB794" s="39"/>
      <c r="AC794" s="33">
        <f>(B794*122.58+C794*297.941+D794*89.177+E794*40.302+F794*40+G794*160+H794*0+I794*100+J794*300)/(122.58+297.941+89.177+40.302+0+40+160+100+300)</f>
        <v>26.741394609652172</v>
      </c>
      <c r="AD794" s="27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26.500928776978416</v>
      </c>
    </row>
    <row r="795" spans="1:30" ht="15.75" x14ac:dyDescent="0.25">
      <c r="A795" s="13">
        <v>65470</v>
      </c>
      <c r="B795" s="10">
        <f>CHOOSE(CONTROL!$C$42, 25.9839, 25.9839) * CHOOSE(CONTROL!$C$21, $C$9, 100%, $E$9)</f>
        <v>25.983899999999998</v>
      </c>
      <c r="C795" s="10">
        <f>CHOOSE(CONTROL!$C$42, 25.9889, 25.9889) * CHOOSE(CONTROL!$C$21, $C$9, 100%, $E$9)</f>
        <v>25.988900000000001</v>
      </c>
      <c r="D795" s="10">
        <f>CHOOSE(CONTROL!$C$42, 26.0133, 26.0133) * CHOOSE(CONTROL!$C$21, $C$9, 100%, $E$9)</f>
        <v>26.013300000000001</v>
      </c>
      <c r="E795" s="10">
        <f>CHOOSE(CONTROL!$C$42, 26.0471, 26.0471) * CHOOSE(CONTROL!$C$21, $C$9, 100%, $E$9)</f>
        <v>26.0471</v>
      </c>
      <c r="F795" s="10">
        <f>CHOOSE(CONTROL!$C$42, 25.9646, 25.9646)*CHOOSE(CONTROL!$C$21, $C$9, 100%, $E$9)</f>
        <v>25.964600000000001</v>
      </c>
      <c r="G795" s="10">
        <f>CHOOSE(CONTROL!$C$42, 25.9827, 25.9827)*CHOOSE(CONTROL!$C$21, $C$9, 100%, $E$9)</f>
        <v>25.982700000000001</v>
      </c>
      <c r="H795" s="10">
        <f>CHOOSE(CONTROL!$C$42, 26.0363, 26.0363) * CHOOSE(CONTROL!$C$21, $C$9, 100%, $E$9)</f>
        <v>26.036300000000001</v>
      </c>
      <c r="I795" s="10">
        <f>CHOOSE(CONTROL!$C$42, 25.9784, 25.9784)* CHOOSE(CONTROL!$C$21, $C$9, 100%, $E$9)</f>
        <v>25.978400000000001</v>
      </c>
      <c r="J795" s="10">
        <f>CHOOSE(CONTROL!$C$42, 25.9576, 25.9576)* CHOOSE(CONTROL!$C$21, $C$9, 100%, $E$9)</f>
        <v>25.957599999999999</v>
      </c>
      <c r="K795" s="10">
        <f>CHOOSE(CONTROL!$C$42, 25.3909, 25.3909) * CHOOSE(CONTROL!$C$21, $C$9, 100%, $E$9)</f>
        <v>25.390899999999998</v>
      </c>
      <c r="L795" s="10">
        <f>CHOOSE(CONTROL!$C$42, 26.6233, 26.6233) * CHOOSE(CONTROL!$C$21, $C$9, 100%, $E$9)</f>
        <v>26.6233</v>
      </c>
      <c r="M795" s="10">
        <f>CHOOSE(CONTROL!$C$42, 25.7095, 25.7095) * CHOOSE(CONTROL!$C$21, $C$9, 100%, $E$9)</f>
        <v>25.709499999999998</v>
      </c>
      <c r="N795" s="10">
        <f>CHOOSE(CONTROL!$C$42, 25.7274, 25.7274) * CHOOSE(CONTROL!$C$21, $C$9, 100%, $E$9)</f>
        <v>25.727399999999999</v>
      </c>
      <c r="O795" s="10">
        <f>CHOOSE(CONTROL!$C$42, 25.7874, 25.7874) * CHOOSE(CONTROL!$C$21, $C$9, 100%, $E$9)</f>
        <v>25.787400000000002</v>
      </c>
      <c r="P795" s="10">
        <f>CHOOSE(CONTROL!$C$42, 25.7301, 25.7301) * CHOOSE(CONTROL!$C$21, $C$9, 100%, $E$9)</f>
        <v>25.7301</v>
      </c>
      <c r="Q795" s="10">
        <f>CHOOSE(CONTROL!$C$42, 26.3827, 26.3827) * CHOOSE(CONTROL!$C$21, $C$9, 100%, $E$9)</f>
        <v>26.3827</v>
      </c>
      <c r="R795" s="10">
        <f>CHOOSE(CONTROL!$C$42, 27.0356, 27.0356) * CHOOSE(CONTROL!$C$21, $C$9, 100%, $E$9)</f>
        <v>27.035599999999999</v>
      </c>
      <c r="S795" s="10">
        <f>CHOOSE(CONTROL!$C$42, 25.2308, 25.2308) * CHOOSE(CONTROL!$C$21, $C$9, 100%, $E$9)</f>
        <v>25.230799999999999</v>
      </c>
      <c r="T7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38">
        <f>(1000*CHOOSE(CONTROL!$C$42, 695, 695)*CHOOSE(CONTROL!$C$42, 0.5599, 0.5599)*CHOOSE(CONTROL!$C$42, 31, 31))/1000000</f>
        <v>12.063045499999998</v>
      </c>
      <c r="V795" s="38">
        <f>(1000*CHOOSE(CONTROL!$C$42, 500, 500)*CHOOSE(CONTROL!$C$42, 0.275, 0.275)*CHOOSE(CONTROL!$C$42, 31, 31))/1000000</f>
        <v>4.2625000000000002</v>
      </c>
      <c r="W795" s="38">
        <f>(1000*CHOOSE(CONTROL!$C$42, 0.1146, 0.1146)*CHOOSE(CONTROL!$C$42, 121.5, 121.5)*CHOOSE(CONTROL!$C$42, 31, 31))/1000000</f>
        <v>0.43164089999999994</v>
      </c>
      <c r="X795" s="38">
        <f>(31*0.1790888*100000/1000000)+(31*0.2374*100000/1000000)</f>
        <v>1.2911152800000001</v>
      </c>
      <c r="Y795" s="38">
        <f>(1000*600*CHOOSE(CONTROL!$C$42, 1.0585, 1.0585)*CHOOSE(CONTROL!$C$42, 31, 31))/1000000</f>
        <v>19.688099999999999</v>
      </c>
      <c r="Z795" s="38"/>
      <c r="AA795" s="10"/>
      <c r="AB795" s="39"/>
      <c r="AC795" s="33">
        <f>(B795*122.58+C795*297.941+D795*89.177+E795*40.302+F795*40+G795*160+H795*0+I795*100+J795*300)/(122.58+297.941+89.177+40.302+0+40+160+100+300)</f>
        <v>25.981512691478265</v>
      </c>
      <c r="AD795" s="27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25.748801438848922</v>
      </c>
    </row>
    <row r="796" spans="1:30" ht="15.75" x14ac:dyDescent="0.25">
      <c r="A796" s="13">
        <v>65500</v>
      </c>
      <c r="B796" s="10">
        <f>CHOOSE(CONTROL!$C$42, 25.9069, 25.9069) * CHOOSE(CONTROL!$C$21, $C$9, 100%, $E$9)</f>
        <v>25.9069</v>
      </c>
      <c r="C796" s="10">
        <f>CHOOSE(CONTROL!$C$42, 25.9113, 25.9113) * CHOOSE(CONTROL!$C$21, $C$9, 100%, $E$9)</f>
        <v>25.911300000000001</v>
      </c>
      <c r="D796" s="10">
        <f>CHOOSE(CONTROL!$C$42, 26.0914, 26.0914) * CHOOSE(CONTROL!$C$21, $C$9, 100%, $E$9)</f>
        <v>26.0914</v>
      </c>
      <c r="E796" s="10">
        <f>CHOOSE(CONTROL!$C$42, 26.1232, 26.1232) * CHOOSE(CONTROL!$C$21, $C$9, 100%, $E$9)</f>
        <v>26.123200000000001</v>
      </c>
      <c r="F796" s="10">
        <f>CHOOSE(CONTROL!$C$42, 25.8722, 25.8722)*CHOOSE(CONTROL!$C$21, $C$9, 100%, $E$9)</f>
        <v>25.872199999999999</v>
      </c>
      <c r="G796" s="10">
        <f>CHOOSE(CONTROL!$C$42, 25.8885, 25.8885)*CHOOSE(CONTROL!$C$21, $C$9, 100%, $E$9)</f>
        <v>25.888500000000001</v>
      </c>
      <c r="H796" s="10">
        <f>CHOOSE(CONTROL!$C$42, 26.113, 26.113) * CHOOSE(CONTROL!$C$21, $C$9, 100%, $E$9)</f>
        <v>26.113</v>
      </c>
      <c r="I796" s="10">
        <f>CHOOSE(CONTROL!$C$42, 25.8929, 25.8929)* CHOOSE(CONTROL!$C$21, $C$9, 100%, $E$9)</f>
        <v>25.892900000000001</v>
      </c>
      <c r="J796" s="10">
        <f>CHOOSE(CONTROL!$C$42, 25.8652, 25.8652)* CHOOSE(CONTROL!$C$21, $C$9, 100%, $E$9)</f>
        <v>25.865200000000002</v>
      </c>
      <c r="K796" s="10">
        <f>CHOOSE(CONTROL!$C$42, 25.2928, 25.2928) * CHOOSE(CONTROL!$C$21, $C$9, 100%, $E$9)</f>
        <v>25.2928</v>
      </c>
      <c r="L796" s="10">
        <f>CHOOSE(CONTROL!$C$42, 26.7, 26.7) * CHOOSE(CONTROL!$C$21, $C$9, 100%, $E$9)</f>
        <v>26.7</v>
      </c>
      <c r="M796" s="10">
        <f>CHOOSE(CONTROL!$C$42, 25.618, 25.618) * CHOOSE(CONTROL!$C$21, $C$9, 100%, $E$9)</f>
        <v>25.617999999999999</v>
      </c>
      <c r="N796" s="10">
        <f>CHOOSE(CONTROL!$C$42, 25.6341, 25.6341) * CHOOSE(CONTROL!$C$21, $C$9, 100%, $E$9)</f>
        <v>25.6341</v>
      </c>
      <c r="O796" s="10">
        <f>CHOOSE(CONTROL!$C$42, 25.8633, 25.8633) * CHOOSE(CONTROL!$C$21, $C$9, 100%, $E$9)</f>
        <v>25.863299999999999</v>
      </c>
      <c r="P796" s="10">
        <f>CHOOSE(CONTROL!$C$42, 25.6454, 25.6454) * CHOOSE(CONTROL!$C$21, $C$9, 100%, $E$9)</f>
        <v>25.645399999999999</v>
      </c>
      <c r="Q796" s="10">
        <f>CHOOSE(CONTROL!$C$42, 26.4586, 26.4586) * CHOOSE(CONTROL!$C$21, $C$9, 100%, $E$9)</f>
        <v>26.458600000000001</v>
      </c>
      <c r="R796" s="10">
        <f>CHOOSE(CONTROL!$C$42, 27.1117, 27.1117) * CHOOSE(CONTROL!$C$21, $C$9, 100%, $E$9)</f>
        <v>27.111699999999999</v>
      </c>
      <c r="S796" s="10">
        <f>CHOOSE(CONTROL!$C$42, 25.1553, 25.1553) * CHOOSE(CONTROL!$C$21, $C$9, 100%, $E$9)</f>
        <v>25.1553</v>
      </c>
      <c r="T7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38">
        <f>(1000*CHOOSE(CONTROL!$C$42, 695, 695)*CHOOSE(CONTROL!$C$42, 0.5599, 0.5599)*CHOOSE(CONTROL!$C$42, 30, 30))/1000000</f>
        <v>11.673914999999997</v>
      </c>
      <c r="V796" s="38">
        <f>(1000*CHOOSE(CONTROL!$C$42, 500, 500)*CHOOSE(CONTROL!$C$42, 0.275, 0.275)*CHOOSE(CONTROL!$C$42, 30, 30))/1000000</f>
        <v>4.125</v>
      </c>
      <c r="W796" s="38">
        <f>(1000*CHOOSE(CONTROL!$C$42, 0.1146, 0.1146)*CHOOSE(CONTROL!$C$42, 121.5, 121.5)*CHOOSE(CONTROL!$C$42, 30, 30))/1000000</f>
        <v>0.417717</v>
      </c>
      <c r="X796" s="38">
        <f>(30*0.1790888*245000/1000000)+(30*0.2374*100000/1000000)</f>
        <v>2.0285026799999999</v>
      </c>
      <c r="Y796" s="38">
        <f>(1000*600*CHOOSE(CONTROL!$C$42, 1.0585, 1.0585)*CHOOSE(CONTROL!$C$42, 30, 30))/1000000</f>
        <v>19.053000000000001</v>
      </c>
      <c r="Z796" s="38"/>
      <c r="AA796" s="10"/>
      <c r="AB796" s="39"/>
      <c r="AC796" s="33">
        <f>(B796*141.293+C796*267.993+D796*115.016+E796*89.698+F796*40+G796*185+H796*0+I796*100+J796*300)/(141.293+267.993+115.016+89.698+0+40+185+100+300)</f>
        <v>25.925543501694918</v>
      </c>
      <c r="AD796" s="27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25.734048201438846</v>
      </c>
    </row>
    <row r="797" spans="1:30" ht="15.75" x14ac:dyDescent="0.25">
      <c r="A797" s="13">
        <v>65531</v>
      </c>
      <c r="B797" s="10">
        <f>CHOOSE(CONTROL!$C$42, 26.1373, 26.1373) * CHOOSE(CONTROL!$C$21, $C$9, 100%, $E$9)</f>
        <v>26.1373</v>
      </c>
      <c r="C797" s="10">
        <f>CHOOSE(CONTROL!$C$42, 26.1452, 26.1452) * CHOOSE(CONTROL!$C$21, $C$9, 100%, $E$9)</f>
        <v>26.145199999999999</v>
      </c>
      <c r="D797" s="10">
        <f>CHOOSE(CONTROL!$C$42, 26.3222, 26.3222) * CHOOSE(CONTROL!$C$21, $C$9, 100%, $E$9)</f>
        <v>26.322199999999999</v>
      </c>
      <c r="E797" s="10">
        <f>CHOOSE(CONTROL!$C$42, 26.3533, 26.3533) * CHOOSE(CONTROL!$C$21, $C$9, 100%, $E$9)</f>
        <v>26.353300000000001</v>
      </c>
      <c r="F797" s="10">
        <f>CHOOSE(CONTROL!$C$42, 26.1007, 26.1007)*CHOOSE(CONTROL!$C$21, $C$9, 100%, $E$9)</f>
        <v>26.1007</v>
      </c>
      <c r="G797" s="10">
        <f>CHOOSE(CONTROL!$C$42, 26.1172, 26.1172)*CHOOSE(CONTROL!$C$21, $C$9, 100%, $E$9)</f>
        <v>26.1172</v>
      </c>
      <c r="H797" s="10">
        <f>CHOOSE(CONTROL!$C$42, 26.342, 26.342) * CHOOSE(CONTROL!$C$21, $C$9, 100%, $E$9)</f>
        <v>26.341999999999999</v>
      </c>
      <c r="I797" s="10">
        <f>CHOOSE(CONTROL!$C$42, 26.1219, 26.1219)* CHOOSE(CONTROL!$C$21, $C$9, 100%, $E$9)</f>
        <v>26.1219</v>
      </c>
      <c r="J797" s="10">
        <f>CHOOSE(CONTROL!$C$42, 26.0937, 26.0937)* CHOOSE(CONTROL!$C$21, $C$9, 100%, $E$9)</f>
        <v>26.093699999999998</v>
      </c>
      <c r="K797" s="10">
        <f>CHOOSE(CONTROL!$C$42, 25.5141, 25.5141) * CHOOSE(CONTROL!$C$21, $C$9, 100%, $E$9)</f>
        <v>25.514099999999999</v>
      </c>
      <c r="L797" s="10">
        <f>CHOOSE(CONTROL!$C$42, 26.929, 26.929) * CHOOSE(CONTROL!$C$21, $C$9, 100%, $E$9)</f>
        <v>26.928999999999998</v>
      </c>
      <c r="M797" s="10">
        <f>CHOOSE(CONTROL!$C$42, 25.8442, 25.8442) * CHOOSE(CONTROL!$C$21, $C$9, 100%, $E$9)</f>
        <v>25.844200000000001</v>
      </c>
      <c r="N797" s="10">
        <f>CHOOSE(CONTROL!$C$42, 25.8605, 25.8605) * CHOOSE(CONTROL!$C$21, $C$9, 100%, $E$9)</f>
        <v>25.860499999999998</v>
      </c>
      <c r="O797" s="10">
        <f>CHOOSE(CONTROL!$C$42, 26.09, 26.09) * CHOOSE(CONTROL!$C$21, $C$9, 100%, $E$9)</f>
        <v>26.09</v>
      </c>
      <c r="P797" s="10">
        <f>CHOOSE(CONTROL!$C$42, 25.8721, 25.8721) * CHOOSE(CONTROL!$C$21, $C$9, 100%, $E$9)</f>
        <v>25.8721</v>
      </c>
      <c r="Q797" s="10">
        <f>CHOOSE(CONTROL!$C$42, 26.6853, 26.6853) * CHOOSE(CONTROL!$C$21, $C$9, 100%, $E$9)</f>
        <v>26.685300000000002</v>
      </c>
      <c r="R797" s="10">
        <f>CHOOSE(CONTROL!$C$42, 27.339, 27.339) * CHOOSE(CONTROL!$C$21, $C$9, 100%, $E$9)</f>
        <v>27.338999999999999</v>
      </c>
      <c r="S797" s="10">
        <f>CHOOSE(CONTROL!$C$42, 25.3777, 25.3777) * CHOOSE(CONTROL!$C$21, $C$9, 100%, $E$9)</f>
        <v>25.377700000000001</v>
      </c>
      <c r="T7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38">
        <f>(1000*CHOOSE(CONTROL!$C$42, 695, 695)*CHOOSE(CONTROL!$C$42, 0.5599, 0.5599)*CHOOSE(CONTROL!$C$42, 31, 31))/1000000</f>
        <v>12.063045499999998</v>
      </c>
      <c r="V797" s="38">
        <f>(1000*CHOOSE(CONTROL!$C$42, 500, 500)*CHOOSE(CONTROL!$C$42, 0.275, 0.275)*CHOOSE(CONTROL!$C$42, 31, 31))/1000000</f>
        <v>4.2625000000000002</v>
      </c>
      <c r="W797" s="38">
        <f>(1000*CHOOSE(CONTROL!$C$42, 0.1146, 0.1146)*CHOOSE(CONTROL!$C$42, 121.5, 121.5)*CHOOSE(CONTROL!$C$42, 31, 31))/1000000</f>
        <v>0.43164089999999994</v>
      </c>
      <c r="X797" s="38">
        <f>(31*0.1790888*245000/1000000)+(31*0.2374*100000/1000000)</f>
        <v>2.0961194359999999</v>
      </c>
      <c r="Y797" s="38">
        <f>(1000*600*CHOOSE(CONTROL!$C$42, 1.0585, 1.0585)*CHOOSE(CONTROL!$C$42, 31, 31))/1000000</f>
        <v>19.688099999999999</v>
      </c>
      <c r="Z797" s="38"/>
      <c r="AA797" s="10"/>
      <c r="AB797" s="39"/>
      <c r="AC797" s="33">
        <f>(B797*194.205+C797*267.466+D797*133.845+E797*53.484+F797*40+G797*185+H797*0+I797*100+J797*300)/(194.205+267.466+133.845+53.484+0+40+185+100+300)</f>
        <v>26.151908293485086</v>
      </c>
      <c r="AD797" s="27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25.960558273381295</v>
      </c>
    </row>
    <row r="798" spans="1:30" ht="15.75" x14ac:dyDescent="0.25">
      <c r="A798" s="13">
        <v>65561</v>
      </c>
      <c r="B798" s="10">
        <f>CHOOSE(CONTROL!$C$42, 26.8786, 26.8786) * CHOOSE(CONTROL!$C$21, $C$9, 100%, $E$9)</f>
        <v>26.878599999999999</v>
      </c>
      <c r="C798" s="10">
        <f>CHOOSE(CONTROL!$C$42, 26.8865, 26.8865) * CHOOSE(CONTROL!$C$21, $C$9, 100%, $E$9)</f>
        <v>26.886500000000002</v>
      </c>
      <c r="D798" s="10">
        <f>CHOOSE(CONTROL!$C$42, 27.0635, 27.0635) * CHOOSE(CONTROL!$C$21, $C$9, 100%, $E$9)</f>
        <v>27.063500000000001</v>
      </c>
      <c r="E798" s="10">
        <f>CHOOSE(CONTROL!$C$42, 27.0946, 27.0946) * CHOOSE(CONTROL!$C$21, $C$9, 100%, $E$9)</f>
        <v>27.0946</v>
      </c>
      <c r="F798" s="10">
        <f>CHOOSE(CONTROL!$C$42, 26.8421, 26.8421)*CHOOSE(CONTROL!$C$21, $C$9, 100%, $E$9)</f>
        <v>26.842099999999999</v>
      </c>
      <c r="G798" s="10">
        <f>CHOOSE(CONTROL!$C$42, 26.8586, 26.8586)*CHOOSE(CONTROL!$C$21, $C$9, 100%, $E$9)</f>
        <v>26.858599999999999</v>
      </c>
      <c r="H798" s="10">
        <f>CHOOSE(CONTROL!$C$42, 27.0832, 27.0832) * CHOOSE(CONTROL!$C$21, $C$9, 100%, $E$9)</f>
        <v>27.083200000000001</v>
      </c>
      <c r="I798" s="10">
        <f>CHOOSE(CONTROL!$C$42, 26.8632, 26.8632)* CHOOSE(CONTROL!$C$21, $C$9, 100%, $E$9)</f>
        <v>26.863199999999999</v>
      </c>
      <c r="J798" s="10">
        <f>CHOOSE(CONTROL!$C$42, 26.8351, 26.8351)* CHOOSE(CONTROL!$C$21, $C$9, 100%, $E$9)</f>
        <v>26.835100000000001</v>
      </c>
      <c r="K798" s="10">
        <f>CHOOSE(CONTROL!$C$42, 26.2347, 26.2347) * CHOOSE(CONTROL!$C$21, $C$9, 100%, $E$9)</f>
        <v>26.2347</v>
      </c>
      <c r="L798" s="10">
        <f>CHOOSE(CONTROL!$C$42, 27.6702, 27.6702) * CHOOSE(CONTROL!$C$21, $C$9, 100%, $E$9)</f>
        <v>27.670200000000001</v>
      </c>
      <c r="M798" s="10">
        <f>CHOOSE(CONTROL!$C$42, 26.5781, 26.5781) * CHOOSE(CONTROL!$C$21, $C$9, 100%, $E$9)</f>
        <v>26.578099999999999</v>
      </c>
      <c r="N798" s="10">
        <f>CHOOSE(CONTROL!$C$42, 26.5945, 26.5945) * CHOOSE(CONTROL!$C$21, $C$9, 100%, $E$9)</f>
        <v>26.5945</v>
      </c>
      <c r="O798" s="10">
        <f>CHOOSE(CONTROL!$C$42, 26.8238, 26.8238) * CHOOSE(CONTROL!$C$21, $C$9, 100%, $E$9)</f>
        <v>26.823799999999999</v>
      </c>
      <c r="P798" s="10">
        <f>CHOOSE(CONTROL!$C$42, 26.6059, 26.6059) * CHOOSE(CONTROL!$C$21, $C$9, 100%, $E$9)</f>
        <v>26.605899999999998</v>
      </c>
      <c r="Q798" s="10">
        <f>CHOOSE(CONTROL!$C$42, 27.4191, 27.4191) * CHOOSE(CONTROL!$C$21, $C$9, 100%, $E$9)</f>
        <v>27.4191</v>
      </c>
      <c r="R798" s="10">
        <f>CHOOSE(CONTROL!$C$42, 28.0746, 28.0746) * CHOOSE(CONTROL!$C$21, $C$9, 100%, $E$9)</f>
        <v>28.0746</v>
      </c>
      <c r="S798" s="10">
        <f>CHOOSE(CONTROL!$C$42, 26.0975, 26.0975) * CHOOSE(CONTROL!$C$21, $C$9, 100%, $E$9)</f>
        <v>26.0975</v>
      </c>
      <c r="T7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38">
        <f>(1000*CHOOSE(CONTROL!$C$42, 695, 695)*CHOOSE(CONTROL!$C$42, 0.5599, 0.5599)*CHOOSE(CONTROL!$C$42, 30, 30))/1000000</f>
        <v>11.673914999999997</v>
      </c>
      <c r="V798" s="38">
        <f>(1000*CHOOSE(CONTROL!$C$42, 500, 500)*CHOOSE(CONTROL!$C$42, 0.275, 0.275)*CHOOSE(CONTROL!$C$42, 30, 30))/1000000</f>
        <v>4.125</v>
      </c>
      <c r="W798" s="38">
        <f>(1000*CHOOSE(CONTROL!$C$42, 0.1146, 0.1146)*CHOOSE(CONTROL!$C$42, 121.5, 121.5)*CHOOSE(CONTROL!$C$42, 30, 30))/1000000</f>
        <v>0.417717</v>
      </c>
      <c r="X798" s="38">
        <f>(30*0.1790888*245000/1000000)+(30*0.2374*100000/1000000)</f>
        <v>2.0285026799999999</v>
      </c>
      <c r="Y798" s="38">
        <f>(1000*600*CHOOSE(CONTROL!$C$42, 1.0585, 1.0585)*CHOOSE(CONTROL!$C$42, 30, 30))/1000000</f>
        <v>19.053000000000001</v>
      </c>
      <c r="Z798" s="38"/>
      <c r="AA798" s="10"/>
      <c r="AB798" s="39"/>
      <c r="AC798" s="33">
        <f>(B798*194.205+C798*267.466+D798*133.845+E798*53.484+F798*40+G798*185+H798*0+I798*100+J798*300)/(194.205+267.466+133.845+53.484+0+40+185+100+300)</f>
        <v>26.893249502276298</v>
      </c>
      <c r="AD798" s="27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26.694404316546759</v>
      </c>
    </row>
    <row r="799" spans="1:30" ht="15.75" x14ac:dyDescent="0.25">
      <c r="A799" s="13">
        <v>65592</v>
      </c>
      <c r="B799" s="10">
        <f>CHOOSE(CONTROL!$C$42, 26.363, 26.363) * CHOOSE(CONTROL!$C$21, $C$9, 100%, $E$9)</f>
        <v>26.363</v>
      </c>
      <c r="C799" s="10">
        <f>CHOOSE(CONTROL!$C$42, 26.3709, 26.3709) * CHOOSE(CONTROL!$C$21, $C$9, 100%, $E$9)</f>
        <v>26.370899999999999</v>
      </c>
      <c r="D799" s="10">
        <f>CHOOSE(CONTROL!$C$42, 26.5479, 26.5479) * CHOOSE(CONTROL!$C$21, $C$9, 100%, $E$9)</f>
        <v>26.547899999999998</v>
      </c>
      <c r="E799" s="10">
        <f>CHOOSE(CONTROL!$C$42, 26.5791, 26.5791) * CHOOSE(CONTROL!$C$21, $C$9, 100%, $E$9)</f>
        <v>26.5791</v>
      </c>
      <c r="F799" s="10">
        <f>CHOOSE(CONTROL!$C$42, 26.3268, 26.3268)*CHOOSE(CONTROL!$C$21, $C$9, 100%, $E$9)</f>
        <v>26.326799999999999</v>
      </c>
      <c r="G799" s="10">
        <f>CHOOSE(CONTROL!$C$42, 26.3434, 26.3434)*CHOOSE(CONTROL!$C$21, $C$9, 100%, $E$9)</f>
        <v>26.343399999999999</v>
      </c>
      <c r="H799" s="10">
        <f>CHOOSE(CONTROL!$C$42, 26.5677, 26.5677) * CHOOSE(CONTROL!$C$21, $C$9, 100%, $E$9)</f>
        <v>26.567699999999999</v>
      </c>
      <c r="I799" s="10">
        <f>CHOOSE(CONTROL!$C$42, 26.3476, 26.3476)* CHOOSE(CONTROL!$C$21, $C$9, 100%, $E$9)</f>
        <v>26.3476</v>
      </c>
      <c r="J799" s="10">
        <f>CHOOSE(CONTROL!$C$42, 26.3198, 26.3198)* CHOOSE(CONTROL!$C$21, $C$9, 100%, $E$9)</f>
        <v>26.319800000000001</v>
      </c>
      <c r="K799" s="10">
        <f>CHOOSE(CONTROL!$C$42, 25.7343, 25.7343) * CHOOSE(CONTROL!$C$21, $C$9, 100%, $E$9)</f>
        <v>25.734300000000001</v>
      </c>
      <c r="L799" s="10">
        <f>CHOOSE(CONTROL!$C$42, 27.1547, 27.1547) * CHOOSE(CONTROL!$C$21, $C$9, 100%, $E$9)</f>
        <v>27.154699999999998</v>
      </c>
      <c r="M799" s="10">
        <f>CHOOSE(CONTROL!$C$42, 26.068, 26.068) * CHOOSE(CONTROL!$C$21, $C$9, 100%, $E$9)</f>
        <v>26.068000000000001</v>
      </c>
      <c r="N799" s="10">
        <f>CHOOSE(CONTROL!$C$42, 26.0845, 26.0845) * CHOOSE(CONTROL!$C$21, $C$9, 100%, $E$9)</f>
        <v>26.084499999999998</v>
      </c>
      <c r="O799" s="10">
        <f>CHOOSE(CONTROL!$C$42, 26.3134, 26.3134) * CHOOSE(CONTROL!$C$21, $C$9, 100%, $E$9)</f>
        <v>26.313400000000001</v>
      </c>
      <c r="P799" s="10">
        <f>CHOOSE(CONTROL!$C$42, 26.0956, 26.0956) * CHOOSE(CONTROL!$C$21, $C$9, 100%, $E$9)</f>
        <v>26.095600000000001</v>
      </c>
      <c r="Q799" s="10">
        <f>CHOOSE(CONTROL!$C$42, 26.9087, 26.9087) * CHOOSE(CONTROL!$C$21, $C$9, 100%, $E$9)</f>
        <v>26.9087</v>
      </c>
      <c r="R799" s="10">
        <f>CHOOSE(CONTROL!$C$42, 27.563, 27.563) * CHOOSE(CONTROL!$C$21, $C$9, 100%, $E$9)</f>
        <v>27.562999999999999</v>
      </c>
      <c r="S799" s="10">
        <f>CHOOSE(CONTROL!$C$42, 25.5969, 25.5969) * CHOOSE(CONTROL!$C$21, $C$9, 100%, $E$9)</f>
        <v>25.596900000000002</v>
      </c>
      <c r="T7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38">
        <f>(1000*CHOOSE(CONTROL!$C$42, 695, 695)*CHOOSE(CONTROL!$C$42, 0.5599, 0.5599)*CHOOSE(CONTROL!$C$42, 31, 31))/1000000</f>
        <v>12.063045499999998</v>
      </c>
      <c r="V799" s="38">
        <f>(1000*CHOOSE(CONTROL!$C$42, 500, 500)*CHOOSE(CONTROL!$C$42, 0.275, 0.275)*CHOOSE(CONTROL!$C$42, 31, 31))/1000000</f>
        <v>4.2625000000000002</v>
      </c>
      <c r="W799" s="38">
        <f>(1000*CHOOSE(CONTROL!$C$42, 0.1146, 0.1146)*CHOOSE(CONTROL!$C$42, 121.5, 121.5)*CHOOSE(CONTROL!$C$42, 31, 31))/1000000</f>
        <v>0.43164089999999994</v>
      </c>
      <c r="X799" s="38">
        <f>(31*0.1790888*245000/1000000)+(31*0.2374*100000/1000000)</f>
        <v>2.0961194359999999</v>
      </c>
      <c r="Y799" s="38">
        <f>(1000*600*CHOOSE(CONTROL!$C$42, 1.0585, 1.0585)*CHOOSE(CONTROL!$C$42, 31, 31))/1000000</f>
        <v>19.688099999999999</v>
      </c>
      <c r="Z799" s="38"/>
      <c r="AA799" s="10"/>
      <c r="AB799" s="39"/>
      <c r="AC799" s="33">
        <f>(B799*194.205+C799*267.466+D799*133.845+E799*53.484+F799*40+G799*185+H799*0+I799*100+J799*300)/(194.205+267.466+133.845+53.484+0+40+185+100+300)</f>
        <v>26.377791847959184</v>
      </c>
      <c r="AD799" s="27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26.184145323741014</v>
      </c>
    </row>
    <row r="800" spans="1:30" ht="15.75" x14ac:dyDescent="0.25">
      <c r="A800" s="13">
        <v>65623</v>
      </c>
      <c r="B800" s="10">
        <f>CHOOSE(CONTROL!$C$42, 25.0611, 25.0611) * CHOOSE(CONTROL!$C$21, $C$9, 100%, $E$9)</f>
        <v>25.0611</v>
      </c>
      <c r="C800" s="10">
        <f>CHOOSE(CONTROL!$C$42, 25.069, 25.069) * CHOOSE(CONTROL!$C$21, $C$9, 100%, $E$9)</f>
        <v>25.068999999999999</v>
      </c>
      <c r="D800" s="10">
        <f>CHOOSE(CONTROL!$C$42, 25.246, 25.246) * CHOOSE(CONTROL!$C$21, $C$9, 100%, $E$9)</f>
        <v>25.245999999999999</v>
      </c>
      <c r="E800" s="10">
        <f>CHOOSE(CONTROL!$C$42, 25.2771, 25.2771) * CHOOSE(CONTROL!$C$21, $C$9, 100%, $E$9)</f>
        <v>25.277100000000001</v>
      </c>
      <c r="F800" s="10">
        <f>CHOOSE(CONTROL!$C$42, 25.0249, 25.0249)*CHOOSE(CONTROL!$C$21, $C$9, 100%, $E$9)</f>
        <v>25.024899999999999</v>
      </c>
      <c r="G800" s="10">
        <f>CHOOSE(CONTROL!$C$42, 25.0415, 25.0415)*CHOOSE(CONTROL!$C$21, $C$9, 100%, $E$9)</f>
        <v>25.041499999999999</v>
      </c>
      <c r="H800" s="10">
        <f>CHOOSE(CONTROL!$C$42, 25.2658, 25.2658) * CHOOSE(CONTROL!$C$21, $C$9, 100%, $E$9)</f>
        <v>25.265799999999999</v>
      </c>
      <c r="I800" s="10">
        <f>CHOOSE(CONTROL!$C$42, 25.0457, 25.0457)* CHOOSE(CONTROL!$C$21, $C$9, 100%, $E$9)</f>
        <v>25.0457</v>
      </c>
      <c r="J800" s="10">
        <f>CHOOSE(CONTROL!$C$42, 25.0179, 25.0179)* CHOOSE(CONTROL!$C$21, $C$9, 100%, $E$9)</f>
        <v>25.017900000000001</v>
      </c>
      <c r="K800" s="10">
        <f>CHOOSE(CONTROL!$C$42, 24.4695, 24.4695) * CHOOSE(CONTROL!$C$21, $C$9, 100%, $E$9)</f>
        <v>24.4695</v>
      </c>
      <c r="L800" s="10">
        <f>CHOOSE(CONTROL!$C$42, 25.8528, 25.8528) * CHOOSE(CONTROL!$C$21, $C$9, 100%, $E$9)</f>
        <v>25.852799999999998</v>
      </c>
      <c r="M800" s="10">
        <f>CHOOSE(CONTROL!$C$42, 24.7793, 24.7793) * CHOOSE(CONTROL!$C$21, $C$9, 100%, $E$9)</f>
        <v>24.779299999999999</v>
      </c>
      <c r="N800" s="10">
        <f>CHOOSE(CONTROL!$C$42, 24.7957, 24.7957) * CHOOSE(CONTROL!$C$21, $C$9, 100%, $E$9)</f>
        <v>24.7957</v>
      </c>
      <c r="O800" s="10">
        <f>CHOOSE(CONTROL!$C$42, 25.0246, 25.0246) * CHOOSE(CONTROL!$C$21, $C$9, 100%, $E$9)</f>
        <v>25.0246</v>
      </c>
      <c r="P800" s="10">
        <f>CHOOSE(CONTROL!$C$42, 24.8068, 24.8068) * CHOOSE(CONTROL!$C$21, $C$9, 100%, $E$9)</f>
        <v>24.806799999999999</v>
      </c>
      <c r="Q800" s="10">
        <f>CHOOSE(CONTROL!$C$42, 25.6199, 25.6199) * CHOOSE(CONTROL!$C$21, $C$9, 100%, $E$9)</f>
        <v>25.619900000000001</v>
      </c>
      <c r="R800" s="10">
        <f>CHOOSE(CONTROL!$C$42, 26.271, 26.271) * CHOOSE(CONTROL!$C$21, $C$9, 100%, $E$9)</f>
        <v>26.271000000000001</v>
      </c>
      <c r="S800" s="10">
        <f>CHOOSE(CONTROL!$C$42, 24.3326, 24.3326) * CHOOSE(CONTROL!$C$21, $C$9, 100%, $E$9)</f>
        <v>24.332599999999999</v>
      </c>
      <c r="T8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38">
        <f>(1000*CHOOSE(CONTROL!$C$42, 695, 695)*CHOOSE(CONTROL!$C$42, 0.5599, 0.5599)*CHOOSE(CONTROL!$C$42, 31, 31))/1000000</f>
        <v>12.063045499999998</v>
      </c>
      <c r="V800" s="38">
        <f>(1000*CHOOSE(CONTROL!$C$42, 500, 500)*CHOOSE(CONTROL!$C$42, 0.275, 0.275)*CHOOSE(CONTROL!$C$42, 31, 31))/1000000</f>
        <v>4.2625000000000002</v>
      </c>
      <c r="W800" s="38">
        <f>(1000*CHOOSE(CONTROL!$C$42, 0.1146, 0.1146)*CHOOSE(CONTROL!$C$42, 121.5, 121.5)*CHOOSE(CONTROL!$C$42, 31, 31))/1000000</f>
        <v>0.43164089999999994</v>
      </c>
      <c r="X800" s="38">
        <f>(31*0.1790888*245000/1000000)+(31*0.2374*100000/1000000)</f>
        <v>2.0961194359999999</v>
      </c>
      <c r="Y800" s="38">
        <f>(1000*600*CHOOSE(CONTROL!$C$42, 1.0585, 1.0585)*CHOOSE(CONTROL!$C$42, 31, 31))/1000000</f>
        <v>19.688099999999999</v>
      </c>
      <c r="Z800" s="38"/>
      <c r="AA800" s="10"/>
      <c r="AB800" s="39"/>
      <c r="AC800" s="33">
        <f>(B800*194.205+C800*267.466+D800*133.845+E800*53.484+F800*40+G800*185+H800*0+I800*100+J800*300)/(194.205+267.466+133.845+53.484+0+40+185+100+300)</f>
        <v>25.075887649843011</v>
      </c>
      <c r="AD800" s="27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24.89537985611511</v>
      </c>
    </row>
    <row r="801" spans="1:30" ht="15.75" x14ac:dyDescent="0.25">
      <c r="A801" s="13">
        <v>65653</v>
      </c>
      <c r="B801" s="10">
        <f>CHOOSE(CONTROL!$C$42, 23.4704, 23.4704) * CHOOSE(CONTROL!$C$21, $C$9, 100%, $E$9)</f>
        <v>23.470400000000001</v>
      </c>
      <c r="C801" s="10">
        <f>CHOOSE(CONTROL!$C$42, 23.4783, 23.4783) * CHOOSE(CONTROL!$C$21, $C$9, 100%, $E$9)</f>
        <v>23.478300000000001</v>
      </c>
      <c r="D801" s="10">
        <f>CHOOSE(CONTROL!$C$42, 23.6553, 23.6553) * CHOOSE(CONTROL!$C$21, $C$9, 100%, $E$9)</f>
        <v>23.6553</v>
      </c>
      <c r="E801" s="10">
        <f>CHOOSE(CONTROL!$C$42, 23.6864, 23.6864) * CHOOSE(CONTROL!$C$21, $C$9, 100%, $E$9)</f>
        <v>23.686399999999999</v>
      </c>
      <c r="F801" s="10">
        <f>CHOOSE(CONTROL!$C$42, 23.4339, 23.4339)*CHOOSE(CONTROL!$C$21, $C$9, 100%, $E$9)</f>
        <v>23.433900000000001</v>
      </c>
      <c r="G801" s="10">
        <f>CHOOSE(CONTROL!$C$42, 23.4505, 23.4505)*CHOOSE(CONTROL!$C$21, $C$9, 100%, $E$9)</f>
        <v>23.450500000000002</v>
      </c>
      <c r="H801" s="10">
        <f>CHOOSE(CONTROL!$C$42, 23.675, 23.675) * CHOOSE(CONTROL!$C$21, $C$9, 100%, $E$9)</f>
        <v>23.675000000000001</v>
      </c>
      <c r="I801" s="10">
        <f>CHOOSE(CONTROL!$C$42, 23.4549, 23.4549)* CHOOSE(CONTROL!$C$21, $C$9, 100%, $E$9)</f>
        <v>23.454899999999999</v>
      </c>
      <c r="J801" s="10">
        <f>CHOOSE(CONTROL!$C$42, 23.4269, 23.4269)* CHOOSE(CONTROL!$C$21, $C$9, 100%, $E$9)</f>
        <v>23.4269</v>
      </c>
      <c r="K801" s="10">
        <f>CHOOSE(CONTROL!$C$42, 22.9234, 22.9234) * CHOOSE(CONTROL!$C$21, $C$9, 100%, $E$9)</f>
        <v>22.923400000000001</v>
      </c>
      <c r="L801" s="10">
        <f>CHOOSE(CONTROL!$C$42, 24.262, 24.262) * CHOOSE(CONTROL!$C$21, $C$9, 100%, $E$9)</f>
        <v>24.262</v>
      </c>
      <c r="M801" s="10">
        <f>CHOOSE(CONTROL!$C$42, 23.2043, 23.2043) * CHOOSE(CONTROL!$C$21, $C$9, 100%, $E$9)</f>
        <v>23.2043</v>
      </c>
      <c r="N801" s="10">
        <f>CHOOSE(CONTROL!$C$42, 23.2207, 23.2207) * CHOOSE(CONTROL!$C$21, $C$9, 100%, $E$9)</f>
        <v>23.220700000000001</v>
      </c>
      <c r="O801" s="10">
        <f>CHOOSE(CONTROL!$C$42, 23.4499, 23.4499) * CHOOSE(CONTROL!$C$21, $C$9, 100%, $E$9)</f>
        <v>23.4499</v>
      </c>
      <c r="P801" s="10">
        <f>CHOOSE(CONTROL!$C$42, 23.2321, 23.2321) * CHOOSE(CONTROL!$C$21, $C$9, 100%, $E$9)</f>
        <v>23.232099999999999</v>
      </c>
      <c r="Q801" s="10">
        <f>CHOOSE(CONTROL!$C$42, 24.0452, 24.0452) * CHOOSE(CONTROL!$C$21, $C$9, 100%, $E$9)</f>
        <v>24.045200000000001</v>
      </c>
      <c r="R801" s="10">
        <f>CHOOSE(CONTROL!$C$42, 24.6923, 24.6923) * CHOOSE(CONTROL!$C$21, $C$9, 100%, $E$9)</f>
        <v>24.692299999999999</v>
      </c>
      <c r="S801" s="10">
        <f>CHOOSE(CONTROL!$C$42, 22.7878, 22.7878) * CHOOSE(CONTROL!$C$21, $C$9, 100%, $E$9)</f>
        <v>22.787800000000001</v>
      </c>
      <c r="T8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38">
        <f>(1000*CHOOSE(CONTROL!$C$42, 695, 695)*CHOOSE(CONTROL!$C$42, 0.5599, 0.5599)*CHOOSE(CONTROL!$C$42, 30, 30))/1000000</f>
        <v>11.673914999999997</v>
      </c>
      <c r="V801" s="38">
        <f>(1000*CHOOSE(CONTROL!$C$42, 500, 500)*CHOOSE(CONTROL!$C$42, 0.275, 0.275)*CHOOSE(CONTROL!$C$42, 30, 30))/1000000</f>
        <v>4.125</v>
      </c>
      <c r="W801" s="38">
        <f>(1000*CHOOSE(CONTROL!$C$42, 0.1146, 0.1146)*CHOOSE(CONTROL!$C$42, 121.5, 121.5)*CHOOSE(CONTROL!$C$42, 30, 30))/1000000</f>
        <v>0.417717</v>
      </c>
      <c r="X801" s="38">
        <f>(30*0.1790888*245000/1000000)+(30*0.2374*100000/1000000)</f>
        <v>2.0285026799999999</v>
      </c>
      <c r="Y801" s="38">
        <f>(1000*600*CHOOSE(CONTROL!$C$42, 1.0585, 1.0585)*CHOOSE(CONTROL!$C$42, 30, 30))/1000000</f>
        <v>19.053000000000001</v>
      </c>
      <c r="Z801" s="38"/>
      <c r="AA801" s="10"/>
      <c r="AB801" s="39"/>
      <c r="AC801" s="33">
        <f>(B801*194.205+C801*267.466+D801*133.845+E801*53.484+F801*40+G801*185+H801*0+I801*100+J801*300)/(194.205+267.466+133.845+53.484+0+40+185+100+300)</f>
        <v>23.485056174175821</v>
      </c>
      <c r="AD801" s="27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23.320558992805754</v>
      </c>
    </row>
    <row r="802" spans="1:30" ht="15.75" x14ac:dyDescent="0.25">
      <c r="A802" s="13">
        <v>65684</v>
      </c>
      <c r="B802" s="10">
        <f>CHOOSE(CONTROL!$C$42, 22.9918, 22.9918) * CHOOSE(CONTROL!$C$21, $C$9, 100%, $E$9)</f>
        <v>22.991800000000001</v>
      </c>
      <c r="C802" s="10">
        <f>CHOOSE(CONTROL!$C$42, 22.997, 22.997) * CHOOSE(CONTROL!$C$21, $C$9, 100%, $E$9)</f>
        <v>22.997</v>
      </c>
      <c r="D802" s="10">
        <f>CHOOSE(CONTROL!$C$42, 23.1789, 23.1789) * CHOOSE(CONTROL!$C$21, $C$9, 100%, $E$9)</f>
        <v>23.178899999999999</v>
      </c>
      <c r="E802" s="10">
        <f>CHOOSE(CONTROL!$C$42, 23.2077, 23.2077) * CHOOSE(CONTROL!$C$21, $C$9, 100%, $E$9)</f>
        <v>23.207699999999999</v>
      </c>
      <c r="F802" s="10">
        <f>CHOOSE(CONTROL!$C$42, 22.9574, 22.9574)*CHOOSE(CONTROL!$C$21, $C$9, 100%, $E$9)</f>
        <v>22.9574</v>
      </c>
      <c r="G802" s="10">
        <f>CHOOSE(CONTROL!$C$42, 22.9736, 22.9736)*CHOOSE(CONTROL!$C$21, $C$9, 100%, $E$9)</f>
        <v>22.973600000000001</v>
      </c>
      <c r="H802" s="10">
        <f>CHOOSE(CONTROL!$C$42, 23.1982, 23.1982) * CHOOSE(CONTROL!$C$21, $C$9, 100%, $E$9)</f>
        <v>23.1982</v>
      </c>
      <c r="I802" s="10">
        <f>CHOOSE(CONTROL!$C$42, 22.9781, 22.9781)* CHOOSE(CONTROL!$C$21, $C$9, 100%, $E$9)</f>
        <v>22.978100000000001</v>
      </c>
      <c r="J802" s="10">
        <f>CHOOSE(CONTROL!$C$42, 22.9504, 22.9504)* CHOOSE(CONTROL!$C$21, $C$9, 100%, $E$9)</f>
        <v>22.950399999999998</v>
      </c>
      <c r="K802" s="10">
        <f>CHOOSE(CONTROL!$C$42, 22.4607, 22.4607) * CHOOSE(CONTROL!$C$21, $C$9, 100%, $E$9)</f>
        <v>22.460699999999999</v>
      </c>
      <c r="L802" s="10">
        <f>CHOOSE(CONTROL!$C$42, 23.7852, 23.7852) * CHOOSE(CONTROL!$C$21, $C$9, 100%, $E$9)</f>
        <v>23.7852</v>
      </c>
      <c r="M802" s="10">
        <f>CHOOSE(CONTROL!$C$42, 22.7326, 22.7326) * CHOOSE(CONTROL!$C$21, $C$9, 100%, $E$9)</f>
        <v>22.732600000000001</v>
      </c>
      <c r="N802" s="10">
        <f>CHOOSE(CONTROL!$C$42, 22.7487, 22.7487) * CHOOSE(CONTROL!$C$21, $C$9, 100%, $E$9)</f>
        <v>22.748699999999999</v>
      </c>
      <c r="O802" s="10">
        <f>CHOOSE(CONTROL!$C$42, 22.9779, 22.9779) * CHOOSE(CONTROL!$C$21, $C$9, 100%, $E$9)</f>
        <v>22.977900000000002</v>
      </c>
      <c r="P802" s="10">
        <f>CHOOSE(CONTROL!$C$42, 22.7601, 22.7601) * CHOOSE(CONTROL!$C$21, $C$9, 100%, $E$9)</f>
        <v>22.760100000000001</v>
      </c>
      <c r="Q802" s="10">
        <f>CHOOSE(CONTROL!$C$42, 23.5732, 23.5732) * CHOOSE(CONTROL!$C$21, $C$9, 100%, $E$9)</f>
        <v>23.5732</v>
      </c>
      <c r="R802" s="10">
        <f>CHOOSE(CONTROL!$C$42, 24.2192, 24.2192) * CHOOSE(CONTROL!$C$21, $C$9, 100%, $E$9)</f>
        <v>24.219200000000001</v>
      </c>
      <c r="S802" s="10">
        <f>CHOOSE(CONTROL!$C$42, 22.3248, 22.3248) * CHOOSE(CONTROL!$C$21, $C$9, 100%, $E$9)</f>
        <v>22.3248</v>
      </c>
      <c r="T8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38">
        <f>(1000*CHOOSE(CONTROL!$C$42, 695, 695)*CHOOSE(CONTROL!$C$42, 0.5599, 0.5599)*CHOOSE(CONTROL!$C$42, 31, 31))/1000000</f>
        <v>12.063045499999998</v>
      </c>
      <c r="V802" s="38">
        <f>(1000*CHOOSE(CONTROL!$C$42, 500, 500)*CHOOSE(CONTROL!$C$42, 0.275, 0.275)*CHOOSE(CONTROL!$C$42, 31, 31))/1000000</f>
        <v>4.2625000000000002</v>
      </c>
      <c r="W802" s="38">
        <f>(1000*CHOOSE(CONTROL!$C$42, 0.1146, 0.1146)*CHOOSE(CONTROL!$C$42, 121.5, 121.5)*CHOOSE(CONTROL!$C$42, 31, 31))/1000000</f>
        <v>0.43164089999999994</v>
      </c>
      <c r="X802" s="38">
        <f>(31*0.1790888*245000/1000000)+(31*0.2374*100000/1000000)</f>
        <v>2.0961194359999999</v>
      </c>
      <c r="Y802" s="38">
        <f>(1000*600*CHOOSE(CONTROL!$C$42, 1.0585, 1.0585)*CHOOSE(CONTROL!$C$42, 31, 31))/1000000</f>
        <v>19.688099999999999</v>
      </c>
      <c r="Z802" s="38"/>
      <c r="AA802" s="10"/>
      <c r="AB802" s="39"/>
      <c r="AC802" s="33">
        <f>(B802*131.881+C802*277.167+D802*79.08+E802*125.872+F802*40+G802*185+H802*0+I802*100+J802*300)/(131.881+277.167+79.08+125.872+0+40+185+100+300)</f>
        <v>23.011880630508475</v>
      </c>
      <c r="AD802" s="27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22.848662589928061</v>
      </c>
    </row>
    <row r="803" spans="1:30" ht="15.75" x14ac:dyDescent="0.25">
      <c r="A803" s="13">
        <v>65714</v>
      </c>
      <c r="B803" s="10">
        <f>CHOOSE(CONTROL!$C$42, 23.597, 23.597) * CHOOSE(CONTROL!$C$21, $C$9, 100%, $E$9)</f>
        <v>23.597000000000001</v>
      </c>
      <c r="C803" s="10">
        <f>CHOOSE(CONTROL!$C$42, 23.6019, 23.6019) * CHOOSE(CONTROL!$C$21, $C$9, 100%, $E$9)</f>
        <v>23.601900000000001</v>
      </c>
      <c r="D803" s="10">
        <f>CHOOSE(CONTROL!$C$42, 23.6264, 23.6264) * CHOOSE(CONTROL!$C$21, $C$9, 100%, $E$9)</f>
        <v>23.6264</v>
      </c>
      <c r="E803" s="10">
        <f>CHOOSE(CONTROL!$C$42, 23.6602, 23.6602) * CHOOSE(CONTROL!$C$21, $C$9, 100%, $E$9)</f>
        <v>23.6602</v>
      </c>
      <c r="F803" s="10">
        <f>CHOOSE(CONTROL!$C$42, 23.5663, 23.5663)*CHOOSE(CONTROL!$C$21, $C$9, 100%, $E$9)</f>
        <v>23.566299999999998</v>
      </c>
      <c r="G803" s="10">
        <f>CHOOSE(CONTROL!$C$42, 23.5827, 23.5827)*CHOOSE(CONTROL!$C$21, $C$9, 100%, $E$9)</f>
        <v>23.582699999999999</v>
      </c>
      <c r="H803" s="10">
        <f>CHOOSE(CONTROL!$C$42, 23.6494, 23.6494) * CHOOSE(CONTROL!$C$21, $C$9, 100%, $E$9)</f>
        <v>23.6494</v>
      </c>
      <c r="I803" s="10">
        <f>CHOOSE(CONTROL!$C$42, 23.5837, 23.5837)* CHOOSE(CONTROL!$C$21, $C$9, 100%, $E$9)</f>
        <v>23.5837</v>
      </c>
      <c r="J803" s="10">
        <f>CHOOSE(CONTROL!$C$42, 23.5593, 23.5593)* CHOOSE(CONTROL!$C$21, $C$9, 100%, $E$9)</f>
        <v>23.5593</v>
      </c>
      <c r="K803" s="10">
        <f>CHOOSE(CONTROL!$C$42, 23.0507, 23.0507) * CHOOSE(CONTROL!$C$21, $C$9, 100%, $E$9)</f>
        <v>23.050699999999999</v>
      </c>
      <c r="L803" s="10">
        <f>CHOOSE(CONTROL!$C$42, 24.2364, 24.2364) * CHOOSE(CONTROL!$C$21, $C$9, 100%, $E$9)</f>
        <v>24.2364</v>
      </c>
      <c r="M803" s="10">
        <f>CHOOSE(CONTROL!$C$42, 23.3354, 23.3354) * CHOOSE(CONTROL!$C$21, $C$9, 100%, $E$9)</f>
        <v>23.3354</v>
      </c>
      <c r="N803" s="10">
        <f>CHOOSE(CONTROL!$C$42, 23.3516, 23.3516) * CHOOSE(CONTROL!$C$21, $C$9, 100%, $E$9)</f>
        <v>23.351600000000001</v>
      </c>
      <c r="O803" s="10">
        <f>CHOOSE(CONTROL!$C$42, 23.4245, 23.4245) * CHOOSE(CONTROL!$C$21, $C$9, 100%, $E$9)</f>
        <v>23.424499999999998</v>
      </c>
      <c r="P803" s="10">
        <f>CHOOSE(CONTROL!$C$42, 23.3596, 23.3596) * CHOOSE(CONTROL!$C$21, $C$9, 100%, $E$9)</f>
        <v>23.3596</v>
      </c>
      <c r="Q803" s="10">
        <f>CHOOSE(CONTROL!$C$42, 24.0198, 24.0198) * CHOOSE(CONTROL!$C$21, $C$9, 100%, $E$9)</f>
        <v>24.0198</v>
      </c>
      <c r="R803" s="10">
        <f>CHOOSE(CONTROL!$C$42, 24.6669, 24.6669) * CHOOSE(CONTROL!$C$21, $C$9, 100%, $E$9)</f>
        <v>24.666899999999998</v>
      </c>
      <c r="S803" s="10">
        <f>CHOOSE(CONTROL!$C$42, 22.9129, 22.9129) * CHOOSE(CONTROL!$C$21, $C$9, 100%, $E$9)</f>
        <v>22.9129</v>
      </c>
      <c r="T8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38">
        <f>(1000*CHOOSE(CONTROL!$C$42, 695, 695)*CHOOSE(CONTROL!$C$42, 0.5599, 0.5599)*CHOOSE(CONTROL!$C$42, 30, 30))/1000000</f>
        <v>11.673914999999997</v>
      </c>
      <c r="V803" s="38">
        <f>(1000*CHOOSE(CONTROL!$C$42, 500, 500)*CHOOSE(CONTROL!$C$42, 0.275, 0.275)*CHOOSE(CONTROL!$C$42, 30, 30))/1000000</f>
        <v>4.125</v>
      </c>
      <c r="W803" s="38">
        <f>(1000*CHOOSE(CONTROL!$C$42, 0.1146, 0.1146)*CHOOSE(CONTROL!$C$42, 121.5, 121.5)*CHOOSE(CONTROL!$C$42, 30, 30))/1000000</f>
        <v>0.417717</v>
      </c>
      <c r="X803" s="38">
        <f>(30*0.1790888*100000/1000000)+(30*0.2374*100000/1000000)</f>
        <v>1.2494664</v>
      </c>
      <c r="Y803" s="38">
        <f>(1000*600*CHOOSE(CONTROL!$C$42, 1.0585, 1.0585)*CHOOSE(CONTROL!$C$42, 30, 30))/1000000</f>
        <v>19.053000000000001</v>
      </c>
      <c r="Z803" s="38"/>
      <c r="AA803" s="10"/>
      <c r="AB803" s="39"/>
      <c r="AC803" s="33">
        <f>(B803*122.58+C803*297.941+D803*89.177+E803*40.302+F803*40+G803*160+H803*0+I803*100+J803*300)/(122.58+297.941+89.177+40.302+0+40+160+100+300)</f>
        <v>23.588715479217392</v>
      </c>
      <c r="AD803" s="27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23.380197841726616</v>
      </c>
    </row>
    <row r="804" spans="1:30" ht="15.75" x14ac:dyDescent="0.25">
      <c r="A804" s="13">
        <v>65745</v>
      </c>
      <c r="B804" s="10">
        <f>CHOOSE(CONTROL!$C$42, 25.2056, 25.2056) * CHOOSE(CONTROL!$C$21, $C$9, 100%, $E$9)</f>
        <v>25.2056</v>
      </c>
      <c r="C804" s="10">
        <f>CHOOSE(CONTROL!$C$42, 25.2106, 25.2106) * CHOOSE(CONTROL!$C$21, $C$9, 100%, $E$9)</f>
        <v>25.210599999999999</v>
      </c>
      <c r="D804" s="10">
        <f>CHOOSE(CONTROL!$C$42, 25.235, 25.235) * CHOOSE(CONTROL!$C$21, $C$9, 100%, $E$9)</f>
        <v>25.234999999999999</v>
      </c>
      <c r="E804" s="10">
        <f>CHOOSE(CONTROL!$C$42, 25.2688, 25.2688) * CHOOSE(CONTROL!$C$21, $C$9, 100%, $E$9)</f>
        <v>25.268799999999999</v>
      </c>
      <c r="F804" s="10">
        <f>CHOOSE(CONTROL!$C$42, 25.1772, 25.1772)*CHOOSE(CONTROL!$C$21, $C$9, 100%, $E$9)</f>
        <v>25.177199999999999</v>
      </c>
      <c r="G804" s="10">
        <f>CHOOSE(CONTROL!$C$42, 25.1943, 25.1943)*CHOOSE(CONTROL!$C$21, $C$9, 100%, $E$9)</f>
        <v>25.194299999999998</v>
      </c>
      <c r="H804" s="10">
        <f>CHOOSE(CONTROL!$C$42, 25.258, 25.258) * CHOOSE(CONTROL!$C$21, $C$9, 100%, $E$9)</f>
        <v>25.257999999999999</v>
      </c>
      <c r="I804" s="10">
        <f>CHOOSE(CONTROL!$C$42, 25.1924, 25.1924)* CHOOSE(CONTROL!$C$21, $C$9, 100%, $E$9)</f>
        <v>25.192399999999999</v>
      </c>
      <c r="J804" s="10">
        <f>CHOOSE(CONTROL!$C$42, 25.1702, 25.1702)* CHOOSE(CONTROL!$C$21, $C$9, 100%, $E$9)</f>
        <v>25.170200000000001</v>
      </c>
      <c r="K804" s="10">
        <f>CHOOSE(CONTROL!$C$42, 24.6186, 24.6186) * CHOOSE(CONTROL!$C$21, $C$9, 100%, $E$9)</f>
        <v>24.618600000000001</v>
      </c>
      <c r="L804" s="10">
        <f>CHOOSE(CONTROL!$C$42, 25.845, 25.845) * CHOOSE(CONTROL!$C$21, $C$9, 100%, $E$9)</f>
        <v>25.844999999999999</v>
      </c>
      <c r="M804" s="10">
        <f>CHOOSE(CONTROL!$C$42, 24.93, 24.93) * CHOOSE(CONTROL!$C$21, $C$9, 100%, $E$9)</f>
        <v>24.93</v>
      </c>
      <c r="N804" s="10">
        <f>CHOOSE(CONTROL!$C$42, 24.9469, 24.9469) * CHOOSE(CONTROL!$C$21, $C$9, 100%, $E$9)</f>
        <v>24.946899999999999</v>
      </c>
      <c r="O804" s="10">
        <f>CHOOSE(CONTROL!$C$42, 25.0169, 25.0169) * CHOOSE(CONTROL!$C$21, $C$9, 100%, $E$9)</f>
        <v>25.0169</v>
      </c>
      <c r="P804" s="10">
        <f>CHOOSE(CONTROL!$C$42, 24.952, 24.952) * CHOOSE(CONTROL!$C$21, $C$9, 100%, $E$9)</f>
        <v>24.952000000000002</v>
      </c>
      <c r="Q804" s="10">
        <f>CHOOSE(CONTROL!$C$42, 25.6122, 25.6122) * CHOOSE(CONTROL!$C$21, $C$9, 100%, $E$9)</f>
        <v>25.612200000000001</v>
      </c>
      <c r="R804" s="10">
        <f>CHOOSE(CONTROL!$C$42, 26.2633, 26.2633) * CHOOSE(CONTROL!$C$21, $C$9, 100%, $E$9)</f>
        <v>26.263300000000001</v>
      </c>
      <c r="S804" s="10">
        <f>CHOOSE(CONTROL!$C$42, 24.475, 24.475) * CHOOSE(CONTROL!$C$21, $C$9, 100%, $E$9)</f>
        <v>24.475000000000001</v>
      </c>
      <c r="T8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38">
        <f>(1000*CHOOSE(CONTROL!$C$42, 695, 695)*CHOOSE(CONTROL!$C$42, 0.5599, 0.5599)*CHOOSE(CONTROL!$C$42, 31, 31))/1000000</f>
        <v>12.063045499999998</v>
      </c>
      <c r="V804" s="38">
        <f>(1000*CHOOSE(CONTROL!$C$42, 500, 500)*CHOOSE(CONTROL!$C$42, 0.275, 0.275)*CHOOSE(CONTROL!$C$42, 31, 31))/1000000</f>
        <v>4.2625000000000002</v>
      </c>
      <c r="W804" s="38">
        <f>(1000*CHOOSE(CONTROL!$C$42, 0.1146, 0.1146)*CHOOSE(CONTROL!$C$42, 121.5, 121.5)*CHOOSE(CONTROL!$C$42, 31, 31))/1000000</f>
        <v>0.43164089999999994</v>
      </c>
      <c r="X804" s="38">
        <f>(31*0.1790888*100000/1000000)+(31*0.2374*100000/1000000)</f>
        <v>1.2911152800000001</v>
      </c>
      <c r="Y804" s="38">
        <f>(1000*600*CHOOSE(CONTROL!$C$42, 1.0585, 1.0585)*CHOOSE(CONTROL!$C$42, 31, 31))/1000000</f>
        <v>19.688099999999999</v>
      </c>
      <c r="Z804" s="38"/>
      <c r="AA804" s="10"/>
      <c r="AB804" s="39"/>
      <c r="AC804" s="33">
        <f>(B804*122.58+C804*297.941+D804*89.177+E804*40.302+F804*40+G804*160+H804*0+I804*100+J804*300)/(122.58+297.941+89.177+40.302+0+40+160+100+300)</f>
        <v>25.198447474086958</v>
      </c>
      <c r="AD804" s="27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24.973524460431655</v>
      </c>
    </row>
    <row r="805" spans="1:30" ht="15.75" x14ac:dyDescent="0.25">
      <c r="A805" s="13">
        <v>65776</v>
      </c>
      <c r="B805" s="10">
        <f>CHOOSE(CONTROL!$C$42, 26.9066, 26.9066) * CHOOSE(CONTROL!$C$21, $C$9, 100%, $E$9)</f>
        <v>26.906600000000001</v>
      </c>
      <c r="C805" s="10">
        <f>CHOOSE(CONTROL!$C$42, 26.9116, 26.9116) * CHOOSE(CONTROL!$C$21, $C$9, 100%, $E$9)</f>
        <v>26.9116</v>
      </c>
      <c r="D805" s="10">
        <f>CHOOSE(CONTROL!$C$42, 26.9361, 26.9361) * CHOOSE(CONTROL!$C$21, $C$9, 100%, $E$9)</f>
        <v>26.9361</v>
      </c>
      <c r="E805" s="10">
        <f>CHOOSE(CONTROL!$C$42, 26.9698, 26.9698) * CHOOSE(CONTROL!$C$21, $C$9, 100%, $E$9)</f>
        <v>26.969799999999999</v>
      </c>
      <c r="F805" s="10">
        <f>CHOOSE(CONTROL!$C$42, 26.8896, 26.8896)*CHOOSE(CONTROL!$C$21, $C$9, 100%, $E$9)</f>
        <v>26.889600000000002</v>
      </c>
      <c r="G805" s="10">
        <f>CHOOSE(CONTROL!$C$42, 26.9082, 26.9082)*CHOOSE(CONTROL!$C$21, $C$9, 100%, $E$9)</f>
        <v>26.908200000000001</v>
      </c>
      <c r="H805" s="10">
        <f>CHOOSE(CONTROL!$C$42, 26.959, 26.959) * CHOOSE(CONTROL!$C$21, $C$9, 100%, $E$9)</f>
        <v>26.959</v>
      </c>
      <c r="I805" s="10">
        <f>CHOOSE(CONTROL!$C$42, 26.9011, 26.9011)* CHOOSE(CONTROL!$C$21, $C$9, 100%, $E$9)</f>
        <v>26.9011</v>
      </c>
      <c r="J805" s="10">
        <f>CHOOSE(CONTROL!$C$42, 26.8826, 26.8826)* CHOOSE(CONTROL!$C$21, $C$9, 100%, $E$9)</f>
        <v>26.8826</v>
      </c>
      <c r="K805" s="10">
        <f>CHOOSE(CONTROL!$C$42, 26.2923, 26.2923) * CHOOSE(CONTROL!$C$21, $C$9, 100%, $E$9)</f>
        <v>26.292300000000001</v>
      </c>
      <c r="L805" s="10">
        <f>CHOOSE(CONTROL!$C$42, 27.546, 27.546) * CHOOSE(CONTROL!$C$21, $C$9, 100%, $E$9)</f>
        <v>27.545999999999999</v>
      </c>
      <c r="M805" s="10">
        <f>CHOOSE(CONTROL!$C$42, 26.6251, 26.6251) * CHOOSE(CONTROL!$C$21, $C$9, 100%, $E$9)</f>
        <v>26.6251</v>
      </c>
      <c r="N805" s="10">
        <f>CHOOSE(CONTROL!$C$42, 26.6436, 26.6436) * CHOOSE(CONTROL!$C$21, $C$9, 100%, $E$9)</f>
        <v>26.643599999999999</v>
      </c>
      <c r="O805" s="10">
        <f>CHOOSE(CONTROL!$C$42, 26.7008, 26.7008) * CHOOSE(CONTROL!$C$21, $C$9, 100%, $E$9)</f>
        <v>26.700800000000001</v>
      </c>
      <c r="P805" s="10">
        <f>CHOOSE(CONTROL!$C$42, 26.6435, 26.6435) * CHOOSE(CONTROL!$C$21, $C$9, 100%, $E$9)</f>
        <v>26.6435</v>
      </c>
      <c r="Q805" s="10">
        <f>CHOOSE(CONTROL!$C$42, 27.2961, 27.2961) * CHOOSE(CONTROL!$C$21, $C$9, 100%, $E$9)</f>
        <v>27.296099999999999</v>
      </c>
      <c r="R805" s="10">
        <f>CHOOSE(CONTROL!$C$42, 27.9513, 27.9513) * CHOOSE(CONTROL!$C$21, $C$9, 100%, $E$9)</f>
        <v>27.9513</v>
      </c>
      <c r="S805" s="10">
        <f>CHOOSE(CONTROL!$C$42, 26.1269, 26.1269) * CHOOSE(CONTROL!$C$21, $C$9, 100%, $E$9)</f>
        <v>26.126899999999999</v>
      </c>
      <c r="T8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38">
        <f>(1000*CHOOSE(CONTROL!$C$42, 695, 695)*CHOOSE(CONTROL!$C$42, 0.5599, 0.5599)*CHOOSE(CONTROL!$C$42, 31, 31))/1000000</f>
        <v>12.063045499999998</v>
      </c>
      <c r="V805" s="38">
        <f>(1000*CHOOSE(CONTROL!$C$42, 500, 500)*CHOOSE(CONTROL!$C$42, 0.275, 0.275)*CHOOSE(CONTROL!$C$42, 31, 31))/1000000</f>
        <v>4.2625000000000002</v>
      </c>
      <c r="W805" s="38">
        <f>(1000*CHOOSE(CONTROL!$C$42, 0.1146, 0.1146)*CHOOSE(CONTROL!$C$42, 121.5, 121.5)*CHOOSE(CONTROL!$C$42, 31, 31))/1000000</f>
        <v>0.43164089999999994</v>
      </c>
      <c r="X805" s="38">
        <f>(31*0.1790888*100000/1000000)+(31*0.2374*100000/1000000)</f>
        <v>1.2911152800000001</v>
      </c>
      <c r="Y805" s="38">
        <f>(1000*600*CHOOSE(CONTROL!$C$42, 1.0585, 1.0585)*CHOOSE(CONTROL!$C$42, 31, 31))/1000000</f>
        <v>19.688099999999999</v>
      </c>
      <c r="Z805" s="38"/>
      <c r="AA805" s="10"/>
      <c r="AB805" s="39"/>
      <c r="AC805" s="33">
        <f>(B805*122.58+C805*297.941+D805*89.177+E805*40.302+F805*40+G805*160+H805*0+I805*100+J805*300)/(122.58+297.941+89.177+40.302+0+40+160+100+300)</f>
        <v>26.905290011217389</v>
      </c>
      <c r="AD805" s="27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26.663122302158271</v>
      </c>
    </row>
    <row r="806" spans="1:30" ht="15.75" x14ac:dyDescent="0.25">
      <c r="A806" s="13">
        <v>65805</v>
      </c>
      <c r="B806" s="10">
        <f>CHOOSE(CONTROL!$C$42, 27.3856, 27.3856) * CHOOSE(CONTROL!$C$21, $C$9, 100%, $E$9)</f>
        <v>27.3856</v>
      </c>
      <c r="C806" s="10">
        <f>CHOOSE(CONTROL!$C$42, 27.3905, 27.3905) * CHOOSE(CONTROL!$C$21, $C$9, 100%, $E$9)</f>
        <v>27.390499999999999</v>
      </c>
      <c r="D806" s="10">
        <f>CHOOSE(CONTROL!$C$42, 27.415, 27.415) * CHOOSE(CONTROL!$C$21, $C$9, 100%, $E$9)</f>
        <v>27.414999999999999</v>
      </c>
      <c r="E806" s="10">
        <f>CHOOSE(CONTROL!$C$42, 27.4488, 27.4488) * CHOOSE(CONTROL!$C$21, $C$9, 100%, $E$9)</f>
        <v>27.448799999999999</v>
      </c>
      <c r="F806" s="10">
        <f>CHOOSE(CONTROL!$C$42, 27.3678, 27.3678)*CHOOSE(CONTROL!$C$21, $C$9, 100%, $E$9)</f>
        <v>27.367799999999999</v>
      </c>
      <c r="G806" s="10">
        <f>CHOOSE(CONTROL!$C$42, 27.3863, 27.3863)*CHOOSE(CONTROL!$C$21, $C$9, 100%, $E$9)</f>
        <v>27.386299999999999</v>
      </c>
      <c r="H806" s="10">
        <f>CHOOSE(CONTROL!$C$42, 27.438, 27.438) * CHOOSE(CONTROL!$C$21, $C$9, 100%, $E$9)</f>
        <v>27.437999999999999</v>
      </c>
      <c r="I806" s="10">
        <f>CHOOSE(CONTROL!$C$42, 27.3801, 27.3801)* CHOOSE(CONTROL!$C$21, $C$9, 100%, $E$9)</f>
        <v>27.380099999999999</v>
      </c>
      <c r="J806" s="10">
        <f>CHOOSE(CONTROL!$C$42, 27.3608, 27.3608)* CHOOSE(CONTROL!$C$21, $C$9, 100%, $E$9)</f>
        <v>27.360800000000001</v>
      </c>
      <c r="K806" s="10">
        <f>CHOOSE(CONTROL!$C$42, 26.7561, 26.7561) * CHOOSE(CONTROL!$C$21, $C$9, 100%, $E$9)</f>
        <v>26.7561</v>
      </c>
      <c r="L806" s="10">
        <f>CHOOSE(CONTROL!$C$42, 28.025, 28.025) * CHOOSE(CONTROL!$C$21, $C$9, 100%, $E$9)</f>
        <v>28.024999999999999</v>
      </c>
      <c r="M806" s="10">
        <f>CHOOSE(CONTROL!$C$42, 27.0985, 27.0985) * CHOOSE(CONTROL!$C$21, $C$9, 100%, $E$9)</f>
        <v>27.098500000000001</v>
      </c>
      <c r="N806" s="10">
        <f>CHOOSE(CONTROL!$C$42, 27.1168, 27.1168) * CHOOSE(CONTROL!$C$21, $C$9, 100%, $E$9)</f>
        <v>27.116800000000001</v>
      </c>
      <c r="O806" s="10">
        <f>CHOOSE(CONTROL!$C$42, 27.1749, 27.1749) * CHOOSE(CONTROL!$C$21, $C$9, 100%, $E$9)</f>
        <v>27.174900000000001</v>
      </c>
      <c r="P806" s="10">
        <f>CHOOSE(CONTROL!$C$42, 27.1176, 27.1176) * CHOOSE(CONTROL!$C$21, $C$9, 100%, $E$9)</f>
        <v>27.117599999999999</v>
      </c>
      <c r="Q806" s="10">
        <f>CHOOSE(CONTROL!$C$42, 27.7702, 27.7702) * CHOOSE(CONTROL!$C$21, $C$9, 100%, $E$9)</f>
        <v>27.770199999999999</v>
      </c>
      <c r="R806" s="10">
        <f>CHOOSE(CONTROL!$C$42, 28.4266, 28.4266) * CHOOSE(CONTROL!$C$21, $C$9, 100%, $E$9)</f>
        <v>28.426600000000001</v>
      </c>
      <c r="S806" s="10">
        <f>CHOOSE(CONTROL!$C$42, 26.592, 26.592) * CHOOSE(CONTROL!$C$21, $C$9, 100%, $E$9)</f>
        <v>26.591999999999999</v>
      </c>
      <c r="T80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06" s="38">
        <f>(1000*CHOOSE(CONTROL!$C$42, 695, 695)*CHOOSE(CONTROL!$C$42, 0.5599, 0.5599)*CHOOSE(CONTROL!$C$42, 29, 29))/1000000</f>
        <v>11.284784499999999</v>
      </c>
      <c r="V806" s="38">
        <f>(1000*CHOOSE(CONTROL!$C$42, 500, 500)*CHOOSE(CONTROL!$C$42, 0.275, 0.275)*CHOOSE(CONTROL!$C$42, 29, 29))/1000000</f>
        <v>3.9874999999999998</v>
      </c>
      <c r="W806" s="38">
        <f>(1000*CHOOSE(CONTROL!$C$42, 0.1146, 0.1146)*CHOOSE(CONTROL!$C$42, 121.5, 121.5)*CHOOSE(CONTROL!$C$42, 29, 29))/1000000</f>
        <v>0.40379309999999996</v>
      </c>
      <c r="X806" s="38">
        <f>(29*0.1790888*100000/1000000)+(29*0.2374*100000/1000000)</f>
        <v>1.2078175199999999</v>
      </c>
      <c r="Y806" s="38">
        <f>(1000*600*CHOOSE(CONTROL!$C$42, 1.0585, 1.0585)*CHOOSE(CONTROL!$C$42, 29, 29))/1000000</f>
        <v>18.417899999999999</v>
      </c>
      <c r="Z806" s="38"/>
      <c r="AA806" s="10"/>
      <c r="AB806" s="39"/>
      <c r="AC806" s="33">
        <f>(B806*122.58+C806*297.941+D806*89.177+E806*40.302+F806*40+G806*160+H806*0+I806*100+J806*300)/(122.58+297.941+89.177+40.302+0+40+160+100+300)</f>
        <v>27.383894609652174</v>
      </c>
      <c r="AD806" s="27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27.136928776978415</v>
      </c>
    </row>
    <row r="807" spans="1:30" ht="15.75" x14ac:dyDescent="0.25">
      <c r="A807" s="13">
        <v>65836</v>
      </c>
      <c r="B807" s="10">
        <f>CHOOSE(CONTROL!$C$42, 26.6082, 26.6082) * CHOOSE(CONTROL!$C$21, $C$9, 100%, $E$9)</f>
        <v>26.6082</v>
      </c>
      <c r="C807" s="10">
        <f>CHOOSE(CONTROL!$C$42, 26.6131, 26.6131) * CHOOSE(CONTROL!$C$21, $C$9, 100%, $E$9)</f>
        <v>26.613099999999999</v>
      </c>
      <c r="D807" s="10">
        <f>CHOOSE(CONTROL!$C$42, 26.6376, 26.6376) * CHOOSE(CONTROL!$C$21, $C$9, 100%, $E$9)</f>
        <v>26.637599999999999</v>
      </c>
      <c r="E807" s="10">
        <f>CHOOSE(CONTROL!$C$42, 26.6713, 26.6713) * CHOOSE(CONTROL!$C$21, $C$9, 100%, $E$9)</f>
        <v>26.671299999999999</v>
      </c>
      <c r="F807" s="10">
        <f>CHOOSE(CONTROL!$C$42, 26.5889, 26.5889)*CHOOSE(CONTROL!$C$21, $C$9, 100%, $E$9)</f>
        <v>26.588899999999999</v>
      </c>
      <c r="G807" s="10">
        <f>CHOOSE(CONTROL!$C$42, 26.607, 26.607)*CHOOSE(CONTROL!$C$21, $C$9, 100%, $E$9)</f>
        <v>26.606999999999999</v>
      </c>
      <c r="H807" s="10">
        <f>CHOOSE(CONTROL!$C$42, 26.6605, 26.6605) * CHOOSE(CONTROL!$C$21, $C$9, 100%, $E$9)</f>
        <v>26.660499999999999</v>
      </c>
      <c r="I807" s="10">
        <f>CHOOSE(CONTROL!$C$42, 26.6026, 26.6026)* CHOOSE(CONTROL!$C$21, $C$9, 100%, $E$9)</f>
        <v>26.602599999999999</v>
      </c>
      <c r="J807" s="10">
        <f>CHOOSE(CONTROL!$C$42, 26.5819, 26.5819)* CHOOSE(CONTROL!$C$21, $C$9, 100%, $E$9)</f>
        <v>26.581900000000001</v>
      </c>
      <c r="K807" s="10">
        <f>CHOOSE(CONTROL!$C$42, 25.9975, 25.9975) * CHOOSE(CONTROL!$C$21, $C$9, 100%, $E$9)</f>
        <v>25.997499999999999</v>
      </c>
      <c r="L807" s="10">
        <f>CHOOSE(CONTROL!$C$42, 27.2475, 27.2475) * CHOOSE(CONTROL!$C$21, $C$9, 100%, $E$9)</f>
        <v>27.247499999999999</v>
      </c>
      <c r="M807" s="10">
        <f>CHOOSE(CONTROL!$C$42, 26.3274, 26.3274) * CHOOSE(CONTROL!$C$21, $C$9, 100%, $E$9)</f>
        <v>26.327400000000001</v>
      </c>
      <c r="N807" s="10">
        <f>CHOOSE(CONTROL!$C$42, 26.3453, 26.3453) * CHOOSE(CONTROL!$C$21, $C$9, 100%, $E$9)</f>
        <v>26.345300000000002</v>
      </c>
      <c r="O807" s="10">
        <f>CHOOSE(CONTROL!$C$42, 26.4053, 26.4053) * CHOOSE(CONTROL!$C$21, $C$9, 100%, $E$9)</f>
        <v>26.4053</v>
      </c>
      <c r="P807" s="10">
        <f>CHOOSE(CONTROL!$C$42, 26.348, 26.348) * CHOOSE(CONTROL!$C$21, $C$9, 100%, $E$9)</f>
        <v>26.347999999999999</v>
      </c>
      <c r="Q807" s="10">
        <f>CHOOSE(CONTROL!$C$42, 27.0006, 27.0006) * CHOOSE(CONTROL!$C$21, $C$9, 100%, $E$9)</f>
        <v>27.000599999999999</v>
      </c>
      <c r="R807" s="10">
        <f>CHOOSE(CONTROL!$C$42, 27.6551, 27.6551) * CHOOSE(CONTROL!$C$21, $C$9, 100%, $E$9)</f>
        <v>27.655100000000001</v>
      </c>
      <c r="S807" s="10">
        <f>CHOOSE(CONTROL!$C$42, 25.837, 25.837) * CHOOSE(CONTROL!$C$21, $C$9, 100%, $E$9)</f>
        <v>25.837</v>
      </c>
      <c r="T8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38">
        <f>(1000*CHOOSE(CONTROL!$C$42, 695, 695)*CHOOSE(CONTROL!$C$42, 0.5599, 0.5599)*CHOOSE(CONTROL!$C$42, 31, 31))/1000000</f>
        <v>12.063045499999998</v>
      </c>
      <c r="V807" s="38">
        <f>(1000*CHOOSE(CONTROL!$C$42, 500, 500)*CHOOSE(CONTROL!$C$42, 0.275, 0.275)*CHOOSE(CONTROL!$C$42, 31, 31))/1000000</f>
        <v>4.2625000000000002</v>
      </c>
      <c r="W807" s="38">
        <f>(1000*CHOOSE(CONTROL!$C$42, 0.1146, 0.1146)*CHOOSE(CONTROL!$C$42, 121.5, 121.5)*CHOOSE(CONTROL!$C$42, 31, 31))/1000000</f>
        <v>0.43164089999999994</v>
      </c>
      <c r="X807" s="38">
        <f>(31*0.1790888*100000/1000000)+(31*0.2374*100000/1000000)</f>
        <v>1.2911152800000001</v>
      </c>
      <c r="Y807" s="38">
        <f>(1000*600*CHOOSE(CONTROL!$C$42, 1.0585, 1.0585)*CHOOSE(CONTROL!$C$42, 31, 31))/1000000</f>
        <v>19.688099999999999</v>
      </c>
      <c r="Z807" s="38"/>
      <c r="AA807" s="10"/>
      <c r="AB807" s="39"/>
      <c r="AC807" s="33">
        <f>(B807*122.58+C807*297.941+D807*89.177+E807*40.302+F807*40+G807*160+H807*0+I807*100+J807*300)/(122.58+297.941+89.177+40.302+0+40+160+100+300)</f>
        <v>26.605774583391302</v>
      </c>
      <c r="AD807" s="27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26.366701438848917</v>
      </c>
    </row>
    <row r="808" spans="1:30" ht="15.75" x14ac:dyDescent="0.25">
      <c r="A808" s="13">
        <v>65866</v>
      </c>
      <c r="B808" s="10">
        <f>CHOOSE(CONTROL!$C$42, 26.5293, 26.5293) * CHOOSE(CONTROL!$C$21, $C$9, 100%, $E$9)</f>
        <v>26.529299999999999</v>
      </c>
      <c r="C808" s="10">
        <f>CHOOSE(CONTROL!$C$42, 26.5336, 26.5336) * CHOOSE(CONTROL!$C$21, $C$9, 100%, $E$9)</f>
        <v>26.5336</v>
      </c>
      <c r="D808" s="10">
        <f>CHOOSE(CONTROL!$C$42, 26.7138, 26.7138) * CHOOSE(CONTROL!$C$21, $C$9, 100%, $E$9)</f>
        <v>26.713799999999999</v>
      </c>
      <c r="E808" s="10">
        <f>CHOOSE(CONTROL!$C$42, 26.7456, 26.7456) * CHOOSE(CONTROL!$C$21, $C$9, 100%, $E$9)</f>
        <v>26.7456</v>
      </c>
      <c r="F808" s="10">
        <f>CHOOSE(CONTROL!$C$42, 26.4946, 26.4946)*CHOOSE(CONTROL!$C$21, $C$9, 100%, $E$9)</f>
        <v>26.494599999999998</v>
      </c>
      <c r="G808" s="10">
        <f>CHOOSE(CONTROL!$C$42, 26.5109, 26.5109)*CHOOSE(CONTROL!$C$21, $C$9, 100%, $E$9)</f>
        <v>26.510899999999999</v>
      </c>
      <c r="H808" s="10">
        <f>CHOOSE(CONTROL!$C$42, 26.7353, 26.7353) * CHOOSE(CONTROL!$C$21, $C$9, 100%, $E$9)</f>
        <v>26.735299999999999</v>
      </c>
      <c r="I808" s="10">
        <f>CHOOSE(CONTROL!$C$42, 26.5153, 26.5153)* CHOOSE(CONTROL!$C$21, $C$9, 100%, $E$9)</f>
        <v>26.5153</v>
      </c>
      <c r="J808" s="10">
        <f>CHOOSE(CONTROL!$C$42, 26.4876, 26.4876)* CHOOSE(CONTROL!$C$21, $C$9, 100%, $E$9)</f>
        <v>26.4876</v>
      </c>
      <c r="K808" s="10">
        <f>CHOOSE(CONTROL!$C$42, 25.8975, 25.8975) * CHOOSE(CONTROL!$C$21, $C$9, 100%, $E$9)</f>
        <v>25.897500000000001</v>
      </c>
      <c r="L808" s="10">
        <f>CHOOSE(CONTROL!$C$42, 27.3223, 27.3223) * CHOOSE(CONTROL!$C$21, $C$9, 100%, $E$9)</f>
        <v>27.322299999999998</v>
      </c>
      <c r="M808" s="10">
        <f>CHOOSE(CONTROL!$C$42, 26.2341, 26.2341) * CHOOSE(CONTROL!$C$21, $C$9, 100%, $E$9)</f>
        <v>26.234100000000002</v>
      </c>
      <c r="N808" s="10">
        <f>CHOOSE(CONTROL!$C$42, 26.2502, 26.2502) * CHOOSE(CONTROL!$C$21, $C$9, 100%, $E$9)</f>
        <v>26.2502</v>
      </c>
      <c r="O808" s="10">
        <f>CHOOSE(CONTROL!$C$42, 26.4794, 26.4794) * CHOOSE(CONTROL!$C$21, $C$9, 100%, $E$9)</f>
        <v>26.479399999999998</v>
      </c>
      <c r="P808" s="10">
        <f>CHOOSE(CONTROL!$C$42, 26.2615, 26.2615) * CHOOSE(CONTROL!$C$21, $C$9, 100%, $E$9)</f>
        <v>26.261500000000002</v>
      </c>
      <c r="Q808" s="10">
        <f>CHOOSE(CONTROL!$C$42, 27.0747, 27.0747) * CHOOSE(CONTROL!$C$21, $C$9, 100%, $E$9)</f>
        <v>27.0747</v>
      </c>
      <c r="R808" s="10">
        <f>CHOOSE(CONTROL!$C$42, 27.7294, 27.7294) * CHOOSE(CONTROL!$C$21, $C$9, 100%, $E$9)</f>
        <v>27.729399999999998</v>
      </c>
      <c r="S808" s="10">
        <f>CHOOSE(CONTROL!$C$42, 25.7597, 25.7597) * CHOOSE(CONTROL!$C$21, $C$9, 100%, $E$9)</f>
        <v>25.759699999999999</v>
      </c>
      <c r="T8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38">
        <f>(1000*CHOOSE(CONTROL!$C$42, 695, 695)*CHOOSE(CONTROL!$C$42, 0.5599, 0.5599)*CHOOSE(CONTROL!$C$42, 30, 30))/1000000</f>
        <v>11.673914999999997</v>
      </c>
      <c r="V808" s="38">
        <f>(1000*CHOOSE(CONTROL!$C$42, 500, 500)*CHOOSE(CONTROL!$C$42, 0.275, 0.275)*CHOOSE(CONTROL!$C$42, 30, 30))/1000000</f>
        <v>4.125</v>
      </c>
      <c r="W808" s="38">
        <f>(1000*CHOOSE(CONTROL!$C$42, 0.1146, 0.1146)*CHOOSE(CONTROL!$C$42, 121.5, 121.5)*CHOOSE(CONTROL!$C$42, 30, 30))/1000000</f>
        <v>0.417717</v>
      </c>
      <c r="X808" s="38">
        <f>(30*0.1790888*245000/1000000)+(30*0.2374*100000/1000000)</f>
        <v>2.0285026799999999</v>
      </c>
      <c r="Y808" s="38">
        <f>(1000*600*CHOOSE(CONTROL!$C$42, 1.0585, 1.0585)*CHOOSE(CONTROL!$C$42, 30, 30))/1000000</f>
        <v>19.053000000000001</v>
      </c>
      <c r="Z808" s="38"/>
      <c r="AA808" s="10"/>
      <c r="AB808" s="39"/>
      <c r="AC808" s="33">
        <f>(B808*141.293+C808*267.993+D808*115.016+E808*89.698+F808*40+G808*185+H808*0+I808*100+J808*300)/(141.293+267.993+115.016+89.698+0+40+185+100+300)</f>
        <v>26.54792187191283</v>
      </c>
      <c r="AD808" s="27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26.350148201438849</v>
      </c>
    </row>
    <row r="809" spans="1:30" ht="15.75" x14ac:dyDescent="0.25">
      <c r="A809" s="13">
        <v>65897</v>
      </c>
      <c r="B809" s="10">
        <f>CHOOSE(CONTROL!$C$42, 26.7652, 26.7652) * CHOOSE(CONTROL!$C$21, $C$9, 100%, $E$9)</f>
        <v>26.7652</v>
      </c>
      <c r="C809" s="10">
        <f>CHOOSE(CONTROL!$C$42, 26.7731, 26.7731) * CHOOSE(CONTROL!$C$21, $C$9, 100%, $E$9)</f>
        <v>26.773099999999999</v>
      </c>
      <c r="D809" s="10">
        <f>CHOOSE(CONTROL!$C$42, 26.9501, 26.9501) * CHOOSE(CONTROL!$C$21, $C$9, 100%, $E$9)</f>
        <v>26.950099999999999</v>
      </c>
      <c r="E809" s="10">
        <f>CHOOSE(CONTROL!$C$42, 26.9812, 26.9812) * CHOOSE(CONTROL!$C$21, $C$9, 100%, $E$9)</f>
        <v>26.981200000000001</v>
      </c>
      <c r="F809" s="10">
        <f>CHOOSE(CONTROL!$C$42, 26.7285, 26.7285)*CHOOSE(CONTROL!$C$21, $C$9, 100%, $E$9)</f>
        <v>26.7285</v>
      </c>
      <c r="G809" s="10">
        <f>CHOOSE(CONTROL!$C$42, 26.745, 26.745)*CHOOSE(CONTROL!$C$21, $C$9, 100%, $E$9)</f>
        <v>26.745000000000001</v>
      </c>
      <c r="H809" s="10">
        <f>CHOOSE(CONTROL!$C$42, 26.9699, 26.9699) * CHOOSE(CONTROL!$C$21, $C$9, 100%, $E$9)</f>
        <v>26.969899999999999</v>
      </c>
      <c r="I809" s="10">
        <f>CHOOSE(CONTROL!$C$42, 26.7498, 26.7498)* CHOOSE(CONTROL!$C$21, $C$9, 100%, $E$9)</f>
        <v>26.7498</v>
      </c>
      <c r="J809" s="10">
        <f>CHOOSE(CONTROL!$C$42, 26.7215, 26.7215)* CHOOSE(CONTROL!$C$21, $C$9, 100%, $E$9)</f>
        <v>26.721499999999999</v>
      </c>
      <c r="K809" s="10">
        <f>CHOOSE(CONTROL!$C$42, 26.1242, 26.1242) * CHOOSE(CONTROL!$C$21, $C$9, 100%, $E$9)</f>
        <v>26.124199999999998</v>
      </c>
      <c r="L809" s="10">
        <f>CHOOSE(CONTROL!$C$42, 27.5569, 27.5569) * CHOOSE(CONTROL!$C$21, $C$9, 100%, $E$9)</f>
        <v>27.556899999999999</v>
      </c>
      <c r="M809" s="10">
        <f>CHOOSE(CONTROL!$C$42, 26.4657, 26.4657) * CHOOSE(CONTROL!$C$21, $C$9, 100%, $E$9)</f>
        <v>26.465699999999998</v>
      </c>
      <c r="N809" s="10">
        <f>CHOOSE(CONTROL!$C$42, 26.482, 26.482) * CHOOSE(CONTROL!$C$21, $C$9, 100%, $E$9)</f>
        <v>26.481999999999999</v>
      </c>
      <c r="O809" s="10">
        <f>CHOOSE(CONTROL!$C$42, 26.7115, 26.7115) * CHOOSE(CONTROL!$C$21, $C$9, 100%, $E$9)</f>
        <v>26.711500000000001</v>
      </c>
      <c r="P809" s="10">
        <f>CHOOSE(CONTROL!$C$42, 26.4937, 26.4937) * CHOOSE(CONTROL!$C$21, $C$9, 100%, $E$9)</f>
        <v>26.4937</v>
      </c>
      <c r="Q809" s="10">
        <f>CHOOSE(CONTROL!$C$42, 27.3068, 27.3068) * CHOOSE(CONTROL!$C$21, $C$9, 100%, $E$9)</f>
        <v>27.306799999999999</v>
      </c>
      <c r="R809" s="10">
        <f>CHOOSE(CONTROL!$C$42, 27.9621, 27.9621) * CHOOSE(CONTROL!$C$21, $C$9, 100%, $E$9)</f>
        <v>27.9621</v>
      </c>
      <c r="S809" s="10">
        <f>CHOOSE(CONTROL!$C$42, 25.9874, 25.9874) * CHOOSE(CONTROL!$C$21, $C$9, 100%, $E$9)</f>
        <v>25.987400000000001</v>
      </c>
      <c r="T8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38">
        <f>(1000*CHOOSE(CONTROL!$C$42, 695, 695)*CHOOSE(CONTROL!$C$42, 0.5599, 0.5599)*CHOOSE(CONTROL!$C$42, 31, 31))/1000000</f>
        <v>12.063045499999998</v>
      </c>
      <c r="V809" s="38">
        <f>(1000*CHOOSE(CONTROL!$C$42, 500, 500)*CHOOSE(CONTROL!$C$42, 0.275, 0.275)*CHOOSE(CONTROL!$C$42, 31, 31))/1000000</f>
        <v>4.2625000000000002</v>
      </c>
      <c r="W809" s="38">
        <f>(1000*CHOOSE(CONTROL!$C$42, 0.1146, 0.1146)*CHOOSE(CONTROL!$C$42, 121.5, 121.5)*CHOOSE(CONTROL!$C$42, 31, 31))/1000000</f>
        <v>0.43164089999999994</v>
      </c>
      <c r="X809" s="38">
        <f>(31*0.1790888*245000/1000000)+(31*0.2374*100000/1000000)</f>
        <v>2.0961194359999999</v>
      </c>
      <c r="Y809" s="38">
        <f>(1000*600*CHOOSE(CONTROL!$C$42, 1.0585, 1.0585)*CHOOSE(CONTROL!$C$42, 31, 31))/1000000</f>
        <v>19.688099999999999</v>
      </c>
      <c r="Z809" s="38"/>
      <c r="AA809" s="10"/>
      <c r="AB809" s="39"/>
      <c r="AC809" s="33">
        <f>(B809*194.205+C809*267.466+D809*133.845+E809*53.484+F809*40+G809*185+H809*0+I809*100+J809*300)/(194.205+267.466+133.845+53.484+0+40+185+100+300)</f>
        <v>26.779767084693876</v>
      </c>
      <c r="AD809" s="27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26.582072661870502</v>
      </c>
    </row>
    <row r="810" spans="1:30" ht="15.75" x14ac:dyDescent="0.25">
      <c r="A810" s="13">
        <v>65927</v>
      </c>
      <c r="B810" s="10">
        <f>CHOOSE(CONTROL!$C$42, 27.5243, 27.5243) * CHOOSE(CONTROL!$C$21, $C$9, 100%, $E$9)</f>
        <v>27.5243</v>
      </c>
      <c r="C810" s="10">
        <f>CHOOSE(CONTROL!$C$42, 27.5322, 27.5322) * CHOOSE(CONTROL!$C$21, $C$9, 100%, $E$9)</f>
        <v>27.5322</v>
      </c>
      <c r="D810" s="10">
        <f>CHOOSE(CONTROL!$C$42, 27.7092, 27.7092) * CHOOSE(CONTROL!$C$21, $C$9, 100%, $E$9)</f>
        <v>27.709199999999999</v>
      </c>
      <c r="E810" s="10">
        <f>CHOOSE(CONTROL!$C$42, 27.7403, 27.7403) * CHOOSE(CONTROL!$C$21, $C$9, 100%, $E$9)</f>
        <v>27.740300000000001</v>
      </c>
      <c r="F810" s="10">
        <f>CHOOSE(CONTROL!$C$42, 27.4878, 27.4878)*CHOOSE(CONTROL!$C$21, $C$9, 100%, $E$9)</f>
        <v>27.4878</v>
      </c>
      <c r="G810" s="10">
        <f>CHOOSE(CONTROL!$C$42, 27.5043, 27.5043)*CHOOSE(CONTROL!$C$21, $C$9, 100%, $E$9)</f>
        <v>27.504300000000001</v>
      </c>
      <c r="H810" s="10">
        <f>CHOOSE(CONTROL!$C$42, 27.7289, 27.7289) * CHOOSE(CONTROL!$C$21, $C$9, 100%, $E$9)</f>
        <v>27.728899999999999</v>
      </c>
      <c r="I810" s="10">
        <f>CHOOSE(CONTROL!$C$42, 27.5088, 27.5088)* CHOOSE(CONTROL!$C$21, $C$9, 100%, $E$9)</f>
        <v>27.508800000000001</v>
      </c>
      <c r="J810" s="10">
        <f>CHOOSE(CONTROL!$C$42, 27.4808, 27.4808)* CHOOSE(CONTROL!$C$21, $C$9, 100%, $E$9)</f>
        <v>27.480799999999999</v>
      </c>
      <c r="K810" s="10">
        <f>CHOOSE(CONTROL!$C$42, 26.862, 26.862) * CHOOSE(CONTROL!$C$21, $C$9, 100%, $E$9)</f>
        <v>26.861999999999998</v>
      </c>
      <c r="L810" s="10">
        <f>CHOOSE(CONTROL!$C$42, 28.3159, 28.3159) * CHOOSE(CONTROL!$C$21, $C$9, 100%, $E$9)</f>
        <v>28.315899999999999</v>
      </c>
      <c r="M810" s="10">
        <f>CHOOSE(CONTROL!$C$42, 27.2173, 27.2173) * CHOOSE(CONTROL!$C$21, $C$9, 100%, $E$9)</f>
        <v>27.217300000000002</v>
      </c>
      <c r="N810" s="10">
        <f>CHOOSE(CONTROL!$C$42, 27.2337, 27.2337) * CHOOSE(CONTROL!$C$21, $C$9, 100%, $E$9)</f>
        <v>27.233699999999999</v>
      </c>
      <c r="O810" s="10">
        <f>CHOOSE(CONTROL!$C$42, 27.4629, 27.4629) * CHOOSE(CONTROL!$C$21, $C$9, 100%, $E$9)</f>
        <v>27.462900000000001</v>
      </c>
      <c r="P810" s="10">
        <f>CHOOSE(CONTROL!$C$42, 27.2451, 27.2451) * CHOOSE(CONTROL!$C$21, $C$9, 100%, $E$9)</f>
        <v>27.245100000000001</v>
      </c>
      <c r="Q810" s="10">
        <f>CHOOSE(CONTROL!$C$42, 28.0582, 28.0582) * CHOOSE(CONTROL!$C$21, $C$9, 100%, $E$9)</f>
        <v>28.058199999999999</v>
      </c>
      <c r="R810" s="10">
        <f>CHOOSE(CONTROL!$C$42, 28.7154, 28.7154) * CHOOSE(CONTROL!$C$21, $C$9, 100%, $E$9)</f>
        <v>28.715399999999999</v>
      </c>
      <c r="S810" s="10">
        <f>CHOOSE(CONTROL!$C$42, 26.7246, 26.7246) * CHOOSE(CONTROL!$C$21, $C$9, 100%, $E$9)</f>
        <v>26.724599999999999</v>
      </c>
      <c r="T8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38">
        <f>(1000*CHOOSE(CONTROL!$C$42, 695, 695)*CHOOSE(CONTROL!$C$42, 0.5599, 0.5599)*CHOOSE(CONTROL!$C$42, 30, 30))/1000000</f>
        <v>11.673914999999997</v>
      </c>
      <c r="V810" s="38">
        <f>(1000*CHOOSE(CONTROL!$C$42, 500, 500)*CHOOSE(CONTROL!$C$42, 0.275, 0.275)*CHOOSE(CONTROL!$C$42, 30, 30))/1000000</f>
        <v>4.125</v>
      </c>
      <c r="W810" s="38">
        <f>(1000*CHOOSE(CONTROL!$C$42, 0.1146, 0.1146)*CHOOSE(CONTROL!$C$42, 121.5, 121.5)*CHOOSE(CONTROL!$C$42, 30, 30))/1000000</f>
        <v>0.417717</v>
      </c>
      <c r="X810" s="38">
        <f>(30*0.1790888*245000/1000000)+(30*0.2374*100000/1000000)</f>
        <v>2.0285026799999999</v>
      </c>
      <c r="Y810" s="38">
        <f>(1000*600*CHOOSE(CONTROL!$C$42, 1.0585, 1.0585)*CHOOSE(CONTROL!$C$42, 30, 30))/1000000</f>
        <v>19.053000000000001</v>
      </c>
      <c r="Z810" s="38"/>
      <c r="AA810" s="10"/>
      <c r="AB810" s="39"/>
      <c r="AC810" s="33">
        <f>(B810*194.205+C810*267.466+D810*133.845+E810*53.484+F810*40+G810*185+H810*0+I810*100+J810*300)/(194.205+267.466+133.845+53.484+0+40+185+100+300)</f>
        <v>27.538941652982729</v>
      </c>
      <c r="AD810" s="27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27.333558992805752</v>
      </c>
    </row>
    <row r="811" spans="1:30" ht="15.75" x14ac:dyDescent="0.25">
      <c r="A811" s="13">
        <v>65958</v>
      </c>
      <c r="B811" s="10">
        <f>CHOOSE(CONTROL!$C$42, 26.9963, 26.9963) * CHOOSE(CONTROL!$C$21, $C$9, 100%, $E$9)</f>
        <v>26.996300000000002</v>
      </c>
      <c r="C811" s="10">
        <f>CHOOSE(CONTROL!$C$42, 27.0042, 27.0042) * CHOOSE(CONTROL!$C$21, $C$9, 100%, $E$9)</f>
        <v>27.004200000000001</v>
      </c>
      <c r="D811" s="10">
        <f>CHOOSE(CONTROL!$C$42, 27.1812, 27.1812) * CHOOSE(CONTROL!$C$21, $C$9, 100%, $E$9)</f>
        <v>27.1812</v>
      </c>
      <c r="E811" s="10">
        <f>CHOOSE(CONTROL!$C$42, 27.2124, 27.2124) * CHOOSE(CONTROL!$C$21, $C$9, 100%, $E$9)</f>
        <v>27.212399999999999</v>
      </c>
      <c r="F811" s="10">
        <f>CHOOSE(CONTROL!$C$42, 26.9601, 26.9601)*CHOOSE(CONTROL!$C$21, $C$9, 100%, $E$9)</f>
        <v>26.960100000000001</v>
      </c>
      <c r="G811" s="10">
        <f>CHOOSE(CONTROL!$C$42, 26.9767, 26.9767)*CHOOSE(CONTROL!$C$21, $C$9, 100%, $E$9)</f>
        <v>26.976700000000001</v>
      </c>
      <c r="H811" s="10">
        <f>CHOOSE(CONTROL!$C$42, 27.201, 27.201) * CHOOSE(CONTROL!$C$21, $C$9, 100%, $E$9)</f>
        <v>27.201000000000001</v>
      </c>
      <c r="I811" s="10">
        <f>CHOOSE(CONTROL!$C$42, 26.9809, 26.9809)* CHOOSE(CONTROL!$C$21, $C$9, 100%, $E$9)</f>
        <v>26.980899999999998</v>
      </c>
      <c r="J811" s="10">
        <f>CHOOSE(CONTROL!$C$42, 26.9531, 26.9531)* CHOOSE(CONTROL!$C$21, $C$9, 100%, $E$9)</f>
        <v>26.953099999999999</v>
      </c>
      <c r="K811" s="10">
        <f>CHOOSE(CONTROL!$C$42, 26.3496, 26.3496) * CHOOSE(CONTROL!$C$21, $C$9, 100%, $E$9)</f>
        <v>26.349599999999999</v>
      </c>
      <c r="L811" s="10">
        <f>CHOOSE(CONTROL!$C$42, 27.788, 27.788) * CHOOSE(CONTROL!$C$21, $C$9, 100%, $E$9)</f>
        <v>27.788</v>
      </c>
      <c r="M811" s="10">
        <f>CHOOSE(CONTROL!$C$42, 26.6949, 26.6949) * CHOOSE(CONTROL!$C$21, $C$9, 100%, $E$9)</f>
        <v>26.694900000000001</v>
      </c>
      <c r="N811" s="10">
        <f>CHOOSE(CONTROL!$C$42, 26.7114, 26.7114) * CHOOSE(CONTROL!$C$21, $C$9, 100%, $E$9)</f>
        <v>26.711400000000001</v>
      </c>
      <c r="O811" s="10">
        <f>CHOOSE(CONTROL!$C$42, 26.9403, 26.9403) * CHOOSE(CONTROL!$C$21, $C$9, 100%, $E$9)</f>
        <v>26.940300000000001</v>
      </c>
      <c r="P811" s="10">
        <f>CHOOSE(CONTROL!$C$42, 26.7225, 26.7225) * CHOOSE(CONTROL!$C$21, $C$9, 100%, $E$9)</f>
        <v>26.7225</v>
      </c>
      <c r="Q811" s="10">
        <f>CHOOSE(CONTROL!$C$42, 27.5356, 27.5356) * CHOOSE(CONTROL!$C$21, $C$9, 100%, $E$9)</f>
        <v>27.535599999999999</v>
      </c>
      <c r="R811" s="10">
        <f>CHOOSE(CONTROL!$C$42, 28.1914, 28.1914) * CHOOSE(CONTROL!$C$21, $C$9, 100%, $E$9)</f>
        <v>28.191400000000002</v>
      </c>
      <c r="S811" s="10">
        <f>CHOOSE(CONTROL!$C$42, 26.2119, 26.2119) * CHOOSE(CONTROL!$C$21, $C$9, 100%, $E$9)</f>
        <v>26.2119</v>
      </c>
      <c r="T8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38">
        <f>(1000*CHOOSE(CONTROL!$C$42, 695, 695)*CHOOSE(CONTROL!$C$42, 0.5599, 0.5599)*CHOOSE(CONTROL!$C$42, 31, 31))/1000000</f>
        <v>12.063045499999998</v>
      </c>
      <c r="V811" s="38">
        <f>(1000*CHOOSE(CONTROL!$C$42, 500, 500)*CHOOSE(CONTROL!$C$42, 0.275, 0.275)*CHOOSE(CONTROL!$C$42, 31, 31))/1000000</f>
        <v>4.2625000000000002</v>
      </c>
      <c r="W811" s="38">
        <f>(1000*CHOOSE(CONTROL!$C$42, 0.1146, 0.1146)*CHOOSE(CONTROL!$C$42, 121.5, 121.5)*CHOOSE(CONTROL!$C$42, 31, 31))/1000000</f>
        <v>0.43164089999999994</v>
      </c>
      <c r="X811" s="38">
        <f>(31*0.1790888*245000/1000000)+(31*0.2374*100000/1000000)</f>
        <v>2.0961194359999999</v>
      </c>
      <c r="Y811" s="38">
        <f>(1000*600*CHOOSE(CONTROL!$C$42, 1.0585, 1.0585)*CHOOSE(CONTROL!$C$42, 31, 31))/1000000</f>
        <v>19.688099999999999</v>
      </c>
      <c r="Z811" s="38"/>
      <c r="AA811" s="10"/>
      <c r="AB811" s="39"/>
      <c r="AC811" s="33">
        <f>(B811*194.205+C811*267.466+D811*133.845+E811*53.484+F811*40+G811*185+H811*0+I811*100+J811*300)/(194.205+267.466+133.845+53.484+0+40+185+100+300)</f>
        <v>27.011091847959186</v>
      </c>
      <c r="AD811" s="27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26.811045323741009</v>
      </c>
    </row>
    <row r="812" spans="1:30" ht="15.75" x14ac:dyDescent="0.25">
      <c r="A812" s="13">
        <v>65989</v>
      </c>
      <c r="B812" s="10">
        <f>CHOOSE(CONTROL!$C$42, 25.6631, 25.6631) * CHOOSE(CONTROL!$C$21, $C$9, 100%, $E$9)</f>
        <v>25.6631</v>
      </c>
      <c r="C812" s="10">
        <f>CHOOSE(CONTROL!$C$42, 25.671, 25.671) * CHOOSE(CONTROL!$C$21, $C$9, 100%, $E$9)</f>
        <v>25.670999999999999</v>
      </c>
      <c r="D812" s="10">
        <f>CHOOSE(CONTROL!$C$42, 25.848, 25.848) * CHOOSE(CONTROL!$C$21, $C$9, 100%, $E$9)</f>
        <v>25.847999999999999</v>
      </c>
      <c r="E812" s="10">
        <f>CHOOSE(CONTROL!$C$42, 25.8791, 25.8791) * CHOOSE(CONTROL!$C$21, $C$9, 100%, $E$9)</f>
        <v>25.879100000000001</v>
      </c>
      <c r="F812" s="10">
        <f>CHOOSE(CONTROL!$C$42, 25.6269, 25.6269)*CHOOSE(CONTROL!$C$21, $C$9, 100%, $E$9)</f>
        <v>25.626899999999999</v>
      </c>
      <c r="G812" s="10">
        <f>CHOOSE(CONTROL!$C$42, 25.6436, 25.6436)*CHOOSE(CONTROL!$C$21, $C$9, 100%, $E$9)</f>
        <v>25.643599999999999</v>
      </c>
      <c r="H812" s="10">
        <f>CHOOSE(CONTROL!$C$42, 25.8678, 25.8678) * CHOOSE(CONTROL!$C$21, $C$9, 100%, $E$9)</f>
        <v>25.867799999999999</v>
      </c>
      <c r="I812" s="10">
        <f>CHOOSE(CONTROL!$C$42, 25.6477, 25.6477)* CHOOSE(CONTROL!$C$21, $C$9, 100%, $E$9)</f>
        <v>25.6477</v>
      </c>
      <c r="J812" s="10">
        <f>CHOOSE(CONTROL!$C$42, 25.6199, 25.6199)* CHOOSE(CONTROL!$C$21, $C$9, 100%, $E$9)</f>
        <v>25.619900000000001</v>
      </c>
      <c r="K812" s="10">
        <f>CHOOSE(CONTROL!$C$42, 25.0544, 25.0544) * CHOOSE(CONTROL!$C$21, $C$9, 100%, $E$9)</f>
        <v>25.054400000000001</v>
      </c>
      <c r="L812" s="10">
        <f>CHOOSE(CONTROL!$C$42, 26.4548, 26.4548) * CHOOSE(CONTROL!$C$21, $C$9, 100%, $E$9)</f>
        <v>26.454799999999999</v>
      </c>
      <c r="M812" s="10">
        <f>CHOOSE(CONTROL!$C$42, 25.3752, 25.3752) * CHOOSE(CONTROL!$C$21, $C$9, 100%, $E$9)</f>
        <v>25.3752</v>
      </c>
      <c r="N812" s="10">
        <f>CHOOSE(CONTROL!$C$42, 25.3917, 25.3917) * CHOOSE(CONTROL!$C$21, $C$9, 100%, $E$9)</f>
        <v>25.3917</v>
      </c>
      <c r="O812" s="10">
        <f>CHOOSE(CONTROL!$C$42, 25.6205, 25.6205) * CHOOSE(CONTROL!$C$21, $C$9, 100%, $E$9)</f>
        <v>25.6205</v>
      </c>
      <c r="P812" s="10">
        <f>CHOOSE(CONTROL!$C$42, 25.4027, 25.4027) * CHOOSE(CONTROL!$C$21, $C$9, 100%, $E$9)</f>
        <v>25.402699999999999</v>
      </c>
      <c r="Q812" s="10">
        <f>CHOOSE(CONTROL!$C$42, 26.2158, 26.2158) * CHOOSE(CONTROL!$C$21, $C$9, 100%, $E$9)</f>
        <v>26.215800000000002</v>
      </c>
      <c r="R812" s="10">
        <f>CHOOSE(CONTROL!$C$42, 26.8684, 26.8684) * CHOOSE(CONTROL!$C$21, $C$9, 100%, $E$9)</f>
        <v>26.868400000000001</v>
      </c>
      <c r="S812" s="10">
        <f>CHOOSE(CONTROL!$C$42, 24.9172, 24.9172) * CHOOSE(CONTROL!$C$21, $C$9, 100%, $E$9)</f>
        <v>24.917200000000001</v>
      </c>
      <c r="T8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38">
        <f>(1000*CHOOSE(CONTROL!$C$42, 695, 695)*CHOOSE(CONTROL!$C$42, 0.5599, 0.5599)*CHOOSE(CONTROL!$C$42, 31, 31))/1000000</f>
        <v>12.063045499999998</v>
      </c>
      <c r="V812" s="38">
        <f>(1000*CHOOSE(CONTROL!$C$42, 500, 500)*CHOOSE(CONTROL!$C$42, 0.275, 0.275)*CHOOSE(CONTROL!$C$42, 31, 31))/1000000</f>
        <v>4.2625000000000002</v>
      </c>
      <c r="W812" s="38">
        <f>(1000*CHOOSE(CONTROL!$C$42, 0.1146, 0.1146)*CHOOSE(CONTROL!$C$42, 121.5, 121.5)*CHOOSE(CONTROL!$C$42, 31, 31))/1000000</f>
        <v>0.43164089999999994</v>
      </c>
      <c r="X812" s="38">
        <f>(31*0.1790888*245000/1000000)+(31*0.2374*100000/1000000)</f>
        <v>2.0961194359999999</v>
      </c>
      <c r="Y812" s="38">
        <f>(1000*600*CHOOSE(CONTROL!$C$42, 1.0585, 1.0585)*CHOOSE(CONTROL!$C$42, 31, 31))/1000000</f>
        <v>19.688099999999999</v>
      </c>
      <c r="Z812" s="38"/>
      <c r="AA812" s="10"/>
      <c r="AB812" s="39"/>
      <c r="AC812" s="33">
        <f>(B812*194.205+C812*267.466+D812*133.845+E812*53.484+F812*40+G812*185+H812*0+I812*100+J812*300)/(194.205+267.466+133.845+53.484+0+40+185+100+300)</f>
        <v>25.677902171036109</v>
      </c>
      <c r="AD812" s="27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25.491285611510786</v>
      </c>
    </row>
    <row r="813" spans="1:30" ht="15.75" x14ac:dyDescent="0.25">
      <c r="A813" s="13">
        <v>66019</v>
      </c>
      <c r="B813" s="10">
        <f>CHOOSE(CONTROL!$C$42, 24.0342, 24.0342) * CHOOSE(CONTROL!$C$21, $C$9, 100%, $E$9)</f>
        <v>24.034199999999998</v>
      </c>
      <c r="C813" s="10">
        <f>CHOOSE(CONTROL!$C$42, 24.0421, 24.0421) * CHOOSE(CONTROL!$C$21, $C$9, 100%, $E$9)</f>
        <v>24.042100000000001</v>
      </c>
      <c r="D813" s="10">
        <f>CHOOSE(CONTROL!$C$42, 24.2191, 24.2191) * CHOOSE(CONTROL!$C$21, $C$9, 100%, $E$9)</f>
        <v>24.219100000000001</v>
      </c>
      <c r="E813" s="10">
        <f>CHOOSE(CONTROL!$C$42, 24.2502, 24.2502) * CHOOSE(CONTROL!$C$21, $C$9, 100%, $E$9)</f>
        <v>24.2502</v>
      </c>
      <c r="F813" s="10">
        <f>CHOOSE(CONTROL!$C$42, 23.9977, 23.9977)*CHOOSE(CONTROL!$C$21, $C$9, 100%, $E$9)</f>
        <v>23.997699999999998</v>
      </c>
      <c r="G813" s="10">
        <f>CHOOSE(CONTROL!$C$42, 24.0143, 24.0143)*CHOOSE(CONTROL!$C$21, $C$9, 100%, $E$9)</f>
        <v>24.014299999999999</v>
      </c>
      <c r="H813" s="10">
        <f>CHOOSE(CONTROL!$C$42, 24.2388, 24.2388) * CHOOSE(CONTROL!$C$21, $C$9, 100%, $E$9)</f>
        <v>24.238800000000001</v>
      </c>
      <c r="I813" s="10">
        <f>CHOOSE(CONTROL!$C$42, 24.0187, 24.0187)* CHOOSE(CONTROL!$C$21, $C$9, 100%, $E$9)</f>
        <v>24.018699999999999</v>
      </c>
      <c r="J813" s="10">
        <f>CHOOSE(CONTROL!$C$42, 23.9907, 23.9907)* CHOOSE(CONTROL!$C$21, $C$9, 100%, $E$9)</f>
        <v>23.9907</v>
      </c>
      <c r="K813" s="10">
        <f>CHOOSE(CONTROL!$C$42, 23.4712, 23.4712) * CHOOSE(CONTROL!$C$21, $C$9, 100%, $E$9)</f>
        <v>23.4712</v>
      </c>
      <c r="L813" s="10">
        <f>CHOOSE(CONTROL!$C$42, 24.8258, 24.8258) * CHOOSE(CONTROL!$C$21, $C$9, 100%, $E$9)</f>
        <v>24.825800000000001</v>
      </c>
      <c r="M813" s="10">
        <f>CHOOSE(CONTROL!$C$42, 23.7625, 23.7625) * CHOOSE(CONTROL!$C$21, $C$9, 100%, $E$9)</f>
        <v>23.762499999999999</v>
      </c>
      <c r="N813" s="10">
        <f>CHOOSE(CONTROL!$C$42, 23.7788, 23.7788) * CHOOSE(CONTROL!$C$21, $C$9, 100%, $E$9)</f>
        <v>23.7788</v>
      </c>
      <c r="O813" s="10">
        <f>CHOOSE(CONTROL!$C$42, 24.008, 24.008) * CHOOSE(CONTROL!$C$21, $C$9, 100%, $E$9)</f>
        <v>24.007999999999999</v>
      </c>
      <c r="P813" s="10">
        <f>CHOOSE(CONTROL!$C$42, 23.7902, 23.7902) * CHOOSE(CONTROL!$C$21, $C$9, 100%, $E$9)</f>
        <v>23.790199999999999</v>
      </c>
      <c r="Q813" s="10">
        <f>CHOOSE(CONTROL!$C$42, 24.6033, 24.6033) * CHOOSE(CONTROL!$C$21, $C$9, 100%, $E$9)</f>
        <v>24.603300000000001</v>
      </c>
      <c r="R813" s="10">
        <f>CHOOSE(CONTROL!$C$42, 25.2519, 25.2519) * CHOOSE(CONTROL!$C$21, $C$9, 100%, $E$9)</f>
        <v>25.251899999999999</v>
      </c>
      <c r="S813" s="10">
        <f>CHOOSE(CONTROL!$C$42, 23.3353, 23.3353) * CHOOSE(CONTROL!$C$21, $C$9, 100%, $E$9)</f>
        <v>23.3353</v>
      </c>
      <c r="T8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38">
        <f>(1000*CHOOSE(CONTROL!$C$42, 695, 695)*CHOOSE(CONTROL!$C$42, 0.5599, 0.5599)*CHOOSE(CONTROL!$C$42, 30, 30))/1000000</f>
        <v>11.673914999999997</v>
      </c>
      <c r="V813" s="38">
        <f>(1000*CHOOSE(CONTROL!$C$42, 500, 500)*CHOOSE(CONTROL!$C$42, 0.275, 0.275)*CHOOSE(CONTROL!$C$42, 30, 30))/1000000</f>
        <v>4.125</v>
      </c>
      <c r="W813" s="38">
        <f>(1000*CHOOSE(CONTROL!$C$42, 0.1146, 0.1146)*CHOOSE(CONTROL!$C$42, 121.5, 121.5)*CHOOSE(CONTROL!$C$42, 30, 30))/1000000</f>
        <v>0.417717</v>
      </c>
      <c r="X813" s="38">
        <f>(30*0.1790888*245000/1000000)+(30*0.2374*100000/1000000)</f>
        <v>2.0285026799999999</v>
      </c>
      <c r="Y813" s="38">
        <f>(1000*600*CHOOSE(CONTROL!$C$42, 1.0585, 1.0585)*CHOOSE(CONTROL!$C$42, 30, 30))/1000000</f>
        <v>19.053000000000001</v>
      </c>
      <c r="Z813" s="38"/>
      <c r="AA813" s="10"/>
      <c r="AB813" s="39"/>
      <c r="AC813" s="33">
        <f>(B813*194.205+C813*267.466+D813*133.845+E813*53.484+F813*40+G813*185+H813*0+I813*100+J813*300)/(194.205+267.466+133.845+53.484+0+40+185+100+300)</f>
        <v>24.048856174175825</v>
      </c>
      <c r="AD813" s="27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23.878693525179855</v>
      </c>
    </row>
    <row r="814" spans="1:30" ht="15.75" x14ac:dyDescent="0.25">
      <c r="A814" s="13">
        <v>66050</v>
      </c>
      <c r="B814" s="10">
        <f>CHOOSE(CONTROL!$C$42, 23.5441, 23.5441) * CHOOSE(CONTROL!$C$21, $C$9, 100%, $E$9)</f>
        <v>23.5441</v>
      </c>
      <c r="C814" s="10">
        <f>CHOOSE(CONTROL!$C$42, 23.5493, 23.5493) * CHOOSE(CONTROL!$C$21, $C$9, 100%, $E$9)</f>
        <v>23.549299999999999</v>
      </c>
      <c r="D814" s="10">
        <f>CHOOSE(CONTROL!$C$42, 23.7313, 23.7313) * CHOOSE(CONTROL!$C$21, $C$9, 100%, $E$9)</f>
        <v>23.731300000000001</v>
      </c>
      <c r="E814" s="10">
        <f>CHOOSE(CONTROL!$C$42, 23.7601, 23.7601) * CHOOSE(CONTROL!$C$21, $C$9, 100%, $E$9)</f>
        <v>23.760100000000001</v>
      </c>
      <c r="F814" s="10">
        <f>CHOOSE(CONTROL!$C$42, 23.5097, 23.5097)*CHOOSE(CONTROL!$C$21, $C$9, 100%, $E$9)</f>
        <v>23.509699999999999</v>
      </c>
      <c r="G814" s="10">
        <f>CHOOSE(CONTROL!$C$42, 23.526, 23.526)*CHOOSE(CONTROL!$C$21, $C$9, 100%, $E$9)</f>
        <v>23.526</v>
      </c>
      <c r="H814" s="10">
        <f>CHOOSE(CONTROL!$C$42, 23.7506, 23.7506) * CHOOSE(CONTROL!$C$21, $C$9, 100%, $E$9)</f>
        <v>23.750599999999999</v>
      </c>
      <c r="I814" s="10">
        <f>CHOOSE(CONTROL!$C$42, 23.5305, 23.5305)* CHOOSE(CONTROL!$C$21, $C$9, 100%, $E$9)</f>
        <v>23.5305</v>
      </c>
      <c r="J814" s="10">
        <f>CHOOSE(CONTROL!$C$42, 23.5027, 23.5027)* CHOOSE(CONTROL!$C$21, $C$9, 100%, $E$9)</f>
        <v>23.502700000000001</v>
      </c>
      <c r="K814" s="10">
        <f>CHOOSE(CONTROL!$C$42, 22.9974, 22.9974) * CHOOSE(CONTROL!$C$21, $C$9, 100%, $E$9)</f>
        <v>22.997399999999999</v>
      </c>
      <c r="L814" s="10">
        <f>CHOOSE(CONTROL!$C$42, 24.3376, 24.3376) * CHOOSE(CONTROL!$C$21, $C$9, 100%, $E$9)</f>
        <v>24.337599999999998</v>
      </c>
      <c r="M814" s="10">
        <f>CHOOSE(CONTROL!$C$42, 23.2794, 23.2794) * CHOOSE(CONTROL!$C$21, $C$9, 100%, $E$9)</f>
        <v>23.279399999999999</v>
      </c>
      <c r="N814" s="10">
        <f>CHOOSE(CONTROL!$C$42, 23.2954, 23.2954) * CHOOSE(CONTROL!$C$21, $C$9, 100%, $E$9)</f>
        <v>23.295400000000001</v>
      </c>
      <c r="O814" s="10">
        <f>CHOOSE(CONTROL!$C$42, 23.5247, 23.5247) * CHOOSE(CONTROL!$C$21, $C$9, 100%, $E$9)</f>
        <v>23.524699999999999</v>
      </c>
      <c r="P814" s="10">
        <f>CHOOSE(CONTROL!$C$42, 23.3069, 23.3069) * CHOOSE(CONTROL!$C$21, $C$9, 100%, $E$9)</f>
        <v>23.306899999999999</v>
      </c>
      <c r="Q814" s="10">
        <f>CHOOSE(CONTROL!$C$42, 24.12, 24.12) * CHOOSE(CONTROL!$C$21, $C$9, 100%, $E$9)</f>
        <v>24.12</v>
      </c>
      <c r="R814" s="10">
        <f>CHOOSE(CONTROL!$C$42, 24.7673, 24.7673) * CHOOSE(CONTROL!$C$21, $C$9, 100%, $E$9)</f>
        <v>24.767299999999999</v>
      </c>
      <c r="S814" s="10">
        <f>CHOOSE(CONTROL!$C$42, 22.8612, 22.8612) * CHOOSE(CONTROL!$C$21, $C$9, 100%, $E$9)</f>
        <v>22.8612</v>
      </c>
      <c r="T8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38">
        <f>(1000*CHOOSE(CONTROL!$C$42, 695, 695)*CHOOSE(CONTROL!$C$42, 0.5599, 0.5599)*CHOOSE(CONTROL!$C$42, 31, 31))/1000000</f>
        <v>12.063045499999998</v>
      </c>
      <c r="V814" s="38">
        <f>(1000*CHOOSE(CONTROL!$C$42, 500, 500)*CHOOSE(CONTROL!$C$42, 0.275, 0.275)*CHOOSE(CONTROL!$C$42, 31, 31))/1000000</f>
        <v>4.2625000000000002</v>
      </c>
      <c r="W814" s="38">
        <f>(1000*CHOOSE(CONTROL!$C$42, 0.1146, 0.1146)*CHOOSE(CONTROL!$C$42, 121.5, 121.5)*CHOOSE(CONTROL!$C$42, 31, 31))/1000000</f>
        <v>0.43164089999999994</v>
      </c>
      <c r="X814" s="38">
        <f>(31*0.1790888*245000/1000000)+(31*0.2374*100000/1000000)</f>
        <v>2.0961194359999999</v>
      </c>
      <c r="Y814" s="38">
        <f>(1000*600*CHOOSE(CONTROL!$C$42, 1.0585, 1.0585)*CHOOSE(CONTROL!$C$42, 31, 31))/1000000</f>
        <v>19.688099999999999</v>
      </c>
      <c r="Z814" s="38"/>
      <c r="AA814" s="10"/>
      <c r="AB814" s="39"/>
      <c r="AC814" s="33">
        <f>(B814*131.881+C814*277.167+D814*79.08+E814*125.872+F814*40+G814*185+H814*0+I814*100+J814*300)/(131.881+277.167+79.08+125.872+0+40+185+100+300)</f>
        <v>23.564220174656981</v>
      </c>
      <c r="AD814" s="27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23.395456834532375</v>
      </c>
    </row>
    <row r="815" spans="1:30" ht="15.75" x14ac:dyDescent="0.25">
      <c r="A815" s="13">
        <v>66080</v>
      </c>
      <c r="B815" s="10">
        <f>CHOOSE(CONTROL!$C$42, 24.1639, 24.1639) * CHOOSE(CONTROL!$C$21, $C$9, 100%, $E$9)</f>
        <v>24.163900000000002</v>
      </c>
      <c r="C815" s="10">
        <f>CHOOSE(CONTROL!$C$42, 24.1688, 24.1688) * CHOOSE(CONTROL!$C$21, $C$9, 100%, $E$9)</f>
        <v>24.168800000000001</v>
      </c>
      <c r="D815" s="10">
        <f>CHOOSE(CONTROL!$C$42, 24.1933, 24.1933) * CHOOSE(CONTROL!$C$21, $C$9, 100%, $E$9)</f>
        <v>24.193300000000001</v>
      </c>
      <c r="E815" s="10">
        <f>CHOOSE(CONTROL!$C$42, 24.2271, 24.2271) * CHOOSE(CONTROL!$C$21, $C$9, 100%, $E$9)</f>
        <v>24.2271</v>
      </c>
      <c r="F815" s="10">
        <f>CHOOSE(CONTROL!$C$42, 24.1332, 24.1332)*CHOOSE(CONTROL!$C$21, $C$9, 100%, $E$9)</f>
        <v>24.133199999999999</v>
      </c>
      <c r="G815" s="10">
        <f>CHOOSE(CONTROL!$C$42, 24.1496, 24.1496)*CHOOSE(CONTROL!$C$21, $C$9, 100%, $E$9)</f>
        <v>24.1496</v>
      </c>
      <c r="H815" s="10">
        <f>CHOOSE(CONTROL!$C$42, 24.2163, 24.2163) * CHOOSE(CONTROL!$C$21, $C$9, 100%, $E$9)</f>
        <v>24.2163</v>
      </c>
      <c r="I815" s="10">
        <f>CHOOSE(CONTROL!$C$42, 24.1507, 24.1507)* CHOOSE(CONTROL!$C$21, $C$9, 100%, $E$9)</f>
        <v>24.150700000000001</v>
      </c>
      <c r="J815" s="10">
        <f>CHOOSE(CONTROL!$C$42, 24.1262, 24.1262)* CHOOSE(CONTROL!$C$21, $C$9, 100%, $E$9)</f>
        <v>24.126200000000001</v>
      </c>
      <c r="K815" s="10">
        <f>CHOOSE(CONTROL!$C$42, 23.6015, 23.6015) * CHOOSE(CONTROL!$C$21, $C$9, 100%, $E$9)</f>
        <v>23.601500000000001</v>
      </c>
      <c r="L815" s="10">
        <f>CHOOSE(CONTROL!$C$42, 24.8033, 24.8033) * CHOOSE(CONTROL!$C$21, $C$9, 100%, $E$9)</f>
        <v>24.8033</v>
      </c>
      <c r="M815" s="10">
        <f>CHOOSE(CONTROL!$C$42, 23.8966, 23.8966) * CHOOSE(CONTROL!$C$21, $C$9, 100%, $E$9)</f>
        <v>23.896599999999999</v>
      </c>
      <c r="N815" s="10">
        <f>CHOOSE(CONTROL!$C$42, 23.9128, 23.9128) * CHOOSE(CONTROL!$C$21, $C$9, 100%, $E$9)</f>
        <v>23.912800000000001</v>
      </c>
      <c r="O815" s="10">
        <f>CHOOSE(CONTROL!$C$42, 23.9857, 23.9857) * CHOOSE(CONTROL!$C$21, $C$9, 100%, $E$9)</f>
        <v>23.985700000000001</v>
      </c>
      <c r="P815" s="10">
        <f>CHOOSE(CONTROL!$C$42, 23.9208, 23.9208) * CHOOSE(CONTROL!$C$21, $C$9, 100%, $E$9)</f>
        <v>23.9208</v>
      </c>
      <c r="Q815" s="10">
        <f>CHOOSE(CONTROL!$C$42, 24.581, 24.581) * CHOOSE(CONTROL!$C$21, $C$9, 100%, $E$9)</f>
        <v>24.581</v>
      </c>
      <c r="R815" s="10">
        <f>CHOOSE(CONTROL!$C$42, 25.2295, 25.2295) * CHOOSE(CONTROL!$C$21, $C$9, 100%, $E$9)</f>
        <v>25.229500000000002</v>
      </c>
      <c r="S815" s="10">
        <f>CHOOSE(CONTROL!$C$42, 23.4634, 23.4634) * CHOOSE(CONTROL!$C$21, $C$9, 100%, $E$9)</f>
        <v>23.4634</v>
      </c>
      <c r="T8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38">
        <f>(1000*CHOOSE(CONTROL!$C$42, 695, 695)*CHOOSE(CONTROL!$C$42, 0.5599, 0.5599)*CHOOSE(CONTROL!$C$42, 30, 30))/1000000</f>
        <v>11.673914999999997</v>
      </c>
      <c r="V815" s="38">
        <f>(1000*CHOOSE(CONTROL!$C$42, 500, 500)*CHOOSE(CONTROL!$C$42, 0.275, 0.275)*CHOOSE(CONTROL!$C$42, 30, 30))/1000000</f>
        <v>4.125</v>
      </c>
      <c r="W815" s="38">
        <f>(1000*CHOOSE(CONTROL!$C$42, 0.1146, 0.1146)*CHOOSE(CONTROL!$C$42, 121.5, 121.5)*CHOOSE(CONTROL!$C$42, 30, 30))/1000000</f>
        <v>0.417717</v>
      </c>
      <c r="X815" s="38">
        <f>(30*0.1790888*100000/1000000)+(30*0.2374*100000/1000000)</f>
        <v>1.2494664</v>
      </c>
      <c r="Y815" s="38">
        <f>(1000*600*CHOOSE(CONTROL!$C$42, 1.0585, 1.0585)*CHOOSE(CONTROL!$C$42, 30, 30))/1000000</f>
        <v>19.053000000000001</v>
      </c>
      <c r="Z815" s="38"/>
      <c r="AA815" s="10"/>
      <c r="AB815" s="39"/>
      <c r="AC815" s="33">
        <f>(B815*122.58+C815*297.941+D815*89.177+E815*40.302+F815*40+G815*160+H815*0+I815*100+J815*300)/(122.58+297.941+89.177+40.302+0+40+160+100+300)</f>
        <v>24.155624174869565</v>
      </c>
      <c r="AD815" s="27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23.941397841726623</v>
      </c>
    </row>
    <row r="816" spans="1:30" ht="15.75" x14ac:dyDescent="0.25">
      <c r="A816" s="13">
        <v>66111</v>
      </c>
      <c r="B816" s="10">
        <f>CHOOSE(CONTROL!$C$42, 25.8112, 25.8112) * CHOOSE(CONTROL!$C$21, $C$9, 100%, $E$9)</f>
        <v>25.811199999999999</v>
      </c>
      <c r="C816" s="10">
        <f>CHOOSE(CONTROL!$C$42, 25.8161, 25.8161) * CHOOSE(CONTROL!$C$21, $C$9, 100%, $E$9)</f>
        <v>25.816099999999999</v>
      </c>
      <c r="D816" s="10">
        <f>CHOOSE(CONTROL!$C$42, 25.8406, 25.8406) * CHOOSE(CONTROL!$C$21, $C$9, 100%, $E$9)</f>
        <v>25.840599999999998</v>
      </c>
      <c r="E816" s="10">
        <f>CHOOSE(CONTROL!$C$42, 25.8744, 25.8744) * CHOOSE(CONTROL!$C$21, $C$9, 100%, $E$9)</f>
        <v>25.874400000000001</v>
      </c>
      <c r="F816" s="10">
        <f>CHOOSE(CONTROL!$C$42, 25.7828, 25.7828)*CHOOSE(CONTROL!$C$21, $C$9, 100%, $E$9)</f>
        <v>25.782800000000002</v>
      </c>
      <c r="G816" s="10">
        <f>CHOOSE(CONTROL!$C$42, 25.7998, 25.7998)*CHOOSE(CONTROL!$C$21, $C$9, 100%, $E$9)</f>
        <v>25.799800000000001</v>
      </c>
      <c r="H816" s="10">
        <f>CHOOSE(CONTROL!$C$42, 25.8635, 25.8635) * CHOOSE(CONTROL!$C$21, $C$9, 100%, $E$9)</f>
        <v>25.863499999999998</v>
      </c>
      <c r="I816" s="10">
        <f>CHOOSE(CONTROL!$C$42, 25.7979, 25.7979)* CHOOSE(CONTROL!$C$21, $C$9, 100%, $E$9)</f>
        <v>25.797899999999998</v>
      </c>
      <c r="J816" s="10">
        <f>CHOOSE(CONTROL!$C$42, 25.7758, 25.7758)* CHOOSE(CONTROL!$C$21, $C$9, 100%, $E$9)</f>
        <v>25.7758</v>
      </c>
      <c r="K816" s="10">
        <f>CHOOSE(CONTROL!$C$42, 25.2069, 25.2069) * CHOOSE(CONTROL!$C$21, $C$9, 100%, $E$9)</f>
        <v>25.206900000000001</v>
      </c>
      <c r="L816" s="10">
        <f>CHOOSE(CONTROL!$C$42, 26.4505, 26.4505) * CHOOSE(CONTROL!$C$21, $C$9, 100%, $E$9)</f>
        <v>26.450500000000002</v>
      </c>
      <c r="M816" s="10">
        <f>CHOOSE(CONTROL!$C$42, 25.5295, 25.5295) * CHOOSE(CONTROL!$C$21, $C$9, 100%, $E$9)</f>
        <v>25.529499999999999</v>
      </c>
      <c r="N816" s="10">
        <f>CHOOSE(CONTROL!$C$42, 25.5464, 25.5464) * CHOOSE(CONTROL!$C$21, $C$9, 100%, $E$9)</f>
        <v>25.546399999999998</v>
      </c>
      <c r="O816" s="10">
        <f>CHOOSE(CONTROL!$C$42, 25.6164, 25.6164) * CHOOSE(CONTROL!$C$21, $C$9, 100%, $E$9)</f>
        <v>25.616399999999999</v>
      </c>
      <c r="P816" s="10">
        <f>CHOOSE(CONTROL!$C$42, 25.5514, 25.5514) * CHOOSE(CONTROL!$C$21, $C$9, 100%, $E$9)</f>
        <v>25.551400000000001</v>
      </c>
      <c r="Q816" s="10">
        <f>CHOOSE(CONTROL!$C$42, 26.2117, 26.2117) * CHOOSE(CONTROL!$C$21, $C$9, 100%, $E$9)</f>
        <v>26.2117</v>
      </c>
      <c r="R816" s="10">
        <f>CHOOSE(CONTROL!$C$42, 26.8642, 26.8642) * CHOOSE(CONTROL!$C$21, $C$9, 100%, $E$9)</f>
        <v>26.8642</v>
      </c>
      <c r="S816" s="10">
        <f>CHOOSE(CONTROL!$C$42, 25.0631, 25.0631) * CHOOSE(CONTROL!$C$21, $C$9, 100%, $E$9)</f>
        <v>25.063099999999999</v>
      </c>
      <c r="T8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38">
        <f>(1000*CHOOSE(CONTROL!$C$42, 695, 695)*CHOOSE(CONTROL!$C$42, 0.5599, 0.5599)*CHOOSE(CONTROL!$C$42, 31, 31))/1000000</f>
        <v>12.063045499999998</v>
      </c>
      <c r="V816" s="38">
        <f>(1000*CHOOSE(CONTROL!$C$42, 500, 500)*CHOOSE(CONTROL!$C$42, 0.275, 0.275)*CHOOSE(CONTROL!$C$42, 31, 31))/1000000</f>
        <v>4.2625000000000002</v>
      </c>
      <c r="W816" s="38">
        <f>(1000*CHOOSE(CONTROL!$C$42, 0.1146, 0.1146)*CHOOSE(CONTROL!$C$42, 121.5, 121.5)*CHOOSE(CONTROL!$C$42, 31, 31))/1000000</f>
        <v>0.43164089999999994</v>
      </c>
      <c r="X816" s="38">
        <f>(31*0.1790888*100000/1000000)+(31*0.2374*100000/1000000)</f>
        <v>1.2911152800000001</v>
      </c>
      <c r="Y816" s="38">
        <f>(1000*600*CHOOSE(CONTROL!$C$42, 1.0585, 1.0585)*CHOOSE(CONTROL!$C$42, 31, 31))/1000000</f>
        <v>19.688099999999999</v>
      </c>
      <c r="Z816" s="38"/>
      <c r="AA816" s="10"/>
      <c r="AB816" s="39"/>
      <c r="AC816" s="33">
        <f>(B816*122.58+C816*297.941+D816*89.177+E816*40.302+F816*40+G816*160+H816*0+I816*100+J816*300)/(122.58+297.941+89.177+40.302+0+40+160+100+300)</f>
        <v>25.80399895747826</v>
      </c>
      <c r="AD816" s="27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25.573010071942445</v>
      </c>
    </row>
    <row r="817" spans="1:30" ht="15.75" x14ac:dyDescent="0.25">
      <c r="A817" s="13">
        <v>66142</v>
      </c>
      <c r="B817" s="10">
        <f>CHOOSE(CONTROL!$C$42, 27.5531, 27.5531) * CHOOSE(CONTROL!$C$21, $C$9, 100%, $E$9)</f>
        <v>27.553100000000001</v>
      </c>
      <c r="C817" s="10">
        <f>CHOOSE(CONTROL!$C$42, 27.558, 27.558) * CHOOSE(CONTROL!$C$21, $C$9, 100%, $E$9)</f>
        <v>27.558</v>
      </c>
      <c r="D817" s="10">
        <f>CHOOSE(CONTROL!$C$42, 27.5825, 27.5825) * CHOOSE(CONTROL!$C$21, $C$9, 100%, $E$9)</f>
        <v>27.5825</v>
      </c>
      <c r="E817" s="10">
        <f>CHOOSE(CONTROL!$C$42, 27.6163, 27.6163) * CHOOSE(CONTROL!$C$21, $C$9, 100%, $E$9)</f>
        <v>27.616299999999999</v>
      </c>
      <c r="F817" s="10">
        <f>CHOOSE(CONTROL!$C$42, 27.536, 27.536)*CHOOSE(CONTROL!$C$21, $C$9, 100%, $E$9)</f>
        <v>27.536000000000001</v>
      </c>
      <c r="G817" s="10">
        <f>CHOOSE(CONTROL!$C$42, 27.5547, 27.5547)*CHOOSE(CONTROL!$C$21, $C$9, 100%, $E$9)</f>
        <v>27.5547</v>
      </c>
      <c r="H817" s="10">
        <f>CHOOSE(CONTROL!$C$42, 27.6055, 27.6055) * CHOOSE(CONTROL!$C$21, $C$9, 100%, $E$9)</f>
        <v>27.605499999999999</v>
      </c>
      <c r="I817" s="10">
        <f>CHOOSE(CONTROL!$C$42, 27.5476, 27.5476)* CHOOSE(CONTROL!$C$21, $C$9, 100%, $E$9)</f>
        <v>27.547599999999999</v>
      </c>
      <c r="J817" s="10">
        <f>CHOOSE(CONTROL!$C$42, 27.529, 27.529)* CHOOSE(CONTROL!$C$21, $C$9, 100%, $E$9)</f>
        <v>27.529</v>
      </c>
      <c r="K817" s="10">
        <f>CHOOSE(CONTROL!$C$42, 26.9203, 26.9203) * CHOOSE(CONTROL!$C$21, $C$9, 100%, $E$9)</f>
        <v>26.920300000000001</v>
      </c>
      <c r="L817" s="10">
        <f>CHOOSE(CONTROL!$C$42, 28.1925, 28.1925) * CHOOSE(CONTROL!$C$21, $C$9, 100%, $E$9)</f>
        <v>28.192499999999999</v>
      </c>
      <c r="M817" s="10">
        <f>CHOOSE(CONTROL!$C$42, 27.265, 27.265) * CHOOSE(CONTROL!$C$21, $C$9, 100%, $E$9)</f>
        <v>27.265000000000001</v>
      </c>
      <c r="N817" s="10">
        <f>CHOOSE(CONTROL!$C$42, 27.2835, 27.2835) * CHOOSE(CONTROL!$C$21, $C$9, 100%, $E$9)</f>
        <v>27.2835</v>
      </c>
      <c r="O817" s="10">
        <f>CHOOSE(CONTROL!$C$42, 27.3407, 27.3407) * CHOOSE(CONTROL!$C$21, $C$9, 100%, $E$9)</f>
        <v>27.340699999999998</v>
      </c>
      <c r="P817" s="10">
        <f>CHOOSE(CONTROL!$C$42, 27.2834, 27.2834) * CHOOSE(CONTROL!$C$21, $C$9, 100%, $E$9)</f>
        <v>27.2834</v>
      </c>
      <c r="Q817" s="10">
        <f>CHOOSE(CONTROL!$C$42, 27.936, 27.936) * CHOOSE(CONTROL!$C$21, $C$9, 100%, $E$9)</f>
        <v>27.936</v>
      </c>
      <c r="R817" s="10">
        <f>CHOOSE(CONTROL!$C$42, 28.5928, 28.5928) * CHOOSE(CONTROL!$C$21, $C$9, 100%, $E$9)</f>
        <v>28.5928</v>
      </c>
      <c r="S817" s="10">
        <f>CHOOSE(CONTROL!$C$42, 26.7546, 26.7546) * CHOOSE(CONTROL!$C$21, $C$9, 100%, $E$9)</f>
        <v>26.7546</v>
      </c>
      <c r="T8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38">
        <f>(1000*CHOOSE(CONTROL!$C$42, 695, 695)*CHOOSE(CONTROL!$C$42, 0.5599, 0.5599)*CHOOSE(CONTROL!$C$42, 31, 31))/1000000</f>
        <v>12.063045499999998</v>
      </c>
      <c r="V817" s="38">
        <f>(1000*CHOOSE(CONTROL!$C$42, 500, 500)*CHOOSE(CONTROL!$C$42, 0.275, 0.275)*CHOOSE(CONTROL!$C$42, 31, 31))/1000000</f>
        <v>4.2625000000000002</v>
      </c>
      <c r="W817" s="38">
        <f>(1000*CHOOSE(CONTROL!$C$42, 0.1146, 0.1146)*CHOOSE(CONTROL!$C$42, 121.5, 121.5)*CHOOSE(CONTROL!$C$42, 31, 31))/1000000</f>
        <v>0.43164089999999994</v>
      </c>
      <c r="X817" s="38">
        <f>(31*0.1790888*100000/1000000)+(31*0.2374*100000/1000000)</f>
        <v>1.2911152800000001</v>
      </c>
      <c r="Y817" s="38">
        <f>(1000*600*CHOOSE(CONTROL!$C$42, 1.0585, 1.0585)*CHOOSE(CONTROL!$C$42, 31, 31))/1000000</f>
        <v>19.688099999999999</v>
      </c>
      <c r="Z817" s="38"/>
      <c r="AA817" s="10"/>
      <c r="AB817" s="39"/>
      <c r="AC817" s="33">
        <f>(B817*122.58+C817*297.941+D817*89.177+E817*40.302+F817*40+G817*160+H817*0+I817*100+J817*300)/(122.58+297.941+89.177+40.302+0+40+160+100+300)</f>
        <v>27.551726783565218</v>
      </c>
      <c r="AD817" s="27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27.303022302158276</v>
      </c>
    </row>
    <row r="818" spans="1:30" ht="15.75" x14ac:dyDescent="0.25">
      <c r="A818" s="13">
        <v>66170</v>
      </c>
      <c r="B818" s="10">
        <f>CHOOSE(CONTROL!$C$42, 28.0435, 28.0435) * CHOOSE(CONTROL!$C$21, $C$9, 100%, $E$9)</f>
        <v>28.043500000000002</v>
      </c>
      <c r="C818" s="10">
        <f>CHOOSE(CONTROL!$C$42, 28.0485, 28.0485) * CHOOSE(CONTROL!$C$21, $C$9, 100%, $E$9)</f>
        <v>28.048500000000001</v>
      </c>
      <c r="D818" s="10">
        <f>CHOOSE(CONTROL!$C$42, 28.0729, 28.0729) * CHOOSE(CONTROL!$C$21, $C$9, 100%, $E$9)</f>
        <v>28.072900000000001</v>
      </c>
      <c r="E818" s="10">
        <f>CHOOSE(CONTROL!$C$42, 28.1067, 28.1067) * CHOOSE(CONTROL!$C$21, $C$9, 100%, $E$9)</f>
        <v>28.1067</v>
      </c>
      <c r="F818" s="10">
        <f>CHOOSE(CONTROL!$C$42, 28.0258, 28.0258)*CHOOSE(CONTROL!$C$21, $C$9, 100%, $E$9)</f>
        <v>28.0258</v>
      </c>
      <c r="G818" s="10">
        <f>CHOOSE(CONTROL!$C$42, 28.0442, 28.0442)*CHOOSE(CONTROL!$C$21, $C$9, 100%, $E$9)</f>
        <v>28.0442</v>
      </c>
      <c r="H818" s="10">
        <f>CHOOSE(CONTROL!$C$42, 28.0959, 28.0959) * CHOOSE(CONTROL!$C$21, $C$9, 100%, $E$9)</f>
        <v>28.0959</v>
      </c>
      <c r="I818" s="10">
        <f>CHOOSE(CONTROL!$C$42, 28.038, 28.038)* CHOOSE(CONTROL!$C$21, $C$9, 100%, $E$9)</f>
        <v>28.038</v>
      </c>
      <c r="J818" s="10">
        <f>CHOOSE(CONTROL!$C$42, 28.0188, 28.0188)* CHOOSE(CONTROL!$C$21, $C$9, 100%, $E$9)</f>
        <v>28.018799999999999</v>
      </c>
      <c r="K818" s="10">
        <f>CHOOSE(CONTROL!$C$42, 27.3954, 27.3954) * CHOOSE(CONTROL!$C$21, $C$9, 100%, $E$9)</f>
        <v>27.395399999999999</v>
      </c>
      <c r="L818" s="10">
        <f>CHOOSE(CONTROL!$C$42, 28.6829, 28.6829) * CHOOSE(CONTROL!$C$21, $C$9, 100%, $E$9)</f>
        <v>28.6829</v>
      </c>
      <c r="M818" s="10">
        <f>CHOOSE(CONTROL!$C$42, 27.7498, 27.7498) * CHOOSE(CONTROL!$C$21, $C$9, 100%, $E$9)</f>
        <v>27.7498</v>
      </c>
      <c r="N818" s="10">
        <f>CHOOSE(CONTROL!$C$42, 27.7681, 27.7681) * CHOOSE(CONTROL!$C$21, $C$9, 100%, $E$9)</f>
        <v>27.7681</v>
      </c>
      <c r="O818" s="10">
        <f>CHOOSE(CONTROL!$C$42, 27.8262, 27.8262) * CHOOSE(CONTROL!$C$21, $C$9, 100%, $E$9)</f>
        <v>27.8262</v>
      </c>
      <c r="P818" s="10">
        <f>CHOOSE(CONTROL!$C$42, 27.7689, 27.7689) * CHOOSE(CONTROL!$C$21, $C$9, 100%, $E$9)</f>
        <v>27.768899999999999</v>
      </c>
      <c r="Q818" s="10">
        <f>CHOOSE(CONTROL!$C$42, 28.4215, 28.4215) * CHOOSE(CONTROL!$C$21, $C$9, 100%, $E$9)</f>
        <v>28.421500000000002</v>
      </c>
      <c r="R818" s="10">
        <f>CHOOSE(CONTROL!$C$42, 29.0795, 29.0795) * CHOOSE(CONTROL!$C$21, $C$9, 100%, $E$9)</f>
        <v>29.079499999999999</v>
      </c>
      <c r="S818" s="10">
        <f>CHOOSE(CONTROL!$C$42, 27.2309, 27.2309) * CHOOSE(CONTROL!$C$21, $C$9, 100%, $E$9)</f>
        <v>27.230899999999998</v>
      </c>
      <c r="T8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18" s="38">
        <f>(1000*CHOOSE(CONTROL!$C$42, 695, 695)*CHOOSE(CONTROL!$C$42, 0.5599, 0.5599)*CHOOSE(CONTROL!$C$42, 28, 28))/1000000</f>
        <v>10.895653999999999</v>
      </c>
      <c r="V818" s="38">
        <f>(1000*CHOOSE(CONTROL!$C$42, 500, 500)*CHOOSE(CONTROL!$C$42, 0.275, 0.275)*CHOOSE(CONTROL!$C$42, 28, 28))/1000000</f>
        <v>3.85</v>
      </c>
      <c r="W818" s="38">
        <f>(1000*CHOOSE(CONTROL!$C$42, 0.1146, 0.1146)*CHOOSE(CONTROL!$C$42, 121.5, 121.5)*CHOOSE(CONTROL!$C$42, 28, 28))/1000000</f>
        <v>0.38986920000000003</v>
      </c>
      <c r="X818" s="38">
        <f>(28*0.1790888*100000/1000000)+(28*0.2374*100000/1000000)</f>
        <v>1.16616864</v>
      </c>
      <c r="Y818" s="38">
        <f>(1000*600*CHOOSE(CONTROL!$C$42, 1.0585, 1.0585)*CHOOSE(CONTROL!$C$42, 28, 28))/1000000</f>
        <v>17.782800000000002</v>
      </c>
      <c r="Z818" s="38"/>
      <c r="AA818" s="10"/>
      <c r="AB818" s="39"/>
      <c r="AC818" s="33">
        <f>(B818*122.58+C818*297.941+D818*89.177+E818*40.302+F818*40+G818*160+H818*0+I818*100+J818*300)/(122.58+297.941+89.177+40.302+0+40+160+100+300)</f>
        <v>28.041850082782609</v>
      </c>
      <c r="AD818" s="27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27.788228776978418</v>
      </c>
    </row>
    <row r="819" spans="1:30" ht="15.75" x14ac:dyDescent="0.25">
      <c r="A819" s="13">
        <v>66201</v>
      </c>
      <c r="B819" s="10">
        <f>CHOOSE(CONTROL!$C$42, 27.2474, 27.2474) * CHOOSE(CONTROL!$C$21, $C$9, 100%, $E$9)</f>
        <v>27.247399999999999</v>
      </c>
      <c r="C819" s="10">
        <f>CHOOSE(CONTROL!$C$42, 27.2524, 27.2524) * CHOOSE(CONTROL!$C$21, $C$9, 100%, $E$9)</f>
        <v>27.252400000000002</v>
      </c>
      <c r="D819" s="10">
        <f>CHOOSE(CONTROL!$C$42, 27.2768, 27.2768) * CHOOSE(CONTROL!$C$21, $C$9, 100%, $E$9)</f>
        <v>27.276800000000001</v>
      </c>
      <c r="E819" s="10">
        <f>CHOOSE(CONTROL!$C$42, 27.3106, 27.3106) * CHOOSE(CONTROL!$C$21, $C$9, 100%, $E$9)</f>
        <v>27.310600000000001</v>
      </c>
      <c r="F819" s="10">
        <f>CHOOSE(CONTROL!$C$42, 27.2281, 27.2281)*CHOOSE(CONTROL!$C$21, $C$9, 100%, $E$9)</f>
        <v>27.228100000000001</v>
      </c>
      <c r="G819" s="10">
        <f>CHOOSE(CONTROL!$C$42, 27.2462, 27.2462)*CHOOSE(CONTROL!$C$21, $C$9, 100%, $E$9)</f>
        <v>27.246200000000002</v>
      </c>
      <c r="H819" s="10">
        <f>CHOOSE(CONTROL!$C$42, 27.2998, 27.2998) * CHOOSE(CONTROL!$C$21, $C$9, 100%, $E$9)</f>
        <v>27.299800000000001</v>
      </c>
      <c r="I819" s="10">
        <f>CHOOSE(CONTROL!$C$42, 27.2419, 27.2419)* CHOOSE(CONTROL!$C$21, $C$9, 100%, $E$9)</f>
        <v>27.241900000000001</v>
      </c>
      <c r="J819" s="10">
        <f>CHOOSE(CONTROL!$C$42, 27.2211, 27.2211)* CHOOSE(CONTROL!$C$21, $C$9, 100%, $E$9)</f>
        <v>27.2211</v>
      </c>
      <c r="K819" s="10">
        <f>CHOOSE(CONTROL!$C$42, 26.6185, 26.6185) * CHOOSE(CONTROL!$C$21, $C$9, 100%, $E$9)</f>
        <v>26.618500000000001</v>
      </c>
      <c r="L819" s="10">
        <f>CHOOSE(CONTROL!$C$42, 27.8868, 27.8868) * CHOOSE(CONTROL!$C$21, $C$9, 100%, $E$9)</f>
        <v>27.886800000000001</v>
      </c>
      <c r="M819" s="10">
        <f>CHOOSE(CONTROL!$C$42, 26.9603, 26.9603) * CHOOSE(CONTROL!$C$21, $C$9, 100%, $E$9)</f>
        <v>26.9603</v>
      </c>
      <c r="N819" s="10">
        <f>CHOOSE(CONTROL!$C$42, 26.9781, 26.9781) * CHOOSE(CONTROL!$C$21, $C$9, 100%, $E$9)</f>
        <v>26.978100000000001</v>
      </c>
      <c r="O819" s="10">
        <f>CHOOSE(CONTROL!$C$42, 27.0381, 27.0381) * CHOOSE(CONTROL!$C$21, $C$9, 100%, $E$9)</f>
        <v>27.0381</v>
      </c>
      <c r="P819" s="10">
        <f>CHOOSE(CONTROL!$C$42, 26.9808, 26.9808) * CHOOSE(CONTROL!$C$21, $C$9, 100%, $E$9)</f>
        <v>26.980799999999999</v>
      </c>
      <c r="Q819" s="10">
        <f>CHOOSE(CONTROL!$C$42, 27.6334, 27.6334) * CHOOSE(CONTROL!$C$21, $C$9, 100%, $E$9)</f>
        <v>27.633400000000002</v>
      </c>
      <c r="R819" s="10">
        <f>CHOOSE(CONTROL!$C$42, 28.2895, 28.2895) * CHOOSE(CONTROL!$C$21, $C$9, 100%, $E$9)</f>
        <v>28.2895</v>
      </c>
      <c r="S819" s="10">
        <f>CHOOSE(CONTROL!$C$42, 26.4578, 26.4578) * CHOOSE(CONTROL!$C$21, $C$9, 100%, $E$9)</f>
        <v>26.457799999999999</v>
      </c>
      <c r="T8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38">
        <f>(1000*CHOOSE(CONTROL!$C$42, 695, 695)*CHOOSE(CONTROL!$C$42, 0.5599, 0.5599)*CHOOSE(CONTROL!$C$42, 31, 31))/1000000</f>
        <v>12.063045499999998</v>
      </c>
      <c r="V819" s="38">
        <f>(1000*CHOOSE(CONTROL!$C$42, 500, 500)*CHOOSE(CONTROL!$C$42, 0.275, 0.275)*CHOOSE(CONTROL!$C$42, 31, 31))/1000000</f>
        <v>4.2625000000000002</v>
      </c>
      <c r="W819" s="38">
        <f>(1000*CHOOSE(CONTROL!$C$42, 0.1146, 0.1146)*CHOOSE(CONTROL!$C$42, 121.5, 121.5)*CHOOSE(CONTROL!$C$42, 31, 31))/1000000</f>
        <v>0.43164089999999994</v>
      </c>
      <c r="X819" s="38">
        <f>(31*0.1790888*100000/1000000)+(31*0.2374*100000/1000000)</f>
        <v>1.2911152800000001</v>
      </c>
      <c r="Y819" s="38">
        <f>(1000*600*CHOOSE(CONTROL!$C$42, 1.0585, 1.0585)*CHOOSE(CONTROL!$C$42, 31, 31))/1000000</f>
        <v>19.688099999999999</v>
      </c>
      <c r="Z819" s="38"/>
      <c r="AA819" s="10"/>
      <c r="AB819" s="39"/>
      <c r="AC819" s="33">
        <f>(B819*122.58+C819*297.941+D819*89.177+E819*40.302+F819*40+G819*160+H819*0+I819*100+J819*300)/(122.58+297.941+89.177+40.302+0+40+160+100+300)</f>
        <v>27.245012691478255</v>
      </c>
      <c r="AD819" s="27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26.999535971223018</v>
      </c>
    </row>
    <row r="820" spans="1:30" ht="15.75" x14ac:dyDescent="0.25">
      <c r="A820" s="13">
        <v>66231</v>
      </c>
      <c r="B820" s="10">
        <f>CHOOSE(CONTROL!$C$42, 27.1666, 27.1666) * CHOOSE(CONTROL!$C$21, $C$9, 100%, $E$9)</f>
        <v>27.166599999999999</v>
      </c>
      <c r="C820" s="10">
        <f>CHOOSE(CONTROL!$C$42, 27.171, 27.171) * CHOOSE(CONTROL!$C$21, $C$9, 100%, $E$9)</f>
        <v>27.170999999999999</v>
      </c>
      <c r="D820" s="10">
        <f>CHOOSE(CONTROL!$C$42, 27.3511, 27.3511) * CHOOSE(CONTROL!$C$21, $C$9, 100%, $E$9)</f>
        <v>27.351099999999999</v>
      </c>
      <c r="E820" s="10">
        <f>CHOOSE(CONTROL!$C$42, 27.3829, 27.3829) * CHOOSE(CONTROL!$C$21, $C$9, 100%, $E$9)</f>
        <v>27.382899999999999</v>
      </c>
      <c r="F820" s="10">
        <f>CHOOSE(CONTROL!$C$42, 27.1319, 27.1319)*CHOOSE(CONTROL!$C$21, $C$9, 100%, $E$9)</f>
        <v>27.131900000000002</v>
      </c>
      <c r="G820" s="10">
        <f>CHOOSE(CONTROL!$C$42, 27.1482, 27.1482)*CHOOSE(CONTROL!$C$21, $C$9, 100%, $E$9)</f>
        <v>27.148199999999999</v>
      </c>
      <c r="H820" s="10">
        <f>CHOOSE(CONTROL!$C$42, 27.3727, 27.3727) * CHOOSE(CONTROL!$C$21, $C$9, 100%, $E$9)</f>
        <v>27.372699999999998</v>
      </c>
      <c r="I820" s="10">
        <f>CHOOSE(CONTROL!$C$42, 27.1526, 27.1526)* CHOOSE(CONTROL!$C$21, $C$9, 100%, $E$9)</f>
        <v>27.1526</v>
      </c>
      <c r="J820" s="10">
        <f>CHOOSE(CONTROL!$C$42, 27.1249, 27.1249)* CHOOSE(CONTROL!$C$21, $C$9, 100%, $E$9)</f>
        <v>27.1249</v>
      </c>
      <c r="K820" s="10">
        <f>CHOOSE(CONTROL!$C$42, 26.5168, 26.5168) * CHOOSE(CONTROL!$C$21, $C$9, 100%, $E$9)</f>
        <v>26.5168</v>
      </c>
      <c r="L820" s="10">
        <f>CHOOSE(CONTROL!$C$42, 27.9597, 27.9597) * CHOOSE(CONTROL!$C$21, $C$9, 100%, $E$9)</f>
        <v>27.959700000000002</v>
      </c>
      <c r="M820" s="10">
        <f>CHOOSE(CONTROL!$C$42, 26.865, 26.865) * CHOOSE(CONTROL!$C$21, $C$9, 100%, $E$9)</f>
        <v>26.864999999999998</v>
      </c>
      <c r="N820" s="10">
        <f>CHOOSE(CONTROL!$C$42, 26.8811, 26.8811) * CHOOSE(CONTROL!$C$21, $C$9, 100%, $E$9)</f>
        <v>26.8811</v>
      </c>
      <c r="O820" s="10">
        <f>CHOOSE(CONTROL!$C$42, 27.1103, 27.1103) * CHOOSE(CONTROL!$C$21, $C$9, 100%, $E$9)</f>
        <v>27.110299999999999</v>
      </c>
      <c r="P820" s="10">
        <f>CHOOSE(CONTROL!$C$42, 26.8925, 26.8925) * CHOOSE(CONTROL!$C$21, $C$9, 100%, $E$9)</f>
        <v>26.892499999999998</v>
      </c>
      <c r="Q820" s="10">
        <f>CHOOSE(CONTROL!$C$42, 27.7056, 27.7056) * CHOOSE(CONTROL!$C$21, $C$9, 100%, $E$9)</f>
        <v>27.7056</v>
      </c>
      <c r="R820" s="10">
        <f>CHOOSE(CONTROL!$C$42, 28.3618, 28.3618) * CHOOSE(CONTROL!$C$21, $C$9, 100%, $E$9)</f>
        <v>28.361799999999999</v>
      </c>
      <c r="S820" s="10">
        <f>CHOOSE(CONTROL!$C$42, 26.3786, 26.3786) * CHOOSE(CONTROL!$C$21, $C$9, 100%, $E$9)</f>
        <v>26.378599999999999</v>
      </c>
      <c r="T8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38">
        <f>(1000*CHOOSE(CONTROL!$C$42, 695, 695)*CHOOSE(CONTROL!$C$42, 0.5599, 0.5599)*CHOOSE(CONTROL!$C$42, 30, 30))/1000000</f>
        <v>11.673914999999997</v>
      </c>
      <c r="V820" s="38">
        <f>(1000*CHOOSE(CONTROL!$C$42, 500, 500)*CHOOSE(CONTROL!$C$42, 0.275, 0.275)*CHOOSE(CONTROL!$C$42, 30, 30))/1000000</f>
        <v>4.125</v>
      </c>
      <c r="W820" s="38">
        <f>(1000*CHOOSE(CONTROL!$C$42, 0.1146, 0.1146)*CHOOSE(CONTROL!$C$42, 121.5, 121.5)*CHOOSE(CONTROL!$C$42, 30, 30))/1000000</f>
        <v>0.417717</v>
      </c>
      <c r="X820" s="38">
        <f>(30*0.1790888*245000/1000000)+(30*0.2374*100000/1000000)</f>
        <v>2.0285026799999999</v>
      </c>
      <c r="Y820" s="38">
        <f>(1000*600*CHOOSE(CONTROL!$C$42, 1.0585, 1.0585)*CHOOSE(CONTROL!$C$42, 30, 30))/1000000</f>
        <v>19.053000000000001</v>
      </c>
      <c r="Z820" s="38"/>
      <c r="AA820" s="10"/>
      <c r="AB820" s="39"/>
      <c r="AC820" s="33">
        <f>(B820*141.293+C820*267.993+D820*115.016+E820*89.698+F820*40+G820*185+H820*0+I820*100+J820*300)/(141.293+267.993+115.016+89.698+0+40+185+100+300)</f>
        <v>27.185243501694913</v>
      </c>
      <c r="AD820" s="27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26.981062589928055</v>
      </c>
    </row>
    <row r="821" spans="1:30" ht="15.75" x14ac:dyDescent="0.25">
      <c r="A821" s="13">
        <v>66262</v>
      </c>
      <c r="B821" s="10">
        <f>CHOOSE(CONTROL!$C$42, 27.4081, 27.4081) * CHOOSE(CONTROL!$C$21, $C$9, 100%, $E$9)</f>
        <v>27.408100000000001</v>
      </c>
      <c r="C821" s="10">
        <f>CHOOSE(CONTROL!$C$42, 27.4161, 27.4161) * CHOOSE(CONTROL!$C$21, $C$9, 100%, $E$9)</f>
        <v>27.4161</v>
      </c>
      <c r="D821" s="10">
        <f>CHOOSE(CONTROL!$C$42, 27.5931, 27.5931) * CHOOSE(CONTROL!$C$21, $C$9, 100%, $E$9)</f>
        <v>27.5931</v>
      </c>
      <c r="E821" s="10">
        <f>CHOOSE(CONTROL!$C$42, 27.6242, 27.6242) * CHOOSE(CONTROL!$C$21, $C$9, 100%, $E$9)</f>
        <v>27.624199999999998</v>
      </c>
      <c r="F821" s="10">
        <f>CHOOSE(CONTROL!$C$42, 27.3715, 27.3715)*CHOOSE(CONTROL!$C$21, $C$9, 100%, $E$9)</f>
        <v>27.371500000000001</v>
      </c>
      <c r="G821" s="10">
        <f>CHOOSE(CONTROL!$C$42, 27.388, 27.388)*CHOOSE(CONTROL!$C$21, $C$9, 100%, $E$9)</f>
        <v>27.388000000000002</v>
      </c>
      <c r="H821" s="10">
        <f>CHOOSE(CONTROL!$C$42, 27.6128, 27.6128) * CHOOSE(CONTROL!$C$21, $C$9, 100%, $E$9)</f>
        <v>27.6128</v>
      </c>
      <c r="I821" s="10">
        <f>CHOOSE(CONTROL!$C$42, 27.3927, 27.3927)* CHOOSE(CONTROL!$C$21, $C$9, 100%, $E$9)</f>
        <v>27.392700000000001</v>
      </c>
      <c r="J821" s="10">
        <f>CHOOSE(CONTROL!$C$42, 27.3645, 27.3645)* CHOOSE(CONTROL!$C$21, $C$9, 100%, $E$9)</f>
        <v>27.3645</v>
      </c>
      <c r="K821" s="10">
        <f>CHOOSE(CONTROL!$C$42, 26.7489, 26.7489) * CHOOSE(CONTROL!$C$21, $C$9, 100%, $E$9)</f>
        <v>26.748899999999999</v>
      </c>
      <c r="L821" s="10">
        <f>CHOOSE(CONTROL!$C$42, 28.1998, 28.1998) * CHOOSE(CONTROL!$C$21, $C$9, 100%, $E$9)</f>
        <v>28.1998</v>
      </c>
      <c r="M821" s="10">
        <f>CHOOSE(CONTROL!$C$42, 27.1022, 27.1022) * CHOOSE(CONTROL!$C$21, $C$9, 100%, $E$9)</f>
        <v>27.1022</v>
      </c>
      <c r="N821" s="10">
        <f>CHOOSE(CONTROL!$C$42, 27.1185, 27.1185) * CHOOSE(CONTROL!$C$21, $C$9, 100%, $E$9)</f>
        <v>27.118500000000001</v>
      </c>
      <c r="O821" s="10">
        <f>CHOOSE(CONTROL!$C$42, 27.348, 27.348) * CHOOSE(CONTROL!$C$21, $C$9, 100%, $E$9)</f>
        <v>27.347999999999999</v>
      </c>
      <c r="P821" s="10">
        <f>CHOOSE(CONTROL!$C$42, 27.1302, 27.1302) * CHOOSE(CONTROL!$C$21, $C$9, 100%, $E$9)</f>
        <v>27.130199999999999</v>
      </c>
      <c r="Q821" s="10">
        <f>CHOOSE(CONTROL!$C$42, 27.9433, 27.9433) * CHOOSE(CONTROL!$C$21, $C$9, 100%, $E$9)</f>
        <v>27.943300000000001</v>
      </c>
      <c r="R821" s="10">
        <f>CHOOSE(CONTROL!$C$42, 28.6001, 28.6001) * CHOOSE(CONTROL!$C$21, $C$9, 100%, $E$9)</f>
        <v>28.600100000000001</v>
      </c>
      <c r="S821" s="10">
        <f>CHOOSE(CONTROL!$C$42, 26.6118, 26.6118) * CHOOSE(CONTROL!$C$21, $C$9, 100%, $E$9)</f>
        <v>26.611799999999999</v>
      </c>
      <c r="T8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38">
        <f>(1000*CHOOSE(CONTROL!$C$42, 695, 695)*CHOOSE(CONTROL!$C$42, 0.5599, 0.5599)*CHOOSE(CONTROL!$C$42, 31, 31))/1000000</f>
        <v>12.063045499999998</v>
      </c>
      <c r="V821" s="38">
        <f>(1000*CHOOSE(CONTROL!$C$42, 500, 500)*CHOOSE(CONTROL!$C$42, 0.275, 0.275)*CHOOSE(CONTROL!$C$42, 31, 31))/1000000</f>
        <v>4.2625000000000002</v>
      </c>
      <c r="W821" s="38">
        <f>(1000*CHOOSE(CONTROL!$C$42, 0.1146, 0.1146)*CHOOSE(CONTROL!$C$42, 121.5, 121.5)*CHOOSE(CONTROL!$C$42, 31, 31))/1000000</f>
        <v>0.43164089999999994</v>
      </c>
      <c r="X821" s="38">
        <f>(31*0.1790888*245000/1000000)+(31*0.2374*100000/1000000)</f>
        <v>2.0961194359999999</v>
      </c>
      <c r="Y821" s="38">
        <f>(1000*600*CHOOSE(CONTROL!$C$42, 1.0585, 1.0585)*CHOOSE(CONTROL!$C$42, 31, 31))/1000000</f>
        <v>19.688099999999999</v>
      </c>
      <c r="Z821" s="38"/>
      <c r="AA821" s="10"/>
      <c r="AB821" s="39"/>
      <c r="AC821" s="33">
        <f>(B821*194.205+C821*267.466+D821*133.845+E821*53.484+F821*40+G821*185+H821*0+I821*100+J821*300)/(194.205+267.466+133.845+53.484+0+40+185+100+300)</f>
        <v>27.422743991679752</v>
      </c>
      <c r="AD821" s="27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27.218572661870503</v>
      </c>
    </row>
    <row r="822" spans="1:30" ht="15.75" x14ac:dyDescent="0.25">
      <c r="A822" s="13">
        <v>66292</v>
      </c>
      <c r="B822" s="10">
        <f>CHOOSE(CONTROL!$C$42, 28.1855, 28.1855) * CHOOSE(CONTROL!$C$21, $C$9, 100%, $E$9)</f>
        <v>28.185500000000001</v>
      </c>
      <c r="C822" s="10">
        <f>CHOOSE(CONTROL!$C$42, 28.1934, 28.1934) * CHOOSE(CONTROL!$C$21, $C$9, 100%, $E$9)</f>
        <v>28.1934</v>
      </c>
      <c r="D822" s="10">
        <f>CHOOSE(CONTROL!$C$42, 28.3704, 28.3704) * CHOOSE(CONTROL!$C$21, $C$9, 100%, $E$9)</f>
        <v>28.3704</v>
      </c>
      <c r="E822" s="10">
        <f>CHOOSE(CONTROL!$C$42, 28.4015, 28.4015) * CHOOSE(CONTROL!$C$21, $C$9, 100%, $E$9)</f>
        <v>28.401499999999999</v>
      </c>
      <c r="F822" s="10">
        <f>CHOOSE(CONTROL!$C$42, 28.149, 28.149)*CHOOSE(CONTROL!$C$21, $C$9, 100%, $E$9)</f>
        <v>28.149000000000001</v>
      </c>
      <c r="G822" s="10">
        <f>CHOOSE(CONTROL!$C$42, 28.1655, 28.1655)*CHOOSE(CONTROL!$C$21, $C$9, 100%, $E$9)</f>
        <v>28.165500000000002</v>
      </c>
      <c r="H822" s="10">
        <f>CHOOSE(CONTROL!$C$42, 28.3901, 28.3901) * CHOOSE(CONTROL!$C$21, $C$9, 100%, $E$9)</f>
        <v>28.3901</v>
      </c>
      <c r="I822" s="10">
        <f>CHOOSE(CONTROL!$C$42, 28.1701, 28.1701)* CHOOSE(CONTROL!$C$21, $C$9, 100%, $E$9)</f>
        <v>28.170100000000001</v>
      </c>
      <c r="J822" s="10">
        <f>CHOOSE(CONTROL!$C$42, 28.142, 28.142)* CHOOSE(CONTROL!$C$21, $C$9, 100%, $E$9)</f>
        <v>28.141999999999999</v>
      </c>
      <c r="K822" s="10">
        <f>CHOOSE(CONTROL!$C$42, 27.5045, 27.5045) * CHOOSE(CONTROL!$C$21, $C$9, 100%, $E$9)</f>
        <v>27.5045</v>
      </c>
      <c r="L822" s="10">
        <f>CHOOSE(CONTROL!$C$42, 28.9771, 28.9771) * CHOOSE(CONTROL!$C$21, $C$9, 100%, $E$9)</f>
        <v>28.9771</v>
      </c>
      <c r="M822" s="10">
        <f>CHOOSE(CONTROL!$C$42, 27.8718, 27.8718) * CHOOSE(CONTROL!$C$21, $C$9, 100%, $E$9)</f>
        <v>27.8718</v>
      </c>
      <c r="N822" s="10">
        <f>CHOOSE(CONTROL!$C$42, 27.8882, 27.8882) * CHOOSE(CONTROL!$C$21, $C$9, 100%, $E$9)</f>
        <v>27.888200000000001</v>
      </c>
      <c r="O822" s="10">
        <f>CHOOSE(CONTROL!$C$42, 28.1175, 28.1175) * CHOOSE(CONTROL!$C$21, $C$9, 100%, $E$9)</f>
        <v>28.1175</v>
      </c>
      <c r="P822" s="10">
        <f>CHOOSE(CONTROL!$C$42, 27.8996, 27.8996) * CHOOSE(CONTROL!$C$21, $C$9, 100%, $E$9)</f>
        <v>27.8996</v>
      </c>
      <c r="Q822" s="10">
        <f>CHOOSE(CONTROL!$C$42, 28.7128, 28.7128) * CHOOSE(CONTROL!$C$21, $C$9, 100%, $E$9)</f>
        <v>28.712800000000001</v>
      </c>
      <c r="R822" s="10">
        <f>CHOOSE(CONTROL!$C$42, 29.3715, 29.3715) * CHOOSE(CONTROL!$C$21, $C$9, 100%, $E$9)</f>
        <v>29.371500000000001</v>
      </c>
      <c r="S822" s="10">
        <f>CHOOSE(CONTROL!$C$42, 27.3667, 27.3667) * CHOOSE(CONTROL!$C$21, $C$9, 100%, $E$9)</f>
        <v>27.366700000000002</v>
      </c>
      <c r="T8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38">
        <f>(1000*CHOOSE(CONTROL!$C$42, 695, 695)*CHOOSE(CONTROL!$C$42, 0.5599, 0.5599)*CHOOSE(CONTROL!$C$42, 30, 30))/1000000</f>
        <v>11.673914999999997</v>
      </c>
      <c r="V822" s="38">
        <f>(1000*CHOOSE(CONTROL!$C$42, 500, 500)*CHOOSE(CONTROL!$C$42, 0.275, 0.275)*CHOOSE(CONTROL!$C$42, 30, 30))/1000000</f>
        <v>4.125</v>
      </c>
      <c r="W822" s="38">
        <f>(1000*CHOOSE(CONTROL!$C$42, 0.1146, 0.1146)*CHOOSE(CONTROL!$C$42, 121.5, 121.5)*CHOOSE(CONTROL!$C$42, 30, 30))/1000000</f>
        <v>0.417717</v>
      </c>
      <c r="X822" s="38">
        <f>(30*0.1790888*245000/1000000)+(30*0.2374*100000/1000000)</f>
        <v>2.0285026799999999</v>
      </c>
      <c r="Y822" s="38">
        <f>(1000*600*CHOOSE(CONTROL!$C$42, 1.0585, 1.0585)*CHOOSE(CONTROL!$C$42, 30, 30))/1000000</f>
        <v>19.053000000000001</v>
      </c>
      <c r="Z822" s="38"/>
      <c r="AA822" s="10"/>
      <c r="AB822" s="39"/>
      <c r="AC822" s="33">
        <f>(B822*194.205+C822*267.466+D822*133.845+E822*53.484+F822*40+G822*185+H822*0+I822*100+J822*300)/(194.205+267.466+133.845+53.484+0+40+185+100+300)</f>
        <v>28.200149502276297</v>
      </c>
      <c r="AD822" s="27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27.98810431654676</v>
      </c>
    </row>
    <row r="823" spans="1:30" ht="15.75" x14ac:dyDescent="0.25">
      <c r="A823" s="13">
        <v>66323</v>
      </c>
      <c r="B823" s="10">
        <f>CHOOSE(CONTROL!$C$42, 27.6448, 27.6448) * CHOOSE(CONTROL!$C$21, $C$9, 100%, $E$9)</f>
        <v>27.6448</v>
      </c>
      <c r="C823" s="10">
        <f>CHOOSE(CONTROL!$C$42, 27.6528, 27.6528) * CHOOSE(CONTROL!$C$21, $C$9, 100%, $E$9)</f>
        <v>27.652799999999999</v>
      </c>
      <c r="D823" s="10">
        <f>CHOOSE(CONTROL!$C$42, 27.8297, 27.8297) * CHOOSE(CONTROL!$C$21, $C$9, 100%, $E$9)</f>
        <v>27.829699999999999</v>
      </c>
      <c r="E823" s="10">
        <f>CHOOSE(CONTROL!$C$42, 27.8609, 27.8609) * CHOOSE(CONTROL!$C$21, $C$9, 100%, $E$9)</f>
        <v>27.860900000000001</v>
      </c>
      <c r="F823" s="10">
        <f>CHOOSE(CONTROL!$C$42, 27.6086, 27.6086)*CHOOSE(CONTROL!$C$21, $C$9, 100%, $E$9)</f>
        <v>27.608599999999999</v>
      </c>
      <c r="G823" s="10">
        <f>CHOOSE(CONTROL!$C$42, 27.6252, 27.6252)*CHOOSE(CONTROL!$C$21, $C$9, 100%, $E$9)</f>
        <v>27.6252</v>
      </c>
      <c r="H823" s="10">
        <f>CHOOSE(CONTROL!$C$42, 27.8495, 27.8495) * CHOOSE(CONTROL!$C$21, $C$9, 100%, $E$9)</f>
        <v>27.849499999999999</v>
      </c>
      <c r="I823" s="10">
        <f>CHOOSE(CONTROL!$C$42, 27.6294, 27.6294)* CHOOSE(CONTROL!$C$21, $C$9, 100%, $E$9)</f>
        <v>27.6294</v>
      </c>
      <c r="J823" s="10">
        <f>CHOOSE(CONTROL!$C$42, 27.6016, 27.6016)* CHOOSE(CONTROL!$C$21, $C$9, 100%, $E$9)</f>
        <v>27.601600000000001</v>
      </c>
      <c r="K823" s="10">
        <f>CHOOSE(CONTROL!$C$42, 26.9797, 26.9797) * CHOOSE(CONTROL!$C$21, $C$9, 100%, $E$9)</f>
        <v>26.979700000000001</v>
      </c>
      <c r="L823" s="10">
        <f>CHOOSE(CONTROL!$C$42, 28.4365, 28.4365) * CHOOSE(CONTROL!$C$21, $C$9, 100%, $E$9)</f>
        <v>28.436499999999999</v>
      </c>
      <c r="M823" s="10">
        <f>CHOOSE(CONTROL!$C$42, 27.3369, 27.3369) * CHOOSE(CONTROL!$C$21, $C$9, 100%, $E$9)</f>
        <v>27.3369</v>
      </c>
      <c r="N823" s="10">
        <f>CHOOSE(CONTROL!$C$42, 27.3533, 27.3533) * CHOOSE(CONTROL!$C$21, $C$9, 100%, $E$9)</f>
        <v>27.353300000000001</v>
      </c>
      <c r="O823" s="10">
        <f>CHOOSE(CONTROL!$C$42, 27.5823, 27.5823) * CHOOSE(CONTROL!$C$21, $C$9, 100%, $E$9)</f>
        <v>27.5823</v>
      </c>
      <c r="P823" s="10">
        <f>CHOOSE(CONTROL!$C$42, 27.3645, 27.3645) * CHOOSE(CONTROL!$C$21, $C$9, 100%, $E$9)</f>
        <v>27.3645</v>
      </c>
      <c r="Q823" s="10">
        <f>CHOOSE(CONTROL!$C$42, 28.1776, 28.1776) * CHOOSE(CONTROL!$C$21, $C$9, 100%, $E$9)</f>
        <v>28.177600000000002</v>
      </c>
      <c r="R823" s="10">
        <f>CHOOSE(CONTROL!$C$42, 28.835, 28.835) * CHOOSE(CONTROL!$C$21, $C$9, 100%, $E$9)</f>
        <v>28.835000000000001</v>
      </c>
      <c r="S823" s="10">
        <f>CHOOSE(CONTROL!$C$42, 26.8416, 26.8416) * CHOOSE(CONTROL!$C$21, $C$9, 100%, $E$9)</f>
        <v>26.8416</v>
      </c>
      <c r="T8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38">
        <f>(1000*CHOOSE(CONTROL!$C$42, 695, 695)*CHOOSE(CONTROL!$C$42, 0.5599, 0.5599)*CHOOSE(CONTROL!$C$42, 31, 31))/1000000</f>
        <v>12.063045499999998</v>
      </c>
      <c r="V823" s="38">
        <f>(1000*CHOOSE(CONTROL!$C$42, 500, 500)*CHOOSE(CONTROL!$C$42, 0.275, 0.275)*CHOOSE(CONTROL!$C$42, 31, 31))/1000000</f>
        <v>4.2625000000000002</v>
      </c>
      <c r="W823" s="38">
        <f>(1000*CHOOSE(CONTROL!$C$42, 0.1146, 0.1146)*CHOOSE(CONTROL!$C$42, 121.5, 121.5)*CHOOSE(CONTROL!$C$42, 31, 31))/1000000</f>
        <v>0.43164089999999994</v>
      </c>
      <c r="X823" s="38">
        <f>(31*0.1790888*245000/1000000)+(31*0.2374*100000/1000000)</f>
        <v>2.0961194359999999</v>
      </c>
      <c r="Y823" s="38">
        <f>(1000*600*CHOOSE(CONTROL!$C$42, 1.0585, 1.0585)*CHOOSE(CONTROL!$C$42, 31, 31))/1000000</f>
        <v>19.688099999999999</v>
      </c>
      <c r="Z823" s="38"/>
      <c r="AA823" s="10"/>
      <c r="AB823" s="39"/>
      <c r="AC823" s="33">
        <f>(B823*194.205+C823*267.466+D823*133.845+E823*53.484+F823*40+G823*185+H823*0+I823*100+J823*300)/(194.205+267.466+133.845+53.484+0+40+185+100+300)</f>
        <v>27.659612842150707</v>
      </c>
      <c r="AD823" s="27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27.453039568345321</v>
      </c>
    </row>
    <row r="824" spans="1:30" ht="15.75" x14ac:dyDescent="0.25">
      <c r="A824" s="13">
        <v>66354</v>
      </c>
      <c r="B824" s="10">
        <f>CHOOSE(CONTROL!$C$42, 26.2796, 26.2796) * CHOOSE(CONTROL!$C$21, $C$9, 100%, $E$9)</f>
        <v>26.279599999999999</v>
      </c>
      <c r="C824" s="10">
        <f>CHOOSE(CONTROL!$C$42, 26.2875, 26.2875) * CHOOSE(CONTROL!$C$21, $C$9, 100%, $E$9)</f>
        <v>26.287500000000001</v>
      </c>
      <c r="D824" s="10">
        <f>CHOOSE(CONTROL!$C$42, 26.4645, 26.4645) * CHOOSE(CONTROL!$C$21, $C$9, 100%, $E$9)</f>
        <v>26.464500000000001</v>
      </c>
      <c r="E824" s="10">
        <f>CHOOSE(CONTROL!$C$42, 26.4956, 26.4956) * CHOOSE(CONTROL!$C$21, $C$9, 100%, $E$9)</f>
        <v>26.4956</v>
      </c>
      <c r="F824" s="10">
        <f>CHOOSE(CONTROL!$C$42, 26.2434, 26.2434)*CHOOSE(CONTROL!$C$21, $C$9, 100%, $E$9)</f>
        <v>26.243400000000001</v>
      </c>
      <c r="G824" s="10">
        <f>CHOOSE(CONTROL!$C$42, 26.26, 26.26)*CHOOSE(CONTROL!$C$21, $C$9, 100%, $E$9)</f>
        <v>26.26</v>
      </c>
      <c r="H824" s="10">
        <f>CHOOSE(CONTROL!$C$42, 26.4843, 26.4843) * CHOOSE(CONTROL!$C$21, $C$9, 100%, $E$9)</f>
        <v>26.484300000000001</v>
      </c>
      <c r="I824" s="10">
        <f>CHOOSE(CONTROL!$C$42, 26.2642, 26.2642)* CHOOSE(CONTROL!$C$21, $C$9, 100%, $E$9)</f>
        <v>26.264199999999999</v>
      </c>
      <c r="J824" s="10">
        <f>CHOOSE(CONTROL!$C$42, 26.2364, 26.2364)* CHOOSE(CONTROL!$C$21, $C$9, 100%, $E$9)</f>
        <v>26.2364</v>
      </c>
      <c r="K824" s="10">
        <f>CHOOSE(CONTROL!$C$42, 25.6534, 25.6534) * CHOOSE(CONTROL!$C$21, $C$9, 100%, $E$9)</f>
        <v>25.653400000000001</v>
      </c>
      <c r="L824" s="10">
        <f>CHOOSE(CONTROL!$C$42, 27.0713, 27.0713) * CHOOSE(CONTROL!$C$21, $C$9, 100%, $E$9)</f>
        <v>27.071300000000001</v>
      </c>
      <c r="M824" s="10">
        <f>CHOOSE(CONTROL!$C$42, 25.9855, 25.9855) * CHOOSE(CONTROL!$C$21, $C$9, 100%, $E$9)</f>
        <v>25.985499999999998</v>
      </c>
      <c r="N824" s="10">
        <f>CHOOSE(CONTROL!$C$42, 26.0019, 26.0019) * CHOOSE(CONTROL!$C$21, $C$9, 100%, $E$9)</f>
        <v>26.001899999999999</v>
      </c>
      <c r="O824" s="10">
        <f>CHOOSE(CONTROL!$C$42, 26.2308, 26.2308) * CHOOSE(CONTROL!$C$21, $C$9, 100%, $E$9)</f>
        <v>26.230799999999999</v>
      </c>
      <c r="P824" s="10">
        <f>CHOOSE(CONTROL!$C$42, 26.013, 26.013) * CHOOSE(CONTROL!$C$21, $C$9, 100%, $E$9)</f>
        <v>26.013000000000002</v>
      </c>
      <c r="Q824" s="10">
        <f>CHOOSE(CONTROL!$C$42, 26.8261, 26.8261) * CHOOSE(CONTROL!$C$21, $C$9, 100%, $E$9)</f>
        <v>26.8261</v>
      </c>
      <c r="R824" s="10">
        <f>CHOOSE(CONTROL!$C$42, 27.4802, 27.4802) * CHOOSE(CONTROL!$C$21, $C$9, 100%, $E$9)</f>
        <v>27.4802</v>
      </c>
      <c r="S824" s="10">
        <f>CHOOSE(CONTROL!$C$42, 25.5159, 25.5159) * CHOOSE(CONTROL!$C$21, $C$9, 100%, $E$9)</f>
        <v>25.515899999999998</v>
      </c>
      <c r="T8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38">
        <f>(1000*CHOOSE(CONTROL!$C$42, 695, 695)*CHOOSE(CONTROL!$C$42, 0.5599, 0.5599)*CHOOSE(CONTROL!$C$42, 31, 31))/1000000</f>
        <v>12.063045499999998</v>
      </c>
      <c r="V824" s="38">
        <f>(1000*CHOOSE(CONTROL!$C$42, 500, 500)*CHOOSE(CONTROL!$C$42, 0.275, 0.275)*CHOOSE(CONTROL!$C$42, 31, 31))/1000000</f>
        <v>4.2625000000000002</v>
      </c>
      <c r="W824" s="38">
        <f>(1000*CHOOSE(CONTROL!$C$42, 0.1146, 0.1146)*CHOOSE(CONTROL!$C$42, 121.5, 121.5)*CHOOSE(CONTROL!$C$42, 31, 31))/1000000</f>
        <v>0.43164089999999994</v>
      </c>
      <c r="X824" s="38">
        <f>(31*0.1790888*245000/1000000)+(31*0.2374*100000/1000000)</f>
        <v>2.0961194359999999</v>
      </c>
      <c r="Y824" s="38">
        <f>(1000*600*CHOOSE(CONTROL!$C$42, 1.0585, 1.0585)*CHOOSE(CONTROL!$C$42, 31, 31))/1000000</f>
        <v>19.688099999999999</v>
      </c>
      <c r="Z824" s="38"/>
      <c r="AA824" s="10"/>
      <c r="AB824" s="39"/>
      <c r="AC824" s="33">
        <f>(B824*194.205+C824*267.466+D824*133.845+E824*53.484+F824*40+G824*185+H824*0+I824*100+J824*300)/(194.205+267.466+133.845+53.484+0+40+185+100+300)</f>
        <v>26.294387649843014</v>
      </c>
      <c r="AD824" s="27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26.101579856115105</v>
      </c>
    </row>
    <row r="825" spans="1:30" ht="15.75" x14ac:dyDescent="0.25">
      <c r="A825" s="13">
        <v>66384</v>
      </c>
      <c r="B825" s="10">
        <f>CHOOSE(CONTROL!$C$42, 24.6115, 24.6115) * CHOOSE(CONTROL!$C$21, $C$9, 100%, $E$9)</f>
        <v>24.611499999999999</v>
      </c>
      <c r="C825" s="10">
        <f>CHOOSE(CONTROL!$C$42, 24.6194, 24.6194) * CHOOSE(CONTROL!$C$21, $C$9, 100%, $E$9)</f>
        <v>24.619399999999999</v>
      </c>
      <c r="D825" s="10">
        <f>CHOOSE(CONTROL!$C$42, 24.7964, 24.7964) * CHOOSE(CONTROL!$C$21, $C$9, 100%, $E$9)</f>
        <v>24.796399999999998</v>
      </c>
      <c r="E825" s="10">
        <f>CHOOSE(CONTROL!$C$42, 24.8275, 24.8275) * CHOOSE(CONTROL!$C$21, $C$9, 100%, $E$9)</f>
        <v>24.827500000000001</v>
      </c>
      <c r="F825" s="10">
        <f>CHOOSE(CONTROL!$C$42, 24.5751, 24.5751)*CHOOSE(CONTROL!$C$21, $C$9, 100%, $E$9)</f>
        <v>24.575099999999999</v>
      </c>
      <c r="G825" s="10">
        <f>CHOOSE(CONTROL!$C$42, 24.5916, 24.5916)*CHOOSE(CONTROL!$C$21, $C$9, 100%, $E$9)</f>
        <v>24.5916</v>
      </c>
      <c r="H825" s="10">
        <f>CHOOSE(CONTROL!$C$42, 24.8162, 24.8162) * CHOOSE(CONTROL!$C$21, $C$9, 100%, $E$9)</f>
        <v>24.816199999999998</v>
      </c>
      <c r="I825" s="10">
        <f>CHOOSE(CONTROL!$C$42, 24.5961, 24.5961)* CHOOSE(CONTROL!$C$21, $C$9, 100%, $E$9)</f>
        <v>24.5961</v>
      </c>
      <c r="J825" s="10">
        <f>CHOOSE(CONTROL!$C$42, 24.5681, 24.5681)* CHOOSE(CONTROL!$C$21, $C$9, 100%, $E$9)</f>
        <v>24.568100000000001</v>
      </c>
      <c r="K825" s="10">
        <f>CHOOSE(CONTROL!$C$42, 24.0322, 24.0322) * CHOOSE(CONTROL!$C$21, $C$9, 100%, $E$9)</f>
        <v>24.0322</v>
      </c>
      <c r="L825" s="10">
        <f>CHOOSE(CONTROL!$C$42, 25.4032, 25.4032) * CHOOSE(CONTROL!$C$21, $C$9, 100%, $E$9)</f>
        <v>25.403199999999998</v>
      </c>
      <c r="M825" s="10">
        <f>CHOOSE(CONTROL!$C$42, 24.334, 24.334) * CHOOSE(CONTROL!$C$21, $C$9, 100%, $E$9)</f>
        <v>24.334</v>
      </c>
      <c r="N825" s="10">
        <f>CHOOSE(CONTROL!$C$42, 24.3504, 24.3504) * CHOOSE(CONTROL!$C$21, $C$9, 100%, $E$9)</f>
        <v>24.3504</v>
      </c>
      <c r="O825" s="10">
        <f>CHOOSE(CONTROL!$C$42, 24.5796, 24.5796) * CHOOSE(CONTROL!$C$21, $C$9, 100%, $E$9)</f>
        <v>24.579599999999999</v>
      </c>
      <c r="P825" s="10">
        <f>CHOOSE(CONTROL!$C$42, 24.3617, 24.3617) * CHOOSE(CONTROL!$C$21, $C$9, 100%, $E$9)</f>
        <v>24.361699999999999</v>
      </c>
      <c r="Q825" s="10">
        <f>CHOOSE(CONTROL!$C$42, 25.1749, 25.1749) * CHOOSE(CONTROL!$C$21, $C$9, 100%, $E$9)</f>
        <v>25.174900000000001</v>
      </c>
      <c r="R825" s="10">
        <f>CHOOSE(CONTROL!$C$42, 25.8248, 25.8248) * CHOOSE(CONTROL!$C$21, $C$9, 100%, $E$9)</f>
        <v>25.8248</v>
      </c>
      <c r="S825" s="10">
        <f>CHOOSE(CONTROL!$C$42, 23.896, 23.896) * CHOOSE(CONTROL!$C$21, $C$9, 100%, $E$9)</f>
        <v>23.896000000000001</v>
      </c>
      <c r="T8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38">
        <f>(1000*CHOOSE(CONTROL!$C$42, 695, 695)*CHOOSE(CONTROL!$C$42, 0.5599, 0.5599)*CHOOSE(CONTROL!$C$42, 30, 30))/1000000</f>
        <v>11.673914999999997</v>
      </c>
      <c r="V825" s="38">
        <f>(1000*CHOOSE(CONTROL!$C$42, 500, 500)*CHOOSE(CONTROL!$C$42, 0.275, 0.275)*CHOOSE(CONTROL!$C$42, 30, 30))/1000000</f>
        <v>4.125</v>
      </c>
      <c r="W825" s="38">
        <f>(1000*CHOOSE(CONTROL!$C$42, 0.1146, 0.1146)*CHOOSE(CONTROL!$C$42, 121.5, 121.5)*CHOOSE(CONTROL!$C$42, 30, 30))/1000000</f>
        <v>0.417717</v>
      </c>
      <c r="X825" s="38">
        <f>(30*0.1790888*245000/1000000)+(30*0.2374*100000/1000000)</f>
        <v>2.0285026799999999</v>
      </c>
      <c r="Y825" s="38">
        <f>(1000*600*CHOOSE(CONTROL!$C$42, 1.0585, 1.0585)*CHOOSE(CONTROL!$C$42, 30, 30))/1000000</f>
        <v>19.053000000000001</v>
      </c>
      <c r="Z825" s="38"/>
      <c r="AA825" s="10"/>
      <c r="AB825" s="39"/>
      <c r="AC825" s="33">
        <f>(B825*194.205+C825*267.466+D825*133.845+E825*53.484+F825*40+G825*185+H825*0+I825*100+J825*300)/(194.205+267.466+133.845+53.484+0+40+185+100+300)</f>
        <v>24.626190711067505</v>
      </c>
      <c r="AD825" s="27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24.450244604316545</v>
      </c>
    </row>
    <row r="826" spans="1:30" ht="15.75" x14ac:dyDescent="0.25">
      <c r="A826" s="13">
        <v>66415</v>
      </c>
      <c r="B826" s="10">
        <f>CHOOSE(CONTROL!$C$42, 24.1097, 24.1097) * CHOOSE(CONTROL!$C$21, $C$9, 100%, $E$9)</f>
        <v>24.1097</v>
      </c>
      <c r="C826" s="10">
        <f>CHOOSE(CONTROL!$C$42, 24.115, 24.115) * CHOOSE(CONTROL!$C$21, $C$9, 100%, $E$9)</f>
        <v>24.114999999999998</v>
      </c>
      <c r="D826" s="10">
        <f>CHOOSE(CONTROL!$C$42, 24.2969, 24.2969) * CHOOSE(CONTROL!$C$21, $C$9, 100%, $E$9)</f>
        <v>24.296900000000001</v>
      </c>
      <c r="E826" s="10">
        <f>CHOOSE(CONTROL!$C$42, 24.3257, 24.3257) * CHOOSE(CONTROL!$C$21, $C$9, 100%, $E$9)</f>
        <v>24.325700000000001</v>
      </c>
      <c r="F826" s="10">
        <f>CHOOSE(CONTROL!$C$42, 24.0754, 24.0754)*CHOOSE(CONTROL!$C$21, $C$9, 100%, $E$9)</f>
        <v>24.075399999999998</v>
      </c>
      <c r="G826" s="10">
        <f>CHOOSE(CONTROL!$C$42, 24.0916, 24.0916)*CHOOSE(CONTROL!$C$21, $C$9, 100%, $E$9)</f>
        <v>24.0916</v>
      </c>
      <c r="H826" s="10">
        <f>CHOOSE(CONTROL!$C$42, 24.3162, 24.3162) * CHOOSE(CONTROL!$C$21, $C$9, 100%, $E$9)</f>
        <v>24.316199999999998</v>
      </c>
      <c r="I826" s="10">
        <f>CHOOSE(CONTROL!$C$42, 24.0961, 24.0961)* CHOOSE(CONTROL!$C$21, $C$9, 100%, $E$9)</f>
        <v>24.0961</v>
      </c>
      <c r="J826" s="10">
        <f>CHOOSE(CONTROL!$C$42, 24.0684, 24.0684)* CHOOSE(CONTROL!$C$21, $C$9, 100%, $E$9)</f>
        <v>24.0684</v>
      </c>
      <c r="K826" s="10">
        <f>CHOOSE(CONTROL!$C$42, 23.5469, 23.5469) * CHOOSE(CONTROL!$C$21, $C$9, 100%, $E$9)</f>
        <v>23.546900000000001</v>
      </c>
      <c r="L826" s="10">
        <f>CHOOSE(CONTROL!$C$42, 24.9032, 24.9032) * CHOOSE(CONTROL!$C$21, $C$9, 100%, $E$9)</f>
        <v>24.903199999999998</v>
      </c>
      <c r="M826" s="10">
        <f>CHOOSE(CONTROL!$C$42, 23.8393, 23.8393) * CHOOSE(CONTROL!$C$21, $C$9, 100%, $E$9)</f>
        <v>23.839300000000001</v>
      </c>
      <c r="N826" s="10">
        <f>CHOOSE(CONTROL!$C$42, 23.8554, 23.8554) * CHOOSE(CONTROL!$C$21, $C$9, 100%, $E$9)</f>
        <v>23.855399999999999</v>
      </c>
      <c r="O826" s="10">
        <f>CHOOSE(CONTROL!$C$42, 24.0846, 24.0846) * CHOOSE(CONTROL!$C$21, $C$9, 100%, $E$9)</f>
        <v>24.084599999999998</v>
      </c>
      <c r="P826" s="10">
        <f>CHOOSE(CONTROL!$C$42, 23.8668, 23.8668) * CHOOSE(CONTROL!$C$21, $C$9, 100%, $E$9)</f>
        <v>23.866800000000001</v>
      </c>
      <c r="Q826" s="10">
        <f>CHOOSE(CONTROL!$C$42, 24.6799, 24.6799) * CHOOSE(CONTROL!$C$21, $C$9, 100%, $E$9)</f>
        <v>24.6799</v>
      </c>
      <c r="R826" s="10">
        <f>CHOOSE(CONTROL!$C$42, 25.3286, 25.3286) * CHOOSE(CONTROL!$C$21, $C$9, 100%, $E$9)</f>
        <v>25.328600000000002</v>
      </c>
      <c r="S826" s="10">
        <f>CHOOSE(CONTROL!$C$42, 23.4104, 23.4104) * CHOOSE(CONTROL!$C$21, $C$9, 100%, $E$9)</f>
        <v>23.410399999999999</v>
      </c>
      <c r="T8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38">
        <f>(1000*CHOOSE(CONTROL!$C$42, 695, 695)*CHOOSE(CONTROL!$C$42, 0.5599, 0.5599)*CHOOSE(CONTROL!$C$42, 31, 31))/1000000</f>
        <v>12.063045499999998</v>
      </c>
      <c r="V826" s="38">
        <f>(1000*CHOOSE(CONTROL!$C$42, 500, 500)*CHOOSE(CONTROL!$C$42, 0.275, 0.275)*CHOOSE(CONTROL!$C$42, 31, 31))/1000000</f>
        <v>4.2625000000000002</v>
      </c>
      <c r="W826" s="38">
        <f>(1000*CHOOSE(CONTROL!$C$42, 0.1146, 0.1146)*CHOOSE(CONTROL!$C$42, 121.5, 121.5)*CHOOSE(CONTROL!$C$42, 31, 31))/1000000</f>
        <v>0.43164089999999994</v>
      </c>
      <c r="X826" s="38">
        <f>(31*0.1790888*245000/1000000)+(31*0.2374*100000/1000000)</f>
        <v>2.0961194359999999</v>
      </c>
      <c r="Y826" s="38">
        <f>(1000*600*CHOOSE(CONTROL!$C$42, 1.0585, 1.0585)*CHOOSE(CONTROL!$C$42, 31, 31))/1000000</f>
        <v>19.688099999999999</v>
      </c>
      <c r="Z826" s="38"/>
      <c r="AA826" s="10"/>
      <c r="AB826" s="39"/>
      <c r="AC826" s="33">
        <f>(B826*131.881+C826*277.167+D826*79.08+E826*125.872+F826*40+G826*185+H826*0+I826*100+J826*300)/(131.881+277.167+79.08+125.872+0+40+185+100+300)</f>
        <v>24.129869986359967</v>
      </c>
      <c r="AD826" s="27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23.955362589928058</v>
      </c>
    </row>
    <row r="827" spans="1:30" ht="15.75" x14ac:dyDescent="0.25">
      <c r="A827" s="13">
        <v>66445</v>
      </c>
      <c r="B827" s="10">
        <f>CHOOSE(CONTROL!$C$42, 24.7444, 24.7444) * CHOOSE(CONTROL!$C$21, $C$9, 100%, $E$9)</f>
        <v>24.744399999999999</v>
      </c>
      <c r="C827" s="10">
        <f>CHOOSE(CONTROL!$C$42, 24.7494, 24.7494) * CHOOSE(CONTROL!$C$21, $C$9, 100%, $E$9)</f>
        <v>24.749400000000001</v>
      </c>
      <c r="D827" s="10">
        <f>CHOOSE(CONTROL!$C$42, 24.7738, 24.7738) * CHOOSE(CONTROL!$C$21, $C$9, 100%, $E$9)</f>
        <v>24.773800000000001</v>
      </c>
      <c r="E827" s="10">
        <f>CHOOSE(CONTROL!$C$42, 24.8076, 24.8076) * CHOOSE(CONTROL!$C$21, $C$9, 100%, $E$9)</f>
        <v>24.807600000000001</v>
      </c>
      <c r="F827" s="10">
        <f>CHOOSE(CONTROL!$C$42, 24.7137, 24.7137)*CHOOSE(CONTROL!$C$21, $C$9, 100%, $E$9)</f>
        <v>24.713699999999999</v>
      </c>
      <c r="G827" s="10">
        <f>CHOOSE(CONTROL!$C$42, 24.7302, 24.7302)*CHOOSE(CONTROL!$C$21, $C$9, 100%, $E$9)</f>
        <v>24.7302</v>
      </c>
      <c r="H827" s="10">
        <f>CHOOSE(CONTROL!$C$42, 24.7968, 24.7968) * CHOOSE(CONTROL!$C$21, $C$9, 100%, $E$9)</f>
        <v>24.796800000000001</v>
      </c>
      <c r="I827" s="10">
        <f>CHOOSE(CONTROL!$C$42, 24.7312, 24.7312)* CHOOSE(CONTROL!$C$21, $C$9, 100%, $E$9)</f>
        <v>24.731200000000001</v>
      </c>
      <c r="J827" s="10">
        <f>CHOOSE(CONTROL!$C$42, 24.7067, 24.7067)* CHOOSE(CONTROL!$C$21, $C$9, 100%, $E$9)</f>
        <v>24.706700000000001</v>
      </c>
      <c r="K827" s="10">
        <f>CHOOSE(CONTROL!$C$42, 24.1655, 24.1655) * CHOOSE(CONTROL!$C$21, $C$9, 100%, $E$9)</f>
        <v>24.165500000000002</v>
      </c>
      <c r="L827" s="10">
        <f>CHOOSE(CONTROL!$C$42, 25.3838, 25.3838) * CHOOSE(CONTROL!$C$21, $C$9, 100%, $E$9)</f>
        <v>25.383800000000001</v>
      </c>
      <c r="M827" s="10">
        <f>CHOOSE(CONTROL!$C$42, 24.4712, 24.4712) * CHOOSE(CONTROL!$C$21, $C$9, 100%, $E$9)</f>
        <v>24.4712</v>
      </c>
      <c r="N827" s="10">
        <f>CHOOSE(CONTROL!$C$42, 24.4875, 24.4875) * CHOOSE(CONTROL!$C$21, $C$9, 100%, $E$9)</f>
        <v>24.487500000000001</v>
      </c>
      <c r="O827" s="10">
        <f>CHOOSE(CONTROL!$C$42, 24.5604, 24.5604) * CHOOSE(CONTROL!$C$21, $C$9, 100%, $E$9)</f>
        <v>24.560400000000001</v>
      </c>
      <c r="P827" s="10">
        <f>CHOOSE(CONTROL!$C$42, 24.4955, 24.4955) * CHOOSE(CONTROL!$C$21, $C$9, 100%, $E$9)</f>
        <v>24.4955</v>
      </c>
      <c r="Q827" s="10">
        <f>CHOOSE(CONTROL!$C$42, 25.1557, 25.1557) * CHOOSE(CONTROL!$C$21, $C$9, 100%, $E$9)</f>
        <v>25.1557</v>
      </c>
      <c r="R827" s="10">
        <f>CHOOSE(CONTROL!$C$42, 25.8056, 25.8056) * CHOOSE(CONTROL!$C$21, $C$9, 100%, $E$9)</f>
        <v>25.805599999999998</v>
      </c>
      <c r="S827" s="10">
        <f>CHOOSE(CONTROL!$C$42, 24.0272, 24.0272) * CHOOSE(CONTROL!$C$21, $C$9, 100%, $E$9)</f>
        <v>24.027200000000001</v>
      </c>
      <c r="T8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38">
        <f>(1000*CHOOSE(CONTROL!$C$42, 695, 695)*CHOOSE(CONTROL!$C$42, 0.5599, 0.5599)*CHOOSE(CONTROL!$C$42, 30, 30))/1000000</f>
        <v>11.673914999999997</v>
      </c>
      <c r="V827" s="38">
        <f>(1000*CHOOSE(CONTROL!$C$42, 500, 500)*CHOOSE(CONTROL!$C$42, 0.275, 0.275)*CHOOSE(CONTROL!$C$42, 30, 30))/1000000</f>
        <v>4.125</v>
      </c>
      <c r="W827" s="38">
        <f>(1000*CHOOSE(CONTROL!$C$42, 0.1146, 0.1146)*CHOOSE(CONTROL!$C$42, 121.5, 121.5)*CHOOSE(CONTROL!$C$42, 30, 30))/1000000</f>
        <v>0.417717</v>
      </c>
      <c r="X827" s="38">
        <f>(30*0.1790888*100000/1000000)+(30*0.2374*100000/1000000)</f>
        <v>1.2494664</v>
      </c>
      <c r="Y827" s="38">
        <f>(1000*600*CHOOSE(CONTROL!$C$42, 1.0585, 1.0585)*CHOOSE(CONTROL!$C$42, 30, 30))/1000000</f>
        <v>19.053000000000001</v>
      </c>
      <c r="Z827" s="38"/>
      <c r="AA827" s="10"/>
      <c r="AB827" s="39"/>
      <c r="AC827" s="33">
        <f>(B827*122.58+C827*297.941+D827*89.177+E827*40.302+F827*40+G827*160+H827*0+I827*100+J827*300)/(122.58+297.941+89.177+40.302+0+40+160+100+300)</f>
        <v>24.736163995826089</v>
      </c>
      <c r="AD827" s="27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24.516063309352518</v>
      </c>
    </row>
    <row r="828" spans="1:30" ht="15.75" x14ac:dyDescent="0.25">
      <c r="A828" s="13">
        <v>66476</v>
      </c>
      <c r="B828" s="10">
        <f>CHOOSE(CONTROL!$C$42, 26.4313, 26.4313) * CHOOSE(CONTROL!$C$21, $C$9, 100%, $E$9)</f>
        <v>26.4313</v>
      </c>
      <c r="C828" s="10">
        <f>CHOOSE(CONTROL!$C$42, 26.4362, 26.4362) * CHOOSE(CONTROL!$C$21, $C$9, 100%, $E$9)</f>
        <v>26.436199999999999</v>
      </c>
      <c r="D828" s="10">
        <f>CHOOSE(CONTROL!$C$42, 26.4607, 26.4607) * CHOOSE(CONTROL!$C$21, $C$9, 100%, $E$9)</f>
        <v>26.460699999999999</v>
      </c>
      <c r="E828" s="10">
        <f>CHOOSE(CONTROL!$C$42, 26.4945, 26.4945) * CHOOSE(CONTROL!$C$21, $C$9, 100%, $E$9)</f>
        <v>26.494499999999999</v>
      </c>
      <c r="F828" s="10">
        <f>CHOOSE(CONTROL!$C$42, 26.4029, 26.4029)*CHOOSE(CONTROL!$C$21, $C$9, 100%, $E$9)</f>
        <v>26.402899999999999</v>
      </c>
      <c r="G828" s="10">
        <f>CHOOSE(CONTROL!$C$42, 26.4199, 26.4199)*CHOOSE(CONTROL!$C$21, $C$9, 100%, $E$9)</f>
        <v>26.419899999999998</v>
      </c>
      <c r="H828" s="10">
        <f>CHOOSE(CONTROL!$C$42, 26.4837, 26.4837) * CHOOSE(CONTROL!$C$21, $C$9, 100%, $E$9)</f>
        <v>26.483699999999999</v>
      </c>
      <c r="I828" s="10">
        <f>CHOOSE(CONTROL!$C$42, 26.418, 26.418)* CHOOSE(CONTROL!$C$21, $C$9, 100%, $E$9)</f>
        <v>26.417999999999999</v>
      </c>
      <c r="J828" s="10">
        <f>CHOOSE(CONTROL!$C$42, 26.3959, 26.3959)* CHOOSE(CONTROL!$C$21, $C$9, 100%, $E$9)</f>
        <v>26.395900000000001</v>
      </c>
      <c r="K828" s="10">
        <f>CHOOSE(CONTROL!$C$42, 25.8094, 25.8094) * CHOOSE(CONTROL!$C$21, $C$9, 100%, $E$9)</f>
        <v>25.8094</v>
      </c>
      <c r="L828" s="10">
        <f>CHOOSE(CONTROL!$C$42, 27.0707, 27.0707) * CHOOSE(CONTROL!$C$21, $C$9, 100%, $E$9)</f>
        <v>27.070699999999999</v>
      </c>
      <c r="M828" s="10">
        <f>CHOOSE(CONTROL!$C$42, 26.1433, 26.1433) * CHOOSE(CONTROL!$C$21, $C$9, 100%, $E$9)</f>
        <v>26.1433</v>
      </c>
      <c r="N828" s="10">
        <f>CHOOSE(CONTROL!$C$42, 26.1602, 26.1602) * CHOOSE(CONTROL!$C$21, $C$9, 100%, $E$9)</f>
        <v>26.1602</v>
      </c>
      <c r="O828" s="10">
        <f>CHOOSE(CONTROL!$C$42, 26.2302, 26.2302) * CHOOSE(CONTROL!$C$21, $C$9, 100%, $E$9)</f>
        <v>26.2302</v>
      </c>
      <c r="P828" s="10">
        <f>CHOOSE(CONTROL!$C$42, 26.1653, 26.1653) * CHOOSE(CONTROL!$C$21, $C$9, 100%, $E$9)</f>
        <v>26.165299999999998</v>
      </c>
      <c r="Q828" s="10">
        <f>CHOOSE(CONTROL!$C$42, 26.8255, 26.8255) * CHOOSE(CONTROL!$C$21, $C$9, 100%, $E$9)</f>
        <v>26.825500000000002</v>
      </c>
      <c r="R828" s="10">
        <f>CHOOSE(CONTROL!$C$42, 27.4796, 27.4796) * CHOOSE(CONTROL!$C$21, $C$9, 100%, $E$9)</f>
        <v>27.479600000000001</v>
      </c>
      <c r="S828" s="10">
        <f>CHOOSE(CONTROL!$C$42, 25.6653, 25.6653) * CHOOSE(CONTROL!$C$21, $C$9, 100%, $E$9)</f>
        <v>25.665299999999998</v>
      </c>
      <c r="T8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38">
        <f>(1000*CHOOSE(CONTROL!$C$42, 695, 695)*CHOOSE(CONTROL!$C$42, 0.5599, 0.5599)*CHOOSE(CONTROL!$C$42, 31, 31))/1000000</f>
        <v>12.063045499999998</v>
      </c>
      <c r="V828" s="38">
        <f>(1000*CHOOSE(CONTROL!$C$42, 500, 500)*CHOOSE(CONTROL!$C$42, 0.275, 0.275)*CHOOSE(CONTROL!$C$42, 31, 31))/1000000</f>
        <v>4.2625000000000002</v>
      </c>
      <c r="W828" s="38">
        <f>(1000*CHOOSE(CONTROL!$C$42, 0.1146, 0.1146)*CHOOSE(CONTROL!$C$42, 121.5, 121.5)*CHOOSE(CONTROL!$C$42, 31, 31))/1000000</f>
        <v>0.43164089999999994</v>
      </c>
      <c r="X828" s="38">
        <f>(31*0.1790888*100000/1000000)+(31*0.2374*100000/1000000)</f>
        <v>1.2911152800000001</v>
      </c>
      <c r="Y828" s="38">
        <f>(1000*600*CHOOSE(CONTROL!$C$42, 1.0585, 1.0585)*CHOOSE(CONTROL!$C$42, 31, 31))/1000000</f>
        <v>19.688099999999999</v>
      </c>
      <c r="Z828" s="38"/>
      <c r="AA828" s="10"/>
      <c r="AB828" s="39"/>
      <c r="AC828" s="33">
        <f>(B828*122.58+C828*297.941+D828*89.177+E828*40.302+F828*40+G828*160+H828*0+I828*100+J828*300)/(122.58+297.941+89.177+40.302+0+40+160+100+300)</f>
        <v>26.424098957478261</v>
      </c>
      <c r="AD828" s="27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26.186824460431655</v>
      </c>
    </row>
    <row r="829" spans="1:30" ht="15.75" x14ac:dyDescent="0.25">
      <c r="A829" s="13">
        <v>66507</v>
      </c>
      <c r="B829" s="10">
        <f>CHOOSE(CONTROL!$C$42, 28.215, 28.215) * CHOOSE(CONTROL!$C$21, $C$9, 100%, $E$9)</f>
        <v>28.215</v>
      </c>
      <c r="C829" s="10">
        <f>CHOOSE(CONTROL!$C$42, 28.22, 28.22) * CHOOSE(CONTROL!$C$21, $C$9, 100%, $E$9)</f>
        <v>28.22</v>
      </c>
      <c r="D829" s="10">
        <f>CHOOSE(CONTROL!$C$42, 28.2444, 28.2444) * CHOOSE(CONTROL!$C$21, $C$9, 100%, $E$9)</f>
        <v>28.244399999999999</v>
      </c>
      <c r="E829" s="10">
        <f>CHOOSE(CONTROL!$C$42, 28.2782, 28.2782) * CHOOSE(CONTROL!$C$21, $C$9, 100%, $E$9)</f>
        <v>28.278199999999998</v>
      </c>
      <c r="F829" s="10">
        <f>CHOOSE(CONTROL!$C$42, 28.198, 28.198)*CHOOSE(CONTROL!$C$21, $C$9, 100%, $E$9)</f>
        <v>28.198</v>
      </c>
      <c r="G829" s="10">
        <f>CHOOSE(CONTROL!$C$42, 28.2166, 28.2166)*CHOOSE(CONTROL!$C$21, $C$9, 100%, $E$9)</f>
        <v>28.2166</v>
      </c>
      <c r="H829" s="10">
        <f>CHOOSE(CONTROL!$C$42, 28.2674, 28.2674) * CHOOSE(CONTROL!$C$21, $C$9, 100%, $E$9)</f>
        <v>28.267399999999999</v>
      </c>
      <c r="I829" s="10">
        <f>CHOOSE(CONTROL!$C$42, 28.2095, 28.2095)* CHOOSE(CONTROL!$C$21, $C$9, 100%, $E$9)</f>
        <v>28.209499999999998</v>
      </c>
      <c r="J829" s="10">
        <f>CHOOSE(CONTROL!$C$42, 28.191, 28.191)* CHOOSE(CONTROL!$C$21, $C$9, 100%, $E$9)</f>
        <v>28.190999999999999</v>
      </c>
      <c r="K829" s="10">
        <f>CHOOSE(CONTROL!$C$42, 27.5635, 27.5635) * CHOOSE(CONTROL!$C$21, $C$9, 100%, $E$9)</f>
        <v>27.563500000000001</v>
      </c>
      <c r="L829" s="10">
        <f>CHOOSE(CONTROL!$C$42, 28.8544, 28.8544) * CHOOSE(CONTROL!$C$21, $C$9, 100%, $E$9)</f>
        <v>28.854399999999998</v>
      </c>
      <c r="M829" s="10">
        <f>CHOOSE(CONTROL!$C$42, 27.9203, 27.9203) * CHOOSE(CONTROL!$C$21, $C$9, 100%, $E$9)</f>
        <v>27.920300000000001</v>
      </c>
      <c r="N829" s="10">
        <f>CHOOSE(CONTROL!$C$42, 27.9388, 27.9388) * CHOOSE(CONTROL!$C$21, $C$9, 100%, $E$9)</f>
        <v>27.938800000000001</v>
      </c>
      <c r="O829" s="10">
        <f>CHOOSE(CONTROL!$C$42, 27.996, 27.996) * CHOOSE(CONTROL!$C$21, $C$9, 100%, $E$9)</f>
        <v>27.995999999999999</v>
      </c>
      <c r="P829" s="10">
        <f>CHOOSE(CONTROL!$C$42, 27.9387, 27.9387) * CHOOSE(CONTROL!$C$21, $C$9, 100%, $E$9)</f>
        <v>27.938700000000001</v>
      </c>
      <c r="Q829" s="10">
        <f>CHOOSE(CONTROL!$C$42, 28.5913, 28.5913) * CHOOSE(CONTROL!$C$21, $C$9, 100%, $E$9)</f>
        <v>28.5913</v>
      </c>
      <c r="R829" s="10">
        <f>CHOOSE(CONTROL!$C$42, 29.2498, 29.2498) * CHOOSE(CONTROL!$C$21, $C$9, 100%, $E$9)</f>
        <v>29.2498</v>
      </c>
      <c r="S829" s="10">
        <f>CHOOSE(CONTROL!$C$42, 27.3975, 27.3975) * CHOOSE(CONTROL!$C$21, $C$9, 100%, $E$9)</f>
        <v>27.397500000000001</v>
      </c>
      <c r="T8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38">
        <f>(1000*CHOOSE(CONTROL!$C$42, 695, 695)*CHOOSE(CONTROL!$C$42, 0.5599, 0.5599)*CHOOSE(CONTROL!$C$42, 31, 31))/1000000</f>
        <v>12.063045499999998</v>
      </c>
      <c r="V829" s="38">
        <f>(1000*CHOOSE(CONTROL!$C$42, 500, 500)*CHOOSE(CONTROL!$C$42, 0.275, 0.275)*CHOOSE(CONTROL!$C$42, 31, 31))/1000000</f>
        <v>4.2625000000000002</v>
      </c>
      <c r="W829" s="38">
        <f>(1000*CHOOSE(CONTROL!$C$42, 0.1146, 0.1146)*CHOOSE(CONTROL!$C$42, 121.5, 121.5)*CHOOSE(CONTROL!$C$42, 31, 31))/1000000</f>
        <v>0.43164089999999994</v>
      </c>
      <c r="X829" s="38">
        <f>(31*0.1790888*100000/1000000)+(31*0.2374*100000/1000000)</f>
        <v>1.2911152800000001</v>
      </c>
      <c r="Y829" s="38">
        <f>(1000*600*CHOOSE(CONTROL!$C$42, 1.0585, 1.0585)*CHOOSE(CONTROL!$C$42, 31, 31))/1000000</f>
        <v>19.688099999999999</v>
      </c>
      <c r="Z829" s="38"/>
      <c r="AA829" s="10"/>
      <c r="AB829" s="39"/>
      <c r="AC829" s="33">
        <f>(B829*122.58+C829*297.941+D829*89.177+E829*40.302+F829*40+G829*160+H829*0+I829*100+J829*300)/(122.58+297.941+89.177+40.302+0+40+160+100+300)</f>
        <v>28.213682256695652</v>
      </c>
      <c r="AD829" s="27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27.958322302158273</v>
      </c>
    </row>
    <row r="830" spans="1:30" ht="15.75" x14ac:dyDescent="0.25">
      <c r="A830" s="13">
        <v>66535</v>
      </c>
      <c r="B830" s="10">
        <f>CHOOSE(CONTROL!$C$42, 28.7172, 28.7172) * CHOOSE(CONTROL!$C$21, $C$9, 100%, $E$9)</f>
        <v>28.717199999999998</v>
      </c>
      <c r="C830" s="10">
        <f>CHOOSE(CONTROL!$C$42, 28.7222, 28.7222) * CHOOSE(CONTROL!$C$21, $C$9, 100%, $E$9)</f>
        <v>28.722200000000001</v>
      </c>
      <c r="D830" s="10">
        <f>CHOOSE(CONTROL!$C$42, 28.7467, 28.7467) * CHOOSE(CONTROL!$C$21, $C$9, 100%, $E$9)</f>
        <v>28.746700000000001</v>
      </c>
      <c r="E830" s="10">
        <f>CHOOSE(CONTROL!$C$42, 28.7804, 28.7804) * CHOOSE(CONTROL!$C$21, $C$9, 100%, $E$9)</f>
        <v>28.7804</v>
      </c>
      <c r="F830" s="10">
        <f>CHOOSE(CONTROL!$C$42, 28.6995, 28.6995)*CHOOSE(CONTROL!$C$21, $C$9, 100%, $E$9)</f>
        <v>28.6995</v>
      </c>
      <c r="G830" s="10">
        <f>CHOOSE(CONTROL!$C$42, 28.718, 28.718)*CHOOSE(CONTROL!$C$21, $C$9, 100%, $E$9)</f>
        <v>28.718</v>
      </c>
      <c r="H830" s="10">
        <f>CHOOSE(CONTROL!$C$42, 28.7696, 28.7696) * CHOOSE(CONTROL!$C$21, $C$9, 100%, $E$9)</f>
        <v>28.769600000000001</v>
      </c>
      <c r="I830" s="10">
        <f>CHOOSE(CONTROL!$C$42, 28.7117, 28.7117)* CHOOSE(CONTROL!$C$21, $C$9, 100%, $E$9)</f>
        <v>28.7117</v>
      </c>
      <c r="J830" s="10">
        <f>CHOOSE(CONTROL!$C$42, 28.6925, 28.6925)* CHOOSE(CONTROL!$C$21, $C$9, 100%, $E$9)</f>
        <v>28.692499999999999</v>
      </c>
      <c r="K830" s="10">
        <f>CHOOSE(CONTROL!$C$42, 28.05, 28.05) * CHOOSE(CONTROL!$C$21, $C$9, 100%, $E$9)</f>
        <v>28.05</v>
      </c>
      <c r="L830" s="10">
        <f>CHOOSE(CONTROL!$C$42, 29.3566, 29.3566) * CHOOSE(CONTROL!$C$21, $C$9, 100%, $E$9)</f>
        <v>29.3566</v>
      </c>
      <c r="M830" s="10">
        <f>CHOOSE(CONTROL!$C$42, 28.4168, 28.4168) * CHOOSE(CONTROL!$C$21, $C$9, 100%, $E$9)</f>
        <v>28.416799999999999</v>
      </c>
      <c r="N830" s="10">
        <f>CHOOSE(CONTROL!$C$42, 28.4351, 28.4351) * CHOOSE(CONTROL!$C$21, $C$9, 100%, $E$9)</f>
        <v>28.435099999999998</v>
      </c>
      <c r="O830" s="10">
        <f>CHOOSE(CONTROL!$C$42, 28.4931, 28.4931) * CHOOSE(CONTROL!$C$21, $C$9, 100%, $E$9)</f>
        <v>28.493099999999998</v>
      </c>
      <c r="P830" s="10">
        <f>CHOOSE(CONTROL!$C$42, 28.4358, 28.4358) * CHOOSE(CONTROL!$C$21, $C$9, 100%, $E$9)</f>
        <v>28.4358</v>
      </c>
      <c r="Q830" s="10">
        <f>CHOOSE(CONTROL!$C$42, 29.0884, 29.0884) * CHOOSE(CONTROL!$C$21, $C$9, 100%, $E$9)</f>
        <v>29.0884</v>
      </c>
      <c r="R830" s="10">
        <f>CHOOSE(CONTROL!$C$42, 29.7481, 29.7481) * CHOOSE(CONTROL!$C$21, $C$9, 100%, $E$9)</f>
        <v>29.748100000000001</v>
      </c>
      <c r="S830" s="10">
        <f>CHOOSE(CONTROL!$C$42, 27.8852, 27.8852) * CHOOSE(CONTROL!$C$21, $C$9, 100%, $E$9)</f>
        <v>27.885200000000001</v>
      </c>
      <c r="T8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38">
        <f>(1000*CHOOSE(CONTROL!$C$42, 695, 695)*CHOOSE(CONTROL!$C$42, 0.5599, 0.5599)*CHOOSE(CONTROL!$C$42, 28, 28))/1000000</f>
        <v>10.895653999999999</v>
      </c>
      <c r="V830" s="38">
        <f>(1000*CHOOSE(CONTROL!$C$42, 500, 500)*CHOOSE(CONTROL!$C$42, 0.275, 0.275)*CHOOSE(CONTROL!$C$42, 28, 28))/1000000</f>
        <v>3.85</v>
      </c>
      <c r="W830" s="38">
        <f>(1000*CHOOSE(CONTROL!$C$42, 0.1146, 0.1146)*CHOOSE(CONTROL!$C$42, 121.5, 121.5)*CHOOSE(CONTROL!$C$42, 28, 28))/1000000</f>
        <v>0.38986920000000003</v>
      </c>
      <c r="X830" s="38">
        <f>(28*0.1790888*100000/1000000)+(28*0.2374*100000/1000000)</f>
        <v>1.16616864</v>
      </c>
      <c r="Y830" s="38">
        <f>(1000*600*CHOOSE(CONTROL!$C$42, 1.0585, 1.0585)*CHOOSE(CONTROL!$C$42, 28, 28))/1000000</f>
        <v>17.782800000000002</v>
      </c>
      <c r="Z830" s="38"/>
      <c r="AA830" s="10"/>
      <c r="AB830" s="39"/>
      <c r="AC830" s="33">
        <f>(B830*122.58+C830*297.941+D830*89.177+E830*40.302+F830*40+G830*160+H830*0+I830*100+J830*300)/(122.58+297.941+89.177+40.302+0+40+160+100+300)</f>
        <v>28.715571750347824</v>
      </c>
      <c r="AD830" s="27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28.455169064748201</v>
      </c>
    </row>
    <row r="831" spans="1:30" ht="15.75" x14ac:dyDescent="0.25">
      <c r="A831" s="13">
        <v>66566</v>
      </c>
      <c r="B831" s="10">
        <f>CHOOSE(CONTROL!$C$42, 27.902, 27.902) * CHOOSE(CONTROL!$C$21, $C$9, 100%, $E$9)</f>
        <v>27.902000000000001</v>
      </c>
      <c r="C831" s="10">
        <f>CHOOSE(CONTROL!$C$42, 27.907, 27.907) * CHOOSE(CONTROL!$C$21, $C$9, 100%, $E$9)</f>
        <v>27.907</v>
      </c>
      <c r="D831" s="10">
        <f>CHOOSE(CONTROL!$C$42, 27.9314, 27.9314) * CHOOSE(CONTROL!$C$21, $C$9, 100%, $E$9)</f>
        <v>27.9314</v>
      </c>
      <c r="E831" s="10">
        <f>CHOOSE(CONTROL!$C$42, 27.9652, 27.9652) * CHOOSE(CONTROL!$C$21, $C$9, 100%, $E$9)</f>
        <v>27.965199999999999</v>
      </c>
      <c r="F831" s="10">
        <f>CHOOSE(CONTROL!$C$42, 27.8827, 27.8827)*CHOOSE(CONTROL!$C$21, $C$9, 100%, $E$9)</f>
        <v>27.8827</v>
      </c>
      <c r="G831" s="10">
        <f>CHOOSE(CONTROL!$C$42, 27.9008, 27.9008)*CHOOSE(CONTROL!$C$21, $C$9, 100%, $E$9)</f>
        <v>27.9008</v>
      </c>
      <c r="H831" s="10">
        <f>CHOOSE(CONTROL!$C$42, 27.9544, 27.9544) * CHOOSE(CONTROL!$C$21, $C$9, 100%, $E$9)</f>
        <v>27.9544</v>
      </c>
      <c r="I831" s="10">
        <f>CHOOSE(CONTROL!$C$42, 27.8965, 27.8965)* CHOOSE(CONTROL!$C$21, $C$9, 100%, $E$9)</f>
        <v>27.8965</v>
      </c>
      <c r="J831" s="10">
        <f>CHOOSE(CONTROL!$C$42, 27.8757, 27.8757)* CHOOSE(CONTROL!$C$21, $C$9, 100%, $E$9)</f>
        <v>27.875699999999998</v>
      </c>
      <c r="K831" s="10">
        <f>CHOOSE(CONTROL!$C$42, 27.2546, 27.2546) * CHOOSE(CONTROL!$C$21, $C$9, 100%, $E$9)</f>
        <v>27.2546</v>
      </c>
      <c r="L831" s="10">
        <f>CHOOSE(CONTROL!$C$42, 28.5414, 28.5414) * CHOOSE(CONTROL!$C$21, $C$9, 100%, $E$9)</f>
        <v>28.541399999999999</v>
      </c>
      <c r="M831" s="10">
        <f>CHOOSE(CONTROL!$C$42, 27.6083, 27.6083) * CHOOSE(CONTROL!$C$21, $C$9, 100%, $E$9)</f>
        <v>27.6083</v>
      </c>
      <c r="N831" s="10">
        <f>CHOOSE(CONTROL!$C$42, 27.6262, 27.6262) * CHOOSE(CONTROL!$C$21, $C$9, 100%, $E$9)</f>
        <v>27.626200000000001</v>
      </c>
      <c r="O831" s="10">
        <f>CHOOSE(CONTROL!$C$42, 27.6861, 27.6861) * CHOOSE(CONTROL!$C$21, $C$9, 100%, $E$9)</f>
        <v>27.6861</v>
      </c>
      <c r="P831" s="10">
        <f>CHOOSE(CONTROL!$C$42, 27.6289, 27.6289) * CHOOSE(CONTROL!$C$21, $C$9, 100%, $E$9)</f>
        <v>27.628900000000002</v>
      </c>
      <c r="Q831" s="10">
        <f>CHOOSE(CONTROL!$C$42, 28.2814, 28.2814) * CHOOSE(CONTROL!$C$21, $C$9, 100%, $E$9)</f>
        <v>28.281400000000001</v>
      </c>
      <c r="R831" s="10">
        <f>CHOOSE(CONTROL!$C$42, 28.9391, 28.9391) * CHOOSE(CONTROL!$C$21, $C$9, 100%, $E$9)</f>
        <v>28.9391</v>
      </c>
      <c r="S831" s="10">
        <f>CHOOSE(CONTROL!$C$42, 27.0935, 27.0935) * CHOOSE(CONTROL!$C$21, $C$9, 100%, $E$9)</f>
        <v>27.093499999999999</v>
      </c>
      <c r="T8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38">
        <f>(1000*CHOOSE(CONTROL!$C$42, 695, 695)*CHOOSE(CONTROL!$C$42, 0.5599, 0.5599)*CHOOSE(CONTROL!$C$42, 31, 31))/1000000</f>
        <v>12.063045499999998</v>
      </c>
      <c r="V831" s="38">
        <f>(1000*CHOOSE(CONTROL!$C$42, 500, 500)*CHOOSE(CONTROL!$C$42, 0.275, 0.275)*CHOOSE(CONTROL!$C$42, 31, 31))/1000000</f>
        <v>4.2625000000000002</v>
      </c>
      <c r="W831" s="38">
        <f>(1000*CHOOSE(CONTROL!$C$42, 0.1146, 0.1146)*CHOOSE(CONTROL!$C$42, 121.5, 121.5)*CHOOSE(CONTROL!$C$42, 31, 31))/1000000</f>
        <v>0.43164089999999994</v>
      </c>
      <c r="X831" s="38">
        <f>(31*0.1790888*100000/1000000)+(31*0.2374*100000/1000000)</f>
        <v>1.2911152800000001</v>
      </c>
      <c r="Y831" s="38">
        <f>(1000*600*CHOOSE(CONTROL!$C$42, 1.0585, 1.0585)*CHOOSE(CONTROL!$C$42, 31, 31))/1000000</f>
        <v>19.688099999999999</v>
      </c>
      <c r="Z831" s="38"/>
      <c r="AA831" s="10"/>
      <c r="AB831" s="39"/>
      <c r="AC831" s="33">
        <f>(B831*122.58+C831*297.941+D831*89.177+E831*40.302+F831*40+G831*160+H831*0+I831*100+J831*300)/(122.58+297.941+89.177+40.302+0+40+160+100+300)</f>
        <v>27.899612691478261</v>
      </c>
      <c r="AD831" s="27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27.647556115107911</v>
      </c>
    </row>
    <row r="832" spans="1:30" ht="15.75" x14ac:dyDescent="0.25">
      <c r="A832" s="13">
        <v>66596</v>
      </c>
      <c r="B832" s="10">
        <f>CHOOSE(CONTROL!$C$42, 27.8193, 27.8193) * CHOOSE(CONTROL!$C$21, $C$9, 100%, $E$9)</f>
        <v>27.819299999999998</v>
      </c>
      <c r="C832" s="10">
        <f>CHOOSE(CONTROL!$C$42, 27.8236, 27.8236) * CHOOSE(CONTROL!$C$21, $C$9, 100%, $E$9)</f>
        <v>27.823599999999999</v>
      </c>
      <c r="D832" s="10">
        <f>CHOOSE(CONTROL!$C$42, 28.0038, 28.0038) * CHOOSE(CONTROL!$C$21, $C$9, 100%, $E$9)</f>
        <v>28.003799999999998</v>
      </c>
      <c r="E832" s="10">
        <f>CHOOSE(CONTROL!$C$42, 28.0356, 28.0356) * CHOOSE(CONTROL!$C$21, $C$9, 100%, $E$9)</f>
        <v>28.035599999999999</v>
      </c>
      <c r="F832" s="10">
        <f>CHOOSE(CONTROL!$C$42, 27.7846, 27.7846)*CHOOSE(CONTROL!$C$21, $C$9, 100%, $E$9)</f>
        <v>27.784600000000001</v>
      </c>
      <c r="G832" s="10">
        <f>CHOOSE(CONTROL!$C$42, 27.8008, 27.8008)*CHOOSE(CONTROL!$C$21, $C$9, 100%, $E$9)</f>
        <v>27.800799999999999</v>
      </c>
      <c r="H832" s="10">
        <f>CHOOSE(CONTROL!$C$42, 28.0253, 28.0253) * CHOOSE(CONTROL!$C$21, $C$9, 100%, $E$9)</f>
        <v>28.025300000000001</v>
      </c>
      <c r="I832" s="10">
        <f>CHOOSE(CONTROL!$C$42, 27.8053, 27.8053)* CHOOSE(CONTROL!$C$21, $C$9, 100%, $E$9)</f>
        <v>27.805299999999999</v>
      </c>
      <c r="J832" s="10">
        <f>CHOOSE(CONTROL!$C$42, 27.7776, 27.7776)* CHOOSE(CONTROL!$C$21, $C$9, 100%, $E$9)</f>
        <v>27.7776</v>
      </c>
      <c r="K832" s="10">
        <f>CHOOSE(CONTROL!$C$42, 27.1509, 27.1509) * CHOOSE(CONTROL!$C$21, $C$9, 100%, $E$9)</f>
        <v>27.1509</v>
      </c>
      <c r="L832" s="10">
        <f>CHOOSE(CONTROL!$C$42, 28.6123, 28.6123) * CHOOSE(CONTROL!$C$21, $C$9, 100%, $E$9)</f>
        <v>28.612300000000001</v>
      </c>
      <c r="M832" s="10">
        <f>CHOOSE(CONTROL!$C$42, 27.5111, 27.5111) * CHOOSE(CONTROL!$C$21, $C$9, 100%, $E$9)</f>
        <v>27.511099999999999</v>
      </c>
      <c r="N832" s="10">
        <f>CHOOSE(CONTROL!$C$42, 27.5272, 27.5272) * CHOOSE(CONTROL!$C$21, $C$9, 100%, $E$9)</f>
        <v>27.527200000000001</v>
      </c>
      <c r="O832" s="10">
        <f>CHOOSE(CONTROL!$C$42, 27.7563, 27.7563) * CHOOSE(CONTROL!$C$21, $C$9, 100%, $E$9)</f>
        <v>27.7563</v>
      </c>
      <c r="P832" s="10">
        <f>CHOOSE(CONTROL!$C$42, 27.5385, 27.5385) * CHOOSE(CONTROL!$C$21, $C$9, 100%, $E$9)</f>
        <v>27.538499999999999</v>
      </c>
      <c r="Q832" s="10">
        <f>CHOOSE(CONTROL!$C$42, 28.3516, 28.3516) * CHOOSE(CONTROL!$C$21, $C$9, 100%, $E$9)</f>
        <v>28.351600000000001</v>
      </c>
      <c r="R832" s="10">
        <f>CHOOSE(CONTROL!$C$42, 29.0095, 29.0095) * CHOOSE(CONTROL!$C$21, $C$9, 100%, $E$9)</f>
        <v>29.009499999999999</v>
      </c>
      <c r="S832" s="10">
        <f>CHOOSE(CONTROL!$C$42, 27.0124, 27.0124) * CHOOSE(CONTROL!$C$21, $C$9, 100%, $E$9)</f>
        <v>27.0124</v>
      </c>
      <c r="T8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38">
        <f>(1000*CHOOSE(CONTROL!$C$42, 695, 695)*CHOOSE(CONTROL!$C$42, 0.5599, 0.5599)*CHOOSE(CONTROL!$C$42, 30, 30))/1000000</f>
        <v>11.673914999999997</v>
      </c>
      <c r="V832" s="38">
        <f>(1000*CHOOSE(CONTROL!$C$42, 500, 500)*CHOOSE(CONTROL!$C$42, 0.275, 0.275)*CHOOSE(CONTROL!$C$42, 30, 30))/1000000</f>
        <v>4.125</v>
      </c>
      <c r="W832" s="38">
        <f>(1000*CHOOSE(CONTROL!$C$42, 0.1146, 0.1146)*CHOOSE(CONTROL!$C$42, 121.5, 121.5)*CHOOSE(CONTROL!$C$42, 30, 30))/1000000</f>
        <v>0.417717</v>
      </c>
      <c r="X832" s="38">
        <f>(30*0.1790888*245000/1000000)+(30*0.2374*100000/1000000)</f>
        <v>2.0285026799999999</v>
      </c>
      <c r="Y832" s="38">
        <f>(1000*600*CHOOSE(CONTROL!$C$42, 1.0585, 1.0585)*CHOOSE(CONTROL!$C$42, 30, 30))/1000000</f>
        <v>19.053000000000001</v>
      </c>
      <c r="Z832" s="38"/>
      <c r="AA832" s="10"/>
      <c r="AB832" s="39"/>
      <c r="AC832" s="33">
        <f>(B832*141.293+C832*267.993+D832*115.016+E832*89.698+F832*40+G832*185+H832*0+I832*100+J832*300)/(141.293+267.993+115.016+89.698+0+40+185+100+300)</f>
        <v>27.837906940516543</v>
      </c>
      <c r="AD832" s="27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27.627102877697837</v>
      </c>
    </row>
    <row r="833" spans="1:30" ht="15.75" x14ac:dyDescent="0.25">
      <c r="A833" s="13">
        <v>66627</v>
      </c>
      <c r="B833" s="10">
        <f>CHOOSE(CONTROL!$C$42, 28.0666, 28.0666) * CHOOSE(CONTROL!$C$21, $C$9, 100%, $E$9)</f>
        <v>28.066600000000001</v>
      </c>
      <c r="C833" s="10">
        <f>CHOOSE(CONTROL!$C$42, 28.0745, 28.0745) * CHOOSE(CONTROL!$C$21, $C$9, 100%, $E$9)</f>
        <v>28.0745</v>
      </c>
      <c r="D833" s="10">
        <f>CHOOSE(CONTROL!$C$42, 28.2515, 28.2515) * CHOOSE(CONTROL!$C$21, $C$9, 100%, $E$9)</f>
        <v>28.2515</v>
      </c>
      <c r="E833" s="10">
        <f>CHOOSE(CONTROL!$C$42, 28.2826, 28.2826) * CHOOSE(CONTROL!$C$21, $C$9, 100%, $E$9)</f>
        <v>28.282599999999999</v>
      </c>
      <c r="F833" s="10">
        <f>CHOOSE(CONTROL!$C$42, 28.0299, 28.0299)*CHOOSE(CONTROL!$C$21, $C$9, 100%, $E$9)</f>
        <v>28.029900000000001</v>
      </c>
      <c r="G833" s="10">
        <f>CHOOSE(CONTROL!$C$42, 28.0464, 28.0464)*CHOOSE(CONTROL!$C$21, $C$9, 100%, $E$9)</f>
        <v>28.046399999999998</v>
      </c>
      <c r="H833" s="10">
        <f>CHOOSE(CONTROL!$C$42, 28.2712, 28.2712) * CHOOSE(CONTROL!$C$21, $C$9, 100%, $E$9)</f>
        <v>28.2712</v>
      </c>
      <c r="I833" s="10">
        <f>CHOOSE(CONTROL!$C$42, 28.0512, 28.0512)* CHOOSE(CONTROL!$C$21, $C$9, 100%, $E$9)</f>
        <v>28.051200000000001</v>
      </c>
      <c r="J833" s="10">
        <f>CHOOSE(CONTROL!$C$42, 28.0229, 28.0229)* CHOOSE(CONTROL!$C$21, $C$9, 100%, $E$9)</f>
        <v>28.0229</v>
      </c>
      <c r="K833" s="10">
        <f>CHOOSE(CONTROL!$C$42, 27.3886, 27.3886) * CHOOSE(CONTROL!$C$21, $C$9, 100%, $E$9)</f>
        <v>27.3886</v>
      </c>
      <c r="L833" s="10">
        <f>CHOOSE(CONTROL!$C$42, 28.8582, 28.8582) * CHOOSE(CONTROL!$C$21, $C$9, 100%, $E$9)</f>
        <v>28.8582</v>
      </c>
      <c r="M833" s="10">
        <f>CHOOSE(CONTROL!$C$42, 27.7539, 27.7539) * CHOOSE(CONTROL!$C$21, $C$9, 100%, $E$9)</f>
        <v>27.753900000000002</v>
      </c>
      <c r="N833" s="10">
        <f>CHOOSE(CONTROL!$C$42, 27.7703, 27.7703) * CHOOSE(CONTROL!$C$21, $C$9, 100%, $E$9)</f>
        <v>27.770299999999999</v>
      </c>
      <c r="O833" s="10">
        <f>CHOOSE(CONTROL!$C$42, 27.9998, 27.9998) * CHOOSE(CONTROL!$C$21, $C$9, 100%, $E$9)</f>
        <v>27.9998</v>
      </c>
      <c r="P833" s="10">
        <f>CHOOSE(CONTROL!$C$42, 27.7819, 27.7819) * CHOOSE(CONTROL!$C$21, $C$9, 100%, $E$9)</f>
        <v>27.7819</v>
      </c>
      <c r="Q833" s="10">
        <f>CHOOSE(CONTROL!$C$42, 28.5951, 28.5951) * CHOOSE(CONTROL!$C$21, $C$9, 100%, $E$9)</f>
        <v>28.595099999999999</v>
      </c>
      <c r="R833" s="10">
        <f>CHOOSE(CONTROL!$C$42, 29.2535, 29.2535) * CHOOSE(CONTROL!$C$21, $C$9, 100%, $E$9)</f>
        <v>29.253499999999999</v>
      </c>
      <c r="S833" s="10">
        <f>CHOOSE(CONTROL!$C$42, 27.2512, 27.2512) * CHOOSE(CONTROL!$C$21, $C$9, 100%, $E$9)</f>
        <v>27.251200000000001</v>
      </c>
      <c r="T8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38">
        <f>(1000*CHOOSE(CONTROL!$C$42, 695, 695)*CHOOSE(CONTROL!$C$42, 0.5599, 0.5599)*CHOOSE(CONTROL!$C$42, 31, 31))/1000000</f>
        <v>12.063045499999998</v>
      </c>
      <c r="V833" s="38">
        <f>(1000*CHOOSE(CONTROL!$C$42, 500, 500)*CHOOSE(CONTROL!$C$42, 0.275, 0.275)*CHOOSE(CONTROL!$C$42, 31, 31))/1000000</f>
        <v>4.2625000000000002</v>
      </c>
      <c r="W833" s="38">
        <f>(1000*CHOOSE(CONTROL!$C$42, 0.1146, 0.1146)*CHOOSE(CONTROL!$C$42, 121.5, 121.5)*CHOOSE(CONTROL!$C$42, 31, 31))/1000000</f>
        <v>0.43164089999999994</v>
      </c>
      <c r="X833" s="38">
        <f>(31*0.1790888*245000/1000000)+(31*0.2374*100000/1000000)</f>
        <v>2.0961194359999999</v>
      </c>
      <c r="Y833" s="38">
        <f>(1000*600*CHOOSE(CONTROL!$C$42, 1.0585, 1.0585)*CHOOSE(CONTROL!$C$42, 31, 31))/1000000</f>
        <v>19.688099999999999</v>
      </c>
      <c r="Z833" s="38"/>
      <c r="AA833" s="10"/>
      <c r="AB833" s="39"/>
      <c r="AC833" s="33">
        <f>(B833*194.205+C833*267.466+D833*133.845+E833*53.484+F833*40+G833*185+H833*0+I833*100+J833*300)/(194.205+267.466+133.845+53.484+0+40+185+100+300)</f>
        <v>28.081167084693874</v>
      </c>
      <c r="AD833" s="27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27.870323741007194</v>
      </c>
    </row>
    <row r="834" spans="1:30" ht="15.75" x14ac:dyDescent="0.25">
      <c r="A834" s="13">
        <v>66657</v>
      </c>
      <c r="B834" s="10">
        <f>CHOOSE(CONTROL!$C$42, 28.8626, 28.8626) * CHOOSE(CONTROL!$C$21, $C$9, 100%, $E$9)</f>
        <v>28.8626</v>
      </c>
      <c r="C834" s="10">
        <f>CHOOSE(CONTROL!$C$42, 28.8705, 28.8705) * CHOOSE(CONTROL!$C$21, $C$9, 100%, $E$9)</f>
        <v>28.8705</v>
      </c>
      <c r="D834" s="10">
        <f>CHOOSE(CONTROL!$C$42, 29.0475, 29.0475) * CHOOSE(CONTROL!$C$21, $C$9, 100%, $E$9)</f>
        <v>29.047499999999999</v>
      </c>
      <c r="E834" s="10">
        <f>CHOOSE(CONTROL!$C$42, 29.0786, 29.0786) * CHOOSE(CONTROL!$C$21, $C$9, 100%, $E$9)</f>
        <v>29.078600000000002</v>
      </c>
      <c r="F834" s="10">
        <f>CHOOSE(CONTROL!$C$42, 28.8261, 28.8261)*CHOOSE(CONTROL!$C$21, $C$9, 100%, $E$9)</f>
        <v>28.8261</v>
      </c>
      <c r="G834" s="10">
        <f>CHOOSE(CONTROL!$C$42, 28.8426, 28.8426)*CHOOSE(CONTROL!$C$21, $C$9, 100%, $E$9)</f>
        <v>28.842600000000001</v>
      </c>
      <c r="H834" s="10">
        <f>CHOOSE(CONTROL!$C$42, 29.0672, 29.0672) * CHOOSE(CONTROL!$C$21, $C$9, 100%, $E$9)</f>
        <v>29.0672</v>
      </c>
      <c r="I834" s="10">
        <f>CHOOSE(CONTROL!$C$42, 28.8471, 28.8471)* CHOOSE(CONTROL!$C$21, $C$9, 100%, $E$9)</f>
        <v>28.847100000000001</v>
      </c>
      <c r="J834" s="10">
        <f>CHOOSE(CONTROL!$C$42, 28.8191, 28.8191)* CHOOSE(CONTROL!$C$21, $C$9, 100%, $E$9)</f>
        <v>28.819099999999999</v>
      </c>
      <c r="K834" s="10">
        <f>CHOOSE(CONTROL!$C$42, 28.1623, 28.1623) * CHOOSE(CONTROL!$C$21, $C$9, 100%, $E$9)</f>
        <v>28.162299999999998</v>
      </c>
      <c r="L834" s="10">
        <f>CHOOSE(CONTROL!$C$42, 29.6542, 29.6542) * CHOOSE(CONTROL!$C$21, $C$9, 100%, $E$9)</f>
        <v>29.654199999999999</v>
      </c>
      <c r="M834" s="10">
        <f>CHOOSE(CONTROL!$C$42, 28.5421, 28.5421) * CHOOSE(CONTROL!$C$21, $C$9, 100%, $E$9)</f>
        <v>28.542100000000001</v>
      </c>
      <c r="N834" s="10">
        <f>CHOOSE(CONTROL!$C$42, 28.5585, 28.5585) * CHOOSE(CONTROL!$C$21, $C$9, 100%, $E$9)</f>
        <v>28.558499999999999</v>
      </c>
      <c r="O834" s="10">
        <f>CHOOSE(CONTROL!$C$42, 28.7877, 28.7877) * CHOOSE(CONTROL!$C$21, $C$9, 100%, $E$9)</f>
        <v>28.787700000000001</v>
      </c>
      <c r="P834" s="10">
        <f>CHOOSE(CONTROL!$C$42, 28.5699, 28.5699) * CHOOSE(CONTROL!$C$21, $C$9, 100%, $E$9)</f>
        <v>28.569900000000001</v>
      </c>
      <c r="Q834" s="10">
        <f>CHOOSE(CONTROL!$C$42, 29.383, 29.383) * CHOOSE(CONTROL!$C$21, $C$9, 100%, $E$9)</f>
        <v>29.382999999999999</v>
      </c>
      <c r="R834" s="10">
        <f>CHOOSE(CONTROL!$C$42, 30.0435, 30.0435) * CHOOSE(CONTROL!$C$21, $C$9, 100%, $E$9)</f>
        <v>30.043500000000002</v>
      </c>
      <c r="S834" s="10">
        <f>CHOOSE(CONTROL!$C$42, 28.0242, 28.0242) * CHOOSE(CONTROL!$C$21, $C$9, 100%, $E$9)</f>
        <v>28.0242</v>
      </c>
      <c r="T8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38">
        <f>(1000*CHOOSE(CONTROL!$C$42, 695, 695)*CHOOSE(CONTROL!$C$42, 0.5599, 0.5599)*CHOOSE(CONTROL!$C$42, 30, 30))/1000000</f>
        <v>11.673914999999997</v>
      </c>
      <c r="V834" s="38">
        <f>(1000*CHOOSE(CONTROL!$C$42, 500, 500)*CHOOSE(CONTROL!$C$42, 0.275, 0.275)*CHOOSE(CONTROL!$C$42, 30, 30))/1000000</f>
        <v>4.125</v>
      </c>
      <c r="W834" s="38">
        <f>(1000*CHOOSE(CONTROL!$C$42, 0.1146, 0.1146)*CHOOSE(CONTROL!$C$42, 121.5, 121.5)*CHOOSE(CONTROL!$C$42, 30, 30))/1000000</f>
        <v>0.417717</v>
      </c>
      <c r="X834" s="38">
        <f>(30*0.1790888*245000/1000000)+(30*0.2374*100000/1000000)</f>
        <v>2.0285026799999999</v>
      </c>
      <c r="Y834" s="38">
        <f>(1000*600*CHOOSE(CONTROL!$C$42, 1.0585, 1.0585)*CHOOSE(CONTROL!$C$42, 30, 30))/1000000</f>
        <v>19.053000000000001</v>
      </c>
      <c r="Z834" s="38"/>
      <c r="AA834" s="10"/>
      <c r="AB834" s="39"/>
      <c r="AC834" s="33">
        <f>(B834*194.205+C834*267.466+D834*133.845+E834*53.484+F834*40+G834*185+H834*0+I834*100+J834*300)/(194.205+267.466+133.845+53.484+0+40+185+100+300)</f>
        <v>28.877241652982729</v>
      </c>
      <c r="AD834" s="27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28.658358992805759</v>
      </c>
    </row>
    <row r="835" spans="1:30" ht="15.75" x14ac:dyDescent="0.25">
      <c r="A835" s="13">
        <v>66688</v>
      </c>
      <c r="B835" s="10">
        <f>CHOOSE(CONTROL!$C$42, 28.3089, 28.3089) * CHOOSE(CONTROL!$C$21, $C$9, 100%, $E$9)</f>
        <v>28.308900000000001</v>
      </c>
      <c r="C835" s="10">
        <f>CHOOSE(CONTROL!$C$42, 28.3169, 28.3169) * CHOOSE(CONTROL!$C$21, $C$9, 100%, $E$9)</f>
        <v>28.3169</v>
      </c>
      <c r="D835" s="10">
        <f>CHOOSE(CONTROL!$C$42, 28.4938, 28.4938) * CHOOSE(CONTROL!$C$21, $C$9, 100%, $E$9)</f>
        <v>28.4938</v>
      </c>
      <c r="E835" s="10">
        <f>CHOOSE(CONTROL!$C$42, 28.525, 28.525) * CHOOSE(CONTROL!$C$21, $C$9, 100%, $E$9)</f>
        <v>28.524999999999999</v>
      </c>
      <c r="F835" s="10">
        <f>CHOOSE(CONTROL!$C$42, 28.2727, 28.2727)*CHOOSE(CONTROL!$C$21, $C$9, 100%, $E$9)</f>
        <v>28.2727</v>
      </c>
      <c r="G835" s="10">
        <f>CHOOSE(CONTROL!$C$42, 28.2893, 28.2893)*CHOOSE(CONTROL!$C$21, $C$9, 100%, $E$9)</f>
        <v>28.289300000000001</v>
      </c>
      <c r="H835" s="10">
        <f>CHOOSE(CONTROL!$C$42, 28.5136, 28.5136) * CHOOSE(CONTROL!$C$21, $C$9, 100%, $E$9)</f>
        <v>28.5136</v>
      </c>
      <c r="I835" s="10">
        <f>CHOOSE(CONTROL!$C$42, 28.2935, 28.2935)* CHOOSE(CONTROL!$C$21, $C$9, 100%, $E$9)</f>
        <v>28.293500000000002</v>
      </c>
      <c r="J835" s="10">
        <f>CHOOSE(CONTROL!$C$42, 28.2657, 28.2657)* CHOOSE(CONTROL!$C$21, $C$9, 100%, $E$9)</f>
        <v>28.265699999999999</v>
      </c>
      <c r="K835" s="10">
        <f>CHOOSE(CONTROL!$C$42, 27.625, 27.625) * CHOOSE(CONTROL!$C$21, $C$9, 100%, $E$9)</f>
        <v>27.625</v>
      </c>
      <c r="L835" s="10">
        <f>CHOOSE(CONTROL!$C$42, 29.1006, 29.1006) * CHOOSE(CONTROL!$C$21, $C$9, 100%, $E$9)</f>
        <v>29.1006</v>
      </c>
      <c r="M835" s="10">
        <f>CHOOSE(CONTROL!$C$42, 27.9943, 27.9943) * CHOOSE(CONTROL!$C$21, $C$9, 100%, $E$9)</f>
        <v>27.994299999999999</v>
      </c>
      <c r="N835" s="10">
        <f>CHOOSE(CONTROL!$C$42, 28.0107, 28.0107) * CHOOSE(CONTROL!$C$21, $C$9, 100%, $E$9)</f>
        <v>28.0107</v>
      </c>
      <c r="O835" s="10">
        <f>CHOOSE(CONTROL!$C$42, 28.2397, 28.2397) * CHOOSE(CONTROL!$C$21, $C$9, 100%, $E$9)</f>
        <v>28.239699999999999</v>
      </c>
      <c r="P835" s="10">
        <f>CHOOSE(CONTROL!$C$42, 28.0219, 28.0219) * CHOOSE(CONTROL!$C$21, $C$9, 100%, $E$9)</f>
        <v>28.021899999999999</v>
      </c>
      <c r="Q835" s="10">
        <f>CHOOSE(CONTROL!$C$42, 28.835, 28.835) * CHOOSE(CONTROL!$C$21, $C$9, 100%, $E$9)</f>
        <v>28.835000000000001</v>
      </c>
      <c r="R835" s="10">
        <f>CHOOSE(CONTROL!$C$42, 29.4941, 29.4941) * CHOOSE(CONTROL!$C$21, $C$9, 100%, $E$9)</f>
        <v>29.4941</v>
      </c>
      <c r="S835" s="10">
        <f>CHOOSE(CONTROL!$C$42, 27.4866, 27.4866) * CHOOSE(CONTROL!$C$21, $C$9, 100%, $E$9)</f>
        <v>27.486599999999999</v>
      </c>
      <c r="T8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38">
        <f>(1000*CHOOSE(CONTROL!$C$42, 695, 695)*CHOOSE(CONTROL!$C$42, 0.5599, 0.5599)*CHOOSE(CONTROL!$C$42, 31, 31))/1000000</f>
        <v>12.063045499999998</v>
      </c>
      <c r="V835" s="38">
        <f>(1000*CHOOSE(CONTROL!$C$42, 500, 500)*CHOOSE(CONTROL!$C$42, 0.275, 0.275)*CHOOSE(CONTROL!$C$42, 31, 31))/1000000</f>
        <v>4.2625000000000002</v>
      </c>
      <c r="W835" s="38">
        <f>(1000*CHOOSE(CONTROL!$C$42, 0.1146, 0.1146)*CHOOSE(CONTROL!$C$42, 121.5, 121.5)*CHOOSE(CONTROL!$C$42, 31, 31))/1000000</f>
        <v>0.43164089999999994</v>
      </c>
      <c r="X835" s="38">
        <f>(31*0.1790888*245000/1000000)+(31*0.2374*100000/1000000)</f>
        <v>2.0961194359999999</v>
      </c>
      <c r="Y835" s="38">
        <f>(1000*600*CHOOSE(CONTROL!$C$42, 1.0585, 1.0585)*CHOOSE(CONTROL!$C$42, 31, 31))/1000000</f>
        <v>19.688099999999999</v>
      </c>
      <c r="Z835" s="38"/>
      <c r="AA835" s="10"/>
      <c r="AB835" s="39"/>
      <c r="AC835" s="33">
        <f>(B835*194.205+C835*267.466+D835*133.845+E835*53.484+F835*40+G835*185+H835*0+I835*100+J835*300)/(194.205+267.466+133.845+53.484+0+40+185+100+300)</f>
        <v>28.323712842150705</v>
      </c>
      <c r="AD835" s="27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28.110439568345317</v>
      </c>
    </row>
    <row r="836" spans="1:30" ht="15.75" x14ac:dyDescent="0.25">
      <c r="A836" s="13">
        <v>66719</v>
      </c>
      <c r="B836" s="10">
        <f>CHOOSE(CONTROL!$C$42, 26.9109, 26.9109) * CHOOSE(CONTROL!$C$21, $C$9, 100%, $E$9)</f>
        <v>26.910900000000002</v>
      </c>
      <c r="C836" s="10">
        <f>CHOOSE(CONTROL!$C$42, 26.9188, 26.9188) * CHOOSE(CONTROL!$C$21, $C$9, 100%, $E$9)</f>
        <v>26.918800000000001</v>
      </c>
      <c r="D836" s="10">
        <f>CHOOSE(CONTROL!$C$42, 27.0958, 27.0958) * CHOOSE(CONTROL!$C$21, $C$9, 100%, $E$9)</f>
        <v>27.095800000000001</v>
      </c>
      <c r="E836" s="10">
        <f>CHOOSE(CONTROL!$C$42, 27.1269, 27.1269) * CHOOSE(CONTROL!$C$21, $C$9, 100%, $E$9)</f>
        <v>27.126899999999999</v>
      </c>
      <c r="F836" s="10">
        <f>CHOOSE(CONTROL!$C$42, 26.8747, 26.8747)*CHOOSE(CONTROL!$C$21, $C$9, 100%, $E$9)</f>
        <v>26.874700000000001</v>
      </c>
      <c r="G836" s="10">
        <f>CHOOSE(CONTROL!$C$42, 26.8913, 26.8913)*CHOOSE(CONTROL!$C$21, $C$9, 100%, $E$9)</f>
        <v>26.891300000000001</v>
      </c>
      <c r="H836" s="10">
        <f>CHOOSE(CONTROL!$C$42, 27.1156, 27.1156) * CHOOSE(CONTROL!$C$21, $C$9, 100%, $E$9)</f>
        <v>27.115600000000001</v>
      </c>
      <c r="I836" s="10">
        <f>CHOOSE(CONTROL!$C$42, 26.8955, 26.8955)* CHOOSE(CONTROL!$C$21, $C$9, 100%, $E$9)</f>
        <v>26.895499999999998</v>
      </c>
      <c r="J836" s="10">
        <f>CHOOSE(CONTROL!$C$42, 26.8677, 26.8677)* CHOOSE(CONTROL!$C$21, $C$9, 100%, $E$9)</f>
        <v>26.867699999999999</v>
      </c>
      <c r="K836" s="10">
        <f>CHOOSE(CONTROL!$C$42, 26.2668, 26.2668) * CHOOSE(CONTROL!$C$21, $C$9, 100%, $E$9)</f>
        <v>26.2668</v>
      </c>
      <c r="L836" s="10">
        <f>CHOOSE(CONTROL!$C$42, 27.7026, 27.7026) * CHOOSE(CONTROL!$C$21, $C$9, 100%, $E$9)</f>
        <v>27.7026</v>
      </c>
      <c r="M836" s="10">
        <f>CHOOSE(CONTROL!$C$42, 26.6104, 26.6104) * CHOOSE(CONTROL!$C$21, $C$9, 100%, $E$9)</f>
        <v>26.610399999999998</v>
      </c>
      <c r="N836" s="10">
        <f>CHOOSE(CONTROL!$C$42, 26.6269, 26.6269) * CHOOSE(CONTROL!$C$21, $C$9, 100%, $E$9)</f>
        <v>26.626899999999999</v>
      </c>
      <c r="O836" s="10">
        <f>CHOOSE(CONTROL!$C$42, 26.8557, 26.8557) * CHOOSE(CONTROL!$C$21, $C$9, 100%, $E$9)</f>
        <v>26.855699999999999</v>
      </c>
      <c r="P836" s="10">
        <f>CHOOSE(CONTROL!$C$42, 26.6379, 26.6379) * CHOOSE(CONTROL!$C$21, $C$9, 100%, $E$9)</f>
        <v>26.637899999999998</v>
      </c>
      <c r="Q836" s="10">
        <f>CHOOSE(CONTROL!$C$42, 27.451, 27.451) * CHOOSE(CONTROL!$C$21, $C$9, 100%, $E$9)</f>
        <v>27.451000000000001</v>
      </c>
      <c r="R836" s="10">
        <f>CHOOSE(CONTROL!$C$42, 28.1067, 28.1067) * CHOOSE(CONTROL!$C$21, $C$9, 100%, $E$9)</f>
        <v>28.1067</v>
      </c>
      <c r="S836" s="10">
        <f>CHOOSE(CONTROL!$C$42, 26.1289, 26.1289) * CHOOSE(CONTROL!$C$21, $C$9, 100%, $E$9)</f>
        <v>26.128900000000002</v>
      </c>
      <c r="T8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38">
        <f>(1000*CHOOSE(CONTROL!$C$42, 695, 695)*CHOOSE(CONTROL!$C$42, 0.5599, 0.5599)*CHOOSE(CONTROL!$C$42, 31, 31))/1000000</f>
        <v>12.063045499999998</v>
      </c>
      <c r="V836" s="38">
        <f>(1000*CHOOSE(CONTROL!$C$42, 500, 500)*CHOOSE(CONTROL!$C$42, 0.275, 0.275)*CHOOSE(CONTROL!$C$42, 31, 31))/1000000</f>
        <v>4.2625000000000002</v>
      </c>
      <c r="W836" s="38">
        <f>(1000*CHOOSE(CONTROL!$C$42, 0.1146, 0.1146)*CHOOSE(CONTROL!$C$42, 121.5, 121.5)*CHOOSE(CONTROL!$C$42, 31, 31))/1000000</f>
        <v>0.43164089999999994</v>
      </c>
      <c r="X836" s="38">
        <f>(31*0.1790888*245000/1000000)+(31*0.2374*100000/1000000)</f>
        <v>2.0961194359999999</v>
      </c>
      <c r="Y836" s="38">
        <f>(1000*600*CHOOSE(CONTROL!$C$42, 1.0585, 1.0585)*CHOOSE(CONTROL!$C$42, 31, 31))/1000000</f>
        <v>19.688099999999999</v>
      </c>
      <c r="Z836" s="38"/>
      <c r="AA836" s="10"/>
      <c r="AB836" s="39"/>
      <c r="AC836" s="33">
        <f>(B836*194.205+C836*267.466+D836*133.845+E836*53.484+F836*40+G836*185+H836*0+I836*100+J836*300)/(194.205+267.466+133.845+53.484+0+40+185+100+300)</f>
        <v>26.925687649843013</v>
      </c>
      <c r="AD836" s="27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26.726485611510792</v>
      </c>
    </row>
    <row r="837" spans="1:30" ht="15.75" x14ac:dyDescent="0.25">
      <c r="A837" s="13">
        <v>66749</v>
      </c>
      <c r="B837" s="10">
        <f>CHOOSE(CONTROL!$C$42, 25.2027, 25.2027) * CHOOSE(CONTROL!$C$21, $C$9, 100%, $E$9)</f>
        <v>25.2027</v>
      </c>
      <c r="C837" s="10">
        <f>CHOOSE(CONTROL!$C$42, 25.2106, 25.2106) * CHOOSE(CONTROL!$C$21, $C$9, 100%, $E$9)</f>
        <v>25.210599999999999</v>
      </c>
      <c r="D837" s="10">
        <f>CHOOSE(CONTROL!$C$42, 25.3876, 25.3876) * CHOOSE(CONTROL!$C$21, $C$9, 100%, $E$9)</f>
        <v>25.387599999999999</v>
      </c>
      <c r="E837" s="10">
        <f>CHOOSE(CONTROL!$C$42, 25.4188, 25.4188) * CHOOSE(CONTROL!$C$21, $C$9, 100%, $E$9)</f>
        <v>25.418800000000001</v>
      </c>
      <c r="F837" s="10">
        <f>CHOOSE(CONTROL!$C$42, 25.1663, 25.1663)*CHOOSE(CONTROL!$C$21, $C$9, 100%, $E$9)</f>
        <v>25.1663</v>
      </c>
      <c r="G837" s="10">
        <f>CHOOSE(CONTROL!$C$42, 25.1829, 25.1829)*CHOOSE(CONTROL!$C$21, $C$9, 100%, $E$9)</f>
        <v>25.1829</v>
      </c>
      <c r="H837" s="10">
        <f>CHOOSE(CONTROL!$C$42, 25.4074, 25.4074) * CHOOSE(CONTROL!$C$21, $C$9, 100%, $E$9)</f>
        <v>25.407399999999999</v>
      </c>
      <c r="I837" s="10">
        <f>CHOOSE(CONTROL!$C$42, 25.1873, 25.1873)* CHOOSE(CONTROL!$C$21, $C$9, 100%, $E$9)</f>
        <v>25.1873</v>
      </c>
      <c r="J837" s="10">
        <f>CHOOSE(CONTROL!$C$42, 25.1593, 25.1593)* CHOOSE(CONTROL!$C$21, $C$9, 100%, $E$9)</f>
        <v>25.159300000000002</v>
      </c>
      <c r="K837" s="10">
        <f>CHOOSE(CONTROL!$C$42, 24.6066, 24.6066) * CHOOSE(CONTROL!$C$21, $C$9, 100%, $E$9)</f>
        <v>24.6066</v>
      </c>
      <c r="L837" s="10">
        <f>CHOOSE(CONTROL!$C$42, 25.9944, 25.9944) * CHOOSE(CONTROL!$C$21, $C$9, 100%, $E$9)</f>
        <v>25.994399999999999</v>
      </c>
      <c r="M837" s="10">
        <f>CHOOSE(CONTROL!$C$42, 24.9192, 24.9192) * CHOOSE(CONTROL!$C$21, $C$9, 100%, $E$9)</f>
        <v>24.9192</v>
      </c>
      <c r="N837" s="10">
        <f>CHOOSE(CONTROL!$C$42, 24.9356, 24.9356) * CHOOSE(CONTROL!$C$21, $C$9, 100%, $E$9)</f>
        <v>24.935600000000001</v>
      </c>
      <c r="O837" s="10">
        <f>CHOOSE(CONTROL!$C$42, 25.1648, 25.1648) * CHOOSE(CONTROL!$C$21, $C$9, 100%, $E$9)</f>
        <v>25.1648</v>
      </c>
      <c r="P837" s="10">
        <f>CHOOSE(CONTROL!$C$42, 24.947, 24.947) * CHOOSE(CONTROL!$C$21, $C$9, 100%, $E$9)</f>
        <v>24.946999999999999</v>
      </c>
      <c r="Q837" s="10">
        <f>CHOOSE(CONTROL!$C$42, 25.7601, 25.7601) * CHOOSE(CONTROL!$C$21, $C$9, 100%, $E$9)</f>
        <v>25.760100000000001</v>
      </c>
      <c r="R837" s="10">
        <f>CHOOSE(CONTROL!$C$42, 26.4115, 26.4115) * CHOOSE(CONTROL!$C$21, $C$9, 100%, $E$9)</f>
        <v>26.4115</v>
      </c>
      <c r="S837" s="10">
        <f>CHOOSE(CONTROL!$C$42, 24.4701, 24.4701) * CHOOSE(CONTROL!$C$21, $C$9, 100%, $E$9)</f>
        <v>24.470099999999999</v>
      </c>
      <c r="T8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38">
        <f>(1000*CHOOSE(CONTROL!$C$42, 695, 695)*CHOOSE(CONTROL!$C$42, 0.5599, 0.5599)*CHOOSE(CONTROL!$C$42, 30, 30))/1000000</f>
        <v>11.673914999999997</v>
      </c>
      <c r="V837" s="38">
        <f>(1000*CHOOSE(CONTROL!$C$42, 500, 500)*CHOOSE(CONTROL!$C$42, 0.275, 0.275)*CHOOSE(CONTROL!$C$42, 30, 30))/1000000</f>
        <v>4.125</v>
      </c>
      <c r="W837" s="38">
        <f>(1000*CHOOSE(CONTROL!$C$42, 0.1146, 0.1146)*CHOOSE(CONTROL!$C$42, 121.5, 121.5)*CHOOSE(CONTROL!$C$42, 30, 30))/1000000</f>
        <v>0.417717</v>
      </c>
      <c r="X837" s="38">
        <f>(30*0.1790888*245000/1000000)+(30*0.2374*100000/1000000)</f>
        <v>2.0285026799999999</v>
      </c>
      <c r="Y837" s="38">
        <f>(1000*600*CHOOSE(CONTROL!$C$42, 1.0585, 1.0585)*CHOOSE(CONTROL!$C$42, 30, 30))/1000000</f>
        <v>19.053000000000001</v>
      </c>
      <c r="Z837" s="38"/>
      <c r="AA837" s="10"/>
      <c r="AB837" s="39"/>
      <c r="AC837" s="33">
        <f>(B837*194.205+C837*267.466+D837*133.845+E837*53.484+F837*40+G837*185+H837*0+I837*100+J837*300)/(194.205+267.466+133.845+53.484+0+40+185+100+300)</f>
        <v>25.217409430376765</v>
      </c>
      <c r="AD837" s="27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25.035458992805754</v>
      </c>
    </row>
    <row r="838" spans="1:30" ht="15.75" x14ac:dyDescent="0.25">
      <c r="A838" s="13">
        <v>66780</v>
      </c>
      <c r="B838" s="10">
        <f>CHOOSE(CONTROL!$C$42, 24.689, 24.689) * CHOOSE(CONTROL!$C$21, $C$9, 100%, $E$9)</f>
        <v>24.689</v>
      </c>
      <c r="C838" s="10">
        <f>CHOOSE(CONTROL!$C$42, 24.6942, 24.6942) * CHOOSE(CONTROL!$C$21, $C$9, 100%, $E$9)</f>
        <v>24.694199999999999</v>
      </c>
      <c r="D838" s="10">
        <f>CHOOSE(CONTROL!$C$42, 24.8761, 24.8761) * CHOOSE(CONTROL!$C$21, $C$9, 100%, $E$9)</f>
        <v>24.876100000000001</v>
      </c>
      <c r="E838" s="10">
        <f>CHOOSE(CONTROL!$C$42, 24.9049, 24.9049) * CHOOSE(CONTROL!$C$21, $C$9, 100%, $E$9)</f>
        <v>24.904900000000001</v>
      </c>
      <c r="F838" s="10">
        <f>CHOOSE(CONTROL!$C$42, 24.6546, 24.6546)*CHOOSE(CONTROL!$C$21, $C$9, 100%, $E$9)</f>
        <v>24.654599999999999</v>
      </c>
      <c r="G838" s="10">
        <f>CHOOSE(CONTROL!$C$42, 24.6708, 24.6708)*CHOOSE(CONTROL!$C$21, $C$9, 100%, $E$9)</f>
        <v>24.6708</v>
      </c>
      <c r="H838" s="10">
        <f>CHOOSE(CONTROL!$C$42, 24.8954, 24.8954) * CHOOSE(CONTROL!$C$21, $C$9, 100%, $E$9)</f>
        <v>24.895399999999999</v>
      </c>
      <c r="I838" s="10">
        <f>CHOOSE(CONTROL!$C$42, 24.6753, 24.6753)* CHOOSE(CONTROL!$C$21, $C$9, 100%, $E$9)</f>
        <v>24.6753</v>
      </c>
      <c r="J838" s="10">
        <f>CHOOSE(CONTROL!$C$42, 24.6476, 24.6476)* CHOOSE(CONTROL!$C$21, $C$9, 100%, $E$9)</f>
        <v>24.647600000000001</v>
      </c>
      <c r="K838" s="10">
        <f>CHOOSE(CONTROL!$C$42, 24.1097, 24.1097) * CHOOSE(CONTROL!$C$21, $C$9, 100%, $E$9)</f>
        <v>24.1097</v>
      </c>
      <c r="L838" s="10">
        <f>CHOOSE(CONTROL!$C$42, 25.4824, 25.4824) * CHOOSE(CONTROL!$C$21, $C$9, 100%, $E$9)</f>
        <v>25.482399999999998</v>
      </c>
      <c r="M838" s="10">
        <f>CHOOSE(CONTROL!$C$42, 24.4127, 24.4127) * CHOOSE(CONTROL!$C$21, $C$9, 100%, $E$9)</f>
        <v>24.412700000000001</v>
      </c>
      <c r="N838" s="10">
        <f>CHOOSE(CONTROL!$C$42, 24.4287, 24.4287) * CHOOSE(CONTROL!$C$21, $C$9, 100%, $E$9)</f>
        <v>24.428699999999999</v>
      </c>
      <c r="O838" s="10">
        <f>CHOOSE(CONTROL!$C$42, 24.658, 24.658) * CHOOSE(CONTROL!$C$21, $C$9, 100%, $E$9)</f>
        <v>24.658000000000001</v>
      </c>
      <c r="P838" s="10">
        <f>CHOOSE(CONTROL!$C$42, 24.4402, 24.4402) * CHOOSE(CONTROL!$C$21, $C$9, 100%, $E$9)</f>
        <v>24.440200000000001</v>
      </c>
      <c r="Q838" s="10">
        <f>CHOOSE(CONTROL!$C$42, 25.2533, 25.2533) * CHOOSE(CONTROL!$C$21, $C$9, 100%, $E$9)</f>
        <v>25.253299999999999</v>
      </c>
      <c r="R838" s="10">
        <f>CHOOSE(CONTROL!$C$42, 25.9034, 25.9034) * CHOOSE(CONTROL!$C$21, $C$9, 100%, $E$9)</f>
        <v>25.903400000000001</v>
      </c>
      <c r="S838" s="10">
        <f>CHOOSE(CONTROL!$C$42, 23.9729, 23.9729) * CHOOSE(CONTROL!$C$21, $C$9, 100%, $E$9)</f>
        <v>23.972899999999999</v>
      </c>
      <c r="T8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38">
        <f>(1000*CHOOSE(CONTROL!$C$42, 695, 695)*CHOOSE(CONTROL!$C$42, 0.5599, 0.5599)*CHOOSE(CONTROL!$C$42, 31, 31))/1000000</f>
        <v>12.063045499999998</v>
      </c>
      <c r="V838" s="38">
        <f>(1000*CHOOSE(CONTROL!$C$42, 500, 500)*CHOOSE(CONTROL!$C$42, 0.275, 0.275)*CHOOSE(CONTROL!$C$42, 31, 31))/1000000</f>
        <v>4.2625000000000002</v>
      </c>
      <c r="W838" s="38">
        <f>(1000*CHOOSE(CONTROL!$C$42, 0.1146, 0.1146)*CHOOSE(CONTROL!$C$42, 121.5, 121.5)*CHOOSE(CONTROL!$C$42, 31, 31))/1000000</f>
        <v>0.43164089999999994</v>
      </c>
      <c r="X838" s="38">
        <f>(31*0.1790888*245000/1000000)+(31*0.2374*100000/1000000)</f>
        <v>2.0961194359999999</v>
      </c>
      <c r="Y838" s="38">
        <f>(1000*600*CHOOSE(CONTROL!$C$42, 1.0585, 1.0585)*CHOOSE(CONTROL!$C$42, 31, 31))/1000000</f>
        <v>19.688099999999999</v>
      </c>
      <c r="Z838" s="38"/>
      <c r="AA838" s="10"/>
      <c r="AB838" s="39"/>
      <c r="AC838" s="33">
        <f>(B838*131.881+C838*277.167+D838*79.08+E838*125.872+F838*40+G838*185+H838*0+I838*100+J838*300)/(131.881+277.167+79.08+125.872+0+40+185+100+300)</f>
        <v>24.70908063050847</v>
      </c>
      <c r="AD838" s="27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24.528756834532377</v>
      </c>
    </row>
    <row r="839" spans="1:30" ht="15.75" x14ac:dyDescent="0.25">
      <c r="A839" s="13">
        <v>66810</v>
      </c>
      <c r="B839" s="10">
        <f>CHOOSE(CONTROL!$C$42, 25.3389, 25.3389) * CHOOSE(CONTROL!$C$21, $C$9, 100%, $E$9)</f>
        <v>25.338899999999999</v>
      </c>
      <c r="C839" s="10">
        <f>CHOOSE(CONTROL!$C$42, 25.3438, 25.3438) * CHOOSE(CONTROL!$C$21, $C$9, 100%, $E$9)</f>
        <v>25.343800000000002</v>
      </c>
      <c r="D839" s="10">
        <f>CHOOSE(CONTROL!$C$42, 25.3683, 25.3683) * CHOOSE(CONTROL!$C$21, $C$9, 100%, $E$9)</f>
        <v>25.368300000000001</v>
      </c>
      <c r="E839" s="10">
        <f>CHOOSE(CONTROL!$C$42, 25.4021, 25.4021) * CHOOSE(CONTROL!$C$21, $C$9, 100%, $E$9)</f>
        <v>25.402100000000001</v>
      </c>
      <c r="F839" s="10">
        <f>CHOOSE(CONTROL!$C$42, 25.3082, 25.3082)*CHOOSE(CONTROL!$C$21, $C$9, 100%, $E$9)</f>
        <v>25.308199999999999</v>
      </c>
      <c r="G839" s="10">
        <f>CHOOSE(CONTROL!$C$42, 25.3246, 25.3246)*CHOOSE(CONTROL!$C$21, $C$9, 100%, $E$9)</f>
        <v>25.3246</v>
      </c>
      <c r="H839" s="10">
        <f>CHOOSE(CONTROL!$C$42, 25.3913, 25.3913) * CHOOSE(CONTROL!$C$21, $C$9, 100%, $E$9)</f>
        <v>25.391300000000001</v>
      </c>
      <c r="I839" s="10">
        <f>CHOOSE(CONTROL!$C$42, 25.3256, 25.3256)* CHOOSE(CONTROL!$C$21, $C$9, 100%, $E$9)</f>
        <v>25.325600000000001</v>
      </c>
      <c r="J839" s="10">
        <f>CHOOSE(CONTROL!$C$42, 25.3012, 25.3012)* CHOOSE(CONTROL!$C$21, $C$9, 100%, $E$9)</f>
        <v>25.301200000000001</v>
      </c>
      <c r="K839" s="10">
        <f>CHOOSE(CONTROL!$C$42, 24.7431, 24.7431) * CHOOSE(CONTROL!$C$21, $C$9, 100%, $E$9)</f>
        <v>24.743099999999998</v>
      </c>
      <c r="L839" s="10">
        <f>CHOOSE(CONTROL!$C$42, 25.9783, 25.9783) * CHOOSE(CONTROL!$C$21, $C$9, 100%, $E$9)</f>
        <v>25.978300000000001</v>
      </c>
      <c r="M839" s="10">
        <f>CHOOSE(CONTROL!$C$42, 25.0597, 25.0597) * CHOOSE(CONTROL!$C$21, $C$9, 100%, $E$9)</f>
        <v>25.059699999999999</v>
      </c>
      <c r="N839" s="10">
        <f>CHOOSE(CONTROL!$C$42, 25.076, 25.076) * CHOOSE(CONTROL!$C$21, $C$9, 100%, $E$9)</f>
        <v>25.076000000000001</v>
      </c>
      <c r="O839" s="10">
        <f>CHOOSE(CONTROL!$C$42, 25.1489, 25.1489) * CHOOSE(CONTROL!$C$21, $C$9, 100%, $E$9)</f>
        <v>25.148900000000001</v>
      </c>
      <c r="P839" s="10">
        <f>CHOOSE(CONTROL!$C$42, 25.0839, 25.0839) * CHOOSE(CONTROL!$C$21, $C$9, 100%, $E$9)</f>
        <v>25.0839</v>
      </c>
      <c r="Q839" s="10">
        <f>CHOOSE(CONTROL!$C$42, 25.7442, 25.7442) * CHOOSE(CONTROL!$C$21, $C$9, 100%, $E$9)</f>
        <v>25.744199999999999</v>
      </c>
      <c r="R839" s="10">
        <f>CHOOSE(CONTROL!$C$42, 26.3955, 26.3955) * CHOOSE(CONTROL!$C$21, $C$9, 100%, $E$9)</f>
        <v>26.395499999999998</v>
      </c>
      <c r="S839" s="10">
        <f>CHOOSE(CONTROL!$C$42, 24.6045, 24.6045) * CHOOSE(CONTROL!$C$21, $C$9, 100%, $E$9)</f>
        <v>24.604500000000002</v>
      </c>
      <c r="T8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38">
        <f>(1000*CHOOSE(CONTROL!$C$42, 695, 695)*CHOOSE(CONTROL!$C$42, 0.5599, 0.5599)*CHOOSE(CONTROL!$C$42, 30, 30))/1000000</f>
        <v>11.673914999999997</v>
      </c>
      <c r="V839" s="38">
        <f>(1000*CHOOSE(CONTROL!$C$42, 500, 500)*CHOOSE(CONTROL!$C$42, 0.275, 0.275)*CHOOSE(CONTROL!$C$42, 30, 30))/1000000</f>
        <v>4.125</v>
      </c>
      <c r="W839" s="38">
        <f>(1000*CHOOSE(CONTROL!$C$42, 0.1146, 0.1146)*CHOOSE(CONTROL!$C$42, 121.5, 121.5)*CHOOSE(CONTROL!$C$42, 30, 30))/1000000</f>
        <v>0.417717</v>
      </c>
      <c r="X839" s="38">
        <f>(30*0.1790888*100000/1000000)+(30*0.2374*100000/1000000)</f>
        <v>1.2494664</v>
      </c>
      <c r="Y839" s="38">
        <f>(1000*600*CHOOSE(CONTROL!$C$42, 1.0585, 1.0585)*CHOOSE(CONTROL!$C$42, 30, 30))/1000000</f>
        <v>19.053000000000001</v>
      </c>
      <c r="Z839" s="38"/>
      <c r="AA839" s="10"/>
      <c r="AB839" s="39"/>
      <c r="AC839" s="33">
        <f>(B839*122.58+C839*297.941+D839*89.177+E839*40.302+F839*40+G839*160+H839*0+I839*100+J839*300)/(122.58+297.941+89.177+40.302+0+40+160+100+300)</f>
        <v>25.330615479217393</v>
      </c>
      <c r="AD839" s="27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25.104548920863309</v>
      </c>
    </row>
    <row r="840" spans="1:30" ht="15.75" x14ac:dyDescent="0.25">
      <c r="A840" s="13">
        <v>66841</v>
      </c>
      <c r="B840" s="10">
        <f>CHOOSE(CONTROL!$C$42, 27.0663, 27.0663) * CHOOSE(CONTROL!$C$21, $C$9, 100%, $E$9)</f>
        <v>27.066299999999998</v>
      </c>
      <c r="C840" s="10">
        <f>CHOOSE(CONTROL!$C$42, 27.0712, 27.0712) * CHOOSE(CONTROL!$C$21, $C$9, 100%, $E$9)</f>
        <v>27.071200000000001</v>
      </c>
      <c r="D840" s="10">
        <f>CHOOSE(CONTROL!$C$42, 27.0957, 27.0957) * CHOOSE(CONTROL!$C$21, $C$9, 100%, $E$9)</f>
        <v>27.095700000000001</v>
      </c>
      <c r="E840" s="10">
        <f>CHOOSE(CONTROL!$C$42, 27.1295, 27.1295) * CHOOSE(CONTROL!$C$21, $C$9, 100%, $E$9)</f>
        <v>27.1295</v>
      </c>
      <c r="F840" s="10">
        <f>CHOOSE(CONTROL!$C$42, 27.0379, 27.0379)*CHOOSE(CONTROL!$C$21, $C$9, 100%, $E$9)</f>
        <v>27.0379</v>
      </c>
      <c r="G840" s="10">
        <f>CHOOSE(CONTROL!$C$42, 27.0549, 27.0549)*CHOOSE(CONTROL!$C$21, $C$9, 100%, $E$9)</f>
        <v>27.0549</v>
      </c>
      <c r="H840" s="10">
        <f>CHOOSE(CONTROL!$C$42, 27.1187, 27.1187) * CHOOSE(CONTROL!$C$21, $C$9, 100%, $E$9)</f>
        <v>27.1187</v>
      </c>
      <c r="I840" s="10">
        <f>CHOOSE(CONTROL!$C$42, 27.053, 27.053)* CHOOSE(CONTROL!$C$21, $C$9, 100%, $E$9)</f>
        <v>27.053000000000001</v>
      </c>
      <c r="J840" s="10">
        <f>CHOOSE(CONTROL!$C$42, 27.0309, 27.0309)* CHOOSE(CONTROL!$C$21, $C$9, 100%, $E$9)</f>
        <v>27.030899999999999</v>
      </c>
      <c r="K840" s="10">
        <f>CHOOSE(CONTROL!$C$42, 26.4264, 26.4264) * CHOOSE(CONTROL!$C$21, $C$9, 100%, $E$9)</f>
        <v>26.426400000000001</v>
      </c>
      <c r="L840" s="10">
        <f>CHOOSE(CONTROL!$C$42, 27.7057, 27.7057) * CHOOSE(CONTROL!$C$21, $C$9, 100%, $E$9)</f>
        <v>27.7057</v>
      </c>
      <c r="M840" s="10">
        <f>CHOOSE(CONTROL!$C$42, 26.7719, 26.7719) * CHOOSE(CONTROL!$C$21, $C$9, 100%, $E$9)</f>
        <v>26.771899999999999</v>
      </c>
      <c r="N840" s="10">
        <f>CHOOSE(CONTROL!$C$42, 26.7888, 26.7888) * CHOOSE(CONTROL!$C$21, $C$9, 100%, $E$9)</f>
        <v>26.788799999999998</v>
      </c>
      <c r="O840" s="10">
        <f>CHOOSE(CONTROL!$C$42, 26.8588, 26.8588) * CHOOSE(CONTROL!$C$21, $C$9, 100%, $E$9)</f>
        <v>26.858799999999999</v>
      </c>
      <c r="P840" s="10">
        <f>CHOOSE(CONTROL!$C$42, 26.7939, 26.7939) * CHOOSE(CONTROL!$C$21, $C$9, 100%, $E$9)</f>
        <v>26.793900000000001</v>
      </c>
      <c r="Q840" s="10">
        <f>CHOOSE(CONTROL!$C$42, 27.4541, 27.4541) * CHOOSE(CONTROL!$C$21, $C$9, 100%, $E$9)</f>
        <v>27.4541</v>
      </c>
      <c r="R840" s="10">
        <f>CHOOSE(CONTROL!$C$42, 28.1097, 28.1097) * CHOOSE(CONTROL!$C$21, $C$9, 100%, $E$9)</f>
        <v>28.1097</v>
      </c>
      <c r="S840" s="10">
        <f>CHOOSE(CONTROL!$C$42, 26.2819, 26.2819) * CHOOSE(CONTROL!$C$21, $C$9, 100%, $E$9)</f>
        <v>26.2819</v>
      </c>
      <c r="T8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38">
        <f>(1000*CHOOSE(CONTROL!$C$42, 695, 695)*CHOOSE(CONTROL!$C$42, 0.5599, 0.5599)*CHOOSE(CONTROL!$C$42, 31, 31))/1000000</f>
        <v>12.063045499999998</v>
      </c>
      <c r="V840" s="38">
        <f>(1000*CHOOSE(CONTROL!$C$42, 500, 500)*CHOOSE(CONTROL!$C$42, 0.275, 0.275)*CHOOSE(CONTROL!$C$42, 31, 31))/1000000</f>
        <v>4.2625000000000002</v>
      </c>
      <c r="W840" s="38">
        <f>(1000*CHOOSE(CONTROL!$C$42, 0.1146, 0.1146)*CHOOSE(CONTROL!$C$42, 121.5, 121.5)*CHOOSE(CONTROL!$C$42, 31, 31))/1000000</f>
        <v>0.43164089999999994</v>
      </c>
      <c r="X840" s="38">
        <f>(31*0.1790888*100000/1000000)+(31*0.2374*100000/1000000)</f>
        <v>1.2911152800000001</v>
      </c>
      <c r="Y840" s="38">
        <f>(1000*600*CHOOSE(CONTROL!$C$42, 1.0585, 1.0585)*CHOOSE(CONTROL!$C$42, 31, 31))/1000000</f>
        <v>19.688099999999999</v>
      </c>
      <c r="Z840" s="38"/>
      <c r="AA840" s="10"/>
      <c r="AB840" s="39"/>
      <c r="AC840" s="33">
        <f>(B840*122.58+C840*297.941+D840*89.177+E840*40.302+F840*40+G840*160+H840*0+I840*100+J840*300)/(122.58+297.941+89.177+40.302+0+40+160+100+300)</f>
        <v>27.059098957478259</v>
      </c>
      <c r="AD840" s="27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26.81542446043165</v>
      </c>
    </row>
    <row r="841" spans="1:30" ht="15.75" x14ac:dyDescent="0.25">
      <c r="A841" s="13">
        <v>66872</v>
      </c>
      <c r="B841" s="10">
        <f>CHOOSE(CONTROL!$C$42, 28.8929, 28.8929) * CHOOSE(CONTROL!$C$21, $C$9, 100%, $E$9)</f>
        <v>28.892900000000001</v>
      </c>
      <c r="C841" s="10">
        <f>CHOOSE(CONTROL!$C$42, 28.8978, 28.8978) * CHOOSE(CONTROL!$C$21, $C$9, 100%, $E$9)</f>
        <v>28.8978</v>
      </c>
      <c r="D841" s="10">
        <f>CHOOSE(CONTROL!$C$42, 28.9223, 28.9223) * CHOOSE(CONTROL!$C$21, $C$9, 100%, $E$9)</f>
        <v>28.9223</v>
      </c>
      <c r="E841" s="10">
        <f>CHOOSE(CONTROL!$C$42, 28.9561, 28.9561) * CHOOSE(CONTROL!$C$21, $C$9, 100%, $E$9)</f>
        <v>28.956099999999999</v>
      </c>
      <c r="F841" s="10">
        <f>CHOOSE(CONTROL!$C$42, 28.8758, 28.8758)*CHOOSE(CONTROL!$C$21, $C$9, 100%, $E$9)</f>
        <v>28.875800000000002</v>
      </c>
      <c r="G841" s="10">
        <f>CHOOSE(CONTROL!$C$42, 28.8945, 28.8945)*CHOOSE(CONTROL!$C$21, $C$9, 100%, $E$9)</f>
        <v>28.894500000000001</v>
      </c>
      <c r="H841" s="10">
        <f>CHOOSE(CONTROL!$C$42, 28.9453, 28.9453) * CHOOSE(CONTROL!$C$21, $C$9, 100%, $E$9)</f>
        <v>28.9453</v>
      </c>
      <c r="I841" s="10">
        <f>CHOOSE(CONTROL!$C$42, 28.8874, 28.8874)* CHOOSE(CONTROL!$C$21, $C$9, 100%, $E$9)</f>
        <v>28.8874</v>
      </c>
      <c r="J841" s="10">
        <f>CHOOSE(CONTROL!$C$42, 28.8688, 28.8688)* CHOOSE(CONTROL!$C$21, $C$9, 100%, $E$9)</f>
        <v>28.8688</v>
      </c>
      <c r="K841" s="10">
        <f>CHOOSE(CONTROL!$C$42, 28.2221, 28.2221) * CHOOSE(CONTROL!$C$21, $C$9, 100%, $E$9)</f>
        <v>28.222100000000001</v>
      </c>
      <c r="L841" s="10">
        <f>CHOOSE(CONTROL!$C$42, 29.5323, 29.5323) * CHOOSE(CONTROL!$C$21, $C$9, 100%, $E$9)</f>
        <v>29.532299999999999</v>
      </c>
      <c r="M841" s="10">
        <f>CHOOSE(CONTROL!$C$42, 28.5913, 28.5913) * CHOOSE(CONTROL!$C$21, $C$9, 100%, $E$9)</f>
        <v>28.5913</v>
      </c>
      <c r="N841" s="10">
        <f>CHOOSE(CONTROL!$C$42, 28.6098, 28.6098) * CHOOSE(CONTROL!$C$21, $C$9, 100%, $E$9)</f>
        <v>28.6098</v>
      </c>
      <c r="O841" s="10">
        <f>CHOOSE(CONTROL!$C$42, 28.667, 28.667) * CHOOSE(CONTROL!$C$21, $C$9, 100%, $E$9)</f>
        <v>28.667000000000002</v>
      </c>
      <c r="P841" s="10">
        <f>CHOOSE(CONTROL!$C$42, 28.6097, 28.6097) * CHOOSE(CONTROL!$C$21, $C$9, 100%, $E$9)</f>
        <v>28.6097</v>
      </c>
      <c r="Q841" s="10">
        <f>CHOOSE(CONTROL!$C$42, 29.2623, 29.2623) * CHOOSE(CONTROL!$C$21, $C$9, 100%, $E$9)</f>
        <v>29.2623</v>
      </c>
      <c r="R841" s="10">
        <f>CHOOSE(CONTROL!$C$42, 29.9224, 29.9224) * CHOOSE(CONTROL!$C$21, $C$9, 100%, $E$9)</f>
        <v>29.9224</v>
      </c>
      <c r="S841" s="10">
        <f>CHOOSE(CONTROL!$C$42, 28.0557, 28.0557) * CHOOSE(CONTROL!$C$21, $C$9, 100%, $E$9)</f>
        <v>28.055700000000002</v>
      </c>
      <c r="T8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38">
        <f>(1000*CHOOSE(CONTROL!$C$42, 695, 695)*CHOOSE(CONTROL!$C$42, 0.5599, 0.5599)*CHOOSE(CONTROL!$C$42, 31, 31))/1000000</f>
        <v>12.063045499999998</v>
      </c>
      <c r="V841" s="38">
        <f>(1000*CHOOSE(CONTROL!$C$42, 500, 500)*CHOOSE(CONTROL!$C$42, 0.275, 0.275)*CHOOSE(CONTROL!$C$42, 31, 31))/1000000</f>
        <v>4.2625000000000002</v>
      </c>
      <c r="W841" s="38">
        <f>(1000*CHOOSE(CONTROL!$C$42, 0.1146, 0.1146)*CHOOSE(CONTROL!$C$42, 121.5, 121.5)*CHOOSE(CONTROL!$C$42, 31, 31))/1000000</f>
        <v>0.43164089999999994</v>
      </c>
      <c r="X841" s="38">
        <f>(31*0.1790888*100000/1000000)+(31*0.2374*100000/1000000)</f>
        <v>1.2911152800000001</v>
      </c>
      <c r="Y841" s="38">
        <f>(1000*600*CHOOSE(CONTROL!$C$42, 1.0585, 1.0585)*CHOOSE(CONTROL!$C$42, 31, 31))/1000000</f>
        <v>19.688099999999999</v>
      </c>
      <c r="Z841" s="38"/>
      <c r="AA841" s="10"/>
      <c r="AB841" s="39"/>
      <c r="AC841" s="33">
        <f>(B841*122.58+C841*297.941+D841*89.177+E841*40.302+F841*40+G841*160+H841*0+I841*100+J841*300)/(122.58+297.941+89.177+40.302+0+40+160+100+300)</f>
        <v>28.891526783565219</v>
      </c>
      <c r="AD841" s="27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28.629322302158275</v>
      </c>
    </row>
    <row r="842" spans="1:30" ht="15.75" x14ac:dyDescent="0.25">
      <c r="A842" s="13">
        <v>66900</v>
      </c>
      <c r="B842" s="10">
        <f>CHOOSE(CONTROL!$C$42, 29.4072, 29.4072) * CHOOSE(CONTROL!$C$21, $C$9, 100%, $E$9)</f>
        <v>29.4072</v>
      </c>
      <c r="C842" s="10">
        <f>CHOOSE(CONTROL!$C$42, 29.4121, 29.4121) * CHOOSE(CONTROL!$C$21, $C$9, 100%, $E$9)</f>
        <v>29.412099999999999</v>
      </c>
      <c r="D842" s="10">
        <f>CHOOSE(CONTROL!$C$42, 29.4366, 29.4366) * CHOOSE(CONTROL!$C$21, $C$9, 100%, $E$9)</f>
        <v>29.436599999999999</v>
      </c>
      <c r="E842" s="10">
        <f>CHOOSE(CONTROL!$C$42, 29.4704, 29.4704) * CHOOSE(CONTROL!$C$21, $C$9, 100%, $E$9)</f>
        <v>29.470400000000001</v>
      </c>
      <c r="F842" s="10">
        <f>CHOOSE(CONTROL!$C$42, 29.3894, 29.3894)*CHOOSE(CONTROL!$C$21, $C$9, 100%, $E$9)</f>
        <v>29.389399999999998</v>
      </c>
      <c r="G842" s="10">
        <f>CHOOSE(CONTROL!$C$42, 29.4079, 29.4079)*CHOOSE(CONTROL!$C$21, $C$9, 100%, $E$9)</f>
        <v>29.407900000000001</v>
      </c>
      <c r="H842" s="10">
        <f>CHOOSE(CONTROL!$C$42, 29.4596, 29.4596) * CHOOSE(CONTROL!$C$21, $C$9, 100%, $E$9)</f>
        <v>29.459599999999998</v>
      </c>
      <c r="I842" s="10">
        <f>CHOOSE(CONTROL!$C$42, 29.4017, 29.4017)* CHOOSE(CONTROL!$C$21, $C$9, 100%, $E$9)</f>
        <v>29.401700000000002</v>
      </c>
      <c r="J842" s="10">
        <f>CHOOSE(CONTROL!$C$42, 29.3824, 29.3824)* CHOOSE(CONTROL!$C$21, $C$9, 100%, $E$9)</f>
        <v>29.382400000000001</v>
      </c>
      <c r="K842" s="10">
        <f>CHOOSE(CONTROL!$C$42, 28.7203, 28.7203) * CHOOSE(CONTROL!$C$21, $C$9, 100%, $E$9)</f>
        <v>28.720300000000002</v>
      </c>
      <c r="L842" s="10">
        <f>CHOOSE(CONTROL!$C$42, 30.0466, 30.0466) * CHOOSE(CONTROL!$C$21, $C$9, 100%, $E$9)</f>
        <v>30.046600000000002</v>
      </c>
      <c r="M842" s="10">
        <f>CHOOSE(CONTROL!$C$42, 29.0997, 29.0997) * CHOOSE(CONTROL!$C$21, $C$9, 100%, $E$9)</f>
        <v>29.099699999999999</v>
      </c>
      <c r="N842" s="10">
        <f>CHOOSE(CONTROL!$C$42, 29.118, 29.118) * CHOOSE(CONTROL!$C$21, $C$9, 100%, $E$9)</f>
        <v>29.117999999999999</v>
      </c>
      <c r="O842" s="10">
        <f>CHOOSE(CONTROL!$C$42, 29.1761, 29.1761) * CHOOSE(CONTROL!$C$21, $C$9, 100%, $E$9)</f>
        <v>29.176100000000002</v>
      </c>
      <c r="P842" s="10">
        <f>CHOOSE(CONTROL!$C$42, 29.1188, 29.1188) * CHOOSE(CONTROL!$C$21, $C$9, 100%, $E$9)</f>
        <v>29.1188</v>
      </c>
      <c r="Q842" s="10">
        <f>CHOOSE(CONTROL!$C$42, 29.7714, 29.7714) * CHOOSE(CONTROL!$C$21, $C$9, 100%, $E$9)</f>
        <v>29.7714</v>
      </c>
      <c r="R842" s="10">
        <f>CHOOSE(CONTROL!$C$42, 30.4328, 30.4328) * CHOOSE(CONTROL!$C$21, $C$9, 100%, $E$9)</f>
        <v>30.4328</v>
      </c>
      <c r="S842" s="10">
        <f>CHOOSE(CONTROL!$C$42, 28.5552, 28.5552) * CHOOSE(CONTROL!$C$21, $C$9, 100%, $E$9)</f>
        <v>28.555199999999999</v>
      </c>
      <c r="T8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38">
        <f>(1000*CHOOSE(CONTROL!$C$42, 695, 695)*CHOOSE(CONTROL!$C$42, 0.5599, 0.5599)*CHOOSE(CONTROL!$C$42, 28, 28))/1000000</f>
        <v>10.895653999999999</v>
      </c>
      <c r="V842" s="38">
        <f>(1000*CHOOSE(CONTROL!$C$42, 500, 500)*CHOOSE(CONTROL!$C$42, 0.275, 0.275)*CHOOSE(CONTROL!$C$42, 28, 28))/1000000</f>
        <v>3.85</v>
      </c>
      <c r="W842" s="38">
        <f>(1000*CHOOSE(CONTROL!$C$42, 0.1146, 0.1146)*CHOOSE(CONTROL!$C$42, 121.5, 121.5)*CHOOSE(CONTROL!$C$42, 28, 28))/1000000</f>
        <v>0.38986920000000003</v>
      </c>
      <c r="X842" s="38">
        <f>(28*0.1790888*100000/1000000)+(28*0.2374*100000/1000000)</f>
        <v>1.16616864</v>
      </c>
      <c r="Y842" s="38">
        <f>(1000*600*CHOOSE(CONTROL!$C$42, 1.0585, 1.0585)*CHOOSE(CONTROL!$C$42, 28, 28))/1000000</f>
        <v>17.782800000000002</v>
      </c>
      <c r="Z842" s="38"/>
      <c r="AA842" s="10"/>
      <c r="AB842" s="39"/>
      <c r="AC842" s="33">
        <f>(B842*122.58+C842*297.941+D842*89.177+E842*40.302+F842*40+G842*160+H842*0+I842*100+J842*300)/(122.58+297.941+89.177+40.302+0+40+160+100+300)</f>
        <v>29.405494609652177</v>
      </c>
      <c r="AD842" s="27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29.138128776978419</v>
      </c>
    </row>
    <row r="843" spans="1:30" ht="15.75" x14ac:dyDescent="0.25">
      <c r="A843" s="13">
        <v>66931</v>
      </c>
      <c r="B843" s="10">
        <f>CHOOSE(CONTROL!$C$42, 28.5724, 28.5724) * CHOOSE(CONTROL!$C$21, $C$9, 100%, $E$9)</f>
        <v>28.572399999999998</v>
      </c>
      <c r="C843" s="10">
        <f>CHOOSE(CONTROL!$C$42, 28.5773, 28.5773) * CHOOSE(CONTROL!$C$21, $C$9, 100%, $E$9)</f>
        <v>28.577300000000001</v>
      </c>
      <c r="D843" s="10">
        <f>CHOOSE(CONTROL!$C$42, 28.6018, 28.6018) * CHOOSE(CONTROL!$C$21, $C$9, 100%, $E$9)</f>
        <v>28.601800000000001</v>
      </c>
      <c r="E843" s="10">
        <f>CHOOSE(CONTROL!$C$42, 28.6356, 28.6356) * CHOOSE(CONTROL!$C$21, $C$9, 100%, $E$9)</f>
        <v>28.6356</v>
      </c>
      <c r="F843" s="10">
        <f>CHOOSE(CONTROL!$C$42, 28.5531, 28.5531)*CHOOSE(CONTROL!$C$21, $C$9, 100%, $E$9)</f>
        <v>28.553100000000001</v>
      </c>
      <c r="G843" s="10">
        <f>CHOOSE(CONTROL!$C$42, 28.5712, 28.5712)*CHOOSE(CONTROL!$C$21, $C$9, 100%, $E$9)</f>
        <v>28.571200000000001</v>
      </c>
      <c r="H843" s="10">
        <f>CHOOSE(CONTROL!$C$42, 28.6248, 28.6248) * CHOOSE(CONTROL!$C$21, $C$9, 100%, $E$9)</f>
        <v>28.6248</v>
      </c>
      <c r="I843" s="10">
        <f>CHOOSE(CONTROL!$C$42, 28.5669, 28.5669)* CHOOSE(CONTROL!$C$21, $C$9, 100%, $E$9)</f>
        <v>28.5669</v>
      </c>
      <c r="J843" s="10">
        <f>CHOOSE(CONTROL!$C$42, 28.5461, 28.5461)* CHOOSE(CONTROL!$C$21, $C$9, 100%, $E$9)</f>
        <v>28.546099999999999</v>
      </c>
      <c r="K843" s="10">
        <f>CHOOSE(CONTROL!$C$42, 27.9058, 27.9058) * CHOOSE(CONTROL!$C$21, $C$9, 100%, $E$9)</f>
        <v>27.905799999999999</v>
      </c>
      <c r="L843" s="10">
        <f>CHOOSE(CONTROL!$C$42, 29.2118, 29.2118) * CHOOSE(CONTROL!$C$21, $C$9, 100%, $E$9)</f>
        <v>29.2118</v>
      </c>
      <c r="M843" s="10">
        <f>CHOOSE(CONTROL!$C$42, 28.2718, 28.2718) * CHOOSE(CONTROL!$C$21, $C$9, 100%, $E$9)</f>
        <v>28.271799999999999</v>
      </c>
      <c r="N843" s="10">
        <f>CHOOSE(CONTROL!$C$42, 28.2897, 28.2897) * CHOOSE(CONTROL!$C$21, $C$9, 100%, $E$9)</f>
        <v>28.2897</v>
      </c>
      <c r="O843" s="10">
        <f>CHOOSE(CONTROL!$C$42, 28.3497, 28.3497) * CHOOSE(CONTROL!$C$21, $C$9, 100%, $E$9)</f>
        <v>28.349699999999999</v>
      </c>
      <c r="P843" s="10">
        <f>CHOOSE(CONTROL!$C$42, 28.2924, 28.2924) * CHOOSE(CONTROL!$C$21, $C$9, 100%, $E$9)</f>
        <v>28.292400000000001</v>
      </c>
      <c r="Q843" s="10">
        <f>CHOOSE(CONTROL!$C$42, 28.945, 28.945) * CHOOSE(CONTROL!$C$21, $C$9, 100%, $E$9)</f>
        <v>28.945</v>
      </c>
      <c r="R843" s="10">
        <f>CHOOSE(CONTROL!$C$42, 29.6044, 29.6044) * CHOOSE(CONTROL!$C$21, $C$9, 100%, $E$9)</f>
        <v>29.604399999999998</v>
      </c>
      <c r="S843" s="10">
        <f>CHOOSE(CONTROL!$C$42, 27.7445, 27.7445) * CHOOSE(CONTROL!$C$21, $C$9, 100%, $E$9)</f>
        <v>27.744499999999999</v>
      </c>
      <c r="T8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38">
        <f>(1000*CHOOSE(CONTROL!$C$42, 695, 695)*CHOOSE(CONTROL!$C$42, 0.5599, 0.5599)*CHOOSE(CONTROL!$C$42, 31, 31))/1000000</f>
        <v>12.063045499999998</v>
      </c>
      <c r="V843" s="38">
        <f>(1000*CHOOSE(CONTROL!$C$42, 500, 500)*CHOOSE(CONTROL!$C$42, 0.275, 0.275)*CHOOSE(CONTROL!$C$42, 31, 31))/1000000</f>
        <v>4.2625000000000002</v>
      </c>
      <c r="W843" s="38">
        <f>(1000*CHOOSE(CONTROL!$C$42, 0.1146, 0.1146)*CHOOSE(CONTROL!$C$42, 121.5, 121.5)*CHOOSE(CONTROL!$C$42, 31, 31))/1000000</f>
        <v>0.43164089999999994</v>
      </c>
      <c r="X843" s="38">
        <f>(31*0.1790888*100000/1000000)+(31*0.2374*100000/1000000)</f>
        <v>1.2911152800000001</v>
      </c>
      <c r="Y843" s="38">
        <f>(1000*600*CHOOSE(CONTROL!$C$42, 1.0585, 1.0585)*CHOOSE(CONTROL!$C$42, 31, 31))/1000000</f>
        <v>19.688099999999999</v>
      </c>
      <c r="Z843" s="38"/>
      <c r="AA843" s="10"/>
      <c r="AB843" s="39"/>
      <c r="AC843" s="33">
        <f>(B843*122.58+C843*297.941+D843*89.177+E843*40.302+F843*40+G843*160+H843*0+I843*100+J843*300)/(122.58+297.941+89.177+40.302+0+40+160+100+300)</f>
        <v>28.569986783565216</v>
      </c>
      <c r="AD843" s="27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28.311101438848922</v>
      </c>
    </row>
    <row r="844" spans="1:30" ht="15.75" x14ac:dyDescent="0.25">
      <c r="A844" s="13">
        <v>66961</v>
      </c>
      <c r="B844" s="10">
        <f>CHOOSE(CONTROL!$C$42, 28.4876, 28.4876) * CHOOSE(CONTROL!$C$21, $C$9, 100%, $E$9)</f>
        <v>28.4876</v>
      </c>
      <c r="C844" s="10">
        <f>CHOOSE(CONTROL!$C$42, 28.492, 28.492) * CHOOSE(CONTROL!$C$21, $C$9, 100%, $E$9)</f>
        <v>28.492000000000001</v>
      </c>
      <c r="D844" s="10">
        <f>CHOOSE(CONTROL!$C$42, 28.6721, 28.6721) * CHOOSE(CONTROL!$C$21, $C$9, 100%, $E$9)</f>
        <v>28.6721</v>
      </c>
      <c r="E844" s="10">
        <f>CHOOSE(CONTROL!$C$42, 28.7039, 28.7039) * CHOOSE(CONTROL!$C$21, $C$9, 100%, $E$9)</f>
        <v>28.703900000000001</v>
      </c>
      <c r="F844" s="10">
        <f>CHOOSE(CONTROL!$C$42, 28.4529, 28.4529)*CHOOSE(CONTROL!$C$21, $C$9, 100%, $E$9)</f>
        <v>28.4529</v>
      </c>
      <c r="G844" s="10">
        <f>CHOOSE(CONTROL!$C$42, 28.4692, 28.4692)*CHOOSE(CONTROL!$C$21, $C$9, 100%, $E$9)</f>
        <v>28.469200000000001</v>
      </c>
      <c r="H844" s="10">
        <f>CHOOSE(CONTROL!$C$42, 28.6937, 28.6937) * CHOOSE(CONTROL!$C$21, $C$9, 100%, $E$9)</f>
        <v>28.6937</v>
      </c>
      <c r="I844" s="10">
        <f>CHOOSE(CONTROL!$C$42, 28.4736, 28.4736)* CHOOSE(CONTROL!$C$21, $C$9, 100%, $E$9)</f>
        <v>28.473600000000001</v>
      </c>
      <c r="J844" s="10">
        <f>CHOOSE(CONTROL!$C$42, 28.4459, 28.4459)* CHOOSE(CONTROL!$C$21, $C$9, 100%, $E$9)</f>
        <v>28.445900000000002</v>
      </c>
      <c r="K844" s="10">
        <f>CHOOSE(CONTROL!$C$42, 27.8002, 27.8002) * CHOOSE(CONTROL!$C$21, $C$9, 100%, $E$9)</f>
        <v>27.8002</v>
      </c>
      <c r="L844" s="10">
        <f>CHOOSE(CONTROL!$C$42, 29.2807, 29.2807) * CHOOSE(CONTROL!$C$21, $C$9, 100%, $E$9)</f>
        <v>29.2807</v>
      </c>
      <c r="M844" s="10">
        <f>CHOOSE(CONTROL!$C$42, 28.1727, 28.1727) * CHOOSE(CONTROL!$C$21, $C$9, 100%, $E$9)</f>
        <v>28.172699999999999</v>
      </c>
      <c r="N844" s="10">
        <f>CHOOSE(CONTROL!$C$42, 28.1888, 28.1888) * CHOOSE(CONTROL!$C$21, $C$9, 100%, $E$9)</f>
        <v>28.188800000000001</v>
      </c>
      <c r="O844" s="10">
        <f>CHOOSE(CONTROL!$C$42, 28.4179, 28.4179) * CHOOSE(CONTROL!$C$21, $C$9, 100%, $E$9)</f>
        <v>28.417899999999999</v>
      </c>
      <c r="P844" s="10">
        <f>CHOOSE(CONTROL!$C$42, 28.2001, 28.2001) * CHOOSE(CONTROL!$C$21, $C$9, 100%, $E$9)</f>
        <v>28.200099999999999</v>
      </c>
      <c r="Q844" s="10">
        <f>CHOOSE(CONTROL!$C$42, 29.0132, 29.0132) * CHOOSE(CONTROL!$C$21, $C$9, 100%, $E$9)</f>
        <v>29.013200000000001</v>
      </c>
      <c r="R844" s="10">
        <f>CHOOSE(CONTROL!$C$42, 29.6728, 29.6728) * CHOOSE(CONTROL!$C$21, $C$9, 100%, $E$9)</f>
        <v>29.672799999999999</v>
      </c>
      <c r="S844" s="10">
        <f>CHOOSE(CONTROL!$C$42, 27.6614, 27.6614) * CHOOSE(CONTROL!$C$21, $C$9, 100%, $E$9)</f>
        <v>27.6614</v>
      </c>
      <c r="T8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38">
        <f>(1000*CHOOSE(CONTROL!$C$42, 695, 695)*CHOOSE(CONTROL!$C$42, 0.5599, 0.5599)*CHOOSE(CONTROL!$C$42, 30, 30))/1000000</f>
        <v>11.673914999999997</v>
      </c>
      <c r="V844" s="38">
        <f>(1000*CHOOSE(CONTROL!$C$42, 500, 500)*CHOOSE(CONTROL!$C$42, 0.275, 0.275)*CHOOSE(CONTROL!$C$42, 30, 30))/1000000</f>
        <v>4.125</v>
      </c>
      <c r="W844" s="38">
        <f>(1000*CHOOSE(CONTROL!$C$42, 0.1146, 0.1146)*CHOOSE(CONTROL!$C$42, 121.5, 121.5)*CHOOSE(CONTROL!$C$42, 30, 30))/1000000</f>
        <v>0.417717</v>
      </c>
      <c r="X844" s="38">
        <f>(30*0.1790888*245000/1000000)+(30*0.2374*100000/1000000)</f>
        <v>2.0285026799999999</v>
      </c>
      <c r="Y844" s="38">
        <f>(1000*600*CHOOSE(CONTROL!$C$42, 1.0585, 1.0585)*CHOOSE(CONTROL!$C$42, 30, 30))/1000000</f>
        <v>19.053000000000001</v>
      </c>
      <c r="Z844" s="38"/>
      <c r="AA844" s="10"/>
      <c r="AB844" s="39"/>
      <c r="AC844" s="33">
        <f>(B844*141.293+C844*267.993+D844*115.016+E844*89.698+F844*40+G844*185+H844*0+I844*100+J844*300)/(141.293+267.993+115.016+89.698+0+40+185+100+300)</f>
        <v>28.506243501694918</v>
      </c>
      <c r="AD844" s="27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28.28870287769784</v>
      </c>
    </row>
    <row r="845" spans="1:30" ht="15.75" x14ac:dyDescent="0.25">
      <c r="A845" s="13">
        <v>66992</v>
      </c>
      <c r="B845" s="10">
        <f>CHOOSE(CONTROL!$C$42, 28.7408, 28.7408) * CHOOSE(CONTROL!$C$21, $C$9, 100%, $E$9)</f>
        <v>28.7408</v>
      </c>
      <c r="C845" s="10">
        <f>CHOOSE(CONTROL!$C$42, 28.7487, 28.7487) * CHOOSE(CONTROL!$C$21, $C$9, 100%, $E$9)</f>
        <v>28.748699999999999</v>
      </c>
      <c r="D845" s="10">
        <f>CHOOSE(CONTROL!$C$42, 28.9257, 28.9257) * CHOOSE(CONTROL!$C$21, $C$9, 100%, $E$9)</f>
        <v>28.925699999999999</v>
      </c>
      <c r="E845" s="10">
        <f>CHOOSE(CONTROL!$C$42, 28.9568, 28.9568) * CHOOSE(CONTROL!$C$21, $C$9, 100%, $E$9)</f>
        <v>28.956800000000001</v>
      </c>
      <c r="F845" s="10">
        <f>CHOOSE(CONTROL!$C$42, 28.7042, 28.7042)*CHOOSE(CONTROL!$C$21, $C$9, 100%, $E$9)</f>
        <v>28.7042</v>
      </c>
      <c r="G845" s="10">
        <f>CHOOSE(CONTROL!$C$42, 28.7206, 28.7206)*CHOOSE(CONTROL!$C$21, $C$9, 100%, $E$9)</f>
        <v>28.720600000000001</v>
      </c>
      <c r="H845" s="10">
        <f>CHOOSE(CONTROL!$C$42, 28.9455, 28.9455) * CHOOSE(CONTROL!$C$21, $C$9, 100%, $E$9)</f>
        <v>28.945499999999999</v>
      </c>
      <c r="I845" s="10">
        <f>CHOOSE(CONTROL!$C$42, 28.7254, 28.7254)* CHOOSE(CONTROL!$C$21, $C$9, 100%, $E$9)</f>
        <v>28.7254</v>
      </c>
      <c r="J845" s="10">
        <f>CHOOSE(CONTROL!$C$42, 28.6972, 28.6972)* CHOOSE(CONTROL!$C$21, $C$9, 100%, $E$9)</f>
        <v>28.697199999999999</v>
      </c>
      <c r="K845" s="10">
        <f>CHOOSE(CONTROL!$C$42, 28.0436, 28.0436) * CHOOSE(CONTROL!$C$21, $C$9, 100%, $E$9)</f>
        <v>28.043600000000001</v>
      </c>
      <c r="L845" s="10">
        <f>CHOOSE(CONTROL!$C$42, 29.5325, 29.5325) * CHOOSE(CONTROL!$C$21, $C$9, 100%, $E$9)</f>
        <v>29.532499999999999</v>
      </c>
      <c r="M845" s="10">
        <f>CHOOSE(CONTROL!$C$42, 28.4214, 28.4214) * CHOOSE(CONTROL!$C$21, $C$9, 100%, $E$9)</f>
        <v>28.421399999999998</v>
      </c>
      <c r="N845" s="10">
        <f>CHOOSE(CONTROL!$C$42, 28.4377, 28.4377) * CHOOSE(CONTROL!$C$21, $C$9, 100%, $E$9)</f>
        <v>28.4377</v>
      </c>
      <c r="O845" s="10">
        <f>CHOOSE(CONTROL!$C$42, 28.6672, 28.6672) * CHOOSE(CONTROL!$C$21, $C$9, 100%, $E$9)</f>
        <v>28.667200000000001</v>
      </c>
      <c r="P845" s="10">
        <f>CHOOSE(CONTROL!$C$42, 28.4494, 28.4494) * CHOOSE(CONTROL!$C$21, $C$9, 100%, $E$9)</f>
        <v>28.449400000000001</v>
      </c>
      <c r="Q845" s="10">
        <f>CHOOSE(CONTROL!$C$42, 29.2625, 29.2625) * CHOOSE(CONTROL!$C$21, $C$9, 100%, $E$9)</f>
        <v>29.262499999999999</v>
      </c>
      <c r="R845" s="10">
        <f>CHOOSE(CONTROL!$C$42, 29.9226, 29.9226) * CHOOSE(CONTROL!$C$21, $C$9, 100%, $E$9)</f>
        <v>29.922599999999999</v>
      </c>
      <c r="S845" s="10">
        <f>CHOOSE(CONTROL!$C$42, 27.9059, 27.9059) * CHOOSE(CONTROL!$C$21, $C$9, 100%, $E$9)</f>
        <v>27.905899999999999</v>
      </c>
      <c r="T8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38">
        <f>(1000*CHOOSE(CONTROL!$C$42, 695, 695)*CHOOSE(CONTROL!$C$42, 0.5599, 0.5599)*CHOOSE(CONTROL!$C$42, 31, 31))/1000000</f>
        <v>12.063045499999998</v>
      </c>
      <c r="V845" s="38">
        <f>(1000*CHOOSE(CONTROL!$C$42, 500, 500)*CHOOSE(CONTROL!$C$42, 0.275, 0.275)*CHOOSE(CONTROL!$C$42, 31, 31))/1000000</f>
        <v>4.2625000000000002</v>
      </c>
      <c r="W845" s="38">
        <f>(1000*CHOOSE(CONTROL!$C$42, 0.1146, 0.1146)*CHOOSE(CONTROL!$C$42, 121.5, 121.5)*CHOOSE(CONTROL!$C$42, 31, 31))/1000000</f>
        <v>0.43164089999999994</v>
      </c>
      <c r="X845" s="38">
        <f>(31*0.1790888*245000/1000000)+(31*0.2374*100000/1000000)</f>
        <v>2.0961194359999999</v>
      </c>
      <c r="Y845" s="38">
        <f>(1000*600*CHOOSE(CONTROL!$C$42, 1.0585, 1.0585)*CHOOSE(CONTROL!$C$42, 31, 31))/1000000</f>
        <v>19.688099999999999</v>
      </c>
      <c r="Z845" s="38"/>
      <c r="AA845" s="10"/>
      <c r="AB845" s="39"/>
      <c r="AC845" s="33">
        <f>(B845*194.205+C845*267.466+D845*133.845+E845*53.484+F845*40+G845*185+H845*0+I845*100+J845*300)/(194.205+267.466+133.845+53.484+0+40+185+100+300)</f>
        <v>28.755393772291999</v>
      </c>
      <c r="AD845" s="27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28.537772661870498</v>
      </c>
    </row>
    <row r="846" spans="1:30" ht="15.75" x14ac:dyDescent="0.25">
      <c r="A846" s="13">
        <v>67022</v>
      </c>
      <c r="B846" s="10">
        <f>CHOOSE(CONTROL!$C$42, 29.5559, 29.5559) * CHOOSE(CONTROL!$C$21, $C$9, 100%, $E$9)</f>
        <v>29.555900000000001</v>
      </c>
      <c r="C846" s="10">
        <f>CHOOSE(CONTROL!$C$42, 29.5638, 29.5638) * CHOOSE(CONTROL!$C$21, $C$9, 100%, $E$9)</f>
        <v>29.563800000000001</v>
      </c>
      <c r="D846" s="10">
        <f>CHOOSE(CONTROL!$C$42, 29.7408, 29.7408) * CHOOSE(CONTROL!$C$21, $C$9, 100%, $E$9)</f>
        <v>29.7408</v>
      </c>
      <c r="E846" s="10">
        <f>CHOOSE(CONTROL!$C$42, 29.772, 29.772) * CHOOSE(CONTROL!$C$21, $C$9, 100%, $E$9)</f>
        <v>29.771999999999998</v>
      </c>
      <c r="F846" s="10">
        <f>CHOOSE(CONTROL!$C$42, 29.5194, 29.5194)*CHOOSE(CONTROL!$C$21, $C$9, 100%, $E$9)</f>
        <v>29.519400000000001</v>
      </c>
      <c r="G846" s="10">
        <f>CHOOSE(CONTROL!$C$42, 29.536, 29.536)*CHOOSE(CONTROL!$C$21, $C$9, 100%, $E$9)</f>
        <v>29.536000000000001</v>
      </c>
      <c r="H846" s="10">
        <f>CHOOSE(CONTROL!$C$42, 29.7606, 29.7606) * CHOOSE(CONTROL!$C$21, $C$9, 100%, $E$9)</f>
        <v>29.7606</v>
      </c>
      <c r="I846" s="10">
        <f>CHOOSE(CONTROL!$C$42, 29.5405, 29.5405)* CHOOSE(CONTROL!$C$21, $C$9, 100%, $E$9)</f>
        <v>29.540500000000002</v>
      </c>
      <c r="J846" s="10">
        <f>CHOOSE(CONTROL!$C$42, 29.5124, 29.5124)* CHOOSE(CONTROL!$C$21, $C$9, 100%, $E$9)</f>
        <v>29.5124</v>
      </c>
      <c r="K846" s="10">
        <f>CHOOSE(CONTROL!$C$42, 28.836, 28.836) * CHOOSE(CONTROL!$C$21, $C$9, 100%, $E$9)</f>
        <v>28.835999999999999</v>
      </c>
      <c r="L846" s="10">
        <f>CHOOSE(CONTROL!$C$42, 30.3476, 30.3476) * CHOOSE(CONTROL!$C$21, $C$9, 100%, $E$9)</f>
        <v>30.3476</v>
      </c>
      <c r="M846" s="10">
        <f>CHOOSE(CONTROL!$C$42, 29.2284, 29.2284) * CHOOSE(CONTROL!$C$21, $C$9, 100%, $E$9)</f>
        <v>29.228400000000001</v>
      </c>
      <c r="N846" s="10">
        <f>CHOOSE(CONTROL!$C$42, 29.2448, 29.2448) * CHOOSE(CONTROL!$C$21, $C$9, 100%, $E$9)</f>
        <v>29.244800000000001</v>
      </c>
      <c r="O846" s="10">
        <f>CHOOSE(CONTROL!$C$42, 29.4741, 29.4741) * CHOOSE(CONTROL!$C$21, $C$9, 100%, $E$9)</f>
        <v>29.4741</v>
      </c>
      <c r="P846" s="10">
        <f>CHOOSE(CONTROL!$C$42, 29.2563, 29.2563) * CHOOSE(CONTROL!$C$21, $C$9, 100%, $E$9)</f>
        <v>29.2563</v>
      </c>
      <c r="Q846" s="10">
        <f>CHOOSE(CONTROL!$C$42, 30.0694, 30.0694) * CHOOSE(CONTROL!$C$21, $C$9, 100%, $E$9)</f>
        <v>30.069400000000002</v>
      </c>
      <c r="R846" s="10">
        <f>CHOOSE(CONTROL!$C$42, 30.7315, 30.7315) * CHOOSE(CONTROL!$C$21, $C$9, 100%, $E$9)</f>
        <v>30.7315</v>
      </c>
      <c r="S846" s="10">
        <f>CHOOSE(CONTROL!$C$42, 28.6975, 28.6975) * CHOOSE(CONTROL!$C$21, $C$9, 100%, $E$9)</f>
        <v>28.697500000000002</v>
      </c>
      <c r="T8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38">
        <f>(1000*CHOOSE(CONTROL!$C$42, 695, 695)*CHOOSE(CONTROL!$C$42, 0.5599, 0.5599)*CHOOSE(CONTROL!$C$42, 30, 30))/1000000</f>
        <v>11.673914999999997</v>
      </c>
      <c r="V846" s="38">
        <f>(1000*CHOOSE(CONTROL!$C$42, 500, 500)*CHOOSE(CONTROL!$C$42, 0.275, 0.275)*CHOOSE(CONTROL!$C$42, 30, 30))/1000000</f>
        <v>4.125</v>
      </c>
      <c r="W846" s="38">
        <f>(1000*CHOOSE(CONTROL!$C$42, 0.1146, 0.1146)*CHOOSE(CONTROL!$C$42, 121.5, 121.5)*CHOOSE(CONTROL!$C$42, 30, 30))/1000000</f>
        <v>0.417717</v>
      </c>
      <c r="X846" s="38">
        <f>(30*0.1790888*245000/1000000)+(30*0.2374*100000/1000000)</f>
        <v>2.0285026799999999</v>
      </c>
      <c r="Y846" s="38">
        <f>(1000*600*CHOOSE(CONTROL!$C$42, 1.0585, 1.0585)*CHOOSE(CONTROL!$C$42, 30, 30))/1000000</f>
        <v>19.053000000000001</v>
      </c>
      <c r="Z846" s="38"/>
      <c r="AA846" s="10"/>
      <c r="AB846" s="39"/>
      <c r="AC846" s="33">
        <f>(B846*194.205+C846*267.466+D846*133.845+E846*53.484+F846*40+G846*185+H846*0+I846*100+J846*300)/(194.205+267.466+133.845+53.484+0+40+185+100+300)</f>
        <v>29.570568221585557</v>
      </c>
      <c r="AD846" s="27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29.344718705035977</v>
      </c>
    </row>
    <row r="847" spans="1:30" ht="15.75" x14ac:dyDescent="0.25">
      <c r="A847" s="13">
        <v>67053</v>
      </c>
      <c r="B847" s="10">
        <f>CHOOSE(CONTROL!$C$42, 28.989, 28.989) * CHOOSE(CONTROL!$C$21, $C$9, 100%, $E$9)</f>
        <v>28.989000000000001</v>
      </c>
      <c r="C847" s="10">
        <f>CHOOSE(CONTROL!$C$42, 28.9969, 28.9969) * CHOOSE(CONTROL!$C$21, $C$9, 100%, $E$9)</f>
        <v>28.9969</v>
      </c>
      <c r="D847" s="10">
        <f>CHOOSE(CONTROL!$C$42, 29.1739, 29.1739) * CHOOSE(CONTROL!$C$21, $C$9, 100%, $E$9)</f>
        <v>29.1739</v>
      </c>
      <c r="E847" s="10">
        <f>CHOOSE(CONTROL!$C$42, 29.205, 29.205) * CHOOSE(CONTROL!$C$21, $C$9, 100%, $E$9)</f>
        <v>29.204999999999998</v>
      </c>
      <c r="F847" s="10">
        <f>CHOOSE(CONTROL!$C$42, 28.9528, 28.9528)*CHOOSE(CONTROL!$C$21, $C$9, 100%, $E$9)</f>
        <v>28.9528</v>
      </c>
      <c r="G847" s="10">
        <f>CHOOSE(CONTROL!$C$42, 28.9694, 28.9694)*CHOOSE(CONTROL!$C$21, $C$9, 100%, $E$9)</f>
        <v>28.9694</v>
      </c>
      <c r="H847" s="10">
        <f>CHOOSE(CONTROL!$C$42, 29.1937, 29.1937) * CHOOSE(CONTROL!$C$21, $C$9, 100%, $E$9)</f>
        <v>29.1937</v>
      </c>
      <c r="I847" s="10">
        <f>CHOOSE(CONTROL!$C$42, 28.9736, 28.9736)* CHOOSE(CONTROL!$C$21, $C$9, 100%, $E$9)</f>
        <v>28.973600000000001</v>
      </c>
      <c r="J847" s="10">
        <f>CHOOSE(CONTROL!$C$42, 28.9458, 28.9458)* CHOOSE(CONTROL!$C$21, $C$9, 100%, $E$9)</f>
        <v>28.945799999999998</v>
      </c>
      <c r="K847" s="10">
        <f>CHOOSE(CONTROL!$C$42, 28.2857, 28.2857) * CHOOSE(CONTROL!$C$21, $C$9, 100%, $E$9)</f>
        <v>28.285699999999999</v>
      </c>
      <c r="L847" s="10">
        <f>CHOOSE(CONTROL!$C$42, 29.7807, 29.7807) * CHOOSE(CONTROL!$C$21, $C$9, 100%, $E$9)</f>
        <v>29.7807</v>
      </c>
      <c r="M847" s="10">
        <f>CHOOSE(CONTROL!$C$42, 28.6675, 28.6675) * CHOOSE(CONTROL!$C$21, $C$9, 100%, $E$9)</f>
        <v>28.6675</v>
      </c>
      <c r="N847" s="10">
        <f>CHOOSE(CONTROL!$C$42, 28.6839, 28.6839) * CHOOSE(CONTROL!$C$21, $C$9, 100%, $E$9)</f>
        <v>28.683900000000001</v>
      </c>
      <c r="O847" s="10">
        <f>CHOOSE(CONTROL!$C$42, 28.9129, 28.9129) * CHOOSE(CONTROL!$C$21, $C$9, 100%, $E$9)</f>
        <v>28.9129</v>
      </c>
      <c r="P847" s="10">
        <f>CHOOSE(CONTROL!$C$42, 28.6951, 28.6951) * CHOOSE(CONTROL!$C$21, $C$9, 100%, $E$9)</f>
        <v>28.6951</v>
      </c>
      <c r="Q847" s="10">
        <f>CHOOSE(CONTROL!$C$42, 29.5082, 29.5082) * CHOOSE(CONTROL!$C$21, $C$9, 100%, $E$9)</f>
        <v>29.508199999999999</v>
      </c>
      <c r="R847" s="10">
        <f>CHOOSE(CONTROL!$C$42, 30.1689, 30.1689) * CHOOSE(CONTROL!$C$21, $C$9, 100%, $E$9)</f>
        <v>30.168900000000001</v>
      </c>
      <c r="S847" s="10">
        <f>CHOOSE(CONTROL!$C$42, 28.147, 28.147) * CHOOSE(CONTROL!$C$21, $C$9, 100%, $E$9)</f>
        <v>28.146999999999998</v>
      </c>
      <c r="T8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38">
        <f>(1000*CHOOSE(CONTROL!$C$42, 695, 695)*CHOOSE(CONTROL!$C$42, 0.5599, 0.5599)*CHOOSE(CONTROL!$C$42, 31, 31))/1000000</f>
        <v>12.063045499999998</v>
      </c>
      <c r="V847" s="38">
        <f>(1000*CHOOSE(CONTROL!$C$42, 500, 500)*CHOOSE(CONTROL!$C$42, 0.275, 0.275)*CHOOSE(CONTROL!$C$42, 31, 31))/1000000</f>
        <v>4.2625000000000002</v>
      </c>
      <c r="W847" s="38">
        <f>(1000*CHOOSE(CONTROL!$C$42, 0.1146, 0.1146)*CHOOSE(CONTROL!$C$42, 121.5, 121.5)*CHOOSE(CONTROL!$C$42, 31, 31))/1000000</f>
        <v>0.43164089999999994</v>
      </c>
      <c r="X847" s="38">
        <f>(31*0.1790888*245000/1000000)+(31*0.2374*100000/1000000)</f>
        <v>2.0961194359999999</v>
      </c>
      <c r="Y847" s="38">
        <f>(1000*600*CHOOSE(CONTROL!$C$42, 1.0585, 1.0585)*CHOOSE(CONTROL!$C$42, 31, 31))/1000000</f>
        <v>19.688099999999999</v>
      </c>
      <c r="Z847" s="38"/>
      <c r="AA847" s="10"/>
      <c r="AB847" s="39"/>
      <c r="AC847" s="33">
        <f>(B847*194.205+C847*267.466+D847*133.845+E847*53.484+F847*40+G847*185+H847*0+I847*100+J847*300)/(194.205+267.466+133.845+53.484+0+40+185+100+300)</f>
        <v>29.003787649843016</v>
      </c>
      <c r="AD847" s="27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28.783639568345329</v>
      </c>
    </row>
    <row r="848" spans="1:30" ht="15.75" x14ac:dyDescent="0.25">
      <c r="A848" s="13">
        <v>67084</v>
      </c>
      <c r="B848" s="10">
        <f>CHOOSE(CONTROL!$C$42, 27.5573, 27.5573) * CHOOSE(CONTROL!$C$21, $C$9, 100%, $E$9)</f>
        <v>27.557300000000001</v>
      </c>
      <c r="C848" s="10">
        <f>CHOOSE(CONTROL!$C$42, 27.5653, 27.5653) * CHOOSE(CONTROL!$C$21, $C$9, 100%, $E$9)</f>
        <v>27.565300000000001</v>
      </c>
      <c r="D848" s="10">
        <f>CHOOSE(CONTROL!$C$42, 27.7422, 27.7422) * CHOOSE(CONTROL!$C$21, $C$9, 100%, $E$9)</f>
        <v>27.7422</v>
      </c>
      <c r="E848" s="10">
        <f>CHOOSE(CONTROL!$C$42, 27.7734, 27.7734) * CHOOSE(CONTROL!$C$21, $C$9, 100%, $E$9)</f>
        <v>27.773399999999999</v>
      </c>
      <c r="F848" s="10">
        <f>CHOOSE(CONTROL!$C$42, 27.5212, 27.5212)*CHOOSE(CONTROL!$C$21, $C$9, 100%, $E$9)</f>
        <v>27.5212</v>
      </c>
      <c r="G848" s="10">
        <f>CHOOSE(CONTROL!$C$42, 27.5378, 27.5378)*CHOOSE(CONTROL!$C$21, $C$9, 100%, $E$9)</f>
        <v>27.537800000000001</v>
      </c>
      <c r="H848" s="10">
        <f>CHOOSE(CONTROL!$C$42, 27.762, 27.762) * CHOOSE(CONTROL!$C$21, $C$9, 100%, $E$9)</f>
        <v>27.762</v>
      </c>
      <c r="I848" s="10">
        <f>CHOOSE(CONTROL!$C$42, 27.5419, 27.5419)* CHOOSE(CONTROL!$C$21, $C$9, 100%, $E$9)</f>
        <v>27.541899999999998</v>
      </c>
      <c r="J848" s="10">
        <f>CHOOSE(CONTROL!$C$42, 27.5142, 27.5142)* CHOOSE(CONTROL!$C$21, $C$9, 100%, $E$9)</f>
        <v>27.514199999999999</v>
      </c>
      <c r="K848" s="10">
        <f>CHOOSE(CONTROL!$C$42, 26.8948, 26.8948) * CHOOSE(CONTROL!$C$21, $C$9, 100%, $E$9)</f>
        <v>26.8948</v>
      </c>
      <c r="L848" s="10">
        <f>CHOOSE(CONTROL!$C$42, 28.349, 28.349) * CHOOSE(CONTROL!$C$21, $C$9, 100%, $E$9)</f>
        <v>28.349</v>
      </c>
      <c r="M848" s="10">
        <f>CHOOSE(CONTROL!$C$42, 27.2503, 27.2503) * CHOOSE(CONTROL!$C$21, $C$9, 100%, $E$9)</f>
        <v>27.250299999999999</v>
      </c>
      <c r="N848" s="10">
        <f>CHOOSE(CONTROL!$C$42, 27.2668, 27.2668) * CHOOSE(CONTROL!$C$21, $C$9, 100%, $E$9)</f>
        <v>27.2668</v>
      </c>
      <c r="O848" s="10">
        <f>CHOOSE(CONTROL!$C$42, 27.4957, 27.4957) * CHOOSE(CONTROL!$C$21, $C$9, 100%, $E$9)</f>
        <v>27.495699999999999</v>
      </c>
      <c r="P848" s="10">
        <f>CHOOSE(CONTROL!$C$42, 27.2779, 27.2779) * CHOOSE(CONTROL!$C$21, $C$9, 100%, $E$9)</f>
        <v>27.277899999999999</v>
      </c>
      <c r="Q848" s="10">
        <f>CHOOSE(CONTROL!$C$42, 28.091, 28.091) * CHOOSE(CONTROL!$C$21, $C$9, 100%, $E$9)</f>
        <v>28.091000000000001</v>
      </c>
      <c r="R848" s="10">
        <f>CHOOSE(CONTROL!$C$42, 28.7482, 28.7482) * CHOOSE(CONTROL!$C$21, $C$9, 100%, $E$9)</f>
        <v>28.748200000000001</v>
      </c>
      <c r="S848" s="10">
        <f>CHOOSE(CONTROL!$C$42, 26.7567, 26.7567) * CHOOSE(CONTROL!$C$21, $C$9, 100%, $E$9)</f>
        <v>26.756699999999999</v>
      </c>
      <c r="T8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38">
        <f>(1000*CHOOSE(CONTROL!$C$42, 695, 695)*CHOOSE(CONTROL!$C$42, 0.5599, 0.5599)*CHOOSE(CONTROL!$C$42, 31, 31))/1000000</f>
        <v>12.063045499999998</v>
      </c>
      <c r="V848" s="38">
        <f>(1000*CHOOSE(CONTROL!$C$42, 500, 500)*CHOOSE(CONTROL!$C$42, 0.275, 0.275)*CHOOSE(CONTROL!$C$42, 31, 31))/1000000</f>
        <v>4.2625000000000002</v>
      </c>
      <c r="W848" s="38">
        <f>(1000*CHOOSE(CONTROL!$C$42, 0.1146, 0.1146)*CHOOSE(CONTROL!$C$42, 121.5, 121.5)*CHOOSE(CONTROL!$C$42, 31, 31))/1000000</f>
        <v>0.43164089999999994</v>
      </c>
      <c r="X848" s="38">
        <f>(31*0.1790888*245000/1000000)+(31*0.2374*100000/1000000)</f>
        <v>2.0961194359999999</v>
      </c>
      <c r="Y848" s="38">
        <f>(1000*600*CHOOSE(CONTROL!$C$42, 1.0585, 1.0585)*CHOOSE(CONTROL!$C$42, 31, 31))/1000000</f>
        <v>19.688099999999999</v>
      </c>
      <c r="Z848" s="38"/>
      <c r="AA848" s="10"/>
      <c r="AB848" s="39"/>
      <c r="AC848" s="33">
        <f>(B848*194.205+C848*267.466+D848*133.845+E848*53.484+F848*40+G848*185+H848*0+I848*100+J848*300)/(194.205+267.466+133.845+53.484+0+40+185+100+300)</f>
        <v>27.572154050941915</v>
      </c>
      <c r="AD848" s="27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27.366445323741011</v>
      </c>
    </row>
    <row r="849" spans="1:30" ht="15.75" x14ac:dyDescent="0.25">
      <c r="A849" s="13">
        <v>67114</v>
      </c>
      <c r="B849" s="10">
        <f>CHOOSE(CONTROL!$C$42, 25.8081, 25.8081) * CHOOSE(CONTROL!$C$21, $C$9, 100%, $E$9)</f>
        <v>25.8081</v>
      </c>
      <c r="C849" s="10">
        <f>CHOOSE(CONTROL!$C$42, 25.8161, 25.8161) * CHOOSE(CONTROL!$C$21, $C$9, 100%, $E$9)</f>
        <v>25.816099999999999</v>
      </c>
      <c r="D849" s="10">
        <f>CHOOSE(CONTROL!$C$42, 25.993, 25.993) * CHOOSE(CONTROL!$C$21, $C$9, 100%, $E$9)</f>
        <v>25.992999999999999</v>
      </c>
      <c r="E849" s="10">
        <f>CHOOSE(CONTROL!$C$42, 26.0242, 26.0242) * CHOOSE(CONTROL!$C$21, $C$9, 100%, $E$9)</f>
        <v>26.0242</v>
      </c>
      <c r="F849" s="10">
        <f>CHOOSE(CONTROL!$C$42, 25.7717, 25.7717)*CHOOSE(CONTROL!$C$21, $C$9, 100%, $E$9)</f>
        <v>25.771699999999999</v>
      </c>
      <c r="G849" s="10">
        <f>CHOOSE(CONTROL!$C$42, 25.7883, 25.7883)*CHOOSE(CONTROL!$C$21, $C$9, 100%, $E$9)</f>
        <v>25.7883</v>
      </c>
      <c r="H849" s="10">
        <f>CHOOSE(CONTROL!$C$42, 26.0128, 26.0128) * CHOOSE(CONTROL!$C$21, $C$9, 100%, $E$9)</f>
        <v>26.012799999999999</v>
      </c>
      <c r="I849" s="10">
        <f>CHOOSE(CONTROL!$C$42, 25.7927, 25.7927)* CHOOSE(CONTROL!$C$21, $C$9, 100%, $E$9)</f>
        <v>25.7927</v>
      </c>
      <c r="J849" s="10">
        <f>CHOOSE(CONTROL!$C$42, 25.7647, 25.7647)* CHOOSE(CONTROL!$C$21, $C$9, 100%, $E$9)</f>
        <v>25.764700000000001</v>
      </c>
      <c r="K849" s="10">
        <f>CHOOSE(CONTROL!$C$42, 25.1948, 25.1948) * CHOOSE(CONTROL!$C$21, $C$9, 100%, $E$9)</f>
        <v>25.194800000000001</v>
      </c>
      <c r="L849" s="10">
        <f>CHOOSE(CONTROL!$C$42, 26.5998, 26.5998) * CHOOSE(CONTROL!$C$21, $C$9, 100%, $E$9)</f>
        <v>26.599799999999998</v>
      </c>
      <c r="M849" s="10">
        <f>CHOOSE(CONTROL!$C$42, 25.5185, 25.5185) * CHOOSE(CONTROL!$C$21, $C$9, 100%, $E$9)</f>
        <v>25.5185</v>
      </c>
      <c r="N849" s="10">
        <f>CHOOSE(CONTROL!$C$42, 25.5349, 25.5349) * CHOOSE(CONTROL!$C$21, $C$9, 100%, $E$9)</f>
        <v>25.5349</v>
      </c>
      <c r="O849" s="10">
        <f>CHOOSE(CONTROL!$C$42, 25.7641, 25.7641) * CHOOSE(CONTROL!$C$21, $C$9, 100%, $E$9)</f>
        <v>25.764099999999999</v>
      </c>
      <c r="P849" s="10">
        <f>CHOOSE(CONTROL!$C$42, 25.5463, 25.5463) * CHOOSE(CONTROL!$C$21, $C$9, 100%, $E$9)</f>
        <v>25.546299999999999</v>
      </c>
      <c r="Q849" s="10">
        <f>CHOOSE(CONTROL!$C$42, 26.3594, 26.3594) * CHOOSE(CONTROL!$C$21, $C$9, 100%, $E$9)</f>
        <v>26.359400000000001</v>
      </c>
      <c r="R849" s="10">
        <f>CHOOSE(CONTROL!$C$42, 27.0123, 27.0123) * CHOOSE(CONTROL!$C$21, $C$9, 100%, $E$9)</f>
        <v>27.0123</v>
      </c>
      <c r="S849" s="10">
        <f>CHOOSE(CONTROL!$C$42, 25.058, 25.058) * CHOOSE(CONTROL!$C$21, $C$9, 100%, $E$9)</f>
        <v>25.058</v>
      </c>
      <c r="T8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38">
        <f>(1000*CHOOSE(CONTROL!$C$42, 695, 695)*CHOOSE(CONTROL!$C$42, 0.5599, 0.5599)*CHOOSE(CONTROL!$C$42, 30, 30))/1000000</f>
        <v>11.673914999999997</v>
      </c>
      <c r="V849" s="38">
        <f>(1000*CHOOSE(CONTROL!$C$42, 500, 500)*CHOOSE(CONTROL!$C$42, 0.275, 0.275)*CHOOSE(CONTROL!$C$42, 30, 30))/1000000</f>
        <v>4.125</v>
      </c>
      <c r="W849" s="38">
        <f>(1000*CHOOSE(CONTROL!$C$42, 0.1146, 0.1146)*CHOOSE(CONTROL!$C$42, 121.5, 121.5)*CHOOSE(CONTROL!$C$42, 30, 30))/1000000</f>
        <v>0.417717</v>
      </c>
      <c r="X849" s="38">
        <f>(30*0.1790888*245000/1000000)+(30*0.2374*100000/1000000)</f>
        <v>2.0285026799999999</v>
      </c>
      <c r="Y849" s="38">
        <f>(1000*600*CHOOSE(CONTROL!$C$42, 1.0585, 1.0585)*CHOOSE(CONTROL!$C$42, 30, 30))/1000000</f>
        <v>19.053000000000001</v>
      </c>
      <c r="Z849" s="38"/>
      <c r="AA849" s="10"/>
      <c r="AB849" s="39"/>
      <c r="AC849" s="33">
        <f>(B849*194.205+C849*267.466+D849*133.845+E849*53.484+F849*40+G849*185+H849*0+I849*100+J849*300)/(194.205+267.466+133.845+53.484+0+40+185+100+300)</f>
        <v>25.822830424568288</v>
      </c>
      <c r="AD849" s="27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25.634758992805757</v>
      </c>
    </row>
    <row r="850" spans="1:30" ht="15.75" x14ac:dyDescent="0.25">
      <c r="A850" s="13">
        <v>67145</v>
      </c>
      <c r="B850" s="10">
        <f>CHOOSE(CONTROL!$C$42, 25.2821, 25.2821) * CHOOSE(CONTROL!$C$21, $C$9, 100%, $E$9)</f>
        <v>25.2821</v>
      </c>
      <c r="C850" s="10">
        <f>CHOOSE(CONTROL!$C$42, 25.2873, 25.2873) * CHOOSE(CONTROL!$C$21, $C$9, 100%, $E$9)</f>
        <v>25.287299999999998</v>
      </c>
      <c r="D850" s="10">
        <f>CHOOSE(CONTROL!$C$42, 25.4693, 25.4693) * CHOOSE(CONTROL!$C$21, $C$9, 100%, $E$9)</f>
        <v>25.4693</v>
      </c>
      <c r="E850" s="10">
        <f>CHOOSE(CONTROL!$C$42, 25.4981, 25.4981) * CHOOSE(CONTROL!$C$21, $C$9, 100%, $E$9)</f>
        <v>25.498100000000001</v>
      </c>
      <c r="F850" s="10">
        <f>CHOOSE(CONTROL!$C$42, 25.2477, 25.2477)*CHOOSE(CONTROL!$C$21, $C$9, 100%, $E$9)</f>
        <v>25.247699999999998</v>
      </c>
      <c r="G850" s="10">
        <f>CHOOSE(CONTROL!$C$42, 25.2639, 25.2639)*CHOOSE(CONTROL!$C$21, $C$9, 100%, $E$9)</f>
        <v>25.2639</v>
      </c>
      <c r="H850" s="10">
        <f>CHOOSE(CONTROL!$C$42, 25.4885, 25.4885) * CHOOSE(CONTROL!$C$21, $C$9, 100%, $E$9)</f>
        <v>25.488499999999998</v>
      </c>
      <c r="I850" s="10">
        <f>CHOOSE(CONTROL!$C$42, 25.2684, 25.2684)* CHOOSE(CONTROL!$C$21, $C$9, 100%, $E$9)</f>
        <v>25.2684</v>
      </c>
      <c r="J850" s="10">
        <f>CHOOSE(CONTROL!$C$42, 25.2407, 25.2407)* CHOOSE(CONTROL!$C$21, $C$9, 100%, $E$9)</f>
        <v>25.2407</v>
      </c>
      <c r="K850" s="10">
        <f>CHOOSE(CONTROL!$C$42, 24.686, 24.686) * CHOOSE(CONTROL!$C$21, $C$9, 100%, $E$9)</f>
        <v>24.686</v>
      </c>
      <c r="L850" s="10">
        <f>CHOOSE(CONTROL!$C$42, 26.0755, 26.0755) * CHOOSE(CONTROL!$C$21, $C$9, 100%, $E$9)</f>
        <v>26.075500000000002</v>
      </c>
      <c r="M850" s="10">
        <f>CHOOSE(CONTROL!$C$42, 24.9998, 24.9998) * CHOOSE(CONTROL!$C$21, $C$9, 100%, $E$9)</f>
        <v>24.9998</v>
      </c>
      <c r="N850" s="10">
        <f>CHOOSE(CONTROL!$C$42, 25.0159, 25.0159) * CHOOSE(CONTROL!$C$21, $C$9, 100%, $E$9)</f>
        <v>25.015899999999998</v>
      </c>
      <c r="O850" s="10">
        <f>CHOOSE(CONTROL!$C$42, 25.2451, 25.2451) * CHOOSE(CONTROL!$C$21, $C$9, 100%, $E$9)</f>
        <v>25.245100000000001</v>
      </c>
      <c r="P850" s="10">
        <f>CHOOSE(CONTROL!$C$42, 25.0273, 25.0273) * CHOOSE(CONTROL!$C$21, $C$9, 100%, $E$9)</f>
        <v>25.0273</v>
      </c>
      <c r="Q850" s="10">
        <f>CHOOSE(CONTROL!$C$42, 25.8404, 25.8404) * CHOOSE(CONTROL!$C$21, $C$9, 100%, $E$9)</f>
        <v>25.840399999999999</v>
      </c>
      <c r="R850" s="10">
        <f>CHOOSE(CONTROL!$C$42, 26.492, 26.492) * CHOOSE(CONTROL!$C$21, $C$9, 100%, $E$9)</f>
        <v>26.492000000000001</v>
      </c>
      <c r="S850" s="10">
        <f>CHOOSE(CONTROL!$C$42, 24.5489, 24.5489) * CHOOSE(CONTROL!$C$21, $C$9, 100%, $E$9)</f>
        <v>24.5489</v>
      </c>
      <c r="T8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38">
        <f>(1000*CHOOSE(CONTROL!$C$42, 695, 695)*CHOOSE(CONTROL!$C$42, 0.5599, 0.5599)*CHOOSE(CONTROL!$C$42, 31, 31))/1000000</f>
        <v>12.063045499999998</v>
      </c>
      <c r="V850" s="38">
        <f>(1000*CHOOSE(CONTROL!$C$42, 500, 500)*CHOOSE(CONTROL!$C$42, 0.275, 0.275)*CHOOSE(CONTROL!$C$42, 31, 31))/1000000</f>
        <v>4.2625000000000002</v>
      </c>
      <c r="W850" s="38">
        <f>(1000*CHOOSE(CONTROL!$C$42, 0.1146, 0.1146)*CHOOSE(CONTROL!$C$42, 121.5, 121.5)*CHOOSE(CONTROL!$C$42, 31, 31))/1000000</f>
        <v>0.43164089999999994</v>
      </c>
      <c r="X850" s="38">
        <f>(31*0.1790888*245000/1000000)+(31*0.2374*100000/1000000)</f>
        <v>2.0961194359999999</v>
      </c>
      <c r="Y850" s="38">
        <f>(1000*600*CHOOSE(CONTROL!$C$42, 1.0585, 1.0585)*CHOOSE(CONTROL!$C$42, 31, 31))/1000000</f>
        <v>19.688099999999999</v>
      </c>
      <c r="Z850" s="38"/>
      <c r="AA850" s="10"/>
      <c r="AB850" s="39"/>
      <c r="AC850" s="33">
        <f>(B850*131.881+C850*277.167+D850*79.08+E850*125.872+F850*40+G850*185+H850*0+I850*100+J850*300)/(131.881+277.167+79.08+125.872+0+40+185+100+300)</f>
        <v>25.302197172235672</v>
      </c>
      <c r="AD850" s="27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25.115862589928057</v>
      </c>
    </row>
    <row r="851" spans="1:30" ht="15.75" x14ac:dyDescent="0.25">
      <c r="A851" s="13">
        <v>67175</v>
      </c>
      <c r="B851" s="10">
        <f>CHOOSE(CONTROL!$C$42, 25.9476, 25.9476) * CHOOSE(CONTROL!$C$21, $C$9, 100%, $E$9)</f>
        <v>25.947600000000001</v>
      </c>
      <c r="C851" s="10">
        <f>CHOOSE(CONTROL!$C$42, 25.9526, 25.9526) * CHOOSE(CONTROL!$C$21, $C$9, 100%, $E$9)</f>
        <v>25.9526</v>
      </c>
      <c r="D851" s="10">
        <f>CHOOSE(CONTROL!$C$42, 25.977, 25.977) * CHOOSE(CONTROL!$C$21, $C$9, 100%, $E$9)</f>
        <v>25.977</v>
      </c>
      <c r="E851" s="10">
        <f>CHOOSE(CONTROL!$C$42, 26.0108, 26.0108) * CHOOSE(CONTROL!$C$21, $C$9, 100%, $E$9)</f>
        <v>26.0108</v>
      </c>
      <c r="F851" s="10">
        <f>CHOOSE(CONTROL!$C$42, 25.917, 25.917)*CHOOSE(CONTROL!$C$21, $C$9, 100%, $E$9)</f>
        <v>25.917000000000002</v>
      </c>
      <c r="G851" s="10">
        <f>CHOOSE(CONTROL!$C$42, 25.9334, 25.9334)*CHOOSE(CONTROL!$C$21, $C$9, 100%, $E$9)</f>
        <v>25.933399999999999</v>
      </c>
      <c r="H851" s="10">
        <f>CHOOSE(CONTROL!$C$42, 26, 26) * CHOOSE(CONTROL!$C$21, $C$9, 100%, $E$9)</f>
        <v>26</v>
      </c>
      <c r="I851" s="10">
        <f>CHOOSE(CONTROL!$C$42, 25.9344, 25.9344)* CHOOSE(CONTROL!$C$21, $C$9, 100%, $E$9)</f>
        <v>25.9344</v>
      </c>
      <c r="J851" s="10">
        <f>CHOOSE(CONTROL!$C$42, 25.91, 25.91)* CHOOSE(CONTROL!$C$21, $C$9, 100%, $E$9)</f>
        <v>25.91</v>
      </c>
      <c r="K851" s="10">
        <f>CHOOSE(CONTROL!$C$42, 25.3345, 25.3345) * CHOOSE(CONTROL!$C$21, $C$9, 100%, $E$9)</f>
        <v>25.334499999999998</v>
      </c>
      <c r="L851" s="10">
        <f>CHOOSE(CONTROL!$C$42, 26.587, 26.587) * CHOOSE(CONTROL!$C$21, $C$9, 100%, $E$9)</f>
        <v>26.587</v>
      </c>
      <c r="M851" s="10">
        <f>CHOOSE(CONTROL!$C$42, 25.6623, 25.6623) * CHOOSE(CONTROL!$C$21, $C$9, 100%, $E$9)</f>
        <v>25.662299999999998</v>
      </c>
      <c r="N851" s="10">
        <f>CHOOSE(CONTROL!$C$42, 25.6786, 25.6786) * CHOOSE(CONTROL!$C$21, $C$9, 100%, $E$9)</f>
        <v>25.678599999999999</v>
      </c>
      <c r="O851" s="10">
        <f>CHOOSE(CONTROL!$C$42, 25.7515, 25.7515) * CHOOSE(CONTROL!$C$21, $C$9, 100%, $E$9)</f>
        <v>25.7515</v>
      </c>
      <c r="P851" s="10">
        <f>CHOOSE(CONTROL!$C$42, 25.6865, 25.6865) * CHOOSE(CONTROL!$C$21, $C$9, 100%, $E$9)</f>
        <v>25.686499999999999</v>
      </c>
      <c r="Q851" s="10">
        <f>CHOOSE(CONTROL!$C$42, 26.3468, 26.3468) * CHOOSE(CONTROL!$C$21, $C$9, 100%, $E$9)</f>
        <v>26.346800000000002</v>
      </c>
      <c r="R851" s="10">
        <f>CHOOSE(CONTROL!$C$42, 26.9996, 26.9996) * CHOOSE(CONTROL!$C$21, $C$9, 100%, $E$9)</f>
        <v>26.999600000000001</v>
      </c>
      <c r="S851" s="10">
        <f>CHOOSE(CONTROL!$C$42, 25.1956, 25.1956) * CHOOSE(CONTROL!$C$21, $C$9, 100%, $E$9)</f>
        <v>25.195599999999999</v>
      </c>
      <c r="T8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38">
        <f>(1000*CHOOSE(CONTROL!$C$42, 695, 695)*CHOOSE(CONTROL!$C$42, 0.5599, 0.5599)*CHOOSE(CONTROL!$C$42, 30, 30))/1000000</f>
        <v>11.673914999999997</v>
      </c>
      <c r="V851" s="38">
        <f>(1000*CHOOSE(CONTROL!$C$42, 500, 500)*CHOOSE(CONTROL!$C$42, 0.275, 0.275)*CHOOSE(CONTROL!$C$42, 30, 30))/1000000</f>
        <v>4.125</v>
      </c>
      <c r="W851" s="38">
        <f>(1000*CHOOSE(CONTROL!$C$42, 0.1146, 0.1146)*CHOOSE(CONTROL!$C$42, 121.5, 121.5)*CHOOSE(CONTROL!$C$42, 30, 30))/1000000</f>
        <v>0.417717</v>
      </c>
      <c r="X851" s="38">
        <f>(30*0.1790888*100000/1000000)+(30*0.2374*100000/1000000)</f>
        <v>1.2494664</v>
      </c>
      <c r="Y851" s="38">
        <f>(1000*600*CHOOSE(CONTROL!$C$42, 1.0585, 1.0585)*CHOOSE(CONTROL!$C$42, 30, 30))/1000000</f>
        <v>19.053000000000001</v>
      </c>
      <c r="Z851" s="38"/>
      <c r="AA851" s="10"/>
      <c r="AB851" s="39"/>
      <c r="AC851" s="33">
        <f>(B851*122.58+C851*297.941+D851*89.177+E851*40.302+F851*40+G851*160+H851*0+I851*100+J851*300)/(122.58+297.941+89.177+40.302+0+40+160+100+300)</f>
        <v>25.939393561043477</v>
      </c>
      <c r="AD851" s="27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25.707148920863307</v>
      </c>
    </row>
    <row r="852" spans="1:30" ht="15.75" x14ac:dyDescent="0.25">
      <c r="A852" s="13">
        <v>67206</v>
      </c>
      <c r="B852" s="10">
        <f>CHOOSE(CONTROL!$C$42, 27.7165, 27.7165) * CHOOSE(CONTROL!$C$21, $C$9, 100%, $E$9)</f>
        <v>27.7165</v>
      </c>
      <c r="C852" s="10">
        <f>CHOOSE(CONTROL!$C$42, 27.7215, 27.7215) * CHOOSE(CONTROL!$C$21, $C$9, 100%, $E$9)</f>
        <v>27.721499999999999</v>
      </c>
      <c r="D852" s="10">
        <f>CHOOSE(CONTROL!$C$42, 27.7459, 27.7459) * CHOOSE(CONTROL!$C$21, $C$9, 100%, $E$9)</f>
        <v>27.745899999999999</v>
      </c>
      <c r="E852" s="10">
        <f>CHOOSE(CONTROL!$C$42, 27.7797, 27.7797) * CHOOSE(CONTROL!$C$21, $C$9, 100%, $E$9)</f>
        <v>27.779699999999998</v>
      </c>
      <c r="F852" s="10">
        <f>CHOOSE(CONTROL!$C$42, 27.6882, 27.6882)*CHOOSE(CONTROL!$C$21, $C$9, 100%, $E$9)</f>
        <v>27.688199999999998</v>
      </c>
      <c r="G852" s="10">
        <f>CHOOSE(CONTROL!$C$42, 27.7052, 27.7052)*CHOOSE(CONTROL!$C$21, $C$9, 100%, $E$9)</f>
        <v>27.705200000000001</v>
      </c>
      <c r="H852" s="10">
        <f>CHOOSE(CONTROL!$C$42, 27.7689, 27.7689) * CHOOSE(CONTROL!$C$21, $C$9, 100%, $E$9)</f>
        <v>27.768899999999999</v>
      </c>
      <c r="I852" s="10">
        <f>CHOOSE(CONTROL!$C$42, 27.7033, 27.7033)* CHOOSE(CONTROL!$C$21, $C$9, 100%, $E$9)</f>
        <v>27.703299999999999</v>
      </c>
      <c r="J852" s="10">
        <f>CHOOSE(CONTROL!$C$42, 27.6812, 27.6812)* CHOOSE(CONTROL!$C$21, $C$9, 100%, $E$9)</f>
        <v>27.6812</v>
      </c>
      <c r="K852" s="10">
        <f>CHOOSE(CONTROL!$C$42, 27.0582, 27.0582) * CHOOSE(CONTROL!$C$21, $C$9, 100%, $E$9)</f>
        <v>27.058199999999999</v>
      </c>
      <c r="L852" s="10">
        <f>CHOOSE(CONTROL!$C$42, 28.3559, 28.3559) * CHOOSE(CONTROL!$C$21, $C$9, 100%, $E$9)</f>
        <v>28.355899999999998</v>
      </c>
      <c r="M852" s="10">
        <f>CHOOSE(CONTROL!$C$42, 27.4156, 27.4156) * CHOOSE(CONTROL!$C$21, $C$9, 100%, $E$9)</f>
        <v>27.415600000000001</v>
      </c>
      <c r="N852" s="10">
        <f>CHOOSE(CONTROL!$C$42, 27.4325, 27.4325) * CHOOSE(CONTROL!$C$21, $C$9, 100%, $E$9)</f>
        <v>27.432500000000001</v>
      </c>
      <c r="O852" s="10">
        <f>CHOOSE(CONTROL!$C$42, 27.5025, 27.5025) * CHOOSE(CONTROL!$C$21, $C$9, 100%, $E$9)</f>
        <v>27.502500000000001</v>
      </c>
      <c r="P852" s="10">
        <f>CHOOSE(CONTROL!$C$42, 27.4376, 27.4376) * CHOOSE(CONTROL!$C$21, $C$9, 100%, $E$9)</f>
        <v>27.4376</v>
      </c>
      <c r="Q852" s="10">
        <f>CHOOSE(CONTROL!$C$42, 28.0978, 28.0978) * CHOOSE(CONTROL!$C$21, $C$9, 100%, $E$9)</f>
        <v>28.097799999999999</v>
      </c>
      <c r="R852" s="10">
        <f>CHOOSE(CONTROL!$C$42, 28.7551, 28.7551) * CHOOSE(CONTROL!$C$21, $C$9, 100%, $E$9)</f>
        <v>28.755099999999999</v>
      </c>
      <c r="S852" s="10">
        <f>CHOOSE(CONTROL!$C$42, 26.9134, 26.9134) * CHOOSE(CONTROL!$C$21, $C$9, 100%, $E$9)</f>
        <v>26.913399999999999</v>
      </c>
      <c r="T8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38">
        <f>(1000*CHOOSE(CONTROL!$C$42, 695, 695)*CHOOSE(CONTROL!$C$42, 0.5599, 0.5599)*CHOOSE(CONTROL!$C$42, 31, 31))/1000000</f>
        <v>12.063045499999998</v>
      </c>
      <c r="V852" s="38">
        <f>(1000*CHOOSE(CONTROL!$C$42, 500, 500)*CHOOSE(CONTROL!$C$42, 0.275, 0.275)*CHOOSE(CONTROL!$C$42, 31, 31))/1000000</f>
        <v>4.2625000000000002</v>
      </c>
      <c r="W852" s="38">
        <f>(1000*CHOOSE(CONTROL!$C$42, 0.1146, 0.1146)*CHOOSE(CONTROL!$C$42, 121.5, 121.5)*CHOOSE(CONTROL!$C$42, 31, 31))/1000000</f>
        <v>0.43164089999999994</v>
      </c>
      <c r="X852" s="38">
        <f>(31*0.1790888*100000/1000000)+(31*0.2374*100000/1000000)</f>
        <v>1.2911152800000001</v>
      </c>
      <c r="Y852" s="38">
        <f>(1000*600*CHOOSE(CONTROL!$C$42, 1.0585, 1.0585)*CHOOSE(CONTROL!$C$42, 31, 31))/1000000</f>
        <v>19.688099999999999</v>
      </c>
      <c r="Z852" s="38"/>
      <c r="AA852" s="10"/>
      <c r="AB852" s="39"/>
      <c r="AC852" s="33">
        <f>(B852*122.58+C852*297.941+D852*89.177+E852*40.302+F852*40+G852*160+H852*0+I852*100+J852*300)/(122.58+297.941+89.177+40.302+0+40+160+100+300)</f>
        <v>27.70937703930435</v>
      </c>
      <c r="AD852" s="27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27.459124460431653</v>
      </c>
    </row>
    <row r="853" spans="1:30" ht="15.75" x14ac:dyDescent="0.25">
      <c r="A853" s="13">
        <v>67237</v>
      </c>
      <c r="B853" s="10">
        <f>CHOOSE(CONTROL!$C$42, 29.587, 29.587) * CHOOSE(CONTROL!$C$21, $C$9, 100%, $E$9)</f>
        <v>29.587</v>
      </c>
      <c r="C853" s="10">
        <f>CHOOSE(CONTROL!$C$42, 29.592, 29.592) * CHOOSE(CONTROL!$C$21, $C$9, 100%, $E$9)</f>
        <v>29.591999999999999</v>
      </c>
      <c r="D853" s="10">
        <f>CHOOSE(CONTROL!$C$42, 29.6165, 29.6165) * CHOOSE(CONTROL!$C$21, $C$9, 100%, $E$9)</f>
        <v>29.616499999999998</v>
      </c>
      <c r="E853" s="10">
        <f>CHOOSE(CONTROL!$C$42, 29.6502, 29.6502) * CHOOSE(CONTROL!$C$21, $C$9, 100%, $E$9)</f>
        <v>29.650200000000002</v>
      </c>
      <c r="F853" s="10">
        <f>CHOOSE(CONTROL!$C$42, 29.57, 29.57)*CHOOSE(CONTROL!$C$21, $C$9, 100%, $E$9)</f>
        <v>29.57</v>
      </c>
      <c r="G853" s="10">
        <f>CHOOSE(CONTROL!$C$42, 29.5886, 29.5886)*CHOOSE(CONTROL!$C$21, $C$9, 100%, $E$9)</f>
        <v>29.5886</v>
      </c>
      <c r="H853" s="10">
        <f>CHOOSE(CONTROL!$C$42, 29.6394, 29.6394) * CHOOSE(CONTROL!$C$21, $C$9, 100%, $E$9)</f>
        <v>29.639399999999998</v>
      </c>
      <c r="I853" s="10">
        <f>CHOOSE(CONTROL!$C$42, 29.5815, 29.5815)* CHOOSE(CONTROL!$C$21, $C$9, 100%, $E$9)</f>
        <v>29.581499999999998</v>
      </c>
      <c r="J853" s="10">
        <f>CHOOSE(CONTROL!$C$42, 29.563, 29.563)* CHOOSE(CONTROL!$C$21, $C$9, 100%, $E$9)</f>
        <v>29.562999999999999</v>
      </c>
      <c r="K853" s="10">
        <f>CHOOSE(CONTROL!$C$42, 28.8965, 28.8965) * CHOOSE(CONTROL!$C$21, $C$9, 100%, $E$9)</f>
        <v>28.8965</v>
      </c>
      <c r="L853" s="10">
        <f>CHOOSE(CONTROL!$C$42, 30.2264, 30.2264) * CHOOSE(CONTROL!$C$21, $C$9, 100%, $E$9)</f>
        <v>30.226400000000002</v>
      </c>
      <c r="M853" s="10">
        <f>CHOOSE(CONTROL!$C$42, 29.2785, 29.2785) * CHOOSE(CONTROL!$C$21, $C$9, 100%, $E$9)</f>
        <v>29.278500000000001</v>
      </c>
      <c r="N853" s="10">
        <f>CHOOSE(CONTROL!$C$42, 29.2969, 29.2969) * CHOOSE(CONTROL!$C$21, $C$9, 100%, $E$9)</f>
        <v>29.296900000000001</v>
      </c>
      <c r="O853" s="10">
        <f>CHOOSE(CONTROL!$C$42, 29.3541, 29.3541) * CHOOSE(CONTROL!$C$21, $C$9, 100%, $E$9)</f>
        <v>29.354099999999999</v>
      </c>
      <c r="P853" s="10">
        <f>CHOOSE(CONTROL!$C$42, 29.2969, 29.2969) * CHOOSE(CONTROL!$C$21, $C$9, 100%, $E$9)</f>
        <v>29.296900000000001</v>
      </c>
      <c r="Q853" s="10">
        <f>CHOOSE(CONTROL!$C$42, 29.9494, 29.9494) * CHOOSE(CONTROL!$C$21, $C$9, 100%, $E$9)</f>
        <v>29.949400000000001</v>
      </c>
      <c r="R853" s="10">
        <f>CHOOSE(CONTROL!$C$42, 30.6113, 30.6113) * CHOOSE(CONTROL!$C$21, $C$9, 100%, $E$9)</f>
        <v>30.6113</v>
      </c>
      <c r="S853" s="10">
        <f>CHOOSE(CONTROL!$C$42, 28.7298, 28.7298) * CHOOSE(CONTROL!$C$21, $C$9, 100%, $E$9)</f>
        <v>28.729800000000001</v>
      </c>
      <c r="T8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38">
        <f>(1000*CHOOSE(CONTROL!$C$42, 695, 695)*CHOOSE(CONTROL!$C$42, 0.5599, 0.5599)*CHOOSE(CONTROL!$C$42, 31, 31))/1000000</f>
        <v>12.063045499999998</v>
      </c>
      <c r="V853" s="38">
        <f>(1000*CHOOSE(CONTROL!$C$42, 500, 500)*CHOOSE(CONTROL!$C$42, 0.275, 0.275)*CHOOSE(CONTROL!$C$42, 31, 31))/1000000</f>
        <v>4.2625000000000002</v>
      </c>
      <c r="W853" s="38">
        <f>(1000*CHOOSE(CONTROL!$C$42, 0.1146, 0.1146)*CHOOSE(CONTROL!$C$42, 121.5, 121.5)*CHOOSE(CONTROL!$C$42, 31, 31))/1000000</f>
        <v>0.43164089999999994</v>
      </c>
      <c r="X853" s="38">
        <f>(31*0.1790888*100000/1000000)+(31*0.2374*100000/1000000)</f>
        <v>1.2911152800000001</v>
      </c>
      <c r="Y853" s="38">
        <f>(1000*600*CHOOSE(CONTROL!$C$42, 1.0585, 1.0585)*CHOOSE(CONTROL!$C$42, 31, 31))/1000000</f>
        <v>19.688099999999999</v>
      </c>
      <c r="Z853" s="38"/>
      <c r="AA853" s="10"/>
      <c r="AB853" s="39"/>
      <c r="AC853" s="33">
        <f>(B853*122.58+C853*297.941+D853*89.177+E853*40.302+F853*40+G853*160+H853*0+I853*100+J853*300)/(122.58+297.941+89.177+40.302+0+40+160+100+300)</f>
        <v>29.585690011217395</v>
      </c>
      <c r="AD853" s="27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29.31647122302158</v>
      </c>
    </row>
    <row r="854" spans="1:30" ht="15.75" x14ac:dyDescent="0.25">
      <c r="A854" s="13">
        <v>67266</v>
      </c>
      <c r="B854" s="10">
        <f>CHOOSE(CONTROL!$C$42, 30.1137, 30.1137) * CHOOSE(CONTROL!$C$21, $C$9, 100%, $E$9)</f>
        <v>30.113700000000001</v>
      </c>
      <c r="C854" s="10">
        <f>CHOOSE(CONTROL!$C$42, 30.1186, 30.1186) * CHOOSE(CONTROL!$C$21, $C$9, 100%, $E$9)</f>
        <v>30.118600000000001</v>
      </c>
      <c r="D854" s="10">
        <f>CHOOSE(CONTROL!$C$42, 30.1431, 30.1431) * CHOOSE(CONTROL!$C$21, $C$9, 100%, $E$9)</f>
        <v>30.1431</v>
      </c>
      <c r="E854" s="10">
        <f>CHOOSE(CONTROL!$C$42, 30.1769, 30.1769) * CHOOSE(CONTROL!$C$21, $C$9, 100%, $E$9)</f>
        <v>30.1769</v>
      </c>
      <c r="F854" s="10">
        <f>CHOOSE(CONTROL!$C$42, 30.0959, 30.0959)*CHOOSE(CONTROL!$C$21, $C$9, 100%, $E$9)</f>
        <v>30.0959</v>
      </c>
      <c r="G854" s="10">
        <f>CHOOSE(CONTROL!$C$42, 30.1144, 30.1144)*CHOOSE(CONTROL!$C$21, $C$9, 100%, $E$9)</f>
        <v>30.1144</v>
      </c>
      <c r="H854" s="10">
        <f>CHOOSE(CONTROL!$C$42, 30.1661, 30.1661) * CHOOSE(CONTROL!$C$21, $C$9, 100%, $E$9)</f>
        <v>30.1661</v>
      </c>
      <c r="I854" s="10">
        <f>CHOOSE(CONTROL!$C$42, 30.1082, 30.1082)* CHOOSE(CONTROL!$C$21, $C$9, 100%, $E$9)</f>
        <v>30.1082</v>
      </c>
      <c r="J854" s="10">
        <f>CHOOSE(CONTROL!$C$42, 30.0889, 30.0889)* CHOOSE(CONTROL!$C$21, $C$9, 100%, $E$9)</f>
        <v>30.088899999999999</v>
      </c>
      <c r="K854" s="10">
        <f>CHOOSE(CONTROL!$C$42, 29.4067, 29.4067) * CHOOSE(CONTROL!$C$21, $C$9, 100%, $E$9)</f>
        <v>29.406700000000001</v>
      </c>
      <c r="L854" s="10">
        <f>CHOOSE(CONTROL!$C$42, 30.7531, 30.7531) * CHOOSE(CONTROL!$C$21, $C$9, 100%, $E$9)</f>
        <v>30.7531</v>
      </c>
      <c r="M854" s="10">
        <f>CHOOSE(CONTROL!$C$42, 29.7991, 29.7991) * CHOOSE(CONTROL!$C$21, $C$9, 100%, $E$9)</f>
        <v>29.799099999999999</v>
      </c>
      <c r="N854" s="10">
        <f>CHOOSE(CONTROL!$C$42, 29.8174, 29.8174) * CHOOSE(CONTROL!$C$21, $C$9, 100%, $E$9)</f>
        <v>29.817399999999999</v>
      </c>
      <c r="O854" s="10">
        <f>CHOOSE(CONTROL!$C$42, 29.8755, 29.8755) * CHOOSE(CONTROL!$C$21, $C$9, 100%, $E$9)</f>
        <v>29.875499999999999</v>
      </c>
      <c r="P854" s="10">
        <f>CHOOSE(CONTROL!$C$42, 29.8182, 29.8182) * CHOOSE(CONTROL!$C$21, $C$9, 100%, $E$9)</f>
        <v>29.818200000000001</v>
      </c>
      <c r="Q854" s="10">
        <f>CHOOSE(CONTROL!$C$42, 30.4708, 30.4708) * CHOOSE(CONTROL!$C$21, $C$9, 100%, $E$9)</f>
        <v>30.470800000000001</v>
      </c>
      <c r="R854" s="10">
        <f>CHOOSE(CONTROL!$C$42, 31.1339, 31.1339) * CHOOSE(CONTROL!$C$21, $C$9, 100%, $E$9)</f>
        <v>31.133900000000001</v>
      </c>
      <c r="S854" s="10">
        <f>CHOOSE(CONTROL!$C$42, 29.2413, 29.2413) * CHOOSE(CONTROL!$C$21, $C$9, 100%, $E$9)</f>
        <v>29.241299999999999</v>
      </c>
      <c r="T85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54" s="38">
        <f>(1000*CHOOSE(CONTROL!$C$42, 695, 695)*CHOOSE(CONTROL!$C$42, 0.5599, 0.5599)*CHOOSE(CONTROL!$C$42, 29, 29))/1000000</f>
        <v>11.284784499999999</v>
      </c>
      <c r="V854" s="38">
        <f>(1000*CHOOSE(CONTROL!$C$42, 500, 500)*CHOOSE(CONTROL!$C$42, 0.275, 0.275)*CHOOSE(CONTROL!$C$42, 29, 29))/1000000</f>
        <v>3.9874999999999998</v>
      </c>
      <c r="W854" s="38">
        <f>(1000*CHOOSE(CONTROL!$C$42, 0.1146, 0.1146)*CHOOSE(CONTROL!$C$42, 121.5, 121.5)*CHOOSE(CONTROL!$C$42, 29, 29))/1000000</f>
        <v>0.40379309999999996</v>
      </c>
      <c r="X854" s="38">
        <f>(29*0.1790888*100000/1000000)+(29*0.2374*100000/1000000)</f>
        <v>1.2078175199999999</v>
      </c>
      <c r="Y854" s="38">
        <f>(1000*600*CHOOSE(CONTROL!$C$42, 1.0585, 1.0585)*CHOOSE(CONTROL!$C$42, 29, 29))/1000000</f>
        <v>18.417899999999999</v>
      </c>
      <c r="Z854" s="38"/>
      <c r="AA854" s="10"/>
      <c r="AB854" s="39"/>
      <c r="AC854" s="33">
        <f>(B854*122.58+C854*297.941+D854*89.177+E854*40.302+F854*40+G854*160+H854*0+I854*100+J854*300)/(122.58+297.941+89.177+40.302+0+40+160+100+300)</f>
        <v>30.111994609652175</v>
      </c>
      <c r="AD854" s="27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29.837528776978413</v>
      </c>
    </row>
    <row r="855" spans="1:30" ht="15.75" x14ac:dyDescent="0.25">
      <c r="A855" s="13">
        <v>67297</v>
      </c>
      <c r="B855" s="10">
        <f>CHOOSE(CONTROL!$C$42, 29.2588, 29.2588) * CHOOSE(CONTROL!$C$21, $C$9, 100%, $E$9)</f>
        <v>29.258800000000001</v>
      </c>
      <c r="C855" s="10">
        <f>CHOOSE(CONTROL!$C$42, 29.2638, 29.2638) * CHOOSE(CONTROL!$C$21, $C$9, 100%, $E$9)</f>
        <v>29.2638</v>
      </c>
      <c r="D855" s="10">
        <f>CHOOSE(CONTROL!$C$42, 29.2882, 29.2882) * CHOOSE(CONTROL!$C$21, $C$9, 100%, $E$9)</f>
        <v>29.2882</v>
      </c>
      <c r="E855" s="10">
        <f>CHOOSE(CONTROL!$C$42, 29.322, 29.322) * CHOOSE(CONTROL!$C$21, $C$9, 100%, $E$9)</f>
        <v>29.321999999999999</v>
      </c>
      <c r="F855" s="10">
        <f>CHOOSE(CONTROL!$C$42, 29.2395, 29.2395)*CHOOSE(CONTROL!$C$21, $C$9, 100%, $E$9)</f>
        <v>29.2395</v>
      </c>
      <c r="G855" s="10">
        <f>CHOOSE(CONTROL!$C$42, 29.2576, 29.2576)*CHOOSE(CONTROL!$C$21, $C$9, 100%, $E$9)</f>
        <v>29.2576</v>
      </c>
      <c r="H855" s="10">
        <f>CHOOSE(CONTROL!$C$42, 29.3112, 29.3112) * CHOOSE(CONTROL!$C$21, $C$9, 100%, $E$9)</f>
        <v>29.311199999999999</v>
      </c>
      <c r="I855" s="10">
        <f>CHOOSE(CONTROL!$C$42, 29.2533, 29.2533)* CHOOSE(CONTROL!$C$21, $C$9, 100%, $E$9)</f>
        <v>29.253299999999999</v>
      </c>
      <c r="J855" s="10">
        <f>CHOOSE(CONTROL!$C$42, 29.2325, 29.2325)* CHOOSE(CONTROL!$C$21, $C$9, 100%, $E$9)</f>
        <v>29.232500000000002</v>
      </c>
      <c r="K855" s="10">
        <f>CHOOSE(CONTROL!$C$42, 28.5728, 28.5728) * CHOOSE(CONTROL!$C$21, $C$9, 100%, $E$9)</f>
        <v>28.572800000000001</v>
      </c>
      <c r="L855" s="10">
        <f>CHOOSE(CONTROL!$C$42, 29.8982, 29.8982) * CHOOSE(CONTROL!$C$21, $C$9, 100%, $E$9)</f>
        <v>29.898199999999999</v>
      </c>
      <c r="M855" s="10">
        <f>CHOOSE(CONTROL!$C$42, 28.9514, 28.9514) * CHOOSE(CONTROL!$C$21, $C$9, 100%, $E$9)</f>
        <v>28.9514</v>
      </c>
      <c r="N855" s="10">
        <f>CHOOSE(CONTROL!$C$42, 28.9693, 28.9693) * CHOOSE(CONTROL!$C$21, $C$9, 100%, $E$9)</f>
        <v>28.9693</v>
      </c>
      <c r="O855" s="10">
        <f>CHOOSE(CONTROL!$C$42, 29.0292, 29.0292) * CHOOSE(CONTROL!$C$21, $C$9, 100%, $E$9)</f>
        <v>29.029199999999999</v>
      </c>
      <c r="P855" s="10">
        <f>CHOOSE(CONTROL!$C$42, 28.972, 28.972) * CHOOSE(CONTROL!$C$21, $C$9, 100%, $E$9)</f>
        <v>28.972000000000001</v>
      </c>
      <c r="Q855" s="10">
        <f>CHOOSE(CONTROL!$C$42, 29.6245, 29.6245) * CHOOSE(CONTROL!$C$21, $C$9, 100%, $E$9)</f>
        <v>29.624500000000001</v>
      </c>
      <c r="R855" s="10">
        <f>CHOOSE(CONTROL!$C$42, 30.2856, 30.2856) * CHOOSE(CONTROL!$C$21, $C$9, 100%, $E$9)</f>
        <v>30.285599999999999</v>
      </c>
      <c r="S855" s="10">
        <f>CHOOSE(CONTROL!$C$42, 28.4111, 28.4111) * CHOOSE(CONTROL!$C$21, $C$9, 100%, $E$9)</f>
        <v>28.411100000000001</v>
      </c>
      <c r="T8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38">
        <f>(1000*CHOOSE(CONTROL!$C$42, 695, 695)*CHOOSE(CONTROL!$C$42, 0.5599, 0.5599)*CHOOSE(CONTROL!$C$42, 31, 31))/1000000</f>
        <v>12.063045499999998</v>
      </c>
      <c r="V855" s="38">
        <f>(1000*CHOOSE(CONTROL!$C$42, 500, 500)*CHOOSE(CONTROL!$C$42, 0.275, 0.275)*CHOOSE(CONTROL!$C$42, 31, 31))/1000000</f>
        <v>4.2625000000000002</v>
      </c>
      <c r="W855" s="38">
        <f>(1000*CHOOSE(CONTROL!$C$42, 0.1146, 0.1146)*CHOOSE(CONTROL!$C$42, 121.5, 121.5)*CHOOSE(CONTROL!$C$42, 31, 31))/1000000</f>
        <v>0.43164089999999994</v>
      </c>
      <c r="X855" s="38">
        <f>(31*0.1790888*100000/1000000)+(31*0.2374*100000/1000000)</f>
        <v>1.2911152800000001</v>
      </c>
      <c r="Y855" s="38">
        <f>(1000*600*CHOOSE(CONTROL!$C$42, 1.0585, 1.0585)*CHOOSE(CONTROL!$C$42, 31, 31))/1000000</f>
        <v>19.688099999999999</v>
      </c>
      <c r="Z855" s="38"/>
      <c r="AA855" s="10"/>
      <c r="AB855" s="39"/>
      <c r="AC855" s="33">
        <f>(B855*122.58+C855*297.941+D855*89.177+E855*40.302+F855*40+G855*160+H855*0+I855*100+J855*300)/(122.58+297.941+89.177+40.302+0+40+160+100+300)</f>
        <v>29.256412691478264</v>
      </c>
      <c r="AD855" s="27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28.990656115107914</v>
      </c>
    </row>
    <row r="856" spans="1:30" ht="15.75" x14ac:dyDescent="0.25">
      <c r="A856" s="13">
        <v>67327</v>
      </c>
      <c r="B856" s="10">
        <f>CHOOSE(CONTROL!$C$42, 29.172, 29.172) * CHOOSE(CONTROL!$C$21, $C$9, 100%, $E$9)</f>
        <v>29.172000000000001</v>
      </c>
      <c r="C856" s="10">
        <f>CHOOSE(CONTROL!$C$42, 29.1764, 29.1764) * CHOOSE(CONTROL!$C$21, $C$9, 100%, $E$9)</f>
        <v>29.176400000000001</v>
      </c>
      <c r="D856" s="10">
        <f>CHOOSE(CONTROL!$C$42, 29.3565, 29.3565) * CHOOSE(CONTROL!$C$21, $C$9, 100%, $E$9)</f>
        <v>29.3565</v>
      </c>
      <c r="E856" s="10">
        <f>CHOOSE(CONTROL!$C$42, 29.3883, 29.3883) * CHOOSE(CONTROL!$C$21, $C$9, 100%, $E$9)</f>
        <v>29.388300000000001</v>
      </c>
      <c r="F856" s="10">
        <f>CHOOSE(CONTROL!$C$42, 29.1373, 29.1373)*CHOOSE(CONTROL!$C$21, $C$9, 100%, $E$9)</f>
        <v>29.1373</v>
      </c>
      <c r="G856" s="10">
        <f>CHOOSE(CONTROL!$C$42, 29.1536, 29.1536)*CHOOSE(CONTROL!$C$21, $C$9, 100%, $E$9)</f>
        <v>29.153600000000001</v>
      </c>
      <c r="H856" s="10">
        <f>CHOOSE(CONTROL!$C$42, 29.3781, 29.3781) * CHOOSE(CONTROL!$C$21, $C$9, 100%, $E$9)</f>
        <v>29.3781</v>
      </c>
      <c r="I856" s="10">
        <f>CHOOSE(CONTROL!$C$42, 29.158, 29.158)* CHOOSE(CONTROL!$C$21, $C$9, 100%, $E$9)</f>
        <v>29.158000000000001</v>
      </c>
      <c r="J856" s="10">
        <f>CHOOSE(CONTROL!$C$42, 29.1303, 29.1303)* CHOOSE(CONTROL!$C$21, $C$9, 100%, $E$9)</f>
        <v>29.130299999999998</v>
      </c>
      <c r="K856" s="10">
        <f>CHOOSE(CONTROL!$C$42, 28.4652, 28.4652) * CHOOSE(CONTROL!$C$21, $C$9, 100%, $E$9)</f>
        <v>28.465199999999999</v>
      </c>
      <c r="L856" s="10">
        <f>CHOOSE(CONTROL!$C$42, 29.9651, 29.9651) * CHOOSE(CONTROL!$C$21, $C$9, 100%, $E$9)</f>
        <v>29.9651</v>
      </c>
      <c r="M856" s="10">
        <f>CHOOSE(CONTROL!$C$42, 28.8502, 28.8502) * CHOOSE(CONTROL!$C$21, $C$9, 100%, $E$9)</f>
        <v>28.850200000000001</v>
      </c>
      <c r="N856" s="10">
        <f>CHOOSE(CONTROL!$C$42, 28.8663, 28.8663) * CHOOSE(CONTROL!$C$21, $C$9, 100%, $E$9)</f>
        <v>28.866299999999999</v>
      </c>
      <c r="O856" s="10">
        <f>CHOOSE(CONTROL!$C$42, 29.0954, 29.0954) * CHOOSE(CONTROL!$C$21, $C$9, 100%, $E$9)</f>
        <v>29.095400000000001</v>
      </c>
      <c r="P856" s="10">
        <f>CHOOSE(CONTROL!$C$42, 28.8776, 28.8776) * CHOOSE(CONTROL!$C$21, $C$9, 100%, $E$9)</f>
        <v>28.877600000000001</v>
      </c>
      <c r="Q856" s="10">
        <f>CHOOSE(CONTROL!$C$42, 29.6907, 29.6907) * CHOOSE(CONTROL!$C$21, $C$9, 100%, $E$9)</f>
        <v>29.6907</v>
      </c>
      <c r="R856" s="10">
        <f>CHOOSE(CONTROL!$C$42, 30.3519, 30.3519) * CHOOSE(CONTROL!$C$21, $C$9, 100%, $E$9)</f>
        <v>30.351900000000001</v>
      </c>
      <c r="S856" s="10">
        <f>CHOOSE(CONTROL!$C$42, 28.326, 28.326) * CHOOSE(CONTROL!$C$21, $C$9, 100%, $E$9)</f>
        <v>28.326000000000001</v>
      </c>
      <c r="T8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38">
        <f>(1000*CHOOSE(CONTROL!$C$42, 695, 695)*CHOOSE(CONTROL!$C$42, 0.5599, 0.5599)*CHOOSE(CONTROL!$C$42, 30, 30))/1000000</f>
        <v>11.673914999999997</v>
      </c>
      <c r="V856" s="38">
        <f>(1000*CHOOSE(CONTROL!$C$42, 500, 500)*CHOOSE(CONTROL!$C$42, 0.275, 0.275)*CHOOSE(CONTROL!$C$42, 30, 30))/1000000</f>
        <v>4.125</v>
      </c>
      <c r="W856" s="38">
        <f>(1000*CHOOSE(CONTROL!$C$42, 0.1146, 0.1146)*CHOOSE(CONTROL!$C$42, 121.5, 121.5)*CHOOSE(CONTROL!$C$42, 30, 30))/1000000</f>
        <v>0.417717</v>
      </c>
      <c r="X856" s="38">
        <f>(30*0.1790888*245000/1000000)+(30*0.2374*100000/1000000)</f>
        <v>2.0285026799999999</v>
      </c>
      <c r="Y856" s="38">
        <f>(1000*600*CHOOSE(CONTROL!$C$42, 1.0585, 1.0585)*CHOOSE(CONTROL!$C$42, 30, 30))/1000000</f>
        <v>19.053000000000001</v>
      </c>
      <c r="Z856" s="38"/>
      <c r="AA856" s="10"/>
      <c r="AB856" s="39"/>
      <c r="AC856" s="33">
        <f>(B856*141.293+C856*267.993+D856*115.016+E856*89.698+F856*40+G856*185+H856*0+I856*100+J856*300)/(141.293+267.993+115.016+89.698+0+40+185+100+300)</f>
        <v>29.190643501694915</v>
      </c>
      <c r="AD856" s="27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28.96620287769785</v>
      </c>
    </row>
    <row r="857" spans="1:30" ht="15.75" x14ac:dyDescent="0.25">
      <c r="A857" s="13">
        <v>67358</v>
      </c>
      <c r="B857" s="10">
        <f>CHOOSE(CONTROL!$C$42, 29.4312, 29.4312) * CHOOSE(CONTROL!$C$21, $C$9, 100%, $E$9)</f>
        <v>29.4312</v>
      </c>
      <c r="C857" s="10">
        <f>CHOOSE(CONTROL!$C$42, 29.4391, 29.4391) * CHOOSE(CONTROL!$C$21, $C$9, 100%, $E$9)</f>
        <v>29.4391</v>
      </c>
      <c r="D857" s="10">
        <f>CHOOSE(CONTROL!$C$42, 29.6161, 29.6161) * CHOOSE(CONTROL!$C$21, $C$9, 100%, $E$9)</f>
        <v>29.616099999999999</v>
      </c>
      <c r="E857" s="10">
        <f>CHOOSE(CONTROL!$C$42, 29.6473, 29.6473) * CHOOSE(CONTROL!$C$21, $C$9, 100%, $E$9)</f>
        <v>29.647300000000001</v>
      </c>
      <c r="F857" s="10">
        <f>CHOOSE(CONTROL!$C$42, 29.3946, 29.3946)*CHOOSE(CONTROL!$C$21, $C$9, 100%, $E$9)</f>
        <v>29.394600000000001</v>
      </c>
      <c r="G857" s="10">
        <f>CHOOSE(CONTROL!$C$42, 29.4111, 29.4111)*CHOOSE(CONTROL!$C$21, $C$9, 100%, $E$9)</f>
        <v>29.411100000000001</v>
      </c>
      <c r="H857" s="10">
        <f>CHOOSE(CONTROL!$C$42, 29.6359, 29.6359) * CHOOSE(CONTROL!$C$21, $C$9, 100%, $E$9)</f>
        <v>29.635899999999999</v>
      </c>
      <c r="I857" s="10">
        <f>CHOOSE(CONTROL!$C$42, 29.4158, 29.4158)* CHOOSE(CONTROL!$C$21, $C$9, 100%, $E$9)</f>
        <v>29.415800000000001</v>
      </c>
      <c r="J857" s="10">
        <f>CHOOSE(CONTROL!$C$42, 29.3876, 29.3876)* CHOOSE(CONTROL!$C$21, $C$9, 100%, $E$9)</f>
        <v>29.387599999999999</v>
      </c>
      <c r="K857" s="10">
        <f>CHOOSE(CONTROL!$C$42, 28.7144, 28.7144) * CHOOSE(CONTROL!$C$21, $C$9, 100%, $E$9)</f>
        <v>28.714400000000001</v>
      </c>
      <c r="L857" s="10">
        <f>CHOOSE(CONTROL!$C$42, 30.2229, 30.2229) * CHOOSE(CONTROL!$C$21, $C$9, 100%, $E$9)</f>
        <v>30.222899999999999</v>
      </c>
      <c r="M857" s="10">
        <f>CHOOSE(CONTROL!$C$42, 29.1048, 29.1048) * CHOOSE(CONTROL!$C$21, $C$9, 100%, $E$9)</f>
        <v>29.104800000000001</v>
      </c>
      <c r="N857" s="10">
        <f>CHOOSE(CONTROL!$C$42, 29.1212, 29.1212) * CHOOSE(CONTROL!$C$21, $C$9, 100%, $E$9)</f>
        <v>29.121200000000002</v>
      </c>
      <c r="O857" s="10">
        <f>CHOOSE(CONTROL!$C$42, 29.3507, 29.3507) * CHOOSE(CONTROL!$C$21, $C$9, 100%, $E$9)</f>
        <v>29.3507</v>
      </c>
      <c r="P857" s="10">
        <f>CHOOSE(CONTROL!$C$42, 29.1328, 29.1328) * CHOOSE(CONTROL!$C$21, $C$9, 100%, $E$9)</f>
        <v>29.1328</v>
      </c>
      <c r="Q857" s="10">
        <f>CHOOSE(CONTROL!$C$42, 29.946, 29.946) * CHOOSE(CONTROL!$C$21, $C$9, 100%, $E$9)</f>
        <v>29.946000000000002</v>
      </c>
      <c r="R857" s="10">
        <f>CHOOSE(CONTROL!$C$42, 30.6078, 30.6078) * CHOOSE(CONTROL!$C$21, $C$9, 100%, $E$9)</f>
        <v>30.607800000000001</v>
      </c>
      <c r="S857" s="10">
        <f>CHOOSE(CONTROL!$C$42, 28.5764, 28.5764) * CHOOSE(CONTROL!$C$21, $C$9, 100%, $E$9)</f>
        <v>28.5764</v>
      </c>
      <c r="T8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38">
        <f>(1000*CHOOSE(CONTROL!$C$42, 695, 695)*CHOOSE(CONTROL!$C$42, 0.5599, 0.5599)*CHOOSE(CONTROL!$C$42, 31, 31))/1000000</f>
        <v>12.063045499999998</v>
      </c>
      <c r="V857" s="38">
        <f>(1000*CHOOSE(CONTROL!$C$42, 500, 500)*CHOOSE(CONTROL!$C$42, 0.275, 0.275)*CHOOSE(CONTROL!$C$42, 31, 31))/1000000</f>
        <v>4.2625000000000002</v>
      </c>
      <c r="W857" s="38">
        <f>(1000*CHOOSE(CONTROL!$C$42, 0.1146, 0.1146)*CHOOSE(CONTROL!$C$42, 121.5, 121.5)*CHOOSE(CONTROL!$C$42, 31, 31))/1000000</f>
        <v>0.43164089999999994</v>
      </c>
      <c r="X857" s="38">
        <f>(31*0.1790888*245000/1000000)+(31*0.2374*100000/1000000)</f>
        <v>2.0961194359999999</v>
      </c>
      <c r="Y857" s="38">
        <f>(1000*600*CHOOSE(CONTROL!$C$42, 1.0585, 1.0585)*CHOOSE(CONTROL!$C$42, 31, 31))/1000000</f>
        <v>19.688099999999999</v>
      </c>
      <c r="Z857" s="38"/>
      <c r="AA857" s="10"/>
      <c r="AB857" s="39"/>
      <c r="AC857" s="33">
        <f>(B857*194.205+C857*267.466+D857*133.845+E857*53.484+F857*40+G857*185+H857*0+I857*100+J857*300)/(194.205+267.466+133.845+53.484+0+40+185+100+300)</f>
        <v>29.445812491601256</v>
      </c>
      <c r="AD857" s="27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29.22122374100719</v>
      </c>
    </row>
    <row r="858" spans="1:30" ht="15.75" x14ac:dyDescent="0.25">
      <c r="A858" s="13">
        <v>67388</v>
      </c>
      <c r="B858" s="10">
        <f>CHOOSE(CONTROL!$C$42, 30.2659, 30.2659) * CHOOSE(CONTROL!$C$21, $C$9, 100%, $E$9)</f>
        <v>30.265899999999998</v>
      </c>
      <c r="C858" s="10">
        <f>CHOOSE(CONTROL!$C$42, 30.2738, 30.2738) * CHOOSE(CONTROL!$C$21, $C$9, 100%, $E$9)</f>
        <v>30.273800000000001</v>
      </c>
      <c r="D858" s="10">
        <f>CHOOSE(CONTROL!$C$42, 30.4508, 30.4508) * CHOOSE(CONTROL!$C$21, $C$9, 100%, $E$9)</f>
        <v>30.450800000000001</v>
      </c>
      <c r="E858" s="10">
        <f>CHOOSE(CONTROL!$C$42, 30.482, 30.482) * CHOOSE(CONTROL!$C$21, $C$9, 100%, $E$9)</f>
        <v>30.481999999999999</v>
      </c>
      <c r="F858" s="10">
        <f>CHOOSE(CONTROL!$C$42, 30.2295, 30.2295)*CHOOSE(CONTROL!$C$21, $C$9, 100%, $E$9)</f>
        <v>30.229500000000002</v>
      </c>
      <c r="G858" s="10">
        <f>CHOOSE(CONTROL!$C$42, 30.246, 30.246)*CHOOSE(CONTROL!$C$21, $C$9, 100%, $E$9)</f>
        <v>30.245999999999999</v>
      </c>
      <c r="H858" s="10">
        <f>CHOOSE(CONTROL!$C$42, 30.4706, 30.4706) * CHOOSE(CONTROL!$C$21, $C$9, 100%, $E$9)</f>
        <v>30.470600000000001</v>
      </c>
      <c r="I858" s="10">
        <f>CHOOSE(CONTROL!$C$42, 30.2505, 30.2505)* CHOOSE(CONTROL!$C$21, $C$9, 100%, $E$9)</f>
        <v>30.250499999999999</v>
      </c>
      <c r="J858" s="10">
        <f>CHOOSE(CONTROL!$C$42, 30.2225, 30.2225)* CHOOSE(CONTROL!$C$21, $C$9, 100%, $E$9)</f>
        <v>30.2225</v>
      </c>
      <c r="K858" s="10">
        <f>CHOOSE(CONTROL!$C$42, 29.5258, 29.5258) * CHOOSE(CONTROL!$C$21, $C$9, 100%, $E$9)</f>
        <v>29.5258</v>
      </c>
      <c r="L858" s="10">
        <f>CHOOSE(CONTROL!$C$42, 31.0576, 31.0576) * CHOOSE(CONTROL!$C$21, $C$9, 100%, $E$9)</f>
        <v>31.057600000000001</v>
      </c>
      <c r="M858" s="10">
        <f>CHOOSE(CONTROL!$C$42, 29.9313, 29.9313) * CHOOSE(CONTROL!$C$21, $C$9, 100%, $E$9)</f>
        <v>29.9313</v>
      </c>
      <c r="N858" s="10">
        <f>CHOOSE(CONTROL!$C$42, 29.9477, 29.9477) * CHOOSE(CONTROL!$C$21, $C$9, 100%, $E$9)</f>
        <v>29.947700000000001</v>
      </c>
      <c r="O858" s="10">
        <f>CHOOSE(CONTROL!$C$42, 30.1769, 30.1769) * CHOOSE(CONTROL!$C$21, $C$9, 100%, $E$9)</f>
        <v>30.1769</v>
      </c>
      <c r="P858" s="10">
        <f>CHOOSE(CONTROL!$C$42, 29.9591, 29.9591) * CHOOSE(CONTROL!$C$21, $C$9, 100%, $E$9)</f>
        <v>29.959099999999999</v>
      </c>
      <c r="Q858" s="10">
        <f>CHOOSE(CONTROL!$C$42, 30.7722, 30.7722) * CHOOSE(CONTROL!$C$21, $C$9, 100%, $E$9)</f>
        <v>30.772200000000002</v>
      </c>
      <c r="R858" s="10">
        <f>CHOOSE(CONTROL!$C$42, 31.4362, 31.4362) * CHOOSE(CONTROL!$C$21, $C$9, 100%, $E$9)</f>
        <v>31.436199999999999</v>
      </c>
      <c r="S858" s="10">
        <f>CHOOSE(CONTROL!$C$42, 29.387, 29.387) * CHOOSE(CONTROL!$C$21, $C$9, 100%, $E$9)</f>
        <v>29.387</v>
      </c>
      <c r="T8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38">
        <f>(1000*CHOOSE(CONTROL!$C$42, 695, 695)*CHOOSE(CONTROL!$C$42, 0.5599, 0.5599)*CHOOSE(CONTROL!$C$42, 30, 30))/1000000</f>
        <v>11.673914999999997</v>
      </c>
      <c r="V858" s="38">
        <f>(1000*CHOOSE(CONTROL!$C$42, 500, 500)*CHOOSE(CONTROL!$C$42, 0.275, 0.275)*CHOOSE(CONTROL!$C$42, 30, 30))/1000000</f>
        <v>4.125</v>
      </c>
      <c r="W858" s="38">
        <f>(1000*CHOOSE(CONTROL!$C$42, 0.1146, 0.1146)*CHOOSE(CONTROL!$C$42, 121.5, 121.5)*CHOOSE(CONTROL!$C$42, 30, 30))/1000000</f>
        <v>0.417717</v>
      </c>
      <c r="X858" s="38">
        <f>(30*0.1790888*245000/1000000)+(30*0.2374*100000/1000000)</f>
        <v>2.0285026799999999</v>
      </c>
      <c r="Y858" s="38">
        <f>(1000*600*CHOOSE(CONTROL!$C$42, 1.0585, 1.0585)*CHOOSE(CONTROL!$C$42, 30, 30))/1000000</f>
        <v>19.053000000000001</v>
      </c>
      <c r="Z858" s="38"/>
      <c r="AA858" s="10"/>
      <c r="AB858" s="39"/>
      <c r="AC858" s="33">
        <f>(B858*194.205+C858*267.466+D858*133.845+E858*53.484+F858*40+G858*185+H858*0+I858*100+J858*300)/(194.205+267.466+133.845+53.484+0+40+185+100+300)</f>
        <v>30.280594909183673</v>
      </c>
      <c r="AD858" s="27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30.047558992805754</v>
      </c>
    </row>
    <row r="859" spans="1:30" ht="15.75" x14ac:dyDescent="0.25">
      <c r="A859" s="13">
        <v>67419</v>
      </c>
      <c r="B859" s="10">
        <f>CHOOSE(CONTROL!$C$42, 29.6854, 29.6854) * CHOOSE(CONTROL!$C$21, $C$9, 100%, $E$9)</f>
        <v>29.685400000000001</v>
      </c>
      <c r="C859" s="10">
        <f>CHOOSE(CONTROL!$C$42, 29.6933, 29.6933) * CHOOSE(CONTROL!$C$21, $C$9, 100%, $E$9)</f>
        <v>29.693300000000001</v>
      </c>
      <c r="D859" s="10">
        <f>CHOOSE(CONTROL!$C$42, 29.8703, 29.8703) * CHOOSE(CONTROL!$C$21, $C$9, 100%, $E$9)</f>
        <v>29.8703</v>
      </c>
      <c r="E859" s="10">
        <f>CHOOSE(CONTROL!$C$42, 29.9014, 29.9014) * CHOOSE(CONTROL!$C$21, $C$9, 100%, $E$9)</f>
        <v>29.901399999999999</v>
      </c>
      <c r="F859" s="10">
        <f>CHOOSE(CONTROL!$C$42, 29.6492, 29.6492)*CHOOSE(CONTROL!$C$21, $C$9, 100%, $E$9)</f>
        <v>29.6492</v>
      </c>
      <c r="G859" s="10">
        <f>CHOOSE(CONTROL!$C$42, 29.6658, 29.6658)*CHOOSE(CONTROL!$C$21, $C$9, 100%, $E$9)</f>
        <v>29.665800000000001</v>
      </c>
      <c r="H859" s="10">
        <f>CHOOSE(CONTROL!$C$42, 29.8901, 29.8901) * CHOOSE(CONTROL!$C$21, $C$9, 100%, $E$9)</f>
        <v>29.8901</v>
      </c>
      <c r="I859" s="10">
        <f>CHOOSE(CONTROL!$C$42, 29.67, 29.67)* CHOOSE(CONTROL!$C$21, $C$9, 100%, $E$9)</f>
        <v>29.67</v>
      </c>
      <c r="J859" s="10">
        <f>CHOOSE(CONTROL!$C$42, 29.6422, 29.6422)* CHOOSE(CONTROL!$C$21, $C$9, 100%, $E$9)</f>
        <v>29.642199999999999</v>
      </c>
      <c r="K859" s="10">
        <f>CHOOSE(CONTROL!$C$42, 28.9623, 28.9623) * CHOOSE(CONTROL!$C$21, $C$9, 100%, $E$9)</f>
        <v>28.962299999999999</v>
      </c>
      <c r="L859" s="10">
        <f>CHOOSE(CONTROL!$C$42, 30.4771, 30.4771) * CHOOSE(CONTROL!$C$21, $C$9, 100%, $E$9)</f>
        <v>30.4771</v>
      </c>
      <c r="M859" s="10">
        <f>CHOOSE(CONTROL!$C$42, 29.3569, 29.3569) * CHOOSE(CONTROL!$C$21, $C$9, 100%, $E$9)</f>
        <v>29.3569</v>
      </c>
      <c r="N859" s="10">
        <f>CHOOSE(CONTROL!$C$42, 29.3733, 29.3733) * CHOOSE(CONTROL!$C$21, $C$9, 100%, $E$9)</f>
        <v>29.3733</v>
      </c>
      <c r="O859" s="10">
        <f>CHOOSE(CONTROL!$C$42, 29.6022, 29.6022) * CHOOSE(CONTROL!$C$21, $C$9, 100%, $E$9)</f>
        <v>29.6022</v>
      </c>
      <c r="P859" s="10">
        <f>CHOOSE(CONTROL!$C$42, 29.3844, 29.3844) * CHOOSE(CONTROL!$C$21, $C$9, 100%, $E$9)</f>
        <v>29.384399999999999</v>
      </c>
      <c r="Q859" s="10">
        <f>CHOOSE(CONTROL!$C$42, 30.1975, 30.1975) * CHOOSE(CONTROL!$C$21, $C$9, 100%, $E$9)</f>
        <v>30.197500000000002</v>
      </c>
      <c r="R859" s="10">
        <f>CHOOSE(CONTROL!$C$42, 30.86, 30.86) * CHOOSE(CONTROL!$C$21, $C$9, 100%, $E$9)</f>
        <v>30.86</v>
      </c>
      <c r="S859" s="10">
        <f>CHOOSE(CONTROL!$C$42, 28.8232, 28.8232) * CHOOSE(CONTROL!$C$21, $C$9, 100%, $E$9)</f>
        <v>28.8232</v>
      </c>
      <c r="T8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38">
        <f>(1000*CHOOSE(CONTROL!$C$42, 695, 695)*CHOOSE(CONTROL!$C$42, 0.5599, 0.5599)*CHOOSE(CONTROL!$C$42, 31, 31))/1000000</f>
        <v>12.063045499999998</v>
      </c>
      <c r="V859" s="38">
        <f>(1000*CHOOSE(CONTROL!$C$42, 500, 500)*CHOOSE(CONTROL!$C$42, 0.275, 0.275)*CHOOSE(CONTROL!$C$42, 31, 31))/1000000</f>
        <v>4.2625000000000002</v>
      </c>
      <c r="W859" s="38">
        <f>(1000*CHOOSE(CONTROL!$C$42, 0.1146, 0.1146)*CHOOSE(CONTROL!$C$42, 121.5, 121.5)*CHOOSE(CONTROL!$C$42, 31, 31))/1000000</f>
        <v>0.43164089999999994</v>
      </c>
      <c r="X859" s="38">
        <f>(31*0.1790888*245000/1000000)+(31*0.2374*100000/1000000)</f>
        <v>2.0961194359999999</v>
      </c>
      <c r="Y859" s="38">
        <f>(1000*600*CHOOSE(CONTROL!$C$42, 1.0585, 1.0585)*CHOOSE(CONTROL!$C$42, 31, 31))/1000000</f>
        <v>19.688099999999999</v>
      </c>
      <c r="Z859" s="38"/>
      <c r="AA859" s="10"/>
      <c r="AB859" s="39"/>
      <c r="AC859" s="33">
        <f>(B859*194.205+C859*267.466+D859*133.845+E859*53.484+F859*40+G859*185+H859*0+I859*100+J859*300)/(194.205+267.466+133.845+53.484+0+40+185+100+300)</f>
        <v>29.700187649843013</v>
      </c>
      <c r="AD859" s="27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29.472979856115106</v>
      </c>
    </row>
    <row r="860" spans="1:30" ht="15.75" x14ac:dyDescent="0.25">
      <c r="A860" s="13">
        <v>67450</v>
      </c>
      <c r="B860" s="10">
        <f>CHOOSE(CONTROL!$C$42, 28.2193, 28.2193) * CHOOSE(CONTROL!$C$21, $C$9, 100%, $E$9)</f>
        <v>28.2193</v>
      </c>
      <c r="C860" s="10">
        <f>CHOOSE(CONTROL!$C$42, 28.2273, 28.2273) * CHOOSE(CONTROL!$C$21, $C$9, 100%, $E$9)</f>
        <v>28.2273</v>
      </c>
      <c r="D860" s="10">
        <f>CHOOSE(CONTROL!$C$42, 28.4042, 28.4042) * CHOOSE(CONTROL!$C$21, $C$9, 100%, $E$9)</f>
        <v>28.404199999999999</v>
      </c>
      <c r="E860" s="10">
        <f>CHOOSE(CONTROL!$C$42, 28.4354, 28.4354) * CHOOSE(CONTROL!$C$21, $C$9, 100%, $E$9)</f>
        <v>28.435400000000001</v>
      </c>
      <c r="F860" s="10">
        <f>CHOOSE(CONTROL!$C$42, 28.1832, 28.1832)*CHOOSE(CONTROL!$C$21, $C$9, 100%, $E$9)</f>
        <v>28.183199999999999</v>
      </c>
      <c r="G860" s="10">
        <f>CHOOSE(CONTROL!$C$42, 28.1998, 28.1998)*CHOOSE(CONTROL!$C$21, $C$9, 100%, $E$9)</f>
        <v>28.1998</v>
      </c>
      <c r="H860" s="10">
        <f>CHOOSE(CONTROL!$C$42, 28.424, 28.424) * CHOOSE(CONTROL!$C$21, $C$9, 100%, $E$9)</f>
        <v>28.423999999999999</v>
      </c>
      <c r="I860" s="10">
        <f>CHOOSE(CONTROL!$C$42, 28.2039, 28.2039)* CHOOSE(CONTROL!$C$21, $C$9, 100%, $E$9)</f>
        <v>28.203900000000001</v>
      </c>
      <c r="J860" s="10">
        <f>CHOOSE(CONTROL!$C$42, 28.1762, 28.1762)* CHOOSE(CONTROL!$C$21, $C$9, 100%, $E$9)</f>
        <v>28.176200000000001</v>
      </c>
      <c r="K860" s="10">
        <f>CHOOSE(CONTROL!$C$42, 27.538, 27.538) * CHOOSE(CONTROL!$C$21, $C$9, 100%, $E$9)</f>
        <v>27.538</v>
      </c>
      <c r="L860" s="10">
        <f>CHOOSE(CONTROL!$C$42, 29.011, 29.011) * CHOOSE(CONTROL!$C$21, $C$9, 100%, $E$9)</f>
        <v>29.010999999999999</v>
      </c>
      <c r="M860" s="10">
        <f>CHOOSE(CONTROL!$C$42, 27.9057, 27.9057) * CHOOSE(CONTROL!$C$21, $C$9, 100%, $E$9)</f>
        <v>27.9057</v>
      </c>
      <c r="N860" s="10">
        <f>CHOOSE(CONTROL!$C$42, 27.9221, 27.9221) * CHOOSE(CONTROL!$C$21, $C$9, 100%, $E$9)</f>
        <v>27.9221</v>
      </c>
      <c r="O860" s="10">
        <f>CHOOSE(CONTROL!$C$42, 28.151, 28.151) * CHOOSE(CONTROL!$C$21, $C$9, 100%, $E$9)</f>
        <v>28.151</v>
      </c>
      <c r="P860" s="10">
        <f>CHOOSE(CONTROL!$C$42, 27.9332, 27.9332) * CHOOSE(CONTROL!$C$21, $C$9, 100%, $E$9)</f>
        <v>27.933199999999999</v>
      </c>
      <c r="Q860" s="10">
        <f>CHOOSE(CONTROL!$C$42, 28.7463, 28.7463) * CHOOSE(CONTROL!$C$21, $C$9, 100%, $E$9)</f>
        <v>28.746300000000002</v>
      </c>
      <c r="R860" s="10">
        <f>CHOOSE(CONTROL!$C$42, 29.4052, 29.4052) * CHOOSE(CONTROL!$C$21, $C$9, 100%, $E$9)</f>
        <v>29.405200000000001</v>
      </c>
      <c r="S860" s="10">
        <f>CHOOSE(CONTROL!$C$42, 27.3996, 27.3996) * CHOOSE(CONTROL!$C$21, $C$9, 100%, $E$9)</f>
        <v>27.3996</v>
      </c>
      <c r="T8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38">
        <f>(1000*CHOOSE(CONTROL!$C$42, 695, 695)*CHOOSE(CONTROL!$C$42, 0.5599, 0.5599)*CHOOSE(CONTROL!$C$42, 31, 31))/1000000</f>
        <v>12.063045499999998</v>
      </c>
      <c r="V860" s="38">
        <f>(1000*CHOOSE(CONTROL!$C$42, 500, 500)*CHOOSE(CONTROL!$C$42, 0.275, 0.275)*CHOOSE(CONTROL!$C$42, 31, 31))/1000000</f>
        <v>4.2625000000000002</v>
      </c>
      <c r="W860" s="38">
        <f>(1000*CHOOSE(CONTROL!$C$42, 0.1146, 0.1146)*CHOOSE(CONTROL!$C$42, 121.5, 121.5)*CHOOSE(CONTROL!$C$42, 31, 31))/1000000</f>
        <v>0.43164089999999994</v>
      </c>
      <c r="X860" s="38">
        <f>(31*0.1790888*245000/1000000)+(31*0.2374*100000/1000000)</f>
        <v>2.0961194359999999</v>
      </c>
      <c r="Y860" s="38">
        <f>(1000*600*CHOOSE(CONTROL!$C$42, 1.0585, 1.0585)*CHOOSE(CONTROL!$C$42, 31, 31))/1000000</f>
        <v>19.688099999999999</v>
      </c>
      <c r="Z860" s="38"/>
      <c r="AA860" s="10"/>
      <c r="AB860" s="39"/>
      <c r="AC860" s="33">
        <f>(B860*194.205+C860*267.466+D860*133.845+E860*53.484+F860*40+G860*185+H860*0+I860*100+J860*300)/(194.205+267.466+133.845+53.484+0+40+185+100+300)</f>
        <v>28.234154050941914</v>
      </c>
      <c r="AD860" s="27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28.021779856115106</v>
      </c>
    </row>
    <row r="861" spans="1:30" ht="15.75" x14ac:dyDescent="0.25">
      <c r="A861" s="13">
        <v>67480</v>
      </c>
      <c r="B861" s="10">
        <f>CHOOSE(CONTROL!$C$42, 26.4281, 26.4281) * CHOOSE(CONTROL!$C$21, $C$9, 100%, $E$9)</f>
        <v>26.428100000000001</v>
      </c>
      <c r="C861" s="10">
        <f>CHOOSE(CONTROL!$C$42, 26.436, 26.436) * CHOOSE(CONTROL!$C$21, $C$9, 100%, $E$9)</f>
        <v>26.436</v>
      </c>
      <c r="D861" s="10">
        <f>CHOOSE(CONTROL!$C$42, 26.613, 26.613) * CHOOSE(CONTROL!$C$21, $C$9, 100%, $E$9)</f>
        <v>26.613</v>
      </c>
      <c r="E861" s="10">
        <f>CHOOSE(CONTROL!$C$42, 26.6442, 26.6442) * CHOOSE(CONTROL!$C$21, $C$9, 100%, $E$9)</f>
        <v>26.644200000000001</v>
      </c>
      <c r="F861" s="10">
        <f>CHOOSE(CONTROL!$C$42, 26.3917, 26.3917)*CHOOSE(CONTROL!$C$21, $C$9, 100%, $E$9)</f>
        <v>26.3917</v>
      </c>
      <c r="G861" s="10">
        <f>CHOOSE(CONTROL!$C$42, 26.4082, 26.4082)*CHOOSE(CONTROL!$C$21, $C$9, 100%, $E$9)</f>
        <v>26.408200000000001</v>
      </c>
      <c r="H861" s="10">
        <f>CHOOSE(CONTROL!$C$42, 26.6328, 26.6328) * CHOOSE(CONTROL!$C$21, $C$9, 100%, $E$9)</f>
        <v>26.6328</v>
      </c>
      <c r="I861" s="10">
        <f>CHOOSE(CONTROL!$C$42, 26.4127, 26.4127)* CHOOSE(CONTROL!$C$21, $C$9, 100%, $E$9)</f>
        <v>26.412700000000001</v>
      </c>
      <c r="J861" s="10">
        <f>CHOOSE(CONTROL!$C$42, 26.3847, 26.3847)* CHOOSE(CONTROL!$C$21, $C$9, 100%, $E$9)</f>
        <v>26.384699999999999</v>
      </c>
      <c r="K861" s="10">
        <f>CHOOSE(CONTROL!$C$42, 25.7972, 25.7972) * CHOOSE(CONTROL!$C$21, $C$9, 100%, $E$9)</f>
        <v>25.7972</v>
      </c>
      <c r="L861" s="10">
        <f>CHOOSE(CONTROL!$C$42, 27.2198, 27.2198) * CHOOSE(CONTROL!$C$21, $C$9, 100%, $E$9)</f>
        <v>27.219799999999999</v>
      </c>
      <c r="M861" s="10">
        <f>CHOOSE(CONTROL!$C$42, 26.1323, 26.1323) * CHOOSE(CONTROL!$C$21, $C$9, 100%, $E$9)</f>
        <v>26.132300000000001</v>
      </c>
      <c r="N861" s="10">
        <f>CHOOSE(CONTROL!$C$42, 26.1486, 26.1486) * CHOOSE(CONTROL!$C$21, $C$9, 100%, $E$9)</f>
        <v>26.148599999999998</v>
      </c>
      <c r="O861" s="10">
        <f>CHOOSE(CONTROL!$C$42, 26.3778, 26.3778) * CHOOSE(CONTROL!$C$21, $C$9, 100%, $E$9)</f>
        <v>26.377800000000001</v>
      </c>
      <c r="P861" s="10">
        <f>CHOOSE(CONTROL!$C$42, 26.16, 26.16) * CHOOSE(CONTROL!$C$21, $C$9, 100%, $E$9)</f>
        <v>26.16</v>
      </c>
      <c r="Q861" s="10">
        <f>CHOOSE(CONTROL!$C$42, 26.9731, 26.9731) * CHOOSE(CONTROL!$C$21, $C$9, 100%, $E$9)</f>
        <v>26.973099999999999</v>
      </c>
      <c r="R861" s="10">
        <f>CHOOSE(CONTROL!$C$42, 27.6276, 27.6276) * CHOOSE(CONTROL!$C$21, $C$9, 100%, $E$9)</f>
        <v>27.627600000000001</v>
      </c>
      <c r="S861" s="10">
        <f>CHOOSE(CONTROL!$C$42, 25.6601, 25.6601) * CHOOSE(CONTROL!$C$21, $C$9, 100%, $E$9)</f>
        <v>25.6601</v>
      </c>
      <c r="T8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38">
        <f>(1000*CHOOSE(CONTROL!$C$42, 695, 695)*CHOOSE(CONTROL!$C$42, 0.5599, 0.5599)*CHOOSE(CONTROL!$C$42, 30, 30))/1000000</f>
        <v>11.673914999999997</v>
      </c>
      <c r="V861" s="38">
        <f>(1000*CHOOSE(CONTROL!$C$42, 500, 500)*CHOOSE(CONTROL!$C$42, 0.275, 0.275)*CHOOSE(CONTROL!$C$42, 30, 30))/1000000</f>
        <v>4.125</v>
      </c>
      <c r="W861" s="38">
        <f>(1000*CHOOSE(CONTROL!$C$42, 0.1146, 0.1146)*CHOOSE(CONTROL!$C$42, 121.5, 121.5)*CHOOSE(CONTROL!$C$42, 30, 30))/1000000</f>
        <v>0.417717</v>
      </c>
      <c r="X861" s="38">
        <f>(30*0.1790888*245000/1000000)+(30*0.2374*100000/1000000)</f>
        <v>2.0285026799999999</v>
      </c>
      <c r="Y861" s="38">
        <f>(1000*600*CHOOSE(CONTROL!$C$42, 1.0585, 1.0585)*CHOOSE(CONTROL!$C$42, 30, 30))/1000000</f>
        <v>19.053000000000001</v>
      </c>
      <c r="Z861" s="38"/>
      <c r="AA861" s="10"/>
      <c r="AB861" s="39"/>
      <c r="AC861" s="33">
        <f>(B861*194.205+C861*267.466+D861*133.845+E861*53.484+F861*40+G861*185+H861*0+I861*100+J861*300)/(194.205+267.466+133.845+53.484+0+40+185+100+300)</f>
        <v>26.442794909183679</v>
      </c>
      <c r="AD861" s="27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26.248493525179857</v>
      </c>
    </row>
    <row r="862" spans="1:30" ht="15.75" x14ac:dyDescent="0.25">
      <c r="A862" s="13">
        <v>67511</v>
      </c>
      <c r="B862" s="10">
        <f>CHOOSE(CONTROL!$C$42, 25.8895, 25.8895) * CHOOSE(CONTROL!$C$21, $C$9, 100%, $E$9)</f>
        <v>25.889500000000002</v>
      </c>
      <c r="C862" s="10">
        <f>CHOOSE(CONTROL!$C$42, 25.8947, 25.8947) * CHOOSE(CONTROL!$C$21, $C$9, 100%, $E$9)</f>
        <v>25.8947</v>
      </c>
      <c r="D862" s="10">
        <f>CHOOSE(CONTROL!$C$42, 26.0766, 26.0766) * CHOOSE(CONTROL!$C$21, $C$9, 100%, $E$9)</f>
        <v>26.076599999999999</v>
      </c>
      <c r="E862" s="10">
        <f>CHOOSE(CONTROL!$C$42, 26.1054, 26.1054) * CHOOSE(CONTROL!$C$21, $C$9, 100%, $E$9)</f>
        <v>26.105399999999999</v>
      </c>
      <c r="F862" s="10">
        <f>CHOOSE(CONTROL!$C$42, 25.8551, 25.8551)*CHOOSE(CONTROL!$C$21, $C$9, 100%, $E$9)</f>
        <v>25.8551</v>
      </c>
      <c r="G862" s="10">
        <f>CHOOSE(CONTROL!$C$42, 25.8713, 25.8713)*CHOOSE(CONTROL!$C$21, $C$9, 100%, $E$9)</f>
        <v>25.871300000000002</v>
      </c>
      <c r="H862" s="10">
        <f>CHOOSE(CONTROL!$C$42, 26.0959, 26.0959) * CHOOSE(CONTROL!$C$21, $C$9, 100%, $E$9)</f>
        <v>26.0959</v>
      </c>
      <c r="I862" s="10">
        <f>CHOOSE(CONTROL!$C$42, 25.8758, 25.8758)* CHOOSE(CONTROL!$C$21, $C$9, 100%, $E$9)</f>
        <v>25.875800000000002</v>
      </c>
      <c r="J862" s="10">
        <f>CHOOSE(CONTROL!$C$42, 25.8481, 25.8481)* CHOOSE(CONTROL!$C$21, $C$9, 100%, $E$9)</f>
        <v>25.848099999999999</v>
      </c>
      <c r="K862" s="10">
        <f>CHOOSE(CONTROL!$C$42, 25.2761, 25.2761) * CHOOSE(CONTROL!$C$21, $C$9, 100%, $E$9)</f>
        <v>25.2761</v>
      </c>
      <c r="L862" s="10">
        <f>CHOOSE(CONTROL!$C$42, 26.6829, 26.6829) * CHOOSE(CONTROL!$C$21, $C$9, 100%, $E$9)</f>
        <v>26.6829</v>
      </c>
      <c r="M862" s="10">
        <f>CHOOSE(CONTROL!$C$42, 25.6011, 25.6011) * CHOOSE(CONTROL!$C$21, $C$9, 100%, $E$9)</f>
        <v>25.601099999999999</v>
      </c>
      <c r="N862" s="10">
        <f>CHOOSE(CONTROL!$C$42, 25.6171, 25.6171) * CHOOSE(CONTROL!$C$21, $C$9, 100%, $E$9)</f>
        <v>25.617100000000001</v>
      </c>
      <c r="O862" s="10">
        <f>CHOOSE(CONTROL!$C$42, 25.8464, 25.8464) * CHOOSE(CONTROL!$C$21, $C$9, 100%, $E$9)</f>
        <v>25.846399999999999</v>
      </c>
      <c r="P862" s="10">
        <f>CHOOSE(CONTROL!$C$42, 25.6286, 25.6286) * CHOOSE(CONTROL!$C$21, $C$9, 100%, $E$9)</f>
        <v>25.628599999999999</v>
      </c>
      <c r="Q862" s="10">
        <f>CHOOSE(CONTROL!$C$42, 26.4417, 26.4417) * CHOOSE(CONTROL!$C$21, $C$9, 100%, $E$9)</f>
        <v>26.441700000000001</v>
      </c>
      <c r="R862" s="10">
        <f>CHOOSE(CONTROL!$C$42, 27.0948, 27.0948) * CHOOSE(CONTROL!$C$21, $C$9, 100%, $E$9)</f>
        <v>27.094799999999999</v>
      </c>
      <c r="S862" s="10">
        <f>CHOOSE(CONTROL!$C$42, 25.1387, 25.1387) * CHOOSE(CONTROL!$C$21, $C$9, 100%, $E$9)</f>
        <v>25.1387</v>
      </c>
      <c r="T8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38">
        <f>(1000*CHOOSE(CONTROL!$C$42, 695, 695)*CHOOSE(CONTROL!$C$42, 0.5599, 0.5599)*CHOOSE(CONTROL!$C$42, 31, 31))/1000000</f>
        <v>12.063045499999998</v>
      </c>
      <c r="V862" s="38">
        <f>(1000*CHOOSE(CONTROL!$C$42, 500, 500)*CHOOSE(CONTROL!$C$42, 0.275, 0.275)*CHOOSE(CONTROL!$C$42, 31, 31))/1000000</f>
        <v>4.2625000000000002</v>
      </c>
      <c r="W862" s="38">
        <f>(1000*CHOOSE(CONTROL!$C$42, 0.1146, 0.1146)*CHOOSE(CONTROL!$C$42, 121.5, 121.5)*CHOOSE(CONTROL!$C$42, 31, 31))/1000000</f>
        <v>0.43164089999999994</v>
      </c>
      <c r="X862" s="38">
        <f>(31*0.1790888*245000/1000000)+(31*0.2374*100000/1000000)</f>
        <v>2.0961194359999999</v>
      </c>
      <c r="Y862" s="38">
        <f>(1000*600*CHOOSE(CONTROL!$C$42, 1.0585, 1.0585)*CHOOSE(CONTROL!$C$42, 31, 31))/1000000</f>
        <v>19.688099999999999</v>
      </c>
      <c r="Z862" s="38"/>
      <c r="AA862" s="10"/>
      <c r="AB862" s="39"/>
      <c r="AC862" s="33">
        <f>(B862*131.881+C862*277.167+D862*79.08+E862*125.872+F862*40+G862*185+H862*0+I862*100+J862*300)/(131.881+277.167+79.08+125.872+0+40+185+100+300)</f>
        <v>25.909580630508479</v>
      </c>
      <c r="AD862" s="27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25.717156834532371</v>
      </c>
    </row>
    <row r="863" spans="1:30" ht="15.75" x14ac:dyDescent="0.25">
      <c r="A863" s="13">
        <v>67541</v>
      </c>
      <c r="B863" s="10">
        <f>CHOOSE(CONTROL!$C$42, 26.571, 26.571) * CHOOSE(CONTROL!$C$21, $C$9, 100%, $E$9)</f>
        <v>26.571000000000002</v>
      </c>
      <c r="C863" s="10">
        <f>CHOOSE(CONTROL!$C$42, 26.576, 26.576) * CHOOSE(CONTROL!$C$21, $C$9, 100%, $E$9)</f>
        <v>26.576000000000001</v>
      </c>
      <c r="D863" s="10">
        <f>CHOOSE(CONTROL!$C$42, 26.6004, 26.6004) * CHOOSE(CONTROL!$C$21, $C$9, 100%, $E$9)</f>
        <v>26.6004</v>
      </c>
      <c r="E863" s="10">
        <f>CHOOSE(CONTROL!$C$42, 26.6342, 26.6342) * CHOOSE(CONTROL!$C$21, $C$9, 100%, $E$9)</f>
        <v>26.6342</v>
      </c>
      <c r="F863" s="10">
        <f>CHOOSE(CONTROL!$C$42, 26.5403, 26.5403)*CHOOSE(CONTROL!$C$21, $C$9, 100%, $E$9)</f>
        <v>26.540299999999998</v>
      </c>
      <c r="G863" s="10">
        <f>CHOOSE(CONTROL!$C$42, 26.5568, 26.5568)*CHOOSE(CONTROL!$C$21, $C$9, 100%, $E$9)</f>
        <v>26.556799999999999</v>
      </c>
      <c r="H863" s="10">
        <f>CHOOSE(CONTROL!$C$42, 26.6234, 26.6234) * CHOOSE(CONTROL!$C$21, $C$9, 100%, $E$9)</f>
        <v>26.6234</v>
      </c>
      <c r="I863" s="10">
        <f>CHOOSE(CONTROL!$C$42, 26.5578, 26.5578)* CHOOSE(CONTROL!$C$21, $C$9, 100%, $E$9)</f>
        <v>26.5578</v>
      </c>
      <c r="J863" s="10">
        <f>CHOOSE(CONTROL!$C$42, 26.5333, 26.5333)* CHOOSE(CONTROL!$C$21, $C$9, 100%, $E$9)</f>
        <v>26.533300000000001</v>
      </c>
      <c r="K863" s="10">
        <f>CHOOSE(CONTROL!$C$42, 25.9402, 25.9402) * CHOOSE(CONTROL!$C$21, $C$9, 100%, $E$9)</f>
        <v>25.940200000000001</v>
      </c>
      <c r="L863" s="10">
        <f>CHOOSE(CONTROL!$C$42, 27.2104, 27.2104) * CHOOSE(CONTROL!$C$21, $C$9, 100%, $E$9)</f>
        <v>27.2104</v>
      </c>
      <c r="M863" s="10">
        <f>CHOOSE(CONTROL!$C$42, 26.2794, 26.2794) * CHOOSE(CONTROL!$C$21, $C$9, 100%, $E$9)</f>
        <v>26.279399999999999</v>
      </c>
      <c r="N863" s="10">
        <f>CHOOSE(CONTROL!$C$42, 26.2957, 26.2957) * CHOOSE(CONTROL!$C$21, $C$9, 100%, $E$9)</f>
        <v>26.2957</v>
      </c>
      <c r="O863" s="10">
        <f>CHOOSE(CONTROL!$C$42, 26.3686, 26.3686) * CHOOSE(CONTROL!$C$21, $C$9, 100%, $E$9)</f>
        <v>26.368600000000001</v>
      </c>
      <c r="P863" s="10">
        <f>CHOOSE(CONTROL!$C$42, 26.3036, 26.3036) * CHOOSE(CONTROL!$C$21, $C$9, 100%, $E$9)</f>
        <v>26.303599999999999</v>
      </c>
      <c r="Q863" s="10">
        <f>CHOOSE(CONTROL!$C$42, 26.9639, 26.9639) * CHOOSE(CONTROL!$C$21, $C$9, 100%, $E$9)</f>
        <v>26.963899999999999</v>
      </c>
      <c r="R863" s="10">
        <f>CHOOSE(CONTROL!$C$42, 27.6183, 27.6183) * CHOOSE(CONTROL!$C$21, $C$9, 100%, $E$9)</f>
        <v>27.618300000000001</v>
      </c>
      <c r="S863" s="10">
        <f>CHOOSE(CONTROL!$C$42, 25.801, 25.801) * CHOOSE(CONTROL!$C$21, $C$9, 100%, $E$9)</f>
        <v>25.800999999999998</v>
      </c>
      <c r="T8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38">
        <f>(1000*CHOOSE(CONTROL!$C$42, 695, 695)*CHOOSE(CONTROL!$C$42, 0.5599, 0.5599)*CHOOSE(CONTROL!$C$42, 30, 30))/1000000</f>
        <v>11.673914999999997</v>
      </c>
      <c r="V863" s="38">
        <f>(1000*CHOOSE(CONTROL!$C$42, 500, 500)*CHOOSE(CONTROL!$C$42, 0.275, 0.275)*CHOOSE(CONTROL!$C$42, 30, 30))/1000000</f>
        <v>4.125</v>
      </c>
      <c r="W863" s="38">
        <f>(1000*CHOOSE(CONTROL!$C$42, 0.1146, 0.1146)*CHOOSE(CONTROL!$C$42, 121.5, 121.5)*CHOOSE(CONTROL!$C$42, 30, 30))/1000000</f>
        <v>0.417717</v>
      </c>
      <c r="X863" s="38">
        <f>(30*0.1790888*100000/1000000)+(30*0.2374*100000/1000000)</f>
        <v>1.2494664</v>
      </c>
      <c r="Y863" s="38">
        <f>(1000*600*CHOOSE(CONTROL!$C$42, 1.0585, 1.0585)*CHOOSE(CONTROL!$C$42, 30, 30))/1000000</f>
        <v>19.053000000000001</v>
      </c>
      <c r="Z863" s="38"/>
      <c r="AA863" s="10"/>
      <c r="AB863" s="39"/>
      <c r="AC863" s="33">
        <f>(B863*122.58+C863*297.941+D863*89.177+E863*40.302+F863*40+G863*160+H863*0+I863*100+J863*300)/(122.58+297.941+89.177+40.302+0+40+160+100+300)</f>
        <v>26.562763995826085</v>
      </c>
      <c r="AD863" s="27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26.324248920863308</v>
      </c>
    </row>
    <row r="864" spans="1:30" ht="15.75" x14ac:dyDescent="0.25">
      <c r="A864" s="13">
        <v>67572</v>
      </c>
      <c r="B864" s="10">
        <f>CHOOSE(CONTROL!$C$42, 28.3824, 28.3824) * CHOOSE(CONTROL!$C$21, $C$9, 100%, $E$9)</f>
        <v>28.382400000000001</v>
      </c>
      <c r="C864" s="10">
        <f>CHOOSE(CONTROL!$C$42, 28.3874, 28.3874) * CHOOSE(CONTROL!$C$21, $C$9, 100%, $E$9)</f>
        <v>28.3874</v>
      </c>
      <c r="D864" s="10">
        <f>CHOOSE(CONTROL!$C$42, 28.4118, 28.4118) * CHOOSE(CONTROL!$C$21, $C$9, 100%, $E$9)</f>
        <v>28.411799999999999</v>
      </c>
      <c r="E864" s="10">
        <f>CHOOSE(CONTROL!$C$42, 28.4456, 28.4456) * CHOOSE(CONTROL!$C$21, $C$9, 100%, $E$9)</f>
        <v>28.445599999999999</v>
      </c>
      <c r="F864" s="10">
        <f>CHOOSE(CONTROL!$C$42, 28.354, 28.354)*CHOOSE(CONTROL!$C$21, $C$9, 100%, $E$9)</f>
        <v>28.353999999999999</v>
      </c>
      <c r="G864" s="10">
        <f>CHOOSE(CONTROL!$C$42, 28.3711, 28.3711)*CHOOSE(CONTROL!$C$21, $C$9, 100%, $E$9)</f>
        <v>28.371099999999998</v>
      </c>
      <c r="H864" s="10">
        <f>CHOOSE(CONTROL!$C$42, 28.4348, 28.4348) * CHOOSE(CONTROL!$C$21, $C$9, 100%, $E$9)</f>
        <v>28.434799999999999</v>
      </c>
      <c r="I864" s="10">
        <f>CHOOSE(CONTROL!$C$42, 28.3692, 28.3692)* CHOOSE(CONTROL!$C$21, $C$9, 100%, $E$9)</f>
        <v>28.369199999999999</v>
      </c>
      <c r="J864" s="10">
        <f>CHOOSE(CONTROL!$C$42, 28.347, 28.347)* CHOOSE(CONTROL!$C$21, $C$9, 100%, $E$9)</f>
        <v>28.347000000000001</v>
      </c>
      <c r="K864" s="10">
        <f>CHOOSE(CONTROL!$C$42, 27.7051, 27.7051) * CHOOSE(CONTROL!$C$21, $C$9, 100%, $E$9)</f>
        <v>27.705100000000002</v>
      </c>
      <c r="L864" s="10">
        <f>CHOOSE(CONTROL!$C$42, 29.0218, 29.0218) * CHOOSE(CONTROL!$C$21, $C$9, 100%, $E$9)</f>
        <v>29.021799999999999</v>
      </c>
      <c r="M864" s="10">
        <f>CHOOSE(CONTROL!$C$42, 28.0748, 28.0748) * CHOOSE(CONTROL!$C$21, $C$9, 100%, $E$9)</f>
        <v>28.0748</v>
      </c>
      <c r="N864" s="10">
        <f>CHOOSE(CONTROL!$C$42, 28.0917, 28.0917) * CHOOSE(CONTROL!$C$21, $C$9, 100%, $E$9)</f>
        <v>28.091699999999999</v>
      </c>
      <c r="O864" s="10">
        <f>CHOOSE(CONTROL!$C$42, 28.1617, 28.1617) * CHOOSE(CONTROL!$C$21, $C$9, 100%, $E$9)</f>
        <v>28.1617</v>
      </c>
      <c r="P864" s="10">
        <f>CHOOSE(CONTROL!$C$42, 28.0968, 28.0968) * CHOOSE(CONTROL!$C$21, $C$9, 100%, $E$9)</f>
        <v>28.096800000000002</v>
      </c>
      <c r="Q864" s="10">
        <f>CHOOSE(CONTROL!$C$42, 28.757, 28.757) * CHOOSE(CONTROL!$C$21, $C$9, 100%, $E$9)</f>
        <v>28.757000000000001</v>
      </c>
      <c r="R864" s="10">
        <f>CHOOSE(CONTROL!$C$42, 29.4159, 29.4159) * CHOOSE(CONTROL!$C$21, $C$9, 100%, $E$9)</f>
        <v>29.415900000000001</v>
      </c>
      <c r="S864" s="10">
        <f>CHOOSE(CONTROL!$C$42, 27.56, 27.56) * CHOOSE(CONTROL!$C$21, $C$9, 100%, $E$9)</f>
        <v>27.56</v>
      </c>
      <c r="T8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38">
        <f>(1000*CHOOSE(CONTROL!$C$42, 695, 695)*CHOOSE(CONTROL!$C$42, 0.5599, 0.5599)*CHOOSE(CONTROL!$C$42, 31, 31))/1000000</f>
        <v>12.063045499999998</v>
      </c>
      <c r="V864" s="38">
        <f>(1000*CHOOSE(CONTROL!$C$42, 500, 500)*CHOOSE(CONTROL!$C$42, 0.275, 0.275)*CHOOSE(CONTROL!$C$42, 31, 31))/1000000</f>
        <v>4.2625000000000002</v>
      </c>
      <c r="W864" s="38">
        <f>(1000*CHOOSE(CONTROL!$C$42, 0.1146, 0.1146)*CHOOSE(CONTROL!$C$42, 121.5, 121.5)*CHOOSE(CONTROL!$C$42, 31, 31))/1000000</f>
        <v>0.43164089999999994</v>
      </c>
      <c r="X864" s="38">
        <f>(31*0.1790888*100000/1000000)+(31*0.2374*100000/1000000)</f>
        <v>1.2911152800000001</v>
      </c>
      <c r="Y864" s="38">
        <f>(1000*600*CHOOSE(CONTROL!$C$42, 1.0585, 1.0585)*CHOOSE(CONTROL!$C$42, 31, 31))/1000000</f>
        <v>19.688099999999999</v>
      </c>
      <c r="Z864" s="38"/>
      <c r="AA864" s="10"/>
      <c r="AB864" s="39"/>
      <c r="AC864" s="33">
        <f>(B864*122.58+C864*297.941+D864*89.177+E864*40.302+F864*40+G864*160+H864*0+I864*100+J864*300)/(122.58+297.941+89.177+40.302+0+40+160+100+300)</f>
        <v>28.375247474086954</v>
      </c>
      <c r="AD864" s="27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28.118324460431651</v>
      </c>
    </row>
    <row r="865" spans="1:30" ht="15.75" x14ac:dyDescent="0.25">
      <c r="A865" s="13">
        <v>67603</v>
      </c>
      <c r="B865" s="10">
        <f>CHOOSE(CONTROL!$C$42, 30.2979, 30.2979) * CHOOSE(CONTROL!$C$21, $C$9, 100%, $E$9)</f>
        <v>30.297899999999998</v>
      </c>
      <c r="C865" s="10">
        <f>CHOOSE(CONTROL!$C$42, 30.3028, 30.3028) * CHOOSE(CONTROL!$C$21, $C$9, 100%, $E$9)</f>
        <v>30.302800000000001</v>
      </c>
      <c r="D865" s="10">
        <f>CHOOSE(CONTROL!$C$42, 30.3273, 30.3273) * CHOOSE(CONTROL!$C$21, $C$9, 100%, $E$9)</f>
        <v>30.327300000000001</v>
      </c>
      <c r="E865" s="10">
        <f>CHOOSE(CONTROL!$C$42, 30.3611, 30.3611) * CHOOSE(CONTROL!$C$21, $C$9, 100%, $E$9)</f>
        <v>30.3611</v>
      </c>
      <c r="F865" s="10">
        <f>CHOOSE(CONTROL!$C$42, 30.2808, 30.2808)*CHOOSE(CONTROL!$C$21, $C$9, 100%, $E$9)</f>
        <v>30.280799999999999</v>
      </c>
      <c r="G865" s="10">
        <f>CHOOSE(CONTROL!$C$42, 30.2995, 30.2995)*CHOOSE(CONTROL!$C$21, $C$9, 100%, $E$9)</f>
        <v>30.299499999999998</v>
      </c>
      <c r="H865" s="10">
        <f>CHOOSE(CONTROL!$C$42, 30.3503, 30.3503) * CHOOSE(CONTROL!$C$21, $C$9, 100%, $E$9)</f>
        <v>30.350300000000001</v>
      </c>
      <c r="I865" s="10">
        <f>CHOOSE(CONTROL!$C$42, 30.2924, 30.2924)* CHOOSE(CONTROL!$C$21, $C$9, 100%, $E$9)</f>
        <v>30.292400000000001</v>
      </c>
      <c r="J865" s="10">
        <f>CHOOSE(CONTROL!$C$42, 30.2738, 30.2738)* CHOOSE(CONTROL!$C$21, $C$9, 100%, $E$9)</f>
        <v>30.273800000000001</v>
      </c>
      <c r="K865" s="10">
        <f>CHOOSE(CONTROL!$C$42, 29.5871, 29.5871) * CHOOSE(CONTROL!$C$21, $C$9, 100%, $E$9)</f>
        <v>29.5871</v>
      </c>
      <c r="L865" s="10">
        <f>CHOOSE(CONTROL!$C$42, 30.9373, 30.9373) * CHOOSE(CONTROL!$C$21, $C$9, 100%, $E$9)</f>
        <v>30.9373</v>
      </c>
      <c r="M865" s="10">
        <f>CHOOSE(CONTROL!$C$42, 29.9821, 29.9821) * CHOOSE(CONTROL!$C$21, $C$9, 100%, $E$9)</f>
        <v>29.982099999999999</v>
      </c>
      <c r="N865" s="10">
        <f>CHOOSE(CONTROL!$C$42, 30.0006, 30.0006) * CHOOSE(CONTROL!$C$21, $C$9, 100%, $E$9)</f>
        <v>30.000599999999999</v>
      </c>
      <c r="O865" s="10">
        <f>CHOOSE(CONTROL!$C$42, 30.0578, 30.0578) * CHOOSE(CONTROL!$C$21, $C$9, 100%, $E$9)</f>
        <v>30.0578</v>
      </c>
      <c r="P865" s="10">
        <f>CHOOSE(CONTROL!$C$42, 30.0005, 30.0005) * CHOOSE(CONTROL!$C$21, $C$9, 100%, $E$9)</f>
        <v>30.000499999999999</v>
      </c>
      <c r="Q865" s="10">
        <f>CHOOSE(CONTROL!$C$42, 30.6531, 30.6531) * CHOOSE(CONTROL!$C$21, $C$9, 100%, $E$9)</f>
        <v>30.653099999999998</v>
      </c>
      <c r="R865" s="10">
        <f>CHOOSE(CONTROL!$C$42, 31.3167, 31.3167) * CHOOSE(CONTROL!$C$21, $C$9, 100%, $E$9)</f>
        <v>31.316700000000001</v>
      </c>
      <c r="S865" s="10">
        <f>CHOOSE(CONTROL!$C$42, 29.4201, 29.4201) * CHOOSE(CONTROL!$C$21, $C$9, 100%, $E$9)</f>
        <v>29.420100000000001</v>
      </c>
      <c r="T8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38">
        <f>(1000*CHOOSE(CONTROL!$C$42, 695, 695)*CHOOSE(CONTROL!$C$42, 0.5599, 0.5599)*CHOOSE(CONTROL!$C$42, 31, 31))/1000000</f>
        <v>12.063045499999998</v>
      </c>
      <c r="V865" s="38">
        <f>(1000*CHOOSE(CONTROL!$C$42, 500, 500)*CHOOSE(CONTROL!$C$42, 0.275, 0.275)*CHOOSE(CONTROL!$C$42, 31, 31))/1000000</f>
        <v>4.2625000000000002</v>
      </c>
      <c r="W865" s="38">
        <f>(1000*CHOOSE(CONTROL!$C$42, 0.1146, 0.1146)*CHOOSE(CONTROL!$C$42, 121.5, 121.5)*CHOOSE(CONTROL!$C$42, 31, 31))/1000000</f>
        <v>0.43164089999999994</v>
      </c>
      <c r="X865" s="38">
        <f>(31*0.1790888*100000/1000000)+(31*0.2374*100000/1000000)</f>
        <v>1.2911152800000001</v>
      </c>
      <c r="Y865" s="38">
        <f>(1000*600*CHOOSE(CONTROL!$C$42, 1.0585, 1.0585)*CHOOSE(CONTROL!$C$42, 31, 31))/1000000</f>
        <v>19.688099999999999</v>
      </c>
      <c r="Z865" s="38"/>
      <c r="AA865" s="10"/>
      <c r="AB865" s="39"/>
      <c r="AC865" s="33">
        <f>(B865*122.58+C865*297.941+D865*89.177+E865*40.302+F865*40+G865*160+H865*0+I865*100+J865*300)/(122.58+297.941+89.177+40.302+0+40+160+100+300)</f>
        <v>30.296526783565216</v>
      </c>
      <c r="AD865" s="27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30.020122302158271</v>
      </c>
    </row>
    <row r="866" spans="1:30" ht="15.75" x14ac:dyDescent="0.25">
      <c r="A866" s="13">
        <v>67631</v>
      </c>
      <c r="B866" s="10">
        <f>CHOOSE(CONTROL!$C$42, 30.8372, 30.8372) * CHOOSE(CONTROL!$C$21, $C$9, 100%, $E$9)</f>
        <v>30.837199999999999</v>
      </c>
      <c r="C866" s="10">
        <f>CHOOSE(CONTROL!$C$42, 30.8421, 30.8421) * CHOOSE(CONTROL!$C$21, $C$9, 100%, $E$9)</f>
        <v>30.842099999999999</v>
      </c>
      <c r="D866" s="10">
        <f>CHOOSE(CONTROL!$C$42, 30.8666, 30.8666) * CHOOSE(CONTROL!$C$21, $C$9, 100%, $E$9)</f>
        <v>30.866599999999998</v>
      </c>
      <c r="E866" s="10">
        <f>CHOOSE(CONTROL!$C$42, 30.9004, 30.9004) * CHOOSE(CONTROL!$C$21, $C$9, 100%, $E$9)</f>
        <v>30.900400000000001</v>
      </c>
      <c r="F866" s="10">
        <f>CHOOSE(CONTROL!$C$42, 30.8194, 30.8194)*CHOOSE(CONTROL!$C$21, $C$9, 100%, $E$9)</f>
        <v>30.819400000000002</v>
      </c>
      <c r="G866" s="10">
        <f>CHOOSE(CONTROL!$C$42, 30.8379, 30.8379)*CHOOSE(CONTROL!$C$21, $C$9, 100%, $E$9)</f>
        <v>30.837900000000001</v>
      </c>
      <c r="H866" s="10">
        <f>CHOOSE(CONTROL!$C$42, 30.8895, 30.8895) * CHOOSE(CONTROL!$C$21, $C$9, 100%, $E$9)</f>
        <v>30.889500000000002</v>
      </c>
      <c r="I866" s="10">
        <f>CHOOSE(CONTROL!$C$42, 30.8317, 30.8317)* CHOOSE(CONTROL!$C$21, $C$9, 100%, $E$9)</f>
        <v>30.831700000000001</v>
      </c>
      <c r="J866" s="10">
        <f>CHOOSE(CONTROL!$C$42, 30.8124, 30.8124)* CHOOSE(CONTROL!$C$21, $C$9, 100%, $E$9)</f>
        <v>30.8124</v>
      </c>
      <c r="K866" s="10">
        <f>CHOOSE(CONTROL!$C$42, 30.1096, 30.1096) * CHOOSE(CONTROL!$C$21, $C$9, 100%, $E$9)</f>
        <v>30.1096</v>
      </c>
      <c r="L866" s="10">
        <f>CHOOSE(CONTROL!$C$42, 31.4765, 31.4765) * CHOOSE(CONTROL!$C$21, $C$9, 100%, $E$9)</f>
        <v>31.476500000000001</v>
      </c>
      <c r="M866" s="10">
        <f>CHOOSE(CONTROL!$C$42, 30.5153, 30.5153) * CHOOSE(CONTROL!$C$21, $C$9, 100%, $E$9)</f>
        <v>30.5153</v>
      </c>
      <c r="N866" s="10">
        <f>CHOOSE(CONTROL!$C$42, 30.5336, 30.5336) * CHOOSE(CONTROL!$C$21, $C$9, 100%, $E$9)</f>
        <v>30.5336</v>
      </c>
      <c r="O866" s="10">
        <f>CHOOSE(CONTROL!$C$42, 30.5916, 30.5916) * CHOOSE(CONTROL!$C$21, $C$9, 100%, $E$9)</f>
        <v>30.5916</v>
      </c>
      <c r="P866" s="10">
        <f>CHOOSE(CONTROL!$C$42, 30.5344, 30.5344) * CHOOSE(CONTROL!$C$21, $C$9, 100%, $E$9)</f>
        <v>30.534400000000002</v>
      </c>
      <c r="Q866" s="10">
        <f>CHOOSE(CONTROL!$C$42, 31.1869, 31.1869) * CHOOSE(CONTROL!$C$21, $C$9, 100%, $E$9)</f>
        <v>31.186900000000001</v>
      </c>
      <c r="R866" s="10">
        <f>CHOOSE(CONTROL!$C$42, 31.8519, 31.8519) * CHOOSE(CONTROL!$C$21, $C$9, 100%, $E$9)</f>
        <v>31.851900000000001</v>
      </c>
      <c r="S866" s="10">
        <f>CHOOSE(CONTROL!$C$42, 29.9438, 29.9438) * CHOOSE(CONTROL!$C$21, $C$9, 100%, $E$9)</f>
        <v>29.9438</v>
      </c>
      <c r="T8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6" s="38">
        <f>(1000*CHOOSE(CONTROL!$C$42, 695, 695)*CHOOSE(CONTROL!$C$42, 0.5599, 0.5599)*CHOOSE(CONTROL!$C$42, 28, 28))/1000000</f>
        <v>10.895653999999999</v>
      </c>
      <c r="V866" s="38">
        <f>(1000*CHOOSE(CONTROL!$C$42, 500, 500)*CHOOSE(CONTROL!$C$42, 0.275, 0.275)*CHOOSE(CONTROL!$C$42, 28, 28))/1000000</f>
        <v>3.85</v>
      </c>
      <c r="W866" s="38">
        <f>(1000*CHOOSE(CONTROL!$C$42, 0.1146, 0.1146)*CHOOSE(CONTROL!$C$42, 121.5, 121.5)*CHOOSE(CONTROL!$C$42, 28, 28))/1000000</f>
        <v>0.38986920000000003</v>
      </c>
      <c r="X866" s="38">
        <f>(28*0.1790888*100000/1000000)+(28*0.2374*100000/1000000)</f>
        <v>1.16616864</v>
      </c>
      <c r="Y866" s="38">
        <f>(1000*600*CHOOSE(CONTROL!$C$42, 1.0585, 1.0585)*CHOOSE(CONTROL!$C$42, 28, 28))/1000000</f>
        <v>17.782800000000002</v>
      </c>
      <c r="Z866" s="38"/>
      <c r="AA866" s="10"/>
      <c r="AB866" s="39"/>
      <c r="AC866" s="33">
        <f>(B866*122.58+C866*297.941+D866*89.177+E866*40.302+F866*40+G866*160+H866*0+I866*100+J866*300)/(122.58+297.941+89.177+40.302+0+40+160+100+300)</f>
        <v>30.835494609652176</v>
      </c>
      <c r="AD866" s="27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30.553683453237408</v>
      </c>
    </row>
    <row r="867" spans="1:30" ht="15.75" x14ac:dyDescent="0.25">
      <c r="A867" s="13">
        <v>67662</v>
      </c>
      <c r="B867" s="10">
        <f>CHOOSE(CONTROL!$C$42, 29.9618, 29.9618) * CHOOSE(CONTROL!$C$21, $C$9, 100%, $E$9)</f>
        <v>29.9618</v>
      </c>
      <c r="C867" s="10">
        <f>CHOOSE(CONTROL!$C$42, 29.9667, 29.9667) * CHOOSE(CONTROL!$C$21, $C$9, 100%, $E$9)</f>
        <v>29.966699999999999</v>
      </c>
      <c r="D867" s="10">
        <f>CHOOSE(CONTROL!$C$42, 29.9912, 29.9912) * CHOOSE(CONTROL!$C$21, $C$9, 100%, $E$9)</f>
        <v>29.991199999999999</v>
      </c>
      <c r="E867" s="10">
        <f>CHOOSE(CONTROL!$C$42, 30.0249, 30.0249) * CHOOSE(CONTROL!$C$21, $C$9, 100%, $E$9)</f>
        <v>30.024899999999999</v>
      </c>
      <c r="F867" s="10">
        <f>CHOOSE(CONTROL!$C$42, 29.9425, 29.9425)*CHOOSE(CONTROL!$C$21, $C$9, 100%, $E$9)</f>
        <v>29.942499999999999</v>
      </c>
      <c r="G867" s="10">
        <f>CHOOSE(CONTROL!$C$42, 29.9606, 29.9606)*CHOOSE(CONTROL!$C$21, $C$9, 100%, $E$9)</f>
        <v>29.960599999999999</v>
      </c>
      <c r="H867" s="10">
        <f>CHOOSE(CONTROL!$C$42, 30.0141, 30.0141) * CHOOSE(CONTROL!$C$21, $C$9, 100%, $E$9)</f>
        <v>30.014099999999999</v>
      </c>
      <c r="I867" s="10">
        <f>CHOOSE(CONTROL!$C$42, 29.9562, 29.9562)* CHOOSE(CONTROL!$C$21, $C$9, 100%, $E$9)</f>
        <v>29.956199999999999</v>
      </c>
      <c r="J867" s="10">
        <f>CHOOSE(CONTROL!$C$42, 29.9355, 29.9355)* CHOOSE(CONTROL!$C$21, $C$9, 100%, $E$9)</f>
        <v>29.935500000000001</v>
      </c>
      <c r="K867" s="10">
        <f>CHOOSE(CONTROL!$C$42, 29.2558, 29.2558) * CHOOSE(CONTROL!$C$21, $C$9, 100%, $E$9)</f>
        <v>29.255800000000001</v>
      </c>
      <c r="L867" s="10">
        <f>CHOOSE(CONTROL!$C$42, 30.6011, 30.6011) * CHOOSE(CONTROL!$C$21, $C$9, 100%, $E$9)</f>
        <v>30.601099999999999</v>
      </c>
      <c r="M867" s="10">
        <f>CHOOSE(CONTROL!$C$42, 29.6472, 29.6472) * CHOOSE(CONTROL!$C$21, $C$9, 100%, $E$9)</f>
        <v>29.647200000000002</v>
      </c>
      <c r="N867" s="10">
        <f>CHOOSE(CONTROL!$C$42, 29.6651, 29.6651) * CHOOSE(CONTROL!$C$21, $C$9, 100%, $E$9)</f>
        <v>29.665099999999999</v>
      </c>
      <c r="O867" s="10">
        <f>CHOOSE(CONTROL!$C$42, 29.7251, 29.7251) * CHOOSE(CONTROL!$C$21, $C$9, 100%, $E$9)</f>
        <v>29.725100000000001</v>
      </c>
      <c r="P867" s="10">
        <f>CHOOSE(CONTROL!$C$42, 29.6678, 29.6678) * CHOOSE(CONTROL!$C$21, $C$9, 100%, $E$9)</f>
        <v>29.6678</v>
      </c>
      <c r="Q867" s="10">
        <f>CHOOSE(CONTROL!$C$42, 30.3204, 30.3204) * CHOOSE(CONTROL!$C$21, $C$9, 100%, $E$9)</f>
        <v>30.320399999999999</v>
      </c>
      <c r="R867" s="10">
        <f>CHOOSE(CONTROL!$C$42, 30.9832, 30.9832) * CHOOSE(CONTROL!$C$21, $C$9, 100%, $E$9)</f>
        <v>30.9832</v>
      </c>
      <c r="S867" s="10">
        <f>CHOOSE(CONTROL!$C$42, 29.0937, 29.0937) * CHOOSE(CONTROL!$C$21, $C$9, 100%, $E$9)</f>
        <v>29.093699999999998</v>
      </c>
      <c r="T8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38">
        <f>(1000*CHOOSE(CONTROL!$C$42, 695, 695)*CHOOSE(CONTROL!$C$42, 0.5599, 0.5599)*CHOOSE(CONTROL!$C$42, 31, 31))/1000000</f>
        <v>12.063045499999998</v>
      </c>
      <c r="V867" s="38">
        <f>(1000*CHOOSE(CONTROL!$C$42, 500, 500)*CHOOSE(CONTROL!$C$42, 0.275, 0.275)*CHOOSE(CONTROL!$C$42, 31, 31))/1000000</f>
        <v>4.2625000000000002</v>
      </c>
      <c r="W867" s="38">
        <f>(1000*CHOOSE(CONTROL!$C$42, 0.1146, 0.1146)*CHOOSE(CONTROL!$C$42, 121.5, 121.5)*CHOOSE(CONTROL!$C$42, 31, 31))/1000000</f>
        <v>0.43164089999999994</v>
      </c>
      <c r="X867" s="38">
        <f>(31*0.1790888*100000/1000000)+(31*0.2374*100000/1000000)</f>
        <v>1.2911152800000001</v>
      </c>
      <c r="Y867" s="38">
        <f>(1000*600*CHOOSE(CONTROL!$C$42, 1.0585, 1.0585)*CHOOSE(CONTROL!$C$42, 31, 31))/1000000</f>
        <v>19.688099999999999</v>
      </c>
      <c r="Z867" s="38"/>
      <c r="AA867" s="10"/>
      <c r="AB867" s="39"/>
      <c r="AC867" s="33">
        <f>(B867*122.58+C867*297.941+D867*89.177+E867*40.302+F867*40+G867*160+H867*0+I867*100+J867*300)/(122.58+297.941+89.177+40.302+0+40+160+100+300)</f>
        <v>29.959374583391302</v>
      </c>
      <c r="AD867" s="27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29.686501438848921</v>
      </c>
    </row>
    <row r="868" spans="1:30" ht="15.75" x14ac:dyDescent="0.25">
      <c r="A868" s="13">
        <v>67692</v>
      </c>
      <c r="B868" s="10">
        <f>CHOOSE(CONTROL!$C$42, 29.8728, 29.8728) * CHOOSE(CONTROL!$C$21, $C$9, 100%, $E$9)</f>
        <v>29.872800000000002</v>
      </c>
      <c r="C868" s="10">
        <f>CHOOSE(CONTROL!$C$42, 29.8772, 29.8772) * CHOOSE(CONTROL!$C$21, $C$9, 100%, $E$9)</f>
        <v>29.877199999999998</v>
      </c>
      <c r="D868" s="10">
        <f>CHOOSE(CONTROL!$C$42, 30.0573, 30.0573) * CHOOSE(CONTROL!$C$21, $C$9, 100%, $E$9)</f>
        <v>30.057300000000001</v>
      </c>
      <c r="E868" s="10">
        <f>CHOOSE(CONTROL!$C$42, 30.0891, 30.0891) * CHOOSE(CONTROL!$C$21, $C$9, 100%, $E$9)</f>
        <v>30.089099999999998</v>
      </c>
      <c r="F868" s="10">
        <f>CHOOSE(CONTROL!$C$42, 29.8382, 29.8382)*CHOOSE(CONTROL!$C$21, $C$9, 100%, $E$9)</f>
        <v>29.838200000000001</v>
      </c>
      <c r="G868" s="10">
        <f>CHOOSE(CONTROL!$C$42, 29.8544, 29.8544)*CHOOSE(CONTROL!$C$21, $C$9, 100%, $E$9)</f>
        <v>29.854399999999998</v>
      </c>
      <c r="H868" s="10">
        <f>CHOOSE(CONTROL!$C$42, 30.0789, 30.0789) * CHOOSE(CONTROL!$C$21, $C$9, 100%, $E$9)</f>
        <v>30.078900000000001</v>
      </c>
      <c r="I868" s="10">
        <f>CHOOSE(CONTROL!$C$42, 29.8588, 29.8588)* CHOOSE(CONTROL!$C$21, $C$9, 100%, $E$9)</f>
        <v>29.858799999999999</v>
      </c>
      <c r="J868" s="10">
        <f>CHOOSE(CONTROL!$C$42, 29.8312, 29.8312)* CHOOSE(CONTROL!$C$21, $C$9, 100%, $E$9)</f>
        <v>29.831199999999999</v>
      </c>
      <c r="K868" s="10">
        <f>CHOOSE(CONTROL!$C$42, 29.1461, 29.1461) * CHOOSE(CONTROL!$C$21, $C$9, 100%, $E$9)</f>
        <v>29.146100000000001</v>
      </c>
      <c r="L868" s="10">
        <f>CHOOSE(CONTROL!$C$42, 30.6659, 30.6659) * CHOOSE(CONTROL!$C$21, $C$9, 100%, $E$9)</f>
        <v>30.665900000000001</v>
      </c>
      <c r="M868" s="10">
        <f>CHOOSE(CONTROL!$C$42, 29.5439, 29.5439) * CHOOSE(CONTROL!$C$21, $C$9, 100%, $E$9)</f>
        <v>29.543900000000001</v>
      </c>
      <c r="N868" s="10">
        <f>CHOOSE(CONTROL!$C$42, 29.56, 29.56) * CHOOSE(CONTROL!$C$21, $C$9, 100%, $E$9)</f>
        <v>29.56</v>
      </c>
      <c r="O868" s="10">
        <f>CHOOSE(CONTROL!$C$42, 29.7892, 29.7892) * CHOOSE(CONTROL!$C$21, $C$9, 100%, $E$9)</f>
        <v>29.789200000000001</v>
      </c>
      <c r="P868" s="10">
        <f>CHOOSE(CONTROL!$C$42, 29.5714, 29.5714) * CHOOSE(CONTROL!$C$21, $C$9, 100%, $E$9)</f>
        <v>29.571400000000001</v>
      </c>
      <c r="Q868" s="10">
        <f>CHOOSE(CONTROL!$C$42, 30.3845, 30.3845) * CHOOSE(CONTROL!$C$21, $C$9, 100%, $E$9)</f>
        <v>30.384499999999999</v>
      </c>
      <c r="R868" s="10">
        <f>CHOOSE(CONTROL!$C$42, 31.0474, 31.0474) * CHOOSE(CONTROL!$C$21, $C$9, 100%, $E$9)</f>
        <v>31.0474</v>
      </c>
      <c r="S868" s="10">
        <f>CHOOSE(CONTROL!$C$42, 29.0066, 29.0066) * CHOOSE(CONTROL!$C$21, $C$9, 100%, $E$9)</f>
        <v>29.006599999999999</v>
      </c>
      <c r="T8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38">
        <f>(1000*CHOOSE(CONTROL!$C$42, 695, 695)*CHOOSE(CONTROL!$C$42, 0.5599, 0.5599)*CHOOSE(CONTROL!$C$42, 30, 30))/1000000</f>
        <v>11.673914999999997</v>
      </c>
      <c r="V868" s="38">
        <f>(1000*CHOOSE(CONTROL!$C$42, 500, 500)*CHOOSE(CONTROL!$C$42, 0.275, 0.275)*CHOOSE(CONTROL!$C$42, 30, 30))/1000000</f>
        <v>4.125</v>
      </c>
      <c r="W868" s="38">
        <f>(1000*CHOOSE(CONTROL!$C$42, 0.1146, 0.1146)*CHOOSE(CONTROL!$C$42, 121.5, 121.5)*CHOOSE(CONTROL!$C$42, 30, 30))/1000000</f>
        <v>0.417717</v>
      </c>
      <c r="X868" s="38">
        <f>(30*0.1790888*245000/1000000)+(30*0.2374*100000/1000000)</f>
        <v>2.0285026799999999</v>
      </c>
      <c r="Y868" s="38">
        <f>(1000*600*CHOOSE(CONTROL!$C$42, 1.0585, 1.0585)*CHOOSE(CONTROL!$C$42, 30, 30))/1000000</f>
        <v>19.053000000000001</v>
      </c>
      <c r="Z868" s="38"/>
      <c r="AA868" s="10"/>
      <c r="AB868" s="39"/>
      <c r="AC868" s="33">
        <f>(B868*141.293+C868*267.993+D868*115.016+E868*89.698+F868*40+G868*185+H868*0+I868*100+J868*300)/(141.293+267.993+115.016+89.698+0+40+185+100+300)</f>
        <v>29.891470943179989</v>
      </c>
      <c r="AD868" s="27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29.659962589928057</v>
      </c>
    </row>
    <row r="869" spans="1:30" ht="15.75" x14ac:dyDescent="0.25">
      <c r="A869" s="13">
        <v>67723</v>
      </c>
      <c r="B869" s="10">
        <f>CHOOSE(CONTROL!$C$42, 30.1383, 30.1383) * CHOOSE(CONTROL!$C$21, $C$9, 100%, $E$9)</f>
        <v>30.138300000000001</v>
      </c>
      <c r="C869" s="10">
        <f>CHOOSE(CONTROL!$C$42, 30.1462, 30.1462) * CHOOSE(CONTROL!$C$21, $C$9, 100%, $E$9)</f>
        <v>30.1462</v>
      </c>
      <c r="D869" s="10">
        <f>CHOOSE(CONTROL!$C$42, 30.3232, 30.3232) * CHOOSE(CONTROL!$C$21, $C$9, 100%, $E$9)</f>
        <v>30.3232</v>
      </c>
      <c r="E869" s="10">
        <f>CHOOSE(CONTROL!$C$42, 30.3543, 30.3543) * CHOOSE(CONTROL!$C$21, $C$9, 100%, $E$9)</f>
        <v>30.354299999999999</v>
      </c>
      <c r="F869" s="10">
        <f>CHOOSE(CONTROL!$C$42, 30.1016, 30.1016)*CHOOSE(CONTROL!$C$21, $C$9, 100%, $E$9)</f>
        <v>30.101600000000001</v>
      </c>
      <c r="G869" s="10">
        <f>CHOOSE(CONTROL!$C$42, 30.1181, 30.1181)*CHOOSE(CONTROL!$C$21, $C$9, 100%, $E$9)</f>
        <v>30.118099999999998</v>
      </c>
      <c r="H869" s="10">
        <f>CHOOSE(CONTROL!$C$42, 30.3429, 30.3429) * CHOOSE(CONTROL!$C$21, $C$9, 100%, $E$9)</f>
        <v>30.3429</v>
      </c>
      <c r="I869" s="10">
        <f>CHOOSE(CONTROL!$C$42, 30.1228, 30.1228)* CHOOSE(CONTROL!$C$21, $C$9, 100%, $E$9)</f>
        <v>30.122800000000002</v>
      </c>
      <c r="J869" s="10">
        <f>CHOOSE(CONTROL!$C$42, 30.0946, 30.0946)* CHOOSE(CONTROL!$C$21, $C$9, 100%, $E$9)</f>
        <v>30.0946</v>
      </c>
      <c r="K869" s="10">
        <f>CHOOSE(CONTROL!$C$42, 29.4014, 29.4014) * CHOOSE(CONTROL!$C$21, $C$9, 100%, $E$9)</f>
        <v>29.401399999999999</v>
      </c>
      <c r="L869" s="10">
        <f>CHOOSE(CONTROL!$C$42, 30.9299, 30.9299) * CHOOSE(CONTROL!$C$21, $C$9, 100%, $E$9)</f>
        <v>30.9299</v>
      </c>
      <c r="M869" s="10">
        <f>CHOOSE(CONTROL!$C$42, 29.8047, 29.8047) * CHOOSE(CONTROL!$C$21, $C$9, 100%, $E$9)</f>
        <v>29.8047</v>
      </c>
      <c r="N869" s="10">
        <f>CHOOSE(CONTROL!$C$42, 29.8211, 29.8211) * CHOOSE(CONTROL!$C$21, $C$9, 100%, $E$9)</f>
        <v>29.821100000000001</v>
      </c>
      <c r="O869" s="10">
        <f>CHOOSE(CONTROL!$C$42, 30.0505, 30.0505) * CHOOSE(CONTROL!$C$21, $C$9, 100%, $E$9)</f>
        <v>30.0505</v>
      </c>
      <c r="P869" s="10">
        <f>CHOOSE(CONTROL!$C$42, 29.8327, 29.8327) * CHOOSE(CONTROL!$C$21, $C$9, 100%, $E$9)</f>
        <v>29.832699999999999</v>
      </c>
      <c r="Q869" s="10">
        <f>CHOOSE(CONTROL!$C$42, 30.6458, 30.6458) * CHOOSE(CONTROL!$C$21, $C$9, 100%, $E$9)</f>
        <v>30.645800000000001</v>
      </c>
      <c r="R869" s="10">
        <f>CHOOSE(CONTROL!$C$42, 31.3095, 31.3095) * CHOOSE(CONTROL!$C$21, $C$9, 100%, $E$9)</f>
        <v>31.3095</v>
      </c>
      <c r="S869" s="10">
        <f>CHOOSE(CONTROL!$C$42, 29.263, 29.263) * CHOOSE(CONTROL!$C$21, $C$9, 100%, $E$9)</f>
        <v>29.263000000000002</v>
      </c>
      <c r="T8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38">
        <f>(1000*CHOOSE(CONTROL!$C$42, 695, 695)*CHOOSE(CONTROL!$C$42, 0.5599, 0.5599)*CHOOSE(CONTROL!$C$42, 31, 31))/1000000</f>
        <v>12.063045499999998</v>
      </c>
      <c r="V869" s="38">
        <f>(1000*CHOOSE(CONTROL!$C$42, 500, 500)*CHOOSE(CONTROL!$C$42, 0.275, 0.275)*CHOOSE(CONTROL!$C$42, 31, 31))/1000000</f>
        <v>4.2625000000000002</v>
      </c>
      <c r="W869" s="38">
        <f>(1000*CHOOSE(CONTROL!$C$42, 0.1146, 0.1146)*CHOOSE(CONTROL!$C$42, 121.5, 121.5)*CHOOSE(CONTROL!$C$42, 31, 31))/1000000</f>
        <v>0.43164089999999994</v>
      </c>
      <c r="X869" s="38">
        <f>(31*0.1790888*245000/1000000)+(31*0.2374*100000/1000000)</f>
        <v>2.0961194359999999</v>
      </c>
      <c r="Y869" s="38">
        <f>(1000*600*CHOOSE(CONTROL!$C$42, 1.0585, 1.0585)*CHOOSE(CONTROL!$C$42, 31, 31))/1000000</f>
        <v>19.688099999999999</v>
      </c>
      <c r="Z869" s="38"/>
      <c r="AA869" s="10"/>
      <c r="AB869" s="39"/>
      <c r="AC869" s="33">
        <f>(B869*194.205+C869*267.466+D869*133.845+E869*53.484+F869*40+G869*185+H869*0+I869*100+J869*300)/(194.205+267.466+133.845+53.484+0+40+185+100+300)</f>
        <v>30.152859235400314</v>
      </c>
      <c r="AD869" s="27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29.921078417266187</v>
      </c>
    </row>
    <row r="870" spans="1:30" ht="15.75" x14ac:dyDescent="0.25">
      <c r="A870" s="13">
        <v>67753</v>
      </c>
      <c r="B870" s="10">
        <f>CHOOSE(CONTROL!$C$42, 30.993, 30.993) * CHOOSE(CONTROL!$C$21, $C$9, 100%, $E$9)</f>
        <v>30.992999999999999</v>
      </c>
      <c r="C870" s="10">
        <f>CHOOSE(CONTROL!$C$42, 31.0009, 31.0009) * CHOOSE(CONTROL!$C$21, $C$9, 100%, $E$9)</f>
        <v>31.000900000000001</v>
      </c>
      <c r="D870" s="10">
        <f>CHOOSE(CONTROL!$C$42, 31.1779, 31.1779) * CHOOSE(CONTROL!$C$21, $C$9, 100%, $E$9)</f>
        <v>31.177900000000001</v>
      </c>
      <c r="E870" s="10">
        <f>CHOOSE(CONTROL!$C$42, 31.209, 31.209) * CHOOSE(CONTROL!$C$21, $C$9, 100%, $E$9)</f>
        <v>31.209</v>
      </c>
      <c r="F870" s="10">
        <f>CHOOSE(CONTROL!$C$42, 30.9565, 30.9565)*CHOOSE(CONTROL!$C$21, $C$9, 100%, $E$9)</f>
        <v>30.956499999999998</v>
      </c>
      <c r="G870" s="10">
        <f>CHOOSE(CONTROL!$C$42, 30.9731, 30.9731)*CHOOSE(CONTROL!$C$21, $C$9, 100%, $E$9)</f>
        <v>30.973099999999999</v>
      </c>
      <c r="H870" s="10">
        <f>CHOOSE(CONTROL!$C$42, 31.1977, 31.1977) * CHOOSE(CONTROL!$C$21, $C$9, 100%, $E$9)</f>
        <v>31.197700000000001</v>
      </c>
      <c r="I870" s="10">
        <f>CHOOSE(CONTROL!$C$42, 30.9776, 30.9776)* CHOOSE(CONTROL!$C$21, $C$9, 100%, $E$9)</f>
        <v>30.977599999999999</v>
      </c>
      <c r="J870" s="10">
        <f>CHOOSE(CONTROL!$C$42, 30.9495, 30.9495)* CHOOSE(CONTROL!$C$21, $C$9, 100%, $E$9)</f>
        <v>30.9495</v>
      </c>
      <c r="K870" s="10">
        <f>CHOOSE(CONTROL!$C$42, 30.2322, 30.2322) * CHOOSE(CONTROL!$C$21, $C$9, 100%, $E$9)</f>
        <v>30.232199999999999</v>
      </c>
      <c r="L870" s="10">
        <f>CHOOSE(CONTROL!$C$42, 31.7847, 31.7847) * CHOOSE(CONTROL!$C$21, $C$9, 100%, $E$9)</f>
        <v>31.784700000000001</v>
      </c>
      <c r="M870" s="10">
        <f>CHOOSE(CONTROL!$C$42, 30.651, 30.651) * CHOOSE(CONTROL!$C$21, $C$9, 100%, $E$9)</f>
        <v>30.651</v>
      </c>
      <c r="N870" s="10">
        <f>CHOOSE(CONTROL!$C$42, 30.6674, 30.6674) * CHOOSE(CONTROL!$C$21, $C$9, 100%, $E$9)</f>
        <v>30.667400000000001</v>
      </c>
      <c r="O870" s="10">
        <f>CHOOSE(CONTROL!$C$42, 30.8967, 30.8967) * CHOOSE(CONTROL!$C$21, $C$9, 100%, $E$9)</f>
        <v>30.896699999999999</v>
      </c>
      <c r="P870" s="10">
        <f>CHOOSE(CONTROL!$C$42, 30.6788, 30.6788) * CHOOSE(CONTROL!$C$21, $C$9, 100%, $E$9)</f>
        <v>30.678799999999999</v>
      </c>
      <c r="Q870" s="10">
        <f>CHOOSE(CONTROL!$C$42, 31.492, 31.492) * CHOOSE(CONTROL!$C$21, $C$9, 100%, $E$9)</f>
        <v>31.492000000000001</v>
      </c>
      <c r="R870" s="10">
        <f>CHOOSE(CONTROL!$C$42, 32.1577, 32.1577) * CHOOSE(CONTROL!$C$21, $C$9, 100%, $E$9)</f>
        <v>32.157699999999998</v>
      </c>
      <c r="S870" s="10">
        <f>CHOOSE(CONTROL!$C$42, 30.0931, 30.0931) * CHOOSE(CONTROL!$C$21, $C$9, 100%, $E$9)</f>
        <v>30.0931</v>
      </c>
      <c r="T8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38">
        <f>(1000*CHOOSE(CONTROL!$C$42, 695, 695)*CHOOSE(CONTROL!$C$42, 0.5599, 0.5599)*CHOOSE(CONTROL!$C$42, 30, 30))/1000000</f>
        <v>11.673914999999997</v>
      </c>
      <c r="V870" s="38">
        <f>(1000*CHOOSE(CONTROL!$C$42, 500, 500)*CHOOSE(CONTROL!$C$42, 0.275, 0.275)*CHOOSE(CONTROL!$C$42, 30, 30))/1000000</f>
        <v>4.125</v>
      </c>
      <c r="W870" s="38">
        <f>(1000*CHOOSE(CONTROL!$C$42, 0.1146, 0.1146)*CHOOSE(CONTROL!$C$42, 121.5, 121.5)*CHOOSE(CONTROL!$C$42, 30, 30))/1000000</f>
        <v>0.417717</v>
      </c>
      <c r="X870" s="38">
        <f>(30*0.1790888*245000/1000000)+(30*0.2374*100000/1000000)</f>
        <v>2.0285026799999999</v>
      </c>
      <c r="Y870" s="38">
        <f>(1000*600*CHOOSE(CONTROL!$C$42, 1.0585, 1.0585)*CHOOSE(CONTROL!$C$42, 30, 30))/1000000</f>
        <v>19.053000000000001</v>
      </c>
      <c r="Z870" s="38"/>
      <c r="AA870" s="10"/>
      <c r="AB870" s="39"/>
      <c r="AC870" s="33">
        <f>(B870*194.205+C870*267.466+D870*133.845+E870*53.484+F870*40+G870*185+H870*0+I870*100+J870*300)/(194.205+267.466+133.845+53.484+0+40+185+100+300)</f>
        <v>31.007664023469385</v>
      </c>
      <c r="AD870" s="27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30.767304316546763</v>
      </c>
    </row>
    <row r="871" spans="1:30" ht="15.75" x14ac:dyDescent="0.25">
      <c r="A871" s="13">
        <v>67784</v>
      </c>
      <c r="B871" s="10">
        <f>CHOOSE(CONTROL!$C$42, 30.3985, 30.3985) * CHOOSE(CONTROL!$C$21, $C$9, 100%, $E$9)</f>
        <v>30.398499999999999</v>
      </c>
      <c r="C871" s="10">
        <f>CHOOSE(CONTROL!$C$42, 30.4064, 30.4064) * CHOOSE(CONTROL!$C$21, $C$9, 100%, $E$9)</f>
        <v>30.406400000000001</v>
      </c>
      <c r="D871" s="10">
        <f>CHOOSE(CONTROL!$C$42, 30.5834, 30.5834) * CHOOSE(CONTROL!$C$21, $C$9, 100%, $E$9)</f>
        <v>30.583400000000001</v>
      </c>
      <c r="E871" s="10">
        <f>CHOOSE(CONTROL!$C$42, 30.6146, 30.6146) * CHOOSE(CONTROL!$C$21, $C$9, 100%, $E$9)</f>
        <v>30.614599999999999</v>
      </c>
      <c r="F871" s="10">
        <f>CHOOSE(CONTROL!$C$42, 30.3623, 30.3623)*CHOOSE(CONTROL!$C$21, $C$9, 100%, $E$9)</f>
        <v>30.362300000000001</v>
      </c>
      <c r="G871" s="10">
        <f>CHOOSE(CONTROL!$C$42, 30.3789, 30.3789)*CHOOSE(CONTROL!$C$21, $C$9, 100%, $E$9)</f>
        <v>30.378900000000002</v>
      </c>
      <c r="H871" s="10">
        <f>CHOOSE(CONTROL!$C$42, 30.6032, 30.6032) * CHOOSE(CONTROL!$C$21, $C$9, 100%, $E$9)</f>
        <v>30.603200000000001</v>
      </c>
      <c r="I871" s="10">
        <f>CHOOSE(CONTROL!$C$42, 30.3831, 30.3831)* CHOOSE(CONTROL!$C$21, $C$9, 100%, $E$9)</f>
        <v>30.383099999999999</v>
      </c>
      <c r="J871" s="10">
        <f>CHOOSE(CONTROL!$C$42, 30.3553, 30.3553)* CHOOSE(CONTROL!$C$21, $C$9, 100%, $E$9)</f>
        <v>30.3553</v>
      </c>
      <c r="K871" s="10">
        <f>CHOOSE(CONTROL!$C$42, 29.6552, 29.6552) * CHOOSE(CONTROL!$C$21, $C$9, 100%, $E$9)</f>
        <v>29.655200000000001</v>
      </c>
      <c r="L871" s="10">
        <f>CHOOSE(CONTROL!$C$42, 31.1902, 31.1902) * CHOOSE(CONTROL!$C$21, $C$9, 100%, $E$9)</f>
        <v>31.190200000000001</v>
      </c>
      <c r="M871" s="10">
        <f>CHOOSE(CONTROL!$C$42, 30.0628, 30.0628) * CHOOSE(CONTROL!$C$21, $C$9, 100%, $E$9)</f>
        <v>30.062799999999999</v>
      </c>
      <c r="N871" s="10">
        <f>CHOOSE(CONTROL!$C$42, 30.0792, 30.0792) * CHOOSE(CONTROL!$C$21, $C$9, 100%, $E$9)</f>
        <v>30.0792</v>
      </c>
      <c r="O871" s="10">
        <f>CHOOSE(CONTROL!$C$42, 30.3082, 30.3082) * CHOOSE(CONTROL!$C$21, $C$9, 100%, $E$9)</f>
        <v>30.308199999999999</v>
      </c>
      <c r="P871" s="10">
        <f>CHOOSE(CONTROL!$C$42, 30.0904, 30.0904) * CHOOSE(CONTROL!$C$21, $C$9, 100%, $E$9)</f>
        <v>30.090399999999999</v>
      </c>
      <c r="Q871" s="10">
        <f>CHOOSE(CONTROL!$C$42, 30.9035, 30.9035) * CHOOSE(CONTROL!$C$21, $C$9, 100%, $E$9)</f>
        <v>30.903500000000001</v>
      </c>
      <c r="R871" s="10">
        <f>CHOOSE(CONTROL!$C$42, 31.5677, 31.5677) * CHOOSE(CONTROL!$C$21, $C$9, 100%, $E$9)</f>
        <v>31.567699999999999</v>
      </c>
      <c r="S871" s="10">
        <f>CHOOSE(CONTROL!$C$42, 29.5158, 29.5158) * CHOOSE(CONTROL!$C$21, $C$9, 100%, $E$9)</f>
        <v>29.515799999999999</v>
      </c>
      <c r="T8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38">
        <f>(1000*CHOOSE(CONTROL!$C$42, 695, 695)*CHOOSE(CONTROL!$C$42, 0.5599, 0.5599)*CHOOSE(CONTROL!$C$42, 31, 31))/1000000</f>
        <v>12.063045499999998</v>
      </c>
      <c r="V871" s="38">
        <f>(1000*CHOOSE(CONTROL!$C$42, 500, 500)*CHOOSE(CONTROL!$C$42, 0.275, 0.275)*CHOOSE(CONTROL!$C$42, 31, 31))/1000000</f>
        <v>4.2625000000000002</v>
      </c>
      <c r="W871" s="38">
        <f>(1000*CHOOSE(CONTROL!$C$42, 0.1146, 0.1146)*CHOOSE(CONTROL!$C$42, 121.5, 121.5)*CHOOSE(CONTROL!$C$42, 31, 31))/1000000</f>
        <v>0.43164089999999994</v>
      </c>
      <c r="X871" s="38">
        <f>(31*0.1790888*245000/1000000)+(31*0.2374*100000/1000000)</f>
        <v>2.0961194359999999</v>
      </c>
      <c r="Y871" s="38">
        <f>(1000*600*CHOOSE(CONTROL!$C$42, 1.0585, 1.0585)*CHOOSE(CONTROL!$C$42, 31, 31))/1000000</f>
        <v>19.688099999999999</v>
      </c>
      <c r="Z871" s="38"/>
      <c r="AA871" s="10"/>
      <c r="AB871" s="39"/>
      <c r="AC871" s="33">
        <f>(B871*194.205+C871*267.466+D871*133.845+E871*53.484+F871*40+G871*185+H871*0+I871*100+J871*300)/(194.205+267.466+133.845+53.484+0+40+185+100+300)</f>
        <v>30.413291847959186</v>
      </c>
      <c r="AD871" s="27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30.178939568345324</v>
      </c>
    </row>
    <row r="872" spans="1:30" ht="15.75" x14ac:dyDescent="0.25">
      <c r="A872" s="13">
        <v>67815</v>
      </c>
      <c r="B872" s="10">
        <f>CHOOSE(CONTROL!$C$42, 28.8972, 28.8972) * CHOOSE(CONTROL!$C$21, $C$9, 100%, $E$9)</f>
        <v>28.897200000000002</v>
      </c>
      <c r="C872" s="10">
        <f>CHOOSE(CONTROL!$C$42, 28.9052, 28.9052) * CHOOSE(CONTROL!$C$21, $C$9, 100%, $E$9)</f>
        <v>28.905200000000001</v>
      </c>
      <c r="D872" s="10">
        <f>CHOOSE(CONTROL!$C$42, 29.0822, 29.0822) * CHOOSE(CONTROL!$C$21, $C$9, 100%, $E$9)</f>
        <v>29.0822</v>
      </c>
      <c r="E872" s="10">
        <f>CHOOSE(CONTROL!$C$42, 29.1133, 29.1133) * CHOOSE(CONTROL!$C$21, $C$9, 100%, $E$9)</f>
        <v>29.113299999999999</v>
      </c>
      <c r="F872" s="10">
        <f>CHOOSE(CONTROL!$C$42, 28.8611, 28.8611)*CHOOSE(CONTROL!$C$21, $C$9, 100%, $E$9)</f>
        <v>28.8611</v>
      </c>
      <c r="G872" s="10">
        <f>CHOOSE(CONTROL!$C$42, 28.8777, 28.8777)*CHOOSE(CONTROL!$C$21, $C$9, 100%, $E$9)</f>
        <v>28.877700000000001</v>
      </c>
      <c r="H872" s="10">
        <f>CHOOSE(CONTROL!$C$42, 29.1019, 29.1019) * CHOOSE(CONTROL!$C$21, $C$9, 100%, $E$9)</f>
        <v>29.101900000000001</v>
      </c>
      <c r="I872" s="10">
        <f>CHOOSE(CONTROL!$C$42, 28.8818, 28.8818)* CHOOSE(CONTROL!$C$21, $C$9, 100%, $E$9)</f>
        <v>28.881799999999998</v>
      </c>
      <c r="J872" s="10">
        <f>CHOOSE(CONTROL!$C$42, 28.8541, 28.8541)* CHOOSE(CONTROL!$C$21, $C$9, 100%, $E$9)</f>
        <v>28.854099999999999</v>
      </c>
      <c r="K872" s="10">
        <f>CHOOSE(CONTROL!$C$42, 28.1967, 28.1967) * CHOOSE(CONTROL!$C$21, $C$9, 100%, $E$9)</f>
        <v>28.1967</v>
      </c>
      <c r="L872" s="10">
        <f>CHOOSE(CONTROL!$C$42, 29.6889, 29.6889) * CHOOSE(CONTROL!$C$21, $C$9, 100%, $E$9)</f>
        <v>29.6889</v>
      </c>
      <c r="M872" s="10">
        <f>CHOOSE(CONTROL!$C$42, 28.5767, 28.5767) * CHOOSE(CONTROL!$C$21, $C$9, 100%, $E$9)</f>
        <v>28.576699999999999</v>
      </c>
      <c r="N872" s="10">
        <f>CHOOSE(CONTROL!$C$42, 28.5932, 28.5932) * CHOOSE(CONTROL!$C$21, $C$9, 100%, $E$9)</f>
        <v>28.5932</v>
      </c>
      <c r="O872" s="10">
        <f>CHOOSE(CONTROL!$C$42, 28.8221, 28.8221) * CHOOSE(CONTROL!$C$21, $C$9, 100%, $E$9)</f>
        <v>28.822099999999999</v>
      </c>
      <c r="P872" s="10">
        <f>CHOOSE(CONTROL!$C$42, 28.6042, 28.6042) * CHOOSE(CONTROL!$C$21, $C$9, 100%, $E$9)</f>
        <v>28.604199999999999</v>
      </c>
      <c r="Q872" s="10">
        <f>CHOOSE(CONTROL!$C$42, 29.4174, 29.4174) * CHOOSE(CONTROL!$C$21, $C$9, 100%, $E$9)</f>
        <v>29.417400000000001</v>
      </c>
      <c r="R872" s="10">
        <f>CHOOSE(CONTROL!$C$42, 30.0779, 30.0779) * CHOOSE(CONTROL!$C$21, $C$9, 100%, $E$9)</f>
        <v>30.0779</v>
      </c>
      <c r="S872" s="10">
        <f>CHOOSE(CONTROL!$C$42, 28.0579, 28.0579) * CHOOSE(CONTROL!$C$21, $C$9, 100%, $E$9)</f>
        <v>28.0579</v>
      </c>
      <c r="T8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38">
        <f>(1000*CHOOSE(CONTROL!$C$42, 695, 695)*CHOOSE(CONTROL!$C$42, 0.5599, 0.5599)*CHOOSE(CONTROL!$C$42, 31, 31))/1000000</f>
        <v>12.063045499999998</v>
      </c>
      <c r="V872" s="38">
        <f>(1000*CHOOSE(CONTROL!$C$42, 500, 500)*CHOOSE(CONTROL!$C$42, 0.275, 0.275)*CHOOSE(CONTROL!$C$42, 31, 31))/1000000</f>
        <v>4.2625000000000002</v>
      </c>
      <c r="W872" s="38">
        <f>(1000*CHOOSE(CONTROL!$C$42, 0.1146, 0.1146)*CHOOSE(CONTROL!$C$42, 121.5, 121.5)*CHOOSE(CONTROL!$C$42, 31, 31))/1000000</f>
        <v>0.43164089999999994</v>
      </c>
      <c r="X872" s="38">
        <f>(31*0.1790888*245000/1000000)+(31*0.2374*100000/1000000)</f>
        <v>2.0961194359999999</v>
      </c>
      <c r="Y872" s="38">
        <f>(1000*600*CHOOSE(CONTROL!$C$42, 1.0585, 1.0585)*CHOOSE(CONTROL!$C$42, 31, 31))/1000000</f>
        <v>19.688099999999999</v>
      </c>
      <c r="Z872" s="38"/>
      <c r="AA872" s="10"/>
      <c r="AB872" s="39"/>
      <c r="AC872" s="33">
        <f>(B872*194.205+C872*267.466+D872*133.845+E872*53.484+F872*40+G872*185+H872*0+I872*100+J872*300)/(194.205+267.466+133.845+53.484+0+40+185+100+300)</f>
        <v>28.912064556828891</v>
      </c>
      <c r="AD872" s="27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28.692830935251802</v>
      </c>
    </row>
    <row r="873" spans="1:30" ht="15.75" x14ac:dyDescent="0.25">
      <c r="A873" s="13">
        <v>67845</v>
      </c>
      <c r="B873" s="10">
        <f>CHOOSE(CONTROL!$C$42, 27.063, 27.063) * CHOOSE(CONTROL!$C$21, $C$9, 100%, $E$9)</f>
        <v>27.062999999999999</v>
      </c>
      <c r="C873" s="10">
        <f>CHOOSE(CONTROL!$C$42, 27.0709, 27.0709) * CHOOSE(CONTROL!$C$21, $C$9, 100%, $E$9)</f>
        <v>27.070900000000002</v>
      </c>
      <c r="D873" s="10">
        <f>CHOOSE(CONTROL!$C$42, 27.2479, 27.2479) * CHOOSE(CONTROL!$C$21, $C$9, 100%, $E$9)</f>
        <v>27.247900000000001</v>
      </c>
      <c r="E873" s="10">
        <f>CHOOSE(CONTROL!$C$42, 27.279, 27.279) * CHOOSE(CONTROL!$C$21, $C$9, 100%, $E$9)</f>
        <v>27.279</v>
      </c>
      <c r="F873" s="10">
        <f>CHOOSE(CONTROL!$C$42, 27.0266, 27.0266)*CHOOSE(CONTROL!$C$21, $C$9, 100%, $E$9)</f>
        <v>27.026599999999998</v>
      </c>
      <c r="G873" s="10">
        <f>CHOOSE(CONTROL!$C$42, 27.0431, 27.0431)*CHOOSE(CONTROL!$C$21, $C$9, 100%, $E$9)</f>
        <v>27.043099999999999</v>
      </c>
      <c r="H873" s="10">
        <f>CHOOSE(CONTROL!$C$42, 27.2676, 27.2676) * CHOOSE(CONTROL!$C$21, $C$9, 100%, $E$9)</f>
        <v>27.267600000000002</v>
      </c>
      <c r="I873" s="10">
        <f>CHOOSE(CONTROL!$C$42, 27.0476, 27.0476)* CHOOSE(CONTROL!$C$21, $C$9, 100%, $E$9)</f>
        <v>27.047599999999999</v>
      </c>
      <c r="J873" s="10">
        <f>CHOOSE(CONTROL!$C$42, 27.0196, 27.0196)* CHOOSE(CONTROL!$C$21, $C$9, 100%, $E$9)</f>
        <v>27.019600000000001</v>
      </c>
      <c r="K873" s="10">
        <f>CHOOSE(CONTROL!$C$42, 26.414, 26.414) * CHOOSE(CONTROL!$C$21, $C$9, 100%, $E$9)</f>
        <v>26.414000000000001</v>
      </c>
      <c r="L873" s="10">
        <f>CHOOSE(CONTROL!$C$42, 27.8546, 27.8546) * CHOOSE(CONTROL!$C$21, $C$9, 100%, $E$9)</f>
        <v>27.854600000000001</v>
      </c>
      <c r="M873" s="10">
        <f>CHOOSE(CONTROL!$C$42, 26.7607, 26.7607) * CHOOSE(CONTROL!$C$21, $C$9, 100%, $E$9)</f>
        <v>26.7607</v>
      </c>
      <c r="N873" s="10">
        <f>CHOOSE(CONTROL!$C$42, 26.7771, 26.7771) * CHOOSE(CONTROL!$C$21, $C$9, 100%, $E$9)</f>
        <v>26.777100000000001</v>
      </c>
      <c r="O873" s="10">
        <f>CHOOSE(CONTROL!$C$42, 27.0063, 27.0063) * CHOOSE(CONTROL!$C$21, $C$9, 100%, $E$9)</f>
        <v>27.0063</v>
      </c>
      <c r="P873" s="10">
        <f>CHOOSE(CONTROL!$C$42, 26.7885, 26.7885) * CHOOSE(CONTROL!$C$21, $C$9, 100%, $E$9)</f>
        <v>26.788499999999999</v>
      </c>
      <c r="Q873" s="10">
        <f>CHOOSE(CONTROL!$C$42, 27.6016, 27.6016) * CHOOSE(CONTROL!$C$21, $C$9, 100%, $E$9)</f>
        <v>27.601600000000001</v>
      </c>
      <c r="R873" s="10">
        <f>CHOOSE(CONTROL!$C$42, 28.2576, 28.2576) * CHOOSE(CONTROL!$C$21, $C$9, 100%, $E$9)</f>
        <v>28.2576</v>
      </c>
      <c r="S873" s="10">
        <f>CHOOSE(CONTROL!$C$42, 26.2766, 26.2766) * CHOOSE(CONTROL!$C$21, $C$9, 100%, $E$9)</f>
        <v>26.276599999999998</v>
      </c>
      <c r="T8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38">
        <f>(1000*CHOOSE(CONTROL!$C$42, 695, 695)*CHOOSE(CONTROL!$C$42, 0.5599, 0.5599)*CHOOSE(CONTROL!$C$42, 30, 30))/1000000</f>
        <v>11.673914999999997</v>
      </c>
      <c r="V873" s="38">
        <f>(1000*CHOOSE(CONTROL!$C$42, 500, 500)*CHOOSE(CONTROL!$C$42, 0.275, 0.275)*CHOOSE(CONTROL!$C$42, 30, 30))/1000000</f>
        <v>4.125</v>
      </c>
      <c r="W873" s="38">
        <f>(1000*CHOOSE(CONTROL!$C$42, 0.1146, 0.1146)*CHOOSE(CONTROL!$C$42, 121.5, 121.5)*CHOOSE(CONTROL!$C$42, 30, 30))/1000000</f>
        <v>0.417717</v>
      </c>
      <c r="X873" s="38">
        <f>(30*0.1790888*245000/1000000)+(30*0.2374*100000/1000000)</f>
        <v>2.0285026799999999</v>
      </c>
      <c r="Y873" s="38">
        <f>(1000*600*CHOOSE(CONTROL!$C$42, 1.0585, 1.0585)*CHOOSE(CONTROL!$C$42, 30, 30))/1000000</f>
        <v>19.053000000000001</v>
      </c>
      <c r="Z873" s="38"/>
      <c r="AA873" s="10"/>
      <c r="AB873" s="39"/>
      <c r="AC873" s="33">
        <f>(B873*194.205+C873*267.466+D873*133.845+E873*53.484+F873*40+G873*185+H873*0+I873*100+J873*300)/(194.205+267.466+133.845+53.484+0+40+185+100+300)</f>
        <v>27.0776907110675</v>
      </c>
      <c r="AD873" s="27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26.876958992805754</v>
      </c>
    </row>
    <row r="874" spans="1:30" ht="15.75" x14ac:dyDescent="0.25">
      <c r="A874" s="13">
        <v>67876</v>
      </c>
      <c r="B874" s="10">
        <f>CHOOSE(CONTROL!$C$42, 26.5114, 26.5114) * CHOOSE(CONTROL!$C$21, $C$9, 100%, $E$9)</f>
        <v>26.511399999999998</v>
      </c>
      <c r="C874" s="10">
        <f>CHOOSE(CONTROL!$C$42, 26.5167, 26.5167) * CHOOSE(CONTROL!$C$21, $C$9, 100%, $E$9)</f>
        <v>26.5167</v>
      </c>
      <c r="D874" s="10">
        <f>CHOOSE(CONTROL!$C$42, 26.6986, 26.6986) * CHOOSE(CONTROL!$C$21, $C$9, 100%, $E$9)</f>
        <v>26.698599999999999</v>
      </c>
      <c r="E874" s="10">
        <f>CHOOSE(CONTROL!$C$42, 26.7274, 26.7274) * CHOOSE(CONTROL!$C$21, $C$9, 100%, $E$9)</f>
        <v>26.727399999999999</v>
      </c>
      <c r="F874" s="10">
        <f>CHOOSE(CONTROL!$C$42, 26.4771, 26.4771)*CHOOSE(CONTROL!$C$21, $C$9, 100%, $E$9)</f>
        <v>26.4771</v>
      </c>
      <c r="G874" s="10">
        <f>CHOOSE(CONTROL!$C$42, 26.4933, 26.4933)*CHOOSE(CONTROL!$C$21, $C$9, 100%, $E$9)</f>
        <v>26.493300000000001</v>
      </c>
      <c r="H874" s="10">
        <f>CHOOSE(CONTROL!$C$42, 26.7179, 26.7179) * CHOOSE(CONTROL!$C$21, $C$9, 100%, $E$9)</f>
        <v>26.7179</v>
      </c>
      <c r="I874" s="10">
        <f>CHOOSE(CONTROL!$C$42, 26.4978, 26.4978)* CHOOSE(CONTROL!$C$21, $C$9, 100%, $E$9)</f>
        <v>26.497800000000002</v>
      </c>
      <c r="J874" s="10">
        <f>CHOOSE(CONTROL!$C$42, 26.4701, 26.4701)* CHOOSE(CONTROL!$C$21, $C$9, 100%, $E$9)</f>
        <v>26.470099999999999</v>
      </c>
      <c r="K874" s="10">
        <f>CHOOSE(CONTROL!$C$42, 25.8804, 25.8804) * CHOOSE(CONTROL!$C$21, $C$9, 100%, $E$9)</f>
        <v>25.880400000000002</v>
      </c>
      <c r="L874" s="10">
        <f>CHOOSE(CONTROL!$C$42, 27.3049, 27.3049) * CHOOSE(CONTROL!$C$21, $C$9, 100%, $E$9)</f>
        <v>27.3049</v>
      </c>
      <c r="M874" s="10">
        <f>CHOOSE(CONTROL!$C$42, 26.2168, 26.2168) * CHOOSE(CONTROL!$C$21, $C$9, 100%, $E$9)</f>
        <v>26.216799999999999</v>
      </c>
      <c r="N874" s="10">
        <f>CHOOSE(CONTROL!$C$42, 26.2328, 26.2328) * CHOOSE(CONTROL!$C$21, $C$9, 100%, $E$9)</f>
        <v>26.232800000000001</v>
      </c>
      <c r="O874" s="10">
        <f>CHOOSE(CONTROL!$C$42, 26.4621, 26.4621) * CHOOSE(CONTROL!$C$21, $C$9, 100%, $E$9)</f>
        <v>26.4621</v>
      </c>
      <c r="P874" s="10">
        <f>CHOOSE(CONTROL!$C$42, 26.2443, 26.2443) * CHOOSE(CONTROL!$C$21, $C$9, 100%, $E$9)</f>
        <v>26.244299999999999</v>
      </c>
      <c r="Q874" s="10">
        <f>CHOOSE(CONTROL!$C$42, 27.0574, 27.0574) * CHOOSE(CONTROL!$C$21, $C$9, 100%, $E$9)</f>
        <v>27.057400000000001</v>
      </c>
      <c r="R874" s="10">
        <f>CHOOSE(CONTROL!$C$42, 27.712, 27.712) * CHOOSE(CONTROL!$C$21, $C$9, 100%, $E$9)</f>
        <v>27.712</v>
      </c>
      <c r="S874" s="10">
        <f>CHOOSE(CONTROL!$C$42, 25.7427, 25.7427) * CHOOSE(CONTROL!$C$21, $C$9, 100%, $E$9)</f>
        <v>25.742699999999999</v>
      </c>
      <c r="T8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38">
        <f>(1000*CHOOSE(CONTROL!$C$42, 695, 695)*CHOOSE(CONTROL!$C$42, 0.5599, 0.5599)*CHOOSE(CONTROL!$C$42, 31, 31))/1000000</f>
        <v>12.063045499999998</v>
      </c>
      <c r="V874" s="38">
        <f>(1000*CHOOSE(CONTROL!$C$42, 500, 500)*CHOOSE(CONTROL!$C$42, 0.275, 0.275)*CHOOSE(CONTROL!$C$42, 31, 31))/1000000</f>
        <v>4.2625000000000002</v>
      </c>
      <c r="W874" s="38">
        <f>(1000*CHOOSE(CONTROL!$C$42, 0.1146, 0.1146)*CHOOSE(CONTROL!$C$42, 121.5, 121.5)*CHOOSE(CONTROL!$C$42, 31, 31))/1000000</f>
        <v>0.43164089999999994</v>
      </c>
      <c r="X874" s="38">
        <f>(31*0.1790888*245000/1000000)+(31*0.2374*100000/1000000)</f>
        <v>2.0961194359999999</v>
      </c>
      <c r="Y874" s="38">
        <f>(1000*600*CHOOSE(CONTROL!$C$42, 1.0585, 1.0585)*CHOOSE(CONTROL!$C$42, 31, 31))/1000000</f>
        <v>19.688099999999999</v>
      </c>
      <c r="Z874" s="38"/>
      <c r="AA874" s="10"/>
      <c r="AB874" s="39"/>
      <c r="AC874" s="33">
        <f>(B874*131.881+C874*277.167+D874*79.08+E874*125.872+F874*40+G874*185+H874*0+I874*100+J874*300)/(131.881+277.167+79.08+125.872+0+40+185+100+300)</f>
        <v>26.531569986359965</v>
      </c>
      <c r="AD874" s="27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26.332856834532375</v>
      </c>
    </row>
    <row r="875" spans="1:30" ht="15.75" x14ac:dyDescent="0.25">
      <c r="A875" s="13">
        <v>67906</v>
      </c>
      <c r="B875" s="10">
        <f>CHOOSE(CONTROL!$C$42, 27.2094, 27.2094) * CHOOSE(CONTROL!$C$21, $C$9, 100%, $E$9)</f>
        <v>27.209399999999999</v>
      </c>
      <c r="C875" s="10">
        <f>CHOOSE(CONTROL!$C$42, 27.2143, 27.2143) * CHOOSE(CONTROL!$C$21, $C$9, 100%, $E$9)</f>
        <v>27.214300000000001</v>
      </c>
      <c r="D875" s="10">
        <f>CHOOSE(CONTROL!$C$42, 27.2388, 27.2388) * CHOOSE(CONTROL!$C$21, $C$9, 100%, $E$9)</f>
        <v>27.238800000000001</v>
      </c>
      <c r="E875" s="10">
        <f>CHOOSE(CONTROL!$C$42, 27.2726, 27.2726) * CHOOSE(CONTROL!$C$21, $C$9, 100%, $E$9)</f>
        <v>27.272600000000001</v>
      </c>
      <c r="F875" s="10">
        <f>CHOOSE(CONTROL!$C$42, 27.1787, 27.1787)*CHOOSE(CONTROL!$C$21, $C$9, 100%, $E$9)</f>
        <v>27.178699999999999</v>
      </c>
      <c r="G875" s="10">
        <f>CHOOSE(CONTROL!$C$42, 27.1951, 27.1951)*CHOOSE(CONTROL!$C$21, $C$9, 100%, $E$9)</f>
        <v>27.1951</v>
      </c>
      <c r="H875" s="10">
        <f>CHOOSE(CONTROL!$C$42, 27.2618, 27.2618) * CHOOSE(CONTROL!$C$21, $C$9, 100%, $E$9)</f>
        <v>27.261800000000001</v>
      </c>
      <c r="I875" s="10">
        <f>CHOOSE(CONTROL!$C$42, 27.1961, 27.1961)* CHOOSE(CONTROL!$C$21, $C$9, 100%, $E$9)</f>
        <v>27.196100000000001</v>
      </c>
      <c r="J875" s="10">
        <f>CHOOSE(CONTROL!$C$42, 27.1717, 27.1717)* CHOOSE(CONTROL!$C$21, $C$9, 100%, $E$9)</f>
        <v>27.171700000000001</v>
      </c>
      <c r="K875" s="10">
        <f>CHOOSE(CONTROL!$C$42, 26.5604, 26.5604) * CHOOSE(CONTROL!$C$21, $C$9, 100%, $E$9)</f>
        <v>26.560400000000001</v>
      </c>
      <c r="L875" s="10">
        <f>CHOOSE(CONTROL!$C$42, 27.8488, 27.8488) * CHOOSE(CONTROL!$C$21, $C$9, 100%, $E$9)</f>
        <v>27.848800000000001</v>
      </c>
      <c r="M875" s="10">
        <f>CHOOSE(CONTROL!$C$42, 26.9113, 26.9113) * CHOOSE(CONTROL!$C$21, $C$9, 100%, $E$9)</f>
        <v>26.911300000000001</v>
      </c>
      <c r="N875" s="10">
        <f>CHOOSE(CONTROL!$C$42, 26.9276, 26.9276) * CHOOSE(CONTROL!$C$21, $C$9, 100%, $E$9)</f>
        <v>26.927600000000002</v>
      </c>
      <c r="O875" s="10">
        <f>CHOOSE(CONTROL!$C$42, 27.0005, 27.0005) * CHOOSE(CONTROL!$C$21, $C$9, 100%, $E$9)</f>
        <v>27.000499999999999</v>
      </c>
      <c r="P875" s="10">
        <f>CHOOSE(CONTROL!$C$42, 26.9356, 26.9356) * CHOOSE(CONTROL!$C$21, $C$9, 100%, $E$9)</f>
        <v>26.935600000000001</v>
      </c>
      <c r="Q875" s="10">
        <f>CHOOSE(CONTROL!$C$42, 27.5958, 27.5958) * CHOOSE(CONTROL!$C$21, $C$9, 100%, $E$9)</f>
        <v>27.595800000000001</v>
      </c>
      <c r="R875" s="10">
        <f>CHOOSE(CONTROL!$C$42, 28.2518, 28.2518) * CHOOSE(CONTROL!$C$21, $C$9, 100%, $E$9)</f>
        <v>28.251799999999999</v>
      </c>
      <c r="S875" s="10">
        <f>CHOOSE(CONTROL!$C$42, 26.4209, 26.4209) * CHOOSE(CONTROL!$C$21, $C$9, 100%, $E$9)</f>
        <v>26.4209</v>
      </c>
      <c r="T8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38">
        <f>(1000*CHOOSE(CONTROL!$C$42, 695, 695)*CHOOSE(CONTROL!$C$42, 0.5599, 0.5599)*CHOOSE(CONTROL!$C$42, 30, 30))/1000000</f>
        <v>11.673914999999997</v>
      </c>
      <c r="V875" s="38">
        <f>(1000*CHOOSE(CONTROL!$C$42, 500, 500)*CHOOSE(CONTROL!$C$42, 0.275, 0.275)*CHOOSE(CONTROL!$C$42, 30, 30))/1000000</f>
        <v>4.125</v>
      </c>
      <c r="W875" s="38">
        <f>(1000*CHOOSE(CONTROL!$C$42, 0.1146, 0.1146)*CHOOSE(CONTROL!$C$42, 121.5, 121.5)*CHOOSE(CONTROL!$C$42, 30, 30))/1000000</f>
        <v>0.417717</v>
      </c>
      <c r="X875" s="38">
        <f>(30*0.1790888*100000/1000000)+(30*0.2374*100000/1000000)</f>
        <v>1.2494664</v>
      </c>
      <c r="Y875" s="38">
        <f>(1000*600*CHOOSE(CONTROL!$C$42, 1.0585, 1.0585)*CHOOSE(CONTROL!$C$42, 30, 30))/1000000</f>
        <v>19.053000000000001</v>
      </c>
      <c r="Z875" s="38"/>
      <c r="AA875" s="10"/>
      <c r="AB875" s="39"/>
      <c r="AC875" s="33">
        <f>(B875*122.58+C875*297.941+D875*89.177+E875*40.302+F875*40+G875*160+H875*0+I875*100+J875*300)/(122.58+297.941+89.177+40.302+0+40+160+100+300)</f>
        <v>27.201115479217393</v>
      </c>
      <c r="AD875" s="27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26.956163309352519</v>
      </c>
    </row>
    <row r="876" spans="1:30" ht="15.75" x14ac:dyDescent="0.25">
      <c r="A876" s="13">
        <v>67937</v>
      </c>
      <c r="B876" s="10">
        <f>CHOOSE(CONTROL!$C$42, 29.0643, 29.0643) * CHOOSE(CONTROL!$C$21, $C$9, 100%, $E$9)</f>
        <v>29.064299999999999</v>
      </c>
      <c r="C876" s="10">
        <f>CHOOSE(CONTROL!$C$42, 29.0693, 29.0693) * CHOOSE(CONTROL!$C$21, $C$9, 100%, $E$9)</f>
        <v>29.069299999999998</v>
      </c>
      <c r="D876" s="10">
        <f>CHOOSE(CONTROL!$C$42, 29.0937, 29.0937) * CHOOSE(CONTROL!$C$21, $C$9, 100%, $E$9)</f>
        <v>29.093699999999998</v>
      </c>
      <c r="E876" s="10">
        <f>CHOOSE(CONTROL!$C$42, 29.1275, 29.1275) * CHOOSE(CONTROL!$C$21, $C$9, 100%, $E$9)</f>
        <v>29.127500000000001</v>
      </c>
      <c r="F876" s="10">
        <f>CHOOSE(CONTROL!$C$42, 29.0359, 29.0359)*CHOOSE(CONTROL!$C$21, $C$9, 100%, $E$9)</f>
        <v>29.035900000000002</v>
      </c>
      <c r="G876" s="10">
        <f>CHOOSE(CONTROL!$C$42, 29.053, 29.053)*CHOOSE(CONTROL!$C$21, $C$9, 100%, $E$9)</f>
        <v>29.053000000000001</v>
      </c>
      <c r="H876" s="10">
        <f>CHOOSE(CONTROL!$C$42, 29.1167, 29.1167) * CHOOSE(CONTROL!$C$21, $C$9, 100%, $E$9)</f>
        <v>29.116700000000002</v>
      </c>
      <c r="I876" s="10">
        <f>CHOOSE(CONTROL!$C$42, 29.0511, 29.0511)* CHOOSE(CONTROL!$C$21, $C$9, 100%, $E$9)</f>
        <v>29.051100000000002</v>
      </c>
      <c r="J876" s="10">
        <f>CHOOSE(CONTROL!$C$42, 29.0289, 29.0289)* CHOOSE(CONTROL!$C$21, $C$9, 100%, $E$9)</f>
        <v>29.0289</v>
      </c>
      <c r="K876" s="10">
        <f>CHOOSE(CONTROL!$C$42, 28.3676, 28.3676) * CHOOSE(CONTROL!$C$21, $C$9, 100%, $E$9)</f>
        <v>28.367599999999999</v>
      </c>
      <c r="L876" s="10">
        <f>CHOOSE(CONTROL!$C$42, 29.7037, 29.7037) * CHOOSE(CONTROL!$C$21, $C$9, 100%, $E$9)</f>
        <v>29.703700000000001</v>
      </c>
      <c r="M876" s="10">
        <f>CHOOSE(CONTROL!$C$42, 28.7498, 28.7498) * CHOOSE(CONTROL!$C$21, $C$9, 100%, $E$9)</f>
        <v>28.7498</v>
      </c>
      <c r="N876" s="10">
        <f>CHOOSE(CONTROL!$C$42, 28.7667, 28.7667) * CHOOSE(CONTROL!$C$21, $C$9, 100%, $E$9)</f>
        <v>28.7667</v>
      </c>
      <c r="O876" s="10">
        <f>CHOOSE(CONTROL!$C$42, 28.8367, 28.8367) * CHOOSE(CONTROL!$C$21, $C$9, 100%, $E$9)</f>
        <v>28.8367</v>
      </c>
      <c r="P876" s="10">
        <f>CHOOSE(CONTROL!$C$42, 28.7718, 28.7718) * CHOOSE(CONTROL!$C$21, $C$9, 100%, $E$9)</f>
        <v>28.771799999999999</v>
      </c>
      <c r="Q876" s="10">
        <f>CHOOSE(CONTROL!$C$42, 29.432, 29.432) * CHOOSE(CONTROL!$C$21, $C$9, 100%, $E$9)</f>
        <v>29.431999999999999</v>
      </c>
      <c r="R876" s="10">
        <f>CHOOSE(CONTROL!$C$42, 30.0926, 30.0926) * CHOOSE(CONTROL!$C$21, $C$9, 100%, $E$9)</f>
        <v>30.092600000000001</v>
      </c>
      <c r="S876" s="10">
        <f>CHOOSE(CONTROL!$C$42, 28.2222, 28.2222) * CHOOSE(CONTROL!$C$21, $C$9, 100%, $E$9)</f>
        <v>28.222200000000001</v>
      </c>
      <c r="T8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38">
        <f>(1000*CHOOSE(CONTROL!$C$42, 695, 695)*CHOOSE(CONTROL!$C$42, 0.5599, 0.5599)*CHOOSE(CONTROL!$C$42, 31, 31))/1000000</f>
        <v>12.063045499999998</v>
      </c>
      <c r="V876" s="38">
        <f>(1000*CHOOSE(CONTROL!$C$42, 500, 500)*CHOOSE(CONTROL!$C$42, 0.275, 0.275)*CHOOSE(CONTROL!$C$42, 31, 31))/1000000</f>
        <v>4.2625000000000002</v>
      </c>
      <c r="W876" s="38">
        <f>(1000*CHOOSE(CONTROL!$C$42, 0.1146, 0.1146)*CHOOSE(CONTROL!$C$42, 121.5, 121.5)*CHOOSE(CONTROL!$C$42, 31, 31))/1000000</f>
        <v>0.43164089999999994</v>
      </c>
      <c r="X876" s="38">
        <f>(31*0.1790888*100000/1000000)+(31*0.2374*100000/1000000)</f>
        <v>1.2911152800000001</v>
      </c>
      <c r="Y876" s="38">
        <f>(1000*600*CHOOSE(CONTROL!$C$42, 1.0585, 1.0585)*CHOOSE(CONTROL!$C$42, 31, 31))/1000000</f>
        <v>19.688099999999999</v>
      </c>
      <c r="Z876" s="38"/>
      <c r="AA876" s="10"/>
      <c r="AB876" s="39"/>
      <c r="AC876" s="33">
        <f>(B876*122.58+C876*297.941+D876*89.177+E876*40.302+F876*40+G876*160+H876*0+I876*100+J876*300)/(122.58+297.941+89.177+40.302+0+40+160+100+300)</f>
        <v>29.057147474086953</v>
      </c>
      <c r="AD876" s="27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28.793324460431659</v>
      </c>
    </row>
    <row r="877" spans="1:30" ht="15.75" x14ac:dyDescent="0.25">
      <c r="A877" s="13">
        <v>67968</v>
      </c>
      <c r="B877" s="10">
        <f>CHOOSE(CONTROL!$C$42, 31.0258, 31.0258) * CHOOSE(CONTROL!$C$21, $C$9, 100%, $E$9)</f>
        <v>31.0258</v>
      </c>
      <c r="C877" s="10">
        <f>CHOOSE(CONTROL!$C$42, 31.0307, 31.0307) * CHOOSE(CONTROL!$C$21, $C$9, 100%, $E$9)</f>
        <v>31.0307</v>
      </c>
      <c r="D877" s="10">
        <f>CHOOSE(CONTROL!$C$42, 31.0552, 31.0552) * CHOOSE(CONTROL!$C$21, $C$9, 100%, $E$9)</f>
        <v>31.055199999999999</v>
      </c>
      <c r="E877" s="10">
        <f>CHOOSE(CONTROL!$C$42, 31.089, 31.089) * CHOOSE(CONTROL!$C$21, $C$9, 100%, $E$9)</f>
        <v>31.088999999999999</v>
      </c>
      <c r="F877" s="10">
        <f>CHOOSE(CONTROL!$C$42, 31.0087, 31.0087)*CHOOSE(CONTROL!$C$21, $C$9, 100%, $E$9)</f>
        <v>31.008700000000001</v>
      </c>
      <c r="G877" s="10">
        <f>CHOOSE(CONTROL!$C$42, 31.0274, 31.0274)*CHOOSE(CONTROL!$C$21, $C$9, 100%, $E$9)</f>
        <v>31.0274</v>
      </c>
      <c r="H877" s="10">
        <f>CHOOSE(CONTROL!$C$42, 31.0782, 31.0782) * CHOOSE(CONTROL!$C$21, $C$9, 100%, $E$9)</f>
        <v>31.078199999999999</v>
      </c>
      <c r="I877" s="10">
        <f>CHOOSE(CONTROL!$C$42, 31.0203, 31.0203)* CHOOSE(CONTROL!$C$21, $C$9, 100%, $E$9)</f>
        <v>31.020299999999999</v>
      </c>
      <c r="J877" s="10">
        <f>CHOOSE(CONTROL!$C$42, 31.0017, 31.0017)* CHOOSE(CONTROL!$C$21, $C$9, 100%, $E$9)</f>
        <v>31.0017</v>
      </c>
      <c r="K877" s="10">
        <f>CHOOSE(CONTROL!$C$42, 30.2944, 30.2944) * CHOOSE(CONTROL!$C$21, $C$9, 100%, $E$9)</f>
        <v>30.2944</v>
      </c>
      <c r="L877" s="10">
        <f>CHOOSE(CONTROL!$C$42, 31.6652, 31.6652) * CHOOSE(CONTROL!$C$21, $C$9, 100%, $E$9)</f>
        <v>31.665199999999999</v>
      </c>
      <c r="M877" s="10">
        <f>CHOOSE(CONTROL!$C$42, 30.7027, 30.7027) * CHOOSE(CONTROL!$C$21, $C$9, 100%, $E$9)</f>
        <v>30.7027</v>
      </c>
      <c r="N877" s="10">
        <f>CHOOSE(CONTROL!$C$42, 30.7211, 30.7211) * CHOOSE(CONTROL!$C$21, $C$9, 100%, $E$9)</f>
        <v>30.7211</v>
      </c>
      <c r="O877" s="10">
        <f>CHOOSE(CONTROL!$C$42, 30.7784, 30.7784) * CHOOSE(CONTROL!$C$21, $C$9, 100%, $E$9)</f>
        <v>30.778400000000001</v>
      </c>
      <c r="P877" s="10">
        <f>CHOOSE(CONTROL!$C$42, 30.7211, 30.7211) * CHOOSE(CONTROL!$C$21, $C$9, 100%, $E$9)</f>
        <v>30.7211</v>
      </c>
      <c r="Q877" s="10">
        <f>CHOOSE(CONTROL!$C$42, 31.3737, 31.3737) * CHOOSE(CONTROL!$C$21, $C$9, 100%, $E$9)</f>
        <v>31.373699999999999</v>
      </c>
      <c r="R877" s="10">
        <f>CHOOSE(CONTROL!$C$42, 32.0391, 32.0391) * CHOOSE(CONTROL!$C$21, $C$9, 100%, $E$9)</f>
        <v>32.039099999999998</v>
      </c>
      <c r="S877" s="10">
        <f>CHOOSE(CONTROL!$C$42, 30.127, 30.127) * CHOOSE(CONTROL!$C$21, $C$9, 100%, $E$9)</f>
        <v>30.126999999999999</v>
      </c>
      <c r="T8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38">
        <f>(1000*CHOOSE(CONTROL!$C$42, 695, 695)*CHOOSE(CONTROL!$C$42, 0.5599, 0.5599)*CHOOSE(CONTROL!$C$42, 31, 31))/1000000</f>
        <v>12.063045499999998</v>
      </c>
      <c r="V877" s="38">
        <f>(1000*CHOOSE(CONTROL!$C$42, 500, 500)*CHOOSE(CONTROL!$C$42, 0.275, 0.275)*CHOOSE(CONTROL!$C$42, 31, 31))/1000000</f>
        <v>4.2625000000000002</v>
      </c>
      <c r="W877" s="38">
        <f>(1000*CHOOSE(CONTROL!$C$42, 0.1146, 0.1146)*CHOOSE(CONTROL!$C$42, 121.5, 121.5)*CHOOSE(CONTROL!$C$42, 31, 31))/1000000</f>
        <v>0.43164089999999994</v>
      </c>
      <c r="X877" s="38">
        <f>(31*0.1790888*100000/1000000)+(31*0.2374*100000/1000000)</f>
        <v>1.2911152800000001</v>
      </c>
      <c r="Y877" s="38">
        <f>(1000*600*CHOOSE(CONTROL!$C$42, 1.0585, 1.0585)*CHOOSE(CONTROL!$C$42, 31, 31))/1000000</f>
        <v>19.688099999999999</v>
      </c>
      <c r="Z877" s="38"/>
      <c r="AA877" s="10"/>
      <c r="AB877" s="39"/>
      <c r="AC877" s="33">
        <f>(B877*122.58+C877*297.941+D877*89.177+E877*40.302+F877*40+G877*160+H877*0+I877*100+J877*300)/(122.58+297.941+89.177+40.302+0+40+160+100+300)</f>
        <v>31.024426783565218</v>
      </c>
      <c r="AD877" s="27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30.740716546762595</v>
      </c>
    </row>
    <row r="878" spans="1:30" ht="15.75" x14ac:dyDescent="0.25">
      <c r="A878" s="13">
        <v>67996</v>
      </c>
      <c r="B878" s="10">
        <f>CHOOSE(CONTROL!$C$42, 31.578, 31.578) * CHOOSE(CONTROL!$C$21, $C$9, 100%, $E$9)</f>
        <v>31.577999999999999</v>
      </c>
      <c r="C878" s="10">
        <f>CHOOSE(CONTROL!$C$42, 31.583, 31.583) * CHOOSE(CONTROL!$C$21, $C$9, 100%, $E$9)</f>
        <v>31.582999999999998</v>
      </c>
      <c r="D878" s="10">
        <f>CHOOSE(CONTROL!$C$42, 31.6074, 31.6074) * CHOOSE(CONTROL!$C$21, $C$9, 100%, $E$9)</f>
        <v>31.607399999999998</v>
      </c>
      <c r="E878" s="10">
        <f>CHOOSE(CONTROL!$C$42, 31.6412, 31.6412) * CHOOSE(CONTROL!$C$21, $C$9, 100%, $E$9)</f>
        <v>31.641200000000001</v>
      </c>
      <c r="F878" s="10">
        <f>CHOOSE(CONTROL!$C$42, 31.5603, 31.5603)*CHOOSE(CONTROL!$C$21, $C$9, 100%, $E$9)</f>
        <v>31.560300000000002</v>
      </c>
      <c r="G878" s="10">
        <f>CHOOSE(CONTROL!$C$42, 31.5788, 31.5788)*CHOOSE(CONTROL!$C$21, $C$9, 100%, $E$9)</f>
        <v>31.578800000000001</v>
      </c>
      <c r="H878" s="10">
        <f>CHOOSE(CONTROL!$C$42, 31.6304, 31.6304) * CHOOSE(CONTROL!$C$21, $C$9, 100%, $E$9)</f>
        <v>31.630400000000002</v>
      </c>
      <c r="I878" s="10">
        <f>CHOOSE(CONTROL!$C$42, 31.5725, 31.5725)* CHOOSE(CONTROL!$C$21, $C$9, 100%, $E$9)</f>
        <v>31.572500000000002</v>
      </c>
      <c r="J878" s="10">
        <f>CHOOSE(CONTROL!$C$42, 31.5533, 31.5533)* CHOOSE(CONTROL!$C$21, $C$9, 100%, $E$9)</f>
        <v>31.5533</v>
      </c>
      <c r="K878" s="10">
        <f>CHOOSE(CONTROL!$C$42, 30.8294, 30.8294) * CHOOSE(CONTROL!$C$21, $C$9, 100%, $E$9)</f>
        <v>30.8294</v>
      </c>
      <c r="L878" s="10">
        <f>CHOOSE(CONTROL!$C$42, 32.2174, 32.2174) * CHOOSE(CONTROL!$C$21, $C$9, 100%, $E$9)</f>
        <v>32.217399999999998</v>
      </c>
      <c r="M878" s="10">
        <f>CHOOSE(CONTROL!$C$42, 31.2487, 31.2487) * CHOOSE(CONTROL!$C$21, $C$9, 100%, $E$9)</f>
        <v>31.248699999999999</v>
      </c>
      <c r="N878" s="10">
        <f>CHOOSE(CONTROL!$C$42, 31.267, 31.267) * CHOOSE(CONTROL!$C$21, $C$9, 100%, $E$9)</f>
        <v>31.266999999999999</v>
      </c>
      <c r="O878" s="10">
        <f>CHOOSE(CONTROL!$C$42, 31.325, 31.325) * CHOOSE(CONTROL!$C$21, $C$9, 100%, $E$9)</f>
        <v>31.324999999999999</v>
      </c>
      <c r="P878" s="10">
        <f>CHOOSE(CONTROL!$C$42, 31.2678, 31.2678) * CHOOSE(CONTROL!$C$21, $C$9, 100%, $E$9)</f>
        <v>31.267800000000001</v>
      </c>
      <c r="Q878" s="10">
        <f>CHOOSE(CONTROL!$C$42, 31.9203, 31.9203) * CHOOSE(CONTROL!$C$21, $C$9, 100%, $E$9)</f>
        <v>31.920300000000001</v>
      </c>
      <c r="R878" s="10">
        <f>CHOOSE(CONTROL!$C$42, 32.5871, 32.5871) * CHOOSE(CONTROL!$C$21, $C$9, 100%, $E$9)</f>
        <v>32.5871</v>
      </c>
      <c r="S878" s="10">
        <f>CHOOSE(CONTROL!$C$42, 30.6633, 30.6633) * CHOOSE(CONTROL!$C$21, $C$9, 100%, $E$9)</f>
        <v>30.6633</v>
      </c>
      <c r="T8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38">
        <f>(1000*CHOOSE(CONTROL!$C$42, 695, 695)*CHOOSE(CONTROL!$C$42, 0.5599, 0.5599)*CHOOSE(CONTROL!$C$42, 28, 28))/1000000</f>
        <v>10.895653999999999</v>
      </c>
      <c r="V878" s="38">
        <f>(1000*CHOOSE(CONTROL!$C$42, 500, 500)*CHOOSE(CONTROL!$C$42, 0.275, 0.275)*CHOOSE(CONTROL!$C$42, 28, 28))/1000000</f>
        <v>3.85</v>
      </c>
      <c r="W878" s="38">
        <f>(1000*CHOOSE(CONTROL!$C$42, 0.1146, 0.1146)*CHOOSE(CONTROL!$C$42, 121.5, 121.5)*CHOOSE(CONTROL!$C$42, 28, 28))/1000000</f>
        <v>0.38986920000000003</v>
      </c>
      <c r="X878" s="38">
        <f>(28*0.1790888*100000/1000000)+(28*0.2374*100000/1000000)</f>
        <v>1.16616864</v>
      </c>
      <c r="Y878" s="38">
        <f>(1000*600*CHOOSE(CONTROL!$C$42, 1.0585, 1.0585)*CHOOSE(CONTROL!$C$42, 28, 28))/1000000</f>
        <v>17.782800000000002</v>
      </c>
      <c r="Z878" s="38"/>
      <c r="AA878" s="10"/>
      <c r="AB878" s="39"/>
      <c r="AC878" s="33">
        <f>(B878*122.58+C878*297.941+D878*89.177+E878*40.302+F878*40+G878*160+H878*0+I878*100+J878*300)/(122.58+297.941+89.177+40.302+0+40+160+100+300)</f>
        <v>31.576363995826085</v>
      </c>
      <c r="AD878" s="27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31.287083453237411</v>
      </c>
    </row>
    <row r="879" spans="1:30" ht="15.75" x14ac:dyDescent="0.25">
      <c r="A879" s="13">
        <v>68027</v>
      </c>
      <c r="B879" s="10">
        <f>CHOOSE(CONTROL!$C$42, 30.6816, 30.6816) * CHOOSE(CONTROL!$C$21, $C$9, 100%, $E$9)</f>
        <v>30.6816</v>
      </c>
      <c r="C879" s="10">
        <f>CHOOSE(CONTROL!$C$42, 30.6865, 30.6865) * CHOOSE(CONTROL!$C$21, $C$9, 100%, $E$9)</f>
        <v>30.686499999999999</v>
      </c>
      <c r="D879" s="10">
        <f>CHOOSE(CONTROL!$C$42, 30.711, 30.711) * CHOOSE(CONTROL!$C$21, $C$9, 100%, $E$9)</f>
        <v>30.710999999999999</v>
      </c>
      <c r="E879" s="10">
        <f>CHOOSE(CONTROL!$C$42, 30.7448, 30.7448) * CHOOSE(CONTROL!$C$21, $C$9, 100%, $E$9)</f>
        <v>30.744800000000001</v>
      </c>
      <c r="F879" s="10">
        <f>CHOOSE(CONTROL!$C$42, 30.6623, 30.6623)*CHOOSE(CONTROL!$C$21, $C$9, 100%, $E$9)</f>
        <v>30.662299999999998</v>
      </c>
      <c r="G879" s="10">
        <f>CHOOSE(CONTROL!$C$42, 30.6804, 30.6804)*CHOOSE(CONTROL!$C$21, $C$9, 100%, $E$9)</f>
        <v>30.680399999999999</v>
      </c>
      <c r="H879" s="10">
        <f>CHOOSE(CONTROL!$C$42, 30.734, 30.734) * CHOOSE(CONTROL!$C$21, $C$9, 100%, $E$9)</f>
        <v>30.734000000000002</v>
      </c>
      <c r="I879" s="10">
        <f>CHOOSE(CONTROL!$C$42, 30.6761, 30.6761)* CHOOSE(CONTROL!$C$21, $C$9, 100%, $E$9)</f>
        <v>30.676100000000002</v>
      </c>
      <c r="J879" s="10">
        <f>CHOOSE(CONTROL!$C$42, 30.6553, 30.6553)* CHOOSE(CONTROL!$C$21, $C$9, 100%, $E$9)</f>
        <v>30.6553</v>
      </c>
      <c r="K879" s="10">
        <f>CHOOSE(CONTROL!$C$42, 29.9551, 29.9551) * CHOOSE(CONTROL!$C$21, $C$9, 100%, $E$9)</f>
        <v>29.955100000000002</v>
      </c>
      <c r="L879" s="10">
        <f>CHOOSE(CONTROL!$C$42, 31.321, 31.321) * CHOOSE(CONTROL!$C$21, $C$9, 100%, $E$9)</f>
        <v>31.321000000000002</v>
      </c>
      <c r="M879" s="10">
        <f>CHOOSE(CONTROL!$C$42, 30.3598, 30.3598) * CHOOSE(CONTROL!$C$21, $C$9, 100%, $E$9)</f>
        <v>30.3598</v>
      </c>
      <c r="N879" s="10">
        <f>CHOOSE(CONTROL!$C$42, 30.3777, 30.3777) * CHOOSE(CONTROL!$C$21, $C$9, 100%, $E$9)</f>
        <v>30.377700000000001</v>
      </c>
      <c r="O879" s="10">
        <f>CHOOSE(CONTROL!$C$42, 30.4376, 30.4376) * CHOOSE(CONTROL!$C$21, $C$9, 100%, $E$9)</f>
        <v>30.4376</v>
      </c>
      <c r="P879" s="10">
        <f>CHOOSE(CONTROL!$C$42, 30.3804, 30.3804) * CHOOSE(CONTROL!$C$21, $C$9, 100%, $E$9)</f>
        <v>30.380400000000002</v>
      </c>
      <c r="Q879" s="10">
        <f>CHOOSE(CONTROL!$C$42, 31.0329, 31.0329) * CHOOSE(CONTROL!$C$21, $C$9, 100%, $E$9)</f>
        <v>31.032900000000001</v>
      </c>
      <c r="R879" s="10">
        <f>CHOOSE(CONTROL!$C$42, 31.6975, 31.6975) * CHOOSE(CONTROL!$C$21, $C$9, 100%, $E$9)</f>
        <v>31.697500000000002</v>
      </c>
      <c r="S879" s="10">
        <f>CHOOSE(CONTROL!$C$42, 29.7928, 29.7928) * CHOOSE(CONTROL!$C$21, $C$9, 100%, $E$9)</f>
        <v>29.7928</v>
      </c>
      <c r="T8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38">
        <f>(1000*CHOOSE(CONTROL!$C$42, 695, 695)*CHOOSE(CONTROL!$C$42, 0.5599, 0.5599)*CHOOSE(CONTROL!$C$42, 31, 31))/1000000</f>
        <v>12.063045499999998</v>
      </c>
      <c r="V879" s="38">
        <f>(1000*CHOOSE(CONTROL!$C$42, 500, 500)*CHOOSE(CONTROL!$C$42, 0.275, 0.275)*CHOOSE(CONTROL!$C$42, 31, 31))/1000000</f>
        <v>4.2625000000000002</v>
      </c>
      <c r="W879" s="38">
        <f>(1000*CHOOSE(CONTROL!$C$42, 0.1146, 0.1146)*CHOOSE(CONTROL!$C$42, 121.5, 121.5)*CHOOSE(CONTROL!$C$42, 31, 31))/1000000</f>
        <v>0.43164089999999994</v>
      </c>
      <c r="X879" s="38">
        <f>(31*0.1790888*100000/1000000)+(31*0.2374*100000/1000000)</f>
        <v>1.2911152800000001</v>
      </c>
      <c r="Y879" s="38">
        <f>(1000*600*CHOOSE(CONTROL!$C$42, 1.0585, 1.0585)*CHOOSE(CONTROL!$C$42, 31, 31))/1000000</f>
        <v>19.688099999999999</v>
      </c>
      <c r="Z879" s="38"/>
      <c r="AA879" s="10"/>
      <c r="AB879" s="39"/>
      <c r="AC879" s="33">
        <f>(B879*122.58+C879*297.941+D879*89.177+E879*40.302+F879*40+G879*160+H879*0+I879*100+J879*300)/(122.58+297.941+89.177+40.302+0+40+160+100+300)</f>
        <v>30.679186783565218</v>
      </c>
      <c r="AD879" s="27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30.399056115107911</v>
      </c>
    </row>
    <row r="880" spans="1:30" ht="15.75" x14ac:dyDescent="0.25">
      <c r="A880" s="13">
        <v>68057</v>
      </c>
      <c r="B880" s="10">
        <f>CHOOSE(CONTROL!$C$42, 30.5905, 30.5905) * CHOOSE(CONTROL!$C$21, $C$9, 100%, $E$9)</f>
        <v>30.590499999999999</v>
      </c>
      <c r="C880" s="10">
        <f>CHOOSE(CONTROL!$C$42, 30.5949, 30.5949) * CHOOSE(CONTROL!$C$21, $C$9, 100%, $E$9)</f>
        <v>30.594899999999999</v>
      </c>
      <c r="D880" s="10">
        <f>CHOOSE(CONTROL!$C$42, 30.775, 30.775) * CHOOSE(CONTROL!$C$21, $C$9, 100%, $E$9)</f>
        <v>30.774999999999999</v>
      </c>
      <c r="E880" s="10">
        <f>CHOOSE(CONTROL!$C$42, 30.8068, 30.8068) * CHOOSE(CONTROL!$C$21, $C$9, 100%, $E$9)</f>
        <v>30.806799999999999</v>
      </c>
      <c r="F880" s="10">
        <f>CHOOSE(CONTROL!$C$42, 30.5558, 30.5558)*CHOOSE(CONTROL!$C$21, $C$9, 100%, $E$9)</f>
        <v>30.555800000000001</v>
      </c>
      <c r="G880" s="10">
        <f>CHOOSE(CONTROL!$C$42, 30.5721, 30.5721)*CHOOSE(CONTROL!$C$21, $C$9, 100%, $E$9)</f>
        <v>30.572099999999999</v>
      </c>
      <c r="H880" s="10">
        <f>CHOOSE(CONTROL!$C$42, 30.7966, 30.7966) * CHOOSE(CONTROL!$C$21, $C$9, 100%, $E$9)</f>
        <v>30.796600000000002</v>
      </c>
      <c r="I880" s="10">
        <f>CHOOSE(CONTROL!$C$42, 30.5765, 30.5765)* CHOOSE(CONTROL!$C$21, $C$9, 100%, $E$9)</f>
        <v>30.576499999999999</v>
      </c>
      <c r="J880" s="10">
        <f>CHOOSE(CONTROL!$C$42, 30.5488, 30.5488)* CHOOSE(CONTROL!$C$21, $C$9, 100%, $E$9)</f>
        <v>30.5488</v>
      </c>
      <c r="K880" s="10">
        <f>CHOOSE(CONTROL!$C$42, 29.8434, 29.8434) * CHOOSE(CONTROL!$C$21, $C$9, 100%, $E$9)</f>
        <v>29.843399999999999</v>
      </c>
      <c r="L880" s="10">
        <f>CHOOSE(CONTROL!$C$42, 31.3836, 31.3836) * CHOOSE(CONTROL!$C$21, $C$9, 100%, $E$9)</f>
        <v>31.383600000000001</v>
      </c>
      <c r="M880" s="10">
        <f>CHOOSE(CONTROL!$C$42, 30.2544, 30.2544) * CHOOSE(CONTROL!$C$21, $C$9, 100%, $E$9)</f>
        <v>30.2544</v>
      </c>
      <c r="N880" s="10">
        <f>CHOOSE(CONTROL!$C$42, 30.2705, 30.2705) * CHOOSE(CONTROL!$C$21, $C$9, 100%, $E$9)</f>
        <v>30.270499999999998</v>
      </c>
      <c r="O880" s="10">
        <f>CHOOSE(CONTROL!$C$42, 30.4996, 30.4996) * CHOOSE(CONTROL!$C$21, $C$9, 100%, $E$9)</f>
        <v>30.499600000000001</v>
      </c>
      <c r="P880" s="10">
        <f>CHOOSE(CONTROL!$C$42, 30.2818, 30.2818) * CHOOSE(CONTROL!$C$21, $C$9, 100%, $E$9)</f>
        <v>30.2818</v>
      </c>
      <c r="Q880" s="10">
        <f>CHOOSE(CONTROL!$C$42, 31.0949, 31.0949) * CHOOSE(CONTROL!$C$21, $C$9, 100%, $E$9)</f>
        <v>31.094899999999999</v>
      </c>
      <c r="R880" s="10">
        <f>CHOOSE(CONTROL!$C$42, 31.7597, 31.7597) * CHOOSE(CONTROL!$C$21, $C$9, 100%, $E$9)</f>
        <v>31.759699999999999</v>
      </c>
      <c r="S880" s="10">
        <f>CHOOSE(CONTROL!$C$42, 29.7036, 29.7036) * CHOOSE(CONTROL!$C$21, $C$9, 100%, $E$9)</f>
        <v>29.703600000000002</v>
      </c>
      <c r="T8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38">
        <f>(1000*CHOOSE(CONTROL!$C$42, 695, 695)*CHOOSE(CONTROL!$C$42, 0.5599, 0.5599)*CHOOSE(CONTROL!$C$42, 30, 30))/1000000</f>
        <v>11.673914999999997</v>
      </c>
      <c r="V880" s="38">
        <f>(1000*CHOOSE(CONTROL!$C$42, 500, 500)*CHOOSE(CONTROL!$C$42, 0.275, 0.275)*CHOOSE(CONTROL!$C$42, 30, 30))/1000000</f>
        <v>4.125</v>
      </c>
      <c r="W880" s="38">
        <f>(1000*CHOOSE(CONTROL!$C$42, 0.1146, 0.1146)*CHOOSE(CONTROL!$C$42, 121.5, 121.5)*CHOOSE(CONTROL!$C$42, 30, 30))/1000000</f>
        <v>0.417717</v>
      </c>
      <c r="X880" s="38">
        <f>(30*0.1790888*245000/1000000)+(30*0.2374*100000/1000000)</f>
        <v>2.0285026799999999</v>
      </c>
      <c r="Y880" s="38">
        <f>(1000*600*CHOOSE(CONTROL!$C$42, 1.0585, 1.0585)*CHOOSE(CONTROL!$C$42, 30, 30))/1000000</f>
        <v>19.053000000000001</v>
      </c>
      <c r="Z880" s="38"/>
      <c r="AA880" s="10"/>
      <c r="AB880" s="39"/>
      <c r="AC880" s="33">
        <f>(B880*141.293+C880*267.993+D880*115.016+E880*89.698+F880*40+G880*185+H880*0+I880*100+J880*300)/(141.293+267.993+115.016+89.698+0+40+185+100+300)</f>
        <v>30.609143501694916</v>
      </c>
      <c r="AD880" s="27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30.370402877697842</v>
      </c>
    </row>
    <row r="881" spans="1:30" ht="15.75" x14ac:dyDescent="0.25">
      <c r="A881" s="13">
        <v>68088</v>
      </c>
      <c r="B881" s="10">
        <f>CHOOSE(CONTROL!$C$42, 30.8623, 30.8623) * CHOOSE(CONTROL!$C$21, $C$9, 100%, $E$9)</f>
        <v>30.862300000000001</v>
      </c>
      <c r="C881" s="10">
        <f>CHOOSE(CONTROL!$C$42, 30.8702, 30.8702) * CHOOSE(CONTROL!$C$21, $C$9, 100%, $E$9)</f>
        <v>30.870200000000001</v>
      </c>
      <c r="D881" s="10">
        <f>CHOOSE(CONTROL!$C$42, 31.0472, 31.0472) * CHOOSE(CONTROL!$C$21, $C$9, 100%, $E$9)</f>
        <v>31.0472</v>
      </c>
      <c r="E881" s="10">
        <f>CHOOSE(CONTROL!$C$42, 31.0783, 31.0783) * CHOOSE(CONTROL!$C$21, $C$9, 100%, $E$9)</f>
        <v>31.078299999999999</v>
      </c>
      <c r="F881" s="10">
        <f>CHOOSE(CONTROL!$C$42, 30.8256, 30.8256)*CHOOSE(CONTROL!$C$21, $C$9, 100%, $E$9)</f>
        <v>30.825600000000001</v>
      </c>
      <c r="G881" s="10">
        <f>CHOOSE(CONTROL!$C$42, 30.8421, 30.8421)*CHOOSE(CONTROL!$C$21, $C$9, 100%, $E$9)</f>
        <v>30.842099999999999</v>
      </c>
      <c r="H881" s="10">
        <f>CHOOSE(CONTROL!$C$42, 31.0669, 31.0669) * CHOOSE(CONTROL!$C$21, $C$9, 100%, $E$9)</f>
        <v>31.0669</v>
      </c>
      <c r="I881" s="10">
        <f>CHOOSE(CONTROL!$C$42, 30.8469, 30.8469)* CHOOSE(CONTROL!$C$21, $C$9, 100%, $E$9)</f>
        <v>30.846900000000002</v>
      </c>
      <c r="J881" s="10">
        <f>CHOOSE(CONTROL!$C$42, 30.8186, 30.8186)* CHOOSE(CONTROL!$C$21, $C$9, 100%, $E$9)</f>
        <v>30.8186</v>
      </c>
      <c r="K881" s="10">
        <f>CHOOSE(CONTROL!$C$42, 30.1048, 30.1048) * CHOOSE(CONTROL!$C$21, $C$9, 100%, $E$9)</f>
        <v>30.104800000000001</v>
      </c>
      <c r="L881" s="10">
        <f>CHOOSE(CONTROL!$C$42, 31.6539, 31.6539) * CHOOSE(CONTROL!$C$21, $C$9, 100%, $E$9)</f>
        <v>31.6539</v>
      </c>
      <c r="M881" s="10">
        <f>CHOOSE(CONTROL!$C$42, 30.5214, 30.5214) * CHOOSE(CONTROL!$C$21, $C$9, 100%, $E$9)</f>
        <v>30.5214</v>
      </c>
      <c r="N881" s="10">
        <f>CHOOSE(CONTROL!$C$42, 30.5378, 30.5378) * CHOOSE(CONTROL!$C$21, $C$9, 100%, $E$9)</f>
        <v>30.537800000000001</v>
      </c>
      <c r="O881" s="10">
        <f>CHOOSE(CONTROL!$C$42, 30.7672, 30.7672) * CHOOSE(CONTROL!$C$21, $C$9, 100%, $E$9)</f>
        <v>30.767199999999999</v>
      </c>
      <c r="P881" s="10">
        <f>CHOOSE(CONTROL!$C$42, 30.5494, 30.5494) * CHOOSE(CONTROL!$C$21, $C$9, 100%, $E$9)</f>
        <v>30.549399999999999</v>
      </c>
      <c r="Q881" s="10">
        <f>CHOOSE(CONTROL!$C$42, 31.3625, 31.3625) * CHOOSE(CONTROL!$C$21, $C$9, 100%, $E$9)</f>
        <v>31.362500000000001</v>
      </c>
      <c r="R881" s="10">
        <f>CHOOSE(CONTROL!$C$42, 32.0279, 32.0279) * CHOOSE(CONTROL!$C$21, $C$9, 100%, $E$9)</f>
        <v>32.027900000000002</v>
      </c>
      <c r="S881" s="10">
        <f>CHOOSE(CONTROL!$C$42, 29.9661, 29.9661) * CHOOSE(CONTROL!$C$21, $C$9, 100%, $E$9)</f>
        <v>29.966100000000001</v>
      </c>
      <c r="T8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38">
        <f>(1000*CHOOSE(CONTROL!$C$42, 695, 695)*CHOOSE(CONTROL!$C$42, 0.5599, 0.5599)*CHOOSE(CONTROL!$C$42, 31, 31))/1000000</f>
        <v>12.063045499999998</v>
      </c>
      <c r="V881" s="38">
        <f>(1000*CHOOSE(CONTROL!$C$42, 500, 500)*CHOOSE(CONTROL!$C$42, 0.275, 0.275)*CHOOSE(CONTROL!$C$42, 31, 31))/1000000</f>
        <v>4.2625000000000002</v>
      </c>
      <c r="W881" s="38">
        <f>(1000*CHOOSE(CONTROL!$C$42, 0.1146, 0.1146)*CHOOSE(CONTROL!$C$42, 121.5, 121.5)*CHOOSE(CONTROL!$C$42, 31, 31))/1000000</f>
        <v>0.43164089999999994</v>
      </c>
      <c r="X881" s="38">
        <f>(31*0.1790888*245000/1000000)+(31*0.2374*100000/1000000)</f>
        <v>2.0961194359999999</v>
      </c>
      <c r="Y881" s="38">
        <f>(1000*600*CHOOSE(CONTROL!$C$42, 1.0585, 1.0585)*CHOOSE(CONTROL!$C$42, 31, 31))/1000000</f>
        <v>19.688099999999999</v>
      </c>
      <c r="Z881" s="38"/>
      <c r="AA881" s="10"/>
      <c r="AB881" s="39"/>
      <c r="AC881" s="33">
        <f>(B881*194.205+C881*267.466+D881*133.845+E881*53.484+F881*40+G881*185+H881*0+I881*100+J881*300)/(194.205+267.466+133.845+53.484+0+40+185+100+300)</f>
        <v>30.876867084693881</v>
      </c>
      <c r="AD881" s="27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30.637778417266183</v>
      </c>
    </row>
    <row r="882" spans="1:30" ht="15.75" x14ac:dyDescent="0.25">
      <c r="A882" s="13">
        <v>68118</v>
      </c>
      <c r="B882" s="10">
        <f>CHOOSE(CONTROL!$C$42, 31.7376, 31.7376) * CHOOSE(CONTROL!$C$21, $C$9, 100%, $E$9)</f>
        <v>31.7376</v>
      </c>
      <c r="C882" s="10">
        <f>CHOOSE(CONTROL!$C$42, 31.7455, 31.7455) * CHOOSE(CONTROL!$C$21, $C$9, 100%, $E$9)</f>
        <v>31.7455</v>
      </c>
      <c r="D882" s="10">
        <f>CHOOSE(CONTROL!$C$42, 31.9225, 31.9225) * CHOOSE(CONTROL!$C$21, $C$9, 100%, $E$9)</f>
        <v>31.922499999999999</v>
      </c>
      <c r="E882" s="10">
        <f>CHOOSE(CONTROL!$C$42, 31.9536, 31.9536) * CHOOSE(CONTROL!$C$21, $C$9, 100%, $E$9)</f>
        <v>31.953600000000002</v>
      </c>
      <c r="F882" s="10">
        <f>CHOOSE(CONTROL!$C$42, 31.7011, 31.7011)*CHOOSE(CONTROL!$C$21, $C$9, 100%, $E$9)</f>
        <v>31.7011</v>
      </c>
      <c r="G882" s="10">
        <f>CHOOSE(CONTROL!$C$42, 31.7176, 31.7176)*CHOOSE(CONTROL!$C$21, $C$9, 100%, $E$9)</f>
        <v>31.717600000000001</v>
      </c>
      <c r="H882" s="10">
        <f>CHOOSE(CONTROL!$C$42, 31.9422, 31.9422) * CHOOSE(CONTROL!$C$21, $C$9, 100%, $E$9)</f>
        <v>31.9422</v>
      </c>
      <c r="I882" s="10">
        <f>CHOOSE(CONTROL!$C$42, 31.7221, 31.7221)* CHOOSE(CONTROL!$C$21, $C$9, 100%, $E$9)</f>
        <v>31.722100000000001</v>
      </c>
      <c r="J882" s="10">
        <f>CHOOSE(CONTROL!$C$42, 31.6941, 31.6941)* CHOOSE(CONTROL!$C$21, $C$9, 100%, $E$9)</f>
        <v>31.694099999999999</v>
      </c>
      <c r="K882" s="10">
        <f>CHOOSE(CONTROL!$C$42, 30.9556, 30.9556) * CHOOSE(CONTROL!$C$21, $C$9, 100%, $E$9)</f>
        <v>30.9556</v>
      </c>
      <c r="L882" s="10">
        <f>CHOOSE(CONTROL!$C$42, 32.5292, 32.5292) * CHOOSE(CONTROL!$C$21, $C$9, 100%, $E$9)</f>
        <v>32.529200000000003</v>
      </c>
      <c r="M882" s="10">
        <f>CHOOSE(CONTROL!$C$42, 31.3881, 31.3881) * CHOOSE(CONTROL!$C$21, $C$9, 100%, $E$9)</f>
        <v>31.388100000000001</v>
      </c>
      <c r="N882" s="10">
        <f>CHOOSE(CONTROL!$C$42, 31.4044, 31.4044) * CHOOSE(CONTROL!$C$21, $C$9, 100%, $E$9)</f>
        <v>31.404399999999999</v>
      </c>
      <c r="O882" s="10">
        <f>CHOOSE(CONTROL!$C$42, 31.6337, 31.6337) * CHOOSE(CONTROL!$C$21, $C$9, 100%, $E$9)</f>
        <v>31.633700000000001</v>
      </c>
      <c r="P882" s="10">
        <f>CHOOSE(CONTROL!$C$42, 31.4159, 31.4159) * CHOOSE(CONTROL!$C$21, $C$9, 100%, $E$9)</f>
        <v>31.415900000000001</v>
      </c>
      <c r="Q882" s="10">
        <f>CHOOSE(CONTROL!$C$42, 32.229, 32.229) * CHOOSE(CONTROL!$C$21, $C$9, 100%, $E$9)</f>
        <v>32.228999999999999</v>
      </c>
      <c r="R882" s="10">
        <f>CHOOSE(CONTROL!$C$42, 32.8966, 32.8966) * CHOOSE(CONTROL!$C$21, $C$9, 100%, $E$9)</f>
        <v>32.896599999999999</v>
      </c>
      <c r="S882" s="10">
        <f>CHOOSE(CONTROL!$C$42, 30.8161, 30.8161) * CHOOSE(CONTROL!$C$21, $C$9, 100%, $E$9)</f>
        <v>30.816099999999999</v>
      </c>
      <c r="T8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38">
        <f>(1000*CHOOSE(CONTROL!$C$42, 695, 695)*CHOOSE(CONTROL!$C$42, 0.5599, 0.5599)*CHOOSE(CONTROL!$C$42, 30, 30))/1000000</f>
        <v>11.673914999999997</v>
      </c>
      <c r="V882" s="38">
        <f>(1000*CHOOSE(CONTROL!$C$42, 500, 500)*CHOOSE(CONTROL!$C$42, 0.275, 0.275)*CHOOSE(CONTROL!$C$42, 30, 30))/1000000</f>
        <v>4.125</v>
      </c>
      <c r="W882" s="38">
        <f>(1000*CHOOSE(CONTROL!$C$42, 0.1146, 0.1146)*CHOOSE(CONTROL!$C$42, 121.5, 121.5)*CHOOSE(CONTROL!$C$42, 30, 30))/1000000</f>
        <v>0.417717</v>
      </c>
      <c r="X882" s="38">
        <f>(30*0.1790888*245000/1000000)+(30*0.2374*100000/1000000)</f>
        <v>2.0285026799999999</v>
      </c>
      <c r="Y882" s="38">
        <f>(1000*600*CHOOSE(CONTROL!$C$42, 1.0585, 1.0585)*CHOOSE(CONTROL!$C$42, 30, 30))/1000000</f>
        <v>19.053000000000001</v>
      </c>
      <c r="Z882" s="38"/>
      <c r="AA882" s="10"/>
      <c r="AB882" s="39"/>
      <c r="AC882" s="33">
        <f>(B882*194.205+C882*267.466+D882*133.845+E882*53.484+F882*40+G882*185+H882*0+I882*100+J882*300)/(194.205+267.466+133.845+53.484+0+40+185+100+300)</f>
        <v>31.752241652982736</v>
      </c>
      <c r="AD882" s="27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31.504353237410072</v>
      </c>
    </row>
    <row r="883" spans="1:30" ht="15.75" x14ac:dyDescent="0.25">
      <c r="A883" s="13">
        <v>68149</v>
      </c>
      <c r="B883" s="10">
        <f>CHOOSE(CONTROL!$C$42, 31.1288, 31.1288) * CHOOSE(CONTROL!$C$21, $C$9, 100%, $E$9)</f>
        <v>31.128799999999998</v>
      </c>
      <c r="C883" s="10">
        <f>CHOOSE(CONTROL!$C$42, 31.1367, 31.1367) * CHOOSE(CONTROL!$C$21, $C$9, 100%, $E$9)</f>
        <v>31.136700000000001</v>
      </c>
      <c r="D883" s="10">
        <f>CHOOSE(CONTROL!$C$42, 31.3137, 31.3137) * CHOOSE(CONTROL!$C$21, $C$9, 100%, $E$9)</f>
        <v>31.313700000000001</v>
      </c>
      <c r="E883" s="10">
        <f>CHOOSE(CONTROL!$C$42, 31.3448, 31.3448) * CHOOSE(CONTROL!$C$21, $C$9, 100%, $E$9)</f>
        <v>31.344799999999999</v>
      </c>
      <c r="F883" s="10">
        <f>CHOOSE(CONTROL!$C$42, 31.0926, 31.0926)*CHOOSE(CONTROL!$C$21, $C$9, 100%, $E$9)</f>
        <v>31.092600000000001</v>
      </c>
      <c r="G883" s="10">
        <f>CHOOSE(CONTROL!$C$42, 31.1092, 31.1092)*CHOOSE(CONTROL!$C$21, $C$9, 100%, $E$9)</f>
        <v>31.109200000000001</v>
      </c>
      <c r="H883" s="10">
        <f>CHOOSE(CONTROL!$C$42, 31.3335, 31.3335) * CHOOSE(CONTROL!$C$21, $C$9, 100%, $E$9)</f>
        <v>31.333500000000001</v>
      </c>
      <c r="I883" s="10">
        <f>CHOOSE(CONTROL!$C$42, 31.1134, 31.1134)* CHOOSE(CONTROL!$C$21, $C$9, 100%, $E$9)</f>
        <v>31.113399999999999</v>
      </c>
      <c r="J883" s="10">
        <f>CHOOSE(CONTROL!$C$42, 31.0856, 31.0856)* CHOOSE(CONTROL!$C$21, $C$9, 100%, $E$9)</f>
        <v>31.085599999999999</v>
      </c>
      <c r="K883" s="10">
        <f>CHOOSE(CONTROL!$C$42, 30.3647, 30.3647) * CHOOSE(CONTROL!$C$21, $C$9, 100%, $E$9)</f>
        <v>30.364699999999999</v>
      </c>
      <c r="L883" s="10">
        <f>CHOOSE(CONTROL!$C$42, 31.9205, 31.9205) * CHOOSE(CONTROL!$C$21, $C$9, 100%, $E$9)</f>
        <v>31.920500000000001</v>
      </c>
      <c r="M883" s="10">
        <f>CHOOSE(CONTROL!$C$42, 30.7857, 30.7857) * CHOOSE(CONTROL!$C$21, $C$9, 100%, $E$9)</f>
        <v>30.785699999999999</v>
      </c>
      <c r="N883" s="10">
        <f>CHOOSE(CONTROL!$C$42, 30.8021, 30.8021) * CHOOSE(CONTROL!$C$21, $C$9, 100%, $E$9)</f>
        <v>30.802099999999999</v>
      </c>
      <c r="O883" s="10">
        <f>CHOOSE(CONTROL!$C$42, 31.0311, 31.0311) * CHOOSE(CONTROL!$C$21, $C$9, 100%, $E$9)</f>
        <v>31.031099999999999</v>
      </c>
      <c r="P883" s="10">
        <f>CHOOSE(CONTROL!$C$42, 30.8133, 30.8133) * CHOOSE(CONTROL!$C$21, $C$9, 100%, $E$9)</f>
        <v>30.813300000000002</v>
      </c>
      <c r="Q883" s="10">
        <f>CHOOSE(CONTROL!$C$42, 31.6264, 31.6264) * CHOOSE(CONTROL!$C$21, $C$9, 100%, $E$9)</f>
        <v>31.6264</v>
      </c>
      <c r="R883" s="10">
        <f>CHOOSE(CONTROL!$C$42, 32.2924, 32.2924) * CHOOSE(CONTROL!$C$21, $C$9, 100%, $E$9)</f>
        <v>32.292400000000001</v>
      </c>
      <c r="S883" s="10">
        <f>CHOOSE(CONTROL!$C$42, 30.2249, 30.2249) * CHOOSE(CONTROL!$C$21, $C$9, 100%, $E$9)</f>
        <v>30.224900000000002</v>
      </c>
      <c r="T8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38">
        <f>(1000*CHOOSE(CONTROL!$C$42, 695, 695)*CHOOSE(CONTROL!$C$42, 0.5599, 0.5599)*CHOOSE(CONTROL!$C$42, 31, 31))/1000000</f>
        <v>12.063045499999998</v>
      </c>
      <c r="V883" s="38">
        <f>(1000*CHOOSE(CONTROL!$C$42, 500, 500)*CHOOSE(CONTROL!$C$42, 0.275, 0.275)*CHOOSE(CONTROL!$C$42, 31, 31))/1000000</f>
        <v>4.2625000000000002</v>
      </c>
      <c r="W883" s="38">
        <f>(1000*CHOOSE(CONTROL!$C$42, 0.1146, 0.1146)*CHOOSE(CONTROL!$C$42, 121.5, 121.5)*CHOOSE(CONTROL!$C$42, 31, 31))/1000000</f>
        <v>0.43164089999999994</v>
      </c>
      <c r="X883" s="38">
        <f>(31*0.1790888*245000/1000000)+(31*0.2374*100000/1000000)</f>
        <v>2.0961194359999999</v>
      </c>
      <c r="Y883" s="38">
        <f>(1000*600*CHOOSE(CONTROL!$C$42, 1.0585, 1.0585)*CHOOSE(CONTROL!$C$42, 31, 31))/1000000</f>
        <v>19.688099999999999</v>
      </c>
      <c r="Z883" s="38"/>
      <c r="AA883" s="10"/>
      <c r="AB883" s="39"/>
      <c r="AC883" s="33">
        <f>(B883*194.205+C883*267.466+D883*133.845+E883*53.484+F883*40+G883*185+H883*0+I883*100+J883*300)/(194.205+267.466+133.845+53.484+0+40+185+100+300)</f>
        <v>31.14358764984302</v>
      </c>
      <c r="AD883" s="27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30.901839568345324</v>
      </c>
    </row>
    <row r="884" spans="1:30" ht="15.75" x14ac:dyDescent="0.25">
      <c r="A884" s="13">
        <v>68180</v>
      </c>
      <c r="B884" s="10">
        <f>CHOOSE(CONTROL!$C$42, 29.5914, 29.5914) * CHOOSE(CONTROL!$C$21, $C$9, 100%, $E$9)</f>
        <v>29.5914</v>
      </c>
      <c r="C884" s="10">
        <f>CHOOSE(CONTROL!$C$42, 29.5994, 29.5994) * CHOOSE(CONTROL!$C$21, $C$9, 100%, $E$9)</f>
        <v>29.599399999999999</v>
      </c>
      <c r="D884" s="10">
        <f>CHOOSE(CONTROL!$C$42, 29.7763, 29.7763) * CHOOSE(CONTROL!$C$21, $C$9, 100%, $E$9)</f>
        <v>29.776299999999999</v>
      </c>
      <c r="E884" s="10">
        <f>CHOOSE(CONTROL!$C$42, 29.8075, 29.8075) * CHOOSE(CONTROL!$C$21, $C$9, 100%, $E$9)</f>
        <v>29.807500000000001</v>
      </c>
      <c r="F884" s="10">
        <f>CHOOSE(CONTROL!$C$42, 29.5553, 29.5553)*CHOOSE(CONTROL!$C$21, $C$9, 100%, $E$9)</f>
        <v>29.555299999999999</v>
      </c>
      <c r="G884" s="10">
        <f>CHOOSE(CONTROL!$C$42, 29.5719, 29.5719)*CHOOSE(CONTROL!$C$21, $C$9, 100%, $E$9)</f>
        <v>29.571899999999999</v>
      </c>
      <c r="H884" s="10">
        <f>CHOOSE(CONTROL!$C$42, 29.7961, 29.7961) * CHOOSE(CONTROL!$C$21, $C$9, 100%, $E$9)</f>
        <v>29.796099999999999</v>
      </c>
      <c r="I884" s="10">
        <f>CHOOSE(CONTROL!$C$42, 29.576, 29.576)* CHOOSE(CONTROL!$C$21, $C$9, 100%, $E$9)</f>
        <v>29.576000000000001</v>
      </c>
      <c r="J884" s="10">
        <f>CHOOSE(CONTROL!$C$42, 29.5483, 29.5483)* CHOOSE(CONTROL!$C$21, $C$9, 100%, $E$9)</f>
        <v>29.548300000000001</v>
      </c>
      <c r="K884" s="10">
        <f>CHOOSE(CONTROL!$C$42, 28.8711, 28.8711) * CHOOSE(CONTROL!$C$21, $C$9, 100%, $E$9)</f>
        <v>28.871099999999998</v>
      </c>
      <c r="L884" s="10">
        <f>CHOOSE(CONTROL!$C$42, 30.3831, 30.3831) * CHOOSE(CONTROL!$C$21, $C$9, 100%, $E$9)</f>
        <v>30.383099999999999</v>
      </c>
      <c r="M884" s="10">
        <f>CHOOSE(CONTROL!$C$42, 29.2639, 29.2639) * CHOOSE(CONTROL!$C$21, $C$9, 100%, $E$9)</f>
        <v>29.2639</v>
      </c>
      <c r="N884" s="10">
        <f>CHOOSE(CONTROL!$C$42, 29.2804, 29.2804) * CHOOSE(CONTROL!$C$21, $C$9, 100%, $E$9)</f>
        <v>29.2804</v>
      </c>
      <c r="O884" s="10">
        <f>CHOOSE(CONTROL!$C$42, 29.5092, 29.5092) * CHOOSE(CONTROL!$C$21, $C$9, 100%, $E$9)</f>
        <v>29.5092</v>
      </c>
      <c r="P884" s="10">
        <f>CHOOSE(CONTROL!$C$42, 29.2914, 29.2914) * CHOOSE(CONTROL!$C$21, $C$9, 100%, $E$9)</f>
        <v>29.291399999999999</v>
      </c>
      <c r="Q884" s="10">
        <f>CHOOSE(CONTROL!$C$42, 30.1045, 30.1045) * CHOOSE(CONTROL!$C$21, $C$9, 100%, $E$9)</f>
        <v>30.104500000000002</v>
      </c>
      <c r="R884" s="10">
        <f>CHOOSE(CONTROL!$C$42, 30.7668, 30.7668) * CHOOSE(CONTROL!$C$21, $C$9, 100%, $E$9)</f>
        <v>30.7668</v>
      </c>
      <c r="S884" s="10">
        <f>CHOOSE(CONTROL!$C$42, 28.732, 28.732) * CHOOSE(CONTROL!$C$21, $C$9, 100%, $E$9)</f>
        <v>28.731999999999999</v>
      </c>
      <c r="T8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38">
        <f>(1000*CHOOSE(CONTROL!$C$42, 695, 695)*CHOOSE(CONTROL!$C$42, 0.5599, 0.5599)*CHOOSE(CONTROL!$C$42, 31, 31))/1000000</f>
        <v>12.063045499999998</v>
      </c>
      <c r="V884" s="38">
        <f>(1000*CHOOSE(CONTROL!$C$42, 500, 500)*CHOOSE(CONTROL!$C$42, 0.275, 0.275)*CHOOSE(CONTROL!$C$42, 31, 31))/1000000</f>
        <v>4.2625000000000002</v>
      </c>
      <c r="W884" s="38">
        <f>(1000*CHOOSE(CONTROL!$C$42, 0.1146, 0.1146)*CHOOSE(CONTROL!$C$42, 121.5, 121.5)*CHOOSE(CONTROL!$C$42, 31, 31))/1000000</f>
        <v>0.43164089999999994</v>
      </c>
      <c r="X884" s="38">
        <f>(31*0.1790888*245000/1000000)+(31*0.2374*100000/1000000)</f>
        <v>2.0961194359999999</v>
      </c>
      <c r="Y884" s="38">
        <f>(1000*600*CHOOSE(CONTROL!$C$42, 1.0585, 1.0585)*CHOOSE(CONTROL!$C$42, 31, 31))/1000000</f>
        <v>19.688099999999999</v>
      </c>
      <c r="Z884" s="38"/>
      <c r="AA884" s="10"/>
      <c r="AB884" s="39"/>
      <c r="AC884" s="33">
        <f>(B884*194.205+C884*267.466+D884*133.845+E884*53.484+F884*40+G884*185+H884*0+I884*100+J884*300)/(194.205+267.466+133.845+53.484+0+40+185+100+300)</f>
        <v>29.606254050941914</v>
      </c>
      <c r="AD884" s="27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29.379985611510786</v>
      </c>
    </row>
    <row r="885" spans="1:30" ht="15.75" x14ac:dyDescent="0.25">
      <c r="A885" s="13">
        <v>68210</v>
      </c>
      <c r="B885" s="10">
        <f>CHOOSE(CONTROL!$C$42, 27.7131, 27.7131) * CHOOSE(CONTROL!$C$21, $C$9, 100%, $E$9)</f>
        <v>27.713100000000001</v>
      </c>
      <c r="C885" s="10">
        <f>CHOOSE(CONTROL!$C$42, 27.721, 27.721) * CHOOSE(CONTROL!$C$21, $C$9, 100%, $E$9)</f>
        <v>27.721</v>
      </c>
      <c r="D885" s="10">
        <f>CHOOSE(CONTROL!$C$42, 27.898, 27.898) * CHOOSE(CONTROL!$C$21, $C$9, 100%, $E$9)</f>
        <v>27.898</v>
      </c>
      <c r="E885" s="10">
        <f>CHOOSE(CONTROL!$C$42, 27.9291, 27.9291) * CHOOSE(CONTROL!$C$21, $C$9, 100%, $E$9)</f>
        <v>27.929099999999998</v>
      </c>
      <c r="F885" s="10">
        <f>CHOOSE(CONTROL!$C$42, 27.6767, 27.6767)*CHOOSE(CONTROL!$C$21, $C$9, 100%, $E$9)</f>
        <v>27.6767</v>
      </c>
      <c r="G885" s="10">
        <f>CHOOSE(CONTROL!$C$42, 27.6932, 27.6932)*CHOOSE(CONTROL!$C$21, $C$9, 100%, $E$9)</f>
        <v>27.693200000000001</v>
      </c>
      <c r="H885" s="10">
        <f>CHOOSE(CONTROL!$C$42, 27.9178, 27.9178) * CHOOSE(CONTROL!$C$21, $C$9, 100%, $E$9)</f>
        <v>27.9178</v>
      </c>
      <c r="I885" s="10">
        <f>CHOOSE(CONTROL!$C$42, 27.6977, 27.6977)* CHOOSE(CONTROL!$C$21, $C$9, 100%, $E$9)</f>
        <v>27.697700000000001</v>
      </c>
      <c r="J885" s="10">
        <f>CHOOSE(CONTROL!$C$42, 27.6697, 27.6697)* CHOOSE(CONTROL!$C$21, $C$9, 100%, $E$9)</f>
        <v>27.669699999999999</v>
      </c>
      <c r="K885" s="10">
        <f>CHOOSE(CONTROL!$C$42, 27.0456, 27.0456) * CHOOSE(CONTROL!$C$21, $C$9, 100%, $E$9)</f>
        <v>27.0456</v>
      </c>
      <c r="L885" s="10">
        <f>CHOOSE(CONTROL!$C$42, 28.5048, 28.5048) * CHOOSE(CONTROL!$C$21, $C$9, 100%, $E$9)</f>
        <v>28.504799999999999</v>
      </c>
      <c r="M885" s="10">
        <f>CHOOSE(CONTROL!$C$42, 27.4043, 27.4043) * CHOOSE(CONTROL!$C$21, $C$9, 100%, $E$9)</f>
        <v>27.404299999999999</v>
      </c>
      <c r="N885" s="10">
        <f>CHOOSE(CONTROL!$C$42, 27.4207, 27.4207) * CHOOSE(CONTROL!$C$21, $C$9, 100%, $E$9)</f>
        <v>27.4207</v>
      </c>
      <c r="O885" s="10">
        <f>CHOOSE(CONTROL!$C$42, 27.6499, 27.6499) * CHOOSE(CONTROL!$C$21, $C$9, 100%, $E$9)</f>
        <v>27.649899999999999</v>
      </c>
      <c r="P885" s="10">
        <f>CHOOSE(CONTROL!$C$42, 27.432, 27.432) * CHOOSE(CONTROL!$C$21, $C$9, 100%, $E$9)</f>
        <v>27.431999999999999</v>
      </c>
      <c r="Q885" s="10">
        <f>CHOOSE(CONTROL!$C$42, 28.2452, 28.2452) * CHOOSE(CONTROL!$C$21, $C$9, 100%, $E$9)</f>
        <v>28.245200000000001</v>
      </c>
      <c r="R885" s="10">
        <f>CHOOSE(CONTROL!$C$42, 28.9028, 28.9028) * CHOOSE(CONTROL!$C$21, $C$9, 100%, $E$9)</f>
        <v>28.902799999999999</v>
      </c>
      <c r="S885" s="10">
        <f>CHOOSE(CONTROL!$C$42, 26.9079, 26.9079) * CHOOSE(CONTROL!$C$21, $C$9, 100%, $E$9)</f>
        <v>26.907900000000001</v>
      </c>
      <c r="T8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38">
        <f>(1000*CHOOSE(CONTROL!$C$42, 695, 695)*CHOOSE(CONTROL!$C$42, 0.5599, 0.5599)*CHOOSE(CONTROL!$C$42, 30, 30))/1000000</f>
        <v>11.673914999999997</v>
      </c>
      <c r="V885" s="38">
        <f>(1000*CHOOSE(CONTROL!$C$42, 500, 500)*CHOOSE(CONTROL!$C$42, 0.275, 0.275)*CHOOSE(CONTROL!$C$42, 30, 30))/1000000</f>
        <v>4.125</v>
      </c>
      <c r="W885" s="38">
        <f>(1000*CHOOSE(CONTROL!$C$42, 0.1146, 0.1146)*CHOOSE(CONTROL!$C$42, 121.5, 121.5)*CHOOSE(CONTROL!$C$42, 30, 30))/1000000</f>
        <v>0.417717</v>
      </c>
      <c r="X885" s="38">
        <f>(30*0.1790888*245000/1000000)+(30*0.2374*100000/1000000)</f>
        <v>2.0285026799999999</v>
      </c>
      <c r="Y885" s="38">
        <f>(1000*600*CHOOSE(CONTROL!$C$42, 1.0585, 1.0585)*CHOOSE(CONTROL!$C$42, 30, 30))/1000000</f>
        <v>19.053000000000001</v>
      </c>
      <c r="Z885" s="38"/>
      <c r="AA885" s="10"/>
      <c r="AB885" s="39"/>
      <c r="AC885" s="33">
        <f>(B885*194.205+C885*267.466+D885*133.845+E885*53.484+F885*40+G885*185+H885*0+I885*100+J885*300)/(194.205+267.466+133.845+53.484+0+40+185+100+300)</f>
        <v>27.727790711067506</v>
      </c>
      <c r="AD885" s="27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27.520544604316548</v>
      </c>
    </row>
    <row r="886" spans="1:30" ht="15.75" x14ac:dyDescent="0.25">
      <c r="A886" s="13">
        <v>68241</v>
      </c>
      <c r="B886" s="10">
        <f>CHOOSE(CONTROL!$C$42, 27.1484, 27.1484) * CHOOSE(CONTROL!$C$21, $C$9, 100%, $E$9)</f>
        <v>27.148399999999999</v>
      </c>
      <c r="C886" s="10">
        <f>CHOOSE(CONTROL!$C$42, 27.1536, 27.1536) * CHOOSE(CONTROL!$C$21, $C$9, 100%, $E$9)</f>
        <v>27.153600000000001</v>
      </c>
      <c r="D886" s="10">
        <f>CHOOSE(CONTROL!$C$42, 27.3355, 27.3355) * CHOOSE(CONTROL!$C$21, $C$9, 100%, $E$9)</f>
        <v>27.3355</v>
      </c>
      <c r="E886" s="10">
        <f>CHOOSE(CONTROL!$C$42, 27.3643, 27.3643) * CHOOSE(CONTROL!$C$21, $C$9, 100%, $E$9)</f>
        <v>27.3643</v>
      </c>
      <c r="F886" s="10">
        <f>CHOOSE(CONTROL!$C$42, 27.114, 27.114)*CHOOSE(CONTROL!$C$21, $C$9, 100%, $E$9)</f>
        <v>27.114000000000001</v>
      </c>
      <c r="G886" s="10">
        <f>CHOOSE(CONTROL!$C$42, 27.1302, 27.1302)*CHOOSE(CONTROL!$C$21, $C$9, 100%, $E$9)</f>
        <v>27.130199999999999</v>
      </c>
      <c r="H886" s="10">
        <f>CHOOSE(CONTROL!$C$42, 27.3548, 27.3548) * CHOOSE(CONTROL!$C$21, $C$9, 100%, $E$9)</f>
        <v>27.354800000000001</v>
      </c>
      <c r="I886" s="10">
        <f>CHOOSE(CONTROL!$C$42, 27.1347, 27.1347)* CHOOSE(CONTROL!$C$21, $C$9, 100%, $E$9)</f>
        <v>27.134699999999999</v>
      </c>
      <c r="J886" s="10">
        <f>CHOOSE(CONTROL!$C$42, 27.107, 27.107)* CHOOSE(CONTROL!$C$21, $C$9, 100%, $E$9)</f>
        <v>27.106999999999999</v>
      </c>
      <c r="K886" s="10">
        <f>CHOOSE(CONTROL!$C$42, 26.4992, 26.4992) * CHOOSE(CONTROL!$C$21, $C$9, 100%, $E$9)</f>
        <v>26.499199999999998</v>
      </c>
      <c r="L886" s="10">
        <f>CHOOSE(CONTROL!$C$42, 27.9418, 27.9418) * CHOOSE(CONTROL!$C$21, $C$9, 100%, $E$9)</f>
        <v>27.941800000000001</v>
      </c>
      <c r="M886" s="10">
        <f>CHOOSE(CONTROL!$C$42, 26.8472, 26.8472) * CHOOSE(CONTROL!$C$21, $C$9, 100%, $E$9)</f>
        <v>26.847200000000001</v>
      </c>
      <c r="N886" s="10">
        <f>CHOOSE(CONTROL!$C$42, 26.8633, 26.8633) * CHOOSE(CONTROL!$C$21, $C$9, 100%, $E$9)</f>
        <v>26.863299999999999</v>
      </c>
      <c r="O886" s="10">
        <f>CHOOSE(CONTROL!$C$42, 27.0926, 27.0926) * CHOOSE(CONTROL!$C$21, $C$9, 100%, $E$9)</f>
        <v>27.092600000000001</v>
      </c>
      <c r="P886" s="10">
        <f>CHOOSE(CONTROL!$C$42, 26.8748, 26.8748) * CHOOSE(CONTROL!$C$21, $C$9, 100%, $E$9)</f>
        <v>26.8748</v>
      </c>
      <c r="Q886" s="10">
        <f>CHOOSE(CONTROL!$C$42, 27.6879, 27.6879) * CHOOSE(CONTROL!$C$21, $C$9, 100%, $E$9)</f>
        <v>27.687899999999999</v>
      </c>
      <c r="R886" s="10">
        <f>CHOOSE(CONTROL!$C$42, 28.3441, 28.3441) * CHOOSE(CONTROL!$C$21, $C$9, 100%, $E$9)</f>
        <v>28.344100000000001</v>
      </c>
      <c r="S886" s="10">
        <f>CHOOSE(CONTROL!$C$42, 26.3612, 26.3612) * CHOOSE(CONTROL!$C$21, $C$9, 100%, $E$9)</f>
        <v>26.3612</v>
      </c>
      <c r="T8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38">
        <f>(1000*CHOOSE(CONTROL!$C$42, 695, 695)*CHOOSE(CONTROL!$C$42, 0.5599, 0.5599)*CHOOSE(CONTROL!$C$42, 31, 31))/1000000</f>
        <v>12.063045499999998</v>
      </c>
      <c r="V886" s="38">
        <f>(1000*CHOOSE(CONTROL!$C$42, 500, 500)*CHOOSE(CONTROL!$C$42, 0.275, 0.275)*CHOOSE(CONTROL!$C$42, 31, 31))/1000000</f>
        <v>4.2625000000000002</v>
      </c>
      <c r="W886" s="38">
        <f>(1000*CHOOSE(CONTROL!$C$42, 0.1146, 0.1146)*CHOOSE(CONTROL!$C$42, 121.5, 121.5)*CHOOSE(CONTROL!$C$42, 31, 31))/1000000</f>
        <v>0.43164089999999994</v>
      </c>
      <c r="X886" s="38">
        <f>(31*0.1790888*245000/1000000)+(31*0.2374*100000/1000000)</f>
        <v>2.0961194359999999</v>
      </c>
      <c r="Y886" s="38">
        <f>(1000*600*CHOOSE(CONTROL!$C$42, 1.0585, 1.0585)*CHOOSE(CONTROL!$C$42, 31, 31))/1000000</f>
        <v>19.688099999999999</v>
      </c>
      <c r="Z886" s="38"/>
      <c r="AA886" s="10"/>
      <c r="AB886" s="39"/>
      <c r="AC886" s="33">
        <f>(B886*131.881+C886*277.167+D886*79.08+E886*125.872+F886*40+G886*185+H886*0+I886*100+J886*300)/(131.881+277.167+79.08+125.872+0+40+185+100+300)</f>
        <v>27.168480630508473</v>
      </c>
      <c r="AD886" s="27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26.963322302158275</v>
      </c>
    </row>
    <row r="887" spans="1:30" ht="15.75" x14ac:dyDescent="0.25">
      <c r="A887" s="13">
        <v>68271</v>
      </c>
      <c r="B887" s="10">
        <f>CHOOSE(CONTROL!$C$42, 27.8631, 27.8631) * CHOOSE(CONTROL!$C$21, $C$9, 100%, $E$9)</f>
        <v>27.863099999999999</v>
      </c>
      <c r="C887" s="10">
        <f>CHOOSE(CONTROL!$C$42, 27.868, 27.868) * CHOOSE(CONTROL!$C$21, $C$9, 100%, $E$9)</f>
        <v>27.867999999999999</v>
      </c>
      <c r="D887" s="10">
        <f>CHOOSE(CONTROL!$C$42, 27.8925, 27.8925) * CHOOSE(CONTROL!$C$21, $C$9, 100%, $E$9)</f>
        <v>27.892499999999998</v>
      </c>
      <c r="E887" s="10">
        <f>CHOOSE(CONTROL!$C$42, 27.9263, 27.9263) * CHOOSE(CONTROL!$C$21, $C$9, 100%, $E$9)</f>
        <v>27.926300000000001</v>
      </c>
      <c r="F887" s="10">
        <f>CHOOSE(CONTROL!$C$42, 27.8324, 27.8324)*CHOOSE(CONTROL!$C$21, $C$9, 100%, $E$9)</f>
        <v>27.8324</v>
      </c>
      <c r="G887" s="10">
        <f>CHOOSE(CONTROL!$C$42, 27.8488, 27.8488)*CHOOSE(CONTROL!$C$21, $C$9, 100%, $E$9)</f>
        <v>27.848800000000001</v>
      </c>
      <c r="H887" s="10">
        <f>CHOOSE(CONTROL!$C$42, 27.9155, 27.9155) * CHOOSE(CONTROL!$C$21, $C$9, 100%, $E$9)</f>
        <v>27.915500000000002</v>
      </c>
      <c r="I887" s="10">
        <f>CHOOSE(CONTROL!$C$42, 27.8498, 27.8498)* CHOOSE(CONTROL!$C$21, $C$9, 100%, $E$9)</f>
        <v>27.849799999999998</v>
      </c>
      <c r="J887" s="10">
        <f>CHOOSE(CONTROL!$C$42, 27.8254, 27.8254)* CHOOSE(CONTROL!$C$21, $C$9, 100%, $E$9)</f>
        <v>27.825399999999998</v>
      </c>
      <c r="K887" s="10">
        <f>CHOOSE(CONTROL!$C$42, 27.1955, 27.1955) * CHOOSE(CONTROL!$C$21, $C$9, 100%, $E$9)</f>
        <v>27.195499999999999</v>
      </c>
      <c r="L887" s="10">
        <f>CHOOSE(CONTROL!$C$42, 28.5025, 28.5025) * CHOOSE(CONTROL!$C$21, $C$9, 100%, $E$9)</f>
        <v>28.502500000000001</v>
      </c>
      <c r="M887" s="10">
        <f>CHOOSE(CONTROL!$C$42, 27.5584, 27.5584) * CHOOSE(CONTROL!$C$21, $C$9, 100%, $E$9)</f>
        <v>27.558399999999999</v>
      </c>
      <c r="N887" s="10">
        <f>CHOOSE(CONTROL!$C$42, 27.5747, 27.5747) * CHOOSE(CONTROL!$C$21, $C$9, 100%, $E$9)</f>
        <v>27.5747</v>
      </c>
      <c r="O887" s="10">
        <f>CHOOSE(CONTROL!$C$42, 27.6476, 27.6476) * CHOOSE(CONTROL!$C$21, $C$9, 100%, $E$9)</f>
        <v>27.647600000000001</v>
      </c>
      <c r="P887" s="10">
        <f>CHOOSE(CONTROL!$C$42, 27.5827, 27.5827) * CHOOSE(CONTROL!$C$21, $C$9, 100%, $E$9)</f>
        <v>27.582699999999999</v>
      </c>
      <c r="Q887" s="10">
        <f>CHOOSE(CONTROL!$C$42, 28.2429, 28.2429) * CHOOSE(CONTROL!$C$21, $C$9, 100%, $E$9)</f>
        <v>28.242899999999999</v>
      </c>
      <c r="R887" s="10">
        <f>CHOOSE(CONTROL!$C$42, 28.9005, 28.9005) * CHOOSE(CONTROL!$C$21, $C$9, 100%, $E$9)</f>
        <v>28.900500000000001</v>
      </c>
      <c r="S887" s="10">
        <f>CHOOSE(CONTROL!$C$42, 27.0557, 27.0557) * CHOOSE(CONTROL!$C$21, $C$9, 100%, $E$9)</f>
        <v>27.055700000000002</v>
      </c>
      <c r="T8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38">
        <f>(1000*CHOOSE(CONTROL!$C$42, 695, 695)*CHOOSE(CONTROL!$C$42, 0.5599, 0.5599)*CHOOSE(CONTROL!$C$42, 30, 30))/1000000</f>
        <v>11.673914999999997</v>
      </c>
      <c r="V887" s="38">
        <f>(1000*CHOOSE(CONTROL!$C$42, 500, 500)*CHOOSE(CONTROL!$C$42, 0.275, 0.275)*CHOOSE(CONTROL!$C$42, 30, 30))/1000000</f>
        <v>4.125</v>
      </c>
      <c r="W887" s="38">
        <f>(1000*CHOOSE(CONTROL!$C$42, 0.1146, 0.1146)*CHOOSE(CONTROL!$C$42, 121.5, 121.5)*CHOOSE(CONTROL!$C$42, 30, 30))/1000000</f>
        <v>0.417717</v>
      </c>
      <c r="X887" s="38">
        <f>(30*0.1790888*100000/1000000)+(30*0.2374*100000/1000000)</f>
        <v>1.2494664</v>
      </c>
      <c r="Y887" s="38">
        <f>(1000*600*CHOOSE(CONTROL!$C$42, 1.0585, 1.0585)*CHOOSE(CONTROL!$C$42, 30, 30))/1000000</f>
        <v>19.053000000000001</v>
      </c>
      <c r="Z887" s="38"/>
      <c r="AA887" s="10"/>
      <c r="AB887" s="39"/>
      <c r="AC887" s="33">
        <f>(B887*122.58+C887*297.941+D887*89.177+E887*40.302+F887*40+G887*160+H887*0+I887*100+J887*300)/(122.58+297.941+89.177+40.302+0+40+160+100+300)</f>
        <v>27.85481547921739</v>
      </c>
      <c r="AD887" s="27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27.603263309352517</v>
      </c>
    </row>
    <row r="888" spans="1:30" ht="15.75" x14ac:dyDescent="0.25">
      <c r="A888" s="13">
        <v>68302</v>
      </c>
      <c r="B888" s="10">
        <f>CHOOSE(CONTROL!$C$42, 29.7626, 29.7626) * CHOOSE(CONTROL!$C$21, $C$9, 100%, $E$9)</f>
        <v>29.762599999999999</v>
      </c>
      <c r="C888" s="10">
        <f>CHOOSE(CONTROL!$C$42, 29.7675, 29.7675) * CHOOSE(CONTROL!$C$21, $C$9, 100%, $E$9)</f>
        <v>29.767499999999998</v>
      </c>
      <c r="D888" s="10">
        <f>CHOOSE(CONTROL!$C$42, 29.792, 29.792) * CHOOSE(CONTROL!$C$21, $C$9, 100%, $E$9)</f>
        <v>29.792000000000002</v>
      </c>
      <c r="E888" s="10">
        <f>CHOOSE(CONTROL!$C$42, 29.8258, 29.8258) * CHOOSE(CONTROL!$C$21, $C$9, 100%, $E$9)</f>
        <v>29.825800000000001</v>
      </c>
      <c r="F888" s="10">
        <f>CHOOSE(CONTROL!$C$42, 29.7342, 29.7342)*CHOOSE(CONTROL!$C$21, $C$9, 100%, $E$9)</f>
        <v>29.734200000000001</v>
      </c>
      <c r="G888" s="10">
        <f>CHOOSE(CONTROL!$C$42, 29.7512, 29.7512)*CHOOSE(CONTROL!$C$21, $C$9, 100%, $E$9)</f>
        <v>29.751200000000001</v>
      </c>
      <c r="H888" s="10">
        <f>CHOOSE(CONTROL!$C$42, 29.815, 29.815) * CHOOSE(CONTROL!$C$21, $C$9, 100%, $E$9)</f>
        <v>29.815000000000001</v>
      </c>
      <c r="I888" s="10">
        <f>CHOOSE(CONTROL!$C$42, 29.7493, 29.7493)* CHOOSE(CONTROL!$C$21, $C$9, 100%, $E$9)</f>
        <v>29.749300000000002</v>
      </c>
      <c r="J888" s="10">
        <f>CHOOSE(CONTROL!$C$42, 29.7272, 29.7272)* CHOOSE(CONTROL!$C$21, $C$9, 100%, $E$9)</f>
        <v>29.7272</v>
      </c>
      <c r="K888" s="10">
        <f>CHOOSE(CONTROL!$C$42, 29.0461, 29.0461) * CHOOSE(CONTROL!$C$21, $C$9, 100%, $E$9)</f>
        <v>29.046099999999999</v>
      </c>
      <c r="L888" s="10">
        <f>CHOOSE(CONTROL!$C$42, 30.402, 30.402) * CHOOSE(CONTROL!$C$21, $C$9, 100%, $E$9)</f>
        <v>30.402000000000001</v>
      </c>
      <c r="M888" s="10">
        <f>CHOOSE(CONTROL!$C$42, 29.441, 29.441) * CHOOSE(CONTROL!$C$21, $C$9, 100%, $E$9)</f>
        <v>29.440999999999999</v>
      </c>
      <c r="N888" s="10">
        <f>CHOOSE(CONTROL!$C$42, 29.4579, 29.4579) * CHOOSE(CONTROL!$C$21, $C$9, 100%, $E$9)</f>
        <v>29.457899999999999</v>
      </c>
      <c r="O888" s="10">
        <f>CHOOSE(CONTROL!$C$42, 29.5279, 29.5279) * CHOOSE(CONTROL!$C$21, $C$9, 100%, $E$9)</f>
        <v>29.527899999999999</v>
      </c>
      <c r="P888" s="10">
        <f>CHOOSE(CONTROL!$C$42, 29.463, 29.463) * CHOOSE(CONTROL!$C$21, $C$9, 100%, $E$9)</f>
        <v>29.463000000000001</v>
      </c>
      <c r="Q888" s="10">
        <f>CHOOSE(CONTROL!$C$42, 30.1232, 30.1232) * CHOOSE(CONTROL!$C$21, $C$9, 100%, $E$9)</f>
        <v>30.123200000000001</v>
      </c>
      <c r="R888" s="10">
        <f>CHOOSE(CONTROL!$C$42, 30.7855, 30.7855) * CHOOSE(CONTROL!$C$21, $C$9, 100%, $E$9)</f>
        <v>30.785499999999999</v>
      </c>
      <c r="S888" s="10">
        <f>CHOOSE(CONTROL!$C$42, 28.9003, 28.9003) * CHOOSE(CONTROL!$C$21, $C$9, 100%, $E$9)</f>
        <v>28.900300000000001</v>
      </c>
      <c r="T8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38">
        <f>(1000*CHOOSE(CONTROL!$C$42, 695, 695)*CHOOSE(CONTROL!$C$42, 0.5599, 0.5599)*CHOOSE(CONTROL!$C$42, 31, 31))/1000000</f>
        <v>12.063045499999998</v>
      </c>
      <c r="V888" s="38">
        <f>(1000*CHOOSE(CONTROL!$C$42, 500, 500)*CHOOSE(CONTROL!$C$42, 0.275, 0.275)*CHOOSE(CONTROL!$C$42, 31, 31))/1000000</f>
        <v>4.2625000000000002</v>
      </c>
      <c r="W888" s="38">
        <f>(1000*CHOOSE(CONTROL!$C$42, 0.1146, 0.1146)*CHOOSE(CONTROL!$C$42, 121.5, 121.5)*CHOOSE(CONTROL!$C$42, 31, 31))/1000000</f>
        <v>0.43164089999999994</v>
      </c>
      <c r="X888" s="38">
        <f>(31*0.1790888*100000/1000000)+(31*0.2374*100000/1000000)</f>
        <v>1.2911152800000001</v>
      </c>
      <c r="Y888" s="38">
        <f>(1000*600*CHOOSE(CONTROL!$C$42, 1.0585, 1.0585)*CHOOSE(CONTROL!$C$42, 31, 31))/1000000</f>
        <v>19.688099999999999</v>
      </c>
      <c r="Z888" s="38"/>
      <c r="AA888" s="10"/>
      <c r="AB888" s="39"/>
      <c r="AC888" s="33">
        <f>(B888*122.58+C888*297.941+D888*89.177+E888*40.302+F888*40+G888*160+H888*0+I888*100+J888*300)/(122.58+297.941+89.177+40.302+0+40+160+100+300)</f>
        <v>29.755398957478263</v>
      </c>
      <c r="AD888" s="27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29.484524460431654</v>
      </c>
    </row>
    <row r="889" spans="1:30" ht="15.75" x14ac:dyDescent="0.25">
      <c r="A889" s="13">
        <v>68333</v>
      </c>
      <c r="B889" s="10">
        <f>CHOOSE(CONTROL!$C$42, 31.7712, 31.7712) * CHOOSE(CONTROL!$C$21, $C$9, 100%, $E$9)</f>
        <v>31.7712</v>
      </c>
      <c r="C889" s="10">
        <f>CHOOSE(CONTROL!$C$42, 31.7761, 31.7761) * CHOOSE(CONTROL!$C$21, $C$9, 100%, $E$9)</f>
        <v>31.7761</v>
      </c>
      <c r="D889" s="10">
        <f>CHOOSE(CONTROL!$C$42, 31.8006, 31.8006) * CHOOSE(CONTROL!$C$21, $C$9, 100%, $E$9)</f>
        <v>31.800599999999999</v>
      </c>
      <c r="E889" s="10">
        <f>CHOOSE(CONTROL!$C$42, 31.8344, 31.8344) * CHOOSE(CONTROL!$C$21, $C$9, 100%, $E$9)</f>
        <v>31.834399999999999</v>
      </c>
      <c r="F889" s="10">
        <f>CHOOSE(CONTROL!$C$42, 31.7541, 31.7541)*CHOOSE(CONTROL!$C$21, $C$9, 100%, $E$9)</f>
        <v>31.754100000000001</v>
      </c>
      <c r="G889" s="10">
        <f>CHOOSE(CONTROL!$C$42, 31.7728, 31.7728)*CHOOSE(CONTROL!$C$21, $C$9, 100%, $E$9)</f>
        <v>31.7728</v>
      </c>
      <c r="H889" s="10">
        <f>CHOOSE(CONTROL!$C$42, 31.8236, 31.8236) * CHOOSE(CONTROL!$C$21, $C$9, 100%, $E$9)</f>
        <v>31.823599999999999</v>
      </c>
      <c r="I889" s="10">
        <f>CHOOSE(CONTROL!$C$42, 31.7657, 31.7657)* CHOOSE(CONTROL!$C$21, $C$9, 100%, $E$9)</f>
        <v>31.765699999999999</v>
      </c>
      <c r="J889" s="10">
        <f>CHOOSE(CONTROL!$C$42, 31.7471, 31.7471)* CHOOSE(CONTROL!$C$21, $C$9, 100%, $E$9)</f>
        <v>31.7471</v>
      </c>
      <c r="K889" s="10">
        <f>CHOOSE(CONTROL!$C$42, 31.0186, 31.0186) * CHOOSE(CONTROL!$C$21, $C$9, 100%, $E$9)</f>
        <v>31.018599999999999</v>
      </c>
      <c r="L889" s="10">
        <f>CHOOSE(CONTROL!$C$42, 32.4106, 32.4106) * CHOOSE(CONTROL!$C$21, $C$9, 100%, $E$9)</f>
        <v>32.410600000000002</v>
      </c>
      <c r="M889" s="10">
        <f>CHOOSE(CONTROL!$C$42, 31.4406, 31.4406) * CHOOSE(CONTROL!$C$21, $C$9, 100%, $E$9)</f>
        <v>31.4406</v>
      </c>
      <c r="N889" s="10">
        <f>CHOOSE(CONTROL!$C$42, 31.459, 31.459) * CHOOSE(CONTROL!$C$21, $C$9, 100%, $E$9)</f>
        <v>31.459</v>
      </c>
      <c r="O889" s="10">
        <f>CHOOSE(CONTROL!$C$42, 31.5162, 31.5162) * CHOOSE(CONTROL!$C$21, $C$9, 100%, $E$9)</f>
        <v>31.516200000000001</v>
      </c>
      <c r="P889" s="10">
        <f>CHOOSE(CONTROL!$C$42, 31.459, 31.459) * CHOOSE(CONTROL!$C$21, $C$9, 100%, $E$9)</f>
        <v>31.459</v>
      </c>
      <c r="Q889" s="10">
        <f>CHOOSE(CONTROL!$C$42, 32.1115, 32.1115) * CHOOSE(CONTROL!$C$21, $C$9, 100%, $E$9)</f>
        <v>32.111499999999999</v>
      </c>
      <c r="R889" s="10">
        <f>CHOOSE(CONTROL!$C$42, 32.7788, 32.7788) * CHOOSE(CONTROL!$C$21, $C$9, 100%, $E$9)</f>
        <v>32.778799999999997</v>
      </c>
      <c r="S889" s="10">
        <f>CHOOSE(CONTROL!$C$42, 30.8509, 30.8509) * CHOOSE(CONTROL!$C$21, $C$9, 100%, $E$9)</f>
        <v>30.850899999999999</v>
      </c>
      <c r="T8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38">
        <f>(1000*CHOOSE(CONTROL!$C$42, 695, 695)*CHOOSE(CONTROL!$C$42, 0.5599, 0.5599)*CHOOSE(CONTROL!$C$42, 31, 31))/1000000</f>
        <v>12.063045499999998</v>
      </c>
      <c r="V889" s="38">
        <f>(1000*CHOOSE(CONTROL!$C$42, 500, 500)*CHOOSE(CONTROL!$C$42, 0.275, 0.275)*CHOOSE(CONTROL!$C$42, 31, 31))/1000000</f>
        <v>4.2625000000000002</v>
      </c>
      <c r="W889" s="38">
        <f>(1000*CHOOSE(CONTROL!$C$42, 0.1146, 0.1146)*CHOOSE(CONTROL!$C$42, 121.5, 121.5)*CHOOSE(CONTROL!$C$42, 31, 31))/1000000</f>
        <v>0.43164089999999994</v>
      </c>
      <c r="X889" s="38">
        <f>(31*0.1790888*100000/1000000)+(31*0.2374*100000/1000000)</f>
        <v>1.2911152800000001</v>
      </c>
      <c r="Y889" s="38">
        <f>(1000*600*CHOOSE(CONTROL!$C$42, 1.0585, 1.0585)*CHOOSE(CONTROL!$C$42, 31, 31))/1000000</f>
        <v>19.688099999999999</v>
      </c>
      <c r="Z889" s="38"/>
      <c r="AA889" s="10"/>
      <c r="AB889" s="39"/>
      <c r="AC889" s="33">
        <f>(B889*122.58+C889*297.941+D889*89.177+E889*40.302+F889*40+G889*160+H889*0+I889*100+J889*300)/(122.58+297.941+89.177+40.302+0+40+160+100+300)</f>
        <v>31.769826783565215</v>
      </c>
      <c r="AD889" s="27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31.478571223021589</v>
      </c>
    </row>
    <row r="890" spans="1:30" ht="15.75" x14ac:dyDescent="0.25">
      <c r="A890" s="13">
        <v>68361</v>
      </c>
      <c r="B890" s="10">
        <f>CHOOSE(CONTROL!$C$42, 32.3367, 32.3367) * CHOOSE(CONTROL!$C$21, $C$9, 100%, $E$9)</f>
        <v>32.3367</v>
      </c>
      <c r="C890" s="10">
        <f>CHOOSE(CONTROL!$C$42, 32.3416, 32.3416) * CHOOSE(CONTROL!$C$21, $C$9, 100%, $E$9)</f>
        <v>32.3416</v>
      </c>
      <c r="D890" s="10">
        <f>CHOOSE(CONTROL!$C$42, 32.3661, 32.3661) * CHOOSE(CONTROL!$C$21, $C$9, 100%, $E$9)</f>
        <v>32.366100000000003</v>
      </c>
      <c r="E890" s="10">
        <f>CHOOSE(CONTROL!$C$42, 32.3999, 32.3999) * CHOOSE(CONTROL!$C$21, $C$9, 100%, $E$9)</f>
        <v>32.399900000000002</v>
      </c>
      <c r="F890" s="10">
        <f>CHOOSE(CONTROL!$C$42, 32.319, 32.319)*CHOOSE(CONTROL!$C$21, $C$9, 100%, $E$9)</f>
        <v>32.319000000000003</v>
      </c>
      <c r="G890" s="10">
        <f>CHOOSE(CONTROL!$C$42, 32.3374, 32.3374)*CHOOSE(CONTROL!$C$21, $C$9, 100%, $E$9)</f>
        <v>32.337400000000002</v>
      </c>
      <c r="H890" s="10">
        <f>CHOOSE(CONTROL!$C$42, 32.3891, 32.3891) * CHOOSE(CONTROL!$C$21, $C$9, 100%, $E$9)</f>
        <v>32.389099999999999</v>
      </c>
      <c r="I890" s="10">
        <f>CHOOSE(CONTROL!$C$42, 32.3312, 32.3312)* CHOOSE(CONTROL!$C$21, $C$9, 100%, $E$9)</f>
        <v>32.331200000000003</v>
      </c>
      <c r="J890" s="10">
        <f>CHOOSE(CONTROL!$C$42, 32.312, 32.312)* CHOOSE(CONTROL!$C$21, $C$9, 100%, $E$9)</f>
        <v>32.311999999999998</v>
      </c>
      <c r="K890" s="10">
        <f>CHOOSE(CONTROL!$C$42, 31.5666, 31.5666) * CHOOSE(CONTROL!$C$21, $C$9, 100%, $E$9)</f>
        <v>31.566600000000001</v>
      </c>
      <c r="L890" s="10">
        <f>CHOOSE(CONTROL!$C$42, 32.9761, 32.9761) * CHOOSE(CONTROL!$C$21, $C$9, 100%, $E$9)</f>
        <v>32.976100000000002</v>
      </c>
      <c r="M890" s="10">
        <f>CHOOSE(CONTROL!$C$42, 31.9997, 31.9997) * CHOOSE(CONTROL!$C$21, $C$9, 100%, $E$9)</f>
        <v>31.999700000000001</v>
      </c>
      <c r="N890" s="10">
        <f>CHOOSE(CONTROL!$C$42, 32.018, 32.018) * CHOOSE(CONTROL!$C$21, $C$9, 100%, $E$9)</f>
        <v>32.018000000000001</v>
      </c>
      <c r="O890" s="10">
        <f>CHOOSE(CONTROL!$C$42, 32.076, 32.076) * CHOOSE(CONTROL!$C$21, $C$9, 100%, $E$9)</f>
        <v>32.076000000000001</v>
      </c>
      <c r="P890" s="10">
        <f>CHOOSE(CONTROL!$C$42, 32.0188, 32.0188) * CHOOSE(CONTROL!$C$21, $C$9, 100%, $E$9)</f>
        <v>32.018799999999999</v>
      </c>
      <c r="Q890" s="10">
        <f>CHOOSE(CONTROL!$C$42, 32.6713, 32.6713) * CHOOSE(CONTROL!$C$21, $C$9, 100%, $E$9)</f>
        <v>32.671300000000002</v>
      </c>
      <c r="R890" s="10">
        <f>CHOOSE(CONTROL!$C$42, 33.34, 33.34) * CHOOSE(CONTROL!$C$21, $C$9, 100%, $E$9)</f>
        <v>33.340000000000003</v>
      </c>
      <c r="S890" s="10">
        <f>CHOOSE(CONTROL!$C$42, 31.4, 31.4) * CHOOSE(CONTROL!$C$21, $C$9, 100%, $E$9)</f>
        <v>31.4</v>
      </c>
      <c r="T8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38">
        <f>(1000*CHOOSE(CONTROL!$C$42, 695, 695)*CHOOSE(CONTROL!$C$42, 0.5599, 0.5599)*CHOOSE(CONTROL!$C$42, 28, 28))/1000000</f>
        <v>10.895653999999999</v>
      </c>
      <c r="V890" s="38">
        <f>(1000*CHOOSE(CONTROL!$C$42, 500, 500)*CHOOSE(CONTROL!$C$42, 0.275, 0.275)*CHOOSE(CONTROL!$C$42, 28, 28))/1000000</f>
        <v>3.85</v>
      </c>
      <c r="W890" s="38">
        <f>(1000*CHOOSE(CONTROL!$C$42, 0.1146, 0.1146)*CHOOSE(CONTROL!$C$42, 121.5, 121.5)*CHOOSE(CONTROL!$C$42, 28, 28))/1000000</f>
        <v>0.38986920000000003</v>
      </c>
      <c r="X890" s="38">
        <f>(28*0.1790888*100000/1000000)+(28*0.2374*100000/1000000)</f>
        <v>1.16616864</v>
      </c>
      <c r="Y890" s="38">
        <f>(1000*600*CHOOSE(CONTROL!$C$42, 1.0585, 1.0585)*CHOOSE(CONTROL!$C$42, 28, 28))/1000000</f>
        <v>17.782800000000002</v>
      </c>
      <c r="Z890" s="38"/>
      <c r="AA890" s="10"/>
      <c r="AB890" s="39"/>
      <c r="AC890" s="33">
        <f>(B890*122.58+C890*297.941+D890*89.177+E890*40.302+F890*40+G890*160+H890*0+I890*100+J890*300)/(122.58+297.941+89.177+40.302+0+40+160+100+300)</f>
        <v>32.335024174869559</v>
      </c>
      <c r="AD890" s="27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32.038083453237412</v>
      </c>
    </row>
    <row r="891" spans="1:30" ht="15.75" x14ac:dyDescent="0.25">
      <c r="A891" s="13">
        <v>68392</v>
      </c>
      <c r="B891" s="10">
        <f>CHOOSE(CONTROL!$C$42, 31.4187, 31.4187) * CHOOSE(CONTROL!$C$21, $C$9, 100%, $E$9)</f>
        <v>31.418700000000001</v>
      </c>
      <c r="C891" s="10">
        <f>CHOOSE(CONTROL!$C$42, 31.4237, 31.4237) * CHOOSE(CONTROL!$C$21, $C$9, 100%, $E$9)</f>
        <v>31.4237</v>
      </c>
      <c r="D891" s="10">
        <f>CHOOSE(CONTROL!$C$42, 31.4481, 31.4481) * CHOOSE(CONTROL!$C$21, $C$9, 100%, $E$9)</f>
        <v>31.4481</v>
      </c>
      <c r="E891" s="10">
        <f>CHOOSE(CONTROL!$C$42, 31.4819, 31.4819) * CHOOSE(CONTROL!$C$21, $C$9, 100%, $E$9)</f>
        <v>31.4819</v>
      </c>
      <c r="F891" s="10">
        <f>CHOOSE(CONTROL!$C$42, 31.3994, 31.3994)*CHOOSE(CONTROL!$C$21, $C$9, 100%, $E$9)</f>
        <v>31.3994</v>
      </c>
      <c r="G891" s="10">
        <f>CHOOSE(CONTROL!$C$42, 31.4175, 31.4175)*CHOOSE(CONTROL!$C$21, $C$9, 100%, $E$9)</f>
        <v>31.4175</v>
      </c>
      <c r="H891" s="10">
        <f>CHOOSE(CONTROL!$C$42, 31.4711, 31.4711) * CHOOSE(CONTROL!$C$21, $C$9, 100%, $E$9)</f>
        <v>31.4711</v>
      </c>
      <c r="I891" s="10">
        <f>CHOOSE(CONTROL!$C$42, 31.4132, 31.4132)* CHOOSE(CONTROL!$C$21, $C$9, 100%, $E$9)</f>
        <v>31.4132</v>
      </c>
      <c r="J891" s="10">
        <f>CHOOSE(CONTROL!$C$42, 31.3924, 31.3924)* CHOOSE(CONTROL!$C$21, $C$9, 100%, $E$9)</f>
        <v>31.392399999999999</v>
      </c>
      <c r="K891" s="10">
        <f>CHOOSE(CONTROL!$C$42, 30.6713, 30.6713) * CHOOSE(CONTROL!$C$21, $C$9, 100%, $E$9)</f>
        <v>30.671299999999999</v>
      </c>
      <c r="L891" s="10">
        <f>CHOOSE(CONTROL!$C$42, 32.0581, 32.0581) * CHOOSE(CONTROL!$C$21, $C$9, 100%, $E$9)</f>
        <v>32.058100000000003</v>
      </c>
      <c r="M891" s="10">
        <f>CHOOSE(CONTROL!$C$42, 31.0895, 31.0895) * CHOOSE(CONTROL!$C$21, $C$9, 100%, $E$9)</f>
        <v>31.089500000000001</v>
      </c>
      <c r="N891" s="10">
        <f>CHOOSE(CONTROL!$C$42, 31.1074, 31.1074) * CHOOSE(CONTROL!$C$21, $C$9, 100%, $E$9)</f>
        <v>31.107399999999998</v>
      </c>
      <c r="O891" s="10">
        <f>CHOOSE(CONTROL!$C$42, 31.1673, 31.1673) * CHOOSE(CONTROL!$C$21, $C$9, 100%, $E$9)</f>
        <v>31.167300000000001</v>
      </c>
      <c r="P891" s="10">
        <f>CHOOSE(CONTROL!$C$42, 31.1101, 31.1101) * CHOOSE(CONTROL!$C$21, $C$9, 100%, $E$9)</f>
        <v>31.110099999999999</v>
      </c>
      <c r="Q891" s="10">
        <f>CHOOSE(CONTROL!$C$42, 31.7626, 31.7626) * CHOOSE(CONTROL!$C$21, $C$9, 100%, $E$9)</f>
        <v>31.762599999999999</v>
      </c>
      <c r="R891" s="10">
        <f>CHOOSE(CONTROL!$C$42, 32.429, 32.429) * CHOOSE(CONTROL!$C$21, $C$9, 100%, $E$9)</f>
        <v>32.429000000000002</v>
      </c>
      <c r="S891" s="10">
        <f>CHOOSE(CONTROL!$C$42, 30.5086, 30.5086) * CHOOSE(CONTROL!$C$21, $C$9, 100%, $E$9)</f>
        <v>30.508600000000001</v>
      </c>
      <c r="T8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38">
        <f>(1000*CHOOSE(CONTROL!$C$42, 695, 695)*CHOOSE(CONTROL!$C$42, 0.5599, 0.5599)*CHOOSE(CONTROL!$C$42, 31, 31))/1000000</f>
        <v>12.063045499999998</v>
      </c>
      <c r="V891" s="38">
        <f>(1000*CHOOSE(CONTROL!$C$42, 500, 500)*CHOOSE(CONTROL!$C$42, 0.275, 0.275)*CHOOSE(CONTROL!$C$42, 31, 31))/1000000</f>
        <v>4.2625000000000002</v>
      </c>
      <c r="W891" s="38">
        <f>(1000*CHOOSE(CONTROL!$C$42, 0.1146, 0.1146)*CHOOSE(CONTROL!$C$42, 121.5, 121.5)*CHOOSE(CONTROL!$C$42, 31, 31))/1000000</f>
        <v>0.43164089999999994</v>
      </c>
      <c r="X891" s="38">
        <f>(31*0.1790888*100000/1000000)+(31*0.2374*100000/1000000)</f>
        <v>1.2911152800000001</v>
      </c>
      <c r="Y891" s="38">
        <f>(1000*600*CHOOSE(CONTROL!$C$42, 1.0585, 1.0585)*CHOOSE(CONTROL!$C$42, 31, 31))/1000000</f>
        <v>19.688099999999999</v>
      </c>
      <c r="Z891" s="38"/>
      <c r="AA891" s="10"/>
      <c r="AB891" s="39"/>
      <c r="AC891" s="33">
        <f>(B891*122.58+C891*297.941+D891*89.177+E891*40.302+F891*40+G891*160+H891*0+I891*100+J891*300)/(122.58+297.941+89.177+40.302+0+40+160+100+300)</f>
        <v>31.416312691478257</v>
      </c>
      <c r="AD891" s="27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31.128756115107912</v>
      </c>
    </row>
    <row r="892" spans="1:30" ht="15.75" x14ac:dyDescent="0.25">
      <c r="A892" s="13">
        <v>68422</v>
      </c>
      <c r="B892" s="10">
        <f>CHOOSE(CONTROL!$C$42, 31.3254, 31.3254) * CHOOSE(CONTROL!$C$21, $C$9, 100%, $E$9)</f>
        <v>31.325399999999998</v>
      </c>
      <c r="C892" s="10">
        <f>CHOOSE(CONTROL!$C$42, 31.3298, 31.3298) * CHOOSE(CONTROL!$C$21, $C$9, 100%, $E$9)</f>
        <v>31.329799999999999</v>
      </c>
      <c r="D892" s="10">
        <f>CHOOSE(CONTROL!$C$42, 31.5099, 31.5099) * CHOOSE(CONTROL!$C$21, $C$9, 100%, $E$9)</f>
        <v>31.509899999999998</v>
      </c>
      <c r="E892" s="10">
        <f>CHOOSE(CONTROL!$C$42, 31.5417, 31.5417) * CHOOSE(CONTROL!$C$21, $C$9, 100%, $E$9)</f>
        <v>31.541699999999999</v>
      </c>
      <c r="F892" s="10">
        <f>CHOOSE(CONTROL!$C$42, 31.2908, 31.2908)*CHOOSE(CONTROL!$C$21, $C$9, 100%, $E$9)</f>
        <v>31.290800000000001</v>
      </c>
      <c r="G892" s="10">
        <f>CHOOSE(CONTROL!$C$42, 31.307, 31.307)*CHOOSE(CONTROL!$C$21, $C$9, 100%, $E$9)</f>
        <v>31.306999999999999</v>
      </c>
      <c r="H892" s="10">
        <f>CHOOSE(CONTROL!$C$42, 31.5315, 31.5315) * CHOOSE(CONTROL!$C$21, $C$9, 100%, $E$9)</f>
        <v>31.531500000000001</v>
      </c>
      <c r="I892" s="10">
        <f>CHOOSE(CONTROL!$C$42, 31.3114, 31.3114)* CHOOSE(CONTROL!$C$21, $C$9, 100%, $E$9)</f>
        <v>31.311399999999999</v>
      </c>
      <c r="J892" s="10">
        <f>CHOOSE(CONTROL!$C$42, 31.2838, 31.2838)* CHOOSE(CONTROL!$C$21, $C$9, 100%, $E$9)</f>
        <v>31.283799999999999</v>
      </c>
      <c r="K892" s="10">
        <f>CHOOSE(CONTROL!$C$42, 30.5574, 30.5574) * CHOOSE(CONTROL!$C$21, $C$9, 100%, $E$9)</f>
        <v>30.557400000000001</v>
      </c>
      <c r="L892" s="10">
        <f>CHOOSE(CONTROL!$C$42, 32.1185, 32.1185) * CHOOSE(CONTROL!$C$21, $C$9, 100%, $E$9)</f>
        <v>32.118499999999997</v>
      </c>
      <c r="M892" s="10">
        <f>CHOOSE(CONTROL!$C$42, 30.9819, 30.9819) * CHOOSE(CONTROL!$C$21, $C$9, 100%, $E$9)</f>
        <v>30.9819</v>
      </c>
      <c r="N892" s="10">
        <f>CHOOSE(CONTROL!$C$42, 30.998, 30.998) * CHOOSE(CONTROL!$C$21, $C$9, 100%, $E$9)</f>
        <v>30.998000000000001</v>
      </c>
      <c r="O892" s="10">
        <f>CHOOSE(CONTROL!$C$42, 31.2271, 31.2271) * CHOOSE(CONTROL!$C$21, $C$9, 100%, $E$9)</f>
        <v>31.2271</v>
      </c>
      <c r="P892" s="10">
        <f>CHOOSE(CONTROL!$C$42, 31.0093, 31.0093) * CHOOSE(CONTROL!$C$21, $C$9, 100%, $E$9)</f>
        <v>31.0093</v>
      </c>
      <c r="Q892" s="10">
        <f>CHOOSE(CONTROL!$C$42, 31.8224, 31.8224) * CHOOSE(CONTROL!$C$21, $C$9, 100%, $E$9)</f>
        <v>31.822399999999998</v>
      </c>
      <c r="R892" s="10">
        <f>CHOOSE(CONTROL!$C$42, 32.489, 32.489) * CHOOSE(CONTROL!$C$21, $C$9, 100%, $E$9)</f>
        <v>32.488999999999997</v>
      </c>
      <c r="S892" s="10">
        <f>CHOOSE(CONTROL!$C$42, 30.4172, 30.4172) * CHOOSE(CONTROL!$C$21, $C$9, 100%, $E$9)</f>
        <v>30.417200000000001</v>
      </c>
      <c r="T8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38">
        <f>(1000*CHOOSE(CONTROL!$C$42, 695, 695)*CHOOSE(CONTROL!$C$42, 0.5599, 0.5599)*CHOOSE(CONTROL!$C$42, 30, 30))/1000000</f>
        <v>11.673914999999997</v>
      </c>
      <c r="V892" s="38">
        <f>(1000*CHOOSE(CONTROL!$C$42, 500, 500)*CHOOSE(CONTROL!$C$42, 0.275, 0.275)*CHOOSE(CONTROL!$C$42, 30, 30))/1000000</f>
        <v>4.125</v>
      </c>
      <c r="W892" s="38">
        <f>(1000*CHOOSE(CONTROL!$C$42, 0.1146, 0.1146)*CHOOSE(CONTROL!$C$42, 121.5, 121.5)*CHOOSE(CONTROL!$C$42, 30, 30))/1000000</f>
        <v>0.417717</v>
      </c>
      <c r="X892" s="38">
        <f>(30*0.1790888*245000/1000000)+(30*0.2374*100000/1000000)</f>
        <v>2.0285026799999999</v>
      </c>
      <c r="Y892" s="38">
        <f>(1000*600*CHOOSE(CONTROL!$C$42, 1.0585, 1.0585)*CHOOSE(CONTROL!$C$42, 30, 30))/1000000</f>
        <v>19.053000000000001</v>
      </c>
      <c r="Z892" s="38"/>
      <c r="AA892" s="10"/>
      <c r="AB892" s="39"/>
      <c r="AC892" s="33">
        <f>(B892*141.293+C892*267.993+D892*115.016+E892*89.698+F892*40+G892*185+H892*0+I892*100+J892*300)/(141.293+267.993+115.016+89.698+0+40+185+100+300)</f>
        <v>31.344070943179979</v>
      </c>
      <c r="AD892" s="27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31.097902877697845</v>
      </c>
    </row>
    <row r="893" spans="1:30" ht="15.75" x14ac:dyDescent="0.25">
      <c r="A893" s="13">
        <v>68453</v>
      </c>
      <c r="B893" s="10">
        <f>CHOOSE(CONTROL!$C$42, 31.6037, 31.6037) * CHOOSE(CONTROL!$C$21, $C$9, 100%, $E$9)</f>
        <v>31.6037</v>
      </c>
      <c r="C893" s="10">
        <f>CHOOSE(CONTROL!$C$42, 31.6116, 31.6116) * CHOOSE(CONTROL!$C$21, $C$9, 100%, $E$9)</f>
        <v>31.611599999999999</v>
      </c>
      <c r="D893" s="10">
        <f>CHOOSE(CONTROL!$C$42, 31.7886, 31.7886) * CHOOSE(CONTROL!$C$21, $C$9, 100%, $E$9)</f>
        <v>31.788599999999999</v>
      </c>
      <c r="E893" s="10">
        <f>CHOOSE(CONTROL!$C$42, 31.8197, 31.8197) * CHOOSE(CONTROL!$C$21, $C$9, 100%, $E$9)</f>
        <v>31.819700000000001</v>
      </c>
      <c r="F893" s="10">
        <f>CHOOSE(CONTROL!$C$42, 31.567, 31.567)*CHOOSE(CONTROL!$C$21, $C$9, 100%, $E$9)</f>
        <v>31.567</v>
      </c>
      <c r="G893" s="10">
        <f>CHOOSE(CONTROL!$C$42, 31.5835, 31.5835)*CHOOSE(CONTROL!$C$21, $C$9, 100%, $E$9)</f>
        <v>31.583500000000001</v>
      </c>
      <c r="H893" s="10">
        <f>CHOOSE(CONTROL!$C$42, 31.8083, 31.8083) * CHOOSE(CONTROL!$C$21, $C$9, 100%, $E$9)</f>
        <v>31.808299999999999</v>
      </c>
      <c r="I893" s="10">
        <f>CHOOSE(CONTROL!$C$42, 31.5883, 31.5883)* CHOOSE(CONTROL!$C$21, $C$9, 100%, $E$9)</f>
        <v>31.5883</v>
      </c>
      <c r="J893" s="10">
        <f>CHOOSE(CONTROL!$C$42, 31.56, 31.56)* CHOOSE(CONTROL!$C$21, $C$9, 100%, $E$9)</f>
        <v>31.56</v>
      </c>
      <c r="K893" s="10">
        <f>CHOOSE(CONTROL!$C$42, 30.8252, 30.8252) * CHOOSE(CONTROL!$C$21, $C$9, 100%, $E$9)</f>
        <v>30.825199999999999</v>
      </c>
      <c r="L893" s="10">
        <f>CHOOSE(CONTROL!$C$42, 32.3953, 32.3953) * CHOOSE(CONTROL!$C$21, $C$9, 100%, $E$9)</f>
        <v>32.395299999999999</v>
      </c>
      <c r="M893" s="10">
        <f>CHOOSE(CONTROL!$C$42, 31.2554, 31.2554) * CHOOSE(CONTROL!$C$21, $C$9, 100%, $E$9)</f>
        <v>31.255400000000002</v>
      </c>
      <c r="N893" s="10">
        <f>CHOOSE(CONTROL!$C$42, 31.2717, 31.2717) * CHOOSE(CONTROL!$C$21, $C$9, 100%, $E$9)</f>
        <v>31.271699999999999</v>
      </c>
      <c r="O893" s="10">
        <f>CHOOSE(CONTROL!$C$42, 31.5012, 31.5012) * CHOOSE(CONTROL!$C$21, $C$9, 100%, $E$9)</f>
        <v>31.501200000000001</v>
      </c>
      <c r="P893" s="10">
        <f>CHOOSE(CONTROL!$C$42, 31.2833, 31.2833) * CHOOSE(CONTROL!$C$21, $C$9, 100%, $E$9)</f>
        <v>31.283300000000001</v>
      </c>
      <c r="Q893" s="10">
        <f>CHOOSE(CONTROL!$C$42, 32.0965, 32.0965) * CHOOSE(CONTROL!$C$21, $C$9, 100%, $E$9)</f>
        <v>32.096499999999999</v>
      </c>
      <c r="R893" s="10">
        <f>CHOOSE(CONTROL!$C$42, 32.7637, 32.7637) * CHOOSE(CONTROL!$C$21, $C$9, 100%, $E$9)</f>
        <v>32.7637</v>
      </c>
      <c r="S893" s="10">
        <f>CHOOSE(CONTROL!$C$42, 30.6861, 30.6861) * CHOOSE(CONTROL!$C$21, $C$9, 100%, $E$9)</f>
        <v>30.6861</v>
      </c>
      <c r="T8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38">
        <f>(1000*CHOOSE(CONTROL!$C$42, 695, 695)*CHOOSE(CONTROL!$C$42, 0.5599, 0.5599)*CHOOSE(CONTROL!$C$42, 31, 31))/1000000</f>
        <v>12.063045499999998</v>
      </c>
      <c r="V893" s="38">
        <f>(1000*CHOOSE(CONTROL!$C$42, 500, 500)*CHOOSE(CONTROL!$C$42, 0.275, 0.275)*CHOOSE(CONTROL!$C$42, 31, 31))/1000000</f>
        <v>4.2625000000000002</v>
      </c>
      <c r="W893" s="38">
        <f>(1000*CHOOSE(CONTROL!$C$42, 0.1146, 0.1146)*CHOOSE(CONTROL!$C$42, 121.5, 121.5)*CHOOSE(CONTROL!$C$42, 31, 31))/1000000</f>
        <v>0.43164089999999994</v>
      </c>
      <c r="X893" s="38">
        <f>(31*0.1790888*245000/1000000)+(31*0.2374*100000/1000000)</f>
        <v>2.0961194359999999</v>
      </c>
      <c r="Y893" s="38">
        <f>(1000*600*CHOOSE(CONTROL!$C$42, 1.0585, 1.0585)*CHOOSE(CONTROL!$C$42, 31, 31))/1000000</f>
        <v>19.688099999999999</v>
      </c>
      <c r="Z893" s="38"/>
      <c r="AA893" s="10"/>
      <c r="AB893" s="39"/>
      <c r="AC893" s="33">
        <f>(B893*194.205+C893*267.466+D893*133.845+E893*53.484+F893*40+G893*185+H893*0+I893*100+J893*300)/(194.205+267.466+133.845+53.484+0+40+185+100+300)</f>
        <v>31.618267084693883</v>
      </c>
      <c r="AD893" s="27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31.3717582733813</v>
      </c>
    </row>
    <row r="894" spans="1:30" ht="15.75" x14ac:dyDescent="0.25">
      <c r="A894" s="13">
        <v>68483</v>
      </c>
      <c r="B894" s="10">
        <f>CHOOSE(CONTROL!$C$42, 32.5, 32.5) * CHOOSE(CONTROL!$C$21, $C$9, 100%, $E$9)</f>
        <v>32.5</v>
      </c>
      <c r="C894" s="10">
        <f>CHOOSE(CONTROL!$C$42, 32.5079, 32.5079) * CHOOSE(CONTROL!$C$21, $C$9, 100%, $E$9)</f>
        <v>32.507899999999999</v>
      </c>
      <c r="D894" s="10">
        <f>CHOOSE(CONTROL!$C$42, 32.6849, 32.6849) * CHOOSE(CONTROL!$C$21, $C$9, 100%, $E$9)</f>
        <v>32.684899999999999</v>
      </c>
      <c r="E894" s="10">
        <f>CHOOSE(CONTROL!$C$42, 32.716, 32.716) * CHOOSE(CONTROL!$C$21, $C$9, 100%, $E$9)</f>
        <v>32.716000000000001</v>
      </c>
      <c r="F894" s="10">
        <f>CHOOSE(CONTROL!$C$42, 32.4635, 32.4635)*CHOOSE(CONTROL!$C$21, $C$9, 100%, $E$9)</f>
        <v>32.463500000000003</v>
      </c>
      <c r="G894" s="10">
        <f>CHOOSE(CONTROL!$C$42, 32.4801, 32.4801)*CHOOSE(CONTROL!$C$21, $C$9, 100%, $E$9)</f>
        <v>32.4801</v>
      </c>
      <c r="H894" s="10">
        <f>CHOOSE(CONTROL!$C$42, 32.7047, 32.7047) * CHOOSE(CONTROL!$C$21, $C$9, 100%, $E$9)</f>
        <v>32.704700000000003</v>
      </c>
      <c r="I894" s="10">
        <f>CHOOSE(CONTROL!$C$42, 32.4846, 32.4846)* CHOOSE(CONTROL!$C$21, $C$9, 100%, $E$9)</f>
        <v>32.4846</v>
      </c>
      <c r="J894" s="10">
        <f>CHOOSE(CONTROL!$C$42, 32.4565, 32.4565)* CHOOSE(CONTROL!$C$21, $C$9, 100%, $E$9)</f>
        <v>32.456499999999998</v>
      </c>
      <c r="K894" s="10">
        <f>CHOOSE(CONTROL!$C$42, 31.6964, 31.6964) * CHOOSE(CONTROL!$C$21, $C$9, 100%, $E$9)</f>
        <v>31.696400000000001</v>
      </c>
      <c r="L894" s="10">
        <f>CHOOSE(CONTROL!$C$42, 33.2917, 33.2917) * CHOOSE(CONTROL!$C$21, $C$9, 100%, $E$9)</f>
        <v>33.291699999999999</v>
      </c>
      <c r="M894" s="10">
        <f>CHOOSE(CONTROL!$C$42, 32.1428, 32.1428) * CHOOSE(CONTROL!$C$21, $C$9, 100%, $E$9)</f>
        <v>32.142800000000001</v>
      </c>
      <c r="N894" s="10">
        <f>CHOOSE(CONTROL!$C$42, 32.1592, 32.1592) * CHOOSE(CONTROL!$C$21, $C$9, 100%, $E$9)</f>
        <v>32.159199999999998</v>
      </c>
      <c r="O894" s="10">
        <f>CHOOSE(CONTROL!$C$42, 32.3884, 32.3884) * CHOOSE(CONTROL!$C$21, $C$9, 100%, $E$9)</f>
        <v>32.388399999999997</v>
      </c>
      <c r="P894" s="10">
        <f>CHOOSE(CONTROL!$C$42, 32.1706, 32.1706) * CHOOSE(CONTROL!$C$21, $C$9, 100%, $E$9)</f>
        <v>32.1706</v>
      </c>
      <c r="Q894" s="10">
        <f>CHOOSE(CONTROL!$C$42, 32.9837, 32.9837) * CHOOSE(CONTROL!$C$21, $C$9, 100%, $E$9)</f>
        <v>32.983699999999999</v>
      </c>
      <c r="R894" s="10">
        <f>CHOOSE(CONTROL!$C$42, 33.6532, 33.6532) * CHOOSE(CONTROL!$C$21, $C$9, 100%, $E$9)</f>
        <v>33.653199999999998</v>
      </c>
      <c r="S894" s="10">
        <f>CHOOSE(CONTROL!$C$42, 31.5565, 31.5565) * CHOOSE(CONTROL!$C$21, $C$9, 100%, $E$9)</f>
        <v>31.5565</v>
      </c>
      <c r="T8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38">
        <f>(1000*CHOOSE(CONTROL!$C$42, 695, 695)*CHOOSE(CONTROL!$C$42, 0.5599, 0.5599)*CHOOSE(CONTROL!$C$42, 30, 30))/1000000</f>
        <v>11.673914999999997</v>
      </c>
      <c r="V894" s="38">
        <f>(1000*CHOOSE(CONTROL!$C$42, 500, 500)*CHOOSE(CONTROL!$C$42, 0.275, 0.275)*CHOOSE(CONTROL!$C$42, 30, 30))/1000000</f>
        <v>4.125</v>
      </c>
      <c r="W894" s="38">
        <f>(1000*CHOOSE(CONTROL!$C$42, 0.1146, 0.1146)*CHOOSE(CONTROL!$C$42, 121.5, 121.5)*CHOOSE(CONTROL!$C$42, 30, 30))/1000000</f>
        <v>0.417717</v>
      </c>
      <c r="X894" s="38">
        <f>(30*0.1790888*245000/1000000)+(30*0.2374*100000/1000000)</f>
        <v>2.0285026799999999</v>
      </c>
      <c r="Y894" s="38">
        <f>(1000*600*CHOOSE(CONTROL!$C$42, 1.0585, 1.0585)*CHOOSE(CONTROL!$C$42, 30, 30))/1000000</f>
        <v>19.053000000000001</v>
      </c>
      <c r="Z894" s="38"/>
      <c r="AA894" s="10"/>
      <c r="AB894" s="39"/>
      <c r="AC894" s="33">
        <f>(B894*194.205+C894*267.466+D894*133.845+E894*53.484+F894*40+G894*185+H894*0+I894*100+J894*300)/(194.205+267.466+133.845+53.484+0+40+185+100+300)</f>
        <v>32.514664023469393</v>
      </c>
      <c r="AD894" s="27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32.259058992805755</v>
      </c>
    </row>
    <row r="895" spans="1:30" ht="15.75" x14ac:dyDescent="0.25">
      <c r="A895" s="13">
        <v>68514</v>
      </c>
      <c r="B895" s="10">
        <f>CHOOSE(CONTROL!$C$42, 31.8766, 31.8766) * CHOOSE(CONTROL!$C$21, $C$9, 100%, $E$9)</f>
        <v>31.8766</v>
      </c>
      <c r="C895" s="10">
        <f>CHOOSE(CONTROL!$C$42, 31.8845, 31.8845) * CHOOSE(CONTROL!$C$21, $C$9, 100%, $E$9)</f>
        <v>31.884499999999999</v>
      </c>
      <c r="D895" s="10">
        <f>CHOOSE(CONTROL!$C$42, 32.0615, 32.0615) * CHOOSE(CONTROL!$C$21, $C$9, 100%, $E$9)</f>
        <v>32.061500000000002</v>
      </c>
      <c r="E895" s="10">
        <f>CHOOSE(CONTROL!$C$42, 32.0926, 32.0926) * CHOOSE(CONTROL!$C$21, $C$9, 100%, $E$9)</f>
        <v>32.092599999999997</v>
      </c>
      <c r="F895" s="10">
        <f>CHOOSE(CONTROL!$C$42, 31.8404, 31.8404)*CHOOSE(CONTROL!$C$21, $C$9, 100%, $E$9)</f>
        <v>31.840399999999999</v>
      </c>
      <c r="G895" s="10">
        <f>CHOOSE(CONTROL!$C$42, 31.857, 31.857)*CHOOSE(CONTROL!$C$21, $C$9, 100%, $E$9)</f>
        <v>31.856999999999999</v>
      </c>
      <c r="H895" s="10">
        <f>CHOOSE(CONTROL!$C$42, 32.0813, 32.0813) * CHOOSE(CONTROL!$C$21, $C$9, 100%, $E$9)</f>
        <v>32.081299999999999</v>
      </c>
      <c r="I895" s="10">
        <f>CHOOSE(CONTROL!$C$42, 31.8612, 31.8612)* CHOOSE(CONTROL!$C$21, $C$9, 100%, $E$9)</f>
        <v>31.8612</v>
      </c>
      <c r="J895" s="10">
        <f>CHOOSE(CONTROL!$C$42, 31.8334, 31.8334)* CHOOSE(CONTROL!$C$21, $C$9, 100%, $E$9)</f>
        <v>31.833400000000001</v>
      </c>
      <c r="K895" s="10">
        <f>CHOOSE(CONTROL!$C$42, 31.0913, 31.0913) * CHOOSE(CONTROL!$C$21, $C$9, 100%, $E$9)</f>
        <v>31.0913</v>
      </c>
      <c r="L895" s="10">
        <f>CHOOSE(CONTROL!$C$42, 32.6683, 32.6683) * CHOOSE(CONTROL!$C$21, $C$9, 100%, $E$9)</f>
        <v>32.668300000000002</v>
      </c>
      <c r="M895" s="10">
        <f>CHOOSE(CONTROL!$C$42, 31.526, 31.526) * CHOOSE(CONTROL!$C$21, $C$9, 100%, $E$9)</f>
        <v>31.526</v>
      </c>
      <c r="N895" s="10">
        <f>CHOOSE(CONTROL!$C$42, 31.5424, 31.5424) * CHOOSE(CONTROL!$C$21, $C$9, 100%, $E$9)</f>
        <v>31.542400000000001</v>
      </c>
      <c r="O895" s="10">
        <f>CHOOSE(CONTROL!$C$42, 31.7713, 31.7713) * CHOOSE(CONTROL!$C$21, $C$9, 100%, $E$9)</f>
        <v>31.7713</v>
      </c>
      <c r="P895" s="10">
        <f>CHOOSE(CONTROL!$C$42, 31.5535, 31.5535) * CHOOSE(CONTROL!$C$21, $C$9, 100%, $E$9)</f>
        <v>31.5535</v>
      </c>
      <c r="Q895" s="10">
        <f>CHOOSE(CONTROL!$C$42, 32.3666, 32.3666) * CHOOSE(CONTROL!$C$21, $C$9, 100%, $E$9)</f>
        <v>32.366599999999998</v>
      </c>
      <c r="R895" s="10">
        <f>CHOOSE(CONTROL!$C$42, 33.0346, 33.0346) * CHOOSE(CONTROL!$C$21, $C$9, 100%, $E$9)</f>
        <v>33.034599999999998</v>
      </c>
      <c r="S895" s="10">
        <f>CHOOSE(CONTROL!$C$42, 30.9511, 30.9511) * CHOOSE(CONTROL!$C$21, $C$9, 100%, $E$9)</f>
        <v>30.9511</v>
      </c>
      <c r="T8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38">
        <f>(1000*CHOOSE(CONTROL!$C$42, 695, 695)*CHOOSE(CONTROL!$C$42, 0.5599, 0.5599)*CHOOSE(CONTROL!$C$42, 31, 31))/1000000</f>
        <v>12.063045499999998</v>
      </c>
      <c r="V895" s="38">
        <f>(1000*CHOOSE(CONTROL!$C$42, 500, 500)*CHOOSE(CONTROL!$C$42, 0.275, 0.275)*CHOOSE(CONTROL!$C$42, 31, 31))/1000000</f>
        <v>4.2625000000000002</v>
      </c>
      <c r="W895" s="38">
        <f>(1000*CHOOSE(CONTROL!$C$42, 0.1146, 0.1146)*CHOOSE(CONTROL!$C$42, 121.5, 121.5)*CHOOSE(CONTROL!$C$42, 31, 31))/1000000</f>
        <v>0.43164089999999994</v>
      </c>
      <c r="X895" s="38">
        <f>(31*0.1790888*245000/1000000)+(31*0.2374*100000/1000000)</f>
        <v>2.0961194359999999</v>
      </c>
      <c r="Y895" s="38">
        <f>(1000*600*CHOOSE(CONTROL!$C$42, 1.0585, 1.0585)*CHOOSE(CONTROL!$C$42, 31, 31))/1000000</f>
        <v>19.688099999999999</v>
      </c>
      <c r="Z895" s="38"/>
      <c r="AA895" s="10"/>
      <c r="AB895" s="39"/>
      <c r="AC895" s="33">
        <f>(B895*194.205+C895*267.466+D895*133.845+E895*53.484+F895*40+G895*185+H895*0+I895*100+J895*300)/(194.205+267.466+133.845+53.484+0+40+185+100+300)</f>
        <v>31.891387649843011</v>
      </c>
      <c r="AD895" s="27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31.642079856115103</v>
      </c>
    </row>
    <row r="896" spans="1:30" ht="15.75" x14ac:dyDescent="0.25">
      <c r="A896" s="13">
        <v>68545</v>
      </c>
      <c r="B896" s="10">
        <f>CHOOSE(CONTROL!$C$42, 30.3023, 30.3023) * CHOOSE(CONTROL!$C$21, $C$9, 100%, $E$9)</f>
        <v>30.302299999999999</v>
      </c>
      <c r="C896" s="10">
        <f>CHOOSE(CONTROL!$C$42, 30.3102, 30.3102) * CHOOSE(CONTROL!$C$21, $C$9, 100%, $E$9)</f>
        <v>30.310199999999998</v>
      </c>
      <c r="D896" s="10">
        <f>CHOOSE(CONTROL!$C$42, 30.4872, 30.4872) * CHOOSE(CONTROL!$C$21, $C$9, 100%, $E$9)</f>
        <v>30.487200000000001</v>
      </c>
      <c r="E896" s="10">
        <f>CHOOSE(CONTROL!$C$42, 30.5184, 30.5184) * CHOOSE(CONTROL!$C$21, $C$9, 100%, $E$9)</f>
        <v>30.5184</v>
      </c>
      <c r="F896" s="10">
        <f>CHOOSE(CONTROL!$C$42, 30.2661, 30.2661)*CHOOSE(CONTROL!$C$21, $C$9, 100%, $E$9)</f>
        <v>30.266100000000002</v>
      </c>
      <c r="G896" s="10">
        <f>CHOOSE(CONTROL!$C$42, 30.2828, 30.2828)*CHOOSE(CONTROL!$C$21, $C$9, 100%, $E$9)</f>
        <v>30.282800000000002</v>
      </c>
      <c r="H896" s="10">
        <f>CHOOSE(CONTROL!$C$42, 30.507, 30.507) * CHOOSE(CONTROL!$C$21, $C$9, 100%, $E$9)</f>
        <v>30.507000000000001</v>
      </c>
      <c r="I896" s="10">
        <f>CHOOSE(CONTROL!$C$42, 30.2869, 30.2869)* CHOOSE(CONTROL!$C$21, $C$9, 100%, $E$9)</f>
        <v>30.286899999999999</v>
      </c>
      <c r="J896" s="10">
        <f>CHOOSE(CONTROL!$C$42, 30.2591, 30.2591)* CHOOSE(CONTROL!$C$21, $C$9, 100%, $E$9)</f>
        <v>30.2591</v>
      </c>
      <c r="K896" s="10">
        <f>CHOOSE(CONTROL!$C$42, 29.5618, 29.5618) * CHOOSE(CONTROL!$C$21, $C$9, 100%, $E$9)</f>
        <v>29.561800000000002</v>
      </c>
      <c r="L896" s="10">
        <f>CHOOSE(CONTROL!$C$42, 31.094, 31.094) * CHOOSE(CONTROL!$C$21, $C$9, 100%, $E$9)</f>
        <v>31.094000000000001</v>
      </c>
      <c r="M896" s="10">
        <f>CHOOSE(CONTROL!$C$42, 29.9676, 29.9676) * CHOOSE(CONTROL!$C$21, $C$9, 100%, $E$9)</f>
        <v>29.967600000000001</v>
      </c>
      <c r="N896" s="10">
        <f>CHOOSE(CONTROL!$C$42, 29.9841, 29.9841) * CHOOSE(CONTROL!$C$21, $C$9, 100%, $E$9)</f>
        <v>29.984100000000002</v>
      </c>
      <c r="O896" s="10">
        <f>CHOOSE(CONTROL!$C$42, 30.2129, 30.2129) * CHOOSE(CONTROL!$C$21, $C$9, 100%, $E$9)</f>
        <v>30.212900000000001</v>
      </c>
      <c r="P896" s="10">
        <f>CHOOSE(CONTROL!$C$42, 29.9951, 29.9951) * CHOOSE(CONTROL!$C$21, $C$9, 100%, $E$9)</f>
        <v>29.995100000000001</v>
      </c>
      <c r="Q896" s="10">
        <f>CHOOSE(CONTROL!$C$42, 30.8082, 30.8082) * CHOOSE(CONTROL!$C$21, $C$9, 100%, $E$9)</f>
        <v>30.808199999999999</v>
      </c>
      <c r="R896" s="10">
        <f>CHOOSE(CONTROL!$C$42, 31.4723, 31.4723) * CHOOSE(CONTROL!$C$21, $C$9, 100%, $E$9)</f>
        <v>31.472300000000001</v>
      </c>
      <c r="S896" s="10">
        <f>CHOOSE(CONTROL!$C$42, 29.4223, 29.4223) * CHOOSE(CONTROL!$C$21, $C$9, 100%, $E$9)</f>
        <v>29.4223</v>
      </c>
      <c r="T8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38">
        <f>(1000*CHOOSE(CONTROL!$C$42, 695, 695)*CHOOSE(CONTROL!$C$42, 0.5599, 0.5599)*CHOOSE(CONTROL!$C$42, 31, 31))/1000000</f>
        <v>12.063045499999998</v>
      </c>
      <c r="V896" s="38">
        <f>(1000*CHOOSE(CONTROL!$C$42, 500, 500)*CHOOSE(CONTROL!$C$42, 0.275, 0.275)*CHOOSE(CONTROL!$C$42, 31, 31))/1000000</f>
        <v>4.2625000000000002</v>
      </c>
      <c r="W896" s="38">
        <f>(1000*CHOOSE(CONTROL!$C$42, 0.1146, 0.1146)*CHOOSE(CONTROL!$C$42, 121.5, 121.5)*CHOOSE(CONTROL!$C$42, 31, 31))/1000000</f>
        <v>0.43164089999999994</v>
      </c>
      <c r="X896" s="38">
        <f>(31*0.1790888*245000/1000000)+(31*0.2374*100000/1000000)</f>
        <v>2.0961194359999999</v>
      </c>
      <c r="Y896" s="38">
        <f>(1000*600*CHOOSE(CONTROL!$C$42, 1.0585, 1.0585)*CHOOSE(CONTROL!$C$42, 31, 31))/1000000</f>
        <v>19.688099999999999</v>
      </c>
      <c r="Z896" s="38"/>
      <c r="AA896" s="10"/>
      <c r="AB896" s="39"/>
      <c r="AC896" s="33">
        <f>(B896*194.205+C896*267.466+D896*133.845+E896*53.484+F896*40+G896*185+H896*0+I896*100+J896*300)/(194.205+267.466+133.845+53.484+0+40+185+100+300)</f>
        <v>30.317106369152274</v>
      </c>
      <c r="AD896" s="27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30.083685611510795</v>
      </c>
    </row>
    <row r="897" spans="1:30" ht="15.75" x14ac:dyDescent="0.25">
      <c r="A897" s="13">
        <v>68575</v>
      </c>
      <c r="B897" s="10">
        <f>CHOOSE(CONTROL!$C$42, 28.3788, 28.3788) * CHOOSE(CONTROL!$C$21, $C$9, 100%, $E$9)</f>
        <v>28.378799999999998</v>
      </c>
      <c r="C897" s="10">
        <f>CHOOSE(CONTROL!$C$42, 28.3868, 28.3868) * CHOOSE(CONTROL!$C$21, $C$9, 100%, $E$9)</f>
        <v>28.386800000000001</v>
      </c>
      <c r="D897" s="10">
        <f>CHOOSE(CONTROL!$C$42, 28.5637, 28.5637) * CHOOSE(CONTROL!$C$21, $C$9, 100%, $E$9)</f>
        <v>28.563700000000001</v>
      </c>
      <c r="E897" s="10">
        <f>CHOOSE(CONTROL!$C$42, 28.5949, 28.5949) * CHOOSE(CONTROL!$C$21, $C$9, 100%, $E$9)</f>
        <v>28.594899999999999</v>
      </c>
      <c r="F897" s="10">
        <f>CHOOSE(CONTROL!$C$42, 28.3424, 28.3424)*CHOOSE(CONTROL!$C$21, $C$9, 100%, $E$9)</f>
        <v>28.342400000000001</v>
      </c>
      <c r="G897" s="10">
        <f>CHOOSE(CONTROL!$C$42, 28.359, 28.359)*CHOOSE(CONTROL!$C$21, $C$9, 100%, $E$9)</f>
        <v>28.359000000000002</v>
      </c>
      <c r="H897" s="10">
        <f>CHOOSE(CONTROL!$C$42, 28.5835, 28.5835) * CHOOSE(CONTROL!$C$21, $C$9, 100%, $E$9)</f>
        <v>28.583500000000001</v>
      </c>
      <c r="I897" s="10">
        <f>CHOOSE(CONTROL!$C$42, 28.3634, 28.3634)* CHOOSE(CONTROL!$C$21, $C$9, 100%, $E$9)</f>
        <v>28.363399999999999</v>
      </c>
      <c r="J897" s="10">
        <f>CHOOSE(CONTROL!$C$42, 28.3354, 28.3354)* CHOOSE(CONTROL!$C$21, $C$9, 100%, $E$9)</f>
        <v>28.3354</v>
      </c>
      <c r="K897" s="10">
        <f>CHOOSE(CONTROL!$C$42, 27.6924, 27.6924) * CHOOSE(CONTROL!$C$21, $C$9, 100%, $E$9)</f>
        <v>27.692399999999999</v>
      </c>
      <c r="L897" s="10">
        <f>CHOOSE(CONTROL!$C$42, 29.1705, 29.1705) * CHOOSE(CONTROL!$C$21, $C$9, 100%, $E$9)</f>
        <v>29.170500000000001</v>
      </c>
      <c r="M897" s="10">
        <f>CHOOSE(CONTROL!$C$42, 28.0633, 28.0633) * CHOOSE(CONTROL!$C$21, $C$9, 100%, $E$9)</f>
        <v>28.063300000000002</v>
      </c>
      <c r="N897" s="10">
        <f>CHOOSE(CONTROL!$C$42, 28.0797, 28.0797) * CHOOSE(CONTROL!$C$21, $C$9, 100%, $E$9)</f>
        <v>28.079699999999999</v>
      </c>
      <c r="O897" s="10">
        <f>CHOOSE(CONTROL!$C$42, 28.3089, 28.3089) * CHOOSE(CONTROL!$C$21, $C$9, 100%, $E$9)</f>
        <v>28.308900000000001</v>
      </c>
      <c r="P897" s="10">
        <f>CHOOSE(CONTROL!$C$42, 28.0911, 28.0911) * CHOOSE(CONTROL!$C$21, $C$9, 100%, $E$9)</f>
        <v>28.091100000000001</v>
      </c>
      <c r="Q897" s="10">
        <f>CHOOSE(CONTROL!$C$42, 28.9042, 28.9042) * CHOOSE(CONTROL!$C$21, $C$9, 100%, $E$9)</f>
        <v>28.904199999999999</v>
      </c>
      <c r="R897" s="10">
        <f>CHOOSE(CONTROL!$C$42, 29.5634, 29.5634) * CHOOSE(CONTROL!$C$21, $C$9, 100%, $E$9)</f>
        <v>29.563400000000001</v>
      </c>
      <c r="S897" s="10">
        <f>CHOOSE(CONTROL!$C$42, 27.5544, 27.5544) * CHOOSE(CONTROL!$C$21, $C$9, 100%, $E$9)</f>
        <v>27.554400000000001</v>
      </c>
      <c r="T8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38">
        <f>(1000*CHOOSE(CONTROL!$C$42, 695, 695)*CHOOSE(CONTROL!$C$42, 0.5599, 0.5599)*CHOOSE(CONTROL!$C$42, 30, 30))/1000000</f>
        <v>11.673914999999997</v>
      </c>
      <c r="V897" s="38">
        <f>(1000*CHOOSE(CONTROL!$C$42, 500, 500)*CHOOSE(CONTROL!$C$42, 0.275, 0.275)*CHOOSE(CONTROL!$C$42, 30, 30))/1000000</f>
        <v>4.125</v>
      </c>
      <c r="W897" s="38">
        <f>(1000*CHOOSE(CONTROL!$C$42, 0.1146, 0.1146)*CHOOSE(CONTROL!$C$42, 121.5, 121.5)*CHOOSE(CONTROL!$C$42, 30, 30))/1000000</f>
        <v>0.417717</v>
      </c>
      <c r="X897" s="38">
        <f>(30*0.1790888*245000/1000000)+(30*0.2374*100000/1000000)</f>
        <v>2.0285026799999999</v>
      </c>
      <c r="Y897" s="38">
        <f>(1000*600*CHOOSE(CONTROL!$C$42, 1.0585, 1.0585)*CHOOSE(CONTROL!$C$42, 30, 30))/1000000</f>
        <v>19.053000000000001</v>
      </c>
      <c r="Z897" s="38"/>
      <c r="AA897" s="10"/>
      <c r="AB897" s="39"/>
      <c r="AC897" s="33">
        <f>(B897*194.205+C897*267.466+D897*133.845+E897*53.484+F897*40+G897*185+H897*0+I897*100+J897*300)/(194.205+267.466+133.845+53.484+0+40+185+100+300)</f>
        <v>28.393530424568286</v>
      </c>
      <c r="AD897" s="27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28.179558992805756</v>
      </c>
    </row>
    <row r="898" spans="1:30" ht="15.75" x14ac:dyDescent="0.25">
      <c r="A898" s="13">
        <v>68606</v>
      </c>
      <c r="B898" s="10">
        <f>CHOOSE(CONTROL!$C$42, 27.8006, 27.8006) * CHOOSE(CONTROL!$C$21, $C$9, 100%, $E$9)</f>
        <v>27.800599999999999</v>
      </c>
      <c r="C898" s="10">
        <f>CHOOSE(CONTROL!$C$42, 27.8058, 27.8058) * CHOOSE(CONTROL!$C$21, $C$9, 100%, $E$9)</f>
        <v>27.805800000000001</v>
      </c>
      <c r="D898" s="10">
        <f>CHOOSE(CONTROL!$C$42, 27.9878, 27.9878) * CHOOSE(CONTROL!$C$21, $C$9, 100%, $E$9)</f>
        <v>27.9878</v>
      </c>
      <c r="E898" s="10">
        <f>CHOOSE(CONTROL!$C$42, 28.0166, 28.0166) * CHOOSE(CONTROL!$C$21, $C$9, 100%, $E$9)</f>
        <v>28.0166</v>
      </c>
      <c r="F898" s="10">
        <f>CHOOSE(CONTROL!$C$42, 27.7662, 27.7662)*CHOOSE(CONTROL!$C$21, $C$9, 100%, $E$9)</f>
        <v>27.766200000000001</v>
      </c>
      <c r="G898" s="10">
        <f>CHOOSE(CONTROL!$C$42, 27.7824, 27.7824)*CHOOSE(CONTROL!$C$21, $C$9, 100%, $E$9)</f>
        <v>27.782399999999999</v>
      </c>
      <c r="H898" s="10">
        <f>CHOOSE(CONTROL!$C$42, 28.007, 28.007) * CHOOSE(CONTROL!$C$21, $C$9, 100%, $E$9)</f>
        <v>28.007000000000001</v>
      </c>
      <c r="I898" s="10">
        <f>CHOOSE(CONTROL!$C$42, 27.7869, 27.7869)* CHOOSE(CONTROL!$C$21, $C$9, 100%, $E$9)</f>
        <v>27.786899999999999</v>
      </c>
      <c r="J898" s="10">
        <f>CHOOSE(CONTROL!$C$42, 27.7592, 27.7592)* CHOOSE(CONTROL!$C$21, $C$9, 100%, $E$9)</f>
        <v>27.7592</v>
      </c>
      <c r="K898" s="10">
        <f>CHOOSE(CONTROL!$C$42, 27.1329, 27.1329) * CHOOSE(CONTROL!$C$21, $C$9, 100%, $E$9)</f>
        <v>27.132899999999999</v>
      </c>
      <c r="L898" s="10">
        <f>CHOOSE(CONTROL!$C$42, 28.594, 28.594) * CHOOSE(CONTROL!$C$21, $C$9, 100%, $E$9)</f>
        <v>28.594000000000001</v>
      </c>
      <c r="M898" s="10">
        <f>CHOOSE(CONTROL!$C$42, 27.4929, 27.4929) * CHOOSE(CONTROL!$C$21, $C$9, 100%, $E$9)</f>
        <v>27.492899999999999</v>
      </c>
      <c r="N898" s="10">
        <f>CHOOSE(CONTROL!$C$42, 27.509, 27.509) * CHOOSE(CONTROL!$C$21, $C$9, 100%, $E$9)</f>
        <v>27.509</v>
      </c>
      <c r="O898" s="10">
        <f>CHOOSE(CONTROL!$C$42, 27.7382, 27.7382) * CHOOSE(CONTROL!$C$21, $C$9, 100%, $E$9)</f>
        <v>27.738199999999999</v>
      </c>
      <c r="P898" s="10">
        <f>CHOOSE(CONTROL!$C$42, 27.5204, 27.5204) * CHOOSE(CONTROL!$C$21, $C$9, 100%, $E$9)</f>
        <v>27.520399999999999</v>
      </c>
      <c r="Q898" s="10">
        <f>CHOOSE(CONTROL!$C$42, 28.3335, 28.3335) * CHOOSE(CONTROL!$C$21, $C$9, 100%, $E$9)</f>
        <v>28.333500000000001</v>
      </c>
      <c r="R898" s="10">
        <f>CHOOSE(CONTROL!$C$42, 28.9913, 28.9913) * CHOOSE(CONTROL!$C$21, $C$9, 100%, $E$9)</f>
        <v>28.991299999999999</v>
      </c>
      <c r="S898" s="10">
        <f>CHOOSE(CONTROL!$C$42, 26.9946, 26.9946) * CHOOSE(CONTROL!$C$21, $C$9, 100%, $E$9)</f>
        <v>26.994599999999998</v>
      </c>
      <c r="T8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38">
        <f>(1000*CHOOSE(CONTROL!$C$42, 695, 695)*CHOOSE(CONTROL!$C$42, 0.5599, 0.5599)*CHOOSE(CONTROL!$C$42, 31, 31))/1000000</f>
        <v>12.063045499999998</v>
      </c>
      <c r="V898" s="38">
        <f>(1000*CHOOSE(CONTROL!$C$42, 500, 500)*CHOOSE(CONTROL!$C$42, 0.275, 0.275)*CHOOSE(CONTROL!$C$42, 31, 31))/1000000</f>
        <v>4.2625000000000002</v>
      </c>
      <c r="W898" s="38">
        <f>(1000*CHOOSE(CONTROL!$C$42, 0.1146, 0.1146)*CHOOSE(CONTROL!$C$42, 121.5, 121.5)*CHOOSE(CONTROL!$C$42, 31, 31))/1000000</f>
        <v>0.43164089999999994</v>
      </c>
      <c r="X898" s="38">
        <f>(31*0.1790888*245000/1000000)+(31*0.2374*100000/1000000)</f>
        <v>2.0961194359999999</v>
      </c>
      <c r="Y898" s="38">
        <f>(1000*600*CHOOSE(CONTROL!$C$42, 1.0585, 1.0585)*CHOOSE(CONTROL!$C$42, 31, 31))/1000000</f>
        <v>19.688099999999999</v>
      </c>
      <c r="Z898" s="38"/>
      <c r="AA898" s="10"/>
      <c r="AB898" s="39"/>
      <c r="AC898" s="33">
        <f>(B898*131.881+C898*277.167+D898*79.08+E898*125.872+F898*40+G898*185+H898*0+I898*100+J898*300)/(131.881+277.167+79.08+125.872+0+40+185+100+300)</f>
        <v>27.820697172235672</v>
      </c>
      <c r="AD898" s="27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27.608962589928058</v>
      </c>
    </row>
    <row r="899" spans="1:30" ht="15.75" x14ac:dyDescent="0.25">
      <c r="A899" s="13">
        <v>68636</v>
      </c>
      <c r="B899" s="10">
        <f>CHOOSE(CONTROL!$C$42, 28.5325, 28.5325) * CHOOSE(CONTROL!$C$21, $C$9, 100%, $E$9)</f>
        <v>28.532499999999999</v>
      </c>
      <c r="C899" s="10">
        <f>CHOOSE(CONTROL!$C$42, 28.5374, 28.5374) * CHOOSE(CONTROL!$C$21, $C$9, 100%, $E$9)</f>
        <v>28.537400000000002</v>
      </c>
      <c r="D899" s="10">
        <f>CHOOSE(CONTROL!$C$42, 28.5619, 28.5619) * CHOOSE(CONTROL!$C$21, $C$9, 100%, $E$9)</f>
        <v>28.561900000000001</v>
      </c>
      <c r="E899" s="10">
        <f>CHOOSE(CONTROL!$C$42, 28.5957, 28.5957) * CHOOSE(CONTROL!$C$21, $C$9, 100%, $E$9)</f>
        <v>28.595700000000001</v>
      </c>
      <c r="F899" s="10">
        <f>CHOOSE(CONTROL!$C$42, 28.5018, 28.5018)*CHOOSE(CONTROL!$C$21, $C$9, 100%, $E$9)</f>
        <v>28.501799999999999</v>
      </c>
      <c r="G899" s="10">
        <f>CHOOSE(CONTROL!$C$42, 28.5182, 28.5182)*CHOOSE(CONTROL!$C$21, $C$9, 100%, $E$9)</f>
        <v>28.5182</v>
      </c>
      <c r="H899" s="10">
        <f>CHOOSE(CONTROL!$C$42, 28.5849, 28.5849) * CHOOSE(CONTROL!$C$21, $C$9, 100%, $E$9)</f>
        <v>28.584900000000001</v>
      </c>
      <c r="I899" s="10">
        <f>CHOOSE(CONTROL!$C$42, 28.5193, 28.5193)* CHOOSE(CONTROL!$C$21, $C$9, 100%, $E$9)</f>
        <v>28.519300000000001</v>
      </c>
      <c r="J899" s="10">
        <f>CHOOSE(CONTROL!$C$42, 28.4948, 28.4948)* CHOOSE(CONTROL!$C$21, $C$9, 100%, $E$9)</f>
        <v>28.494800000000001</v>
      </c>
      <c r="K899" s="10">
        <f>CHOOSE(CONTROL!$C$42, 27.8459, 27.8459) * CHOOSE(CONTROL!$C$21, $C$9, 100%, $E$9)</f>
        <v>27.8459</v>
      </c>
      <c r="L899" s="10">
        <f>CHOOSE(CONTROL!$C$42, 29.1719, 29.1719) * CHOOSE(CONTROL!$C$21, $C$9, 100%, $E$9)</f>
        <v>29.171900000000001</v>
      </c>
      <c r="M899" s="10">
        <f>CHOOSE(CONTROL!$C$42, 28.2211, 28.2211) * CHOOSE(CONTROL!$C$21, $C$9, 100%, $E$9)</f>
        <v>28.2211</v>
      </c>
      <c r="N899" s="10">
        <f>CHOOSE(CONTROL!$C$42, 28.2373, 28.2373) * CHOOSE(CONTROL!$C$21, $C$9, 100%, $E$9)</f>
        <v>28.237300000000001</v>
      </c>
      <c r="O899" s="10">
        <f>CHOOSE(CONTROL!$C$42, 28.3102, 28.3102) * CHOOSE(CONTROL!$C$21, $C$9, 100%, $E$9)</f>
        <v>28.310199999999998</v>
      </c>
      <c r="P899" s="10">
        <f>CHOOSE(CONTROL!$C$42, 28.2453, 28.2453) * CHOOSE(CONTROL!$C$21, $C$9, 100%, $E$9)</f>
        <v>28.2453</v>
      </c>
      <c r="Q899" s="10">
        <f>CHOOSE(CONTROL!$C$42, 28.9055, 28.9055) * CHOOSE(CONTROL!$C$21, $C$9, 100%, $E$9)</f>
        <v>28.9055</v>
      </c>
      <c r="R899" s="10">
        <f>CHOOSE(CONTROL!$C$42, 29.5648, 29.5648) * CHOOSE(CONTROL!$C$21, $C$9, 100%, $E$9)</f>
        <v>29.564800000000002</v>
      </c>
      <c r="S899" s="10">
        <f>CHOOSE(CONTROL!$C$42, 27.7058, 27.7058) * CHOOSE(CONTROL!$C$21, $C$9, 100%, $E$9)</f>
        <v>27.7058</v>
      </c>
      <c r="T8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38">
        <f>(1000*CHOOSE(CONTROL!$C$42, 695, 695)*CHOOSE(CONTROL!$C$42, 0.5599, 0.5599)*CHOOSE(CONTROL!$C$42, 30, 30))/1000000</f>
        <v>11.673914999999997</v>
      </c>
      <c r="V899" s="38">
        <f>(1000*CHOOSE(CONTROL!$C$42, 500, 500)*CHOOSE(CONTROL!$C$42, 0.275, 0.275)*CHOOSE(CONTROL!$C$42, 30, 30))/1000000</f>
        <v>4.125</v>
      </c>
      <c r="W899" s="38">
        <f>(1000*CHOOSE(CONTROL!$C$42, 0.1146, 0.1146)*CHOOSE(CONTROL!$C$42, 121.5, 121.5)*CHOOSE(CONTROL!$C$42, 30, 30))/1000000</f>
        <v>0.417717</v>
      </c>
      <c r="X899" s="38">
        <f>(30*0.1790888*100000/1000000)+(30*0.2374*100000/1000000)</f>
        <v>1.2494664</v>
      </c>
      <c r="Y899" s="38">
        <f>(1000*600*CHOOSE(CONTROL!$C$42, 1.0585, 1.0585)*CHOOSE(CONTROL!$C$42, 30, 30))/1000000</f>
        <v>19.053000000000001</v>
      </c>
      <c r="Z899" s="38"/>
      <c r="AA899" s="10"/>
      <c r="AB899" s="39"/>
      <c r="AC899" s="33">
        <f>(B899*122.58+C899*297.941+D899*89.177+E899*40.302+F899*40+G899*160+H899*0+I899*100+J899*300)/(122.58+297.941+89.177+40.302+0+40+160+100+300)</f>
        <v>28.524224174869563</v>
      </c>
      <c r="AD899" s="27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28.265897841726616</v>
      </c>
    </row>
    <row r="900" spans="1:30" ht="15.75" x14ac:dyDescent="0.25">
      <c r="A900" s="13">
        <v>68667</v>
      </c>
      <c r="B900" s="10">
        <f>CHOOSE(CONTROL!$C$42, 30.4776, 30.4776) * CHOOSE(CONTROL!$C$21, $C$9, 100%, $E$9)</f>
        <v>30.477599999999999</v>
      </c>
      <c r="C900" s="10">
        <f>CHOOSE(CONTROL!$C$42, 30.4826, 30.4826) * CHOOSE(CONTROL!$C$21, $C$9, 100%, $E$9)</f>
        <v>30.482600000000001</v>
      </c>
      <c r="D900" s="10">
        <f>CHOOSE(CONTROL!$C$42, 30.507, 30.507) * CHOOSE(CONTROL!$C$21, $C$9, 100%, $E$9)</f>
        <v>30.507000000000001</v>
      </c>
      <c r="E900" s="10">
        <f>CHOOSE(CONTROL!$C$42, 30.5408, 30.5408) * CHOOSE(CONTROL!$C$21, $C$9, 100%, $E$9)</f>
        <v>30.540800000000001</v>
      </c>
      <c r="F900" s="10">
        <f>CHOOSE(CONTROL!$C$42, 30.4492, 30.4492)*CHOOSE(CONTROL!$C$21, $C$9, 100%, $E$9)</f>
        <v>30.449200000000001</v>
      </c>
      <c r="G900" s="10">
        <f>CHOOSE(CONTROL!$C$42, 30.4663, 30.4663)*CHOOSE(CONTROL!$C$21, $C$9, 100%, $E$9)</f>
        <v>30.4663</v>
      </c>
      <c r="H900" s="10">
        <f>CHOOSE(CONTROL!$C$42, 30.53, 30.53) * CHOOSE(CONTROL!$C$21, $C$9, 100%, $E$9)</f>
        <v>30.53</v>
      </c>
      <c r="I900" s="10">
        <f>CHOOSE(CONTROL!$C$42, 30.4644, 30.4644)* CHOOSE(CONTROL!$C$21, $C$9, 100%, $E$9)</f>
        <v>30.464400000000001</v>
      </c>
      <c r="J900" s="10">
        <f>CHOOSE(CONTROL!$C$42, 30.4422, 30.4422)* CHOOSE(CONTROL!$C$21, $C$9, 100%, $E$9)</f>
        <v>30.4422</v>
      </c>
      <c r="K900" s="10">
        <f>CHOOSE(CONTROL!$C$42, 29.7408, 29.7408) * CHOOSE(CONTROL!$C$21, $C$9, 100%, $E$9)</f>
        <v>29.7408</v>
      </c>
      <c r="L900" s="10">
        <f>CHOOSE(CONTROL!$C$42, 31.117, 31.117) * CHOOSE(CONTROL!$C$21, $C$9, 100%, $E$9)</f>
        <v>31.117000000000001</v>
      </c>
      <c r="M900" s="10">
        <f>CHOOSE(CONTROL!$C$42, 30.1489, 30.1489) * CHOOSE(CONTROL!$C$21, $C$9, 100%, $E$9)</f>
        <v>30.148900000000001</v>
      </c>
      <c r="N900" s="10">
        <f>CHOOSE(CONTROL!$C$42, 30.1657, 30.1657) * CHOOSE(CONTROL!$C$21, $C$9, 100%, $E$9)</f>
        <v>30.165700000000001</v>
      </c>
      <c r="O900" s="10">
        <f>CHOOSE(CONTROL!$C$42, 30.2357, 30.2357) * CHOOSE(CONTROL!$C$21, $C$9, 100%, $E$9)</f>
        <v>30.235700000000001</v>
      </c>
      <c r="P900" s="10">
        <f>CHOOSE(CONTROL!$C$42, 30.1708, 30.1708) * CHOOSE(CONTROL!$C$21, $C$9, 100%, $E$9)</f>
        <v>30.1708</v>
      </c>
      <c r="Q900" s="10">
        <f>CHOOSE(CONTROL!$C$42, 30.831, 30.831) * CHOOSE(CONTROL!$C$21, $C$9, 100%, $E$9)</f>
        <v>30.831</v>
      </c>
      <c r="R900" s="10">
        <f>CHOOSE(CONTROL!$C$42, 31.4951, 31.4951) * CHOOSE(CONTROL!$C$21, $C$9, 100%, $E$9)</f>
        <v>31.495100000000001</v>
      </c>
      <c r="S900" s="10">
        <f>CHOOSE(CONTROL!$C$42, 29.5947, 29.5947) * CHOOSE(CONTROL!$C$21, $C$9, 100%, $E$9)</f>
        <v>29.5947</v>
      </c>
      <c r="T9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38">
        <f>(1000*CHOOSE(CONTROL!$C$42, 695, 695)*CHOOSE(CONTROL!$C$42, 0.5599, 0.5599)*CHOOSE(CONTROL!$C$42, 31, 31))/1000000</f>
        <v>12.063045499999998</v>
      </c>
      <c r="V900" s="38">
        <f>(1000*CHOOSE(CONTROL!$C$42, 500, 500)*CHOOSE(CONTROL!$C$42, 0.275, 0.275)*CHOOSE(CONTROL!$C$42, 31, 31))/1000000</f>
        <v>4.2625000000000002</v>
      </c>
      <c r="W900" s="38">
        <f>(1000*CHOOSE(CONTROL!$C$42, 0.1146, 0.1146)*CHOOSE(CONTROL!$C$42, 121.5, 121.5)*CHOOSE(CONTROL!$C$42, 31, 31))/1000000</f>
        <v>0.43164089999999994</v>
      </c>
      <c r="X900" s="38">
        <f>(31*0.1790888*100000/1000000)+(31*0.2374*100000/1000000)</f>
        <v>1.2911152800000001</v>
      </c>
      <c r="Y900" s="38">
        <f>(1000*600*CHOOSE(CONTROL!$C$42, 1.0585, 1.0585)*CHOOSE(CONTROL!$C$42, 31, 31))/1000000</f>
        <v>19.688099999999999</v>
      </c>
      <c r="Z900" s="38"/>
      <c r="AA900" s="10"/>
      <c r="AB900" s="39"/>
      <c r="AC900" s="33">
        <f>(B900*122.58+C900*297.941+D900*89.177+E900*40.302+F900*40+G900*160+H900*0+I900*100+J900*300)/(122.58+297.941+89.177+40.302+0+40+160+100+300)</f>
        <v>30.47044747408696</v>
      </c>
      <c r="AD900" s="27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30.192358992805755</v>
      </c>
    </row>
    <row r="901" spans="1:30" ht="15.75" x14ac:dyDescent="0.25">
      <c r="A901" s="13">
        <v>68698</v>
      </c>
      <c r="B901" s="10">
        <f>CHOOSE(CONTROL!$C$42, 32.5345, 32.5345) * CHOOSE(CONTROL!$C$21, $C$9, 100%, $E$9)</f>
        <v>32.534500000000001</v>
      </c>
      <c r="C901" s="10">
        <f>CHOOSE(CONTROL!$C$42, 32.5394, 32.5394) * CHOOSE(CONTROL!$C$21, $C$9, 100%, $E$9)</f>
        <v>32.539400000000001</v>
      </c>
      <c r="D901" s="10">
        <f>CHOOSE(CONTROL!$C$42, 32.5639, 32.5639) * CHOOSE(CONTROL!$C$21, $C$9, 100%, $E$9)</f>
        <v>32.563899999999997</v>
      </c>
      <c r="E901" s="10">
        <f>CHOOSE(CONTROL!$C$42, 32.5977, 32.5977) * CHOOSE(CONTROL!$C$21, $C$9, 100%, $E$9)</f>
        <v>32.597700000000003</v>
      </c>
      <c r="F901" s="10">
        <f>CHOOSE(CONTROL!$C$42, 32.5174, 32.5174)*CHOOSE(CONTROL!$C$21, $C$9, 100%, $E$9)</f>
        <v>32.517400000000002</v>
      </c>
      <c r="G901" s="10">
        <f>CHOOSE(CONTROL!$C$42, 32.5361, 32.5361)*CHOOSE(CONTROL!$C$21, $C$9, 100%, $E$9)</f>
        <v>32.536099999999998</v>
      </c>
      <c r="H901" s="10">
        <f>CHOOSE(CONTROL!$C$42, 32.5869, 32.5869) * CHOOSE(CONTROL!$C$21, $C$9, 100%, $E$9)</f>
        <v>32.5869</v>
      </c>
      <c r="I901" s="10">
        <f>CHOOSE(CONTROL!$C$42, 32.529, 32.529)* CHOOSE(CONTROL!$C$21, $C$9, 100%, $E$9)</f>
        <v>32.529000000000003</v>
      </c>
      <c r="J901" s="10">
        <f>CHOOSE(CONTROL!$C$42, 32.5104, 32.5104)* CHOOSE(CONTROL!$C$21, $C$9, 100%, $E$9)</f>
        <v>32.510399999999997</v>
      </c>
      <c r="K901" s="10">
        <f>CHOOSE(CONTROL!$C$42, 31.7602, 31.7602) * CHOOSE(CONTROL!$C$21, $C$9, 100%, $E$9)</f>
        <v>31.760200000000001</v>
      </c>
      <c r="L901" s="10">
        <f>CHOOSE(CONTROL!$C$42, 33.1739, 33.1739) * CHOOSE(CONTROL!$C$21, $C$9, 100%, $E$9)</f>
        <v>33.173900000000003</v>
      </c>
      <c r="M901" s="10">
        <f>CHOOSE(CONTROL!$C$42, 32.1962, 32.1962) * CHOOSE(CONTROL!$C$21, $C$9, 100%, $E$9)</f>
        <v>32.196199999999997</v>
      </c>
      <c r="N901" s="10">
        <f>CHOOSE(CONTROL!$C$42, 32.2146, 32.2146) * CHOOSE(CONTROL!$C$21, $C$9, 100%, $E$9)</f>
        <v>32.214599999999997</v>
      </c>
      <c r="O901" s="10">
        <f>CHOOSE(CONTROL!$C$42, 32.2718, 32.2718) * CHOOSE(CONTROL!$C$21, $C$9, 100%, $E$9)</f>
        <v>32.271799999999999</v>
      </c>
      <c r="P901" s="10">
        <f>CHOOSE(CONTROL!$C$42, 32.2146, 32.2146) * CHOOSE(CONTROL!$C$21, $C$9, 100%, $E$9)</f>
        <v>32.214599999999997</v>
      </c>
      <c r="Q901" s="10">
        <f>CHOOSE(CONTROL!$C$42, 32.8671, 32.8671) * CHOOSE(CONTROL!$C$21, $C$9, 100%, $E$9)</f>
        <v>32.867100000000001</v>
      </c>
      <c r="R901" s="10">
        <f>CHOOSE(CONTROL!$C$42, 33.5363, 33.5363) * CHOOSE(CONTROL!$C$21, $C$9, 100%, $E$9)</f>
        <v>33.536299999999997</v>
      </c>
      <c r="S901" s="10">
        <f>CHOOSE(CONTROL!$C$42, 31.5921, 31.5921) * CHOOSE(CONTROL!$C$21, $C$9, 100%, $E$9)</f>
        <v>31.592099999999999</v>
      </c>
      <c r="T9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38">
        <f>(1000*CHOOSE(CONTROL!$C$42, 695, 695)*CHOOSE(CONTROL!$C$42, 0.5599, 0.5599)*CHOOSE(CONTROL!$C$42, 31, 31))/1000000</f>
        <v>12.063045499999998</v>
      </c>
      <c r="V901" s="38">
        <f>(1000*CHOOSE(CONTROL!$C$42, 500, 500)*CHOOSE(CONTROL!$C$42, 0.275, 0.275)*CHOOSE(CONTROL!$C$42, 31, 31))/1000000</f>
        <v>4.2625000000000002</v>
      </c>
      <c r="W901" s="38">
        <f>(1000*CHOOSE(CONTROL!$C$42, 0.1146, 0.1146)*CHOOSE(CONTROL!$C$42, 121.5, 121.5)*CHOOSE(CONTROL!$C$42, 31, 31))/1000000</f>
        <v>0.43164089999999994</v>
      </c>
      <c r="X901" s="38">
        <f>(31*0.1790888*100000/1000000)+(31*0.2374*100000/1000000)</f>
        <v>1.2911152800000001</v>
      </c>
      <c r="Y901" s="38">
        <f>(1000*600*CHOOSE(CONTROL!$C$42, 1.0585, 1.0585)*CHOOSE(CONTROL!$C$42, 31, 31))/1000000</f>
        <v>19.688099999999999</v>
      </c>
      <c r="Z901" s="38"/>
      <c r="AA901" s="10"/>
      <c r="AB901" s="39"/>
      <c r="AC901" s="33">
        <f>(B901*122.58+C901*297.941+D901*89.177+E901*40.302+F901*40+G901*160+H901*0+I901*100+J901*300)/(122.58+297.941+89.177+40.302+0+40+160+100+300)</f>
        <v>32.533126783565223</v>
      </c>
      <c r="AD901" s="27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32.234171223021576</v>
      </c>
    </row>
    <row r="902" spans="1:30" ht="15.75" x14ac:dyDescent="0.25">
      <c r="A902" s="13">
        <v>68727</v>
      </c>
      <c r="B902" s="10">
        <f>CHOOSE(CONTROL!$C$42, 33.1136, 33.1136) * CHOOSE(CONTROL!$C$21, $C$9, 100%, $E$9)</f>
        <v>33.113599999999998</v>
      </c>
      <c r="C902" s="10">
        <f>CHOOSE(CONTROL!$C$42, 33.1185, 33.1185) * CHOOSE(CONTROL!$C$21, $C$9, 100%, $E$9)</f>
        <v>33.118499999999997</v>
      </c>
      <c r="D902" s="10">
        <f>CHOOSE(CONTROL!$C$42, 33.143, 33.143) * CHOOSE(CONTROL!$C$21, $C$9, 100%, $E$9)</f>
        <v>33.143000000000001</v>
      </c>
      <c r="E902" s="10">
        <f>CHOOSE(CONTROL!$C$42, 33.1768, 33.1768) * CHOOSE(CONTROL!$C$21, $C$9, 100%, $E$9)</f>
        <v>33.1768</v>
      </c>
      <c r="F902" s="10">
        <f>CHOOSE(CONTROL!$C$42, 33.0958, 33.0958)*CHOOSE(CONTROL!$C$21, $C$9, 100%, $E$9)</f>
        <v>33.095799999999997</v>
      </c>
      <c r="G902" s="10">
        <f>CHOOSE(CONTROL!$C$42, 33.1143, 33.1143)*CHOOSE(CONTROL!$C$21, $C$9, 100%, $E$9)</f>
        <v>33.1143</v>
      </c>
      <c r="H902" s="10">
        <f>CHOOSE(CONTROL!$C$42, 33.166, 33.166) * CHOOSE(CONTROL!$C$21, $C$9, 100%, $E$9)</f>
        <v>33.165999999999997</v>
      </c>
      <c r="I902" s="10">
        <f>CHOOSE(CONTROL!$C$42, 33.1081, 33.1081)* CHOOSE(CONTROL!$C$21, $C$9, 100%, $E$9)</f>
        <v>33.1081</v>
      </c>
      <c r="J902" s="10">
        <f>CHOOSE(CONTROL!$C$42, 33.0888, 33.0888)* CHOOSE(CONTROL!$C$21, $C$9, 100%, $E$9)</f>
        <v>33.088799999999999</v>
      </c>
      <c r="K902" s="10">
        <f>CHOOSE(CONTROL!$C$42, 32.3214, 32.3214) * CHOOSE(CONTROL!$C$21, $C$9, 100%, $E$9)</f>
        <v>32.321399999999997</v>
      </c>
      <c r="L902" s="10">
        <f>CHOOSE(CONTROL!$C$42, 33.753, 33.753) * CHOOSE(CONTROL!$C$21, $C$9, 100%, $E$9)</f>
        <v>33.753</v>
      </c>
      <c r="M902" s="10">
        <f>CHOOSE(CONTROL!$C$42, 32.7688, 32.7688) * CHOOSE(CONTROL!$C$21, $C$9, 100%, $E$9)</f>
        <v>32.768799999999999</v>
      </c>
      <c r="N902" s="10">
        <f>CHOOSE(CONTROL!$C$42, 32.787, 32.787) * CHOOSE(CONTROL!$C$21, $C$9, 100%, $E$9)</f>
        <v>32.786999999999999</v>
      </c>
      <c r="O902" s="10">
        <f>CHOOSE(CONTROL!$C$42, 32.8451, 32.8451) * CHOOSE(CONTROL!$C$21, $C$9, 100%, $E$9)</f>
        <v>32.845100000000002</v>
      </c>
      <c r="P902" s="10">
        <f>CHOOSE(CONTROL!$C$42, 32.7878, 32.7878) * CHOOSE(CONTROL!$C$21, $C$9, 100%, $E$9)</f>
        <v>32.787799999999997</v>
      </c>
      <c r="Q902" s="10">
        <f>CHOOSE(CONTROL!$C$42, 33.4404, 33.4404) * CHOOSE(CONTROL!$C$21, $C$9, 100%, $E$9)</f>
        <v>33.440399999999997</v>
      </c>
      <c r="R902" s="10">
        <f>CHOOSE(CONTROL!$C$42, 34.111, 34.111) * CHOOSE(CONTROL!$C$21, $C$9, 100%, $E$9)</f>
        <v>34.110999999999997</v>
      </c>
      <c r="S902" s="10">
        <f>CHOOSE(CONTROL!$C$42, 32.1545, 32.1545) * CHOOSE(CONTROL!$C$21, $C$9, 100%, $E$9)</f>
        <v>32.154499999999999</v>
      </c>
      <c r="T90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02" s="38">
        <f>(1000*CHOOSE(CONTROL!$C$42, 695, 695)*CHOOSE(CONTROL!$C$42, 0.5599, 0.5599)*CHOOSE(CONTROL!$C$42, 29, 29))/1000000</f>
        <v>11.284784499999999</v>
      </c>
      <c r="V902" s="38">
        <f>(1000*CHOOSE(CONTROL!$C$42, 500, 500)*CHOOSE(CONTROL!$C$42, 0.275, 0.275)*CHOOSE(CONTROL!$C$42, 29, 29))/1000000</f>
        <v>3.9874999999999998</v>
      </c>
      <c r="W902" s="38">
        <f>(1000*CHOOSE(CONTROL!$C$42, 0.1146, 0.1146)*CHOOSE(CONTROL!$C$42, 121.5, 121.5)*CHOOSE(CONTROL!$C$42, 29, 29))/1000000</f>
        <v>0.40379309999999996</v>
      </c>
      <c r="X902" s="38">
        <f>(29*0.1790888*100000/1000000)+(29*0.2374*100000/1000000)</f>
        <v>1.2078175199999999</v>
      </c>
      <c r="Y902" s="38">
        <f>(1000*600*CHOOSE(CONTROL!$C$42, 1.0585, 1.0585)*CHOOSE(CONTROL!$C$42, 29, 29))/1000000</f>
        <v>18.417899999999999</v>
      </c>
      <c r="Z902" s="38"/>
      <c r="AA902" s="10"/>
      <c r="AB902" s="39"/>
      <c r="AC902" s="33">
        <f>(B902*122.58+C902*297.941+D902*89.177+E902*40.302+F902*40+G902*160+H902*0+I902*100+J902*300)/(122.58+297.941+89.177+40.302+0+40+160+100+300)</f>
        <v>33.111894609652168</v>
      </c>
      <c r="AD902" s="27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32.807163309352511</v>
      </c>
    </row>
    <row r="903" spans="1:30" ht="15.75" x14ac:dyDescent="0.25">
      <c r="A903" s="13">
        <v>68758</v>
      </c>
      <c r="B903" s="10">
        <f>CHOOSE(CONTROL!$C$42, 32.1736, 32.1736) * CHOOSE(CONTROL!$C$21, $C$9, 100%, $E$9)</f>
        <v>32.1736</v>
      </c>
      <c r="C903" s="10">
        <f>CHOOSE(CONTROL!$C$42, 32.1785, 32.1785) * CHOOSE(CONTROL!$C$21, $C$9, 100%, $E$9)</f>
        <v>32.1785</v>
      </c>
      <c r="D903" s="10">
        <f>CHOOSE(CONTROL!$C$42, 32.203, 32.203) * CHOOSE(CONTROL!$C$21, $C$9, 100%, $E$9)</f>
        <v>32.203000000000003</v>
      </c>
      <c r="E903" s="10">
        <f>CHOOSE(CONTROL!$C$42, 32.2367, 32.2367) * CHOOSE(CONTROL!$C$21, $C$9, 100%, $E$9)</f>
        <v>32.236699999999999</v>
      </c>
      <c r="F903" s="10">
        <f>CHOOSE(CONTROL!$C$42, 32.1543, 32.1543)*CHOOSE(CONTROL!$C$21, $C$9, 100%, $E$9)</f>
        <v>32.154299999999999</v>
      </c>
      <c r="G903" s="10">
        <f>CHOOSE(CONTROL!$C$42, 32.1724, 32.1724)*CHOOSE(CONTROL!$C$21, $C$9, 100%, $E$9)</f>
        <v>32.172400000000003</v>
      </c>
      <c r="H903" s="10">
        <f>CHOOSE(CONTROL!$C$42, 32.2259, 32.2259) * CHOOSE(CONTROL!$C$21, $C$9, 100%, $E$9)</f>
        <v>32.225900000000003</v>
      </c>
      <c r="I903" s="10">
        <f>CHOOSE(CONTROL!$C$42, 32.168, 32.168)* CHOOSE(CONTROL!$C$21, $C$9, 100%, $E$9)</f>
        <v>32.167999999999999</v>
      </c>
      <c r="J903" s="10">
        <f>CHOOSE(CONTROL!$C$42, 32.1473, 32.1473)* CHOOSE(CONTROL!$C$21, $C$9, 100%, $E$9)</f>
        <v>32.147300000000001</v>
      </c>
      <c r="K903" s="10">
        <f>CHOOSE(CONTROL!$C$42, 31.4047, 31.4047) * CHOOSE(CONTROL!$C$21, $C$9, 100%, $E$9)</f>
        <v>31.404699999999998</v>
      </c>
      <c r="L903" s="10">
        <f>CHOOSE(CONTROL!$C$42, 32.8129, 32.8129) * CHOOSE(CONTROL!$C$21, $C$9, 100%, $E$9)</f>
        <v>32.812899999999999</v>
      </c>
      <c r="M903" s="10">
        <f>CHOOSE(CONTROL!$C$42, 31.8367, 31.8367) * CHOOSE(CONTROL!$C$21, $C$9, 100%, $E$9)</f>
        <v>31.8367</v>
      </c>
      <c r="N903" s="10">
        <f>CHOOSE(CONTROL!$C$42, 31.8546, 31.8546) * CHOOSE(CONTROL!$C$21, $C$9, 100%, $E$9)</f>
        <v>31.854600000000001</v>
      </c>
      <c r="O903" s="10">
        <f>CHOOSE(CONTROL!$C$42, 31.9146, 31.9146) * CHOOSE(CONTROL!$C$21, $C$9, 100%, $E$9)</f>
        <v>31.9146</v>
      </c>
      <c r="P903" s="10">
        <f>CHOOSE(CONTROL!$C$42, 31.8573, 31.8573) * CHOOSE(CONTROL!$C$21, $C$9, 100%, $E$9)</f>
        <v>31.857299999999999</v>
      </c>
      <c r="Q903" s="10">
        <f>CHOOSE(CONTROL!$C$42, 32.5099, 32.5099) * CHOOSE(CONTROL!$C$21, $C$9, 100%, $E$9)</f>
        <v>32.509900000000002</v>
      </c>
      <c r="R903" s="10">
        <f>CHOOSE(CONTROL!$C$42, 33.1781, 33.1781) * CHOOSE(CONTROL!$C$21, $C$9, 100%, $E$9)</f>
        <v>33.178100000000001</v>
      </c>
      <c r="S903" s="10">
        <f>CHOOSE(CONTROL!$C$42, 31.2416, 31.2416) * CHOOSE(CONTROL!$C$21, $C$9, 100%, $E$9)</f>
        <v>31.241599999999998</v>
      </c>
      <c r="T9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38">
        <f>(1000*CHOOSE(CONTROL!$C$42, 695, 695)*CHOOSE(CONTROL!$C$42, 0.5599, 0.5599)*CHOOSE(CONTROL!$C$42, 31, 31))/1000000</f>
        <v>12.063045499999998</v>
      </c>
      <c r="V903" s="38">
        <f>(1000*CHOOSE(CONTROL!$C$42, 500, 500)*CHOOSE(CONTROL!$C$42, 0.275, 0.275)*CHOOSE(CONTROL!$C$42, 31, 31))/1000000</f>
        <v>4.2625000000000002</v>
      </c>
      <c r="W903" s="38">
        <f>(1000*CHOOSE(CONTROL!$C$42, 0.1146, 0.1146)*CHOOSE(CONTROL!$C$42, 121.5, 121.5)*CHOOSE(CONTROL!$C$42, 31, 31))/1000000</f>
        <v>0.43164089999999994</v>
      </c>
      <c r="X903" s="38">
        <f>(31*0.1790888*100000/1000000)+(31*0.2374*100000/1000000)</f>
        <v>1.2911152800000001</v>
      </c>
      <c r="Y903" s="38">
        <f>(1000*600*CHOOSE(CONTROL!$C$42, 1.0585, 1.0585)*CHOOSE(CONTROL!$C$42, 31, 31))/1000000</f>
        <v>19.688099999999999</v>
      </c>
      <c r="Z903" s="38"/>
      <c r="AA903" s="10"/>
      <c r="AB903" s="39"/>
      <c r="AC903" s="33">
        <f>(B903*122.58+C903*297.941+D903*89.177+E903*40.302+F903*40+G903*160+H903*0+I903*100+J903*300)/(122.58+297.941+89.177+40.302+0+40+160+100+300)</f>
        <v>32.171174583391299</v>
      </c>
      <c r="AD903" s="27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31.87600143884892</v>
      </c>
    </row>
    <row r="904" spans="1:30" ht="15.75" x14ac:dyDescent="0.25">
      <c r="A904" s="13">
        <v>68788</v>
      </c>
      <c r="B904" s="10">
        <f>CHOOSE(CONTROL!$C$42, 32.078, 32.078) * CHOOSE(CONTROL!$C$21, $C$9, 100%, $E$9)</f>
        <v>32.078000000000003</v>
      </c>
      <c r="C904" s="10">
        <f>CHOOSE(CONTROL!$C$42, 32.0824, 32.0824) * CHOOSE(CONTROL!$C$21, $C$9, 100%, $E$9)</f>
        <v>32.0824</v>
      </c>
      <c r="D904" s="10">
        <f>CHOOSE(CONTROL!$C$42, 32.2625, 32.2625) * CHOOSE(CONTROL!$C$21, $C$9, 100%, $E$9)</f>
        <v>32.262500000000003</v>
      </c>
      <c r="E904" s="10">
        <f>CHOOSE(CONTROL!$C$42, 32.2943, 32.2943) * CHOOSE(CONTROL!$C$21, $C$9, 100%, $E$9)</f>
        <v>32.2943</v>
      </c>
      <c r="F904" s="10">
        <f>CHOOSE(CONTROL!$C$42, 32.0433, 32.0433)*CHOOSE(CONTROL!$C$21, $C$9, 100%, $E$9)</f>
        <v>32.043300000000002</v>
      </c>
      <c r="G904" s="10">
        <f>CHOOSE(CONTROL!$C$42, 32.0596, 32.0596)*CHOOSE(CONTROL!$C$21, $C$9, 100%, $E$9)</f>
        <v>32.059600000000003</v>
      </c>
      <c r="H904" s="10">
        <f>CHOOSE(CONTROL!$C$42, 32.2841, 32.2841) * CHOOSE(CONTROL!$C$21, $C$9, 100%, $E$9)</f>
        <v>32.284100000000002</v>
      </c>
      <c r="I904" s="10">
        <f>CHOOSE(CONTROL!$C$42, 32.064, 32.064)* CHOOSE(CONTROL!$C$21, $C$9, 100%, $E$9)</f>
        <v>32.064</v>
      </c>
      <c r="J904" s="10">
        <f>CHOOSE(CONTROL!$C$42, 32.0363, 32.0363)* CHOOSE(CONTROL!$C$21, $C$9, 100%, $E$9)</f>
        <v>32.036299999999997</v>
      </c>
      <c r="K904" s="10">
        <f>CHOOSE(CONTROL!$C$42, 31.2886, 31.2886) * CHOOSE(CONTROL!$C$21, $C$9, 100%, $E$9)</f>
        <v>31.288599999999999</v>
      </c>
      <c r="L904" s="10">
        <f>CHOOSE(CONTROL!$C$42, 32.8711, 32.8711) * CHOOSE(CONTROL!$C$21, $C$9, 100%, $E$9)</f>
        <v>32.871099999999998</v>
      </c>
      <c r="M904" s="10">
        <f>CHOOSE(CONTROL!$C$42, 31.7269, 31.7269) * CHOOSE(CONTROL!$C$21, $C$9, 100%, $E$9)</f>
        <v>31.726900000000001</v>
      </c>
      <c r="N904" s="10">
        <f>CHOOSE(CONTROL!$C$42, 31.743, 31.743) * CHOOSE(CONTROL!$C$21, $C$9, 100%, $E$9)</f>
        <v>31.742999999999999</v>
      </c>
      <c r="O904" s="10">
        <f>CHOOSE(CONTROL!$C$42, 31.9721, 31.9721) * CHOOSE(CONTROL!$C$21, $C$9, 100%, $E$9)</f>
        <v>31.972100000000001</v>
      </c>
      <c r="P904" s="10">
        <f>CHOOSE(CONTROL!$C$42, 31.7543, 31.7543) * CHOOSE(CONTROL!$C$21, $C$9, 100%, $E$9)</f>
        <v>31.754300000000001</v>
      </c>
      <c r="Q904" s="10">
        <f>CHOOSE(CONTROL!$C$42, 32.5674, 32.5674) * CHOOSE(CONTROL!$C$21, $C$9, 100%, $E$9)</f>
        <v>32.567399999999999</v>
      </c>
      <c r="R904" s="10">
        <f>CHOOSE(CONTROL!$C$42, 33.2358, 33.2358) * CHOOSE(CONTROL!$C$21, $C$9, 100%, $E$9)</f>
        <v>33.235799999999998</v>
      </c>
      <c r="S904" s="10">
        <f>CHOOSE(CONTROL!$C$42, 31.1481, 31.1481) * CHOOSE(CONTROL!$C$21, $C$9, 100%, $E$9)</f>
        <v>31.148099999999999</v>
      </c>
      <c r="T9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38">
        <f>(1000*CHOOSE(CONTROL!$C$42, 695, 695)*CHOOSE(CONTROL!$C$42, 0.5599, 0.5599)*CHOOSE(CONTROL!$C$42, 30, 30))/1000000</f>
        <v>11.673914999999997</v>
      </c>
      <c r="V904" s="38">
        <f>(1000*CHOOSE(CONTROL!$C$42, 500, 500)*CHOOSE(CONTROL!$C$42, 0.275, 0.275)*CHOOSE(CONTROL!$C$42, 30, 30))/1000000</f>
        <v>4.125</v>
      </c>
      <c r="W904" s="38">
        <f>(1000*CHOOSE(CONTROL!$C$42, 0.1146, 0.1146)*CHOOSE(CONTROL!$C$42, 121.5, 121.5)*CHOOSE(CONTROL!$C$42, 30, 30))/1000000</f>
        <v>0.417717</v>
      </c>
      <c r="X904" s="38">
        <f>(30*0.1790888*245000/1000000)+(30*0.2374*100000/1000000)</f>
        <v>2.0285026799999999</v>
      </c>
      <c r="Y904" s="38">
        <f>(1000*600*CHOOSE(CONTROL!$C$42, 1.0585, 1.0585)*CHOOSE(CONTROL!$C$42, 30, 30))/1000000</f>
        <v>19.053000000000001</v>
      </c>
      <c r="Z904" s="38"/>
      <c r="AA904" s="10"/>
      <c r="AB904" s="39"/>
      <c r="AC904" s="33">
        <f>(B904*141.293+C904*267.993+D904*115.016+E904*89.698+F904*40+G904*185+H904*0+I904*100+J904*300)/(141.293+267.993+115.016+89.698+0+40+185+100+300)</f>
        <v>32.096643501694921</v>
      </c>
      <c r="AD904" s="27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31.842902877697838</v>
      </c>
    </row>
    <row r="905" spans="1:30" ht="15.75" x14ac:dyDescent="0.25">
      <c r="A905" s="13">
        <v>68819</v>
      </c>
      <c r="B905" s="10">
        <f>CHOOSE(CONTROL!$C$42, 32.3629, 32.3629) * CHOOSE(CONTROL!$C$21, $C$9, 100%, $E$9)</f>
        <v>32.362900000000003</v>
      </c>
      <c r="C905" s="10">
        <f>CHOOSE(CONTROL!$C$42, 32.3708, 32.3708) * CHOOSE(CONTROL!$C$21, $C$9, 100%, $E$9)</f>
        <v>32.370800000000003</v>
      </c>
      <c r="D905" s="10">
        <f>CHOOSE(CONTROL!$C$42, 32.5478, 32.5478) * CHOOSE(CONTROL!$C$21, $C$9, 100%, $E$9)</f>
        <v>32.547800000000002</v>
      </c>
      <c r="E905" s="10">
        <f>CHOOSE(CONTROL!$C$42, 32.5789, 32.5789) * CHOOSE(CONTROL!$C$21, $C$9, 100%, $E$9)</f>
        <v>32.578899999999997</v>
      </c>
      <c r="F905" s="10">
        <f>CHOOSE(CONTROL!$C$42, 32.3262, 32.3262)*CHOOSE(CONTROL!$C$21, $C$9, 100%, $E$9)</f>
        <v>32.3262</v>
      </c>
      <c r="G905" s="10">
        <f>CHOOSE(CONTROL!$C$42, 32.3427, 32.3427)*CHOOSE(CONTROL!$C$21, $C$9, 100%, $E$9)</f>
        <v>32.342700000000001</v>
      </c>
      <c r="H905" s="10">
        <f>CHOOSE(CONTROL!$C$42, 32.5676, 32.5676) * CHOOSE(CONTROL!$C$21, $C$9, 100%, $E$9)</f>
        <v>32.567599999999999</v>
      </c>
      <c r="I905" s="10">
        <f>CHOOSE(CONTROL!$C$42, 32.3475, 32.3475)* CHOOSE(CONTROL!$C$21, $C$9, 100%, $E$9)</f>
        <v>32.347499999999997</v>
      </c>
      <c r="J905" s="10">
        <f>CHOOSE(CONTROL!$C$42, 32.3192, 32.3192)* CHOOSE(CONTROL!$C$21, $C$9, 100%, $E$9)</f>
        <v>32.319200000000002</v>
      </c>
      <c r="K905" s="10">
        <f>CHOOSE(CONTROL!$C$42, 31.5628, 31.5628) * CHOOSE(CONTROL!$C$21, $C$9, 100%, $E$9)</f>
        <v>31.562799999999999</v>
      </c>
      <c r="L905" s="10">
        <f>CHOOSE(CONTROL!$C$42, 33.1546, 33.1546) * CHOOSE(CONTROL!$C$21, $C$9, 100%, $E$9)</f>
        <v>33.154600000000002</v>
      </c>
      <c r="M905" s="10">
        <f>CHOOSE(CONTROL!$C$42, 32.0069, 32.0069) * CHOOSE(CONTROL!$C$21, $C$9, 100%, $E$9)</f>
        <v>32.006900000000002</v>
      </c>
      <c r="N905" s="10">
        <f>CHOOSE(CONTROL!$C$42, 32.0233, 32.0233) * CHOOSE(CONTROL!$C$21, $C$9, 100%, $E$9)</f>
        <v>32.023299999999999</v>
      </c>
      <c r="O905" s="10">
        <f>CHOOSE(CONTROL!$C$42, 32.2527, 32.2527) * CHOOSE(CONTROL!$C$21, $C$9, 100%, $E$9)</f>
        <v>32.252699999999997</v>
      </c>
      <c r="P905" s="10">
        <f>CHOOSE(CONTROL!$C$42, 32.0349, 32.0349) * CHOOSE(CONTROL!$C$21, $C$9, 100%, $E$9)</f>
        <v>32.0349</v>
      </c>
      <c r="Q905" s="10">
        <f>CHOOSE(CONTROL!$C$42, 32.848, 32.848) * CHOOSE(CONTROL!$C$21, $C$9, 100%, $E$9)</f>
        <v>32.847999999999999</v>
      </c>
      <c r="R905" s="10">
        <f>CHOOSE(CONTROL!$C$42, 33.5171, 33.5171) * CHOOSE(CONTROL!$C$21, $C$9, 100%, $E$9)</f>
        <v>33.517099999999999</v>
      </c>
      <c r="S905" s="10">
        <f>CHOOSE(CONTROL!$C$42, 31.4234, 31.4234) * CHOOSE(CONTROL!$C$21, $C$9, 100%, $E$9)</f>
        <v>31.423400000000001</v>
      </c>
      <c r="T9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38">
        <f>(1000*CHOOSE(CONTROL!$C$42, 695, 695)*CHOOSE(CONTROL!$C$42, 0.5599, 0.5599)*CHOOSE(CONTROL!$C$42, 31, 31))/1000000</f>
        <v>12.063045499999998</v>
      </c>
      <c r="V905" s="38">
        <f>(1000*CHOOSE(CONTROL!$C$42, 500, 500)*CHOOSE(CONTROL!$C$42, 0.275, 0.275)*CHOOSE(CONTROL!$C$42, 31, 31))/1000000</f>
        <v>4.2625000000000002</v>
      </c>
      <c r="W905" s="38">
        <f>(1000*CHOOSE(CONTROL!$C$42, 0.1146, 0.1146)*CHOOSE(CONTROL!$C$42, 121.5, 121.5)*CHOOSE(CONTROL!$C$42, 31, 31))/1000000</f>
        <v>0.43164089999999994</v>
      </c>
      <c r="X905" s="38">
        <f>(31*0.1790888*245000/1000000)+(31*0.2374*100000/1000000)</f>
        <v>2.0961194359999999</v>
      </c>
      <c r="Y905" s="38">
        <f>(1000*600*CHOOSE(CONTROL!$C$42, 1.0585, 1.0585)*CHOOSE(CONTROL!$C$42, 31, 31))/1000000</f>
        <v>19.688099999999999</v>
      </c>
      <c r="Z905" s="38"/>
      <c r="AA905" s="10"/>
      <c r="AB905" s="39"/>
      <c r="AC905" s="33">
        <f>(B905*194.205+C905*267.466+D905*133.845+E905*53.484+F905*40+G905*185+H905*0+I905*100+J905*300)/(194.205+267.466+133.845+53.484+0+40+185+100+300)</f>
        <v>32.377467084693883</v>
      </c>
      <c r="AD905" s="27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32.123278417266192</v>
      </c>
    </row>
    <row r="906" spans="1:30" ht="15.75" x14ac:dyDescent="0.25">
      <c r="A906" s="13">
        <v>68849</v>
      </c>
      <c r="B906" s="10">
        <f>CHOOSE(CONTROL!$C$42, 33.2808, 33.2808) * CHOOSE(CONTROL!$C$21, $C$9, 100%, $E$9)</f>
        <v>33.280799999999999</v>
      </c>
      <c r="C906" s="10">
        <f>CHOOSE(CONTROL!$C$42, 33.2887, 33.2887) * CHOOSE(CONTROL!$C$21, $C$9, 100%, $E$9)</f>
        <v>33.288699999999999</v>
      </c>
      <c r="D906" s="10">
        <f>CHOOSE(CONTROL!$C$42, 33.4657, 33.4657) * CHOOSE(CONTROL!$C$21, $C$9, 100%, $E$9)</f>
        <v>33.465699999999998</v>
      </c>
      <c r="E906" s="10">
        <f>CHOOSE(CONTROL!$C$42, 33.4968, 33.4968) * CHOOSE(CONTROL!$C$21, $C$9, 100%, $E$9)</f>
        <v>33.4968</v>
      </c>
      <c r="F906" s="10">
        <f>CHOOSE(CONTROL!$C$42, 33.2443, 33.2443)*CHOOSE(CONTROL!$C$21, $C$9, 100%, $E$9)</f>
        <v>33.244300000000003</v>
      </c>
      <c r="G906" s="10">
        <f>CHOOSE(CONTROL!$C$42, 33.2608, 33.2608)*CHOOSE(CONTROL!$C$21, $C$9, 100%, $E$9)</f>
        <v>33.260800000000003</v>
      </c>
      <c r="H906" s="10">
        <f>CHOOSE(CONTROL!$C$42, 33.4854, 33.4854) * CHOOSE(CONTROL!$C$21, $C$9, 100%, $E$9)</f>
        <v>33.485399999999998</v>
      </c>
      <c r="I906" s="10">
        <f>CHOOSE(CONTROL!$C$42, 33.2653, 33.2653)* CHOOSE(CONTROL!$C$21, $C$9, 100%, $E$9)</f>
        <v>33.265300000000003</v>
      </c>
      <c r="J906" s="10">
        <f>CHOOSE(CONTROL!$C$42, 33.2373, 33.2373)* CHOOSE(CONTROL!$C$21, $C$9, 100%, $E$9)</f>
        <v>33.237299999999998</v>
      </c>
      <c r="K906" s="10">
        <f>CHOOSE(CONTROL!$C$42, 32.455, 32.455) * CHOOSE(CONTROL!$C$21, $C$9, 100%, $E$9)</f>
        <v>32.454999999999998</v>
      </c>
      <c r="L906" s="10">
        <f>CHOOSE(CONTROL!$C$42, 34.0724, 34.0724) * CHOOSE(CONTROL!$C$21, $C$9, 100%, $E$9)</f>
        <v>34.072400000000002</v>
      </c>
      <c r="M906" s="10">
        <f>CHOOSE(CONTROL!$C$42, 32.9157, 32.9157) * CHOOSE(CONTROL!$C$21, $C$9, 100%, $E$9)</f>
        <v>32.915700000000001</v>
      </c>
      <c r="N906" s="10">
        <f>CHOOSE(CONTROL!$C$42, 32.9321, 32.9321) * CHOOSE(CONTROL!$C$21, $C$9, 100%, $E$9)</f>
        <v>32.932099999999998</v>
      </c>
      <c r="O906" s="10">
        <f>CHOOSE(CONTROL!$C$42, 33.1613, 33.1613) * CHOOSE(CONTROL!$C$21, $C$9, 100%, $E$9)</f>
        <v>33.161299999999997</v>
      </c>
      <c r="P906" s="10">
        <f>CHOOSE(CONTROL!$C$42, 32.9435, 32.9435) * CHOOSE(CONTROL!$C$21, $C$9, 100%, $E$9)</f>
        <v>32.9435</v>
      </c>
      <c r="Q906" s="10">
        <f>CHOOSE(CONTROL!$C$42, 33.7566, 33.7566) * CHOOSE(CONTROL!$C$21, $C$9, 100%, $E$9)</f>
        <v>33.756599999999999</v>
      </c>
      <c r="R906" s="10">
        <f>CHOOSE(CONTROL!$C$42, 34.428, 34.428) * CHOOSE(CONTROL!$C$21, $C$9, 100%, $E$9)</f>
        <v>34.427999999999997</v>
      </c>
      <c r="S906" s="10">
        <f>CHOOSE(CONTROL!$C$42, 32.3147, 32.3147) * CHOOSE(CONTROL!$C$21, $C$9, 100%, $E$9)</f>
        <v>32.314700000000002</v>
      </c>
      <c r="T9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38">
        <f>(1000*CHOOSE(CONTROL!$C$42, 695, 695)*CHOOSE(CONTROL!$C$42, 0.5599, 0.5599)*CHOOSE(CONTROL!$C$42, 30, 30))/1000000</f>
        <v>11.673914999999997</v>
      </c>
      <c r="V906" s="38">
        <f>(1000*CHOOSE(CONTROL!$C$42, 500, 500)*CHOOSE(CONTROL!$C$42, 0.275, 0.275)*CHOOSE(CONTROL!$C$42, 30, 30))/1000000</f>
        <v>4.125</v>
      </c>
      <c r="W906" s="38">
        <f>(1000*CHOOSE(CONTROL!$C$42, 0.1146, 0.1146)*CHOOSE(CONTROL!$C$42, 121.5, 121.5)*CHOOSE(CONTROL!$C$42, 30, 30))/1000000</f>
        <v>0.417717</v>
      </c>
      <c r="X906" s="38">
        <f>(30*0.1790888*245000/1000000)+(30*0.2374*100000/1000000)</f>
        <v>2.0285026799999999</v>
      </c>
      <c r="Y906" s="38">
        <f>(1000*600*CHOOSE(CONTROL!$C$42, 1.0585, 1.0585)*CHOOSE(CONTROL!$C$42, 30, 30))/1000000</f>
        <v>19.053000000000001</v>
      </c>
      <c r="Z906" s="38"/>
      <c r="AA906" s="10"/>
      <c r="AB906" s="39"/>
      <c r="AC906" s="33">
        <f>(B906*194.205+C906*267.466+D906*133.845+E906*53.484+F906*40+G906*185+H906*0+I906*100+J906*300)/(194.205+267.466+133.845+53.484+0+40+185+100+300)</f>
        <v>33.295441652982731</v>
      </c>
      <c r="AD906" s="27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33.031958992805755</v>
      </c>
    </row>
    <row r="907" spans="1:30" ht="15.75" x14ac:dyDescent="0.25">
      <c r="A907" s="13">
        <v>68880</v>
      </c>
      <c r="B907" s="10">
        <f>CHOOSE(CONTROL!$C$42, 32.6424, 32.6424) * CHOOSE(CONTROL!$C$21, $C$9, 100%, $E$9)</f>
        <v>32.642400000000002</v>
      </c>
      <c r="C907" s="10">
        <f>CHOOSE(CONTROL!$C$42, 32.6503, 32.6503) * CHOOSE(CONTROL!$C$21, $C$9, 100%, $E$9)</f>
        <v>32.650300000000001</v>
      </c>
      <c r="D907" s="10">
        <f>CHOOSE(CONTROL!$C$42, 32.8273, 32.8273) * CHOOSE(CONTROL!$C$21, $C$9, 100%, $E$9)</f>
        <v>32.827300000000001</v>
      </c>
      <c r="E907" s="10">
        <f>CHOOSE(CONTROL!$C$42, 32.8584, 32.8584) * CHOOSE(CONTROL!$C$21, $C$9, 100%, $E$9)</f>
        <v>32.858400000000003</v>
      </c>
      <c r="F907" s="10">
        <f>CHOOSE(CONTROL!$C$42, 32.6062, 32.6062)*CHOOSE(CONTROL!$C$21, $C$9, 100%, $E$9)</f>
        <v>32.606200000000001</v>
      </c>
      <c r="G907" s="10">
        <f>CHOOSE(CONTROL!$C$42, 32.6228, 32.6228)*CHOOSE(CONTROL!$C$21, $C$9, 100%, $E$9)</f>
        <v>32.622799999999998</v>
      </c>
      <c r="H907" s="10">
        <f>CHOOSE(CONTROL!$C$42, 32.847, 32.847) * CHOOSE(CONTROL!$C$21, $C$9, 100%, $E$9)</f>
        <v>32.847000000000001</v>
      </c>
      <c r="I907" s="10">
        <f>CHOOSE(CONTROL!$C$42, 32.627, 32.627)* CHOOSE(CONTROL!$C$21, $C$9, 100%, $E$9)</f>
        <v>32.627000000000002</v>
      </c>
      <c r="J907" s="10">
        <f>CHOOSE(CONTROL!$C$42, 32.5992, 32.5992)* CHOOSE(CONTROL!$C$21, $C$9, 100%, $E$9)</f>
        <v>32.599200000000003</v>
      </c>
      <c r="K907" s="10">
        <f>CHOOSE(CONTROL!$C$42, 31.8353, 31.8353) * CHOOSE(CONTROL!$C$21, $C$9, 100%, $E$9)</f>
        <v>31.8353</v>
      </c>
      <c r="L907" s="10">
        <f>CHOOSE(CONTROL!$C$42, 33.434, 33.434) * CHOOSE(CONTROL!$C$21, $C$9, 100%, $E$9)</f>
        <v>33.433999999999997</v>
      </c>
      <c r="M907" s="10">
        <f>CHOOSE(CONTROL!$C$42, 32.284, 32.284) * CHOOSE(CONTROL!$C$21, $C$9, 100%, $E$9)</f>
        <v>32.283999999999999</v>
      </c>
      <c r="N907" s="10">
        <f>CHOOSE(CONTROL!$C$42, 32.3004, 32.3004) * CHOOSE(CONTROL!$C$21, $C$9, 100%, $E$9)</f>
        <v>32.300400000000003</v>
      </c>
      <c r="O907" s="10">
        <f>CHOOSE(CONTROL!$C$42, 32.5294, 32.5294) * CHOOSE(CONTROL!$C$21, $C$9, 100%, $E$9)</f>
        <v>32.529400000000003</v>
      </c>
      <c r="P907" s="10">
        <f>CHOOSE(CONTROL!$C$42, 32.3116, 32.3116) * CHOOSE(CONTROL!$C$21, $C$9, 100%, $E$9)</f>
        <v>32.311599999999999</v>
      </c>
      <c r="Q907" s="10">
        <f>CHOOSE(CONTROL!$C$42, 33.1247, 33.1247) * CHOOSE(CONTROL!$C$21, $C$9, 100%, $E$9)</f>
        <v>33.124699999999997</v>
      </c>
      <c r="R907" s="10">
        <f>CHOOSE(CONTROL!$C$42, 33.7945, 33.7945) * CHOOSE(CONTROL!$C$21, $C$9, 100%, $E$9)</f>
        <v>33.794499999999999</v>
      </c>
      <c r="S907" s="10">
        <f>CHOOSE(CONTROL!$C$42, 31.6948, 31.6948) * CHOOSE(CONTROL!$C$21, $C$9, 100%, $E$9)</f>
        <v>31.694800000000001</v>
      </c>
      <c r="T9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38">
        <f>(1000*CHOOSE(CONTROL!$C$42, 695, 695)*CHOOSE(CONTROL!$C$42, 0.5599, 0.5599)*CHOOSE(CONTROL!$C$42, 31, 31))/1000000</f>
        <v>12.063045499999998</v>
      </c>
      <c r="V907" s="38">
        <f>(1000*CHOOSE(CONTROL!$C$42, 500, 500)*CHOOSE(CONTROL!$C$42, 0.275, 0.275)*CHOOSE(CONTROL!$C$42, 31, 31))/1000000</f>
        <v>4.2625000000000002</v>
      </c>
      <c r="W907" s="38">
        <f>(1000*CHOOSE(CONTROL!$C$42, 0.1146, 0.1146)*CHOOSE(CONTROL!$C$42, 121.5, 121.5)*CHOOSE(CONTROL!$C$42, 31, 31))/1000000</f>
        <v>0.43164089999999994</v>
      </c>
      <c r="X907" s="38">
        <f>(31*0.1790888*245000/1000000)+(31*0.2374*100000/1000000)</f>
        <v>2.0961194359999999</v>
      </c>
      <c r="Y907" s="38">
        <f>(1000*600*CHOOSE(CONTROL!$C$42, 1.0585, 1.0585)*CHOOSE(CONTROL!$C$42, 31, 31))/1000000</f>
        <v>19.688099999999999</v>
      </c>
      <c r="Z907" s="38"/>
      <c r="AA907" s="10"/>
      <c r="AB907" s="39"/>
      <c r="AC907" s="33">
        <f>(B907*194.205+C907*267.466+D907*133.845+E907*53.484+F907*40+G907*185+H907*0+I907*100+J907*300)/(194.205+267.466+133.845+53.484+0+40+185+100+300)</f>
        <v>32.657187649843017</v>
      </c>
      <c r="AD907" s="27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32.400139568345324</v>
      </c>
    </row>
    <row r="908" spans="1:30" ht="15.75" x14ac:dyDescent="0.25">
      <c r="A908" s="13">
        <v>68911</v>
      </c>
      <c r="B908" s="10">
        <f>CHOOSE(CONTROL!$C$42, 31.0303, 31.0303) * CHOOSE(CONTROL!$C$21, $C$9, 100%, $E$9)</f>
        <v>31.0303</v>
      </c>
      <c r="C908" s="10">
        <f>CHOOSE(CONTROL!$C$42, 31.0382, 31.0382) * CHOOSE(CONTROL!$C$21, $C$9, 100%, $E$9)</f>
        <v>31.0382</v>
      </c>
      <c r="D908" s="10">
        <f>CHOOSE(CONTROL!$C$42, 31.2152, 31.2152) * CHOOSE(CONTROL!$C$21, $C$9, 100%, $E$9)</f>
        <v>31.215199999999999</v>
      </c>
      <c r="E908" s="10">
        <f>CHOOSE(CONTROL!$C$42, 31.2463, 31.2463) * CHOOSE(CONTROL!$C$21, $C$9, 100%, $E$9)</f>
        <v>31.246300000000002</v>
      </c>
      <c r="F908" s="10">
        <f>CHOOSE(CONTROL!$C$42, 30.9941, 30.9941)*CHOOSE(CONTROL!$C$21, $C$9, 100%, $E$9)</f>
        <v>30.9941</v>
      </c>
      <c r="G908" s="10">
        <f>CHOOSE(CONTROL!$C$42, 31.0107, 31.0107)*CHOOSE(CONTROL!$C$21, $C$9, 100%, $E$9)</f>
        <v>31.0107</v>
      </c>
      <c r="H908" s="10">
        <f>CHOOSE(CONTROL!$C$42, 31.2349, 31.2349) * CHOOSE(CONTROL!$C$21, $C$9, 100%, $E$9)</f>
        <v>31.2349</v>
      </c>
      <c r="I908" s="10">
        <f>CHOOSE(CONTROL!$C$42, 31.0149, 31.0149)* CHOOSE(CONTROL!$C$21, $C$9, 100%, $E$9)</f>
        <v>31.014900000000001</v>
      </c>
      <c r="J908" s="10">
        <f>CHOOSE(CONTROL!$C$42, 30.9871, 30.9871)* CHOOSE(CONTROL!$C$21, $C$9, 100%, $E$9)</f>
        <v>30.987100000000002</v>
      </c>
      <c r="K908" s="10">
        <f>CHOOSE(CONTROL!$C$42, 30.2691, 30.2691) * CHOOSE(CONTROL!$C$21, $C$9, 100%, $E$9)</f>
        <v>30.269100000000002</v>
      </c>
      <c r="L908" s="10">
        <f>CHOOSE(CONTROL!$C$42, 31.8219, 31.8219) * CHOOSE(CONTROL!$C$21, $C$9, 100%, $E$9)</f>
        <v>31.821899999999999</v>
      </c>
      <c r="M908" s="10">
        <f>CHOOSE(CONTROL!$C$42, 30.6882, 30.6882) * CHOOSE(CONTROL!$C$21, $C$9, 100%, $E$9)</f>
        <v>30.688199999999998</v>
      </c>
      <c r="N908" s="10">
        <f>CHOOSE(CONTROL!$C$42, 30.7047, 30.7047) * CHOOSE(CONTROL!$C$21, $C$9, 100%, $E$9)</f>
        <v>30.704699999999999</v>
      </c>
      <c r="O908" s="10">
        <f>CHOOSE(CONTROL!$C$42, 30.9336, 30.9336) * CHOOSE(CONTROL!$C$21, $C$9, 100%, $E$9)</f>
        <v>30.933599999999998</v>
      </c>
      <c r="P908" s="10">
        <f>CHOOSE(CONTROL!$C$42, 30.7157, 30.7157) * CHOOSE(CONTROL!$C$21, $C$9, 100%, $E$9)</f>
        <v>30.715699999999998</v>
      </c>
      <c r="Q908" s="10">
        <f>CHOOSE(CONTROL!$C$42, 31.5289, 31.5289) * CHOOSE(CONTROL!$C$21, $C$9, 100%, $E$9)</f>
        <v>31.5289</v>
      </c>
      <c r="R908" s="10">
        <f>CHOOSE(CONTROL!$C$42, 32.1947, 32.1947) * CHOOSE(CONTROL!$C$21, $C$9, 100%, $E$9)</f>
        <v>32.194699999999997</v>
      </c>
      <c r="S908" s="10">
        <f>CHOOSE(CONTROL!$C$42, 30.1292, 30.1292) * CHOOSE(CONTROL!$C$21, $C$9, 100%, $E$9)</f>
        <v>30.129200000000001</v>
      </c>
      <c r="T9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38">
        <f>(1000*CHOOSE(CONTROL!$C$42, 695, 695)*CHOOSE(CONTROL!$C$42, 0.5599, 0.5599)*CHOOSE(CONTROL!$C$42, 31, 31))/1000000</f>
        <v>12.063045499999998</v>
      </c>
      <c r="V908" s="38">
        <f>(1000*CHOOSE(CONTROL!$C$42, 500, 500)*CHOOSE(CONTROL!$C$42, 0.275, 0.275)*CHOOSE(CONTROL!$C$42, 31, 31))/1000000</f>
        <v>4.2625000000000002</v>
      </c>
      <c r="W908" s="38">
        <f>(1000*CHOOSE(CONTROL!$C$42, 0.1146, 0.1146)*CHOOSE(CONTROL!$C$42, 121.5, 121.5)*CHOOSE(CONTROL!$C$42, 31, 31))/1000000</f>
        <v>0.43164089999999994</v>
      </c>
      <c r="X908" s="38">
        <f>(31*0.1790888*245000/1000000)+(31*0.2374*100000/1000000)</f>
        <v>2.0961194359999999</v>
      </c>
      <c r="Y908" s="38">
        <f>(1000*600*CHOOSE(CONTROL!$C$42, 1.0585, 1.0585)*CHOOSE(CONTROL!$C$42, 31, 31))/1000000</f>
        <v>19.688099999999999</v>
      </c>
      <c r="Z908" s="38"/>
      <c r="AA908" s="10"/>
      <c r="AB908" s="39"/>
      <c r="AC908" s="33">
        <f>(B908*194.205+C908*267.466+D908*133.845+E908*53.484+F908*40+G908*185+H908*0+I908*100+J908*300)/(194.205+267.466+133.845+53.484+0+40+185+100+300)</f>
        <v>31.045087649843019</v>
      </c>
      <c r="AD908" s="27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30.804330935251798</v>
      </c>
    </row>
    <row r="909" spans="1:30" ht="15.75" x14ac:dyDescent="0.25">
      <c r="A909" s="13">
        <v>68941</v>
      </c>
      <c r="B909" s="10">
        <f>CHOOSE(CONTROL!$C$42, 29.0606, 29.0606) * CHOOSE(CONTROL!$C$21, $C$9, 100%, $E$9)</f>
        <v>29.060600000000001</v>
      </c>
      <c r="C909" s="10">
        <f>CHOOSE(CONTROL!$C$42, 29.0685, 29.0685) * CHOOSE(CONTROL!$C$21, $C$9, 100%, $E$9)</f>
        <v>29.0685</v>
      </c>
      <c r="D909" s="10">
        <f>CHOOSE(CONTROL!$C$42, 29.2455, 29.2455) * CHOOSE(CONTROL!$C$21, $C$9, 100%, $E$9)</f>
        <v>29.2455</v>
      </c>
      <c r="E909" s="10">
        <f>CHOOSE(CONTROL!$C$42, 29.2766, 29.2766) * CHOOSE(CONTROL!$C$21, $C$9, 100%, $E$9)</f>
        <v>29.276599999999998</v>
      </c>
      <c r="F909" s="10">
        <f>CHOOSE(CONTROL!$C$42, 29.0242, 29.0242)*CHOOSE(CONTROL!$C$21, $C$9, 100%, $E$9)</f>
        <v>29.0242</v>
      </c>
      <c r="G909" s="10">
        <f>CHOOSE(CONTROL!$C$42, 29.0407, 29.0407)*CHOOSE(CONTROL!$C$21, $C$9, 100%, $E$9)</f>
        <v>29.040700000000001</v>
      </c>
      <c r="H909" s="10">
        <f>CHOOSE(CONTROL!$C$42, 29.2652, 29.2652) * CHOOSE(CONTROL!$C$21, $C$9, 100%, $E$9)</f>
        <v>29.2652</v>
      </c>
      <c r="I909" s="10">
        <f>CHOOSE(CONTROL!$C$42, 29.0452, 29.0452)* CHOOSE(CONTROL!$C$21, $C$9, 100%, $E$9)</f>
        <v>29.045200000000001</v>
      </c>
      <c r="J909" s="10">
        <f>CHOOSE(CONTROL!$C$42, 29.0172, 29.0172)* CHOOSE(CONTROL!$C$21, $C$9, 100%, $E$9)</f>
        <v>29.017199999999999</v>
      </c>
      <c r="K909" s="10">
        <f>CHOOSE(CONTROL!$C$42, 28.3548, 28.3548) * CHOOSE(CONTROL!$C$21, $C$9, 100%, $E$9)</f>
        <v>28.354800000000001</v>
      </c>
      <c r="L909" s="10">
        <f>CHOOSE(CONTROL!$C$42, 29.8522, 29.8522) * CHOOSE(CONTROL!$C$21, $C$9, 100%, $E$9)</f>
        <v>29.8522</v>
      </c>
      <c r="M909" s="10">
        <f>CHOOSE(CONTROL!$C$42, 28.7382, 28.7382) * CHOOSE(CONTROL!$C$21, $C$9, 100%, $E$9)</f>
        <v>28.738199999999999</v>
      </c>
      <c r="N909" s="10">
        <f>CHOOSE(CONTROL!$C$42, 28.7545, 28.7545) * CHOOSE(CONTROL!$C$21, $C$9, 100%, $E$9)</f>
        <v>28.7545</v>
      </c>
      <c r="O909" s="10">
        <f>CHOOSE(CONTROL!$C$42, 28.9837, 28.9837) * CHOOSE(CONTROL!$C$21, $C$9, 100%, $E$9)</f>
        <v>28.983699999999999</v>
      </c>
      <c r="P909" s="10">
        <f>CHOOSE(CONTROL!$C$42, 28.7659, 28.7659) * CHOOSE(CONTROL!$C$21, $C$9, 100%, $E$9)</f>
        <v>28.765899999999998</v>
      </c>
      <c r="Q909" s="10">
        <f>CHOOSE(CONTROL!$C$42, 29.579, 29.579) * CHOOSE(CONTROL!$C$21, $C$9, 100%, $E$9)</f>
        <v>29.579000000000001</v>
      </c>
      <c r="R909" s="10">
        <f>CHOOSE(CONTROL!$C$42, 30.24, 30.24) * CHOOSE(CONTROL!$C$21, $C$9, 100%, $E$9)</f>
        <v>30.24</v>
      </c>
      <c r="S909" s="10">
        <f>CHOOSE(CONTROL!$C$42, 28.2165, 28.2165) * CHOOSE(CONTROL!$C$21, $C$9, 100%, $E$9)</f>
        <v>28.2165</v>
      </c>
      <c r="T9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38">
        <f>(1000*CHOOSE(CONTROL!$C$42, 695, 695)*CHOOSE(CONTROL!$C$42, 0.5599, 0.5599)*CHOOSE(CONTROL!$C$42, 30, 30))/1000000</f>
        <v>11.673914999999997</v>
      </c>
      <c r="V909" s="38">
        <f>(1000*CHOOSE(CONTROL!$C$42, 500, 500)*CHOOSE(CONTROL!$C$42, 0.275, 0.275)*CHOOSE(CONTROL!$C$42, 30, 30))/1000000</f>
        <v>4.125</v>
      </c>
      <c r="W909" s="38">
        <f>(1000*CHOOSE(CONTROL!$C$42, 0.1146, 0.1146)*CHOOSE(CONTROL!$C$42, 121.5, 121.5)*CHOOSE(CONTROL!$C$42, 30, 30))/1000000</f>
        <v>0.417717</v>
      </c>
      <c r="X909" s="38">
        <f>(30*0.1790888*245000/1000000)+(30*0.2374*100000/1000000)</f>
        <v>2.0285026799999999</v>
      </c>
      <c r="Y909" s="38">
        <f>(1000*600*CHOOSE(CONTROL!$C$42, 1.0585, 1.0585)*CHOOSE(CONTROL!$C$42, 30, 30))/1000000</f>
        <v>19.053000000000001</v>
      </c>
      <c r="Z909" s="38"/>
      <c r="AA909" s="10"/>
      <c r="AB909" s="39"/>
      <c r="AC909" s="33">
        <f>(B909*194.205+C909*267.466+D909*133.845+E909*53.484+F909*40+G909*185+H909*0+I909*100+J909*300)/(194.205+267.466+133.845+53.484+0+40+185+100+300)</f>
        <v>29.075290711067506</v>
      </c>
      <c r="AD909" s="27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28.854393525179855</v>
      </c>
    </row>
    <row r="910" spans="1:30" ht="15.75" x14ac:dyDescent="0.25">
      <c r="A910" s="13">
        <v>68972</v>
      </c>
      <c r="B910" s="10">
        <f>CHOOSE(CONTROL!$C$42, 28.4685, 28.4685) * CHOOSE(CONTROL!$C$21, $C$9, 100%, $E$9)</f>
        <v>28.468499999999999</v>
      </c>
      <c r="C910" s="10">
        <f>CHOOSE(CONTROL!$C$42, 28.4737, 28.4737) * CHOOSE(CONTROL!$C$21, $C$9, 100%, $E$9)</f>
        <v>28.473700000000001</v>
      </c>
      <c r="D910" s="10">
        <f>CHOOSE(CONTROL!$C$42, 28.6557, 28.6557) * CHOOSE(CONTROL!$C$21, $C$9, 100%, $E$9)</f>
        <v>28.6557</v>
      </c>
      <c r="E910" s="10">
        <f>CHOOSE(CONTROL!$C$42, 28.6845, 28.6845) * CHOOSE(CONTROL!$C$21, $C$9, 100%, $E$9)</f>
        <v>28.6845</v>
      </c>
      <c r="F910" s="10">
        <f>CHOOSE(CONTROL!$C$42, 28.4341, 28.4341)*CHOOSE(CONTROL!$C$21, $C$9, 100%, $E$9)</f>
        <v>28.434100000000001</v>
      </c>
      <c r="G910" s="10">
        <f>CHOOSE(CONTROL!$C$42, 28.4503, 28.4503)*CHOOSE(CONTROL!$C$21, $C$9, 100%, $E$9)</f>
        <v>28.450299999999999</v>
      </c>
      <c r="H910" s="10">
        <f>CHOOSE(CONTROL!$C$42, 28.6749, 28.6749) * CHOOSE(CONTROL!$C$21, $C$9, 100%, $E$9)</f>
        <v>28.674900000000001</v>
      </c>
      <c r="I910" s="10">
        <f>CHOOSE(CONTROL!$C$42, 28.4548, 28.4548)* CHOOSE(CONTROL!$C$21, $C$9, 100%, $E$9)</f>
        <v>28.454799999999999</v>
      </c>
      <c r="J910" s="10">
        <f>CHOOSE(CONTROL!$C$42, 28.4271, 28.4271)* CHOOSE(CONTROL!$C$21, $C$9, 100%, $E$9)</f>
        <v>28.427099999999999</v>
      </c>
      <c r="K910" s="10">
        <f>CHOOSE(CONTROL!$C$42, 27.7818, 27.7818) * CHOOSE(CONTROL!$C$21, $C$9, 100%, $E$9)</f>
        <v>27.7818</v>
      </c>
      <c r="L910" s="10">
        <f>CHOOSE(CONTROL!$C$42, 29.2619, 29.2619) * CHOOSE(CONTROL!$C$21, $C$9, 100%, $E$9)</f>
        <v>29.261900000000001</v>
      </c>
      <c r="M910" s="10">
        <f>CHOOSE(CONTROL!$C$42, 28.154, 28.154) * CHOOSE(CONTROL!$C$21, $C$9, 100%, $E$9)</f>
        <v>28.154</v>
      </c>
      <c r="N910" s="10">
        <f>CHOOSE(CONTROL!$C$42, 28.1701, 28.1701) * CHOOSE(CONTROL!$C$21, $C$9, 100%, $E$9)</f>
        <v>28.170100000000001</v>
      </c>
      <c r="O910" s="10">
        <f>CHOOSE(CONTROL!$C$42, 28.3994, 28.3994) * CHOOSE(CONTROL!$C$21, $C$9, 100%, $E$9)</f>
        <v>28.3994</v>
      </c>
      <c r="P910" s="10">
        <f>CHOOSE(CONTROL!$C$42, 28.1815, 28.1815) * CHOOSE(CONTROL!$C$21, $C$9, 100%, $E$9)</f>
        <v>28.1815</v>
      </c>
      <c r="Q910" s="10">
        <f>CHOOSE(CONTROL!$C$42, 28.9947, 28.9947) * CHOOSE(CONTROL!$C$21, $C$9, 100%, $E$9)</f>
        <v>28.994700000000002</v>
      </c>
      <c r="R910" s="10">
        <f>CHOOSE(CONTROL!$C$42, 29.6542, 29.6542) * CHOOSE(CONTROL!$C$21, $C$9, 100%, $E$9)</f>
        <v>29.654199999999999</v>
      </c>
      <c r="S910" s="10">
        <f>CHOOSE(CONTROL!$C$42, 27.6432, 27.6432) * CHOOSE(CONTROL!$C$21, $C$9, 100%, $E$9)</f>
        <v>27.6432</v>
      </c>
      <c r="T9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38">
        <f>(1000*CHOOSE(CONTROL!$C$42, 695, 695)*CHOOSE(CONTROL!$C$42, 0.5599, 0.5599)*CHOOSE(CONTROL!$C$42, 31, 31))/1000000</f>
        <v>12.063045499999998</v>
      </c>
      <c r="V910" s="38">
        <f>(1000*CHOOSE(CONTROL!$C$42, 500, 500)*CHOOSE(CONTROL!$C$42, 0.275, 0.275)*CHOOSE(CONTROL!$C$42, 31, 31))/1000000</f>
        <v>4.2625000000000002</v>
      </c>
      <c r="W910" s="38">
        <f>(1000*CHOOSE(CONTROL!$C$42, 0.1146, 0.1146)*CHOOSE(CONTROL!$C$42, 121.5, 121.5)*CHOOSE(CONTROL!$C$42, 31, 31))/1000000</f>
        <v>0.43164089999999994</v>
      </c>
      <c r="X910" s="38">
        <f>(31*0.1790888*245000/1000000)+(31*0.2374*100000/1000000)</f>
        <v>2.0961194359999999</v>
      </c>
      <c r="Y910" s="38">
        <f>(1000*600*CHOOSE(CONTROL!$C$42, 1.0585, 1.0585)*CHOOSE(CONTROL!$C$42, 31, 31))/1000000</f>
        <v>19.688099999999999</v>
      </c>
      <c r="Z910" s="38"/>
      <c r="AA910" s="10"/>
      <c r="AB910" s="39"/>
      <c r="AC910" s="33">
        <f>(B910*131.881+C910*277.167+D910*79.08+E910*125.872+F910*40+G910*185+H910*0+I910*100+J910*300)/(131.881+277.167+79.08+125.872+0+40+185+100+300)</f>
        <v>28.488597172235675</v>
      </c>
      <c r="AD910" s="27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28.270107913669069</v>
      </c>
    </row>
    <row r="911" spans="1:30" ht="15.75" x14ac:dyDescent="0.25">
      <c r="A911" s="13">
        <v>69002</v>
      </c>
      <c r="B911" s="10">
        <f>CHOOSE(CONTROL!$C$42, 29.218, 29.218) * CHOOSE(CONTROL!$C$21, $C$9, 100%, $E$9)</f>
        <v>29.218</v>
      </c>
      <c r="C911" s="10">
        <f>CHOOSE(CONTROL!$C$42, 29.2229, 29.2229) * CHOOSE(CONTROL!$C$21, $C$9, 100%, $E$9)</f>
        <v>29.222899999999999</v>
      </c>
      <c r="D911" s="10">
        <f>CHOOSE(CONTROL!$C$42, 29.2474, 29.2474) * CHOOSE(CONTROL!$C$21, $C$9, 100%, $E$9)</f>
        <v>29.247399999999999</v>
      </c>
      <c r="E911" s="10">
        <f>CHOOSE(CONTROL!$C$42, 29.2812, 29.2812) * CHOOSE(CONTROL!$C$21, $C$9, 100%, $E$9)</f>
        <v>29.281199999999998</v>
      </c>
      <c r="F911" s="10">
        <f>CHOOSE(CONTROL!$C$42, 29.1873, 29.1873)*CHOOSE(CONTROL!$C$21, $C$9, 100%, $E$9)</f>
        <v>29.1873</v>
      </c>
      <c r="G911" s="10">
        <f>CHOOSE(CONTROL!$C$42, 29.2037, 29.2037)*CHOOSE(CONTROL!$C$21, $C$9, 100%, $E$9)</f>
        <v>29.203700000000001</v>
      </c>
      <c r="H911" s="10">
        <f>CHOOSE(CONTROL!$C$42, 29.2704, 29.2704) * CHOOSE(CONTROL!$C$21, $C$9, 100%, $E$9)</f>
        <v>29.270399999999999</v>
      </c>
      <c r="I911" s="10">
        <f>CHOOSE(CONTROL!$C$42, 29.2047, 29.2047)* CHOOSE(CONTROL!$C$21, $C$9, 100%, $E$9)</f>
        <v>29.204699999999999</v>
      </c>
      <c r="J911" s="10">
        <f>CHOOSE(CONTROL!$C$42, 29.1803, 29.1803)* CHOOSE(CONTROL!$C$21, $C$9, 100%, $E$9)</f>
        <v>29.180299999999999</v>
      </c>
      <c r="K911" s="10">
        <f>CHOOSE(CONTROL!$C$42, 28.5119, 28.5119) * CHOOSE(CONTROL!$C$21, $C$9, 100%, $E$9)</f>
        <v>28.511900000000001</v>
      </c>
      <c r="L911" s="10">
        <f>CHOOSE(CONTROL!$C$42, 29.8574, 29.8574) * CHOOSE(CONTROL!$C$21, $C$9, 100%, $E$9)</f>
        <v>29.857399999999998</v>
      </c>
      <c r="M911" s="10">
        <f>CHOOSE(CONTROL!$C$42, 28.8996, 28.8996) * CHOOSE(CONTROL!$C$21, $C$9, 100%, $E$9)</f>
        <v>28.8996</v>
      </c>
      <c r="N911" s="10">
        <f>CHOOSE(CONTROL!$C$42, 28.9159, 28.9159) * CHOOSE(CONTROL!$C$21, $C$9, 100%, $E$9)</f>
        <v>28.915900000000001</v>
      </c>
      <c r="O911" s="10">
        <f>CHOOSE(CONTROL!$C$42, 28.9888, 28.9888) * CHOOSE(CONTROL!$C$21, $C$9, 100%, $E$9)</f>
        <v>28.988800000000001</v>
      </c>
      <c r="P911" s="10">
        <f>CHOOSE(CONTROL!$C$42, 28.9239, 28.9239) * CHOOSE(CONTROL!$C$21, $C$9, 100%, $E$9)</f>
        <v>28.9239</v>
      </c>
      <c r="Q911" s="10">
        <f>CHOOSE(CONTROL!$C$42, 29.5841, 29.5841) * CHOOSE(CONTROL!$C$21, $C$9, 100%, $E$9)</f>
        <v>29.584099999999999</v>
      </c>
      <c r="R911" s="10">
        <f>CHOOSE(CONTROL!$C$42, 30.2451, 30.2451) * CHOOSE(CONTROL!$C$21, $C$9, 100%, $E$9)</f>
        <v>30.245100000000001</v>
      </c>
      <c r="S911" s="10">
        <f>CHOOSE(CONTROL!$C$42, 28.3714, 28.3714) * CHOOSE(CONTROL!$C$21, $C$9, 100%, $E$9)</f>
        <v>28.371400000000001</v>
      </c>
      <c r="T9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38">
        <f>(1000*CHOOSE(CONTROL!$C$42, 695, 695)*CHOOSE(CONTROL!$C$42, 0.5599, 0.5599)*CHOOSE(CONTROL!$C$42, 30, 30))/1000000</f>
        <v>11.673914999999997</v>
      </c>
      <c r="V911" s="38">
        <f>(1000*CHOOSE(CONTROL!$C$42, 500, 500)*CHOOSE(CONTROL!$C$42, 0.275, 0.275)*CHOOSE(CONTROL!$C$42, 30, 30))/1000000</f>
        <v>4.125</v>
      </c>
      <c r="W911" s="38">
        <f>(1000*CHOOSE(CONTROL!$C$42, 0.1146, 0.1146)*CHOOSE(CONTROL!$C$42, 121.5, 121.5)*CHOOSE(CONTROL!$C$42, 30, 30))/1000000</f>
        <v>0.417717</v>
      </c>
      <c r="X911" s="38">
        <f>(30*0.1790888*100000/1000000)+(30*0.2374*100000/1000000)</f>
        <v>1.2494664</v>
      </c>
      <c r="Y911" s="38">
        <f>(1000*600*CHOOSE(CONTROL!$C$42, 1.0585, 1.0585)*CHOOSE(CONTROL!$C$42, 30, 30))/1000000</f>
        <v>19.053000000000001</v>
      </c>
      <c r="Z911" s="38"/>
      <c r="AA911" s="10"/>
      <c r="AB911" s="39"/>
      <c r="AC911" s="33">
        <f>(B911*122.58+C911*297.941+D911*89.177+E911*40.302+F911*40+G911*160+H911*0+I911*100+J911*300)/(122.58+297.941+89.177+40.302+0+40+160+100+300)</f>
        <v>29.209715479217394</v>
      </c>
      <c r="AD911" s="27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28.944463309352514</v>
      </c>
    </row>
    <row r="912" spans="1:30" ht="15.75" x14ac:dyDescent="0.25">
      <c r="A912" s="13">
        <v>69033</v>
      </c>
      <c r="B912" s="10">
        <f>CHOOSE(CONTROL!$C$42, 31.2098, 31.2098) * CHOOSE(CONTROL!$C$21, $C$9, 100%, $E$9)</f>
        <v>31.209800000000001</v>
      </c>
      <c r="C912" s="10">
        <f>CHOOSE(CONTROL!$C$42, 31.2148, 31.2148) * CHOOSE(CONTROL!$C$21, $C$9, 100%, $E$9)</f>
        <v>31.2148</v>
      </c>
      <c r="D912" s="10">
        <f>CHOOSE(CONTROL!$C$42, 31.2393, 31.2393) * CHOOSE(CONTROL!$C$21, $C$9, 100%, $E$9)</f>
        <v>31.2393</v>
      </c>
      <c r="E912" s="10">
        <f>CHOOSE(CONTROL!$C$42, 31.273, 31.273) * CHOOSE(CONTROL!$C$21, $C$9, 100%, $E$9)</f>
        <v>31.273</v>
      </c>
      <c r="F912" s="10">
        <f>CHOOSE(CONTROL!$C$42, 31.1815, 31.1815)*CHOOSE(CONTROL!$C$21, $C$9, 100%, $E$9)</f>
        <v>31.1815</v>
      </c>
      <c r="G912" s="10">
        <f>CHOOSE(CONTROL!$C$42, 31.1985, 31.1985)*CHOOSE(CONTROL!$C$21, $C$9, 100%, $E$9)</f>
        <v>31.198499999999999</v>
      </c>
      <c r="H912" s="10">
        <f>CHOOSE(CONTROL!$C$42, 31.2622, 31.2622) * CHOOSE(CONTROL!$C$21, $C$9, 100%, $E$9)</f>
        <v>31.2622</v>
      </c>
      <c r="I912" s="10">
        <f>CHOOSE(CONTROL!$C$42, 31.1966, 31.1966)* CHOOSE(CONTROL!$C$21, $C$9, 100%, $E$9)</f>
        <v>31.1966</v>
      </c>
      <c r="J912" s="10">
        <f>CHOOSE(CONTROL!$C$42, 31.1745, 31.1745)* CHOOSE(CONTROL!$C$21, $C$9, 100%, $E$9)</f>
        <v>31.174499999999998</v>
      </c>
      <c r="K912" s="10">
        <f>CHOOSE(CONTROL!$C$42, 30.4522, 30.4522) * CHOOSE(CONTROL!$C$21, $C$9, 100%, $E$9)</f>
        <v>30.452200000000001</v>
      </c>
      <c r="L912" s="10">
        <f>CHOOSE(CONTROL!$C$42, 31.8492, 31.8492) * CHOOSE(CONTROL!$C$21, $C$9, 100%, $E$9)</f>
        <v>31.8492</v>
      </c>
      <c r="M912" s="10">
        <f>CHOOSE(CONTROL!$C$42, 30.8737, 30.8737) * CHOOSE(CONTROL!$C$21, $C$9, 100%, $E$9)</f>
        <v>30.873699999999999</v>
      </c>
      <c r="N912" s="10">
        <f>CHOOSE(CONTROL!$C$42, 30.8906, 30.8906) * CHOOSE(CONTROL!$C$21, $C$9, 100%, $E$9)</f>
        <v>30.890599999999999</v>
      </c>
      <c r="O912" s="10">
        <f>CHOOSE(CONTROL!$C$42, 30.9606, 30.9606) * CHOOSE(CONTROL!$C$21, $C$9, 100%, $E$9)</f>
        <v>30.960599999999999</v>
      </c>
      <c r="P912" s="10">
        <f>CHOOSE(CONTROL!$C$42, 30.8956, 30.8956) * CHOOSE(CONTROL!$C$21, $C$9, 100%, $E$9)</f>
        <v>30.895600000000002</v>
      </c>
      <c r="Q912" s="10">
        <f>CHOOSE(CONTROL!$C$42, 31.5559, 31.5559) * CHOOSE(CONTROL!$C$21, $C$9, 100%, $E$9)</f>
        <v>31.555900000000001</v>
      </c>
      <c r="R912" s="10">
        <f>CHOOSE(CONTROL!$C$42, 32.2218, 32.2218) * CHOOSE(CONTROL!$C$21, $C$9, 100%, $E$9)</f>
        <v>32.221800000000002</v>
      </c>
      <c r="S912" s="10">
        <f>CHOOSE(CONTROL!$C$42, 30.3057, 30.3057) * CHOOSE(CONTROL!$C$21, $C$9, 100%, $E$9)</f>
        <v>30.305700000000002</v>
      </c>
      <c r="T9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38">
        <f>(1000*CHOOSE(CONTROL!$C$42, 695, 695)*CHOOSE(CONTROL!$C$42, 0.5599, 0.5599)*CHOOSE(CONTROL!$C$42, 31, 31))/1000000</f>
        <v>12.063045499999998</v>
      </c>
      <c r="V912" s="38">
        <f>(1000*CHOOSE(CONTROL!$C$42, 500, 500)*CHOOSE(CONTROL!$C$42, 0.275, 0.275)*CHOOSE(CONTROL!$C$42, 31, 31))/1000000</f>
        <v>4.2625000000000002</v>
      </c>
      <c r="W912" s="38">
        <f>(1000*CHOOSE(CONTROL!$C$42, 0.1146, 0.1146)*CHOOSE(CONTROL!$C$42, 121.5, 121.5)*CHOOSE(CONTROL!$C$42, 31, 31))/1000000</f>
        <v>0.43164089999999994</v>
      </c>
      <c r="X912" s="38">
        <f>(31*0.1790888*100000/1000000)+(31*0.2374*100000/1000000)</f>
        <v>1.2911152800000001</v>
      </c>
      <c r="Y912" s="38">
        <f>(1000*600*CHOOSE(CONTROL!$C$42, 1.0585, 1.0585)*CHOOSE(CONTROL!$C$42, 31, 31))/1000000</f>
        <v>19.688099999999999</v>
      </c>
      <c r="Z912" s="38"/>
      <c r="AA912" s="10"/>
      <c r="AB912" s="39"/>
      <c r="AC912" s="33">
        <f>(B912*122.58+C912*297.941+D912*89.177+E912*40.302+F912*40+G912*160+H912*0+I912*100+J912*300)/(122.58+297.941+89.177+40.302+0+40+160+100+300)</f>
        <v>31.202684793826084</v>
      </c>
      <c r="AD912" s="27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30.917210071942446</v>
      </c>
    </row>
    <row r="913" spans="1:30" ht="15.75" x14ac:dyDescent="0.25">
      <c r="A913" s="13">
        <v>69064</v>
      </c>
      <c r="B913" s="10">
        <f>CHOOSE(CONTROL!$C$42, 33.3161, 33.3161) * CHOOSE(CONTROL!$C$21, $C$9, 100%, $E$9)</f>
        <v>33.316099999999999</v>
      </c>
      <c r="C913" s="10">
        <f>CHOOSE(CONTROL!$C$42, 33.3211, 33.3211) * CHOOSE(CONTROL!$C$21, $C$9, 100%, $E$9)</f>
        <v>33.321100000000001</v>
      </c>
      <c r="D913" s="10">
        <f>CHOOSE(CONTROL!$C$42, 33.3455, 33.3455) * CHOOSE(CONTROL!$C$21, $C$9, 100%, $E$9)</f>
        <v>33.345500000000001</v>
      </c>
      <c r="E913" s="10">
        <f>CHOOSE(CONTROL!$C$42, 33.3793, 33.3793) * CHOOSE(CONTROL!$C$21, $C$9, 100%, $E$9)</f>
        <v>33.379300000000001</v>
      </c>
      <c r="F913" s="10">
        <f>CHOOSE(CONTROL!$C$42, 33.2991, 33.2991)*CHOOSE(CONTROL!$C$21, $C$9, 100%, $E$9)</f>
        <v>33.299100000000003</v>
      </c>
      <c r="G913" s="10">
        <f>CHOOSE(CONTROL!$C$42, 33.3177, 33.3177)*CHOOSE(CONTROL!$C$21, $C$9, 100%, $E$9)</f>
        <v>33.317700000000002</v>
      </c>
      <c r="H913" s="10">
        <f>CHOOSE(CONTROL!$C$42, 33.3685, 33.3685) * CHOOSE(CONTROL!$C$21, $C$9, 100%, $E$9)</f>
        <v>33.368499999999997</v>
      </c>
      <c r="I913" s="10">
        <f>CHOOSE(CONTROL!$C$42, 33.3106, 33.3106)* CHOOSE(CONTROL!$C$21, $C$9, 100%, $E$9)</f>
        <v>33.310600000000001</v>
      </c>
      <c r="J913" s="10">
        <f>CHOOSE(CONTROL!$C$42, 33.2921, 33.2921)* CHOOSE(CONTROL!$C$21, $C$9, 100%, $E$9)</f>
        <v>33.292099999999998</v>
      </c>
      <c r="K913" s="10">
        <f>CHOOSE(CONTROL!$C$42, 32.5196, 32.5196) * CHOOSE(CONTROL!$C$21, $C$9, 100%, $E$9)</f>
        <v>32.519599999999997</v>
      </c>
      <c r="L913" s="10">
        <f>CHOOSE(CONTROL!$C$42, 33.9555, 33.9555) * CHOOSE(CONTROL!$C$21, $C$9, 100%, $E$9)</f>
        <v>33.955500000000001</v>
      </c>
      <c r="M913" s="10">
        <f>CHOOSE(CONTROL!$C$42, 32.9699, 32.9699) * CHOOSE(CONTROL!$C$21, $C$9, 100%, $E$9)</f>
        <v>32.969900000000003</v>
      </c>
      <c r="N913" s="10">
        <f>CHOOSE(CONTROL!$C$42, 32.9884, 32.9884) * CHOOSE(CONTROL!$C$21, $C$9, 100%, $E$9)</f>
        <v>32.988399999999999</v>
      </c>
      <c r="O913" s="10">
        <f>CHOOSE(CONTROL!$C$42, 33.0456, 33.0456) * CHOOSE(CONTROL!$C$21, $C$9, 100%, $E$9)</f>
        <v>33.0456</v>
      </c>
      <c r="P913" s="10">
        <f>CHOOSE(CONTROL!$C$42, 32.9883, 32.9883) * CHOOSE(CONTROL!$C$21, $C$9, 100%, $E$9)</f>
        <v>32.988300000000002</v>
      </c>
      <c r="Q913" s="10">
        <f>CHOOSE(CONTROL!$C$42, 33.6409, 33.6409) * CHOOSE(CONTROL!$C$21, $C$9, 100%, $E$9)</f>
        <v>33.640900000000002</v>
      </c>
      <c r="R913" s="10">
        <f>CHOOSE(CONTROL!$C$42, 34.312, 34.312) * CHOOSE(CONTROL!$C$21, $C$9, 100%, $E$9)</f>
        <v>34.311999999999998</v>
      </c>
      <c r="S913" s="10">
        <f>CHOOSE(CONTROL!$C$42, 32.3512, 32.3512) * CHOOSE(CONTROL!$C$21, $C$9, 100%, $E$9)</f>
        <v>32.351199999999999</v>
      </c>
      <c r="T9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38">
        <f>(1000*CHOOSE(CONTROL!$C$42, 695, 695)*CHOOSE(CONTROL!$C$42, 0.5599, 0.5599)*CHOOSE(CONTROL!$C$42, 31, 31))/1000000</f>
        <v>12.063045499999998</v>
      </c>
      <c r="V913" s="38">
        <f>(1000*CHOOSE(CONTROL!$C$42, 500, 500)*CHOOSE(CONTROL!$C$42, 0.275, 0.275)*CHOOSE(CONTROL!$C$42, 31, 31))/1000000</f>
        <v>4.2625000000000002</v>
      </c>
      <c r="W913" s="38">
        <f>(1000*CHOOSE(CONTROL!$C$42, 0.1146, 0.1146)*CHOOSE(CONTROL!$C$42, 121.5, 121.5)*CHOOSE(CONTROL!$C$42, 31, 31))/1000000</f>
        <v>0.43164089999999994</v>
      </c>
      <c r="X913" s="38">
        <f>(31*0.1790888*100000/1000000)+(31*0.2374*100000/1000000)</f>
        <v>1.2911152800000001</v>
      </c>
      <c r="Y913" s="38">
        <f>(1000*600*CHOOSE(CONTROL!$C$42, 1.0585, 1.0585)*CHOOSE(CONTROL!$C$42, 31, 31))/1000000</f>
        <v>19.688099999999999</v>
      </c>
      <c r="Z913" s="38"/>
      <c r="AA913" s="10"/>
      <c r="AB913" s="39"/>
      <c r="AC913" s="33">
        <f>(B913*122.58+C913*297.941+D913*89.177+E913*40.302+F913*40+G913*160+H913*0+I913*100+J913*300)/(122.58+297.941+89.177+40.302+0+40+160+100+300)</f>
        <v>33.314782256695658</v>
      </c>
      <c r="AD913" s="27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33.007922302158278</v>
      </c>
    </row>
    <row r="914" spans="1:30" ht="15.75" x14ac:dyDescent="0.25">
      <c r="A914" s="13">
        <v>69092</v>
      </c>
      <c r="B914" s="10">
        <f>CHOOSE(CONTROL!$C$42, 33.9092, 33.9092) * CHOOSE(CONTROL!$C$21, $C$9, 100%, $E$9)</f>
        <v>33.909199999999998</v>
      </c>
      <c r="C914" s="10">
        <f>CHOOSE(CONTROL!$C$42, 33.9141, 33.9141) * CHOOSE(CONTROL!$C$21, $C$9, 100%, $E$9)</f>
        <v>33.914099999999998</v>
      </c>
      <c r="D914" s="10">
        <f>CHOOSE(CONTROL!$C$42, 33.9386, 33.9386) * CHOOSE(CONTROL!$C$21, $C$9, 100%, $E$9)</f>
        <v>33.938600000000001</v>
      </c>
      <c r="E914" s="10">
        <f>CHOOSE(CONTROL!$C$42, 33.9723, 33.9723) * CHOOSE(CONTROL!$C$21, $C$9, 100%, $E$9)</f>
        <v>33.972299999999997</v>
      </c>
      <c r="F914" s="10">
        <f>CHOOSE(CONTROL!$C$42, 33.8914, 33.8914)*CHOOSE(CONTROL!$C$21, $C$9, 100%, $E$9)</f>
        <v>33.891399999999997</v>
      </c>
      <c r="G914" s="10">
        <f>CHOOSE(CONTROL!$C$42, 33.9099, 33.9099)*CHOOSE(CONTROL!$C$21, $C$9, 100%, $E$9)</f>
        <v>33.9099</v>
      </c>
      <c r="H914" s="10">
        <f>CHOOSE(CONTROL!$C$42, 33.9615, 33.9615) * CHOOSE(CONTROL!$C$21, $C$9, 100%, $E$9)</f>
        <v>33.961500000000001</v>
      </c>
      <c r="I914" s="10">
        <f>CHOOSE(CONTROL!$C$42, 33.9036, 33.9036)* CHOOSE(CONTROL!$C$21, $C$9, 100%, $E$9)</f>
        <v>33.903599999999997</v>
      </c>
      <c r="J914" s="10">
        <f>CHOOSE(CONTROL!$C$42, 33.8844, 33.8844)* CHOOSE(CONTROL!$C$21, $C$9, 100%, $E$9)</f>
        <v>33.884399999999999</v>
      </c>
      <c r="K914" s="10">
        <f>CHOOSE(CONTROL!$C$42, 33.0943, 33.0943) * CHOOSE(CONTROL!$C$21, $C$9, 100%, $E$9)</f>
        <v>33.094299999999997</v>
      </c>
      <c r="L914" s="10">
        <f>CHOOSE(CONTROL!$C$42, 34.5485, 34.5485) * CHOOSE(CONTROL!$C$21, $C$9, 100%, $E$9)</f>
        <v>34.548499999999997</v>
      </c>
      <c r="M914" s="10">
        <f>CHOOSE(CONTROL!$C$42, 33.5563, 33.5563) * CHOOSE(CONTROL!$C$21, $C$9, 100%, $E$9)</f>
        <v>33.5563</v>
      </c>
      <c r="N914" s="10">
        <f>CHOOSE(CONTROL!$C$42, 33.5746, 33.5746) * CHOOSE(CONTROL!$C$21, $C$9, 100%, $E$9)</f>
        <v>33.574599999999997</v>
      </c>
      <c r="O914" s="10">
        <f>CHOOSE(CONTROL!$C$42, 33.6326, 33.6326) * CHOOSE(CONTROL!$C$21, $C$9, 100%, $E$9)</f>
        <v>33.632599999999996</v>
      </c>
      <c r="P914" s="10">
        <f>CHOOSE(CONTROL!$C$42, 33.5754, 33.5754) * CHOOSE(CONTROL!$C$21, $C$9, 100%, $E$9)</f>
        <v>33.575400000000002</v>
      </c>
      <c r="Q914" s="10">
        <f>CHOOSE(CONTROL!$C$42, 34.2279, 34.2279) * CHOOSE(CONTROL!$C$21, $C$9, 100%, $E$9)</f>
        <v>34.227899999999998</v>
      </c>
      <c r="R914" s="10">
        <f>CHOOSE(CONTROL!$C$42, 34.9005, 34.9005) * CHOOSE(CONTROL!$C$21, $C$9, 100%, $E$9)</f>
        <v>34.900500000000001</v>
      </c>
      <c r="S914" s="10">
        <f>CHOOSE(CONTROL!$C$42, 32.927, 32.927) * CHOOSE(CONTROL!$C$21, $C$9, 100%, $E$9)</f>
        <v>32.927</v>
      </c>
      <c r="T9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14" s="38">
        <f>(1000*CHOOSE(CONTROL!$C$42, 695, 695)*CHOOSE(CONTROL!$C$42, 0.5599, 0.5599)*CHOOSE(CONTROL!$C$42, 28, 28))/1000000</f>
        <v>10.895653999999999</v>
      </c>
      <c r="V914" s="38">
        <f>(1000*CHOOSE(CONTROL!$C$42, 500, 500)*CHOOSE(CONTROL!$C$42, 0.275, 0.275)*CHOOSE(CONTROL!$C$42, 28, 28))/1000000</f>
        <v>3.85</v>
      </c>
      <c r="W914" s="38">
        <f>(1000*CHOOSE(CONTROL!$C$42, 0.1146, 0.1146)*CHOOSE(CONTROL!$C$42, 121.5, 121.5)*CHOOSE(CONTROL!$C$42, 28, 28))/1000000</f>
        <v>0.38986920000000003</v>
      </c>
      <c r="X914" s="38">
        <f>(28*0.1790888*100000/1000000)+(28*0.2374*100000/1000000)</f>
        <v>1.16616864</v>
      </c>
      <c r="Y914" s="38">
        <f>(1000*600*CHOOSE(CONTROL!$C$42, 1.0585, 1.0585)*CHOOSE(CONTROL!$C$42, 28, 28))/1000000</f>
        <v>17.782800000000002</v>
      </c>
      <c r="Z914" s="38"/>
      <c r="AA914" s="10"/>
      <c r="AB914" s="39"/>
      <c r="AC914" s="33">
        <f>(B914*122.58+C914*297.941+D914*89.177+E914*40.302+F914*40+G914*160+H914*0+I914*100+J914*300)/(122.58+297.941+89.177+40.302+0+40+160+100+300)</f>
        <v>33.907482409478256</v>
      </c>
      <c r="AD914" s="27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33.594683453237408</v>
      </c>
    </row>
    <row r="915" spans="1:30" ht="15.75" x14ac:dyDescent="0.25">
      <c r="A915" s="13">
        <v>69123</v>
      </c>
      <c r="B915" s="10">
        <f>CHOOSE(CONTROL!$C$42, 32.9465, 32.9465) * CHOOSE(CONTROL!$C$21, $C$9, 100%, $E$9)</f>
        <v>32.9465</v>
      </c>
      <c r="C915" s="10">
        <f>CHOOSE(CONTROL!$C$42, 32.9515, 32.9515) * CHOOSE(CONTROL!$C$21, $C$9, 100%, $E$9)</f>
        <v>32.951500000000003</v>
      </c>
      <c r="D915" s="10">
        <f>CHOOSE(CONTROL!$C$42, 32.9759, 32.9759) * CHOOSE(CONTROL!$C$21, $C$9, 100%, $E$9)</f>
        <v>32.975900000000003</v>
      </c>
      <c r="E915" s="10">
        <f>CHOOSE(CONTROL!$C$42, 33.0097, 33.0097) * CHOOSE(CONTROL!$C$21, $C$9, 100%, $E$9)</f>
        <v>33.009700000000002</v>
      </c>
      <c r="F915" s="10">
        <f>CHOOSE(CONTROL!$C$42, 32.9273, 32.9273)*CHOOSE(CONTROL!$C$21, $C$9, 100%, $E$9)</f>
        <v>32.927300000000002</v>
      </c>
      <c r="G915" s="10">
        <f>CHOOSE(CONTROL!$C$42, 32.9453, 32.9453)*CHOOSE(CONTROL!$C$21, $C$9, 100%, $E$9)</f>
        <v>32.945300000000003</v>
      </c>
      <c r="H915" s="10">
        <f>CHOOSE(CONTROL!$C$42, 32.9989, 32.9989) * CHOOSE(CONTROL!$C$21, $C$9, 100%, $E$9)</f>
        <v>32.998899999999999</v>
      </c>
      <c r="I915" s="10">
        <f>CHOOSE(CONTROL!$C$42, 32.941, 32.941)* CHOOSE(CONTROL!$C$21, $C$9, 100%, $E$9)</f>
        <v>32.941000000000003</v>
      </c>
      <c r="J915" s="10">
        <f>CHOOSE(CONTROL!$C$42, 32.9203, 32.9203)* CHOOSE(CONTROL!$C$21, $C$9, 100%, $E$9)</f>
        <v>32.920299999999997</v>
      </c>
      <c r="K915" s="10">
        <f>CHOOSE(CONTROL!$C$42, 32.1557, 32.1557) * CHOOSE(CONTROL!$C$21, $C$9, 100%, $E$9)</f>
        <v>32.155700000000003</v>
      </c>
      <c r="L915" s="10">
        <f>CHOOSE(CONTROL!$C$42, 33.5859, 33.5859) * CHOOSE(CONTROL!$C$21, $C$9, 100%, $E$9)</f>
        <v>33.585900000000002</v>
      </c>
      <c r="M915" s="10">
        <f>CHOOSE(CONTROL!$C$42, 32.6019, 32.6019) * CHOOSE(CONTROL!$C$21, $C$9, 100%, $E$9)</f>
        <v>32.601900000000001</v>
      </c>
      <c r="N915" s="10">
        <f>CHOOSE(CONTROL!$C$42, 32.6198, 32.6198) * CHOOSE(CONTROL!$C$21, $C$9, 100%, $E$9)</f>
        <v>32.619799999999998</v>
      </c>
      <c r="O915" s="10">
        <f>CHOOSE(CONTROL!$C$42, 32.6797, 32.6797) * CHOOSE(CONTROL!$C$21, $C$9, 100%, $E$9)</f>
        <v>32.679699999999997</v>
      </c>
      <c r="P915" s="10">
        <f>CHOOSE(CONTROL!$C$42, 32.6225, 32.6225) * CHOOSE(CONTROL!$C$21, $C$9, 100%, $E$9)</f>
        <v>32.622500000000002</v>
      </c>
      <c r="Q915" s="10">
        <f>CHOOSE(CONTROL!$C$42, 33.275, 33.275) * CHOOSE(CONTROL!$C$21, $C$9, 100%, $E$9)</f>
        <v>33.274999999999999</v>
      </c>
      <c r="R915" s="10">
        <f>CHOOSE(CONTROL!$C$42, 33.9452, 33.9452) * CHOOSE(CONTROL!$C$21, $C$9, 100%, $E$9)</f>
        <v>33.9452</v>
      </c>
      <c r="S915" s="10">
        <f>CHOOSE(CONTROL!$C$42, 31.9922, 31.9922) * CHOOSE(CONTROL!$C$21, $C$9, 100%, $E$9)</f>
        <v>31.9922</v>
      </c>
      <c r="T9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38">
        <f>(1000*CHOOSE(CONTROL!$C$42, 695, 695)*CHOOSE(CONTROL!$C$42, 0.5599, 0.5599)*CHOOSE(CONTROL!$C$42, 31, 31))/1000000</f>
        <v>12.063045499999998</v>
      </c>
      <c r="V915" s="38">
        <f>(1000*CHOOSE(CONTROL!$C$42, 500, 500)*CHOOSE(CONTROL!$C$42, 0.275, 0.275)*CHOOSE(CONTROL!$C$42, 31, 31))/1000000</f>
        <v>4.2625000000000002</v>
      </c>
      <c r="W915" s="38">
        <f>(1000*CHOOSE(CONTROL!$C$42, 0.1146, 0.1146)*CHOOSE(CONTROL!$C$42, 121.5, 121.5)*CHOOSE(CONTROL!$C$42, 31, 31))/1000000</f>
        <v>0.43164089999999994</v>
      </c>
      <c r="X915" s="38">
        <f>(31*0.1790888*100000/1000000)+(31*0.2374*100000/1000000)</f>
        <v>1.2911152800000001</v>
      </c>
      <c r="Y915" s="38">
        <f>(1000*600*CHOOSE(CONTROL!$C$42, 1.0585, 1.0585)*CHOOSE(CONTROL!$C$42, 31, 31))/1000000</f>
        <v>19.688099999999999</v>
      </c>
      <c r="Z915" s="38"/>
      <c r="AA915" s="10"/>
      <c r="AB915" s="39"/>
      <c r="AC915" s="33">
        <f>(B915*122.58+C915*297.941+D915*89.177+E915*40.302+F915*40+G915*160+H915*0+I915*100+J915*300)/(122.58+297.941+89.177+40.302+0+40+160+100+300)</f>
        <v>32.944142256695649</v>
      </c>
      <c r="AD915" s="27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32.641156115107911</v>
      </c>
    </row>
    <row r="916" spans="1:30" ht="15.75" x14ac:dyDescent="0.25">
      <c r="A916" s="13">
        <v>69153</v>
      </c>
      <c r="B916" s="10">
        <f>CHOOSE(CONTROL!$C$42, 32.8487, 32.8487) * CHOOSE(CONTROL!$C$21, $C$9, 100%, $E$9)</f>
        <v>32.848700000000001</v>
      </c>
      <c r="C916" s="10">
        <f>CHOOSE(CONTROL!$C$42, 32.853, 32.853) * CHOOSE(CONTROL!$C$21, $C$9, 100%, $E$9)</f>
        <v>32.853000000000002</v>
      </c>
      <c r="D916" s="10">
        <f>CHOOSE(CONTROL!$C$42, 33.0332, 33.0332) * CHOOSE(CONTROL!$C$21, $C$9, 100%, $E$9)</f>
        <v>33.033200000000001</v>
      </c>
      <c r="E916" s="10">
        <f>CHOOSE(CONTROL!$C$42, 33.065, 33.065) * CHOOSE(CONTROL!$C$21, $C$9, 100%, $E$9)</f>
        <v>33.064999999999998</v>
      </c>
      <c r="F916" s="10">
        <f>CHOOSE(CONTROL!$C$42, 32.814, 32.814)*CHOOSE(CONTROL!$C$21, $C$9, 100%, $E$9)</f>
        <v>32.814</v>
      </c>
      <c r="G916" s="10">
        <f>CHOOSE(CONTROL!$C$42, 32.8303, 32.8303)*CHOOSE(CONTROL!$C$21, $C$9, 100%, $E$9)</f>
        <v>32.830300000000001</v>
      </c>
      <c r="H916" s="10">
        <f>CHOOSE(CONTROL!$C$42, 33.0547, 33.0547) * CHOOSE(CONTROL!$C$21, $C$9, 100%, $E$9)</f>
        <v>33.054699999999997</v>
      </c>
      <c r="I916" s="10">
        <f>CHOOSE(CONTROL!$C$42, 32.8347, 32.8347)* CHOOSE(CONTROL!$C$21, $C$9, 100%, $E$9)</f>
        <v>32.834699999999998</v>
      </c>
      <c r="J916" s="10">
        <f>CHOOSE(CONTROL!$C$42, 32.807, 32.807)* CHOOSE(CONTROL!$C$21, $C$9, 100%, $E$9)</f>
        <v>32.807000000000002</v>
      </c>
      <c r="K916" s="10">
        <f>CHOOSE(CONTROL!$C$42, 32.0374, 32.0374) * CHOOSE(CONTROL!$C$21, $C$9, 100%, $E$9)</f>
        <v>32.037399999999998</v>
      </c>
      <c r="L916" s="10">
        <f>CHOOSE(CONTROL!$C$42, 33.6417, 33.6417) * CHOOSE(CONTROL!$C$21, $C$9, 100%, $E$9)</f>
        <v>33.6417</v>
      </c>
      <c r="M916" s="10">
        <f>CHOOSE(CONTROL!$C$42, 32.4897, 32.4897) * CHOOSE(CONTROL!$C$21, $C$9, 100%, $E$9)</f>
        <v>32.489699999999999</v>
      </c>
      <c r="N916" s="10">
        <f>CHOOSE(CONTROL!$C$42, 32.5058, 32.5058) * CHOOSE(CONTROL!$C$21, $C$9, 100%, $E$9)</f>
        <v>32.505800000000001</v>
      </c>
      <c r="O916" s="10">
        <f>CHOOSE(CONTROL!$C$42, 32.735, 32.735) * CHOOSE(CONTROL!$C$21, $C$9, 100%, $E$9)</f>
        <v>32.734999999999999</v>
      </c>
      <c r="P916" s="10">
        <f>CHOOSE(CONTROL!$C$42, 32.5172, 32.5172) * CHOOSE(CONTROL!$C$21, $C$9, 100%, $E$9)</f>
        <v>32.517200000000003</v>
      </c>
      <c r="Q916" s="10">
        <f>CHOOSE(CONTROL!$C$42, 33.3303, 33.3303) * CHOOSE(CONTROL!$C$21, $C$9, 100%, $E$9)</f>
        <v>33.330300000000001</v>
      </c>
      <c r="R916" s="10">
        <f>CHOOSE(CONTROL!$C$42, 34.0006, 34.0006) * CHOOSE(CONTROL!$C$21, $C$9, 100%, $E$9)</f>
        <v>34.000599999999999</v>
      </c>
      <c r="S916" s="10">
        <f>CHOOSE(CONTROL!$C$42, 31.8965, 31.8965) * CHOOSE(CONTROL!$C$21, $C$9, 100%, $E$9)</f>
        <v>31.8965</v>
      </c>
      <c r="T9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38">
        <f>(1000*CHOOSE(CONTROL!$C$42, 695, 695)*CHOOSE(CONTROL!$C$42, 0.5599, 0.5599)*CHOOSE(CONTROL!$C$42, 30, 30))/1000000</f>
        <v>11.673914999999997</v>
      </c>
      <c r="V916" s="38">
        <f>(1000*CHOOSE(CONTROL!$C$42, 500, 500)*CHOOSE(CONTROL!$C$42, 0.275, 0.275)*CHOOSE(CONTROL!$C$42, 30, 30))/1000000</f>
        <v>4.125</v>
      </c>
      <c r="W916" s="38">
        <f>(1000*CHOOSE(CONTROL!$C$42, 0.1146, 0.1146)*CHOOSE(CONTROL!$C$42, 121.5, 121.5)*CHOOSE(CONTROL!$C$42, 30, 30))/1000000</f>
        <v>0.417717</v>
      </c>
      <c r="X916" s="38">
        <f>(30*0.1790888*245000/1000000)+(30*0.2374*100000/1000000)</f>
        <v>2.0285026799999999</v>
      </c>
      <c r="Y916" s="38">
        <f>(1000*600*CHOOSE(CONTROL!$C$42, 1.0585, 1.0585)*CHOOSE(CONTROL!$C$42, 30, 30))/1000000</f>
        <v>19.053000000000001</v>
      </c>
      <c r="Z916" s="38"/>
      <c r="AA916" s="10"/>
      <c r="AB916" s="39"/>
      <c r="AC916" s="33">
        <f>(B916*141.293+C916*267.993+D916*115.016+E916*89.698+F916*40+G916*185+H916*0+I916*100+J916*300)/(141.293+267.993+115.016+89.698+0+40+185+100+300)</f>
        <v>32.867321871912843</v>
      </c>
      <c r="AD916" s="27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32.605762589928062</v>
      </c>
    </row>
    <row r="917" spans="1:30" ht="15.75" x14ac:dyDescent="0.25">
      <c r="A917" s="13">
        <v>69184</v>
      </c>
      <c r="B917" s="10">
        <f>CHOOSE(CONTROL!$C$42, 33.1404, 33.1404) * CHOOSE(CONTROL!$C$21, $C$9, 100%, $E$9)</f>
        <v>33.1404</v>
      </c>
      <c r="C917" s="10">
        <f>CHOOSE(CONTROL!$C$42, 33.1483, 33.1483) * CHOOSE(CONTROL!$C$21, $C$9, 100%, $E$9)</f>
        <v>33.148299999999999</v>
      </c>
      <c r="D917" s="10">
        <f>CHOOSE(CONTROL!$C$42, 33.3253, 33.3253) * CHOOSE(CONTROL!$C$21, $C$9, 100%, $E$9)</f>
        <v>33.325299999999999</v>
      </c>
      <c r="E917" s="10">
        <f>CHOOSE(CONTROL!$C$42, 33.3564, 33.3564) * CHOOSE(CONTROL!$C$21, $C$9, 100%, $E$9)</f>
        <v>33.356400000000001</v>
      </c>
      <c r="F917" s="10">
        <f>CHOOSE(CONTROL!$C$42, 33.1037, 33.1037)*CHOOSE(CONTROL!$C$21, $C$9, 100%, $E$9)</f>
        <v>33.103700000000003</v>
      </c>
      <c r="G917" s="10">
        <f>CHOOSE(CONTROL!$C$42, 33.1202, 33.1202)*CHOOSE(CONTROL!$C$21, $C$9, 100%, $E$9)</f>
        <v>33.120199999999997</v>
      </c>
      <c r="H917" s="10">
        <f>CHOOSE(CONTROL!$C$42, 33.345, 33.345) * CHOOSE(CONTROL!$C$21, $C$9, 100%, $E$9)</f>
        <v>33.344999999999999</v>
      </c>
      <c r="I917" s="10">
        <f>CHOOSE(CONTROL!$C$42, 33.1249, 33.1249)* CHOOSE(CONTROL!$C$21, $C$9, 100%, $E$9)</f>
        <v>33.124899999999997</v>
      </c>
      <c r="J917" s="10">
        <f>CHOOSE(CONTROL!$C$42, 33.0967, 33.0967)* CHOOSE(CONTROL!$C$21, $C$9, 100%, $E$9)</f>
        <v>33.096699999999998</v>
      </c>
      <c r="K917" s="10">
        <f>CHOOSE(CONTROL!$C$42, 32.3182, 32.3182) * CHOOSE(CONTROL!$C$21, $C$9, 100%, $E$9)</f>
        <v>32.318199999999997</v>
      </c>
      <c r="L917" s="10">
        <f>CHOOSE(CONTROL!$C$42, 33.932, 33.932) * CHOOSE(CONTROL!$C$21, $C$9, 100%, $E$9)</f>
        <v>33.932000000000002</v>
      </c>
      <c r="M917" s="10">
        <f>CHOOSE(CONTROL!$C$42, 32.7765, 32.7765) * CHOOSE(CONTROL!$C$21, $C$9, 100%, $E$9)</f>
        <v>32.776499999999999</v>
      </c>
      <c r="N917" s="10">
        <f>CHOOSE(CONTROL!$C$42, 32.7929, 32.7929) * CHOOSE(CONTROL!$C$21, $C$9, 100%, $E$9)</f>
        <v>32.792900000000003</v>
      </c>
      <c r="O917" s="10">
        <f>CHOOSE(CONTROL!$C$42, 33.0223, 33.0223) * CHOOSE(CONTROL!$C$21, $C$9, 100%, $E$9)</f>
        <v>33.022300000000001</v>
      </c>
      <c r="P917" s="10">
        <f>CHOOSE(CONTROL!$C$42, 32.8045, 32.8045) * CHOOSE(CONTROL!$C$21, $C$9, 100%, $E$9)</f>
        <v>32.804499999999997</v>
      </c>
      <c r="Q917" s="10">
        <f>CHOOSE(CONTROL!$C$42, 33.6176, 33.6176) * CHOOSE(CONTROL!$C$21, $C$9, 100%, $E$9)</f>
        <v>33.617600000000003</v>
      </c>
      <c r="R917" s="10">
        <f>CHOOSE(CONTROL!$C$42, 34.2887, 34.2887) * CHOOSE(CONTROL!$C$21, $C$9, 100%, $E$9)</f>
        <v>34.288699999999999</v>
      </c>
      <c r="S917" s="10">
        <f>CHOOSE(CONTROL!$C$42, 32.1783, 32.1783) * CHOOSE(CONTROL!$C$21, $C$9, 100%, $E$9)</f>
        <v>32.1783</v>
      </c>
      <c r="T9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38">
        <f>(1000*CHOOSE(CONTROL!$C$42, 695, 695)*CHOOSE(CONTROL!$C$42, 0.5599, 0.5599)*CHOOSE(CONTROL!$C$42, 31, 31))/1000000</f>
        <v>12.063045499999998</v>
      </c>
      <c r="V917" s="38">
        <f>(1000*CHOOSE(CONTROL!$C$42, 500, 500)*CHOOSE(CONTROL!$C$42, 0.275, 0.275)*CHOOSE(CONTROL!$C$42, 31, 31))/1000000</f>
        <v>4.2625000000000002</v>
      </c>
      <c r="W917" s="38">
        <f>(1000*CHOOSE(CONTROL!$C$42, 0.1146, 0.1146)*CHOOSE(CONTROL!$C$42, 121.5, 121.5)*CHOOSE(CONTROL!$C$42, 31, 31))/1000000</f>
        <v>0.43164089999999994</v>
      </c>
      <c r="X917" s="38">
        <f>(31*0.1790888*245000/1000000)+(31*0.2374*100000/1000000)</f>
        <v>2.0961194359999999</v>
      </c>
      <c r="Y917" s="38">
        <f>(1000*600*CHOOSE(CONTROL!$C$42, 1.0585, 1.0585)*CHOOSE(CONTROL!$C$42, 31, 31))/1000000</f>
        <v>19.688099999999999</v>
      </c>
      <c r="Z917" s="38"/>
      <c r="AA917" s="10"/>
      <c r="AB917" s="39"/>
      <c r="AC917" s="33">
        <f>(B917*194.205+C917*267.466+D917*133.845+E917*53.484+F917*40+G917*185+H917*0+I917*100+J917*300)/(194.205+267.466+133.845+53.484+0+40+185+100+300)</f>
        <v>33.154959235400312</v>
      </c>
      <c r="AD917" s="27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32.892878417266189</v>
      </c>
    </row>
    <row r="918" spans="1:30" ht="15.75" x14ac:dyDescent="0.25">
      <c r="A918" s="13">
        <v>69214</v>
      </c>
      <c r="B918" s="10">
        <f>CHOOSE(CONTROL!$C$42, 34.0803, 34.0803) * CHOOSE(CONTROL!$C$21, $C$9, 100%, $E$9)</f>
        <v>34.080300000000001</v>
      </c>
      <c r="C918" s="10">
        <f>CHOOSE(CONTROL!$C$42, 34.0882, 34.0882) * CHOOSE(CONTROL!$C$21, $C$9, 100%, $E$9)</f>
        <v>34.088200000000001</v>
      </c>
      <c r="D918" s="10">
        <f>CHOOSE(CONTROL!$C$42, 34.2652, 34.2652) * CHOOSE(CONTROL!$C$21, $C$9, 100%, $E$9)</f>
        <v>34.2652</v>
      </c>
      <c r="E918" s="10">
        <f>CHOOSE(CONTROL!$C$42, 34.2963, 34.2963) * CHOOSE(CONTROL!$C$21, $C$9, 100%, $E$9)</f>
        <v>34.296300000000002</v>
      </c>
      <c r="F918" s="10">
        <f>CHOOSE(CONTROL!$C$42, 34.0438, 34.0438)*CHOOSE(CONTROL!$C$21, $C$9, 100%, $E$9)</f>
        <v>34.043799999999997</v>
      </c>
      <c r="G918" s="10">
        <f>CHOOSE(CONTROL!$C$42, 34.0603, 34.0603)*CHOOSE(CONTROL!$C$21, $C$9, 100%, $E$9)</f>
        <v>34.060299999999998</v>
      </c>
      <c r="H918" s="10">
        <f>CHOOSE(CONTROL!$C$42, 34.2849, 34.2849) * CHOOSE(CONTROL!$C$21, $C$9, 100%, $E$9)</f>
        <v>34.2849</v>
      </c>
      <c r="I918" s="10">
        <f>CHOOSE(CONTROL!$C$42, 34.0649, 34.0649)* CHOOSE(CONTROL!$C$21, $C$9, 100%, $E$9)</f>
        <v>34.064900000000002</v>
      </c>
      <c r="J918" s="10">
        <f>CHOOSE(CONTROL!$C$42, 34.0368, 34.0368)* CHOOSE(CONTROL!$C$21, $C$9, 100%, $E$9)</f>
        <v>34.036799999999999</v>
      </c>
      <c r="K918" s="10">
        <f>CHOOSE(CONTROL!$C$42, 33.2318, 33.2318) * CHOOSE(CONTROL!$C$21, $C$9, 100%, $E$9)</f>
        <v>33.2318</v>
      </c>
      <c r="L918" s="10">
        <f>CHOOSE(CONTROL!$C$42, 34.8719, 34.8719) * CHOOSE(CONTROL!$C$21, $C$9, 100%, $E$9)</f>
        <v>34.871899999999997</v>
      </c>
      <c r="M918" s="10">
        <f>CHOOSE(CONTROL!$C$42, 33.7071, 33.7071) * CHOOSE(CONTROL!$C$21, $C$9, 100%, $E$9)</f>
        <v>33.707099999999997</v>
      </c>
      <c r="N918" s="10">
        <f>CHOOSE(CONTROL!$C$42, 33.7235, 33.7235) * CHOOSE(CONTROL!$C$21, $C$9, 100%, $E$9)</f>
        <v>33.723500000000001</v>
      </c>
      <c r="O918" s="10">
        <f>CHOOSE(CONTROL!$C$42, 33.9528, 33.9528) * CHOOSE(CONTROL!$C$21, $C$9, 100%, $E$9)</f>
        <v>33.952800000000003</v>
      </c>
      <c r="P918" s="10">
        <f>CHOOSE(CONTROL!$C$42, 33.735, 33.735) * CHOOSE(CONTROL!$C$21, $C$9, 100%, $E$9)</f>
        <v>33.734999999999999</v>
      </c>
      <c r="Q918" s="10">
        <f>CHOOSE(CONTROL!$C$42, 34.5481, 34.5481) * CHOOSE(CONTROL!$C$21, $C$9, 100%, $E$9)</f>
        <v>34.548099999999998</v>
      </c>
      <c r="R918" s="10">
        <f>CHOOSE(CONTROL!$C$42, 35.2214, 35.2214) * CHOOSE(CONTROL!$C$21, $C$9, 100%, $E$9)</f>
        <v>35.221400000000003</v>
      </c>
      <c r="S918" s="10">
        <f>CHOOSE(CONTROL!$C$42, 33.0911, 33.0911) * CHOOSE(CONTROL!$C$21, $C$9, 100%, $E$9)</f>
        <v>33.091099999999997</v>
      </c>
      <c r="T9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38">
        <f>(1000*CHOOSE(CONTROL!$C$42, 695, 695)*CHOOSE(CONTROL!$C$42, 0.5599, 0.5599)*CHOOSE(CONTROL!$C$42, 30, 30))/1000000</f>
        <v>11.673914999999997</v>
      </c>
      <c r="V918" s="38">
        <f>(1000*CHOOSE(CONTROL!$C$42, 500, 500)*CHOOSE(CONTROL!$C$42, 0.275, 0.275)*CHOOSE(CONTROL!$C$42, 30, 30))/1000000</f>
        <v>4.125</v>
      </c>
      <c r="W918" s="38">
        <f>(1000*CHOOSE(CONTROL!$C$42, 0.1146, 0.1146)*CHOOSE(CONTROL!$C$42, 121.5, 121.5)*CHOOSE(CONTROL!$C$42, 30, 30))/1000000</f>
        <v>0.417717</v>
      </c>
      <c r="X918" s="38">
        <f>(30*0.1790888*245000/1000000)+(30*0.2374*100000/1000000)</f>
        <v>2.0285026799999999</v>
      </c>
      <c r="Y918" s="38">
        <f>(1000*600*CHOOSE(CONTROL!$C$42, 1.0585, 1.0585)*CHOOSE(CONTROL!$C$42, 30, 30))/1000000</f>
        <v>19.053000000000001</v>
      </c>
      <c r="Z918" s="38"/>
      <c r="AA918" s="10"/>
      <c r="AB918" s="39"/>
      <c r="AC918" s="33">
        <f>(B918*194.205+C918*267.466+D918*133.845+E918*53.484+F918*40+G918*185+H918*0+I918*100+J918*300)/(194.205+267.466+133.845+53.484+0+40+185+100+300)</f>
        <v>34.0949495022763</v>
      </c>
      <c r="AD918" s="27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33.823418705035976</v>
      </c>
    </row>
    <row r="919" spans="1:30" ht="15.75" x14ac:dyDescent="0.25">
      <c r="A919" s="13">
        <v>69245</v>
      </c>
      <c r="B919" s="10">
        <f>CHOOSE(CONTROL!$C$42, 33.4266, 33.4266) * CHOOSE(CONTROL!$C$21, $C$9, 100%, $E$9)</f>
        <v>33.426600000000001</v>
      </c>
      <c r="C919" s="10">
        <f>CHOOSE(CONTROL!$C$42, 33.4345, 33.4345) * CHOOSE(CONTROL!$C$21, $C$9, 100%, $E$9)</f>
        <v>33.4345</v>
      </c>
      <c r="D919" s="10">
        <f>CHOOSE(CONTROL!$C$42, 33.6115, 33.6115) * CHOOSE(CONTROL!$C$21, $C$9, 100%, $E$9)</f>
        <v>33.611499999999999</v>
      </c>
      <c r="E919" s="10">
        <f>CHOOSE(CONTROL!$C$42, 33.6426, 33.6426) * CHOOSE(CONTROL!$C$21, $C$9, 100%, $E$9)</f>
        <v>33.642600000000002</v>
      </c>
      <c r="F919" s="10">
        <f>CHOOSE(CONTROL!$C$42, 33.3903, 33.3903)*CHOOSE(CONTROL!$C$21, $C$9, 100%, $E$9)</f>
        <v>33.390300000000003</v>
      </c>
      <c r="G919" s="10">
        <f>CHOOSE(CONTROL!$C$42, 33.4069, 33.4069)*CHOOSE(CONTROL!$C$21, $C$9, 100%, $E$9)</f>
        <v>33.4069</v>
      </c>
      <c r="H919" s="10">
        <f>CHOOSE(CONTROL!$C$42, 33.6312, 33.6312) * CHOOSE(CONTROL!$C$21, $C$9, 100%, $E$9)</f>
        <v>33.6312</v>
      </c>
      <c r="I919" s="10">
        <f>CHOOSE(CONTROL!$C$42, 33.4111, 33.4111)* CHOOSE(CONTROL!$C$21, $C$9, 100%, $E$9)</f>
        <v>33.411099999999998</v>
      </c>
      <c r="J919" s="10">
        <f>CHOOSE(CONTROL!$C$42, 33.3833, 33.3833)* CHOOSE(CONTROL!$C$21, $C$9, 100%, $E$9)</f>
        <v>33.383299999999998</v>
      </c>
      <c r="K919" s="10">
        <f>CHOOSE(CONTROL!$C$42, 32.5972, 32.5972) * CHOOSE(CONTROL!$C$21, $C$9, 100%, $E$9)</f>
        <v>32.597200000000001</v>
      </c>
      <c r="L919" s="10">
        <f>CHOOSE(CONTROL!$C$42, 34.2182, 34.2182) * CHOOSE(CONTROL!$C$21, $C$9, 100%, $E$9)</f>
        <v>34.218200000000003</v>
      </c>
      <c r="M919" s="10">
        <f>CHOOSE(CONTROL!$C$42, 33.0603, 33.0603) * CHOOSE(CONTROL!$C$21, $C$9, 100%, $E$9)</f>
        <v>33.060299999999998</v>
      </c>
      <c r="N919" s="10">
        <f>CHOOSE(CONTROL!$C$42, 33.0767, 33.0767) * CHOOSE(CONTROL!$C$21, $C$9, 100%, $E$9)</f>
        <v>33.076700000000002</v>
      </c>
      <c r="O919" s="10">
        <f>CHOOSE(CONTROL!$C$42, 33.3057, 33.3057) * CHOOSE(CONTROL!$C$21, $C$9, 100%, $E$9)</f>
        <v>33.305700000000002</v>
      </c>
      <c r="P919" s="10">
        <f>CHOOSE(CONTROL!$C$42, 33.0878, 33.0878) * CHOOSE(CONTROL!$C$21, $C$9, 100%, $E$9)</f>
        <v>33.087800000000001</v>
      </c>
      <c r="Q919" s="10">
        <f>CHOOSE(CONTROL!$C$42, 33.901, 33.901) * CHOOSE(CONTROL!$C$21, $C$9, 100%, $E$9)</f>
        <v>33.901000000000003</v>
      </c>
      <c r="R919" s="10">
        <f>CHOOSE(CONTROL!$C$42, 34.5727, 34.5727) * CHOOSE(CONTROL!$C$21, $C$9, 100%, $E$9)</f>
        <v>34.572699999999998</v>
      </c>
      <c r="S919" s="10">
        <f>CHOOSE(CONTROL!$C$42, 32.4563, 32.4563) * CHOOSE(CONTROL!$C$21, $C$9, 100%, $E$9)</f>
        <v>32.456299999999999</v>
      </c>
      <c r="T9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38">
        <f>(1000*CHOOSE(CONTROL!$C$42, 695, 695)*CHOOSE(CONTROL!$C$42, 0.5599, 0.5599)*CHOOSE(CONTROL!$C$42, 31, 31))/1000000</f>
        <v>12.063045499999998</v>
      </c>
      <c r="V919" s="38">
        <f>(1000*CHOOSE(CONTROL!$C$42, 500, 500)*CHOOSE(CONTROL!$C$42, 0.275, 0.275)*CHOOSE(CONTROL!$C$42, 31, 31))/1000000</f>
        <v>4.2625000000000002</v>
      </c>
      <c r="W919" s="38">
        <f>(1000*CHOOSE(CONTROL!$C$42, 0.1146, 0.1146)*CHOOSE(CONTROL!$C$42, 121.5, 121.5)*CHOOSE(CONTROL!$C$42, 31, 31))/1000000</f>
        <v>0.43164089999999994</v>
      </c>
      <c r="X919" s="38">
        <f>(31*0.1790888*245000/1000000)+(31*0.2374*100000/1000000)</f>
        <v>2.0961194359999999</v>
      </c>
      <c r="Y919" s="38">
        <f>(1000*600*CHOOSE(CONTROL!$C$42, 1.0585, 1.0585)*CHOOSE(CONTROL!$C$42, 31, 31))/1000000</f>
        <v>19.688099999999999</v>
      </c>
      <c r="Z919" s="38"/>
      <c r="AA919" s="10"/>
      <c r="AB919" s="39"/>
      <c r="AC919" s="33">
        <f>(B919*194.205+C919*267.466+D919*133.845+E919*53.484+F919*40+G919*185+H919*0+I919*100+J919*300)/(194.205+267.466+133.845+53.484+0+40+185+100+300)</f>
        <v>33.441338591758239</v>
      </c>
      <c r="AD919" s="27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33.176425179856118</v>
      </c>
    </row>
    <row r="920" spans="1:30" ht="15.75" x14ac:dyDescent="0.25">
      <c r="A920" s="13">
        <v>69276</v>
      </c>
      <c r="B920" s="10">
        <f>CHOOSE(CONTROL!$C$42, 31.7757, 31.7757) * CHOOSE(CONTROL!$C$21, $C$9, 100%, $E$9)</f>
        <v>31.775700000000001</v>
      </c>
      <c r="C920" s="10">
        <f>CHOOSE(CONTROL!$C$42, 31.7836, 31.7836) * CHOOSE(CONTROL!$C$21, $C$9, 100%, $E$9)</f>
        <v>31.7836</v>
      </c>
      <c r="D920" s="10">
        <f>CHOOSE(CONTROL!$C$42, 31.9606, 31.9606) * CHOOSE(CONTROL!$C$21, $C$9, 100%, $E$9)</f>
        <v>31.960599999999999</v>
      </c>
      <c r="E920" s="10">
        <f>CHOOSE(CONTROL!$C$42, 31.9918, 31.9918) * CHOOSE(CONTROL!$C$21, $C$9, 100%, $E$9)</f>
        <v>31.991800000000001</v>
      </c>
      <c r="F920" s="10">
        <f>CHOOSE(CONTROL!$C$42, 31.7395, 31.7395)*CHOOSE(CONTROL!$C$21, $C$9, 100%, $E$9)</f>
        <v>31.7395</v>
      </c>
      <c r="G920" s="10">
        <f>CHOOSE(CONTROL!$C$42, 31.7562, 31.7562)*CHOOSE(CONTROL!$C$21, $C$9, 100%, $E$9)</f>
        <v>31.7562</v>
      </c>
      <c r="H920" s="10">
        <f>CHOOSE(CONTROL!$C$42, 31.9804, 31.9804) * CHOOSE(CONTROL!$C$21, $C$9, 100%, $E$9)</f>
        <v>31.980399999999999</v>
      </c>
      <c r="I920" s="10">
        <f>CHOOSE(CONTROL!$C$42, 31.7603, 31.7603)* CHOOSE(CONTROL!$C$21, $C$9, 100%, $E$9)</f>
        <v>31.760300000000001</v>
      </c>
      <c r="J920" s="10">
        <f>CHOOSE(CONTROL!$C$42, 31.7325, 31.7325)* CHOOSE(CONTROL!$C$21, $C$9, 100%, $E$9)</f>
        <v>31.732500000000002</v>
      </c>
      <c r="K920" s="10">
        <f>CHOOSE(CONTROL!$C$42, 30.9934, 30.9934) * CHOOSE(CONTROL!$C$21, $C$9, 100%, $E$9)</f>
        <v>30.993400000000001</v>
      </c>
      <c r="L920" s="10">
        <f>CHOOSE(CONTROL!$C$42, 32.5674, 32.5674) * CHOOSE(CONTROL!$C$21, $C$9, 100%, $E$9)</f>
        <v>32.567399999999999</v>
      </c>
      <c r="M920" s="10">
        <f>CHOOSE(CONTROL!$C$42, 31.4261, 31.4261) * CHOOSE(CONTROL!$C$21, $C$9, 100%, $E$9)</f>
        <v>31.426100000000002</v>
      </c>
      <c r="N920" s="10">
        <f>CHOOSE(CONTROL!$C$42, 31.4426, 31.4426) * CHOOSE(CONTROL!$C$21, $C$9, 100%, $E$9)</f>
        <v>31.442599999999999</v>
      </c>
      <c r="O920" s="10">
        <f>CHOOSE(CONTROL!$C$42, 31.6715, 31.6715) * CHOOSE(CONTROL!$C$21, $C$9, 100%, $E$9)</f>
        <v>31.671500000000002</v>
      </c>
      <c r="P920" s="10">
        <f>CHOOSE(CONTROL!$C$42, 31.4537, 31.4537) * CHOOSE(CONTROL!$C$21, $C$9, 100%, $E$9)</f>
        <v>31.453700000000001</v>
      </c>
      <c r="Q920" s="10">
        <f>CHOOSE(CONTROL!$C$42, 32.2668, 32.2668) * CHOOSE(CONTROL!$C$21, $C$9, 100%, $E$9)</f>
        <v>32.266800000000003</v>
      </c>
      <c r="R920" s="10">
        <f>CHOOSE(CONTROL!$C$42, 32.9344, 32.9344) * CHOOSE(CONTROL!$C$21, $C$9, 100%, $E$9)</f>
        <v>32.934399999999997</v>
      </c>
      <c r="S920" s="10">
        <f>CHOOSE(CONTROL!$C$42, 30.8531, 30.8531) * CHOOSE(CONTROL!$C$21, $C$9, 100%, $E$9)</f>
        <v>30.853100000000001</v>
      </c>
      <c r="T9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38">
        <f>(1000*CHOOSE(CONTROL!$C$42, 695, 695)*CHOOSE(CONTROL!$C$42, 0.5599, 0.5599)*CHOOSE(CONTROL!$C$42, 31, 31))/1000000</f>
        <v>12.063045499999998</v>
      </c>
      <c r="V920" s="38">
        <f>(1000*CHOOSE(CONTROL!$C$42, 500, 500)*CHOOSE(CONTROL!$C$42, 0.275, 0.275)*CHOOSE(CONTROL!$C$42, 31, 31))/1000000</f>
        <v>4.2625000000000002</v>
      </c>
      <c r="W920" s="38">
        <f>(1000*CHOOSE(CONTROL!$C$42, 0.1146, 0.1146)*CHOOSE(CONTROL!$C$42, 121.5, 121.5)*CHOOSE(CONTROL!$C$42, 31, 31))/1000000</f>
        <v>0.43164089999999994</v>
      </c>
      <c r="X920" s="38">
        <f>(31*0.1790888*245000/1000000)+(31*0.2374*100000/1000000)</f>
        <v>2.0961194359999999</v>
      </c>
      <c r="Y920" s="38">
        <f>(1000*600*CHOOSE(CONTROL!$C$42, 1.0585, 1.0585)*CHOOSE(CONTROL!$C$42, 31, 31))/1000000</f>
        <v>19.688099999999999</v>
      </c>
      <c r="Z920" s="38"/>
      <c r="AA920" s="10"/>
      <c r="AB920" s="39"/>
      <c r="AC920" s="33">
        <f>(B920*194.205+C920*267.466+D920*133.845+E920*53.484+F920*40+G920*185+H920*0+I920*100+J920*300)/(194.205+267.466+133.845+53.484+0+40+185+100+300)</f>
        <v>31.790506369152283</v>
      </c>
      <c r="AD920" s="27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31.542245323741007</v>
      </c>
    </row>
    <row r="921" spans="1:30" ht="15.75" x14ac:dyDescent="0.25">
      <c r="A921" s="13">
        <v>69306</v>
      </c>
      <c r="B921" s="10">
        <f>CHOOSE(CONTROL!$C$42, 29.7587, 29.7587) * CHOOSE(CONTROL!$C$21, $C$9, 100%, $E$9)</f>
        <v>29.758700000000001</v>
      </c>
      <c r="C921" s="10">
        <f>CHOOSE(CONTROL!$C$42, 29.7666, 29.7666) * CHOOSE(CONTROL!$C$21, $C$9, 100%, $E$9)</f>
        <v>29.7666</v>
      </c>
      <c r="D921" s="10">
        <f>CHOOSE(CONTROL!$C$42, 29.9436, 29.9436) * CHOOSE(CONTROL!$C$21, $C$9, 100%, $E$9)</f>
        <v>29.9436</v>
      </c>
      <c r="E921" s="10">
        <f>CHOOSE(CONTROL!$C$42, 29.9747, 29.9747) * CHOOSE(CONTROL!$C$21, $C$9, 100%, $E$9)</f>
        <v>29.974699999999999</v>
      </c>
      <c r="F921" s="10">
        <f>CHOOSE(CONTROL!$C$42, 29.7223, 29.7223)*CHOOSE(CONTROL!$C$21, $C$9, 100%, $E$9)</f>
        <v>29.722300000000001</v>
      </c>
      <c r="G921" s="10">
        <f>CHOOSE(CONTROL!$C$42, 29.7388, 29.7388)*CHOOSE(CONTROL!$C$21, $C$9, 100%, $E$9)</f>
        <v>29.738800000000001</v>
      </c>
      <c r="H921" s="10">
        <f>CHOOSE(CONTROL!$C$42, 29.9634, 29.9634) * CHOOSE(CONTROL!$C$21, $C$9, 100%, $E$9)</f>
        <v>29.9634</v>
      </c>
      <c r="I921" s="10">
        <f>CHOOSE(CONTROL!$C$42, 29.7433, 29.7433)* CHOOSE(CONTROL!$C$21, $C$9, 100%, $E$9)</f>
        <v>29.743300000000001</v>
      </c>
      <c r="J921" s="10">
        <f>CHOOSE(CONTROL!$C$42, 29.7153, 29.7153)* CHOOSE(CONTROL!$C$21, $C$9, 100%, $E$9)</f>
        <v>29.715299999999999</v>
      </c>
      <c r="K921" s="10">
        <f>CHOOSE(CONTROL!$C$42, 29.0331, 29.0331) * CHOOSE(CONTROL!$C$21, $C$9, 100%, $E$9)</f>
        <v>29.033100000000001</v>
      </c>
      <c r="L921" s="10">
        <f>CHOOSE(CONTROL!$C$42, 30.5504, 30.5504) * CHOOSE(CONTROL!$C$21, $C$9, 100%, $E$9)</f>
        <v>30.5504</v>
      </c>
      <c r="M921" s="10">
        <f>CHOOSE(CONTROL!$C$42, 29.4292, 29.4292) * CHOOSE(CONTROL!$C$21, $C$9, 100%, $E$9)</f>
        <v>29.429200000000002</v>
      </c>
      <c r="N921" s="10">
        <f>CHOOSE(CONTROL!$C$42, 29.4456, 29.4456) * CHOOSE(CONTROL!$C$21, $C$9, 100%, $E$9)</f>
        <v>29.445599999999999</v>
      </c>
      <c r="O921" s="10">
        <f>CHOOSE(CONTROL!$C$42, 29.6748, 29.6748) * CHOOSE(CONTROL!$C$21, $C$9, 100%, $E$9)</f>
        <v>29.674800000000001</v>
      </c>
      <c r="P921" s="10">
        <f>CHOOSE(CONTROL!$C$42, 29.457, 29.457) * CHOOSE(CONTROL!$C$21, $C$9, 100%, $E$9)</f>
        <v>29.457000000000001</v>
      </c>
      <c r="Q921" s="10">
        <f>CHOOSE(CONTROL!$C$42, 30.2701, 30.2701) * CHOOSE(CONTROL!$C$21, $C$9, 100%, $E$9)</f>
        <v>30.270099999999999</v>
      </c>
      <c r="R921" s="10">
        <f>CHOOSE(CONTROL!$C$42, 30.9328, 30.9328) * CHOOSE(CONTROL!$C$21, $C$9, 100%, $E$9)</f>
        <v>30.9328</v>
      </c>
      <c r="S921" s="10">
        <f>CHOOSE(CONTROL!$C$42, 28.8944, 28.8944) * CHOOSE(CONTROL!$C$21, $C$9, 100%, $E$9)</f>
        <v>28.894400000000001</v>
      </c>
      <c r="T9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38">
        <f>(1000*CHOOSE(CONTROL!$C$42, 695, 695)*CHOOSE(CONTROL!$C$42, 0.5599, 0.5599)*CHOOSE(CONTROL!$C$42, 30, 30))/1000000</f>
        <v>11.673914999999997</v>
      </c>
      <c r="V921" s="38">
        <f>(1000*CHOOSE(CONTROL!$C$42, 500, 500)*CHOOSE(CONTROL!$C$42, 0.275, 0.275)*CHOOSE(CONTROL!$C$42, 30, 30))/1000000</f>
        <v>4.125</v>
      </c>
      <c r="W921" s="38">
        <f>(1000*CHOOSE(CONTROL!$C$42, 0.1146, 0.1146)*CHOOSE(CONTROL!$C$42, 121.5, 121.5)*CHOOSE(CONTROL!$C$42, 30, 30))/1000000</f>
        <v>0.417717</v>
      </c>
      <c r="X921" s="38">
        <f>(30*0.1790888*245000/1000000)+(30*0.2374*100000/1000000)</f>
        <v>2.0285026799999999</v>
      </c>
      <c r="Y921" s="38">
        <f>(1000*600*CHOOSE(CONTROL!$C$42, 1.0585, 1.0585)*CHOOSE(CONTROL!$C$42, 30, 30))/1000000</f>
        <v>19.053000000000001</v>
      </c>
      <c r="Z921" s="38"/>
      <c r="AA921" s="10"/>
      <c r="AB921" s="39"/>
      <c r="AC921" s="33">
        <f>(B921*194.205+C921*267.466+D921*133.845+E921*53.484+F921*40+G921*185+H921*0+I921*100+J921*300)/(194.205+267.466+133.845+53.484+0+40+185+100+300)</f>
        <v>29.773390711067499</v>
      </c>
      <c r="AD921" s="27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29.545458992805756</v>
      </c>
    </row>
    <row r="922" spans="1:30" ht="15.75" x14ac:dyDescent="0.25">
      <c r="A922" s="13">
        <v>69337</v>
      </c>
      <c r="B922" s="10">
        <f>CHOOSE(CONTROL!$C$42, 29.1524, 29.1524) * CHOOSE(CONTROL!$C$21, $C$9, 100%, $E$9)</f>
        <v>29.1524</v>
      </c>
      <c r="C922" s="10">
        <f>CHOOSE(CONTROL!$C$42, 29.1576, 29.1576) * CHOOSE(CONTROL!$C$21, $C$9, 100%, $E$9)</f>
        <v>29.157599999999999</v>
      </c>
      <c r="D922" s="10">
        <f>CHOOSE(CONTROL!$C$42, 29.3396, 29.3396) * CHOOSE(CONTROL!$C$21, $C$9, 100%, $E$9)</f>
        <v>29.339600000000001</v>
      </c>
      <c r="E922" s="10">
        <f>CHOOSE(CONTROL!$C$42, 29.3684, 29.3684) * CHOOSE(CONTROL!$C$21, $C$9, 100%, $E$9)</f>
        <v>29.368400000000001</v>
      </c>
      <c r="F922" s="10">
        <f>CHOOSE(CONTROL!$C$42, 29.118, 29.118)*CHOOSE(CONTROL!$C$21, $C$9, 100%, $E$9)</f>
        <v>29.117999999999999</v>
      </c>
      <c r="G922" s="10">
        <f>CHOOSE(CONTROL!$C$42, 29.1343, 29.1343)*CHOOSE(CONTROL!$C$21, $C$9, 100%, $E$9)</f>
        <v>29.1343</v>
      </c>
      <c r="H922" s="10">
        <f>CHOOSE(CONTROL!$C$42, 29.3589, 29.3589) * CHOOSE(CONTROL!$C$21, $C$9, 100%, $E$9)</f>
        <v>29.358899999999998</v>
      </c>
      <c r="I922" s="10">
        <f>CHOOSE(CONTROL!$C$42, 29.1388, 29.1388)* CHOOSE(CONTROL!$C$21, $C$9, 100%, $E$9)</f>
        <v>29.1388</v>
      </c>
      <c r="J922" s="10">
        <f>CHOOSE(CONTROL!$C$42, 29.111, 29.111)* CHOOSE(CONTROL!$C$21, $C$9, 100%, $E$9)</f>
        <v>29.111000000000001</v>
      </c>
      <c r="K922" s="10">
        <f>CHOOSE(CONTROL!$C$42, 28.4463, 28.4463) * CHOOSE(CONTROL!$C$21, $C$9, 100%, $E$9)</f>
        <v>28.446300000000001</v>
      </c>
      <c r="L922" s="10">
        <f>CHOOSE(CONTROL!$C$42, 29.9459, 29.9459) * CHOOSE(CONTROL!$C$21, $C$9, 100%, $E$9)</f>
        <v>29.945900000000002</v>
      </c>
      <c r="M922" s="10">
        <f>CHOOSE(CONTROL!$C$42, 28.8311, 28.8311) * CHOOSE(CONTROL!$C$21, $C$9, 100%, $E$9)</f>
        <v>28.831099999999999</v>
      </c>
      <c r="N922" s="10">
        <f>CHOOSE(CONTROL!$C$42, 28.8472, 28.8472) * CHOOSE(CONTROL!$C$21, $C$9, 100%, $E$9)</f>
        <v>28.847200000000001</v>
      </c>
      <c r="O922" s="10">
        <f>CHOOSE(CONTROL!$C$42, 29.0764, 29.0764) * CHOOSE(CONTROL!$C$21, $C$9, 100%, $E$9)</f>
        <v>29.0764</v>
      </c>
      <c r="P922" s="10">
        <f>CHOOSE(CONTROL!$C$42, 28.8586, 28.8586) * CHOOSE(CONTROL!$C$21, $C$9, 100%, $E$9)</f>
        <v>28.858599999999999</v>
      </c>
      <c r="Q922" s="10">
        <f>CHOOSE(CONTROL!$C$42, 29.6717, 29.6717) * CHOOSE(CONTROL!$C$21, $C$9, 100%, $E$9)</f>
        <v>29.671700000000001</v>
      </c>
      <c r="R922" s="10">
        <f>CHOOSE(CONTROL!$C$42, 30.3329, 30.3329) * CHOOSE(CONTROL!$C$21, $C$9, 100%, $E$9)</f>
        <v>30.332899999999999</v>
      </c>
      <c r="S922" s="10">
        <f>CHOOSE(CONTROL!$C$42, 28.3074, 28.3074) * CHOOSE(CONTROL!$C$21, $C$9, 100%, $E$9)</f>
        <v>28.307400000000001</v>
      </c>
      <c r="T9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38">
        <f>(1000*CHOOSE(CONTROL!$C$42, 695, 695)*CHOOSE(CONTROL!$C$42, 0.5599, 0.5599)*CHOOSE(CONTROL!$C$42, 31, 31))/1000000</f>
        <v>12.063045499999998</v>
      </c>
      <c r="V922" s="38">
        <f>(1000*CHOOSE(CONTROL!$C$42, 500, 500)*CHOOSE(CONTROL!$C$42, 0.275, 0.275)*CHOOSE(CONTROL!$C$42, 31, 31))/1000000</f>
        <v>4.2625000000000002</v>
      </c>
      <c r="W922" s="38">
        <f>(1000*CHOOSE(CONTROL!$C$42, 0.1146, 0.1146)*CHOOSE(CONTROL!$C$42, 121.5, 121.5)*CHOOSE(CONTROL!$C$42, 31, 31))/1000000</f>
        <v>0.43164089999999994</v>
      </c>
      <c r="X922" s="38">
        <f>(31*0.1790888*245000/1000000)+(31*0.2374*100000/1000000)</f>
        <v>2.0961194359999999</v>
      </c>
      <c r="Y922" s="38">
        <f>(1000*600*CHOOSE(CONTROL!$C$42, 1.0585, 1.0585)*CHOOSE(CONTROL!$C$42, 31, 31))/1000000</f>
        <v>19.688099999999999</v>
      </c>
      <c r="Z922" s="38"/>
      <c r="AA922" s="10"/>
      <c r="AB922" s="39"/>
      <c r="AC922" s="33">
        <f>(B922*131.881+C922*277.167+D922*79.08+E922*125.872+F922*40+G922*185+H922*0+I922*100+J922*300)/(131.881+277.167+79.08+125.872+0+40+185+100+300)</f>
        <v>29.172520174656984</v>
      </c>
      <c r="AD922" s="27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28.947162589928059</v>
      </c>
    </row>
    <row r="923" spans="1:30" ht="15.75" x14ac:dyDescent="0.25">
      <c r="A923" s="13">
        <v>69367</v>
      </c>
      <c r="B923" s="10">
        <f>CHOOSE(CONTROL!$C$42, 29.9199, 29.9199) * CHOOSE(CONTROL!$C$21, $C$9, 100%, $E$9)</f>
        <v>29.919899999999998</v>
      </c>
      <c r="C923" s="10">
        <f>CHOOSE(CONTROL!$C$42, 29.9249, 29.9249) * CHOOSE(CONTROL!$C$21, $C$9, 100%, $E$9)</f>
        <v>29.924900000000001</v>
      </c>
      <c r="D923" s="10">
        <f>CHOOSE(CONTROL!$C$42, 29.9494, 29.9494) * CHOOSE(CONTROL!$C$21, $C$9, 100%, $E$9)</f>
        <v>29.949400000000001</v>
      </c>
      <c r="E923" s="10">
        <f>CHOOSE(CONTROL!$C$42, 29.9831, 29.9831) * CHOOSE(CONTROL!$C$21, $C$9, 100%, $E$9)</f>
        <v>29.9831</v>
      </c>
      <c r="F923" s="10">
        <f>CHOOSE(CONTROL!$C$42, 29.8893, 29.8893)*CHOOSE(CONTROL!$C$21, $C$9, 100%, $E$9)</f>
        <v>29.889299999999999</v>
      </c>
      <c r="G923" s="10">
        <f>CHOOSE(CONTROL!$C$42, 29.9057, 29.9057)*CHOOSE(CONTROL!$C$21, $C$9, 100%, $E$9)</f>
        <v>29.9057</v>
      </c>
      <c r="H923" s="10">
        <f>CHOOSE(CONTROL!$C$42, 29.9723, 29.9723) * CHOOSE(CONTROL!$C$21, $C$9, 100%, $E$9)</f>
        <v>29.972300000000001</v>
      </c>
      <c r="I923" s="10">
        <f>CHOOSE(CONTROL!$C$42, 29.9067, 29.9067)* CHOOSE(CONTROL!$C$21, $C$9, 100%, $E$9)</f>
        <v>29.906700000000001</v>
      </c>
      <c r="J923" s="10">
        <f>CHOOSE(CONTROL!$C$42, 29.8823, 29.8823)* CHOOSE(CONTROL!$C$21, $C$9, 100%, $E$9)</f>
        <v>29.882300000000001</v>
      </c>
      <c r="K923" s="10">
        <f>CHOOSE(CONTROL!$C$42, 29.194, 29.194) * CHOOSE(CONTROL!$C$21, $C$9, 100%, $E$9)</f>
        <v>29.193999999999999</v>
      </c>
      <c r="L923" s="10">
        <f>CHOOSE(CONTROL!$C$42, 30.5593, 30.5593) * CHOOSE(CONTROL!$C$21, $C$9, 100%, $E$9)</f>
        <v>30.5593</v>
      </c>
      <c r="M923" s="10">
        <f>CHOOSE(CONTROL!$C$42, 29.5945, 29.5945) * CHOOSE(CONTROL!$C$21, $C$9, 100%, $E$9)</f>
        <v>29.5945</v>
      </c>
      <c r="N923" s="10">
        <f>CHOOSE(CONTROL!$C$42, 29.6108, 29.6108) * CHOOSE(CONTROL!$C$21, $C$9, 100%, $E$9)</f>
        <v>29.610800000000001</v>
      </c>
      <c r="O923" s="10">
        <f>CHOOSE(CONTROL!$C$42, 29.6837, 29.6837) * CHOOSE(CONTROL!$C$21, $C$9, 100%, $E$9)</f>
        <v>29.683700000000002</v>
      </c>
      <c r="P923" s="10">
        <f>CHOOSE(CONTROL!$C$42, 29.6188, 29.6188) * CHOOSE(CONTROL!$C$21, $C$9, 100%, $E$9)</f>
        <v>29.6188</v>
      </c>
      <c r="Q923" s="10">
        <f>CHOOSE(CONTROL!$C$42, 30.279, 30.279) * CHOOSE(CONTROL!$C$21, $C$9, 100%, $E$9)</f>
        <v>30.279</v>
      </c>
      <c r="R923" s="10">
        <f>CHOOSE(CONTROL!$C$42, 30.9417, 30.9417) * CHOOSE(CONTROL!$C$21, $C$9, 100%, $E$9)</f>
        <v>30.941700000000001</v>
      </c>
      <c r="S923" s="10">
        <f>CHOOSE(CONTROL!$C$42, 29.0531, 29.0531) * CHOOSE(CONTROL!$C$21, $C$9, 100%, $E$9)</f>
        <v>29.053100000000001</v>
      </c>
      <c r="T9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38">
        <f>(1000*CHOOSE(CONTROL!$C$42, 695, 695)*CHOOSE(CONTROL!$C$42, 0.5599, 0.5599)*CHOOSE(CONTROL!$C$42, 30, 30))/1000000</f>
        <v>11.673914999999997</v>
      </c>
      <c r="V923" s="38">
        <f>(1000*CHOOSE(CONTROL!$C$42, 500, 500)*CHOOSE(CONTROL!$C$42, 0.275, 0.275)*CHOOSE(CONTROL!$C$42, 30, 30))/1000000</f>
        <v>4.125</v>
      </c>
      <c r="W923" s="38">
        <f>(1000*CHOOSE(CONTROL!$C$42, 0.1146, 0.1146)*CHOOSE(CONTROL!$C$42, 121.5, 121.5)*CHOOSE(CONTROL!$C$42, 30, 30))/1000000</f>
        <v>0.417717</v>
      </c>
      <c r="X923" s="38">
        <f>(30*0.1790888*100000/1000000)+(30*0.2374*100000/1000000)</f>
        <v>1.2494664</v>
      </c>
      <c r="Y923" s="38">
        <f>(1000*600*CHOOSE(CONTROL!$C$42, 1.0585, 1.0585)*CHOOSE(CONTROL!$C$42, 30, 30))/1000000</f>
        <v>19.053000000000001</v>
      </c>
      <c r="Z923" s="38"/>
      <c r="AA923" s="10"/>
      <c r="AB923" s="39"/>
      <c r="AC923" s="33">
        <f>(B923*122.58+C923*297.941+D923*89.177+E923*40.302+F923*40+G923*160+H923*0+I923*100+J923*300)/(122.58+297.941+89.177+40.302+0+40+160+100+300)</f>
        <v>29.911701315565221</v>
      </c>
      <c r="AD923" s="27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29.639363309352522</v>
      </c>
    </row>
    <row r="924" spans="1:30" ht="15.75" x14ac:dyDescent="0.25">
      <c r="A924" s="13">
        <v>69398</v>
      </c>
      <c r="B924" s="10">
        <f>CHOOSE(CONTROL!$C$42, 31.9597, 31.9597) * CHOOSE(CONTROL!$C$21, $C$9, 100%, $E$9)</f>
        <v>31.959700000000002</v>
      </c>
      <c r="C924" s="10">
        <f>CHOOSE(CONTROL!$C$42, 31.9646, 31.9646) * CHOOSE(CONTROL!$C$21, $C$9, 100%, $E$9)</f>
        <v>31.964600000000001</v>
      </c>
      <c r="D924" s="10">
        <f>CHOOSE(CONTROL!$C$42, 31.9891, 31.9891) * CHOOSE(CONTROL!$C$21, $C$9, 100%, $E$9)</f>
        <v>31.989100000000001</v>
      </c>
      <c r="E924" s="10">
        <f>CHOOSE(CONTROL!$C$42, 32.0229, 32.0229) * CHOOSE(CONTROL!$C$21, $C$9, 100%, $E$9)</f>
        <v>32.0229</v>
      </c>
      <c r="F924" s="10">
        <f>CHOOSE(CONTROL!$C$42, 31.9313, 31.9313)*CHOOSE(CONTROL!$C$21, $C$9, 100%, $E$9)</f>
        <v>31.9313</v>
      </c>
      <c r="G924" s="10">
        <f>CHOOSE(CONTROL!$C$42, 31.9483, 31.9483)*CHOOSE(CONTROL!$C$21, $C$9, 100%, $E$9)</f>
        <v>31.9483</v>
      </c>
      <c r="H924" s="10">
        <f>CHOOSE(CONTROL!$C$42, 32.012, 32.012) * CHOOSE(CONTROL!$C$21, $C$9, 100%, $E$9)</f>
        <v>32.012</v>
      </c>
      <c r="I924" s="10">
        <f>CHOOSE(CONTROL!$C$42, 31.9464, 31.9464)* CHOOSE(CONTROL!$C$21, $C$9, 100%, $E$9)</f>
        <v>31.946400000000001</v>
      </c>
      <c r="J924" s="10">
        <f>CHOOSE(CONTROL!$C$42, 31.9243, 31.9243)* CHOOSE(CONTROL!$C$21, $C$9, 100%, $E$9)</f>
        <v>31.924299999999999</v>
      </c>
      <c r="K924" s="10">
        <f>CHOOSE(CONTROL!$C$42, 31.1807, 31.1807) * CHOOSE(CONTROL!$C$21, $C$9, 100%, $E$9)</f>
        <v>31.180700000000002</v>
      </c>
      <c r="L924" s="10">
        <f>CHOOSE(CONTROL!$C$42, 32.599, 32.599) * CHOOSE(CONTROL!$C$21, $C$9, 100%, $E$9)</f>
        <v>32.598999999999997</v>
      </c>
      <c r="M924" s="10">
        <f>CHOOSE(CONTROL!$C$42, 31.6159, 31.6159) * CHOOSE(CONTROL!$C$21, $C$9, 100%, $E$9)</f>
        <v>31.6159</v>
      </c>
      <c r="N924" s="10">
        <f>CHOOSE(CONTROL!$C$42, 31.6328, 31.6328) * CHOOSE(CONTROL!$C$21, $C$9, 100%, $E$9)</f>
        <v>31.6328</v>
      </c>
      <c r="O924" s="10">
        <f>CHOOSE(CONTROL!$C$42, 31.7028, 31.7028) * CHOOSE(CONTROL!$C$21, $C$9, 100%, $E$9)</f>
        <v>31.7028</v>
      </c>
      <c r="P924" s="10">
        <f>CHOOSE(CONTROL!$C$42, 31.6379, 31.6379) * CHOOSE(CONTROL!$C$21, $C$9, 100%, $E$9)</f>
        <v>31.637899999999998</v>
      </c>
      <c r="Q924" s="10">
        <f>CHOOSE(CONTROL!$C$42, 32.2981, 32.2981) * CHOOSE(CONTROL!$C$21, $C$9, 100%, $E$9)</f>
        <v>32.298099999999998</v>
      </c>
      <c r="R924" s="10">
        <f>CHOOSE(CONTROL!$C$42, 32.9659, 32.9659) * CHOOSE(CONTROL!$C$21, $C$9, 100%, $E$9)</f>
        <v>32.965899999999998</v>
      </c>
      <c r="S924" s="10">
        <f>CHOOSE(CONTROL!$C$42, 31.0339, 31.0339) * CHOOSE(CONTROL!$C$21, $C$9, 100%, $E$9)</f>
        <v>31.033899999999999</v>
      </c>
      <c r="T9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38">
        <f>(1000*CHOOSE(CONTROL!$C$42, 695, 695)*CHOOSE(CONTROL!$C$42, 0.5599, 0.5599)*CHOOSE(CONTROL!$C$42, 31, 31))/1000000</f>
        <v>12.063045499999998</v>
      </c>
      <c r="V924" s="38">
        <f>(1000*CHOOSE(CONTROL!$C$42, 500, 500)*CHOOSE(CONTROL!$C$42, 0.275, 0.275)*CHOOSE(CONTROL!$C$42, 31, 31))/1000000</f>
        <v>4.2625000000000002</v>
      </c>
      <c r="W924" s="38">
        <f>(1000*CHOOSE(CONTROL!$C$42, 0.1146, 0.1146)*CHOOSE(CONTROL!$C$42, 121.5, 121.5)*CHOOSE(CONTROL!$C$42, 31, 31))/1000000</f>
        <v>0.43164089999999994</v>
      </c>
      <c r="X924" s="38">
        <f>(31*0.1790888*100000/1000000)+(31*0.2374*100000/1000000)</f>
        <v>1.2911152800000001</v>
      </c>
      <c r="Y924" s="38">
        <f>(1000*600*CHOOSE(CONTROL!$C$42, 1.0585, 1.0585)*CHOOSE(CONTROL!$C$42, 31, 31))/1000000</f>
        <v>19.688099999999999</v>
      </c>
      <c r="Z924" s="38"/>
      <c r="AA924" s="10"/>
      <c r="AB924" s="39"/>
      <c r="AC924" s="33">
        <f>(B924*122.58+C924*297.941+D924*89.177+E924*40.302+F924*40+G924*160+H924*0+I924*100+J924*300)/(122.58+297.941+89.177+40.302+0+40+160+100+300)</f>
        <v>31.952498957478255</v>
      </c>
      <c r="AD924" s="27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31.659424460431659</v>
      </c>
    </row>
    <row r="925" spans="1:30" ht="15.75" x14ac:dyDescent="0.25">
      <c r="A925" s="13">
        <v>69429</v>
      </c>
      <c r="B925" s="10">
        <f>CHOOSE(CONTROL!$C$42, 34.1166, 34.1166) * CHOOSE(CONTROL!$C$21, $C$9, 100%, $E$9)</f>
        <v>34.116599999999998</v>
      </c>
      <c r="C925" s="10">
        <f>CHOOSE(CONTROL!$C$42, 34.1215, 34.1215) * CHOOSE(CONTROL!$C$21, $C$9, 100%, $E$9)</f>
        <v>34.121499999999997</v>
      </c>
      <c r="D925" s="10">
        <f>CHOOSE(CONTROL!$C$42, 34.146, 34.146) * CHOOSE(CONTROL!$C$21, $C$9, 100%, $E$9)</f>
        <v>34.146000000000001</v>
      </c>
      <c r="E925" s="10">
        <f>CHOOSE(CONTROL!$C$42, 34.1797, 34.1797) * CHOOSE(CONTROL!$C$21, $C$9, 100%, $E$9)</f>
        <v>34.179699999999997</v>
      </c>
      <c r="F925" s="10">
        <f>CHOOSE(CONTROL!$C$42, 34.0995, 34.0995)*CHOOSE(CONTROL!$C$21, $C$9, 100%, $E$9)</f>
        <v>34.099499999999999</v>
      </c>
      <c r="G925" s="10">
        <f>CHOOSE(CONTROL!$C$42, 34.1182, 34.1182)*CHOOSE(CONTROL!$C$21, $C$9, 100%, $E$9)</f>
        <v>34.118200000000002</v>
      </c>
      <c r="H925" s="10">
        <f>CHOOSE(CONTROL!$C$42, 34.1689, 34.1689) * CHOOSE(CONTROL!$C$21, $C$9, 100%, $E$9)</f>
        <v>34.168900000000001</v>
      </c>
      <c r="I925" s="10">
        <f>CHOOSE(CONTROL!$C$42, 34.111, 34.111)* CHOOSE(CONTROL!$C$21, $C$9, 100%, $E$9)</f>
        <v>34.110999999999997</v>
      </c>
      <c r="J925" s="10">
        <f>CHOOSE(CONTROL!$C$42, 34.0925, 34.0925)* CHOOSE(CONTROL!$C$21, $C$9, 100%, $E$9)</f>
        <v>34.092500000000001</v>
      </c>
      <c r="K925" s="10">
        <f>CHOOSE(CONTROL!$C$42, 33.2973, 33.2973) * CHOOSE(CONTROL!$C$21, $C$9, 100%, $E$9)</f>
        <v>33.2973</v>
      </c>
      <c r="L925" s="10">
        <f>CHOOSE(CONTROL!$C$42, 34.7559, 34.7559) * CHOOSE(CONTROL!$C$21, $C$9, 100%, $E$9)</f>
        <v>34.755899999999997</v>
      </c>
      <c r="M925" s="10">
        <f>CHOOSE(CONTROL!$C$42, 33.7623, 33.7623) * CHOOSE(CONTROL!$C$21, $C$9, 100%, $E$9)</f>
        <v>33.762300000000003</v>
      </c>
      <c r="N925" s="10">
        <f>CHOOSE(CONTROL!$C$42, 33.7807, 33.7807) * CHOOSE(CONTROL!$C$21, $C$9, 100%, $E$9)</f>
        <v>33.780700000000003</v>
      </c>
      <c r="O925" s="10">
        <f>CHOOSE(CONTROL!$C$42, 33.8379, 33.8379) * CHOOSE(CONTROL!$C$21, $C$9, 100%, $E$9)</f>
        <v>33.837899999999998</v>
      </c>
      <c r="P925" s="10">
        <f>CHOOSE(CONTROL!$C$42, 33.7807, 33.7807) * CHOOSE(CONTROL!$C$21, $C$9, 100%, $E$9)</f>
        <v>33.780700000000003</v>
      </c>
      <c r="Q925" s="10">
        <f>CHOOSE(CONTROL!$C$42, 34.4332, 34.4332) * CHOOSE(CONTROL!$C$21, $C$9, 100%, $E$9)</f>
        <v>34.433199999999999</v>
      </c>
      <c r="R925" s="10">
        <f>CHOOSE(CONTROL!$C$42, 35.1063, 35.1063) * CHOOSE(CONTROL!$C$21, $C$9, 100%, $E$9)</f>
        <v>35.106299999999997</v>
      </c>
      <c r="S925" s="10">
        <f>CHOOSE(CONTROL!$C$42, 33.1285, 33.1285) * CHOOSE(CONTROL!$C$21, $C$9, 100%, $E$9)</f>
        <v>33.128500000000003</v>
      </c>
      <c r="T9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38">
        <f>(1000*CHOOSE(CONTROL!$C$42, 695, 695)*CHOOSE(CONTROL!$C$42, 0.5599, 0.5599)*CHOOSE(CONTROL!$C$42, 31, 31))/1000000</f>
        <v>12.063045499999998</v>
      </c>
      <c r="V925" s="38">
        <f>(1000*CHOOSE(CONTROL!$C$42, 500, 500)*CHOOSE(CONTROL!$C$42, 0.275, 0.275)*CHOOSE(CONTROL!$C$42, 31, 31))/1000000</f>
        <v>4.2625000000000002</v>
      </c>
      <c r="W925" s="38">
        <f>(1000*CHOOSE(CONTROL!$C$42, 0.1146, 0.1146)*CHOOSE(CONTROL!$C$42, 121.5, 121.5)*CHOOSE(CONTROL!$C$42, 31, 31))/1000000</f>
        <v>0.43164089999999994</v>
      </c>
      <c r="X925" s="38">
        <f>(31*0.1790888*100000/1000000)+(31*0.2374*100000/1000000)</f>
        <v>1.2911152800000001</v>
      </c>
      <c r="Y925" s="38">
        <f>(1000*600*CHOOSE(CONTROL!$C$42, 1.0585, 1.0585)*CHOOSE(CONTROL!$C$42, 31, 31))/1000000</f>
        <v>19.688099999999999</v>
      </c>
      <c r="Z925" s="38"/>
      <c r="AA925" s="10"/>
      <c r="AB925" s="39"/>
      <c r="AC925" s="33">
        <f>(B925*122.58+C925*297.941+D925*89.177+E925*40.302+F925*40+G925*160+H925*0+I925*100+J925*300)/(122.58+297.941+89.177+40.302+0+40+160+100+300)</f>
        <v>34.115214583391307</v>
      </c>
      <c r="AD925" s="27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33.800271223021575</v>
      </c>
    </row>
    <row r="926" spans="1:30" ht="15.75" x14ac:dyDescent="0.25">
      <c r="A926" s="13">
        <v>69457</v>
      </c>
      <c r="B926" s="10">
        <f>CHOOSE(CONTROL!$C$42, 34.7238, 34.7238) * CHOOSE(CONTROL!$C$21, $C$9, 100%, $E$9)</f>
        <v>34.723799999999997</v>
      </c>
      <c r="C926" s="10">
        <f>CHOOSE(CONTROL!$C$42, 34.7288, 34.7288) * CHOOSE(CONTROL!$C$21, $C$9, 100%, $E$9)</f>
        <v>34.7288</v>
      </c>
      <c r="D926" s="10">
        <f>CHOOSE(CONTROL!$C$42, 34.7532, 34.7532) * CHOOSE(CONTROL!$C$21, $C$9, 100%, $E$9)</f>
        <v>34.7532</v>
      </c>
      <c r="E926" s="10">
        <f>CHOOSE(CONTROL!$C$42, 34.787, 34.787) * CHOOSE(CONTROL!$C$21, $C$9, 100%, $E$9)</f>
        <v>34.786999999999999</v>
      </c>
      <c r="F926" s="10">
        <f>CHOOSE(CONTROL!$C$42, 34.7061, 34.7061)*CHOOSE(CONTROL!$C$21, $C$9, 100%, $E$9)</f>
        <v>34.706099999999999</v>
      </c>
      <c r="G926" s="10">
        <f>CHOOSE(CONTROL!$C$42, 34.7246, 34.7246)*CHOOSE(CONTROL!$C$21, $C$9, 100%, $E$9)</f>
        <v>34.724600000000002</v>
      </c>
      <c r="H926" s="10">
        <f>CHOOSE(CONTROL!$C$42, 34.7762, 34.7762) * CHOOSE(CONTROL!$C$21, $C$9, 100%, $E$9)</f>
        <v>34.776200000000003</v>
      </c>
      <c r="I926" s="10">
        <f>CHOOSE(CONTROL!$C$42, 34.7183, 34.7183)* CHOOSE(CONTROL!$C$21, $C$9, 100%, $E$9)</f>
        <v>34.718299999999999</v>
      </c>
      <c r="J926" s="10">
        <f>CHOOSE(CONTROL!$C$42, 34.6991, 34.6991)* CHOOSE(CONTROL!$C$21, $C$9, 100%, $E$9)</f>
        <v>34.699100000000001</v>
      </c>
      <c r="K926" s="10">
        <f>CHOOSE(CONTROL!$C$42, 33.8859, 33.8859) * CHOOSE(CONTROL!$C$21, $C$9, 100%, $E$9)</f>
        <v>33.885899999999999</v>
      </c>
      <c r="L926" s="10">
        <f>CHOOSE(CONTROL!$C$42, 35.3632, 35.3632) * CHOOSE(CONTROL!$C$21, $C$9, 100%, $E$9)</f>
        <v>35.363199999999999</v>
      </c>
      <c r="M926" s="10">
        <f>CHOOSE(CONTROL!$C$42, 34.3627, 34.3627) * CHOOSE(CONTROL!$C$21, $C$9, 100%, $E$9)</f>
        <v>34.362699999999997</v>
      </c>
      <c r="N926" s="10">
        <f>CHOOSE(CONTROL!$C$42, 34.381, 34.381) * CHOOSE(CONTROL!$C$21, $C$9, 100%, $E$9)</f>
        <v>34.381</v>
      </c>
      <c r="O926" s="10">
        <f>CHOOSE(CONTROL!$C$42, 34.4391, 34.4391) * CHOOSE(CONTROL!$C$21, $C$9, 100%, $E$9)</f>
        <v>34.439100000000003</v>
      </c>
      <c r="P926" s="10">
        <f>CHOOSE(CONTROL!$C$42, 34.3818, 34.3818) * CHOOSE(CONTROL!$C$21, $C$9, 100%, $E$9)</f>
        <v>34.381799999999998</v>
      </c>
      <c r="Q926" s="10">
        <f>CHOOSE(CONTROL!$C$42, 35.0344, 35.0344) * CHOOSE(CONTROL!$C$21, $C$9, 100%, $E$9)</f>
        <v>35.034399999999998</v>
      </c>
      <c r="R926" s="10">
        <f>CHOOSE(CONTROL!$C$42, 35.709, 35.709) * CHOOSE(CONTROL!$C$21, $C$9, 100%, $E$9)</f>
        <v>35.709000000000003</v>
      </c>
      <c r="S926" s="10">
        <f>CHOOSE(CONTROL!$C$42, 33.7182, 33.7182) * CHOOSE(CONTROL!$C$21, $C$9, 100%, $E$9)</f>
        <v>33.718200000000003</v>
      </c>
      <c r="T9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38">
        <f>(1000*CHOOSE(CONTROL!$C$42, 695, 695)*CHOOSE(CONTROL!$C$42, 0.5599, 0.5599)*CHOOSE(CONTROL!$C$42, 28, 28))/1000000</f>
        <v>10.895653999999999</v>
      </c>
      <c r="V926" s="38">
        <f>(1000*CHOOSE(CONTROL!$C$42, 500, 500)*CHOOSE(CONTROL!$C$42, 0.275, 0.275)*CHOOSE(CONTROL!$C$42, 28, 28))/1000000</f>
        <v>3.85</v>
      </c>
      <c r="W926" s="38">
        <f>(1000*CHOOSE(CONTROL!$C$42, 0.1146, 0.1146)*CHOOSE(CONTROL!$C$42, 121.5, 121.5)*CHOOSE(CONTROL!$C$42, 28, 28))/1000000</f>
        <v>0.38986920000000003</v>
      </c>
      <c r="X926" s="38">
        <f>(28*0.1790888*100000/1000000)+(28*0.2374*100000/1000000)</f>
        <v>1.16616864</v>
      </c>
      <c r="Y926" s="38">
        <f>(1000*600*CHOOSE(CONTROL!$C$42, 1.0585, 1.0585)*CHOOSE(CONTROL!$C$42, 28, 28))/1000000</f>
        <v>17.782800000000002</v>
      </c>
      <c r="Z926" s="38"/>
      <c r="AA926" s="10"/>
      <c r="AB926" s="39"/>
      <c r="AC926" s="33">
        <f>(B926*122.58+C926*297.941+D926*89.177+E926*40.302+F926*40+G926*160+H926*0+I926*100+J926*300)/(122.58+297.941+89.177+40.302+0+40+160+100+300)</f>
        <v>34.722163995826094</v>
      </c>
      <c r="AD926" s="27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34.401128776978418</v>
      </c>
    </row>
    <row r="927" spans="1:30" ht="15.75" x14ac:dyDescent="0.25">
      <c r="A927" s="13">
        <v>69488</v>
      </c>
      <c r="B927" s="10">
        <f>CHOOSE(CONTROL!$C$42, 33.7381, 33.7381) * CHOOSE(CONTROL!$C$21, $C$9, 100%, $E$9)</f>
        <v>33.738100000000003</v>
      </c>
      <c r="C927" s="10">
        <f>CHOOSE(CONTROL!$C$42, 33.743, 33.743) * CHOOSE(CONTROL!$C$21, $C$9, 100%, $E$9)</f>
        <v>33.743000000000002</v>
      </c>
      <c r="D927" s="10">
        <f>CHOOSE(CONTROL!$C$42, 33.7675, 33.7675) * CHOOSE(CONTROL!$C$21, $C$9, 100%, $E$9)</f>
        <v>33.767499999999998</v>
      </c>
      <c r="E927" s="10">
        <f>CHOOSE(CONTROL!$C$42, 33.8013, 33.8013) * CHOOSE(CONTROL!$C$21, $C$9, 100%, $E$9)</f>
        <v>33.801299999999998</v>
      </c>
      <c r="F927" s="10">
        <f>CHOOSE(CONTROL!$C$42, 33.7188, 33.7188)*CHOOSE(CONTROL!$C$21, $C$9, 100%, $E$9)</f>
        <v>33.718800000000002</v>
      </c>
      <c r="G927" s="10">
        <f>CHOOSE(CONTROL!$C$42, 33.7369, 33.7369)*CHOOSE(CONTROL!$C$21, $C$9, 100%, $E$9)</f>
        <v>33.736899999999999</v>
      </c>
      <c r="H927" s="10">
        <f>CHOOSE(CONTROL!$C$42, 33.7905, 33.7905) * CHOOSE(CONTROL!$C$21, $C$9, 100%, $E$9)</f>
        <v>33.790500000000002</v>
      </c>
      <c r="I927" s="10">
        <f>CHOOSE(CONTROL!$C$42, 33.7326, 33.7326)* CHOOSE(CONTROL!$C$21, $C$9, 100%, $E$9)</f>
        <v>33.732599999999998</v>
      </c>
      <c r="J927" s="10">
        <f>CHOOSE(CONTROL!$C$42, 33.7118, 33.7118)* CHOOSE(CONTROL!$C$21, $C$9, 100%, $E$9)</f>
        <v>33.711799999999997</v>
      </c>
      <c r="K927" s="10">
        <f>CHOOSE(CONTROL!$C$42, 32.9248, 32.9248) * CHOOSE(CONTROL!$C$21, $C$9, 100%, $E$9)</f>
        <v>32.924799999999998</v>
      </c>
      <c r="L927" s="10">
        <f>CHOOSE(CONTROL!$C$42, 34.3775, 34.3775) * CHOOSE(CONTROL!$C$21, $C$9, 100%, $E$9)</f>
        <v>34.377499999999998</v>
      </c>
      <c r="M927" s="10">
        <f>CHOOSE(CONTROL!$C$42, 33.3854, 33.3854) * CHOOSE(CONTROL!$C$21, $C$9, 100%, $E$9)</f>
        <v>33.385399999999997</v>
      </c>
      <c r="N927" s="10">
        <f>CHOOSE(CONTROL!$C$42, 33.4033, 33.4033) * CHOOSE(CONTROL!$C$21, $C$9, 100%, $E$9)</f>
        <v>33.403300000000002</v>
      </c>
      <c r="O927" s="10">
        <f>CHOOSE(CONTROL!$C$42, 33.4633, 33.4633) * CHOOSE(CONTROL!$C$21, $C$9, 100%, $E$9)</f>
        <v>33.463299999999997</v>
      </c>
      <c r="P927" s="10">
        <f>CHOOSE(CONTROL!$C$42, 33.406, 33.406) * CHOOSE(CONTROL!$C$21, $C$9, 100%, $E$9)</f>
        <v>33.405999999999999</v>
      </c>
      <c r="Q927" s="10">
        <f>CHOOSE(CONTROL!$C$42, 34.0586, 34.0586) * CHOOSE(CONTROL!$C$21, $C$9, 100%, $E$9)</f>
        <v>34.058599999999998</v>
      </c>
      <c r="R927" s="10">
        <f>CHOOSE(CONTROL!$C$42, 34.7307, 34.7307) * CHOOSE(CONTROL!$C$21, $C$9, 100%, $E$9)</f>
        <v>34.730699999999999</v>
      </c>
      <c r="S927" s="10">
        <f>CHOOSE(CONTROL!$C$42, 32.7609, 32.7609) * CHOOSE(CONTROL!$C$21, $C$9, 100%, $E$9)</f>
        <v>32.760899999999999</v>
      </c>
      <c r="T9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38">
        <f>(1000*CHOOSE(CONTROL!$C$42, 695, 695)*CHOOSE(CONTROL!$C$42, 0.5599, 0.5599)*CHOOSE(CONTROL!$C$42, 31, 31))/1000000</f>
        <v>12.063045499999998</v>
      </c>
      <c r="V927" s="38">
        <f>(1000*CHOOSE(CONTROL!$C$42, 500, 500)*CHOOSE(CONTROL!$C$42, 0.275, 0.275)*CHOOSE(CONTROL!$C$42, 31, 31))/1000000</f>
        <v>4.2625000000000002</v>
      </c>
      <c r="W927" s="38">
        <f>(1000*CHOOSE(CONTROL!$C$42, 0.1146, 0.1146)*CHOOSE(CONTROL!$C$42, 121.5, 121.5)*CHOOSE(CONTROL!$C$42, 31, 31))/1000000</f>
        <v>0.43164089999999994</v>
      </c>
      <c r="X927" s="38">
        <f>(31*0.1790888*100000/1000000)+(31*0.2374*100000/1000000)</f>
        <v>1.2911152800000001</v>
      </c>
      <c r="Y927" s="38">
        <f>(1000*600*CHOOSE(CONTROL!$C$42, 1.0585, 1.0585)*CHOOSE(CONTROL!$C$42, 31, 31))/1000000</f>
        <v>19.688099999999999</v>
      </c>
      <c r="Z927" s="38"/>
      <c r="AA927" s="10"/>
      <c r="AB927" s="39"/>
      <c r="AC927" s="33">
        <f>(B927*122.58+C927*297.941+D927*89.177+E927*40.302+F927*40+G927*160+H927*0+I927*100+J927*300)/(122.58+297.941+89.177+40.302+0+40+160+100+300)</f>
        <v>33.735686783565214</v>
      </c>
      <c r="AD927" s="27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33.424701438848913</v>
      </c>
    </row>
    <row r="928" spans="1:30" ht="15.75" x14ac:dyDescent="0.25">
      <c r="A928" s="13">
        <v>69518</v>
      </c>
      <c r="B928" s="10">
        <f>CHOOSE(CONTROL!$C$42, 33.6379, 33.6379) * CHOOSE(CONTROL!$C$21, $C$9, 100%, $E$9)</f>
        <v>33.637900000000002</v>
      </c>
      <c r="C928" s="10">
        <f>CHOOSE(CONTROL!$C$42, 33.6422, 33.6422) * CHOOSE(CONTROL!$C$21, $C$9, 100%, $E$9)</f>
        <v>33.642200000000003</v>
      </c>
      <c r="D928" s="10">
        <f>CHOOSE(CONTROL!$C$42, 33.8224, 33.8224) * CHOOSE(CONTROL!$C$21, $C$9, 100%, $E$9)</f>
        <v>33.822400000000002</v>
      </c>
      <c r="E928" s="10">
        <f>CHOOSE(CONTROL!$C$42, 33.8541, 33.8541) * CHOOSE(CONTROL!$C$21, $C$9, 100%, $E$9)</f>
        <v>33.854100000000003</v>
      </c>
      <c r="F928" s="10">
        <f>CHOOSE(CONTROL!$C$42, 33.6032, 33.6032)*CHOOSE(CONTROL!$C$21, $C$9, 100%, $E$9)</f>
        <v>33.603200000000001</v>
      </c>
      <c r="G928" s="10">
        <f>CHOOSE(CONTROL!$C$42, 33.6194, 33.6194)*CHOOSE(CONTROL!$C$21, $C$9, 100%, $E$9)</f>
        <v>33.619399999999999</v>
      </c>
      <c r="H928" s="10">
        <f>CHOOSE(CONTROL!$C$42, 33.8439, 33.8439) * CHOOSE(CONTROL!$C$21, $C$9, 100%, $E$9)</f>
        <v>33.843899999999998</v>
      </c>
      <c r="I928" s="10">
        <f>CHOOSE(CONTROL!$C$42, 33.6238, 33.6238)* CHOOSE(CONTROL!$C$21, $C$9, 100%, $E$9)</f>
        <v>33.623800000000003</v>
      </c>
      <c r="J928" s="10">
        <f>CHOOSE(CONTROL!$C$42, 33.5962, 33.5962)* CHOOSE(CONTROL!$C$21, $C$9, 100%, $E$9)</f>
        <v>33.596200000000003</v>
      </c>
      <c r="K928" s="10">
        <f>CHOOSE(CONTROL!$C$42, 32.8041, 32.8041) * CHOOSE(CONTROL!$C$21, $C$9, 100%, $E$9)</f>
        <v>32.804099999999998</v>
      </c>
      <c r="L928" s="10">
        <f>CHOOSE(CONTROL!$C$42, 34.4309, 34.4309) * CHOOSE(CONTROL!$C$21, $C$9, 100%, $E$9)</f>
        <v>34.430900000000001</v>
      </c>
      <c r="M928" s="10">
        <f>CHOOSE(CONTROL!$C$42, 33.271, 33.271) * CHOOSE(CONTROL!$C$21, $C$9, 100%, $E$9)</f>
        <v>33.271000000000001</v>
      </c>
      <c r="N928" s="10">
        <f>CHOOSE(CONTROL!$C$42, 33.2871, 33.2871) * CHOOSE(CONTROL!$C$21, $C$9, 100%, $E$9)</f>
        <v>33.287100000000002</v>
      </c>
      <c r="O928" s="10">
        <f>CHOOSE(CONTROL!$C$42, 33.5162, 33.5162) * CHOOSE(CONTROL!$C$21, $C$9, 100%, $E$9)</f>
        <v>33.516199999999998</v>
      </c>
      <c r="P928" s="10">
        <f>CHOOSE(CONTROL!$C$42, 33.2984, 33.2984) * CHOOSE(CONTROL!$C$21, $C$9, 100%, $E$9)</f>
        <v>33.298400000000001</v>
      </c>
      <c r="Q928" s="10">
        <f>CHOOSE(CONTROL!$C$42, 34.1115, 34.1115) * CHOOSE(CONTROL!$C$21, $C$9, 100%, $E$9)</f>
        <v>34.111499999999999</v>
      </c>
      <c r="R928" s="10">
        <f>CHOOSE(CONTROL!$C$42, 34.7838, 34.7838) * CHOOSE(CONTROL!$C$21, $C$9, 100%, $E$9)</f>
        <v>34.783799999999999</v>
      </c>
      <c r="S928" s="10">
        <f>CHOOSE(CONTROL!$C$42, 32.6628, 32.6628) * CHOOSE(CONTROL!$C$21, $C$9, 100%, $E$9)</f>
        <v>32.662799999999997</v>
      </c>
      <c r="T9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38">
        <f>(1000*CHOOSE(CONTROL!$C$42, 695, 695)*CHOOSE(CONTROL!$C$42, 0.5599, 0.5599)*CHOOSE(CONTROL!$C$42, 30, 30))/1000000</f>
        <v>11.673914999999997</v>
      </c>
      <c r="V928" s="38">
        <f>(1000*CHOOSE(CONTROL!$C$42, 500, 500)*CHOOSE(CONTROL!$C$42, 0.275, 0.275)*CHOOSE(CONTROL!$C$42, 30, 30))/1000000</f>
        <v>4.125</v>
      </c>
      <c r="W928" s="38">
        <f>(1000*CHOOSE(CONTROL!$C$42, 0.1146, 0.1146)*CHOOSE(CONTROL!$C$42, 121.5, 121.5)*CHOOSE(CONTROL!$C$42, 30, 30))/1000000</f>
        <v>0.417717</v>
      </c>
      <c r="X928" s="38">
        <f>(30*0.1790888*245000/1000000)+(30*0.2374*100000/1000000)</f>
        <v>2.0285026799999999</v>
      </c>
      <c r="Y928" s="38">
        <f>(1000*600*CHOOSE(CONTROL!$C$42, 1.0585, 1.0585)*CHOOSE(CONTROL!$C$42, 30, 30))/1000000</f>
        <v>19.053000000000001</v>
      </c>
      <c r="Z928" s="38"/>
      <c r="AA928" s="10"/>
      <c r="AB928" s="39"/>
      <c r="AC928" s="33">
        <f>(B928*141.293+C928*267.993+D928*115.016+E928*89.698+F928*40+G928*185+H928*0+I928*100+J928*300)/(141.293+267.993+115.016+89.698+0+40+185+100+300)</f>
        <v>33.65649162994351</v>
      </c>
      <c r="AD928" s="27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33.387002877697846</v>
      </c>
    </row>
    <row r="929" spans="1:30" ht="15.75" x14ac:dyDescent="0.25">
      <c r="A929" s="13">
        <v>69549</v>
      </c>
      <c r="B929" s="10">
        <f>CHOOSE(CONTROL!$C$42, 33.9365, 33.9365) * CHOOSE(CONTROL!$C$21, $C$9, 100%, $E$9)</f>
        <v>33.936500000000002</v>
      </c>
      <c r="C929" s="10">
        <f>CHOOSE(CONTROL!$C$42, 33.9444, 33.9444) * CHOOSE(CONTROL!$C$21, $C$9, 100%, $E$9)</f>
        <v>33.944400000000002</v>
      </c>
      <c r="D929" s="10">
        <f>CHOOSE(CONTROL!$C$42, 34.1214, 34.1214) * CHOOSE(CONTROL!$C$21, $C$9, 100%, $E$9)</f>
        <v>34.121400000000001</v>
      </c>
      <c r="E929" s="10">
        <f>CHOOSE(CONTROL!$C$42, 34.1525, 34.1525) * CHOOSE(CONTROL!$C$21, $C$9, 100%, $E$9)</f>
        <v>34.152500000000003</v>
      </c>
      <c r="F929" s="10">
        <f>CHOOSE(CONTROL!$C$42, 33.8999, 33.8999)*CHOOSE(CONTROL!$C$21, $C$9, 100%, $E$9)</f>
        <v>33.899900000000002</v>
      </c>
      <c r="G929" s="10">
        <f>CHOOSE(CONTROL!$C$42, 33.9164, 33.9164)*CHOOSE(CONTROL!$C$21, $C$9, 100%, $E$9)</f>
        <v>33.916400000000003</v>
      </c>
      <c r="H929" s="10">
        <f>CHOOSE(CONTROL!$C$42, 34.1412, 34.1412) * CHOOSE(CONTROL!$C$21, $C$9, 100%, $E$9)</f>
        <v>34.141199999999998</v>
      </c>
      <c r="I929" s="10">
        <f>CHOOSE(CONTROL!$C$42, 33.9211, 33.9211)* CHOOSE(CONTROL!$C$21, $C$9, 100%, $E$9)</f>
        <v>33.921100000000003</v>
      </c>
      <c r="J929" s="10">
        <f>CHOOSE(CONTROL!$C$42, 33.8929, 33.8929)* CHOOSE(CONTROL!$C$21, $C$9, 100%, $E$9)</f>
        <v>33.892899999999997</v>
      </c>
      <c r="K929" s="10">
        <f>CHOOSE(CONTROL!$C$42, 33.0917, 33.0917) * CHOOSE(CONTROL!$C$21, $C$9, 100%, $E$9)</f>
        <v>33.091700000000003</v>
      </c>
      <c r="L929" s="10">
        <f>CHOOSE(CONTROL!$C$42, 34.7282, 34.7282) * CHOOSE(CONTROL!$C$21, $C$9, 100%, $E$9)</f>
        <v>34.728200000000001</v>
      </c>
      <c r="M929" s="10">
        <f>CHOOSE(CONTROL!$C$42, 33.5646, 33.5646) * CHOOSE(CONTROL!$C$21, $C$9, 100%, $E$9)</f>
        <v>33.564599999999999</v>
      </c>
      <c r="N929" s="10">
        <f>CHOOSE(CONTROL!$C$42, 33.581, 33.581) * CHOOSE(CONTROL!$C$21, $C$9, 100%, $E$9)</f>
        <v>33.581000000000003</v>
      </c>
      <c r="O929" s="10">
        <f>CHOOSE(CONTROL!$C$42, 33.8105, 33.8105) * CHOOSE(CONTROL!$C$21, $C$9, 100%, $E$9)</f>
        <v>33.810499999999998</v>
      </c>
      <c r="P929" s="10">
        <f>CHOOSE(CONTROL!$C$42, 33.5926, 33.5926) * CHOOSE(CONTROL!$C$21, $C$9, 100%, $E$9)</f>
        <v>33.592599999999997</v>
      </c>
      <c r="Q929" s="10">
        <f>CHOOSE(CONTROL!$C$42, 34.4058, 34.4058) * CHOOSE(CONTROL!$C$21, $C$9, 100%, $E$9)</f>
        <v>34.405799999999999</v>
      </c>
      <c r="R929" s="10">
        <f>CHOOSE(CONTROL!$C$42, 35.0788, 35.0788) * CHOOSE(CONTROL!$C$21, $C$9, 100%, $E$9)</f>
        <v>35.078800000000001</v>
      </c>
      <c r="S929" s="10">
        <f>CHOOSE(CONTROL!$C$42, 32.9515, 32.9515) * CHOOSE(CONTROL!$C$21, $C$9, 100%, $E$9)</f>
        <v>32.951500000000003</v>
      </c>
      <c r="T9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38">
        <f>(1000*CHOOSE(CONTROL!$C$42, 695, 695)*CHOOSE(CONTROL!$C$42, 0.5599, 0.5599)*CHOOSE(CONTROL!$C$42, 31, 31))/1000000</f>
        <v>12.063045499999998</v>
      </c>
      <c r="V929" s="38">
        <f>(1000*CHOOSE(CONTROL!$C$42, 500, 500)*CHOOSE(CONTROL!$C$42, 0.275, 0.275)*CHOOSE(CONTROL!$C$42, 31, 31))/1000000</f>
        <v>4.2625000000000002</v>
      </c>
      <c r="W929" s="38">
        <f>(1000*CHOOSE(CONTROL!$C$42, 0.1146, 0.1146)*CHOOSE(CONTROL!$C$42, 121.5, 121.5)*CHOOSE(CONTROL!$C$42, 31, 31))/1000000</f>
        <v>0.43164089999999994</v>
      </c>
      <c r="X929" s="38">
        <f>(31*0.1790888*245000/1000000)+(31*0.2374*100000/1000000)</f>
        <v>2.0961194359999999</v>
      </c>
      <c r="Y929" s="38">
        <f>(1000*600*CHOOSE(CONTROL!$C$42, 1.0585, 1.0585)*CHOOSE(CONTROL!$C$42, 31, 31))/1000000</f>
        <v>19.688099999999999</v>
      </c>
      <c r="Z929" s="38"/>
      <c r="AA929" s="10"/>
      <c r="AB929" s="39"/>
      <c r="AC929" s="33">
        <f>(B929*194.205+C929*267.466+D929*133.845+E929*53.484+F929*40+G929*185+H929*0+I929*100+J929*300)/(194.205+267.466+133.845+53.484+0+40+185+100+300)</f>
        <v>33.951108293485085</v>
      </c>
      <c r="AD929" s="27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33.681023741007195</v>
      </c>
    </row>
    <row r="930" spans="1:30" ht="15.75" x14ac:dyDescent="0.25">
      <c r="A930" s="13">
        <v>69579</v>
      </c>
      <c r="B930" s="10">
        <f>CHOOSE(CONTROL!$C$42, 34.899, 34.899) * CHOOSE(CONTROL!$C$21, $C$9, 100%, $E$9)</f>
        <v>34.899000000000001</v>
      </c>
      <c r="C930" s="10">
        <f>CHOOSE(CONTROL!$C$42, 34.9069, 34.9069) * CHOOSE(CONTROL!$C$21, $C$9, 100%, $E$9)</f>
        <v>34.9069</v>
      </c>
      <c r="D930" s="10">
        <f>CHOOSE(CONTROL!$C$42, 35.0839, 35.0839) * CHOOSE(CONTROL!$C$21, $C$9, 100%, $E$9)</f>
        <v>35.0839</v>
      </c>
      <c r="E930" s="10">
        <f>CHOOSE(CONTROL!$C$42, 35.115, 35.115) * CHOOSE(CONTROL!$C$21, $C$9, 100%, $E$9)</f>
        <v>35.115000000000002</v>
      </c>
      <c r="F930" s="10">
        <f>CHOOSE(CONTROL!$C$42, 34.8625, 34.8625)*CHOOSE(CONTROL!$C$21, $C$9, 100%, $E$9)</f>
        <v>34.862499999999997</v>
      </c>
      <c r="G930" s="10">
        <f>CHOOSE(CONTROL!$C$42, 34.8791, 34.8791)*CHOOSE(CONTROL!$C$21, $C$9, 100%, $E$9)</f>
        <v>34.879100000000001</v>
      </c>
      <c r="H930" s="10">
        <f>CHOOSE(CONTROL!$C$42, 35.1037, 35.1037) * CHOOSE(CONTROL!$C$21, $C$9, 100%, $E$9)</f>
        <v>35.103700000000003</v>
      </c>
      <c r="I930" s="10">
        <f>CHOOSE(CONTROL!$C$42, 34.8836, 34.8836)* CHOOSE(CONTROL!$C$21, $C$9, 100%, $E$9)</f>
        <v>34.883600000000001</v>
      </c>
      <c r="J930" s="10">
        <f>CHOOSE(CONTROL!$C$42, 34.8555, 34.8555)* CHOOSE(CONTROL!$C$21, $C$9, 100%, $E$9)</f>
        <v>34.855499999999999</v>
      </c>
      <c r="K930" s="10">
        <f>CHOOSE(CONTROL!$C$42, 34.0272, 34.0272) * CHOOSE(CONTROL!$C$21, $C$9, 100%, $E$9)</f>
        <v>34.027200000000001</v>
      </c>
      <c r="L930" s="10">
        <f>CHOOSE(CONTROL!$C$42, 35.6907, 35.6907) * CHOOSE(CONTROL!$C$21, $C$9, 100%, $E$9)</f>
        <v>35.6907</v>
      </c>
      <c r="M930" s="10">
        <f>CHOOSE(CONTROL!$C$42, 34.5176, 34.5176) * CHOOSE(CONTROL!$C$21, $C$9, 100%, $E$9)</f>
        <v>34.517600000000002</v>
      </c>
      <c r="N930" s="10">
        <f>CHOOSE(CONTROL!$C$42, 34.534, 34.534) * CHOOSE(CONTROL!$C$21, $C$9, 100%, $E$9)</f>
        <v>34.533999999999999</v>
      </c>
      <c r="O930" s="10">
        <f>CHOOSE(CONTROL!$C$42, 34.7632, 34.7632) * CHOOSE(CONTROL!$C$21, $C$9, 100%, $E$9)</f>
        <v>34.763199999999998</v>
      </c>
      <c r="P930" s="10">
        <f>CHOOSE(CONTROL!$C$42, 34.5454, 34.5454) * CHOOSE(CONTROL!$C$21, $C$9, 100%, $E$9)</f>
        <v>34.545400000000001</v>
      </c>
      <c r="Q930" s="10">
        <f>CHOOSE(CONTROL!$C$42, 35.3585, 35.3585) * CHOOSE(CONTROL!$C$21, $C$9, 100%, $E$9)</f>
        <v>35.358499999999999</v>
      </c>
      <c r="R930" s="10">
        <f>CHOOSE(CONTROL!$C$42, 36.0339, 36.0339) * CHOOSE(CONTROL!$C$21, $C$9, 100%, $E$9)</f>
        <v>36.033900000000003</v>
      </c>
      <c r="S930" s="10">
        <f>CHOOSE(CONTROL!$C$42, 33.8862, 33.8862) * CHOOSE(CONTROL!$C$21, $C$9, 100%, $E$9)</f>
        <v>33.886200000000002</v>
      </c>
      <c r="T9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38">
        <f>(1000*CHOOSE(CONTROL!$C$42, 695, 695)*CHOOSE(CONTROL!$C$42, 0.5599, 0.5599)*CHOOSE(CONTROL!$C$42, 30, 30))/1000000</f>
        <v>11.673914999999997</v>
      </c>
      <c r="V930" s="38">
        <f>(1000*CHOOSE(CONTROL!$C$42, 500, 500)*CHOOSE(CONTROL!$C$42, 0.275, 0.275)*CHOOSE(CONTROL!$C$42, 30, 30))/1000000</f>
        <v>4.125</v>
      </c>
      <c r="W930" s="38">
        <f>(1000*CHOOSE(CONTROL!$C$42, 0.1146, 0.1146)*CHOOSE(CONTROL!$C$42, 121.5, 121.5)*CHOOSE(CONTROL!$C$42, 30, 30))/1000000</f>
        <v>0.417717</v>
      </c>
      <c r="X930" s="38">
        <f>(30*0.1790888*245000/1000000)+(30*0.2374*100000/1000000)</f>
        <v>2.0285026799999999</v>
      </c>
      <c r="Y930" s="38">
        <f>(1000*600*CHOOSE(CONTROL!$C$42, 1.0585, 1.0585)*CHOOSE(CONTROL!$C$42, 30, 30))/1000000</f>
        <v>19.053000000000001</v>
      </c>
      <c r="Z930" s="38"/>
      <c r="AA930" s="10"/>
      <c r="AB930" s="39"/>
      <c r="AC930" s="33">
        <f>(B930*194.205+C930*267.466+D930*133.845+E930*53.484+F930*40+G930*185+H930*0+I930*100+J930*300)/(194.205+267.466+133.845+53.484+0+40+185+100+300)</f>
        <v>34.913664023469394</v>
      </c>
      <c r="AD930" s="27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34.633858992805756</v>
      </c>
    </row>
    <row r="931" spans="1:30" ht="15.75" x14ac:dyDescent="0.25">
      <c r="A931" s="13">
        <v>69610</v>
      </c>
      <c r="B931" s="10">
        <f>CHOOSE(CONTROL!$C$42, 34.2296, 34.2296) * CHOOSE(CONTROL!$C$21, $C$9, 100%, $E$9)</f>
        <v>34.229599999999998</v>
      </c>
      <c r="C931" s="10">
        <f>CHOOSE(CONTROL!$C$42, 34.2375, 34.2375) * CHOOSE(CONTROL!$C$21, $C$9, 100%, $E$9)</f>
        <v>34.237499999999997</v>
      </c>
      <c r="D931" s="10">
        <f>CHOOSE(CONTROL!$C$42, 34.4145, 34.4145) * CHOOSE(CONTROL!$C$21, $C$9, 100%, $E$9)</f>
        <v>34.414499999999997</v>
      </c>
      <c r="E931" s="10">
        <f>CHOOSE(CONTROL!$C$42, 34.4456, 34.4456) * CHOOSE(CONTROL!$C$21, $C$9, 100%, $E$9)</f>
        <v>34.445599999999999</v>
      </c>
      <c r="F931" s="10">
        <f>CHOOSE(CONTROL!$C$42, 34.1934, 34.1934)*CHOOSE(CONTROL!$C$21, $C$9, 100%, $E$9)</f>
        <v>34.193399999999997</v>
      </c>
      <c r="G931" s="10">
        <f>CHOOSE(CONTROL!$C$42, 34.21, 34.21)*CHOOSE(CONTROL!$C$21, $C$9, 100%, $E$9)</f>
        <v>34.21</v>
      </c>
      <c r="H931" s="10">
        <f>CHOOSE(CONTROL!$C$42, 34.4342, 34.4342) * CHOOSE(CONTROL!$C$21, $C$9, 100%, $E$9)</f>
        <v>34.434199999999997</v>
      </c>
      <c r="I931" s="10">
        <f>CHOOSE(CONTROL!$C$42, 34.2142, 34.2142)* CHOOSE(CONTROL!$C$21, $C$9, 100%, $E$9)</f>
        <v>34.214199999999998</v>
      </c>
      <c r="J931" s="10">
        <f>CHOOSE(CONTROL!$C$42, 34.1864, 34.1864)* CHOOSE(CONTROL!$C$21, $C$9, 100%, $E$9)</f>
        <v>34.186399999999999</v>
      </c>
      <c r="K931" s="10">
        <f>CHOOSE(CONTROL!$C$42, 33.3774, 33.3774) * CHOOSE(CONTROL!$C$21, $C$9, 100%, $E$9)</f>
        <v>33.377400000000002</v>
      </c>
      <c r="L931" s="10">
        <f>CHOOSE(CONTROL!$C$42, 35.0212, 35.0212) * CHOOSE(CONTROL!$C$21, $C$9, 100%, $E$9)</f>
        <v>35.0212</v>
      </c>
      <c r="M931" s="10">
        <f>CHOOSE(CONTROL!$C$42, 33.8552, 33.8552) * CHOOSE(CONTROL!$C$21, $C$9, 100%, $E$9)</f>
        <v>33.855200000000004</v>
      </c>
      <c r="N931" s="10">
        <f>CHOOSE(CONTROL!$C$42, 33.8716, 33.8716) * CHOOSE(CONTROL!$C$21, $C$9, 100%, $E$9)</f>
        <v>33.871600000000001</v>
      </c>
      <c r="O931" s="10">
        <f>CHOOSE(CONTROL!$C$42, 34.1006, 34.1006) * CHOOSE(CONTROL!$C$21, $C$9, 100%, $E$9)</f>
        <v>34.1006</v>
      </c>
      <c r="P931" s="10">
        <f>CHOOSE(CONTROL!$C$42, 33.8828, 33.8828) * CHOOSE(CONTROL!$C$21, $C$9, 100%, $E$9)</f>
        <v>33.882800000000003</v>
      </c>
      <c r="Q931" s="10">
        <f>CHOOSE(CONTROL!$C$42, 34.6959, 34.6959) * CHOOSE(CONTROL!$C$21, $C$9, 100%, $E$9)</f>
        <v>34.695900000000002</v>
      </c>
      <c r="R931" s="10">
        <f>CHOOSE(CONTROL!$C$42, 35.3696, 35.3696) * CHOOSE(CONTROL!$C$21, $C$9, 100%, $E$9)</f>
        <v>35.369599999999998</v>
      </c>
      <c r="S931" s="10">
        <f>CHOOSE(CONTROL!$C$42, 33.2361, 33.2361) * CHOOSE(CONTROL!$C$21, $C$9, 100%, $E$9)</f>
        <v>33.2361</v>
      </c>
      <c r="T9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38">
        <f>(1000*CHOOSE(CONTROL!$C$42, 695, 695)*CHOOSE(CONTROL!$C$42, 0.5599, 0.5599)*CHOOSE(CONTROL!$C$42, 31, 31))/1000000</f>
        <v>12.063045499999998</v>
      </c>
      <c r="V931" s="38">
        <f>(1000*CHOOSE(CONTROL!$C$42, 500, 500)*CHOOSE(CONTROL!$C$42, 0.275, 0.275)*CHOOSE(CONTROL!$C$42, 31, 31))/1000000</f>
        <v>4.2625000000000002</v>
      </c>
      <c r="W931" s="38">
        <f>(1000*CHOOSE(CONTROL!$C$42, 0.1146, 0.1146)*CHOOSE(CONTROL!$C$42, 121.5, 121.5)*CHOOSE(CONTROL!$C$42, 31, 31))/1000000</f>
        <v>0.43164089999999994</v>
      </c>
      <c r="X931" s="38">
        <f>(31*0.1790888*245000/1000000)+(31*0.2374*100000/1000000)</f>
        <v>2.0961194359999999</v>
      </c>
      <c r="Y931" s="38">
        <f>(1000*600*CHOOSE(CONTROL!$C$42, 1.0585, 1.0585)*CHOOSE(CONTROL!$C$42, 31, 31))/1000000</f>
        <v>19.688099999999999</v>
      </c>
      <c r="Z931" s="38"/>
      <c r="AA931" s="10"/>
      <c r="AB931" s="39"/>
      <c r="AC931" s="33">
        <f>(B931*194.205+C931*267.466+D931*133.845+E931*53.484+F931*40+G931*185+H931*0+I931*100+J931*300)/(194.205+267.466+133.845+53.484+0+40+185+100+300)</f>
        <v>34.244387649843013</v>
      </c>
      <c r="AD931" s="27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33.971339568345321</v>
      </c>
    </row>
    <row r="932" spans="1:30" ht="15.75" x14ac:dyDescent="0.25">
      <c r="A932" s="13">
        <v>69641</v>
      </c>
      <c r="B932" s="10">
        <f>CHOOSE(CONTROL!$C$42, 32.5391, 32.5391) * CHOOSE(CONTROL!$C$21, $C$9, 100%, $E$9)</f>
        <v>32.539099999999998</v>
      </c>
      <c r="C932" s="10">
        <f>CHOOSE(CONTROL!$C$42, 32.547, 32.547) * CHOOSE(CONTROL!$C$21, $C$9, 100%, $E$9)</f>
        <v>32.546999999999997</v>
      </c>
      <c r="D932" s="10">
        <f>CHOOSE(CONTROL!$C$42, 32.724, 32.724) * CHOOSE(CONTROL!$C$21, $C$9, 100%, $E$9)</f>
        <v>32.723999999999997</v>
      </c>
      <c r="E932" s="10">
        <f>CHOOSE(CONTROL!$C$42, 32.7551, 32.7551) * CHOOSE(CONTROL!$C$21, $C$9, 100%, $E$9)</f>
        <v>32.755099999999999</v>
      </c>
      <c r="F932" s="10">
        <f>CHOOSE(CONTROL!$C$42, 32.5029, 32.5029)*CHOOSE(CONTROL!$C$21, $C$9, 100%, $E$9)</f>
        <v>32.502899999999997</v>
      </c>
      <c r="G932" s="10">
        <f>CHOOSE(CONTROL!$C$42, 32.5195, 32.5195)*CHOOSE(CONTROL!$C$21, $C$9, 100%, $E$9)</f>
        <v>32.519500000000001</v>
      </c>
      <c r="H932" s="10">
        <f>CHOOSE(CONTROL!$C$42, 32.7437, 32.7437) * CHOOSE(CONTROL!$C$21, $C$9, 100%, $E$9)</f>
        <v>32.743699999999997</v>
      </c>
      <c r="I932" s="10">
        <f>CHOOSE(CONTROL!$C$42, 32.5237, 32.5237)* CHOOSE(CONTROL!$C$21, $C$9, 100%, $E$9)</f>
        <v>32.523699999999998</v>
      </c>
      <c r="J932" s="10">
        <f>CHOOSE(CONTROL!$C$42, 32.4959, 32.4959)* CHOOSE(CONTROL!$C$21, $C$9, 100%, $E$9)</f>
        <v>32.495899999999999</v>
      </c>
      <c r="K932" s="10">
        <f>CHOOSE(CONTROL!$C$42, 31.735, 31.735) * CHOOSE(CONTROL!$C$21, $C$9, 100%, $E$9)</f>
        <v>31.734999999999999</v>
      </c>
      <c r="L932" s="10">
        <f>CHOOSE(CONTROL!$C$42, 33.3307, 33.3307) * CHOOSE(CONTROL!$C$21, $C$9, 100%, $E$9)</f>
        <v>33.3307</v>
      </c>
      <c r="M932" s="10">
        <f>CHOOSE(CONTROL!$C$42, 32.1818, 32.1818) * CHOOSE(CONTROL!$C$21, $C$9, 100%, $E$9)</f>
        <v>32.181800000000003</v>
      </c>
      <c r="N932" s="10">
        <f>CHOOSE(CONTROL!$C$42, 32.1982, 32.1982) * CHOOSE(CONTROL!$C$21, $C$9, 100%, $E$9)</f>
        <v>32.1982</v>
      </c>
      <c r="O932" s="10">
        <f>CHOOSE(CONTROL!$C$42, 32.4271, 32.4271) * CHOOSE(CONTROL!$C$21, $C$9, 100%, $E$9)</f>
        <v>32.427100000000003</v>
      </c>
      <c r="P932" s="10">
        <f>CHOOSE(CONTROL!$C$42, 32.2093, 32.2093) * CHOOSE(CONTROL!$C$21, $C$9, 100%, $E$9)</f>
        <v>32.209299999999999</v>
      </c>
      <c r="Q932" s="10">
        <f>CHOOSE(CONTROL!$C$42, 33.0224, 33.0224) * CHOOSE(CONTROL!$C$21, $C$9, 100%, $E$9)</f>
        <v>33.022399999999998</v>
      </c>
      <c r="R932" s="10">
        <f>CHOOSE(CONTROL!$C$42, 33.692, 33.692) * CHOOSE(CONTROL!$C$21, $C$9, 100%, $E$9)</f>
        <v>33.692</v>
      </c>
      <c r="S932" s="10">
        <f>CHOOSE(CONTROL!$C$42, 31.5944, 31.5944) * CHOOSE(CONTROL!$C$21, $C$9, 100%, $E$9)</f>
        <v>31.5944</v>
      </c>
      <c r="T9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38">
        <f>(1000*CHOOSE(CONTROL!$C$42, 695, 695)*CHOOSE(CONTROL!$C$42, 0.5599, 0.5599)*CHOOSE(CONTROL!$C$42, 31, 31))/1000000</f>
        <v>12.063045499999998</v>
      </c>
      <c r="V932" s="38">
        <f>(1000*CHOOSE(CONTROL!$C$42, 500, 500)*CHOOSE(CONTROL!$C$42, 0.275, 0.275)*CHOOSE(CONTROL!$C$42, 31, 31))/1000000</f>
        <v>4.2625000000000002</v>
      </c>
      <c r="W932" s="38">
        <f>(1000*CHOOSE(CONTROL!$C$42, 0.1146, 0.1146)*CHOOSE(CONTROL!$C$42, 121.5, 121.5)*CHOOSE(CONTROL!$C$42, 31, 31))/1000000</f>
        <v>0.43164089999999994</v>
      </c>
      <c r="X932" s="38">
        <f>(31*0.1790888*245000/1000000)+(31*0.2374*100000/1000000)</f>
        <v>2.0961194359999999</v>
      </c>
      <c r="Y932" s="38">
        <f>(1000*600*CHOOSE(CONTROL!$C$42, 1.0585, 1.0585)*CHOOSE(CONTROL!$C$42, 31, 31))/1000000</f>
        <v>19.688099999999999</v>
      </c>
      <c r="Z932" s="38"/>
      <c r="AA932" s="10"/>
      <c r="AB932" s="39"/>
      <c r="AC932" s="33">
        <f>(B932*194.205+C932*267.466+D932*133.845+E932*53.484+F932*40+G932*185+H932*0+I932*100+J932*300)/(194.205+267.466+133.845+53.484+0+40+185+100+300)</f>
        <v>32.553887649843013</v>
      </c>
      <c r="AD932" s="27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32.297879856115109</v>
      </c>
    </row>
    <row r="933" spans="1:30" ht="15.75" x14ac:dyDescent="0.25">
      <c r="A933" s="13">
        <v>69671</v>
      </c>
      <c r="B933" s="10">
        <f>CHOOSE(CONTROL!$C$42, 30.4736, 30.4736) * CHOOSE(CONTROL!$C$21, $C$9, 100%, $E$9)</f>
        <v>30.473600000000001</v>
      </c>
      <c r="C933" s="10">
        <f>CHOOSE(CONTROL!$C$42, 30.4815, 30.4815) * CHOOSE(CONTROL!$C$21, $C$9, 100%, $E$9)</f>
        <v>30.4815</v>
      </c>
      <c r="D933" s="10">
        <f>CHOOSE(CONTROL!$C$42, 30.6585, 30.6585) * CHOOSE(CONTROL!$C$21, $C$9, 100%, $E$9)</f>
        <v>30.6585</v>
      </c>
      <c r="E933" s="10">
        <f>CHOOSE(CONTROL!$C$42, 30.6896, 30.6896) * CHOOSE(CONTROL!$C$21, $C$9, 100%, $E$9)</f>
        <v>30.689599999999999</v>
      </c>
      <c r="F933" s="10">
        <f>CHOOSE(CONTROL!$C$42, 30.4372, 30.4372)*CHOOSE(CONTROL!$C$21, $C$9, 100%, $E$9)</f>
        <v>30.437200000000001</v>
      </c>
      <c r="G933" s="10">
        <f>CHOOSE(CONTROL!$C$42, 30.4537, 30.4537)*CHOOSE(CONTROL!$C$21, $C$9, 100%, $E$9)</f>
        <v>30.453700000000001</v>
      </c>
      <c r="H933" s="10">
        <f>CHOOSE(CONTROL!$C$42, 30.6783, 30.6783) * CHOOSE(CONTROL!$C$21, $C$9, 100%, $E$9)</f>
        <v>30.6783</v>
      </c>
      <c r="I933" s="10">
        <f>CHOOSE(CONTROL!$C$42, 30.4582, 30.4582)* CHOOSE(CONTROL!$C$21, $C$9, 100%, $E$9)</f>
        <v>30.458200000000001</v>
      </c>
      <c r="J933" s="10">
        <f>CHOOSE(CONTROL!$C$42, 30.4302, 30.4302)* CHOOSE(CONTROL!$C$21, $C$9, 100%, $E$9)</f>
        <v>30.430199999999999</v>
      </c>
      <c r="K933" s="10">
        <f>CHOOSE(CONTROL!$C$42, 29.7277, 29.7277) * CHOOSE(CONTROL!$C$21, $C$9, 100%, $E$9)</f>
        <v>29.727699999999999</v>
      </c>
      <c r="L933" s="10">
        <f>CHOOSE(CONTROL!$C$42, 31.2653, 31.2653) * CHOOSE(CONTROL!$C$21, $C$9, 100%, $E$9)</f>
        <v>31.2653</v>
      </c>
      <c r="M933" s="10">
        <f>CHOOSE(CONTROL!$C$42, 30.1369, 30.1369) * CHOOSE(CONTROL!$C$21, $C$9, 100%, $E$9)</f>
        <v>30.136900000000001</v>
      </c>
      <c r="N933" s="10">
        <f>CHOOSE(CONTROL!$C$42, 30.1533, 30.1533) * CHOOSE(CONTROL!$C$21, $C$9, 100%, $E$9)</f>
        <v>30.153300000000002</v>
      </c>
      <c r="O933" s="10">
        <f>CHOOSE(CONTROL!$C$42, 30.3825, 30.3825) * CHOOSE(CONTROL!$C$21, $C$9, 100%, $E$9)</f>
        <v>30.3825</v>
      </c>
      <c r="P933" s="10">
        <f>CHOOSE(CONTROL!$C$42, 30.1647, 30.1647) * CHOOSE(CONTROL!$C$21, $C$9, 100%, $E$9)</f>
        <v>30.1647</v>
      </c>
      <c r="Q933" s="10">
        <f>CHOOSE(CONTROL!$C$42, 30.9778, 30.9778) * CHOOSE(CONTROL!$C$21, $C$9, 100%, $E$9)</f>
        <v>30.977799999999998</v>
      </c>
      <c r="R933" s="10">
        <f>CHOOSE(CONTROL!$C$42, 31.6422, 31.6422) * CHOOSE(CONTROL!$C$21, $C$9, 100%, $E$9)</f>
        <v>31.642199999999999</v>
      </c>
      <c r="S933" s="10">
        <f>CHOOSE(CONTROL!$C$42, 29.5886, 29.5886) * CHOOSE(CONTROL!$C$21, $C$9, 100%, $E$9)</f>
        <v>29.5886</v>
      </c>
      <c r="T9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38">
        <f>(1000*CHOOSE(CONTROL!$C$42, 695, 695)*CHOOSE(CONTROL!$C$42, 0.5599, 0.5599)*CHOOSE(CONTROL!$C$42, 30, 30))/1000000</f>
        <v>11.673914999999997</v>
      </c>
      <c r="V933" s="38">
        <f>(1000*CHOOSE(CONTROL!$C$42, 500, 500)*CHOOSE(CONTROL!$C$42, 0.275, 0.275)*CHOOSE(CONTROL!$C$42, 30, 30))/1000000</f>
        <v>4.125</v>
      </c>
      <c r="W933" s="38">
        <f>(1000*CHOOSE(CONTROL!$C$42, 0.1146, 0.1146)*CHOOSE(CONTROL!$C$42, 121.5, 121.5)*CHOOSE(CONTROL!$C$42, 30, 30))/1000000</f>
        <v>0.417717</v>
      </c>
      <c r="X933" s="38">
        <f>(30*0.1790888*245000/1000000)+(30*0.2374*100000/1000000)</f>
        <v>2.0285026799999999</v>
      </c>
      <c r="Y933" s="38">
        <f>(1000*600*CHOOSE(CONTROL!$C$42, 1.0585, 1.0585)*CHOOSE(CONTROL!$C$42, 30, 30))/1000000</f>
        <v>19.053000000000001</v>
      </c>
      <c r="Z933" s="38"/>
      <c r="AA933" s="10"/>
      <c r="AB933" s="39"/>
      <c r="AC933" s="33">
        <f>(B933*194.205+C933*267.466+D933*133.845+E933*53.484+F933*40+G933*185+H933*0+I933*100+J933*300)/(194.205+267.466+133.845+53.484+0+40+185+100+300)</f>
        <v>30.488290711067506</v>
      </c>
      <c r="AD933" s="27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30.253158992805758</v>
      </c>
    </row>
    <row r="934" spans="1:30" ht="15.75" x14ac:dyDescent="0.25">
      <c r="A934" s="13">
        <v>69702</v>
      </c>
      <c r="B934" s="10">
        <f>CHOOSE(CONTROL!$C$42, 29.8528, 29.8528) * CHOOSE(CONTROL!$C$21, $C$9, 100%, $E$9)</f>
        <v>29.852799999999998</v>
      </c>
      <c r="C934" s="10">
        <f>CHOOSE(CONTROL!$C$42, 29.858, 29.858) * CHOOSE(CONTROL!$C$21, $C$9, 100%, $E$9)</f>
        <v>29.858000000000001</v>
      </c>
      <c r="D934" s="10">
        <f>CHOOSE(CONTROL!$C$42, 30.04, 30.04) * CHOOSE(CONTROL!$C$21, $C$9, 100%, $E$9)</f>
        <v>30.04</v>
      </c>
      <c r="E934" s="10">
        <f>CHOOSE(CONTROL!$C$42, 30.0688, 30.0688) * CHOOSE(CONTROL!$C$21, $C$9, 100%, $E$9)</f>
        <v>30.0688</v>
      </c>
      <c r="F934" s="10">
        <f>CHOOSE(CONTROL!$C$42, 29.8184, 29.8184)*CHOOSE(CONTROL!$C$21, $C$9, 100%, $E$9)</f>
        <v>29.8184</v>
      </c>
      <c r="G934" s="10">
        <f>CHOOSE(CONTROL!$C$42, 29.8347, 29.8347)*CHOOSE(CONTROL!$C$21, $C$9, 100%, $E$9)</f>
        <v>29.834700000000002</v>
      </c>
      <c r="H934" s="10">
        <f>CHOOSE(CONTROL!$C$42, 30.0592, 30.0592) * CHOOSE(CONTROL!$C$21, $C$9, 100%, $E$9)</f>
        <v>30.059200000000001</v>
      </c>
      <c r="I934" s="10">
        <f>CHOOSE(CONTROL!$C$42, 29.8392, 29.8392)* CHOOSE(CONTROL!$C$21, $C$9, 100%, $E$9)</f>
        <v>29.839200000000002</v>
      </c>
      <c r="J934" s="10">
        <f>CHOOSE(CONTROL!$C$42, 29.8114, 29.8114)* CHOOSE(CONTROL!$C$21, $C$9, 100%, $E$9)</f>
        <v>29.811399999999999</v>
      </c>
      <c r="K934" s="10">
        <f>CHOOSE(CONTROL!$C$42, 29.1268, 29.1268) * CHOOSE(CONTROL!$C$21, $C$9, 100%, $E$9)</f>
        <v>29.126799999999999</v>
      </c>
      <c r="L934" s="10">
        <f>CHOOSE(CONTROL!$C$42, 30.6462, 30.6462) * CHOOSE(CONTROL!$C$21, $C$9, 100%, $E$9)</f>
        <v>30.6462</v>
      </c>
      <c r="M934" s="10">
        <f>CHOOSE(CONTROL!$C$42, 29.5244, 29.5244) * CHOOSE(CONTROL!$C$21, $C$9, 100%, $E$9)</f>
        <v>29.5244</v>
      </c>
      <c r="N934" s="10">
        <f>CHOOSE(CONTROL!$C$42, 29.5405, 29.5405) * CHOOSE(CONTROL!$C$21, $C$9, 100%, $E$9)</f>
        <v>29.540500000000002</v>
      </c>
      <c r="O934" s="10">
        <f>CHOOSE(CONTROL!$C$42, 29.7697, 29.7697) * CHOOSE(CONTROL!$C$21, $C$9, 100%, $E$9)</f>
        <v>29.7697</v>
      </c>
      <c r="P934" s="10">
        <f>CHOOSE(CONTROL!$C$42, 29.5519, 29.5519) * CHOOSE(CONTROL!$C$21, $C$9, 100%, $E$9)</f>
        <v>29.5519</v>
      </c>
      <c r="Q934" s="10">
        <f>CHOOSE(CONTROL!$C$42, 30.365, 30.365) * CHOOSE(CONTROL!$C$21, $C$9, 100%, $E$9)</f>
        <v>30.364999999999998</v>
      </c>
      <c r="R934" s="10">
        <f>CHOOSE(CONTROL!$C$42, 31.0279, 31.0279) * CHOOSE(CONTROL!$C$21, $C$9, 100%, $E$9)</f>
        <v>31.027899999999999</v>
      </c>
      <c r="S934" s="10">
        <f>CHOOSE(CONTROL!$C$42, 28.9875, 28.9875) * CHOOSE(CONTROL!$C$21, $C$9, 100%, $E$9)</f>
        <v>28.987500000000001</v>
      </c>
      <c r="T9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38">
        <f>(1000*CHOOSE(CONTROL!$C$42, 695, 695)*CHOOSE(CONTROL!$C$42, 0.5599, 0.5599)*CHOOSE(CONTROL!$C$42, 31, 31))/1000000</f>
        <v>12.063045499999998</v>
      </c>
      <c r="V934" s="38">
        <f>(1000*CHOOSE(CONTROL!$C$42, 500, 500)*CHOOSE(CONTROL!$C$42, 0.275, 0.275)*CHOOSE(CONTROL!$C$42, 31, 31))/1000000</f>
        <v>4.2625000000000002</v>
      </c>
      <c r="W934" s="38">
        <f>(1000*CHOOSE(CONTROL!$C$42, 0.1146, 0.1146)*CHOOSE(CONTROL!$C$42, 121.5, 121.5)*CHOOSE(CONTROL!$C$42, 31, 31))/1000000</f>
        <v>0.43164089999999994</v>
      </c>
      <c r="X934" s="38">
        <f>(31*0.1790888*245000/1000000)+(31*0.2374*100000/1000000)</f>
        <v>2.0961194359999999</v>
      </c>
      <c r="Y934" s="38">
        <f>(1000*600*CHOOSE(CONTROL!$C$42, 1.0585, 1.0585)*CHOOSE(CONTROL!$C$42, 31, 31))/1000000</f>
        <v>19.688099999999999</v>
      </c>
      <c r="Z934" s="38"/>
      <c r="AA934" s="10"/>
      <c r="AB934" s="39"/>
      <c r="AC934" s="33">
        <f>(B934*131.881+C934*277.167+D934*79.08+E934*125.872+F934*40+G934*185+H934*0+I934*100+J934*300)/(131.881+277.167+79.08+125.872+0+40+185+100+300)</f>
        <v>29.872920174656976</v>
      </c>
      <c r="AD934" s="27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29.640462589928052</v>
      </c>
    </row>
    <row r="935" spans="1:30" ht="15.75" x14ac:dyDescent="0.25">
      <c r="A935" s="13">
        <v>69732</v>
      </c>
      <c r="B935" s="10">
        <f>CHOOSE(CONTROL!$C$42, 30.6388, 30.6388) * CHOOSE(CONTROL!$C$21, $C$9, 100%, $E$9)</f>
        <v>30.6388</v>
      </c>
      <c r="C935" s="10">
        <f>CHOOSE(CONTROL!$C$42, 30.6437, 30.6437) * CHOOSE(CONTROL!$C$21, $C$9, 100%, $E$9)</f>
        <v>30.643699999999999</v>
      </c>
      <c r="D935" s="10">
        <f>CHOOSE(CONTROL!$C$42, 30.6682, 30.6682) * CHOOSE(CONTROL!$C$21, $C$9, 100%, $E$9)</f>
        <v>30.668199999999999</v>
      </c>
      <c r="E935" s="10">
        <f>CHOOSE(CONTROL!$C$42, 30.702, 30.702) * CHOOSE(CONTROL!$C$21, $C$9, 100%, $E$9)</f>
        <v>30.702000000000002</v>
      </c>
      <c r="F935" s="10">
        <f>CHOOSE(CONTROL!$C$42, 30.6081, 30.6081)*CHOOSE(CONTROL!$C$21, $C$9, 100%, $E$9)</f>
        <v>30.6081</v>
      </c>
      <c r="G935" s="10">
        <f>CHOOSE(CONTROL!$C$42, 30.6245, 30.6245)*CHOOSE(CONTROL!$C$21, $C$9, 100%, $E$9)</f>
        <v>30.624500000000001</v>
      </c>
      <c r="H935" s="10">
        <f>CHOOSE(CONTROL!$C$42, 30.6912, 30.6912) * CHOOSE(CONTROL!$C$21, $C$9, 100%, $E$9)</f>
        <v>30.691199999999998</v>
      </c>
      <c r="I935" s="10">
        <f>CHOOSE(CONTROL!$C$42, 30.6255, 30.6255)* CHOOSE(CONTROL!$C$21, $C$9, 100%, $E$9)</f>
        <v>30.625499999999999</v>
      </c>
      <c r="J935" s="10">
        <f>CHOOSE(CONTROL!$C$42, 30.6011, 30.6011)* CHOOSE(CONTROL!$C$21, $C$9, 100%, $E$9)</f>
        <v>30.601099999999999</v>
      </c>
      <c r="K935" s="10">
        <f>CHOOSE(CONTROL!$C$42, 29.8924, 29.8924) * CHOOSE(CONTROL!$C$21, $C$9, 100%, $E$9)</f>
        <v>29.892399999999999</v>
      </c>
      <c r="L935" s="10">
        <f>CHOOSE(CONTROL!$C$42, 31.2782, 31.2782) * CHOOSE(CONTROL!$C$21, $C$9, 100%, $E$9)</f>
        <v>31.278199999999998</v>
      </c>
      <c r="M935" s="10">
        <f>CHOOSE(CONTROL!$C$42, 30.3061, 30.3061) * CHOOSE(CONTROL!$C$21, $C$9, 100%, $E$9)</f>
        <v>30.306100000000001</v>
      </c>
      <c r="N935" s="10">
        <f>CHOOSE(CONTROL!$C$42, 30.3224, 30.3224) * CHOOSE(CONTROL!$C$21, $C$9, 100%, $E$9)</f>
        <v>30.322399999999998</v>
      </c>
      <c r="O935" s="10">
        <f>CHOOSE(CONTROL!$C$42, 30.3953, 30.3953) * CHOOSE(CONTROL!$C$21, $C$9, 100%, $E$9)</f>
        <v>30.395299999999999</v>
      </c>
      <c r="P935" s="10">
        <f>CHOOSE(CONTROL!$C$42, 30.3303, 30.3303) * CHOOSE(CONTROL!$C$21, $C$9, 100%, $E$9)</f>
        <v>30.330300000000001</v>
      </c>
      <c r="Q935" s="10">
        <f>CHOOSE(CONTROL!$C$42, 30.9906, 30.9906) * CHOOSE(CONTROL!$C$21, $C$9, 100%, $E$9)</f>
        <v>30.990600000000001</v>
      </c>
      <c r="R935" s="10">
        <f>CHOOSE(CONTROL!$C$42, 31.655, 31.655) * CHOOSE(CONTROL!$C$21, $C$9, 100%, $E$9)</f>
        <v>31.655000000000001</v>
      </c>
      <c r="S935" s="10">
        <f>CHOOSE(CONTROL!$C$42, 29.7512, 29.7512) * CHOOSE(CONTROL!$C$21, $C$9, 100%, $E$9)</f>
        <v>29.751200000000001</v>
      </c>
      <c r="T9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38">
        <f>(1000*CHOOSE(CONTROL!$C$42, 695, 695)*CHOOSE(CONTROL!$C$42, 0.5599, 0.5599)*CHOOSE(CONTROL!$C$42, 30, 30))/1000000</f>
        <v>11.673914999999997</v>
      </c>
      <c r="V935" s="38">
        <f>(1000*CHOOSE(CONTROL!$C$42, 500, 500)*CHOOSE(CONTROL!$C$42, 0.275, 0.275)*CHOOSE(CONTROL!$C$42, 30, 30))/1000000</f>
        <v>4.125</v>
      </c>
      <c r="W935" s="38">
        <f>(1000*CHOOSE(CONTROL!$C$42, 0.1146, 0.1146)*CHOOSE(CONTROL!$C$42, 121.5, 121.5)*CHOOSE(CONTROL!$C$42, 30, 30))/1000000</f>
        <v>0.417717</v>
      </c>
      <c r="X935" s="38">
        <f>(30*0.1790888*100000/1000000)+(30*0.2374*100000/1000000)</f>
        <v>1.2494664</v>
      </c>
      <c r="Y935" s="38">
        <f>(1000*600*CHOOSE(CONTROL!$C$42, 1.0585, 1.0585)*CHOOSE(CONTROL!$C$42, 30, 30))/1000000</f>
        <v>19.053000000000001</v>
      </c>
      <c r="Z935" s="38"/>
      <c r="AA935" s="10"/>
      <c r="AB935" s="39"/>
      <c r="AC935" s="33">
        <f>(B935*122.58+C935*297.941+D935*89.177+E935*40.302+F935*40+G935*160+H935*0+I935*100+J935*300)/(122.58+297.941+89.177+40.302+0+40+160+100+300)</f>
        <v>30.63051547921739</v>
      </c>
      <c r="AD935" s="27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30.35094892086331</v>
      </c>
    </row>
    <row r="936" spans="1:30" ht="15.75" x14ac:dyDescent="0.25">
      <c r="A936" s="13">
        <v>69763</v>
      </c>
      <c r="B936" s="10">
        <f>CHOOSE(CONTROL!$C$42, 32.7275, 32.7275) * CHOOSE(CONTROL!$C$21, $C$9, 100%, $E$9)</f>
        <v>32.727499999999999</v>
      </c>
      <c r="C936" s="10">
        <f>CHOOSE(CONTROL!$C$42, 32.7325, 32.7325) * CHOOSE(CONTROL!$C$21, $C$9, 100%, $E$9)</f>
        <v>32.732500000000002</v>
      </c>
      <c r="D936" s="10">
        <f>CHOOSE(CONTROL!$C$42, 32.7569, 32.7569) * CHOOSE(CONTROL!$C$21, $C$9, 100%, $E$9)</f>
        <v>32.756900000000002</v>
      </c>
      <c r="E936" s="10">
        <f>CHOOSE(CONTROL!$C$42, 32.7907, 32.7907) * CHOOSE(CONTROL!$C$21, $C$9, 100%, $E$9)</f>
        <v>32.790700000000001</v>
      </c>
      <c r="F936" s="10">
        <f>CHOOSE(CONTROL!$C$42, 32.6991, 32.6991)*CHOOSE(CONTROL!$C$21, $C$9, 100%, $E$9)</f>
        <v>32.699100000000001</v>
      </c>
      <c r="G936" s="10">
        <f>CHOOSE(CONTROL!$C$42, 32.7162, 32.7162)*CHOOSE(CONTROL!$C$21, $C$9, 100%, $E$9)</f>
        <v>32.716200000000001</v>
      </c>
      <c r="H936" s="10">
        <f>CHOOSE(CONTROL!$C$42, 32.7799, 32.7799) * CHOOSE(CONTROL!$C$21, $C$9, 100%, $E$9)</f>
        <v>32.779899999999998</v>
      </c>
      <c r="I936" s="10">
        <f>CHOOSE(CONTROL!$C$42, 32.7143, 32.7143)* CHOOSE(CONTROL!$C$21, $C$9, 100%, $E$9)</f>
        <v>32.714300000000001</v>
      </c>
      <c r="J936" s="10">
        <f>CHOOSE(CONTROL!$C$42, 32.6921, 32.6921)* CHOOSE(CONTROL!$C$21, $C$9, 100%, $E$9)</f>
        <v>32.692100000000003</v>
      </c>
      <c r="K936" s="10">
        <f>CHOOSE(CONTROL!$C$42, 31.9268, 31.9268) * CHOOSE(CONTROL!$C$21, $C$9, 100%, $E$9)</f>
        <v>31.9268</v>
      </c>
      <c r="L936" s="10">
        <f>CHOOSE(CONTROL!$C$42, 33.3669, 33.3669) * CHOOSE(CONTROL!$C$21, $C$9, 100%, $E$9)</f>
        <v>33.366900000000001</v>
      </c>
      <c r="M936" s="10">
        <f>CHOOSE(CONTROL!$C$42, 32.376, 32.376) * CHOOSE(CONTROL!$C$21, $C$9, 100%, $E$9)</f>
        <v>32.375999999999998</v>
      </c>
      <c r="N936" s="10">
        <f>CHOOSE(CONTROL!$C$42, 32.3929, 32.3929) * CHOOSE(CONTROL!$C$21, $C$9, 100%, $E$9)</f>
        <v>32.392899999999997</v>
      </c>
      <c r="O936" s="10">
        <f>CHOOSE(CONTROL!$C$42, 32.4629, 32.4629) * CHOOSE(CONTROL!$C$21, $C$9, 100%, $E$9)</f>
        <v>32.462899999999998</v>
      </c>
      <c r="P936" s="10">
        <f>CHOOSE(CONTROL!$C$42, 32.398, 32.398) * CHOOSE(CONTROL!$C$21, $C$9, 100%, $E$9)</f>
        <v>32.398000000000003</v>
      </c>
      <c r="Q936" s="10">
        <f>CHOOSE(CONTROL!$C$42, 33.0582, 33.0582) * CHOOSE(CONTROL!$C$21, $C$9, 100%, $E$9)</f>
        <v>33.058199999999999</v>
      </c>
      <c r="R936" s="10">
        <f>CHOOSE(CONTROL!$C$42, 33.7279, 33.7279) * CHOOSE(CONTROL!$C$21, $C$9, 100%, $E$9)</f>
        <v>33.727899999999998</v>
      </c>
      <c r="S936" s="10">
        <f>CHOOSE(CONTROL!$C$42, 31.7795, 31.7795) * CHOOSE(CONTROL!$C$21, $C$9, 100%, $E$9)</f>
        <v>31.779499999999999</v>
      </c>
      <c r="T9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38">
        <f>(1000*CHOOSE(CONTROL!$C$42, 695, 695)*CHOOSE(CONTROL!$C$42, 0.5599, 0.5599)*CHOOSE(CONTROL!$C$42, 31, 31))/1000000</f>
        <v>12.063045499999998</v>
      </c>
      <c r="V936" s="38">
        <f>(1000*CHOOSE(CONTROL!$C$42, 500, 500)*CHOOSE(CONTROL!$C$42, 0.275, 0.275)*CHOOSE(CONTROL!$C$42, 31, 31))/1000000</f>
        <v>4.2625000000000002</v>
      </c>
      <c r="W936" s="38">
        <f>(1000*CHOOSE(CONTROL!$C$42, 0.1146, 0.1146)*CHOOSE(CONTROL!$C$42, 121.5, 121.5)*CHOOSE(CONTROL!$C$42, 31, 31))/1000000</f>
        <v>0.43164089999999994</v>
      </c>
      <c r="X936" s="38">
        <f>(31*0.1790888*100000/1000000)+(31*0.2374*100000/1000000)</f>
        <v>1.2911152800000001</v>
      </c>
      <c r="Y936" s="38">
        <f>(1000*600*CHOOSE(CONTROL!$C$42, 1.0585, 1.0585)*CHOOSE(CONTROL!$C$42, 31, 31))/1000000</f>
        <v>19.688099999999999</v>
      </c>
      <c r="Z936" s="38"/>
      <c r="AA936" s="10"/>
      <c r="AB936" s="39"/>
      <c r="AC936" s="33">
        <f>(B936*122.58+C936*297.941+D936*89.177+E936*40.302+F936*40+G936*160+H936*0+I936*100+J936*300)/(122.58+297.941+89.177+40.302+0+40+160+100+300)</f>
        <v>32.720347474086957</v>
      </c>
      <c r="AD936" s="27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32.419524460431653</v>
      </c>
    </row>
    <row r="937" spans="1:30" ht="15.75" x14ac:dyDescent="0.25">
      <c r="A937" s="13">
        <v>69794</v>
      </c>
      <c r="B937" s="10">
        <f>CHOOSE(CONTROL!$C$42, 34.9362, 34.9362) * CHOOSE(CONTROL!$C$21, $C$9, 100%, $E$9)</f>
        <v>34.936199999999999</v>
      </c>
      <c r="C937" s="10">
        <f>CHOOSE(CONTROL!$C$42, 34.9412, 34.9412) * CHOOSE(CONTROL!$C$21, $C$9, 100%, $E$9)</f>
        <v>34.941200000000002</v>
      </c>
      <c r="D937" s="10">
        <f>CHOOSE(CONTROL!$C$42, 34.9656, 34.9656) * CHOOSE(CONTROL!$C$21, $C$9, 100%, $E$9)</f>
        <v>34.965600000000002</v>
      </c>
      <c r="E937" s="10">
        <f>CHOOSE(CONTROL!$C$42, 34.9994, 34.9994) * CHOOSE(CONTROL!$C$21, $C$9, 100%, $E$9)</f>
        <v>34.999400000000001</v>
      </c>
      <c r="F937" s="10">
        <f>CHOOSE(CONTROL!$C$42, 34.9192, 34.9192)*CHOOSE(CONTROL!$C$21, $C$9, 100%, $E$9)</f>
        <v>34.919199999999996</v>
      </c>
      <c r="G937" s="10">
        <f>CHOOSE(CONTROL!$C$42, 34.9378, 34.9378)*CHOOSE(CONTROL!$C$21, $C$9, 100%, $E$9)</f>
        <v>34.937800000000003</v>
      </c>
      <c r="H937" s="10">
        <f>CHOOSE(CONTROL!$C$42, 34.9886, 34.9886) * CHOOSE(CONTROL!$C$21, $C$9, 100%, $E$9)</f>
        <v>34.988599999999998</v>
      </c>
      <c r="I937" s="10">
        <f>CHOOSE(CONTROL!$C$42, 34.9307, 34.9307)* CHOOSE(CONTROL!$C$21, $C$9, 100%, $E$9)</f>
        <v>34.930700000000002</v>
      </c>
      <c r="J937" s="10">
        <f>CHOOSE(CONTROL!$C$42, 34.9122, 34.9122)* CHOOSE(CONTROL!$C$21, $C$9, 100%, $E$9)</f>
        <v>34.912199999999999</v>
      </c>
      <c r="K937" s="10">
        <f>CHOOSE(CONTROL!$C$42, 34.0937, 34.0937) * CHOOSE(CONTROL!$C$21, $C$9, 100%, $E$9)</f>
        <v>34.093699999999998</v>
      </c>
      <c r="L937" s="10">
        <f>CHOOSE(CONTROL!$C$42, 35.5756, 35.5756) * CHOOSE(CONTROL!$C$21, $C$9, 100%, $E$9)</f>
        <v>35.575600000000001</v>
      </c>
      <c r="M937" s="10">
        <f>CHOOSE(CONTROL!$C$42, 34.5737, 34.5737) * CHOOSE(CONTROL!$C$21, $C$9, 100%, $E$9)</f>
        <v>34.573700000000002</v>
      </c>
      <c r="N937" s="10">
        <f>CHOOSE(CONTROL!$C$42, 34.5921, 34.5921) * CHOOSE(CONTROL!$C$21, $C$9, 100%, $E$9)</f>
        <v>34.592100000000002</v>
      </c>
      <c r="O937" s="10">
        <f>CHOOSE(CONTROL!$C$42, 34.6493, 34.6493) * CHOOSE(CONTROL!$C$21, $C$9, 100%, $E$9)</f>
        <v>34.649299999999997</v>
      </c>
      <c r="P937" s="10">
        <f>CHOOSE(CONTROL!$C$42, 34.5921, 34.5921) * CHOOSE(CONTROL!$C$21, $C$9, 100%, $E$9)</f>
        <v>34.592100000000002</v>
      </c>
      <c r="Q937" s="10">
        <f>CHOOSE(CONTROL!$C$42, 35.2446, 35.2446) * CHOOSE(CONTROL!$C$21, $C$9, 100%, $E$9)</f>
        <v>35.244599999999998</v>
      </c>
      <c r="R937" s="10">
        <f>CHOOSE(CONTROL!$C$42, 35.9198, 35.9198) * CHOOSE(CONTROL!$C$21, $C$9, 100%, $E$9)</f>
        <v>35.919800000000002</v>
      </c>
      <c r="S937" s="10">
        <f>CHOOSE(CONTROL!$C$42, 33.9244, 33.9244) * CHOOSE(CONTROL!$C$21, $C$9, 100%, $E$9)</f>
        <v>33.924399999999999</v>
      </c>
      <c r="T9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38">
        <f>(1000*CHOOSE(CONTROL!$C$42, 695, 695)*CHOOSE(CONTROL!$C$42, 0.5599, 0.5599)*CHOOSE(CONTROL!$C$42, 31, 31))/1000000</f>
        <v>12.063045499999998</v>
      </c>
      <c r="V937" s="38">
        <f>(1000*CHOOSE(CONTROL!$C$42, 500, 500)*CHOOSE(CONTROL!$C$42, 0.275, 0.275)*CHOOSE(CONTROL!$C$42, 31, 31))/1000000</f>
        <v>4.2625000000000002</v>
      </c>
      <c r="W937" s="38">
        <f>(1000*CHOOSE(CONTROL!$C$42, 0.1146, 0.1146)*CHOOSE(CONTROL!$C$42, 121.5, 121.5)*CHOOSE(CONTROL!$C$42, 31, 31))/1000000</f>
        <v>0.43164089999999994</v>
      </c>
      <c r="X937" s="38">
        <f>(31*0.1790888*100000/1000000)+(31*0.2374*100000/1000000)</f>
        <v>1.2911152800000001</v>
      </c>
      <c r="Y937" s="38">
        <f>(1000*600*CHOOSE(CONTROL!$C$42, 1.0585, 1.0585)*CHOOSE(CONTROL!$C$42, 31, 31))/1000000</f>
        <v>19.688099999999999</v>
      </c>
      <c r="Z937" s="38"/>
      <c r="AA937" s="10"/>
      <c r="AB937" s="39"/>
      <c r="AC937" s="33">
        <f>(B937*122.58+C937*297.941+D937*89.177+E937*40.302+F937*40+G937*160+H937*0+I937*100+J937*300)/(122.58+297.941+89.177+40.302+0+40+160+100+300)</f>
        <v>34.934882256695658</v>
      </c>
      <c r="AD937" s="27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34.611671223021581</v>
      </c>
    </row>
    <row r="938" spans="1:30" ht="15.75" x14ac:dyDescent="0.25">
      <c r="A938" s="13">
        <v>69822</v>
      </c>
      <c r="B938" s="10">
        <f>CHOOSE(CONTROL!$C$42, 35.5581, 35.5581) * CHOOSE(CONTROL!$C$21, $C$9, 100%, $E$9)</f>
        <v>35.558100000000003</v>
      </c>
      <c r="C938" s="10">
        <f>CHOOSE(CONTROL!$C$42, 35.563, 35.563) * CHOOSE(CONTROL!$C$21, $C$9, 100%, $E$9)</f>
        <v>35.563000000000002</v>
      </c>
      <c r="D938" s="10">
        <f>CHOOSE(CONTROL!$C$42, 35.5875, 35.5875) * CHOOSE(CONTROL!$C$21, $C$9, 100%, $E$9)</f>
        <v>35.587499999999999</v>
      </c>
      <c r="E938" s="10">
        <f>CHOOSE(CONTROL!$C$42, 35.6213, 35.6213) * CHOOSE(CONTROL!$C$21, $C$9, 100%, $E$9)</f>
        <v>35.621299999999998</v>
      </c>
      <c r="F938" s="10">
        <f>CHOOSE(CONTROL!$C$42, 35.5403, 35.5403)*CHOOSE(CONTROL!$C$21, $C$9, 100%, $E$9)</f>
        <v>35.540300000000002</v>
      </c>
      <c r="G938" s="10">
        <f>CHOOSE(CONTROL!$C$42, 35.5588, 35.5588)*CHOOSE(CONTROL!$C$21, $C$9, 100%, $E$9)</f>
        <v>35.558799999999998</v>
      </c>
      <c r="H938" s="10">
        <f>CHOOSE(CONTROL!$C$42, 35.6105, 35.6105) * CHOOSE(CONTROL!$C$21, $C$9, 100%, $E$9)</f>
        <v>35.610500000000002</v>
      </c>
      <c r="I938" s="10">
        <f>CHOOSE(CONTROL!$C$42, 35.5526, 35.5526)* CHOOSE(CONTROL!$C$21, $C$9, 100%, $E$9)</f>
        <v>35.552599999999998</v>
      </c>
      <c r="J938" s="10">
        <f>CHOOSE(CONTROL!$C$42, 35.5333, 35.5333)* CHOOSE(CONTROL!$C$21, $C$9, 100%, $E$9)</f>
        <v>35.533299999999997</v>
      </c>
      <c r="K938" s="10">
        <f>CHOOSE(CONTROL!$C$42, 34.6964, 34.6964) * CHOOSE(CONTROL!$C$21, $C$9, 100%, $E$9)</f>
        <v>34.696399999999997</v>
      </c>
      <c r="L938" s="10">
        <f>CHOOSE(CONTROL!$C$42, 36.1975, 36.1975) * CHOOSE(CONTROL!$C$21, $C$9, 100%, $E$9)</f>
        <v>36.197499999999998</v>
      </c>
      <c r="M938" s="10">
        <f>CHOOSE(CONTROL!$C$42, 35.1886, 35.1886) * CHOOSE(CONTROL!$C$21, $C$9, 100%, $E$9)</f>
        <v>35.188600000000001</v>
      </c>
      <c r="N938" s="10">
        <f>CHOOSE(CONTROL!$C$42, 35.2069, 35.2069) * CHOOSE(CONTROL!$C$21, $C$9, 100%, $E$9)</f>
        <v>35.206899999999997</v>
      </c>
      <c r="O938" s="10">
        <f>CHOOSE(CONTROL!$C$42, 35.2649, 35.2649) * CHOOSE(CONTROL!$C$21, $C$9, 100%, $E$9)</f>
        <v>35.264899999999997</v>
      </c>
      <c r="P938" s="10">
        <f>CHOOSE(CONTROL!$C$42, 35.2077, 35.2077) * CHOOSE(CONTROL!$C$21, $C$9, 100%, $E$9)</f>
        <v>35.207700000000003</v>
      </c>
      <c r="Q938" s="10">
        <f>CHOOSE(CONTROL!$C$42, 35.8602, 35.8602) * CHOOSE(CONTROL!$C$21, $C$9, 100%, $E$9)</f>
        <v>35.860199999999999</v>
      </c>
      <c r="R938" s="10">
        <f>CHOOSE(CONTROL!$C$42, 36.5369, 36.5369) * CHOOSE(CONTROL!$C$21, $C$9, 100%, $E$9)</f>
        <v>36.536900000000003</v>
      </c>
      <c r="S938" s="10">
        <f>CHOOSE(CONTROL!$C$42, 34.5283, 34.5283) * CHOOSE(CONTROL!$C$21, $C$9, 100%, $E$9)</f>
        <v>34.528300000000002</v>
      </c>
      <c r="T9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38">
        <f>(1000*CHOOSE(CONTROL!$C$42, 695, 695)*CHOOSE(CONTROL!$C$42, 0.5599, 0.5599)*CHOOSE(CONTROL!$C$42, 28, 28))/1000000</f>
        <v>10.895653999999999</v>
      </c>
      <c r="V938" s="38">
        <f>(1000*CHOOSE(CONTROL!$C$42, 500, 500)*CHOOSE(CONTROL!$C$42, 0.275, 0.275)*CHOOSE(CONTROL!$C$42, 28, 28))/1000000</f>
        <v>3.85</v>
      </c>
      <c r="W938" s="38">
        <f>(1000*CHOOSE(CONTROL!$C$42, 0.1146, 0.1146)*CHOOSE(CONTROL!$C$42, 121.5, 121.5)*CHOOSE(CONTROL!$C$42, 28, 28))/1000000</f>
        <v>0.38986920000000003</v>
      </c>
      <c r="X938" s="38">
        <f>(28*0.1790888*100000/1000000)+(28*0.2374*100000/1000000)</f>
        <v>1.16616864</v>
      </c>
      <c r="Y938" s="38">
        <f>(1000*600*CHOOSE(CONTROL!$C$42, 1.0585, 1.0585)*CHOOSE(CONTROL!$C$42, 28, 28))/1000000</f>
        <v>17.782800000000002</v>
      </c>
      <c r="Z938" s="38"/>
      <c r="AA938" s="10"/>
      <c r="AB938" s="39"/>
      <c r="AC938" s="33">
        <f>(B938*122.58+C938*297.941+D938*89.177+E938*40.302+F938*40+G938*160+H938*0+I938*100+J938*300)/(122.58+297.941+89.177+40.302+0+40+160+100+300)</f>
        <v>35.556394609652173</v>
      </c>
      <c r="AD938" s="27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35.226983453237416</v>
      </c>
    </row>
    <row r="939" spans="1:30" ht="15.75" x14ac:dyDescent="0.25">
      <c r="A939" s="13">
        <v>69853</v>
      </c>
      <c r="B939" s="10">
        <f>CHOOSE(CONTROL!$C$42, 34.5486, 34.5486) * CHOOSE(CONTROL!$C$21, $C$9, 100%, $E$9)</f>
        <v>34.5486</v>
      </c>
      <c r="C939" s="10">
        <f>CHOOSE(CONTROL!$C$42, 34.5536, 34.5536) * CHOOSE(CONTROL!$C$21, $C$9, 100%, $E$9)</f>
        <v>34.553600000000003</v>
      </c>
      <c r="D939" s="10">
        <f>CHOOSE(CONTROL!$C$42, 34.5781, 34.5781) * CHOOSE(CONTROL!$C$21, $C$9, 100%, $E$9)</f>
        <v>34.578099999999999</v>
      </c>
      <c r="E939" s="10">
        <f>CHOOSE(CONTROL!$C$42, 34.6118, 34.6118) * CHOOSE(CONTROL!$C$21, $C$9, 100%, $E$9)</f>
        <v>34.611800000000002</v>
      </c>
      <c r="F939" s="10">
        <f>CHOOSE(CONTROL!$C$42, 34.5294, 34.5294)*CHOOSE(CONTROL!$C$21, $C$9, 100%, $E$9)</f>
        <v>34.529400000000003</v>
      </c>
      <c r="G939" s="10">
        <f>CHOOSE(CONTROL!$C$42, 34.5474, 34.5474)*CHOOSE(CONTROL!$C$21, $C$9, 100%, $E$9)</f>
        <v>34.547400000000003</v>
      </c>
      <c r="H939" s="10">
        <f>CHOOSE(CONTROL!$C$42, 34.601, 34.601) * CHOOSE(CONTROL!$C$21, $C$9, 100%, $E$9)</f>
        <v>34.600999999999999</v>
      </c>
      <c r="I939" s="10">
        <f>CHOOSE(CONTROL!$C$42, 34.5431, 34.5431)* CHOOSE(CONTROL!$C$21, $C$9, 100%, $E$9)</f>
        <v>34.543100000000003</v>
      </c>
      <c r="J939" s="10">
        <f>CHOOSE(CONTROL!$C$42, 34.5224, 34.5224)* CHOOSE(CONTROL!$C$21, $C$9, 100%, $E$9)</f>
        <v>34.522399999999998</v>
      </c>
      <c r="K939" s="10">
        <f>CHOOSE(CONTROL!$C$42, 33.7123, 33.7123) * CHOOSE(CONTROL!$C$21, $C$9, 100%, $E$9)</f>
        <v>33.712299999999999</v>
      </c>
      <c r="L939" s="10">
        <f>CHOOSE(CONTROL!$C$42, 35.188, 35.188) * CHOOSE(CONTROL!$C$21, $C$9, 100%, $E$9)</f>
        <v>35.188000000000002</v>
      </c>
      <c r="M939" s="10">
        <f>CHOOSE(CONTROL!$C$42, 34.1878, 34.1878) * CHOOSE(CONTROL!$C$21, $C$9, 100%, $E$9)</f>
        <v>34.187800000000003</v>
      </c>
      <c r="N939" s="10">
        <f>CHOOSE(CONTROL!$C$42, 34.2057, 34.2057) * CHOOSE(CONTROL!$C$21, $C$9, 100%, $E$9)</f>
        <v>34.2057</v>
      </c>
      <c r="O939" s="10">
        <f>CHOOSE(CONTROL!$C$42, 34.2657, 34.2657) * CHOOSE(CONTROL!$C$21, $C$9, 100%, $E$9)</f>
        <v>34.265700000000002</v>
      </c>
      <c r="P939" s="10">
        <f>CHOOSE(CONTROL!$C$42, 34.2084, 34.2084) * CHOOSE(CONTROL!$C$21, $C$9, 100%, $E$9)</f>
        <v>34.208399999999997</v>
      </c>
      <c r="Q939" s="10">
        <f>CHOOSE(CONTROL!$C$42, 34.861, 34.861) * CHOOSE(CONTROL!$C$21, $C$9, 100%, $E$9)</f>
        <v>34.860999999999997</v>
      </c>
      <c r="R939" s="10">
        <f>CHOOSE(CONTROL!$C$42, 35.5351, 35.5351) * CHOOSE(CONTROL!$C$21, $C$9, 100%, $E$9)</f>
        <v>35.5351</v>
      </c>
      <c r="S939" s="10">
        <f>CHOOSE(CONTROL!$C$42, 33.5481, 33.5481) * CHOOSE(CONTROL!$C$21, $C$9, 100%, $E$9)</f>
        <v>33.548099999999998</v>
      </c>
      <c r="T9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38">
        <f>(1000*CHOOSE(CONTROL!$C$42, 695, 695)*CHOOSE(CONTROL!$C$42, 0.5599, 0.5599)*CHOOSE(CONTROL!$C$42, 31, 31))/1000000</f>
        <v>12.063045499999998</v>
      </c>
      <c r="V939" s="38">
        <f>(1000*CHOOSE(CONTROL!$C$42, 500, 500)*CHOOSE(CONTROL!$C$42, 0.275, 0.275)*CHOOSE(CONTROL!$C$42, 31, 31))/1000000</f>
        <v>4.2625000000000002</v>
      </c>
      <c r="W939" s="38">
        <f>(1000*CHOOSE(CONTROL!$C$42, 0.1146, 0.1146)*CHOOSE(CONTROL!$C$42, 121.5, 121.5)*CHOOSE(CONTROL!$C$42, 31, 31))/1000000</f>
        <v>0.43164089999999994</v>
      </c>
      <c r="X939" s="38">
        <f>(31*0.1790888*100000/1000000)+(31*0.2374*100000/1000000)</f>
        <v>1.2911152800000001</v>
      </c>
      <c r="Y939" s="38">
        <f>(1000*600*CHOOSE(CONTROL!$C$42, 1.0585, 1.0585)*CHOOSE(CONTROL!$C$42, 31, 31))/1000000</f>
        <v>19.688099999999999</v>
      </c>
      <c r="Z939" s="38"/>
      <c r="AA939" s="10"/>
      <c r="AB939" s="39"/>
      <c r="AC939" s="33">
        <f>(B939*122.58+C939*297.941+D939*89.177+E939*40.302+F939*40+G939*160+H939*0+I939*100+J939*300)/(122.58+297.941+89.177+40.302+0+40+160+100+300)</f>
        <v>34.546250011217388</v>
      </c>
      <c r="AD939" s="27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34.227101438848919</v>
      </c>
    </row>
    <row r="940" spans="1:30" ht="15.75" x14ac:dyDescent="0.25">
      <c r="A940" s="13">
        <v>69883</v>
      </c>
      <c r="B940" s="10">
        <f>CHOOSE(CONTROL!$C$42, 34.446, 34.446) * CHOOSE(CONTROL!$C$21, $C$9, 100%, $E$9)</f>
        <v>34.445999999999998</v>
      </c>
      <c r="C940" s="10">
        <f>CHOOSE(CONTROL!$C$42, 34.4504, 34.4504) * CHOOSE(CONTROL!$C$21, $C$9, 100%, $E$9)</f>
        <v>34.450400000000002</v>
      </c>
      <c r="D940" s="10">
        <f>CHOOSE(CONTROL!$C$42, 34.6305, 34.6305) * CHOOSE(CONTROL!$C$21, $C$9, 100%, $E$9)</f>
        <v>34.630499999999998</v>
      </c>
      <c r="E940" s="10">
        <f>CHOOSE(CONTROL!$C$42, 34.6623, 34.6623) * CHOOSE(CONTROL!$C$21, $C$9, 100%, $E$9)</f>
        <v>34.662300000000002</v>
      </c>
      <c r="F940" s="10">
        <f>CHOOSE(CONTROL!$C$42, 34.4113, 34.4113)*CHOOSE(CONTROL!$C$21, $C$9, 100%, $E$9)</f>
        <v>34.411299999999997</v>
      </c>
      <c r="G940" s="10">
        <f>CHOOSE(CONTROL!$C$42, 34.4276, 34.4276)*CHOOSE(CONTROL!$C$21, $C$9, 100%, $E$9)</f>
        <v>34.427599999999998</v>
      </c>
      <c r="H940" s="10">
        <f>CHOOSE(CONTROL!$C$42, 34.6521, 34.6521) * CHOOSE(CONTROL!$C$21, $C$9, 100%, $E$9)</f>
        <v>34.652099999999997</v>
      </c>
      <c r="I940" s="10">
        <f>CHOOSE(CONTROL!$C$42, 34.432, 34.432)* CHOOSE(CONTROL!$C$21, $C$9, 100%, $E$9)</f>
        <v>34.432000000000002</v>
      </c>
      <c r="J940" s="10">
        <f>CHOOSE(CONTROL!$C$42, 34.4043, 34.4043)* CHOOSE(CONTROL!$C$21, $C$9, 100%, $E$9)</f>
        <v>34.404299999999999</v>
      </c>
      <c r="K940" s="10">
        <f>CHOOSE(CONTROL!$C$42, 33.5893, 33.5893) * CHOOSE(CONTROL!$C$21, $C$9, 100%, $E$9)</f>
        <v>33.589300000000001</v>
      </c>
      <c r="L940" s="10">
        <f>CHOOSE(CONTROL!$C$42, 35.2391, 35.2391) * CHOOSE(CONTROL!$C$21, $C$9, 100%, $E$9)</f>
        <v>35.239100000000001</v>
      </c>
      <c r="M940" s="10">
        <f>CHOOSE(CONTROL!$C$42, 34.0709, 34.0709) * CHOOSE(CONTROL!$C$21, $C$9, 100%, $E$9)</f>
        <v>34.070900000000002</v>
      </c>
      <c r="N940" s="10">
        <f>CHOOSE(CONTROL!$C$42, 34.087, 34.087) * CHOOSE(CONTROL!$C$21, $C$9, 100%, $E$9)</f>
        <v>34.087000000000003</v>
      </c>
      <c r="O940" s="10">
        <f>CHOOSE(CONTROL!$C$42, 34.3162, 34.3162) * CHOOSE(CONTROL!$C$21, $C$9, 100%, $E$9)</f>
        <v>34.316200000000002</v>
      </c>
      <c r="P940" s="10">
        <f>CHOOSE(CONTROL!$C$42, 34.0984, 34.0984) * CHOOSE(CONTROL!$C$21, $C$9, 100%, $E$9)</f>
        <v>34.098399999999998</v>
      </c>
      <c r="Q940" s="10">
        <f>CHOOSE(CONTROL!$C$42, 34.9115, 34.9115) * CHOOSE(CONTROL!$C$21, $C$9, 100%, $E$9)</f>
        <v>34.911499999999997</v>
      </c>
      <c r="R940" s="10">
        <f>CHOOSE(CONTROL!$C$42, 35.5858, 35.5858) * CHOOSE(CONTROL!$C$21, $C$9, 100%, $E$9)</f>
        <v>35.585799999999999</v>
      </c>
      <c r="S940" s="10">
        <f>CHOOSE(CONTROL!$C$42, 33.4476, 33.4476) * CHOOSE(CONTROL!$C$21, $C$9, 100%, $E$9)</f>
        <v>33.447600000000001</v>
      </c>
      <c r="T9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38">
        <f>(1000*CHOOSE(CONTROL!$C$42, 695, 695)*CHOOSE(CONTROL!$C$42, 0.5599, 0.5599)*CHOOSE(CONTROL!$C$42, 30, 30))/1000000</f>
        <v>11.673914999999997</v>
      </c>
      <c r="V940" s="38">
        <f>(1000*CHOOSE(CONTROL!$C$42, 500, 500)*CHOOSE(CONTROL!$C$42, 0.275, 0.275)*CHOOSE(CONTROL!$C$42, 30, 30))/1000000</f>
        <v>4.125</v>
      </c>
      <c r="W940" s="38">
        <f>(1000*CHOOSE(CONTROL!$C$42, 0.1146, 0.1146)*CHOOSE(CONTROL!$C$42, 121.5, 121.5)*CHOOSE(CONTROL!$C$42, 30, 30))/1000000</f>
        <v>0.417717</v>
      </c>
      <c r="X940" s="38">
        <f>(30*0.1790888*245000/1000000)+(30*0.2374*100000/1000000)</f>
        <v>2.0285026799999999</v>
      </c>
      <c r="Y940" s="38">
        <f>(1000*600*CHOOSE(CONTROL!$C$42, 1.0585, 1.0585)*CHOOSE(CONTROL!$C$42, 30, 30))/1000000</f>
        <v>19.053000000000001</v>
      </c>
      <c r="Z940" s="38"/>
      <c r="AA940" s="10"/>
      <c r="AB940" s="39"/>
      <c r="AC940" s="33">
        <f>(B940*141.293+C940*267.993+D940*115.016+E940*89.698+F940*40+G940*185+H940*0+I940*100+J940*300)/(141.293+267.993+115.016+89.698+0+40+185+100+300)</f>
        <v>34.464643501694916</v>
      </c>
      <c r="AD940" s="27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34.186962589928058</v>
      </c>
    </row>
    <row r="941" spans="1:30" ht="15.75" x14ac:dyDescent="0.25">
      <c r="A941" s="13">
        <v>69914</v>
      </c>
      <c r="B941" s="10">
        <f>CHOOSE(CONTROL!$C$42, 34.7518, 34.7518) * CHOOSE(CONTROL!$C$21, $C$9, 100%, $E$9)</f>
        <v>34.751800000000003</v>
      </c>
      <c r="C941" s="10">
        <f>CHOOSE(CONTROL!$C$42, 34.7597, 34.7597) * CHOOSE(CONTROL!$C$21, $C$9, 100%, $E$9)</f>
        <v>34.759700000000002</v>
      </c>
      <c r="D941" s="10">
        <f>CHOOSE(CONTROL!$C$42, 34.9367, 34.9367) * CHOOSE(CONTROL!$C$21, $C$9, 100%, $E$9)</f>
        <v>34.936700000000002</v>
      </c>
      <c r="E941" s="10">
        <f>CHOOSE(CONTROL!$C$42, 34.9678, 34.9678) * CHOOSE(CONTROL!$C$21, $C$9, 100%, $E$9)</f>
        <v>34.967799999999997</v>
      </c>
      <c r="F941" s="10">
        <f>CHOOSE(CONTROL!$C$42, 34.7151, 34.7151)*CHOOSE(CONTROL!$C$21, $C$9, 100%, $E$9)</f>
        <v>34.7151</v>
      </c>
      <c r="G941" s="10">
        <f>CHOOSE(CONTROL!$C$42, 34.7316, 34.7316)*CHOOSE(CONTROL!$C$21, $C$9, 100%, $E$9)</f>
        <v>34.7316</v>
      </c>
      <c r="H941" s="10">
        <f>CHOOSE(CONTROL!$C$42, 34.9564, 34.9564) * CHOOSE(CONTROL!$C$21, $C$9, 100%, $E$9)</f>
        <v>34.956400000000002</v>
      </c>
      <c r="I941" s="10">
        <f>CHOOSE(CONTROL!$C$42, 34.7364, 34.7364)* CHOOSE(CONTROL!$C$21, $C$9, 100%, $E$9)</f>
        <v>34.736400000000003</v>
      </c>
      <c r="J941" s="10">
        <f>CHOOSE(CONTROL!$C$42, 34.7081, 34.7081)* CHOOSE(CONTROL!$C$21, $C$9, 100%, $E$9)</f>
        <v>34.708100000000002</v>
      </c>
      <c r="K941" s="10">
        <f>CHOOSE(CONTROL!$C$42, 33.8838, 33.8838) * CHOOSE(CONTROL!$C$21, $C$9, 100%, $E$9)</f>
        <v>33.883800000000001</v>
      </c>
      <c r="L941" s="10">
        <f>CHOOSE(CONTROL!$C$42, 35.5434, 35.5434) * CHOOSE(CONTROL!$C$21, $C$9, 100%, $E$9)</f>
        <v>35.543399999999998</v>
      </c>
      <c r="M941" s="10">
        <f>CHOOSE(CONTROL!$C$42, 34.3717, 34.3717) * CHOOSE(CONTROL!$C$21, $C$9, 100%, $E$9)</f>
        <v>34.371699999999997</v>
      </c>
      <c r="N941" s="10">
        <f>CHOOSE(CONTROL!$C$42, 34.388, 34.388) * CHOOSE(CONTROL!$C$21, $C$9, 100%, $E$9)</f>
        <v>34.387999999999998</v>
      </c>
      <c r="O941" s="10">
        <f>CHOOSE(CONTROL!$C$42, 34.6175, 34.6175) * CHOOSE(CONTROL!$C$21, $C$9, 100%, $E$9)</f>
        <v>34.6175</v>
      </c>
      <c r="P941" s="10">
        <f>CHOOSE(CONTROL!$C$42, 34.3997, 34.3997) * CHOOSE(CONTROL!$C$21, $C$9, 100%, $E$9)</f>
        <v>34.399700000000003</v>
      </c>
      <c r="Q941" s="10">
        <f>CHOOSE(CONTROL!$C$42, 35.2128, 35.2128) * CHOOSE(CONTROL!$C$21, $C$9, 100%, $E$9)</f>
        <v>35.212800000000001</v>
      </c>
      <c r="R941" s="10">
        <f>CHOOSE(CONTROL!$C$42, 35.8878, 35.8878) * CHOOSE(CONTROL!$C$21, $C$9, 100%, $E$9)</f>
        <v>35.887799999999999</v>
      </c>
      <c r="S941" s="10">
        <f>CHOOSE(CONTROL!$C$42, 33.7432, 33.7432) * CHOOSE(CONTROL!$C$21, $C$9, 100%, $E$9)</f>
        <v>33.743200000000002</v>
      </c>
      <c r="T9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38">
        <f>(1000*CHOOSE(CONTROL!$C$42, 695, 695)*CHOOSE(CONTROL!$C$42, 0.5599, 0.5599)*CHOOSE(CONTROL!$C$42, 31, 31))/1000000</f>
        <v>12.063045499999998</v>
      </c>
      <c r="V941" s="38">
        <f>(1000*CHOOSE(CONTROL!$C$42, 500, 500)*CHOOSE(CONTROL!$C$42, 0.275, 0.275)*CHOOSE(CONTROL!$C$42, 31, 31))/1000000</f>
        <v>4.2625000000000002</v>
      </c>
      <c r="W941" s="38">
        <f>(1000*CHOOSE(CONTROL!$C$42, 0.1146, 0.1146)*CHOOSE(CONTROL!$C$42, 121.5, 121.5)*CHOOSE(CONTROL!$C$42, 31, 31))/1000000</f>
        <v>0.43164089999999994</v>
      </c>
      <c r="X941" s="38">
        <f>(31*0.1790888*245000/1000000)+(31*0.2374*100000/1000000)</f>
        <v>2.0961194359999999</v>
      </c>
      <c r="Y941" s="38">
        <f>(1000*600*CHOOSE(CONTROL!$C$42, 1.0585, 1.0585)*CHOOSE(CONTROL!$C$42, 31, 31))/1000000</f>
        <v>19.688099999999999</v>
      </c>
      <c r="Z941" s="38"/>
      <c r="AA941" s="10"/>
      <c r="AB941" s="39"/>
      <c r="AC941" s="33">
        <f>(B941*194.205+C941*267.466+D941*133.845+E941*53.484+F941*40+G941*185+H941*0+I941*100+J941*300)/(194.205+267.466+133.845+53.484+0+40+185+100+300)</f>
        <v>34.766367084693876</v>
      </c>
      <c r="AD941" s="27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34.488072661870504</v>
      </c>
    </row>
    <row r="942" spans="1:30" ht="15.75" x14ac:dyDescent="0.25">
      <c r="A942" s="13">
        <v>69944</v>
      </c>
      <c r="B942" s="10">
        <f>CHOOSE(CONTROL!$C$42, 35.7374, 35.7374) * CHOOSE(CONTROL!$C$21, $C$9, 100%, $E$9)</f>
        <v>35.737400000000001</v>
      </c>
      <c r="C942" s="10">
        <f>CHOOSE(CONTROL!$C$42, 35.7453, 35.7453) * CHOOSE(CONTROL!$C$21, $C$9, 100%, $E$9)</f>
        <v>35.7453</v>
      </c>
      <c r="D942" s="10">
        <f>CHOOSE(CONTROL!$C$42, 35.9223, 35.9223) * CHOOSE(CONTROL!$C$21, $C$9, 100%, $E$9)</f>
        <v>35.9223</v>
      </c>
      <c r="E942" s="10">
        <f>CHOOSE(CONTROL!$C$42, 35.9534, 35.9534) * CHOOSE(CONTROL!$C$21, $C$9, 100%, $E$9)</f>
        <v>35.953400000000002</v>
      </c>
      <c r="F942" s="10">
        <f>CHOOSE(CONTROL!$C$42, 35.7009, 35.7009)*CHOOSE(CONTROL!$C$21, $C$9, 100%, $E$9)</f>
        <v>35.700899999999997</v>
      </c>
      <c r="G942" s="10">
        <f>CHOOSE(CONTROL!$C$42, 35.7175, 35.7175)*CHOOSE(CONTROL!$C$21, $C$9, 100%, $E$9)</f>
        <v>35.717500000000001</v>
      </c>
      <c r="H942" s="10">
        <f>CHOOSE(CONTROL!$C$42, 35.9421, 35.9421) * CHOOSE(CONTROL!$C$21, $C$9, 100%, $E$9)</f>
        <v>35.942100000000003</v>
      </c>
      <c r="I942" s="10">
        <f>CHOOSE(CONTROL!$C$42, 35.722, 35.722)* CHOOSE(CONTROL!$C$21, $C$9, 100%, $E$9)</f>
        <v>35.722000000000001</v>
      </c>
      <c r="J942" s="10">
        <f>CHOOSE(CONTROL!$C$42, 35.6939, 35.6939)* CHOOSE(CONTROL!$C$21, $C$9, 100%, $E$9)</f>
        <v>35.693899999999999</v>
      </c>
      <c r="K942" s="10">
        <f>CHOOSE(CONTROL!$C$42, 34.8418, 34.8418) * CHOOSE(CONTROL!$C$21, $C$9, 100%, $E$9)</f>
        <v>34.841799999999999</v>
      </c>
      <c r="L942" s="10">
        <f>CHOOSE(CONTROL!$C$42, 36.5291, 36.5291) * CHOOSE(CONTROL!$C$21, $C$9, 100%, $E$9)</f>
        <v>36.5291</v>
      </c>
      <c r="M942" s="10">
        <f>CHOOSE(CONTROL!$C$42, 35.3475, 35.3475) * CHOOSE(CONTROL!$C$21, $C$9, 100%, $E$9)</f>
        <v>35.347499999999997</v>
      </c>
      <c r="N942" s="10">
        <f>CHOOSE(CONTROL!$C$42, 35.3639, 35.3639) * CHOOSE(CONTROL!$C$21, $C$9, 100%, $E$9)</f>
        <v>35.363900000000001</v>
      </c>
      <c r="O942" s="10">
        <f>CHOOSE(CONTROL!$C$42, 35.5932, 35.5932) * CHOOSE(CONTROL!$C$21, $C$9, 100%, $E$9)</f>
        <v>35.593200000000003</v>
      </c>
      <c r="P942" s="10">
        <f>CHOOSE(CONTROL!$C$42, 35.3754, 35.3754) * CHOOSE(CONTROL!$C$21, $C$9, 100%, $E$9)</f>
        <v>35.375399999999999</v>
      </c>
      <c r="Q942" s="10">
        <f>CHOOSE(CONTROL!$C$42, 36.1885, 36.1885) * CHOOSE(CONTROL!$C$21, $C$9, 100%, $E$9)</f>
        <v>36.188499999999998</v>
      </c>
      <c r="R942" s="10">
        <f>CHOOSE(CONTROL!$C$42, 36.866, 36.866) * CHOOSE(CONTROL!$C$21, $C$9, 100%, $E$9)</f>
        <v>36.866</v>
      </c>
      <c r="S942" s="10">
        <f>CHOOSE(CONTROL!$C$42, 34.7003, 34.7003) * CHOOSE(CONTROL!$C$21, $C$9, 100%, $E$9)</f>
        <v>34.700299999999999</v>
      </c>
      <c r="T9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38">
        <f>(1000*CHOOSE(CONTROL!$C$42, 695, 695)*CHOOSE(CONTROL!$C$42, 0.5599, 0.5599)*CHOOSE(CONTROL!$C$42, 30, 30))/1000000</f>
        <v>11.673914999999997</v>
      </c>
      <c r="V942" s="38">
        <f>(1000*CHOOSE(CONTROL!$C$42, 500, 500)*CHOOSE(CONTROL!$C$42, 0.275, 0.275)*CHOOSE(CONTROL!$C$42, 30, 30))/1000000</f>
        <v>4.125</v>
      </c>
      <c r="W942" s="38">
        <f>(1000*CHOOSE(CONTROL!$C$42, 0.1146, 0.1146)*CHOOSE(CONTROL!$C$42, 121.5, 121.5)*CHOOSE(CONTROL!$C$42, 30, 30))/1000000</f>
        <v>0.417717</v>
      </c>
      <c r="X942" s="38">
        <f>(30*0.1790888*245000/1000000)+(30*0.2374*100000/1000000)</f>
        <v>2.0285026799999999</v>
      </c>
      <c r="Y942" s="38">
        <f>(1000*600*CHOOSE(CONTROL!$C$42, 1.0585, 1.0585)*CHOOSE(CONTROL!$C$42, 30, 30))/1000000</f>
        <v>19.053000000000001</v>
      </c>
      <c r="Z942" s="38"/>
      <c r="AA942" s="10"/>
      <c r="AB942" s="39"/>
      <c r="AC942" s="33">
        <f>(B942*194.205+C942*267.466+D942*133.845+E942*53.484+F942*40+G942*185+H942*0+I942*100+J942*300)/(194.205+267.466+133.845+53.484+0+40+185+100+300)</f>
        <v>35.752064023469387</v>
      </c>
      <c r="AD942" s="27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35.463818705035969</v>
      </c>
    </row>
    <row r="943" spans="1:30" ht="15.75" x14ac:dyDescent="0.25">
      <c r="A943" s="13">
        <v>69975</v>
      </c>
      <c r="B943" s="10">
        <f>CHOOSE(CONTROL!$C$42, 35.0519, 35.0519) * CHOOSE(CONTROL!$C$21, $C$9, 100%, $E$9)</f>
        <v>35.051900000000003</v>
      </c>
      <c r="C943" s="10">
        <f>CHOOSE(CONTROL!$C$42, 35.0598, 35.0598) * CHOOSE(CONTROL!$C$21, $C$9, 100%, $E$9)</f>
        <v>35.059800000000003</v>
      </c>
      <c r="D943" s="10">
        <f>CHOOSE(CONTROL!$C$42, 35.2368, 35.2368) * CHOOSE(CONTROL!$C$21, $C$9, 100%, $E$9)</f>
        <v>35.236800000000002</v>
      </c>
      <c r="E943" s="10">
        <f>CHOOSE(CONTROL!$C$42, 35.2679, 35.2679) * CHOOSE(CONTROL!$C$21, $C$9, 100%, $E$9)</f>
        <v>35.267899999999997</v>
      </c>
      <c r="F943" s="10">
        <f>CHOOSE(CONTROL!$C$42, 35.0157, 35.0157)*CHOOSE(CONTROL!$C$21, $C$9, 100%, $E$9)</f>
        <v>35.015700000000002</v>
      </c>
      <c r="G943" s="10">
        <f>CHOOSE(CONTROL!$C$42, 35.0323, 35.0323)*CHOOSE(CONTROL!$C$21, $C$9, 100%, $E$9)</f>
        <v>35.032299999999999</v>
      </c>
      <c r="H943" s="10">
        <f>CHOOSE(CONTROL!$C$42, 35.2566, 35.2566) * CHOOSE(CONTROL!$C$21, $C$9, 100%, $E$9)</f>
        <v>35.256599999999999</v>
      </c>
      <c r="I943" s="10">
        <f>CHOOSE(CONTROL!$C$42, 35.0365, 35.0365)* CHOOSE(CONTROL!$C$21, $C$9, 100%, $E$9)</f>
        <v>35.036499999999997</v>
      </c>
      <c r="J943" s="10">
        <f>CHOOSE(CONTROL!$C$42, 35.0087, 35.0087)* CHOOSE(CONTROL!$C$21, $C$9, 100%, $E$9)</f>
        <v>35.008699999999997</v>
      </c>
      <c r="K943" s="10">
        <f>CHOOSE(CONTROL!$C$42, 34.1763, 34.1763) * CHOOSE(CONTROL!$C$21, $C$9, 100%, $E$9)</f>
        <v>34.176299999999998</v>
      </c>
      <c r="L943" s="10">
        <f>CHOOSE(CONTROL!$C$42, 35.8436, 35.8436) * CHOOSE(CONTROL!$C$21, $C$9, 100%, $E$9)</f>
        <v>35.843600000000002</v>
      </c>
      <c r="M943" s="10">
        <f>CHOOSE(CONTROL!$C$42, 34.6692, 34.6692) * CHOOSE(CONTROL!$C$21, $C$9, 100%, $E$9)</f>
        <v>34.669199999999996</v>
      </c>
      <c r="N943" s="10">
        <f>CHOOSE(CONTROL!$C$42, 34.6856, 34.6856) * CHOOSE(CONTROL!$C$21, $C$9, 100%, $E$9)</f>
        <v>34.685600000000001</v>
      </c>
      <c r="O943" s="10">
        <f>CHOOSE(CONTROL!$C$42, 34.9146, 34.9146) * CHOOSE(CONTROL!$C$21, $C$9, 100%, $E$9)</f>
        <v>34.9146</v>
      </c>
      <c r="P943" s="10">
        <f>CHOOSE(CONTROL!$C$42, 34.6968, 34.6968) * CHOOSE(CONTROL!$C$21, $C$9, 100%, $E$9)</f>
        <v>34.696800000000003</v>
      </c>
      <c r="Q943" s="10">
        <f>CHOOSE(CONTROL!$C$42, 35.5099, 35.5099) * CHOOSE(CONTROL!$C$21, $C$9, 100%, $E$9)</f>
        <v>35.509900000000002</v>
      </c>
      <c r="R943" s="10">
        <f>CHOOSE(CONTROL!$C$42, 36.1857, 36.1857) * CHOOSE(CONTROL!$C$21, $C$9, 100%, $E$9)</f>
        <v>36.185699999999997</v>
      </c>
      <c r="S943" s="10">
        <f>CHOOSE(CONTROL!$C$42, 34.0346, 34.0346) * CHOOSE(CONTROL!$C$21, $C$9, 100%, $E$9)</f>
        <v>34.034599999999998</v>
      </c>
      <c r="T9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38">
        <f>(1000*CHOOSE(CONTROL!$C$42, 695, 695)*CHOOSE(CONTROL!$C$42, 0.5599, 0.5599)*CHOOSE(CONTROL!$C$42, 31, 31))/1000000</f>
        <v>12.063045499999998</v>
      </c>
      <c r="V943" s="38">
        <f>(1000*CHOOSE(CONTROL!$C$42, 500, 500)*CHOOSE(CONTROL!$C$42, 0.275, 0.275)*CHOOSE(CONTROL!$C$42, 31, 31))/1000000</f>
        <v>4.2625000000000002</v>
      </c>
      <c r="W943" s="38">
        <f>(1000*CHOOSE(CONTROL!$C$42, 0.1146, 0.1146)*CHOOSE(CONTROL!$C$42, 121.5, 121.5)*CHOOSE(CONTROL!$C$42, 31, 31))/1000000</f>
        <v>0.43164089999999994</v>
      </c>
      <c r="X943" s="38">
        <f>(31*0.1790888*245000/1000000)+(31*0.2374*100000/1000000)</f>
        <v>2.0961194359999999</v>
      </c>
      <c r="Y943" s="38">
        <f>(1000*600*CHOOSE(CONTROL!$C$42, 1.0585, 1.0585)*CHOOSE(CONTROL!$C$42, 31, 31))/1000000</f>
        <v>19.688099999999999</v>
      </c>
      <c r="Z943" s="38"/>
      <c r="AA943" s="10"/>
      <c r="AB943" s="39"/>
      <c r="AC943" s="33">
        <f>(B943*194.205+C943*267.466+D943*133.845+E943*53.484+F943*40+G943*185+H943*0+I943*100+J943*300)/(194.205+267.466+133.845+53.484+0+40+185+100+300)</f>
        <v>35.066687649843018</v>
      </c>
      <c r="AD943" s="27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34.785339568345329</v>
      </c>
    </row>
    <row r="944" spans="1:30" ht="15.75" x14ac:dyDescent="0.25">
      <c r="A944" s="13">
        <v>70006</v>
      </c>
      <c r="B944" s="10">
        <f>CHOOSE(CONTROL!$C$42, 33.3208, 33.3208) * CHOOSE(CONTROL!$C$21, $C$9, 100%, $E$9)</f>
        <v>33.320799999999998</v>
      </c>
      <c r="C944" s="10">
        <f>CHOOSE(CONTROL!$C$42, 33.3287, 33.3287) * CHOOSE(CONTROL!$C$21, $C$9, 100%, $E$9)</f>
        <v>33.328699999999998</v>
      </c>
      <c r="D944" s="10">
        <f>CHOOSE(CONTROL!$C$42, 33.5057, 33.5057) * CHOOSE(CONTROL!$C$21, $C$9, 100%, $E$9)</f>
        <v>33.505699999999997</v>
      </c>
      <c r="E944" s="10">
        <f>CHOOSE(CONTROL!$C$42, 33.5368, 33.5368) * CHOOSE(CONTROL!$C$21, $C$9, 100%, $E$9)</f>
        <v>33.536799999999999</v>
      </c>
      <c r="F944" s="10">
        <f>CHOOSE(CONTROL!$C$42, 33.2846, 33.2846)*CHOOSE(CONTROL!$C$21, $C$9, 100%, $E$9)</f>
        <v>33.284599999999998</v>
      </c>
      <c r="G944" s="10">
        <f>CHOOSE(CONTROL!$C$42, 33.3012, 33.3012)*CHOOSE(CONTROL!$C$21, $C$9, 100%, $E$9)</f>
        <v>33.301200000000001</v>
      </c>
      <c r="H944" s="10">
        <f>CHOOSE(CONTROL!$C$42, 33.5254, 33.5254) * CHOOSE(CONTROL!$C$21, $C$9, 100%, $E$9)</f>
        <v>33.525399999999998</v>
      </c>
      <c r="I944" s="10">
        <f>CHOOSE(CONTROL!$C$42, 33.3054, 33.3054)* CHOOSE(CONTROL!$C$21, $C$9, 100%, $E$9)</f>
        <v>33.305399999999999</v>
      </c>
      <c r="J944" s="10">
        <f>CHOOSE(CONTROL!$C$42, 33.2776, 33.2776)* CHOOSE(CONTROL!$C$21, $C$9, 100%, $E$9)</f>
        <v>33.2776</v>
      </c>
      <c r="K944" s="10">
        <f>CHOOSE(CONTROL!$C$42, 32.4945, 32.4945) * CHOOSE(CONTROL!$C$21, $C$9, 100%, $E$9)</f>
        <v>32.494500000000002</v>
      </c>
      <c r="L944" s="10">
        <f>CHOOSE(CONTROL!$C$42, 34.1124, 34.1124) * CHOOSE(CONTROL!$C$21, $C$9, 100%, $E$9)</f>
        <v>34.112400000000001</v>
      </c>
      <c r="M944" s="10">
        <f>CHOOSE(CONTROL!$C$42, 32.9556, 32.9556) * CHOOSE(CONTROL!$C$21, $C$9, 100%, $E$9)</f>
        <v>32.955599999999997</v>
      </c>
      <c r="N944" s="10">
        <f>CHOOSE(CONTROL!$C$42, 32.9721, 32.9721) * CHOOSE(CONTROL!$C$21, $C$9, 100%, $E$9)</f>
        <v>32.972099999999998</v>
      </c>
      <c r="O944" s="10">
        <f>CHOOSE(CONTROL!$C$42, 33.2009, 33.2009) * CHOOSE(CONTROL!$C$21, $C$9, 100%, $E$9)</f>
        <v>33.200899999999997</v>
      </c>
      <c r="P944" s="10">
        <f>CHOOSE(CONTROL!$C$42, 32.9831, 32.9831) * CHOOSE(CONTROL!$C$21, $C$9, 100%, $E$9)</f>
        <v>32.9831</v>
      </c>
      <c r="Q944" s="10">
        <f>CHOOSE(CONTROL!$C$42, 33.7962, 33.7962) * CHOOSE(CONTROL!$C$21, $C$9, 100%, $E$9)</f>
        <v>33.796199999999999</v>
      </c>
      <c r="R944" s="10">
        <f>CHOOSE(CONTROL!$C$42, 34.4677, 34.4677) * CHOOSE(CONTROL!$C$21, $C$9, 100%, $E$9)</f>
        <v>34.467700000000001</v>
      </c>
      <c r="S944" s="10">
        <f>CHOOSE(CONTROL!$C$42, 32.3535, 32.3535) * CHOOSE(CONTROL!$C$21, $C$9, 100%, $E$9)</f>
        <v>32.353499999999997</v>
      </c>
      <c r="T9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38">
        <f>(1000*CHOOSE(CONTROL!$C$42, 695, 695)*CHOOSE(CONTROL!$C$42, 0.5599, 0.5599)*CHOOSE(CONTROL!$C$42, 31, 31))/1000000</f>
        <v>12.063045499999998</v>
      </c>
      <c r="V944" s="38">
        <f>(1000*CHOOSE(CONTROL!$C$42, 500, 500)*CHOOSE(CONTROL!$C$42, 0.275, 0.275)*CHOOSE(CONTROL!$C$42, 31, 31))/1000000</f>
        <v>4.2625000000000002</v>
      </c>
      <c r="W944" s="38">
        <f>(1000*CHOOSE(CONTROL!$C$42, 0.1146, 0.1146)*CHOOSE(CONTROL!$C$42, 121.5, 121.5)*CHOOSE(CONTROL!$C$42, 31, 31))/1000000</f>
        <v>0.43164089999999994</v>
      </c>
      <c r="X944" s="38">
        <f>(31*0.1790888*245000/1000000)+(31*0.2374*100000/1000000)</f>
        <v>2.0961194359999999</v>
      </c>
      <c r="Y944" s="38">
        <f>(1000*600*CHOOSE(CONTROL!$C$42, 1.0585, 1.0585)*CHOOSE(CONTROL!$C$42, 31, 31))/1000000</f>
        <v>19.688099999999999</v>
      </c>
      <c r="Z944" s="38"/>
      <c r="AA944" s="10"/>
      <c r="AB944" s="39"/>
      <c r="AC944" s="33">
        <f>(B944*194.205+C944*267.466+D944*133.845+E944*53.484+F944*40+G944*185+H944*0+I944*100+J944*300)/(194.205+267.466+133.845+53.484+0+40+185+100+300)</f>
        <v>33.335587649843013</v>
      </c>
      <c r="AD944" s="27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33.071685611510794</v>
      </c>
    </row>
    <row r="945" spans="1:30" ht="15.75" x14ac:dyDescent="0.25">
      <c r="A945" s="13">
        <v>70036</v>
      </c>
      <c r="B945" s="10">
        <f>CHOOSE(CONTROL!$C$42, 31.2057, 31.2057) * CHOOSE(CONTROL!$C$21, $C$9, 100%, $E$9)</f>
        <v>31.2057</v>
      </c>
      <c r="C945" s="10">
        <f>CHOOSE(CONTROL!$C$42, 31.2136, 31.2136) * CHOOSE(CONTROL!$C$21, $C$9, 100%, $E$9)</f>
        <v>31.2136</v>
      </c>
      <c r="D945" s="10">
        <f>CHOOSE(CONTROL!$C$42, 31.3906, 31.3906) * CHOOSE(CONTROL!$C$21, $C$9, 100%, $E$9)</f>
        <v>31.390599999999999</v>
      </c>
      <c r="E945" s="10">
        <f>CHOOSE(CONTROL!$C$42, 31.4217, 31.4217) * CHOOSE(CONTROL!$C$21, $C$9, 100%, $E$9)</f>
        <v>31.421700000000001</v>
      </c>
      <c r="F945" s="10">
        <f>CHOOSE(CONTROL!$C$42, 31.1692, 31.1692)*CHOOSE(CONTROL!$C$21, $C$9, 100%, $E$9)</f>
        <v>31.1692</v>
      </c>
      <c r="G945" s="10">
        <f>CHOOSE(CONTROL!$C$42, 31.1858, 31.1858)*CHOOSE(CONTROL!$C$21, $C$9, 100%, $E$9)</f>
        <v>31.1858</v>
      </c>
      <c r="H945" s="10">
        <f>CHOOSE(CONTROL!$C$42, 31.4103, 31.4103) * CHOOSE(CONTROL!$C$21, $C$9, 100%, $E$9)</f>
        <v>31.410299999999999</v>
      </c>
      <c r="I945" s="10">
        <f>CHOOSE(CONTROL!$C$42, 31.1902, 31.1902)* CHOOSE(CONTROL!$C$21, $C$9, 100%, $E$9)</f>
        <v>31.190200000000001</v>
      </c>
      <c r="J945" s="10">
        <f>CHOOSE(CONTROL!$C$42, 31.1622, 31.1622)* CHOOSE(CONTROL!$C$21, $C$9, 100%, $E$9)</f>
        <v>31.162199999999999</v>
      </c>
      <c r="K945" s="10">
        <f>CHOOSE(CONTROL!$C$42, 30.4389, 30.4389) * CHOOSE(CONTROL!$C$21, $C$9, 100%, $E$9)</f>
        <v>30.4389</v>
      </c>
      <c r="L945" s="10">
        <f>CHOOSE(CONTROL!$C$42, 31.9973, 31.9973) * CHOOSE(CONTROL!$C$21, $C$9, 100%, $E$9)</f>
        <v>31.997299999999999</v>
      </c>
      <c r="M945" s="10">
        <f>CHOOSE(CONTROL!$C$42, 30.8616, 30.8616) * CHOOSE(CONTROL!$C$21, $C$9, 100%, $E$9)</f>
        <v>30.861599999999999</v>
      </c>
      <c r="N945" s="10">
        <f>CHOOSE(CONTROL!$C$42, 30.878, 30.878) * CHOOSE(CONTROL!$C$21, $C$9, 100%, $E$9)</f>
        <v>30.878</v>
      </c>
      <c r="O945" s="10">
        <f>CHOOSE(CONTROL!$C$42, 31.1072, 31.1072) * CHOOSE(CONTROL!$C$21, $C$9, 100%, $E$9)</f>
        <v>31.107199999999999</v>
      </c>
      <c r="P945" s="10">
        <f>CHOOSE(CONTROL!$C$42, 30.8893, 30.8893) * CHOOSE(CONTROL!$C$21, $C$9, 100%, $E$9)</f>
        <v>30.889299999999999</v>
      </c>
      <c r="Q945" s="10">
        <f>CHOOSE(CONTROL!$C$42, 31.7025, 31.7025) * CHOOSE(CONTROL!$C$21, $C$9, 100%, $E$9)</f>
        <v>31.702500000000001</v>
      </c>
      <c r="R945" s="10">
        <f>CHOOSE(CONTROL!$C$42, 32.3687, 32.3687) * CHOOSE(CONTROL!$C$21, $C$9, 100%, $E$9)</f>
        <v>32.368699999999997</v>
      </c>
      <c r="S945" s="10">
        <f>CHOOSE(CONTROL!$C$42, 30.2996, 30.2996) * CHOOSE(CONTROL!$C$21, $C$9, 100%, $E$9)</f>
        <v>30.299600000000002</v>
      </c>
      <c r="T9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38">
        <f>(1000*CHOOSE(CONTROL!$C$42, 695, 695)*CHOOSE(CONTROL!$C$42, 0.5599, 0.5599)*CHOOSE(CONTROL!$C$42, 30, 30))/1000000</f>
        <v>11.673914999999997</v>
      </c>
      <c r="V945" s="38">
        <f>(1000*CHOOSE(CONTROL!$C$42, 500, 500)*CHOOSE(CONTROL!$C$42, 0.275, 0.275)*CHOOSE(CONTROL!$C$42, 30, 30))/1000000</f>
        <v>4.125</v>
      </c>
      <c r="W945" s="38">
        <f>(1000*CHOOSE(CONTROL!$C$42, 0.1146, 0.1146)*CHOOSE(CONTROL!$C$42, 121.5, 121.5)*CHOOSE(CONTROL!$C$42, 30, 30))/1000000</f>
        <v>0.417717</v>
      </c>
      <c r="X945" s="38">
        <f>(30*0.1790888*245000/1000000)+(30*0.2374*100000/1000000)</f>
        <v>2.0285026799999999</v>
      </c>
      <c r="Y945" s="38">
        <f>(1000*600*CHOOSE(CONTROL!$C$42, 1.0585, 1.0585)*CHOOSE(CONTROL!$C$42, 30, 30))/1000000</f>
        <v>19.053000000000001</v>
      </c>
      <c r="Z945" s="38"/>
      <c r="AA945" s="10"/>
      <c r="AB945" s="39"/>
      <c r="AC945" s="33">
        <f>(B945*194.205+C945*267.466+D945*133.845+E945*53.484+F945*40+G945*185+H945*0+I945*100+J945*300)/(194.205+267.466+133.845+53.484+0+40+185+100+300)</f>
        <v>31.220356174175826</v>
      </c>
      <c r="AD945" s="27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30.977844604316545</v>
      </c>
    </row>
    <row r="946" spans="1:30" ht="15.75" x14ac:dyDescent="0.25">
      <c r="A946" s="13">
        <v>70067</v>
      </c>
      <c r="B946" s="10">
        <f>CHOOSE(CONTROL!$C$42, 30.57, 30.57) * CHOOSE(CONTROL!$C$21, $C$9, 100%, $E$9)</f>
        <v>30.57</v>
      </c>
      <c r="C946" s="10">
        <f>CHOOSE(CONTROL!$C$42, 30.5752, 30.5752) * CHOOSE(CONTROL!$C$21, $C$9, 100%, $E$9)</f>
        <v>30.575199999999999</v>
      </c>
      <c r="D946" s="10">
        <f>CHOOSE(CONTROL!$C$42, 30.7572, 30.7572) * CHOOSE(CONTROL!$C$21, $C$9, 100%, $E$9)</f>
        <v>30.757200000000001</v>
      </c>
      <c r="E946" s="10">
        <f>CHOOSE(CONTROL!$C$42, 30.786, 30.786) * CHOOSE(CONTROL!$C$21, $C$9, 100%, $E$9)</f>
        <v>30.786000000000001</v>
      </c>
      <c r="F946" s="10">
        <f>CHOOSE(CONTROL!$C$42, 30.5356, 30.5356)*CHOOSE(CONTROL!$C$21, $C$9, 100%, $E$9)</f>
        <v>30.535599999999999</v>
      </c>
      <c r="G946" s="10">
        <f>CHOOSE(CONTROL!$C$42, 30.5519, 30.5519)*CHOOSE(CONTROL!$C$21, $C$9, 100%, $E$9)</f>
        <v>30.5519</v>
      </c>
      <c r="H946" s="10">
        <f>CHOOSE(CONTROL!$C$42, 30.7764, 30.7764) * CHOOSE(CONTROL!$C$21, $C$9, 100%, $E$9)</f>
        <v>30.776399999999999</v>
      </c>
      <c r="I946" s="10">
        <f>CHOOSE(CONTROL!$C$42, 30.5564, 30.5564)* CHOOSE(CONTROL!$C$21, $C$9, 100%, $E$9)</f>
        <v>30.5564</v>
      </c>
      <c r="J946" s="10">
        <f>CHOOSE(CONTROL!$C$42, 30.5286, 30.5286)* CHOOSE(CONTROL!$C$21, $C$9, 100%, $E$9)</f>
        <v>30.528600000000001</v>
      </c>
      <c r="K946" s="10">
        <f>CHOOSE(CONTROL!$C$42, 29.8237, 29.8237) * CHOOSE(CONTROL!$C$21, $C$9, 100%, $E$9)</f>
        <v>29.823699999999999</v>
      </c>
      <c r="L946" s="10">
        <f>CHOOSE(CONTROL!$C$42, 31.3634, 31.3634) * CHOOSE(CONTROL!$C$21, $C$9, 100%, $E$9)</f>
        <v>31.363399999999999</v>
      </c>
      <c r="M946" s="10">
        <f>CHOOSE(CONTROL!$C$42, 30.2344, 30.2344) * CHOOSE(CONTROL!$C$21, $C$9, 100%, $E$9)</f>
        <v>30.234400000000001</v>
      </c>
      <c r="N946" s="10">
        <f>CHOOSE(CONTROL!$C$42, 30.2504, 30.2504) * CHOOSE(CONTROL!$C$21, $C$9, 100%, $E$9)</f>
        <v>30.250399999999999</v>
      </c>
      <c r="O946" s="10">
        <f>CHOOSE(CONTROL!$C$42, 30.4797, 30.4797) * CHOOSE(CONTROL!$C$21, $C$9, 100%, $E$9)</f>
        <v>30.479700000000001</v>
      </c>
      <c r="P946" s="10">
        <f>CHOOSE(CONTROL!$C$42, 30.2619, 30.2619) * CHOOSE(CONTROL!$C$21, $C$9, 100%, $E$9)</f>
        <v>30.261900000000001</v>
      </c>
      <c r="Q946" s="10">
        <f>CHOOSE(CONTROL!$C$42, 31.075, 31.075) * CHOOSE(CONTROL!$C$21, $C$9, 100%, $E$9)</f>
        <v>31.074999999999999</v>
      </c>
      <c r="R946" s="10">
        <f>CHOOSE(CONTROL!$C$42, 31.7397, 31.7397) * CHOOSE(CONTROL!$C$21, $C$9, 100%, $E$9)</f>
        <v>31.739699999999999</v>
      </c>
      <c r="S946" s="10">
        <f>CHOOSE(CONTROL!$C$42, 29.684, 29.684) * CHOOSE(CONTROL!$C$21, $C$9, 100%, $E$9)</f>
        <v>29.684000000000001</v>
      </c>
      <c r="T9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38">
        <f>(1000*CHOOSE(CONTROL!$C$42, 695, 695)*CHOOSE(CONTROL!$C$42, 0.5599, 0.5599)*CHOOSE(CONTROL!$C$42, 31, 31))/1000000</f>
        <v>12.063045499999998</v>
      </c>
      <c r="V946" s="38">
        <f>(1000*CHOOSE(CONTROL!$C$42, 500, 500)*CHOOSE(CONTROL!$C$42, 0.275, 0.275)*CHOOSE(CONTROL!$C$42, 31, 31))/1000000</f>
        <v>4.2625000000000002</v>
      </c>
      <c r="W946" s="38">
        <f>(1000*CHOOSE(CONTROL!$C$42, 0.1146, 0.1146)*CHOOSE(CONTROL!$C$42, 121.5, 121.5)*CHOOSE(CONTROL!$C$42, 31, 31))/1000000</f>
        <v>0.43164089999999994</v>
      </c>
      <c r="X946" s="38">
        <f>(31*0.1790888*245000/1000000)+(31*0.2374*100000/1000000)</f>
        <v>2.0961194359999999</v>
      </c>
      <c r="Y946" s="38">
        <f>(1000*600*CHOOSE(CONTROL!$C$42, 1.0585, 1.0585)*CHOOSE(CONTROL!$C$42, 31, 31))/1000000</f>
        <v>19.688099999999999</v>
      </c>
      <c r="Z946" s="38"/>
      <c r="AA946" s="10"/>
      <c r="AB946" s="39"/>
      <c r="AC946" s="33">
        <f>(B946*131.881+C946*277.167+D946*79.08+E946*125.872+F946*40+G946*185+H946*0+I946*100+J946*300)/(131.881+277.167+79.08+125.872+0+40+185+100+300)</f>
        <v>30.590120174656978</v>
      </c>
      <c r="AD946" s="27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30.350456834532377</v>
      </c>
    </row>
    <row r="947" spans="1:30" ht="15.75" x14ac:dyDescent="0.25">
      <c r="A947" s="13">
        <v>70097</v>
      </c>
      <c r="B947" s="10">
        <f>CHOOSE(CONTROL!$C$42, 31.3749, 31.3749) * CHOOSE(CONTROL!$C$21, $C$9, 100%, $E$9)</f>
        <v>31.3749</v>
      </c>
      <c r="C947" s="10">
        <f>CHOOSE(CONTROL!$C$42, 31.3798, 31.3798) * CHOOSE(CONTROL!$C$21, $C$9, 100%, $E$9)</f>
        <v>31.379799999999999</v>
      </c>
      <c r="D947" s="10">
        <f>CHOOSE(CONTROL!$C$42, 31.4043, 31.4043) * CHOOSE(CONTROL!$C$21, $C$9, 100%, $E$9)</f>
        <v>31.404299999999999</v>
      </c>
      <c r="E947" s="10">
        <f>CHOOSE(CONTROL!$C$42, 31.4381, 31.4381) * CHOOSE(CONTROL!$C$21, $C$9, 100%, $E$9)</f>
        <v>31.438099999999999</v>
      </c>
      <c r="F947" s="10">
        <f>CHOOSE(CONTROL!$C$42, 31.3442, 31.3442)*CHOOSE(CONTROL!$C$21, $C$9, 100%, $E$9)</f>
        <v>31.344200000000001</v>
      </c>
      <c r="G947" s="10">
        <f>CHOOSE(CONTROL!$C$42, 31.3606, 31.3606)*CHOOSE(CONTROL!$C$21, $C$9, 100%, $E$9)</f>
        <v>31.360600000000002</v>
      </c>
      <c r="H947" s="10">
        <f>CHOOSE(CONTROL!$C$42, 31.4273, 31.4273) * CHOOSE(CONTROL!$C$21, $C$9, 100%, $E$9)</f>
        <v>31.427299999999999</v>
      </c>
      <c r="I947" s="10">
        <f>CHOOSE(CONTROL!$C$42, 31.3616, 31.3616)* CHOOSE(CONTROL!$C$21, $C$9, 100%, $E$9)</f>
        <v>31.361599999999999</v>
      </c>
      <c r="J947" s="10">
        <f>CHOOSE(CONTROL!$C$42, 31.3372, 31.3372)* CHOOSE(CONTROL!$C$21, $C$9, 100%, $E$9)</f>
        <v>31.337199999999999</v>
      </c>
      <c r="K947" s="10">
        <f>CHOOSE(CONTROL!$C$42, 30.6075, 30.6075) * CHOOSE(CONTROL!$C$21, $C$9, 100%, $E$9)</f>
        <v>30.607500000000002</v>
      </c>
      <c r="L947" s="10">
        <f>CHOOSE(CONTROL!$C$42, 32.0143, 32.0143) * CHOOSE(CONTROL!$C$21, $C$9, 100%, $E$9)</f>
        <v>32.014299999999999</v>
      </c>
      <c r="M947" s="10">
        <f>CHOOSE(CONTROL!$C$42, 31.0348, 31.0348) * CHOOSE(CONTROL!$C$21, $C$9, 100%, $E$9)</f>
        <v>31.034800000000001</v>
      </c>
      <c r="N947" s="10">
        <f>CHOOSE(CONTROL!$C$42, 31.051, 31.051) * CHOOSE(CONTROL!$C$21, $C$9, 100%, $E$9)</f>
        <v>31.050999999999998</v>
      </c>
      <c r="O947" s="10">
        <f>CHOOSE(CONTROL!$C$42, 31.1239, 31.1239) * CHOOSE(CONTROL!$C$21, $C$9, 100%, $E$9)</f>
        <v>31.123899999999999</v>
      </c>
      <c r="P947" s="10">
        <f>CHOOSE(CONTROL!$C$42, 31.059, 31.059) * CHOOSE(CONTROL!$C$21, $C$9, 100%, $E$9)</f>
        <v>31.059000000000001</v>
      </c>
      <c r="Q947" s="10">
        <f>CHOOSE(CONTROL!$C$42, 31.7192, 31.7192) * CHOOSE(CONTROL!$C$21, $C$9, 100%, $E$9)</f>
        <v>31.719200000000001</v>
      </c>
      <c r="R947" s="10">
        <f>CHOOSE(CONTROL!$C$42, 32.3855, 32.3855) * CHOOSE(CONTROL!$C$21, $C$9, 100%, $E$9)</f>
        <v>32.3855</v>
      </c>
      <c r="S947" s="10">
        <f>CHOOSE(CONTROL!$C$42, 30.466, 30.466) * CHOOSE(CONTROL!$C$21, $C$9, 100%, $E$9)</f>
        <v>30.466000000000001</v>
      </c>
      <c r="T9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38">
        <f>(1000*CHOOSE(CONTROL!$C$42, 695, 695)*CHOOSE(CONTROL!$C$42, 0.5599, 0.5599)*CHOOSE(CONTROL!$C$42, 30, 30))/1000000</f>
        <v>11.673914999999997</v>
      </c>
      <c r="V947" s="38">
        <f>(1000*CHOOSE(CONTROL!$C$42, 500, 500)*CHOOSE(CONTROL!$C$42, 0.275, 0.275)*CHOOSE(CONTROL!$C$42, 30, 30))/1000000</f>
        <v>4.125</v>
      </c>
      <c r="W947" s="38">
        <f>(1000*CHOOSE(CONTROL!$C$42, 0.1146, 0.1146)*CHOOSE(CONTROL!$C$42, 121.5, 121.5)*CHOOSE(CONTROL!$C$42, 30, 30))/1000000</f>
        <v>0.417717</v>
      </c>
      <c r="X947" s="38">
        <f>(30*0.1790888*100000/1000000)+(30*0.2374*100000/1000000)</f>
        <v>1.2494664</v>
      </c>
      <c r="Y947" s="38">
        <f>(1000*600*CHOOSE(CONTROL!$C$42, 1.0585, 1.0585)*CHOOSE(CONTROL!$C$42, 30, 30))/1000000</f>
        <v>19.053000000000001</v>
      </c>
      <c r="Z947" s="38"/>
      <c r="AA947" s="10"/>
      <c r="AB947" s="39"/>
      <c r="AC947" s="33">
        <f>(B947*122.58+C947*297.941+D947*89.177+E947*40.302+F947*40+G947*160+H947*0+I947*100+J947*300)/(122.58+297.941+89.177+40.302+0+40+160+100+300)</f>
        <v>31.366615479217391</v>
      </c>
      <c r="AD947" s="27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31.079597841726621</v>
      </c>
    </row>
    <row r="948" spans="1:30" ht="15.75" x14ac:dyDescent="0.25">
      <c r="A948" s="13">
        <v>70128</v>
      </c>
      <c r="B948" s="10">
        <f>CHOOSE(CONTROL!$C$42, 33.5138, 33.5138) * CHOOSE(CONTROL!$C$21, $C$9, 100%, $E$9)</f>
        <v>33.513800000000003</v>
      </c>
      <c r="C948" s="10">
        <f>CHOOSE(CONTROL!$C$42, 33.5187, 33.5187) * CHOOSE(CONTROL!$C$21, $C$9, 100%, $E$9)</f>
        <v>33.518700000000003</v>
      </c>
      <c r="D948" s="10">
        <f>CHOOSE(CONTROL!$C$42, 33.5432, 33.5432) * CHOOSE(CONTROL!$C$21, $C$9, 100%, $E$9)</f>
        <v>33.543199999999999</v>
      </c>
      <c r="E948" s="10">
        <f>CHOOSE(CONTROL!$C$42, 33.577, 33.577) * CHOOSE(CONTROL!$C$21, $C$9, 100%, $E$9)</f>
        <v>33.576999999999998</v>
      </c>
      <c r="F948" s="10">
        <f>CHOOSE(CONTROL!$C$42, 33.4854, 33.4854)*CHOOSE(CONTROL!$C$21, $C$9, 100%, $E$9)</f>
        <v>33.485399999999998</v>
      </c>
      <c r="G948" s="10">
        <f>CHOOSE(CONTROL!$C$42, 33.5024, 33.5024)*CHOOSE(CONTROL!$C$21, $C$9, 100%, $E$9)</f>
        <v>33.502400000000002</v>
      </c>
      <c r="H948" s="10">
        <f>CHOOSE(CONTROL!$C$42, 33.5662, 33.5662) * CHOOSE(CONTROL!$C$21, $C$9, 100%, $E$9)</f>
        <v>33.566200000000002</v>
      </c>
      <c r="I948" s="10">
        <f>CHOOSE(CONTROL!$C$42, 33.5006, 33.5006)* CHOOSE(CONTROL!$C$21, $C$9, 100%, $E$9)</f>
        <v>33.500599999999999</v>
      </c>
      <c r="J948" s="10">
        <f>CHOOSE(CONTROL!$C$42, 33.4784, 33.4784)* CHOOSE(CONTROL!$C$21, $C$9, 100%, $E$9)</f>
        <v>33.478400000000001</v>
      </c>
      <c r="K948" s="10">
        <f>CHOOSE(CONTROL!$C$42, 32.6907, 32.6907) * CHOOSE(CONTROL!$C$21, $C$9, 100%, $E$9)</f>
        <v>32.6907</v>
      </c>
      <c r="L948" s="10">
        <f>CHOOSE(CONTROL!$C$42, 34.1532, 34.1532) * CHOOSE(CONTROL!$C$21, $C$9, 100%, $E$9)</f>
        <v>34.153199999999998</v>
      </c>
      <c r="M948" s="10">
        <f>CHOOSE(CONTROL!$C$42, 33.1544, 33.1544) * CHOOSE(CONTROL!$C$21, $C$9, 100%, $E$9)</f>
        <v>33.154400000000003</v>
      </c>
      <c r="N948" s="10">
        <f>CHOOSE(CONTROL!$C$42, 33.1712, 33.1712) * CHOOSE(CONTROL!$C$21, $C$9, 100%, $E$9)</f>
        <v>33.171199999999999</v>
      </c>
      <c r="O948" s="10">
        <f>CHOOSE(CONTROL!$C$42, 33.2413, 33.2413) * CHOOSE(CONTROL!$C$21, $C$9, 100%, $E$9)</f>
        <v>33.241300000000003</v>
      </c>
      <c r="P948" s="10">
        <f>CHOOSE(CONTROL!$C$42, 33.1763, 33.1763) * CHOOSE(CONTROL!$C$21, $C$9, 100%, $E$9)</f>
        <v>33.176299999999998</v>
      </c>
      <c r="Q948" s="10">
        <f>CHOOSE(CONTROL!$C$42, 33.8366, 33.8366) * CHOOSE(CONTROL!$C$21, $C$9, 100%, $E$9)</f>
        <v>33.836599999999997</v>
      </c>
      <c r="R948" s="10">
        <f>CHOOSE(CONTROL!$C$42, 34.5081, 34.5081) * CHOOSE(CONTROL!$C$21, $C$9, 100%, $E$9)</f>
        <v>34.508099999999999</v>
      </c>
      <c r="S948" s="10">
        <f>CHOOSE(CONTROL!$C$42, 32.5431, 32.5431) * CHOOSE(CONTROL!$C$21, $C$9, 100%, $E$9)</f>
        <v>32.543100000000003</v>
      </c>
      <c r="T9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38">
        <f>(1000*CHOOSE(CONTROL!$C$42, 695, 695)*CHOOSE(CONTROL!$C$42, 0.5599, 0.5599)*CHOOSE(CONTROL!$C$42, 31, 31))/1000000</f>
        <v>12.063045499999998</v>
      </c>
      <c r="V948" s="38">
        <f>(1000*CHOOSE(CONTROL!$C$42, 500, 500)*CHOOSE(CONTROL!$C$42, 0.275, 0.275)*CHOOSE(CONTROL!$C$42, 31, 31))/1000000</f>
        <v>4.2625000000000002</v>
      </c>
      <c r="W948" s="38">
        <f>(1000*CHOOSE(CONTROL!$C$42, 0.1146, 0.1146)*CHOOSE(CONTROL!$C$42, 121.5, 121.5)*CHOOSE(CONTROL!$C$42, 31, 31))/1000000</f>
        <v>0.43164089999999994</v>
      </c>
      <c r="X948" s="38">
        <f>(31*0.1790888*100000/1000000)+(31*0.2374*100000/1000000)</f>
        <v>1.2911152800000001</v>
      </c>
      <c r="Y948" s="38">
        <f>(1000*600*CHOOSE(CONTROL!$C$42, 1.0585, 1.0585)*CHOOSE(CONTROL!$C$42, 31, 31))/1000000</f>
        <v>19.688099999999999</v>
      </c>
      <c r="Z948" s="38"/>
      <c r="AA948" s="10"/>
      <c r="AB948" s="39"/>
      <c r="AC948" s="33">
        <f>(B948*122.58+C948*297.941+D948*89.177+E948*40.302+F948*40+G948*160+H948*0+I948*100+J948*300)/(122.58+297.941+89.177+40.302+0+40+160+100+300)</f>
        <v>33.506607653130438</v>
      </c>
      <c r="AD948" s="27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33.197904316546769</v>
      </c>
    </row>
    <row r="949" spans="1:30" ht="15.75" x14ac:dyDescent="0.25">
      <c r="A949" s="13">
        <v>70159</v>
      </c>
      <c r="B949" s="10">
        <f>CHOOSE(CONTROL!$C$42, 35.7756, 35.7756) * CHOOSE(CONTROL!$C$21, $C$9, 100%, $E$9)</f>
        <v>35.775599999999997</v>
      </c>
      <c r="C949" s="10">
        <f>CHOOSE(CONTROL!$C$42, 35.7805, 35.7805) * CHOOSE(CONTROL!$C$21, $C$9, 100%, $E$9)</f>
        <v>35.780500000000004</v>
      </c>
      <c r="D949" s="10">
        <f>CHOOSE(CONTROL!$C$42, 35.805, 35.805) * CHOOSE(CONTROL!$C$21, $C$9, 100%, $E$9)</f>
        <v>35.805</v>
      </c>
      <c r="E949" s="10">
        <f>CHOOSE(CONTROL!$C$42, 35.8388, 35.8388) * CHOOSE(CONTROL!$C$21, $C$9, 100%, $E$9)</f>
        <v>35.838799999999999</v>
      </c>
      <c r="F949" s="10">
        <f>CHOOSE(CONTROL!$C$42, 35.7585, 35.7585)*CHOOSE(CONTROL!$C$21, $C$9, 100%, $E$9)</f>
        <v>35.758499999999998</v>
      </c>
      <c r="G949" s="10">
        <f>CHOOSE(CONTROL!$C$42, 35.7772, 35.7772)*CHOOSE(CONTROL!$C$21, $C$9, 100%, $E$9)</f>
        <v>35.777200000000001</v>
      </c>
      <c r="H949" s="10">
        <f>CHOOSE(CONTROL!$C$42, 35.828, 35.828) * CHOOSE(CONTROL!$C$21, $C$9, 100%, $E$9)</f>
        <v>35.828000000000003</v>
      </c>
      <c r="I949" s="10">
        <f>CHOOSE(CONTROL!$C$42, 35.7701, 35.7701)* CHOOSE(CONTROL!$C$21, $C$9, 100%, $E$9)</f>
        <v>35.770099999999999</v>
      </c>
      <c r="J949" s="10">
        <f>CHOOSE(CONTROL!$C$42, 35.7515, 35.7515)* CHOOSE(CONTROL!$C$21, $C$9, 100%, $E$9)</f>
        <v>35.7515</v>
      </c>
      <c r="K949" s="10">
        <f>CHOOSE(CONTROL!$C$42, 34.9092, 34.9092) * CHOOSE(CONTROL!$C$21, $C$9, 100%, $E$9)</f>
        <v>34.909199999999998</v>
      </c>
      <c r="L949" s="10">
        <f>CHOOSE(CONTROL!$C$42, 36.415, 36.415) * CHOOSE(CONTROL!$C$21, $C$9, 100%, $E$9)</f>
        <v>36.414999999999999</v>
      </c>
      <c r="M949" s="10">
        <f>CHOOSE(CONTROL!$C$42, 35.4045, 35.4045) * CHOOSE(CONTROL!$C$21, $C$9, 100%, $E$9)</f>
        <v>35.404499999999999</v>
      </c>
      <c r="N949" s="10">
        <f>CHOOSE(CONTROL!$C$42, 35.423, 35.423) * CHOOSE(CONTROL!$C$21, $C$9, 100%, $E$9)</f>
        <v>35.423000000000002</v>
      </c>
      <c r="O949" s="10">
        <f>CHOOSE(CONTROL!$C$42, 35.4802, 35.4802) * CHOOSE(CONTROL!$C$21, $C$9, 100%, $E$9)</f>
        <v>35.480200000000004</v>
      </c>
      <c r="P949" s="10">
        <f>CHOOSE(CONTROL!$C$42, 35.423, 35.423) * CHOOSE(CONTROL!$C$21, $C$9, 100%, $E$9)</f>
        <v>35.423000000000002</v>
      </c>
      <c r="Q949" s="10">
        <f>CHOOSE(CONTROL!$C$42, 36.0755, 36.0755) * CHOOSE(CONTROL!$C$21, $C$9, 100%, $E$9)</f>
        <v>36.075499999999998</v>
      </c>
      <c r="R949" s="10">
        <f>CHOOSE(CONTROL!$C$42, 36.7527, 36.7527) * CHOOSE(CONTROL!$C$21, $C$9, 100%, $E$9)</f>
        <v>36.752699999999997</v>
      </c>
      <c r="S949" s="10">
        <f>CHOOSE(CONTROL!$C$42, 34.7395, 34.7395) * CHOOSE(CONTROL!$C$21, $C$9, 100%, $E$9)</f>
        <v>34.7395</v>
      </c>
      <c r="T9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38">
        <f>(1000*CHOOSE(CONTROL!$C$42, 695, 695)*CHOOSE(CONTROL!$C$42, 0.5599, 0.5599)*CHOOSE(CONTROL!$C$42, 31, 31))/1000000</f>
        <v>12.063045499999998</v>
      </c>
      <c r="V949" s="38">
        <f>(1000*CHOOSE(CONTROL!$C$42, 500, 500)*CHOOSE(CONTROL!$C$42, 0.275, 0.275)*CHOOSE(CONTROL!$C$42, 31, 31))/1000000</f>
        <v>4.2625000000000002</v>
      </c>
      <c r="W949" s="38">
        <f>(1000*CHOOSE(CONTROL!$C$42, 0.1146, 0.1146)*CHOOSE(CONTROL!$C$42, 121.5, 121.5)*CHOOSE(CONTROL!$C$42, 31, 31))/1000000</f>
        <v>0.43164089999999994</v>
      </c>
      <c r="X949" s="38">
        <f>(31*0.1790888*100000/1000000)+(31*0.2374*100000/1000000)</f>
        <v>1.2911152800000001</v>
      </c>
      <c r="Y949" s="38">
        <f>(1000*600*CHOOSE(CONTROL!$C$42, 1.0585, 1.0585)*CHOOSE(CONTROL!$C$42, 31, 31))/1000000</f>
        <v>19.688099999999999</v>
      </c>
      <c r="Z949" s="38"/>
      <c r="AA949" s="10"/>
      <c r="AB949" s="39"/>
      <c r="AC949" s="33">
        <f>(B949*122.58+C949*297.941+D949*89.177+E949*40.302+F949*40+G949*160+H949*0+I949*100+J949*300)/(122.58+297.941+89.177+40.302+0+40+160+100+300)</f>
        <v>35.774226783565211</v>
      </c>
      <c r="AD949" s="27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35.442536690647479</v>
      </c>
    </row>
    <row r="950" spans="1:30" ht="15.75" x14ac:dyDescent="0.25">
      <c r="A950" s="13">
        <v>70188</v>
      </c>
      <c r="B950" s="10">
        <f>CHOOSE(CONTROL!$C$42, 36.4124, 36.4124) * CHOOSE(CONTROL!$C$21, $C$9, 100%, $E$9)</f>
        <v>36.412399999999998</v>
      </c>
      <c r="C950" s="10">
        <f>CHOOSE(CONTROL!$C$42, 36.4173, 36.4173) * CHOOSE(CONTROL!$C$21, $C$9, 100%, $E$9)</f>
        <v>36.417299999999997</v>
      </c>
      <c r="D950" s="10">
        <f>CHOOSE(CONTROL!$C$42, 36.4418, 36.4418) * CHOOSE(CONTROL!$C$21, $C$9, 100%, $E$9)</f>
        <v>36.441800000000001</v>
      </c>
      <c r="E950" s="10">
        <f>CHOOSE(CONTROL!$C$42, 36.4756, 36.4756) * CHOOSE(CONTROL!$C$21, $C$9, 100%, $E$9)</f>
        <v>36.4756</v>
      </c>
      <c r="F950" s="10">
        <f>CHOOSE(CONTROL!$C$42, 36.3946, 36.3946)*CHOOSE(CONTROL!$C$21, $C$9, 100%, $E$9)</f>
        <v>36.394599999999997</v>
      </c>
      <c r="G950" s="10">
        <f>CHOOSE(CONTROL!$C$42, 36.4131, 36.4131)*CHOOSE(CONTROL!$C$21, $C$9, 100%, $E$9)</f>
        <v>36.4131</v>
      </c>
      <c r="H950" s="10">
        <f>CHOOSE(CONTROL!$C$42, 36.4648, 36.4648) * CHOOSE(CONTROL!$C$21, $C$9, 100%, $E$9)</f>
        <v>36.464799999999997</v>
      </c>
      <c r="I950" s="10">
        <f>CHOOSE(CONTROL!$C$42, 36.4069, 36.4069)* CHOOSE(CONTROL!$C$21, $C$9, 100%, $E$9)</f>
        <v>36.4069</v>
      </c>
      <c r="J950" s="10">
        <f>CHOOSE(CONTROL!$C$42, 36.3876, 36.3876)* CHOOSE(CONTROL!$C$21, $C$9, 100%, $E$9)</f>
        <v>36.387599999999999</v>
      </c>
      <c r="K950" s="10">
        <f>CHOOSE(CONTROL!$C$42, 35.5264, 35.5264) * CHOOSE(CONTROL!$C$21, $C$9, 100%, $E$9)</f>
        <v>35.526400000000002</v>
      </c>
      <c r="L950" s="10">
        <f>CHOOSE(CONTROL!$C$42, 37.0518, 37.0518) * CHOOSE(CONTROL!$C$21, $C$9, 100%, $E$9)</f>
        <v>37.0518</v>
      </c>
      <c r="M950" s="10">
        <f>CHOOSE(CONTROL!$C$42, 36.0343, 36.0343) * CHOOSE(CONTROL!$C$21, $C$9, 100%, $E$9)</f>
        <v>36.034300000000002</v>
      </c>
      <c r="N950" s="10">
        <f>CHOOSE(CONTROL!$C$42, 36.0525, 36.0525) * CHOOSE(CONTROL!$C$21, $C$9, 100%, $E$9)</f>
        <v>36.052500000000002</v>
      </c>
      <c r="O950" s="10">
        <f>CHOOSE(CONTROL!$C$42, 36.1106, 36.1106) * CHOOSE(CONTROL!$C$21, $C$9, 100%, $E$9)</f>
        <v>36.110599999999998</v>
      </c>
      <c r="P950" s="10">
        <f>CHOOSE(CONTROL!$C$42, 36.0533, 36.0533) * CHOOSE(CONTROL!$C$21, $C$9, 100%, $E$9)</f>
        <v>36.0533</v>
      </c>
      <c r="Q950" s="10">
        <f>CHOOSE(CONTROL!$C$42, 36.7059, 36.7059) * CHOOSE(CONTROL!$C$21, $C$9, 100%, $E$9)</f>
        <v>36.7059</v>
      </c>
      <c r="R950" s="10">
        <f>CHOOSE(CONTROL!$C$42, 37.3847, 37.3847) * CHOOSE(CONTROL!$C$21, $C$9, 100%, $E$9)</f>
        <v>37.384700000000002</v>
      </c>
      <c r="S950" s="10">
        <f>CHOOSE(CONTROL!$C$42, 35.3579, 35.3579) * CHOOSE(CONTROL!$C$21, $C$9, 100%, $E$9)</f>
        <v>35.357900000000001</v>
      </c>
      <c r="T95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50" s="38">
        <f>(1000*CHOOSE(CONTROL!$C$42, 695, 695)*CHOOSE(CONTROL!$C$42, 0.5599, 0.5599)*CHOOSE(CONTROL!$C$42, 29, 29))/1000000</f>
        <v>11.284784499999999</v>
      </c>
      <c r="V950" s="38">
        <f>(1000*CHOOSE(CONTROL!$C$42, 500, 500)*CHOOSE(CONTROL!$C$42, 0.275, 0.275)*CHOOSE(CONTROL!$C$42, 29, 29))/1000000</f>
        <v>3.9874999999999998</v>
      </c>
      <c r="W950" s="38">
        <f>(1000*CHOOSE(CONTROL!$C$42, 0.1146, 0.1146)*CHOOSE(CONTROL!$C$42, 121.5, 121.5)*CHOOSE(CONTROL!$C$42, 29, 29))/1000000</f>
        <v>0.40379309999999996</v>
      </c>
      <c r="X950" s="38">
        <f>(29*0.1790888*100000/1000000)+(29*0.2374*100000/1000000)</f>
        <v>1.2078175199999999</v>
      </c>
      <c r="Y950" s="38">
        <f>(1000*600*CHOOSE(CONTROL!$C$42, 1.0585, 1.0585)*CHOOSE(CONTROL!$C$42, 29, 29))/1000000</f>
        <v>18.417899999999999</v>
      </c>
      <c r="Z950" s="38"/>
      <c r="AA950" s="10"/>
      <c r="AB950" s="39"/>
      <c r="AC950" s="33">
        <f>(B950*122.58+C950*297.941+D950*89.177+E950*40.302+F950*40+G950*160+H950*0+I950*100+J950*300)/(122.58+297.941+89.177+40.302+0+40+160+100+300)</f>
        <v>36.410694609652175</v>
      </c>
      <c r="AD950" s="27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36.072663309352521</v>
      </c>
    </row>
    <row r="951" spans="1:30" ht="15.75" x14ac:dyDescent="0.25">
      <c r="A951" s="13">
        <v>70219</v>
      </c>
      <c r="B951" s="10">
        <f>CHOOSE(CONTROL!$C$42, 35.3787, 35.3787) * CHOOSE(CONTROL!$C$21, $C$9, 100%, $E$9)</f>
        <v>35.378700000000002</v>
      </c>
      <c r="C951" s="10">
        <f>CHOOSE(CONTROL!$C$42, 35.3836, 35.3836) * CHOOSE(CONTROL!$C$21, $C$9, 100%, $E$9)</f>
        <v>35.383600000000001</v>
      </c>
      <c r="D951" s="10">
        <f>CHOOSE(CONTROL!$C$42, 35.4081, 35.4081) * CHOOSE(CONTROL!$C$21, $C$9, 100%, $E$9)</f>
        <v>35.408099999999997</v>
      </c>
      <c r="E951" s="10">
        <f>CHOOSE(CONTROL!$C$42, 35.4419, 35.4419) * CHOOSE(CONTROL!$C$21, $C$9, 100%, $E$9)</f>
        <v>35.441899999999997</v>
      </c>
      <c r="F951" s="10">
        <f>CHOOSE(CONTROL!$C$42, 35.3594, 35.3594)*CHOOSE(CONTROL!$C$21, $C$9, 100%, $E$9)</f>
        <v>35.359400000000001</v>
      </c>
      <c r="G951" s="10">
        <f>CHOOSE(CONTROL!$C$42, 35.3775, 35.3775)*CHOOSE(CONTROL!$C$21, $C$9, 100%, $E$9)</f>
        <v>35.377499999999998</v>
      </c>
      <c r="H951" s="10">
        <f>CHOOSE(CONTROL!$C$42, 35.4311, 35.4311) * CHOOSE(CONTROL!$C$21, $C$9, 100%, $E$9)</f>
        <v>35.431100000000001</v>
      </c>
      <c r="I951" s="10">
        <f>CHOOSE(CONTROL!$C$42, 35.3732, 35.3732)* CHOOSE(CONTROL!$C$21, $C$9, 100%, $E$9)</f>
        <v>35.373199999999997</v>
      </c>
      <c r="J951" s="10">
        <f>CHOOSE(CONTROL!$C$42, 35.3524, 35.3524)* CHOOSE(CONTROL!$C$21, $C$9, 100%, $E$9)</f>
        <v>35.352400000000003</v>
      </c>
      <c r="K951" s="10">
        <f>CHOOSE(CONTROL!$C$42, 34.5188, 34.5188) * CHOOSE(CONTROL!$C$21, $C$9, 100%, $E$9)</f>
        <v>34.518799999999999</v>
      </c>
      <c r="L951" s="10">
        <f>CHOOSE(CONTROL!$C$42, 36.0181, 36.0181) * CHOOSE(CONTROL!$C$21, $C$9, 100%, $E$9)</f>
        <v>36.018099999999997</v>
      </c>
      <c r="M951" s="10">
        <f>CHOOSE(CONTROL!$C$42, 35.0095, 35.0095) * CHOOSE(CONTROL!$C$21, $C$9, 100%, $E$9)</f>
        <v>35.009500000000003</v>
      </c>
      <c r="N951" s="10">
        <f>CHOOSE(CONTROL!$C$42, 35.0274, 35.0274) * CHOOSE(CONTROL!$C$21, $C$9, 100%, $E$9)</f>
        <v>35.0274</v>
      </c>
      <c r="O951" s="10">
        <f>CHOOSE(CONTROL!$C$42, 35.0873, 35.0873) * CHOOSE(CONTROL!$C$21, $C$9, 100%, $E$9)</f>
        <v>35.087299999999999</v>
      </c>
      <c r="P951" s="10">
        <f>CHOOSE(CONTROL!$C$42, 35.0301, 35.0301) * CHOOSE(CONTROL!$C$21, $C$9, 100%, $E$9)</f>
        <v>35.030099999999997</v>
      </c>
      <c r="Q951" s="10">
        <f>CHOOSE(CONTROL!$C$42, 35.6826, 35.6826) * CHOOSE(CONTROL!$C$21, $C$9, 100%, $E$9)</f>
        <v>35.682600000000001</v>
      </c>
      <c r="R951" s="10">
        <f>CHOOSE(CONTROL!$C$42, 36.3589, 36.3589) * CHOOSE(CONTROL!$C$21, $C$9, 100%, $E$9)</f>
        <v>36.358899999999998</v>
      </c>
      <c r="S951" s="10">
        <f>CHOOSE(CONTROL!$C$42, 34.3541, 34.3541) * CHOOSE(CONTROL!$C$21, $C$9, 100%, $E$9)</f>
        <v>34.354100000000003</v>
      </c>
      <c r="T9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38">
        <f>(1000*CHOOSE(CONTROL!$C$42, 695, 695)*CHOOSE(CONTROL!$C$42, 0.5599, 0.5599)*CHOOSE(CONTROL!$C$42, 31, 31))/1000000</f>
        <v>12.063045499999998</v>
      </c>
      <c r="V951" s="38">
        <f>(1000*CHOOSE(CONTROL!$C$42, 500, 500)*CHOOSE(CONTROL!$C$42, 0.275, 0.275)*CHOOSE(CONTROL!$C$42, 31, 31))/1000000</f>
        <v>4.2625000000000002</v>
      </c>
      <c r="W951" s="38">
        <f>(1000*CHOOSE(CONTROL!$C$42, 0.1146, 0.1146)*CHOOSE(CONTROL!$C$42, 121.5, 121.5)*CHOOSE(CONTROL!$C$42, 31, 31))/1000000</f>
        <v>0.43164089999999994</v>
      </c>
      <c r="X951" s="38">
        <f>(31*0.1790888*100000/1000000)+(31*0.2374*100000/1000000)</f>
        <v>1.2911152800000001</v>
      </c>
      <c r="Y951" s="38">
        <f>(1000*600*CHOOSE(CONTROL!$C$42, 1.0585, 1.0585)*CHOOSE(CONTROL!$C$42, 31, 31))/1000000</f>
        <v>19.688099999999999</v>
      </c>
      <c r="Z951" s="38"/>
      <c r="AA951" s="10"/>
      <c r="AB951" s="39"/>
      <c r="AC951" s="33">
        <f>(B951*122.58+C951*297.941+D951*89.177+E951*40.302+F951*40+G951*160+H951*0+I951*100+J951*300)/(122.58+297.941+89.177+40.302+0+40+160+100+300)</f>
        <v>35.37628678356522</v>
      </c>
      <c r="AD951" s="27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35.048756115107913</v>
      </c>
    </row>
    <row r="952" spans="1:30" ht="15.75" x14ac:dyDescent="0.25">
      <c r="A952" s="13">
        <v>70249</v>
      </c>
      <c r="B952" s="10">
        <f>CHOOSE(CONTROL!$C$42, 35.2736, 35.2736) * CHOOSE(CONTROL!$C$21, $C$9, 100%, $E$9)</f>
        <v>35.273600000000002</v>
      </c>
      <c r="C952" s="10">
        <f>CHOOSE(CONTROL!$C$42, 35.2779, 35.2779) * CHOOSE(CONTROL!$C$21, $C$9, 100%, $E$9)</f>
        <v>35.277900000000002</v>
      </c>
      <c r="D952" s="10">
        <f>CHOOSE(CONTROL!$C$42, 35.4581, 35.4581) * CHOOSE(CONTROL!$C$21, $C$9, 100%, $E$9)</f>
        <v>35.458100000000002</v>
      </c>
      <c r="E952" s="10">
        <f>CHOOSE(CONTROL!$C$42, 35.4898, 35.4898) * CHOOSE(CONTROL!$C$21, $C$9, 100%, $E$9)</f>
        <v>35.489800000000002</v>
      </c>
      <c r="F952" s="10">
        <f>CHOOSE(CONTROL!$C$42, 35.2389, 35.2389)*CHOOSE(CONTROL!$C$21, $C$9, 100%, $E$9)</f>
        <v>35.238900000000001</v>
      </c>
      <c r="G952" s="10">
        <f>CHOOSE(CONTROL!$C$42, 35.2551, 35.2551)*CHOOSE(CONTROL!$C$21, $C$9, 100%, $E$9)</f>
        <v>35.255099999999999</v>
      </c>
      <c r="H952" s="10">
        <f>CHOOSE(CONTROL!$C$42, 35.4796, 35.4796) * CHOOSE(CONTROL!$C$21, $C$9, 100%, $E$9)</f>
        <v>35.479599999999998</v>
      </c>
      <c r="I952" s="10">
        <f>CHOOSE(CONTROL!$C$42, 35.2595, 35.2595)* CHOOSE(CONTROL!$C$21, $C$9, 100%, $E$9)</f>
        <v>35.259500000000003</v>
      </c>
      <c r="J952" s="10">
        <f>CHOOSE(CONTROL!$C$42, 35.2319, 35.2319)* CHOOSE(CONTROL!$C$21, $C$9, 100%, $E$9)</f>
        <v>35.231900000000003</v>
      </c>
      <c r="K952" s="10">
        <f>CHOOSE(CONTROL!$C$42, 34.3934, 34.3934) * CHOOSE(CONTROL!$C$21, $C$9, 100%, $E$9)</f>
        <v>34.3934</v>
      </c>
      <c r="L952" s="10">
        <f>CHOOSE(CONTROL!$C$42, 36.0666, 36.0666) * CHOOSE(CONTROL!$C$21, $C$9, 100%, $E$9)</f>
        <v>36.066600000000001</v>
      </c>
      <c r="M952" s="10">
        <f>CHOOSE(CONTROL!$C$42, 34.8902, 34.8902) * CHOOSE(CONTROL!$C$21, $C$9, 100%, $E$9)</f>
        <v>34.8902</v>
      </c>
      <c r="N952" s="10">
        <f>CHOOSE(CONTROL!$C$42, 34.9062, 34.9062) * CHOOSE(CONTROL!$C$21, $C$9, 100%, $E$9)</f>
        <v>34.906199999999998</v>
      </c>
      <c r="O952" s="10">
        <f>CHOOSE(CONTROL!$C$42, 35.1354, 35.1354) * CHOOSE(CONTROL!$C$21, $C$9, 100%, $E$9)</f>
        <v>35.135399999999997</v>
      </c>
      <c r="P952" s="10">
        <f>CHOOSE(CONTROL!$C$42, 34.9176, 34.9176) * CHOOSE(CONTROL!$C$21, $C$9, 100%, $E$9)</f>
        <v>34.9176</v>
      </c>
      <c r="Q952" s="10">
        <f>CHOOSE(CONTROL!$C$42, 35.7307, 35.7307) * CHOOSE(CONTROL!$C$21, $C$9, 100%, $E$9)</f>
        <v>35.730699999999999</v>
      </c>
      <c r="R952" s="10">
        <f>CHOOSE(CONTROL!$C$42, 36.407, 36.407) * CHOOSE(CONTROL!$C$21, $C$9, 100%, $E$9)</f>
        <v>36.406999999999996</v>
      </c>
      <c r="S952" s="10">
        <f>CHOOSE(CONTROL!$C$42, 34.2513, 34.2513) * CHOOSE(CONTROL!$C$21, $C$9, 100%, $E$9)</f>
        <v>34.251300000000001</v>
      </c>
      <c r="T9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38">
        <f>(1000*CHOOSE(CONTROL!$C$42, 695, 695)*CHOOSE(CONTROL!$C$42, 0.5599, 0.5599)*CHOOSE(CONTROL!$C$42, 30, 30))/1000000</f>
        <v>11.673914999999997</v>
      </c>
      <c r="V952" s="38">
        <f>(1000*CHOOSE(CONTROL!$C$42, 500, 500)*CHOOSE(CONTROL!$C$42, 0.275, 0.275)*CHOOSE(CONTROL!$C$42, 30, 30))/1000000</f>
        <v>4.125</v>
      </c>
      <c r="W952" s="38">
        <f>(1000*CHOOSE(CONTROL!$C$42, 0.1146, 0.1146)*CHOOSE(CONTROL!$C$42, 121.5, 121.5)*CHOOSE(CONTROL!$C$42, 30, 30))/1000000</f>
        <v>0.417717</v>
      </c>
      <c r="X952" s="38">
        <f>(30*0.1790888*245000/1000000)+(30*0.2374*100000/1000000)</f>
        <v>2.0285026799999999</v>
      </c>
      <c r="Y952" s="38">
        <f>(1000*600*CHOOSE(CONTROL!$C$42, 1.0585, 1.0585)*CHOOSE(CONTROL!$C$42, 30, 30))/1000000</f>
        <v>19.053000000000001</v>
      </c>
      <c r="Z952" s="38"/>
      <c r="AA952" s="10"/>
      <c r="AB952" s="39"/>
      <c r="AC952" s="33">
        <f>(B952*141.293+C952*267.993+D952*115.016+E952*89.698+F952*40+G952*185+H952*0+I952*100+J952*300)/(141.293+267.993+115.016+89.698+0+40+185+100+300)</f>
        <v>35.292191629943503</v>
      </c>
      <c r="AD952" s="27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35.006197122302162</v>
      </c>
    </row>
    <row r="953" spans="1:30" ht="15.75" x14ac:dyDescent="0.25">
      <c r="A953" s="13">
        <v>70280</v>
      </c>
      <c r="B953" s="10">
        <f>CHOOSE(CONTROL!$C$42, 35.5866, 35.5866) * CHOOSE(CONTROL!$C$21, $C$9, 100%, $E$9)</f>
        <v>35.586599999999997</v>
      </c>
      <c r="C953" s="10">
        <f>CHOOSE(CONTROL!$C$42, 35.5946, 35.5946) * CHOOSE(CONTROL!$C$21, $C$9, 100%, $E$9)</f>
        <v>35.5946</v>
      </c>
      <c r="D953" s="10">
        <f>CHOOSE(CONTROL!$C$42, 35.7715, 35.7715) * CHOOSE(CONTROL!$C$21, $C$9, 100%, $E$9)</f>
        <v>35.771500000000003</v>
      </c>
      <c r="E953" s="10">
        <f>CHOOSE(CONTROL!$C$42, 35.8027, 35.8027) * CHOOSE(CONTROL!$C$21, $C$9, 100%, $E$9)</f>
        <v>35.802700000000002</v>
      </c>
      <c r="F953" s="10">
        <f>CHOOSE(CONTROL!$C$42, 35.55, 35.55)*CHOOSE(CONTROL!$C$21, $C$9, 100%, $E$9)</f>
        <v>35.549999999999997</v>
      </c>
      <c r="G953" s="10">
        <f>CHOOSE(CONTROL!$C$42, 35.5665, 35.5665)*CHOOSE(CONTROL!$C$21, $C$9, 100%, $E$9)</f>
        <v>35.566499999999998</v>
      </c>
      <c r="H953" s="10">
        <f>CHOOSE(CONTROL!$C$42, 35.7913, 35.7913) * CHOOSE(CONTROL!$C$21, $C$9, 100%, $E$9)</f>
        <v>35.7913</v>
      </c>
      <c r="I953" s="10">
        <f>CHOOSE(CONTROL!$C$42, 35.5712, 35.5712)* CHOOSE(CONTROL!$C$21, $C$9, 100%, $E$9)</f>
        <v>35.571199999999997</v>
      </c>
      <c r="J953" s="10">
        <f>CHOOSE(CONTROL!$C$42, 35.543, 35.543)* CHOOSE(CONTROL!$C$21, $C$9, 100%, $E$9)</f>
        <v>35.542999999999999</v>
      </c>
      <c r="K953" s="10">
        <f>CHOOSE(CONTROL!$C$42, 34.695, 34.695) * CHOOSE(CONTROL!$C$21, $C$9, 100%, $E$9)</f>
        <v>34.695</v>
      </c>
      <c r="L953" s="10">
        <f>CHOOSE(CONTROL!$C$42, 36.3783, 36.3783) * CHOOSE(CONTROL!$C$21, $C$9, 100%, $E$9)</f>
        <v>36.378300000000003</v>
      </c>
      <c r="M953" s="10">
        <f>CHOOSE(CONTROL!$C$42, 35.1981, 35.1981) * CHOOSE(CONTROL!$C$21, $C$9, 100%, $E$9)</f>
        <v>35.198099999999997</v>
      </c>
      <c r="N953" s="10">
        <f>CHOOSE(CONTROL!$C$42, 35.2145, 35.2145) * CHOOSE(CONTROL!$C$21, $C$9, 100%, $E$9)</f>
        <v>35.214500000000001</v>
      </c>
      <c r="O953" s="10">
        <f>CHOOSE(CONTROL!$C$42, 35.4439, 35.4439) * CHOOSE(CONTROL!$C$21, $C$9, 100%, $E$9)</f>
        <v>35.443899999999999</v>
      </c>
      <c r="P953" s="10">
        <f>CHOOSE(CONTROL!$C$42, 35.2261, 35.2261) * CHOOSE(CONTROL!$C$21, $C$9, 100%, $E$9)</f>
        <v>35.226100000000002</v>
      </c>
      <c r="Q953" s="10">
        <f>CHOOSE(CONTROL!$C$42, 36.0392, 36.0392) * CHOOSE(CONTROL!$C$21, $C$9, 100%, $E$9)</f>
        <v>36.039200000000001</v>
      </c>
      <c r="R953" s="10">
        <f>CHOOSE(CONTROL!$C$42, 36.7163, 36.7163) * CHOOSE(CONTROL!$C$21, $C$9, 100%, $E$9)</f>
        <v>36.716299999999997</v>
      </c>
      <c r="S953" s="10">
        <f>CHOOSE(CONTROL!$C$42, 34.5539, 34.5539) * CHOOSE(CONTROL!$C$21, $C$9, 100%, $E$9)</f>
        <v>34.553899999999999</v>
      </c>
      <c r="T9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38">
        <f>(1000*CHOOSE(CONTROL!$C$42, 695, 695)*CHOOSE(CONTROL!$C$42, 0.5599, 0.5599)*CHOOSE(CONTROL!$C$42, 31, 31))/1000000</f>
        <v>12.063045499999998</v>
      </c>
      <c r="V953" s="38">
        <f>(1000*CHOOSE(CONTROL!$C$42, 500, 500)*CHOOSE(CONTROL!$C$42, 0.275, 0.275)*CHOOSE(CONTROL!$C$42, 31, 31))/1000000</f>
        <v>4.2625000000000002</v>
      </c>
      <c r="W953" s="38">
        <f>(1000*CHOOSE(CONTROL!$C$42, 0.1146, 0.1146)*CHOOSE(CONTROL!$C$42, 121.5, 121.5)*CHOOSE(CONTROL!$C$42, 31, 31))/1000000</f>
        <v>0.43164089999999994</v>
      </c>
      <c r="X953" s="38">
        <f>(31*0.1790888*245000/1000000)+(31*0.2374*100000/1000000)</f>
        <v>2.0961194359999999</v>
      </c>
      <c r="Y953" s="38">
        <f>(1000*600*CHOOSE(CONTROL!$C$42, 1.0585, 1.0585)*CHOOSE(CONTROL!$C$42, 31, 31))/1000000</f>
        <v>19.688099999999999</v>
      </c>
      <c r="Z953" s="38"/>
      <c r="AA953" s="10"/>
      <c r="AB953" s="39"/>
      <c r="AC953" s="33">
        <f>(B953*194.205+C953*267.466+D953*133.845+E953*53.484+F953*40+G953*185+H953*0+I953*100+J953*300)/(194.205+267.466+133.845+53.484+0+40+185+100+300)</f>
        <v>35.601233485792775</v>
      </c>
      <c r="AD953" s="27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35.314478417266187</v>
      </c>
    </row>
    <row r="954" spans="1:30" ht="15.75" x14ac:dyDescent="0.25">
      <c r="A954" s="13">
        <v>70310</v>
      </c>
      <c r="B954" s="10">
        <f>CHOOSE(CONTROL!$C$42, 36.5959, 36.5959) * CHOOSE(CONTROL!$C$21, $C$9, 100%, $E$9)</f>
        <v>36.5959</v>
      </c>
      <c r="C954" s="10">
        <f>CHOOSE(CONTROL!$C$42, 36.6039, 36.6039) * CHOOSE(CONTROL!$C$21, $C$9, 100%, $E$9)</f>
        <v>36.603900000000003</v>
      </c>
      <c r="D954" s="10">
        <f>CHOOSE(CONTROL!$C$42, 36.7808, 36.7808) * CHOOSE(CONTROL!$C$21, $C$9, 100%, $E$9)</f>
        <v>36.780799999999999</v>
      </c>
      <c r="E954" s="10">
        <f>CHOOSE(CONTROL!$C$42, 36.812, 36.812) * CHOOSE(CONTROL!$C$21, $C$9, 100%, $E$9)</f>
        <v>36.811999999999998</v>
      </c>
      <c r="F954" s="10">
        <f>CHOOSE(CONTROL!$C$42, 36.5595, 36.5595)*CHOOSE(CONTROL!$C$21, $C$9, 100%, $E$9)</f>
        <v>36.5595</v>
      </c>
      <c r="G954" s="10">
        <f>CHOOSE(CONTROL!$C$42, 36.576, 36.576)*CHOOSE(CONTROL!$C$21, $C$9, 100%, $E$9)</f>
        <v>36.576000000000001</v>
      </c>
      <c r="H954" s="10">
        <f>CHOOSE(CONTROL!$C$42, 36.8006, 36.8006) * CHOOSE(CONTROL!$C$21, $C$9, 100%, $E$9)</f>
        <v>36.800600000000003</v>
      </c>
      <c r="I954" s="10">
        <f>CHOOSE(CONTROL!$C$42, 36.5805, 36.5805)* CHOOSE(CONTROL!$C$21, $C$9, 100%, $E$9)</f>
        <v>36.580500000000001</v>
      </c>
      <c r="J954" s="10">
        <f>CHOOSE(CONTROL!$C$42, 36.5525, 36.5525)* CHOOSE(CONTROL!$C$21, $C$9, 100%, $E$9)</f>
        <v>36.552500000000002</v>
      </c>
      <c r="K954" s="10">
        <f>CHOOSE(CONTROL!$C$42, 35.676, 35.676) * CHOOSE(CONTROL!$C$21, $C$9, 100%, $E$9)</f>
        <v>35.676000000000002</v>
      </c>
      <c r="L954" s="10">
        <f>CHOOSE(CONTROL!$C$42, 37.3876, 37.3876) * CHOOSE(CONTROL!$C$21, $C$9, 100%, $E$9)</f>
        <v>37.387599999999999</v>
      </c>
      <c r="M954" s="10">
        <f>CHOOSE(CONTROL!$C$42, 36.1974, 36.1974) * CHOOSE(CONTROL!$C$21, $C$9, 100%, $E$9)</f>
        <v>36.197400000000002</v>
      </c>
      <c r="N954" s="10">
        <f>CHOOSE(CONTROL!$C$42, 36.2138, 36.2138) * CHOOSE(CONTROL!$C$21, $C$9, 100%, $E$9)</f>
        <v>36.213799999999999</v>
      </c>
      <c r="O954" s="10">
        <f>CHOOSE(CONTROL!$C$42, 36.4431, 36.4431) * CHOOSE(CONTROL!$C$21, $C$9, 100%, $E$9)</f>
        <v>36.443100000000001</v>
      </c>
      <c r="P954" s="10">
        <f>CHOOSE(CONTROL!$C$42, 36.2252, 36.2252) * CHOOSE(CONTROL!$C$21, $C$9, 100%, $E$9)</f>
        <v>36.225200000000001</v>
      </c>
      <c r="Q954" s="10">
        <f>CHOOSE(CONTROL!$C$42, 37.0384, 37.0384) * CHOOSE(CONTROL!$C$21, $C$9, 100%, $E$9)</f>
        <v>37.038400000000003</v>
      </c>
      <c r="R954" s="10">
        <f>CHOOSE(CONTROL!$C$42, 37.718, 37.718) * CHOOSE(CONTROL!$C$21, $C$9, 100%, $E$9)</f>
        <v>37.718000000000004</v>
      </c>
      <c r="S954" s="10">
        <f>CHOOSE(CONTROL!$C$42, 35.5341, 35.5341) * CHOOSE(CONTROL!$C$21, $C$9, 100%, $E$9)</f>
        <v>35.534100000000002</v>
      </c>
      <c r="T9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38">
        <f>(1000*CHOOSE(CONTROL!$C$42, 695, 695)*CHOOSE(CONTROL!$C$42, 0.5599, 0.5599)*CHOOSE(CONTROL!$C$42, 30, 30))/1000000</f>
        <v>11.673914999999997</v>
      </c>
      <c r="V954" s="38">
        <f>(1000*CHOOSE(CONTROL!$C$42, 500, 500)*CHOOSE(CONTROL!$C$42, 0.275, 0.275)*CHOOSE(CONTROL!$C$42, 30, 30))/1000000</f>
        <v>4.125</v>
      </c>
      <c r="W954" s="38">
        <f>(1000*CHOOSE(CONTROL!$C$42, 0.1146, 0.1146)*CHOOSE(CONTROL!$C$42, 121.5, 121.5)*CHOOSE(CONTROL!$C$42, 30, 30))/1000000</f>
        <v>0.417717</v>
      </c>
      <c r="X954" s="38">
        <f>(30*0.1790888*245000/1000000)+(30*0.2374*100000/1000000)</f>
        <v>2.0285026799999999</v>
      </c>
      <c r="Y954" s="38">
        <f>(1000*600*CHOOSE(CONTROL!$C$42, 1.0585, 1.0585)*CHOOSE(CONTROL!$C$42, 30, 30))/1000000</f>
        <v>19.053000000000001</v>
      </c>
      <c r="Z954" s="38"/>
      <c r="AA954" s="10"/>
      <c r="AB954" s="39"/>
      <c r="AC954" s="33">
        <f>(B954*194.205+C954*267.466+D954*133.845+E954*53.484+F954*40+G954*185+H954*0+I954*100+J954*300)/(194.205+267.466+133.845+53.484+0+40+185+100+300)</f>
        <v>36.610615903375198</v>
      </c>
      <c r="AD954" s="27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36.313704316546769</v>
      </c>
    </row>
    <row r="955" spans="1:30" ht="15.75" x14ac:dyDescent="0.25">
      <c r="A955" s="13">
        <v>70341</v>
      </c>
      <c r="B955" s="10">
        <f>CHOOSE(CONTROL!$C$42, 35.894, 35.894) * CHOOSE(CONTROL!$C$21, $C$9, 100%, $E$9)</f>
        <v>35.893999999999998</v>
      </c>
      <c r="C955" s="10">
        <f>CHOOSE(CONTROL!$C$42, 35.9019, 35.9019) * CHOOSE(CONTROL!$C$21, $C$9, 100%, $E$9)</f>
        <v>35.901899999999998</v>
      </c>
      <c r="D955" s="10">
        <f>CHOOSE(CONTROL!$C$42, 36.0789, 36.0789) * CHOOSE(CONTROL!$C$21, $C$9, 100%, $E$9)</f>
        <v>36.078899999999997</v>
      </c>
      <c r="E955" s="10">
        <f>CHOOSE(CONTROL!$C$42, 36.11, 36.11) * CHOOSE(CONTROL!$C$21, $C$9, 100%, $E$9)</f>
        <v>36.11</v>
      </c>
      <c r="F955" s="10">
        <f>CHOOSE(CONTROL!$C$42, 35.8577, 35.8577)*CHOOSE(CONTROL!$C$21, $C$9, 100%, $E$9)</f>
        <v>35.857700000000001</v>
      </c>
      <c r="G955" s="10">
        <f>CHOOSE(CONTROL!$C$42, 35.8744, 35.8744)*CHOOSE(CONTROL!$C$21, $C$9, 100%, $E$9)</f>
        <v>35.874400000000001</v>
      </c>
      <c r="H955" s="10">
        <f>CHOOSE(CONTROL!$C$42, 36.0986, 36.0986) * CHOOSE(CONTROL!$C$21, $C$9, 100%, $E$9)</f>
        <v>36.098599999999998</v>
      </c>
      <c r="I955" s="10">
        <f>CHOOSE(CONTROL!$C$42, 35.8786, 35.8786)* CHOOSE(CONTROL!$C$21, $C$9, 100%, $E$9)</f>
        <v>35.878599999999999</v>
      </c>
      <c r="J955" s="10">
        <f>CHOOSE(CONTROL!$C$42, 35.8507, 35.8507)* CHOOSE(CONTROL!$C$21, $C$9, 100%, $E$9)</f>
        <v>35.850700000000003</v>
      </c>
      <c r="K955" s="10">
        <f>CHOOSE(CONTROL!$C$42, 34.9945, 34.9945) * CHOOSE(CONTROL!$C$21, $C$9, 100%, $E$9)</f>
        <v>34.994500000000002</v>
      </c>
      <c r="L955" s="10">
        <f>CHOOSE(CONTROL!$C$42, 36.6856, 36.6856) * CHOOSE(CONTROL!$C$21, $C$9, 100%, $E$9)</f>
        <v>36.685600000000001</v>
      </c>
      <c r="M955" s="10">
        <f>CHOOSE(CONTROL!$C$42, 35.5028, 35.5028) * CHOOSE(CONTROL!$C$21, $C$9, 100%, $E$9)</f>
        <v>35.502800000000001</v>
      </c>
      <c r="N955" s="10">
        <f>CHOOSE(CONTROL!$C$42, 35.5192, 35.5192) * CHOOSE(CONTROL!$C$21, $C$9, 100%, $E$9)</f>
        <v>35.519199999999998</v>
      </c>
      <c r="O955" s="10">
        <f>CHOOSE(CONTROL!$C$42, 35.7482, 35.7482) * CHOOSE(CONTROL!$C$21, $C$9, 100%, $E$9)</f>
        <v>35.748199999999997</v>
      </c>
      <c r="P955" s="10">
        <f>CHOOSE(CONTROL!$C$42, 35.5303, 35.5303) * CHOOSE(CONTROL!$C$21, $C$9, 100%, $E$9)</f>
        <v>35.530299999999997</v>
      </c>
      <c r="Q955" s="10">
        <f>CHOOSE(CONTROL!$C$42, 36.3435, 36.3435) * CHOOSE(CONTROL!$C$21, $C$9, 100%, $E$9)</f>
        <v>36.343499999999999</v>
      </c>
      <c r="R955" s="10">
        <f>CHOOSE(CONTROL!$C$42, 37.0213, 37.0213) * CHOOSE(CONTROL!$C$21, $C$9, 100%, $E$9)</f>
        <v>37.021299999999997</v>
      </c>
      <c r="S955" s="10">
        <f>CHOOSE(CONTROL!$C$42, 34.8524, 34.8524) * CHOOSE(CONTROL!$C$21, $C$9, 100%, $E$9)</f>
        <v>34.852400000000003</v>
      </c>
      <c r="T9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38">
        <f>(1000*CHOOSE(CONTROL!$C$42, 695, 695)*CHOOSE(CONTROL!$C$42, 0.5599, 0.5599)*CHOOSE(CONTROL!$C$42, 31, 31))/1000000</f>
        <v>12.063045499999998</v>
      </c>
      <c r="V955" s="38">
        <f>(1000*CHOOSE(CONTROL!$C$42, 500, 500)*CHOOSE(CONTROL!$C$42, 0.275, 0.275)*CHOOSE(CONTROL!$C$42, 31, 31))/1000000</f>
        <v>4.2625000000000002</v>
      </c>
      <c r="W955" s="38">
        <f>(1000*CHOOSE(CONTROL!$C$42, 0.1146, 0.1146)*CHOOSE(CONTROL!$C$42, 121.5, 121.5)*CHOOSE(CONTROL!$C$42, 31, 31))/1000000</f>
        <v>0.43164089999999994</v>
      </c>
      <c r="X955" s="38">
        <f>(31*0.1790888*245000/1000000)+(31*0.2374*100000/1000000)</f>
        <v>2.0961194359999999</v>
      </c>
      <c r="Y955" s="38">
        <f>(1000*600*CHOOSE(CONTROL!$C$42, 1.0585, 1.0585)*CHOOSE(CONTROL!$C$42, 31, 31))/1000000</f>
        <v>19.688099999999999</v>
      </c>
      <c r="Z955" s="38"/>
      <c r="AA955" s="10"/>
      <c r="AB955" s="39"/>
      <c r="AC955" s="33">
        <f>(B955*194.205+C955*267.466+D955*133.845+E955*53.484+F955*40+G955*185+H955*0+I955*100+J955*300)/(194.205+267.466+133.845+53.484+0+40+185+100+300)</f>
        <v>35.908760962244898</v>
      </c>
      <c r="AD955" s="27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35.618925179856113</v>
      </c>
    </row>
    <row r="956" spans="1:30" ht="15.75" x14ac:dyDescent="0.25">
      <c r="A956" s="13">
        <v>70372</v>
      </c>
      <c r="B956" s="10">
        <f>CHOOSE(CONTROL!$C$42, 34.1212, 34.1212) * CHOOSE(CONTROL!$C$21, $C$9, 100%, $E$9)</f>
        <v>34.121200000000002</v>
      </c>
      <c r="C956" s="10">
        <f>CHOOSE(CONTROL!$C$42, 34.1292, 34.1292) * CHOOSE(CONTROL!$C$21, $C$9, 100%, $E$9)</f>
        <v>34.129199999999997</v>
      </c>
      <c r="D956" s="10">
        <f>CHOOSE(CONTROL!$C$42, 34.3061, 34.3061) * CHOOSE(CONTROL!$C$21, $C$9, 100%, $E$9)</f>
        <v>34.306100000000001</v>
      </c>
      <c r="E956" s="10">
        <f>CHOOSE(CONTROL!$C$42, 34.3373, 34.3373) * CHOOSE(CONTROL!$C$21, $C$9, 100%, $E$9)</f>
        <v>34.337299999999999</v>
      </c>
      <c r="F956" s="10">
        <f>CHOOSE(CONTROL!$C$42, 34.0851, 34.0851)*CHOOSE(CONTROL!$C$21, $C$9, 100%, $E$9)</f>
        <v>34.085099999999997</v>
      </c>
      <c r="G956" s="10">
        <f>CHOOSE(CONTROL!$C$42, 34.1017, 34.1017)*CHOOSE(CONTROL!$C$21, $C$9, 100%, $E$9)</f>
        <v>34.101700000000001</v>
      </c>
      <c r="H956" s="10">
        <f>CHOOSE(CONTROL!$C$42, 34.3259, 34.3259) * CHOOSE(CONTROL!$C$21, $C$9, 100%, $E$9)</f>
        <v>34.325899999999997</v>
      </c>
      <c r="I956" s="10">
        <f>CHOOSE(CONTROL!$C$42, 34.1058, 34.1058)* CHOOSE(CONTROL!$C$21, $C$9, 100%, $E$9)</f>
        <v>34.105800000000002</v>
      </c>
      <c r="J956" s="10">
        <f>CHOOSE(CONTROL!$C$42, 34.0781, 34.0781)* CHOOSE(CONTROL!$C$21, $C$9, 100%, $E$9)</f>
        <v>34.078099999999999</v>
      </c>
      <c r="K956" s="10">
        <f>CHOOSE(CONTROL!$C$42, 33.2722, 33.2722) * CHOOSE(CONTROL!$C$21, $C$9, 100%, $E$9)</f>
        <v>33.272199999999998</v>
      </c>
      <c r="L956" s="10">
        <f>CHOOSE(CONTROL!$C$42, 34.9129, 34.9129) * CHOOSE(CONTROL!$C$21, $C$9, 100%, $E$9)</f>
        <v>34.9129</v>
      </c>
      <c r="M956" s="10">
        <f>CHOOSE(CONTROL!$C$42, 33.748, 33.748) * CHOOSE(CONTROL!$C$21, $C$9, 100%, $E$9)</f>
        <v>33.747999999999998</v>
      </c>
      <c r="N956" s="10">
        <f>CHOOSE(CONTROL!$C$42, 33.7645, 33.7645) * CHOOSE(CONTROL!$C$21, $C$9, 100%, $E$9)</f>
        <v>33.764499999999998</v>
      </c>
      <c r="O956" s="10">
        <f>CHOOSE(CONTROL!$C$42, 33.9933, 33.9933) * CHOOSE(CONTROL!$C$21, $C$9, 100%, $E$9)</f>
        <v>33.993299999999998</v>
      </c>
      <c r="P956" s="10">
        <f>CHOOSE(CONTROL!$C$42, 33.7755, 33.7755) * CHOOSE(CONTROL!$C$21, $C$9, 100%, $E$9)</f>
        <v>33.775500000000001</v>
      </c>
      <c r="Q956" s="10">
        <f>CHOOSE(CONTROL!$C$42, 34.5886, 34.5886) * CHOOSE(CONTROL!$C$21, $C$9, 100%, $E$9)</f>
        <v>34.5886</v>
      </c>
      <c r="R956" s="10">
        <f>CHOOSE(CONTROL!$C$42, 35.2621, 35.2621) * CHOOSE(CONTROL!$C$21, $C$9, 100%, $E$9)</f>
        <v>35.262099999999997</v>
      </c>
      <c r="S956" s="10">
        <f>CHOOSE(CONTROL!$C$42, 33.1309, 33.1309) * CHOOSE(CONTROL!$C$21, $C$9, 100%, $E$9)</f>
        <v>33.130899999999997</v>
      </c>
      <c r="T9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38">
        <f>(1000*CHOOSE(CONTROL!$C$42, 695, 695)*CHOOSE(CONTROL!$C$42, 0.5599, 0.5599)*CHOOSE(CONTROL!$C$42, 31, 31))/1000000</f>
        <v>12.063045499999998</v>
      </c>
      <c r="V956" s="38">
        <f>(1000*CHOOSE(CONTROL!$C$42, 500, 500)*CHOOSE(CONTROL!$C$42, 0.275, 0.275)*CHOOSE(CONTROL!$C$42, 31, 31))/1000000</f>
        <v>4.2625000000000002</v>
      </c>
      <c r="W956" s="38">
        <f>(1000*CHOOSE(CONTROL!$C$42, 0.1146, 0.1146)*CHOOSE(CONTROL!$C$42, 121.5, 121.5)*CHOOSE(CONTROL!$C$42, 31, 31))/1000000</f>
        <v>0.43164089999999994</v>
      </c>
      <c r="X956" s="38">
        <f>(31*0.1790888*245000/1000000)+(31*0.2374*100000/1000000)</f>
        <v>2.0961194359999999</v>
      </c>
      <c r="Y956" s="38">
        <f>(1000*600*CHOOSE(CONTROL!$C$42, 1.0585, 1.0585)*CHOOSE(CONTROL!$C$42, 31, 31))/1000000</f>
        <v>19.688099999999999</v>
      </c>
      <c r="Z956" s="38"/>
      <c r="AA956" s="10"/>
      <c r="AB956" s="39"/>
      <c r="AC956" s="33">
        <f>(B956*194.205+C956*267.466+D956*133.845+E956*53.484+F956*40+G956*185+H956*0+I956*100+J956*300)/(194.205+267.466+133.845+53.484+0+40+185+100+300)</f>
        <v>34.136054050941915</v>
      </c>
      <c r="AD956" s="27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33.864085611510788</v>
      </c>
    </row>
    <row r="957" spans="1:30" ht="15.75" x14ac:dyDescent="0.25">
      <c r="A957" s="13">
        <v>70402</v>
      </c>
      <c r="B957" s="10">
        <f>CHOOSE(CONTROL!$C$42, 31.9553, 31.9553) * CHOOSE(CONTROL!$C$21, $C$9, 100%, $E$9)</f>
        <v>31.955300000000001</v>
      </c>
      <c r="C957" s="10">
        <f>CHOOSE(CONTROL!$C$42, 31.9632, 31.9632) * CHOOSE(CONTROL!$C$21, $C$9, 100%, $E$9)</f>
        <v>31.963200000000001</v>
      </c>
      <c r="D957" s="10">
        <f>CHOOSE(CONTROL!$C$42, 32.1402, 32.1402) * CHOOSE(CONTROL!$C$21, $C$9, 100%, $E$9)</f>
        <v>32.1402</v>
      </c>
      <c r="E957" s="10">
        <f>CHOOSE(CONTROL!$C$42, 32.1713, 32.1713) * CHOOSE(CONTROL!$C$21, $C$9, 100%, $E$9)</f>
        <v>32.171300000000002</v>
      </c>
      <c r="F957" s="10">
        <f>CHOOSE(CONTROL!$C$42, 31.9189, 31.9189)*CHOOSE(CONTROL!$C$21, $C$9, 100%, $E$9)</f>
        <v>31.918900000000001</v>
      </c>
      <c r="G957" s="10">
        <f>CHOOSE(CONTROL!$C$42, 31.9354, 31.9354)*CHOOSE(CONTROL!$C$21, $C$9, 100%, $E$9)</f>
        <v>31.935400000000001</v>
      </c>
      <c r="H957" s="10">
        <f>CHOOSE(CONTROL!$C$42, 32.16, 32.16) * CHOOSE(CONTROL!$C$21, $C$9, 100%, $E$9)</f>
        <v>32.159999999999997</v>
      </c>
      <c r="I957" s="10">
        <f>CHOOSE(CONTROL!$C$42, 31.9399, 31.9399)* CHOOSE(CONTROL!$C$21, $C$9, 100%, $E$9)</f>
        <v>31.939900000000002</v>
      </c>
      <c r="J957" s="10">
        <f>CHOOSE(CONTROL!$C$42, 31.9119, 31.9119)* CHOOSE(CONTROL!$C$21, $C$9, 100%, $E$9)</f>
        <v>31.911899999999999</v>
      </c>
      <c r="K957" s="10">
        <f>CHOOSE(CONTROL!$C$42, 31.1673, 31.1673) * CHOOSE(CONTROL!$C$21, $C$9, 100%, $E$9)</f>
        <v>31.167300000000001</v>
      </c>
      <c r="L957" s="10">
        <f>CHOOSE(CONTROL!$C$42, 32.747, 32.747) * CHOOSE(CONTROL!$C$21, $C$9, 100%, $E$9)</f>
        <v>32.747</v>
      </c>
      <c r="M957" s="10">
        <f>CHOOSE(CONTROL!$C$42, 31.6037, 31.6037) * CHOOSE(CONTROL!$C$21, $C$9, 100%, $E$9)</f>
        <v>31.6037</v>
      </c>
      <c r="N957" s="10">
        <f>CHOOSE(CONTROL!$C$42, 31.6201, 31.6201) * CHOOSE(CONTROL!$C$21, $C$9, 100%, $E$9)</f>
        <v>31.620100000000001</v>
      </c>
      <c r="O957" s="10">
        <f>CHOOSE(CONTROL!$C$42, 31.8493, 31.8493) * CHOOSE(CONTROL!$C$21, $C$9, 100%, $E$9)</f>
        <v>31.849299999999999</v>
      </c>
      <c r="P957" s="10">
        <f>CHOOSE(CONTROL!$C$42, 31.6314, 31.6314) * CHOOSE(CONTROL!$C$21, $C$9, 100%, $E$9)</f>
        <v>31.631399999999999</v>
      </c>
      <c r="Q957" s="10">
        <f>CHOOSE(CONTROL!$C$42, 32.4446, 32.4446) * CHOOSE(CONTROL!$C$21, $C$9, 100%, $E$9)</f>
        <v>32.444600000000001</v>
      </c>
      <c r="R957" s="10">
        <f>CHOOSE(CONTROL!$C$42, 33.1127, 33.1127) * CHOOSE(CONTROL!$C$21, $C$9, 100%, $E$9)</f>
        <v>33.112699999999997</v>
      </c>
      <c r="S957" s="10">
        <f>CHOOSE(CONTROL!$C$42, 31.0276, 31.0276) * CHOOSE(CONTROL!$C$21, $C$9, 100%, $E$9)</f>
        <v>31.0276</v>
      </c>
      <c r="T9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38">
        <f>(1000*CHOOSE(CONTROL!$C$42, 695, 695)*CHOOSE(CONTROL!$C$42, 0.5599, 0.5599)*CHOOSE(CONTROL!$C$42, 30, 30))/1000000</f>
        <v>11.673914999999997</v>
      </c>
      <c r="V957" s="38">
        <f>(1000*CHOOSE(CONTROL!$C$42, 500, 500)*CHOOSE(CONTROL!$C$42, 0.275, 0.275)*CHOOSE(CONTROL!$C$42, 30, 30))/1000000</f>
        <v>4.125</v>
      </c>
      <c r="W957" s="38">
        <f>(1000*CHOOSE(CONTROL!$C$42, 0.1146, 0.1146)*CHOOSE(CONTROL!$C$42, 121.5, 121.5)*CHOOSE(CONTROL!$C$42, 30, 30))/1000000</f>
        <v>0.417717</v>
      </c>
      <c r="X957" s="38">
        <f>(30*0.1790888*245000/1000000)+(30*0.2374*100000/1000000)</f>
        <v>2.0285026799999999</v>
      </c>
      <c r="Y957" s="38">
        <f>(1000*600*CHOOSE(CONTROL!$C$42, 1.0585, 1.0585)*CHOOSE(CONTROL!$C$42, 30, 30))/1000000</f>
        <v>19.053000000000001</v>
      </c>
      <c r="Z957" s="38"/>
      <c r="AA957" s="10"/>
      <c r="AB957" s="39"/>
      <c r="AC957" s="33">
        <f>(B957*194.205+C957*267.466+D957*133.845+E957*53.484+F957*40+G957*185+H957*0+I957*100+J957*300)/(194.205+267.466+133.845+53.484+0+40+185+100+300)</f>
        <v>31.969990711067506</v>
      </c>
      <c r="AD957" s="27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31.719944604316545</v>
      </c>
    </row>
    <row r="958" spans="1:30" ht="15.75" x14ac:dyDescent="0.25">
      <c r="A958" s="13">
        <v>70433</v>
      </c>
      <c r="B958" s="10">
        <f>CHOOSE(CONTROL!$C$42, 31.3044, 31.3044) * CHOOSE(CONTROL!$C$21, $C$9, 100%, $E$9)</f>
        <v>31.304400000000001</v>
      </c>
      <c r="C958" s="10">
        <f>CHOOSE(CONTROL!$C$42, 31.3097, 31.3097) * CHOOSE(CONTROL!$C$21, $C$9, 100%, $E$9)</f>
        <v>31.309699999999999</v>
      </c>
      <c r="D958" s="10">
        <f>CHOOSE(CONTROL!$C$42, 31.4916, 31.4916) * CHOOSE(CONTROL!$C$21, $C$9, 100%, $E$9)</f>
        <v>31.491599999999998</v>
      </c>
      <c r="E958" s="10">
        <f>CHOOSE(CONTROL!$C$42, 31.5204, 31.5204) * CHOOSE(CONTROL!$C$21, $C$9, 100%, $E$9)</f>
        <v>31.520399999999999</v>
      </c>
      <c r="F958" s="10">
        <f>CHOOSE(CONTROL!$C$42, 31.2701, 31.2701)*CHOOSE(CONTROL!$C$21, $C$9, 100%, $E$9)</f>
        <v>31.270099999999999</v>
      </c>
      <c r="G958" s="10">
        <f>CHOOSE(CONTROL!$C$42, 31.2863, 31.2863)*CHOOSE(CONTROL!$C$21, $C$9, 100%, $E$9)</f>
        <v>31.286300000000001</v>
      </c>
      <c r="H958" s="10">
        <f>CHOOSE(CONTROL!$C$42, 31.5109, 31.5109) * CHOOSE(CONTROL!$C$21, $C$9, 100%, $E$9)</f>
        <v>31.510899999999999</v>
      </c>
      <c r="I958" s="10">
        <f>CHOOSE(CONTROL!$C$42, 31.2908, 31.2908)* CHOOSE(CONTROL!$C$21, $C$9, 100%, $E$9)</f>
        <v>31.290800000000001</v>
      </c>
      <c r="J958" s="10">
        <f>CHOOSE(CONTROL!$C$42, 31.2631, 31.2631)* CHOOSE(CONTROL!$C$21, $C$9, 100%, $E$9)</f>
        <v>31.263100000000001</v>
      </c>
      <c r="K958" s="10">
        <f>CHOOSE(CONTROL!$C$42, 30.5372, 30.5372) * CHOOSE(CONTROL!$C$21, $C$9, 100%, $E$9)</f>
        <v>30.537199999999999</v>
      </c>
      <c r="L958" s="10">
        <f>CHOOSE(CONTROL!$C$42, 32.0979, 32.0979) * CHOOSE(CONTROL!$C$21, $C$9, 100%, $E$9)</f>
        <v>32.097900000000003</v>
      </c>
      <c r="M958" s="10">
        <f>CHOOSE(CONTROL!$C$42, 30.9614, 30.9614) * CHOOSE(CONTROL!$C$21, $C$9, 100%, $E$9)</f>
        <v>30.961400000000001</v>
      </c>
      <c r="N958" s="10">
        <f>CHOOSE(CONTROL!$C$42, 30.9775, 30.9775) * CHOOSE(CONTROL!$C$21, $C$9, 100%, $E$9)</f>
        <v>30.977499999999999</v>
      </c>
      <c r="O958" s="10">
        <f>CHOOSE(CONTROL!$C$42, 31.2067, 31.2067) * CHOOSE(CONTROL!$C$21, $C$9, 100%, $E$9)</f>
        <v>31.206700000000001</v>
      </c>
      <c r="P958" s="10">
        <f>CHOOSE(CONTROL!$C$42, 30.9889, 30.9889) * CHOOSE(CONTROL!$C$21, $C$9, 100%, $E$9)</f>
        <v>30.988900000000001</v>
      </c>
      <c r="Q958" s="10">
        <f>CHOOSE(CONTROL!$C$42, 31.802, 31.802) * CHOOSE(CONTROL!$C$21, $C$9, 100%, $E$9)</f>
        <v>31.802</v>
      </c>
      <c r="R958" s="10">
        <f>CHOOSE(CONTROL!$C$42, 32.4685, 32.4685) * CHOOSE(CONTROL!$C$21, $C$9, 100%, $E$9)</f>
        <v>32.468499999999999</v>
      </c>
      <c r="S958" s="10">
        <f>CHOOSE(CONTROL!$C$42, 30.3972, 30.3972) * CHOOSE(CONTROL!$C$21, $C$9, 100%, $E$9)</f>
        <v>30.397200000000002</v>
      </c>
      <c r="T9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38">
        <f>(1000*CHOOSE(CONTROL!$C$42, 695, 695)*CHOOSE(CONTROL!$C$42, 0.5599, 0.5599)*CHOOSE(CONTROL!$C$42, 31, 31))/1000000</f>
        <v>12.063045499999998</v>
      </c>
      <c r="V958" s="38">
        <f>(1000*CHOOSE(CONTROL!$C$42, 500, 500)*CHOOSE(CONTROL!$C$42, 0.275, 0.275)*CHOOSE(CONTROL!$C$42, 31, 31))/1000000</f>
        <v>4.2625000000000002</v>
      </c>
      <c r="W958" s="38">
        <f>(1000*CHOOSE(CONTROL!$C$42, 0.1146, 0.1146)*CHOOSE(CONTROL!$C$42, 121.5, 121.5)*CHOOSE(CONTROL!$C$42, 31, 31))/1000000</f>
        <v>0.43164089999999994</v>
      </c>
      <c r="X958" s="38">
        <f>(31*0.1790888*245000/1000000)+(31*0.2374*100000/1000000)</f>
        <v>2.0961194359999999</v>
      </c>
      <c r="Y958" s="38">
        <f>(1000*600*CHOOSE(CONTROL!$C$42, 1.0585, 1.0585)*CHOOSE(CONTROL!$C$42, 31, 31))/1000000</f>
        <v>19.688099999999999</v>
      </c>
      <c r="Z958" s="38"/>
      <c r="AA958" s="10"/>
      <c r="AB958" s="39"/>
      <c r="AC958" s="33">
        <f>(B958*131.881+C958*277.167+D958*79.08+E958*125.872+F958*40+G958*185+H958*0+I958*100+J958*300)/(131.881+277.167+79.08+125.872+0+40+185+100+300)</f>
        <v>31.324569986359968</v>
      </c>
      <c r="AD958" s="27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31.077462589928054</v>
      </c>
    </row>
    <row r="959" spans="1:30" ht="15.75" x14ac:dyDescent="0.25">
      <c r="A959" s="13">
        <v>70463</v>
      </c>
      <c r="B959" s="10">
        <f>CHOOSE(CONTROL!$C$42, 32.1287, 32.1287) * CHOOSE(CONTROL!$C$21, $C$9, 100%, $E$9)</f>
        <v>32.128700000000002</v>
      </c>
      <c r="C959" s="10">
        <f>CHOOSE(CONTROL!$C$42, 32.1336, 32.1336) * CHOOSE(CONTROL!$C$21, $C$9, 100%, $E$9)</f>
        <v>32.133600000000001</v>
      </c>
      <c r="D959" s="10">
        <f>CHOOSE(CONTROL!$C$42, 32.1581, 32.1581) * CHOOSE(CONTROL!$C$21, $C$9, 100%, $E$9)</f>
        <v>32.158099999999997</v>
      </c>
      <c r="E959" s="10">
        <f>CHOOSE(CONTROL!$C$42, 32.1918, 32.1918) * CHOOSE(CONTROL!$C$21, $C$9, 100%, $E$9)</f>
        <v>32.191800000000001</v>
      </c>
      <c r="F959" s="10">
        <f>CHOOSE(CONTROL!$C$42, 32.098, 32.098)*CHOOSE(CONTROL!$C$21, $C$9, 100%, $E$9)</f>
        <v>32.097999999999999</v>
      </c>
      <c r="G959" s="10">
        <f>CHOOSE(CONTROL!$C$42, 32.1144, 32.1144)*CHOOSE(CONTROL!$C$21, $C$9, 100%, $E$9)</f>
        <v>32.114400000000003</v>
      </c>
      <c r="H959" s="10">
        <f>CHOOSE(CONTROL!$C$42, 32.181, 32.181) * CHOOSE(CONTROL!$C$21, $C$9, 100%, $E$9)</f>
        <v>32.180999999999997</v>
      </c>
      <c r="I959" s="10">
        <f>CHOOSE(CONTROL!$C$42, 32.1154, 32.1154)* CHOOSE(CONTROL!$C$21, $C$9, 100%, $E$9)</f>
        <v>32.115400000000001</v>
      </c>
      <c r="J959" s="10">
        <f>CHOOSE(CONTROL!$C$42, 32.091, 32.091)* CHOOSE(CONTROL!$C$21, $C$9, 100%, $E$9)</f>
        <v>32.091000000000001</v>
      </c>
      <c r="K959" s="10">
        <f>CHOOSE(CONTROL!$C$42, 31.3399, 31.3399) * CHOOSE(CONTROL!$C$21, $C$9, 100%, $E$9)</f>
        <v>31.3399</v>
      </c>
      <c r="L959" s="10">
        <f>CHOOSE(CONTROL!$C$42, 32.768, 32.768) * CHOOSE(CONTROL!$C$21, $C$9, 100%, $E$9)</f>
        <v>32.768000000000001</v>
      </c>
      <c r="M959" s="10">
        <f>CHOOSE(CONTROL!$C$42, 31.7809, 31.7809) * CHOOSE(CONTROL!$C$21, $C$9, 100%, $E$9)</f>
        <v>31.780899999999999</v>
      </c>
      <c r="N959" s="10">
        <f>CHOOSE(CONTROL!$C$42, 31.7972, 31.7972) * CHOOSE(CONTROL!$C$21, $C$9, 100%, $E$9)</f>
        <v>31.7972</v>
      </c>
      <c r="O959" s="10">
        <f>CHOOSE(CONTROL!$C$42, 31.8701, 31.8701) * CHOOSE(CONTROL!$C$21, $C$9, 100%, $E$9)</f>
        <v>31.870100000000001</v>
      </c>
      <c r="P959" s="10">
        <f>CHOOSE(CONTROL!$C$42, 31.8052, 31.8052) * CHOOSE(CONTROL!$C$21, $C$9, 100%, $E$9)</f>
        <v>31.805199999999999</v>
      </c>
      <c r="Q959" s="10">
        <f>CHOOSE(CONTROL!$C$42, 32.4654, 32.4654) * CHOOSE(CONTROL!$C$21, $C$9, 100%, $E$9)</f>
        <v>32.465400000000002</v>
      </c>
      <c r="R959" s="10">
        <f>CHOOSE(CONTROL!$C$42, 33.1336, 33.1336) * CHOOSE(CONTROL!$C$21, $C$9, 100%, $E$9)</f>
        <v>33.133600000000001</v>
      </c>
      <c r="S959" s="10">
        <f>CHOOSE(CONTROL!$C$42, 31.198, 31.198) * CHOOSE(CONTROL!$C$21, $C$9, 100%, $E$9)</f>
        <v>31.198</v>
      </c>
      <c r="T9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38">
        <f>(1000*CHOOSE(CONTROL!$C$42, 695, 695)*CHOOSE(CONTROL!$C$42, 0.5599, 0.5599)*CHOOSE(CONTROL!$C$42, 30, 30))/1000000</f>
        <v>11.673914999999997</v>
      </c>
      <c r="V959" s="38">
        <f>(1000*CHOOSE(CONTROL!$C$42, 500, 500)*CHOOSE(CONTROL!$C$42, 0.275, 0.275)*CHOOSE(CONTROL!$C$42, 30, 30))/1000000</f>
        <v>4.125</v>
      </c>
      <c r="W959" s="38">
        <f>(1000*CHOOSE(CONTROL!$C$42, 0.1146, 0.1146)*CHOOSE(CONTROL!$C$42, 121.5, 121.5)*CHOOSE(CONTROL!$C$42, 30, 30))/1000000</f>
        <v>0.417717</v>
      </c>
      <c r="X959" s="38">
        <f>(30*0.1790888*100000/1000000)+(30*0.2374*100000/1000000)</f>
        <v>1.2494664</v>
      </c>
      <c r="Y959" s="38">
        <f>(1000*600*CHOOSE(CONTROL!$C$42, 1.0585, 1.0585)*CHOOSE(CONTROL!$C$42, 30, 30))/1000000</f>
        <v>19.053000000000001</v>
      </c>
      <c r="Z959" s="38"/>
      <c r="AA959" s="10"/>
      <c r="AB959" s="39"/>
      <c r="AC959" s="33">
        <f>(B959*122.58+C959*297.941+D959*89.177+E959*40.302+F959*40+G959*160+H959*0+I959*100+J959*300)/(122.58+297.941+89.177+40.302+0+40+160+100+300)</f>
        <v>32.120411974695656</v>
      </c>
      <c r="AD959" s="27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31.825763309352521</v>
      </c>
    </row>
    <row r="960" spans="1:30" ht="15.75" x14ac:dyDescent="0.25">
      <c r="A960" s="13">
        <v>70494</v>
      </c>
      <c r="B960" s="10">
        <f>CHOOSE(CONTROL!$C$42, 34.319, 34.319) * CHOOSE(CONTROL!$C$21, $C$9, 100%, $E$9)</f>
        <v>34.319000000000003</v>
      </c>
      <c r="C960" s="10">
        <f>CHOOSE(CONTROL!$C$42, 34.3239, 34.3239) * CHOOSE(CONTROL!$C$21, $C$9, 100%, $E$9)</f>
        <v>34.323900000000002</v>
      </c>
      <c r="D960" s="10">
        <f>CHOOSE(CONTROL!$C$42, 34.3484, 34.3484) * CHOOSE(CONTROL!$C$21, $C$9, 100%, $E$9)</f>
        <v>34.348399999999998</v>
      </c>
      <c r="E960" s="10">
        <f>CHOOSE(CONTROL!$C$42, 34.3822, 34.3822) * CHOOSE(CONTROL!$C$21, $C$9, 100%, $E$9)</f>
        <v>34.382199999999997</v>
      </c>
      <c r="F960" s="10">
        <f>CHOOSE(CONTROL!$C$42, 34.2906, 34.2906)*CHOOSE(CONTROL!$C$21, $C$9, 100%, $E$9)</f>
        <v>34.290599999999998</v>
      </c>
      <c r="G960" s="10">
        <f>CHOOSE(CONTROL!$C$42, 34.3076, 34.3076)*CHOOSE(CONTROL!$C$21, $C$9, 100%, $E$9)</f>
        <v>34.307600000000001</v>
      </c>
      <c r="H960" s="10">
        <f>CHOOSE(CONTROL!$C$42, 34.3714, 34.3714) * CHOOSE(CONTROL!$C$21, $C$9, 100%, $E$9)</f>
        <v>34.371400000000001</v>
      </c>
      <c r="I960" s="10">
        <f>CHOOSE(CONTROL!$C$42, 34.3057, 34.3057)* CHOOSE(CONTROL!$C$21, $C$9, 100%, $E$9)</f>
        <v>34.305700000000002</v>
      </c>
      <c r="J960" s="10">
        <f>CHOOSE(CONTROL!$C$42, 34.2836, 34.2836)* CHOOSE(CONTROL!$C$21, $C$9, 100%, $E$9)</f>
        <v>34.2836</v>
      </c>
      <c r="K960" s="10">
        <f>CHOOSE(CONTROL!$C$42, 33.473, 33.473) * CHOOSE(CONTROL!$C$21, $C$9, 100%, $E$9)</f>
        <v>33.472999999999999</v>
      </c>
      <c r="L960" s="10">
        <f>CHOOSE(CONTROL!$C$42, 34.9584, 34.9584) * CHOOSE(CONTROL!$C$21, $C$9, 100%, $E$9)</f>
        <v>34.958399999999997</v>
      </c>
      <c r="M960" s="10">
        <f>CHOOSE(CONTROL!$C$42, 33.9514, 33.9514) * CHOOSE(CONTROL!$C$21, $C$9, 100%, $E$9)</f>
        <v>33.9514</v>
      </c>
      <c r="N960" s="10">
        <f>CHOOSE(CONTROL!$C$42, 33.9683, 33.9683) * CHOOSE(CONTROL!$C$21, $C$9, 100%, $E$9)</f>
        <v>33.968299999999999</v>
      </c>
      <c r="O960" s="10">
        <f>CHOOSE(CONTROL!$C$42, 34.0383, 34.0383) * CHOOSE(CONTROL!$C$21, $C$9, 100%, $E$9)</f>
        <v>34.0383</v>
      </c>
      <c r="P960" s="10">
        <f>CHOOSE(CONTROL!$C$42, 33.9734, 33.9734) * CHOOSE(CONTROL!$C$21, $C$9, 100%, $E$9)</f>
        <v>33.973399999999998</v>
      </c>
      <c r="Q960" s="10">
        <f>CHOOSE(CONTROL!$C$42, 34.6336, 34.6336) * CHOOSE(CONTROL!$C$21, $C$9, 100%, $E$9)</f>
        <v>34.633600000000001</v>
      </c>
      <c r="R960" s="10">
        <f>CHOOSE(CONTROL!$C$42, 35.3072, 35.3072) * CHOOSE(CONTROL!$C$21, $C$9, 100%, $E$9)</f>
        <v>35.307200000000002</v>
      </c>
      <c r="S960" s="10">
        <f>CHOOSE(CONTROL!$C$42, 33.325, 33.325) * CHOOSE(CONTROL!$C$21, $C$9, 100%, $E$9)</f>
        <v>33.325000000000003</v>
      </c>
      <c r="T9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38">
        <f>(1000*CHOOSE(CONTROL!$C$42, 695, 695)*CHOOSE(CONTROL!$C$42, 0.5599, 0.5599)*CHOOSE(CONTROL!$C$42, 31, 31))/1000000</f>
        <v>12.063045499999998</v>
      </c>
      <c r="V960" s="38">
        <f>(1000*CHOOSE(CONTROL!$C$42, 500, 500)*CHOOSE(CONTROL!$C$42, 0.275, 0.275)*CHOOSE(CONTROL!$C$42, 31, 31))/1000000</f>
        <v>4.2625000000000002</v>
      </c>
      <c r="W960" s="38">
        <f>(1000*CHOOSE(CONTROL!$C$42, 0.1146, 0.1146)*CHOOSE(CONTROL!$C$42, 121.5, 121.5)*CHOOSE(CONTROL!$C$42, 31, 31))/1000000</f>
        <v>0.43164089999999994</v>
      </c>
      <c r="X960" s="38">
        <f>(31*0.1790888*100000/1000000)+(31*0.2374*100000/1000000)</f>
        <v>1.2911152800000001</v>
      </c>
      <c r="Y960" s="38">
        <f>(1000*600*CHOOSE(CONTROL!$C$42, 1.0585, 1.0585)*CHOOSE(CONTROL!$C$42, 31, 31))/1000000</f>
        <v>19.688099999999999</v>
      </c>
      <c r="Z960" s="38"/>
      <c r="AA960" s="10"/>
      <c r="AB960" s="39"/>
      <c r="AC960" s="33">
        <f>(B960*122.58+C960*297.941+D960*89.177+E960*40.302+F960*40+G960*160+H960*0+I960*100+J960*300)/(122.58+297.941+89.177+40.302+0+40+160+100+300)</f>
        <v>34.31179895747826</v>
      </c>
      <c r="AD960" s="27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33.994924460431655</v>
      </c>
    </row>
    <row r="961" spans="1:30" ht="15.75" x14ac:dyDescent="0.25">
      <c r="A961" s="13">
        <v>70525</v>
      </c>
      <c r="B961" s="10">
        <f>CHOOSE(CONTROL!$C$42, 36.6351, 36.6351) * CHOOSE(CONTROL!$C$21, $C$9, 100%, $E$9)</f>
        <v>36.635100000000001</v>
      </c>
      <c r="C961" s="10">
        <f>CHOOSE(CONTROL!$C$42, 36.6401, 36.6401) * CHOOSE(CONTROL!$C$21, $C$9, 100%, $E$9)</f>
        <v>36.640099999999997</v>
      </c>
      <c r="D961" s="10">
        <f>CHOOSE(CONTROL!$C$42, 36.6645, 36.6645) * CHOOSE(CONTROL!$C$21, $C$9, 100%, $E$9)</f>
        <v>36.664499999999997</v>
      </c>
      <c r="E961" s="10">
        <f>CHOOSE(CONTROL!$C$42, 36.6983, 36.6983) * CHOOSE(CONTROL!$C$21, $C$9, 100%, $E$9)</f>
        <v>36.698300000000003</v>
      </c>
      <c r="F961" s="10">
        <f>CHOOSE(CONTROL!$C$42, 36.618, 36.618)*CHOOSE(CONTROL!$C$21, $C$9, 100%, $E$9)</f>
        <v>36.618000000000002</v>
      </c>
      <c r="G961" s="10">
        <f>CHOOSE(CONTROL!$C$42, 36.6367, 36.6367)*CHOOSE(CONTROL!$C$21, $C$9, 100%, $E$9)</f>
        <v>36.636699999999998</v>
      </c>
      <c r="H961" s="10">
        <f>CHOOSE(CONTROL!$C$42, 36.6875, 36.6875) * CHOOSE(CONTROL!$C$21, $C$9, 100%, $E$9)</f>
        <v>36.6875</v>
      </c>
      <c r="I961" s="10">
        <f>CHOOSE(CONTROL!$C$42, 36.6296, 36.6296)* CHOOSE(CONTROL!$C$21, $C$9, 100%, $E$9)</f>
        <v>36.629600000000003</v>
      </c>
      <c r="J961" s="10">
        <f>CHOOSE(CONTROL!$C$42, 36.611, 36.611)* CHOOSE(CONTROL!$C$21, $C$9, 100%, $E$9)</f>
        <v>36.610999999999997</v>
      </c>
      <c r="K961" s="10">
        <f>CHOOSE(CONTROL!$C$42, 35.7443, 35.7443) * CHOOSE(CONTROL!$C$21, $C$9, 100%, $E$9)</f>
        <v>35.744300000000003</v>
      </c>
      <c r="L961" s="10">
        <f>CHOOSE(CONTROL!$C$42, 37.2745, 37.2745) * CHOOSE(CONTROL!$C$21, $C$9, 100%, $E$9)</f>
        <v>37.274500000000003</v>
      </c>
      <c r="M961" s="10">
        <f>CHOOSE(CONTROL!$C$42, 36.2554, 36.2554) * CHOOSE(CONTROL!$C$21, $C$9, 100%, $E$9)</f>
        <v>36.255400000000002</v>
      </c>
      <c r="N961" s="10">
        <f>CHOOSE(CONTROL!$C$42, 36.2739, 36.2739) * CHOOSE(CONTROL!$C$21, $C$9, 100%, $E$9)</f>
        <v>36.273899999999998</v>
      </c>
      <c r="O961" s="10">
        <f>CHOOSE(CONTROL!$C$42, 36.3311, 36.3311) * CHOOSE(CONTROL!$C$21, $C$9, 100%, $E$9)</f>
        <v>36.331099999999999</v>
      </c>
      <c r="P961" s="10">
        <f>CHOOSE(CONTROL!$C$42, 36.2738, 36.2738) * CHOOSE(CONTROL!$C$21, $C$9, 100%, $E$9)</f>
        <v>36.273800000000001</v>
      </c>
      <c r="Q961" s="10">
        <f>CHOOSE(CONTROL!$C$42, 36.9264, 36.9264) * CHOOSE(CONTROL!$C$21, $C$9, 100%, $E$9)</f>
        <v>36.926400000000001</v>
      </c>
      <c r="R961" s="10">
        <f>CHOOSE(CONTROL!$C$42, 37.6057, 37.6057) * CHOOSE(CONTROL!$C$21, $C$9, 100%, $E$9)</f>
        <v>37.605699999999999</v>
      </c>
      <c r="S961" s="10">
        <f>CHOOSE(CONTROL!$C$42, 35.5742, 35.5742) * CHOOSE(CONTROL!$C$21, $C$9, 100%, $E$9)</f>
        <v>35.574199999999998</v>
      </c>
      <c r="T9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38">
        <f>(1000*CHOOSE(CONTROL!$C$42, 695, 695)*CHOOSE(CONTROL!$C$42, 0.5599, 0.5599)*CHOOSE(CONTROL!$C$42, 31, 31))/1000000</f>
        <v>12.063045499999998</v>
      </c>
      <c r="V961" s="38">
        <f>(1000*CHOOSE(CONTROL!$C$42, 500, 500)*CHOOSE(CONTROL!$C$42, 0.275, 0.275)*CHOOSE(CONTROL!$C$42, 31, 31))/1000000</f>
        <v>4.2625000000000002</v>
      </c>
      <c r="W961" s="38">
        <f>(1000*CHOOSE(CONTROL!$C$42, 0.1146, 0.1146)*CHOOSE(CONTROL!$C$42, 121.5, 121.5)*CHOOSE(CONTROL!$C$42, 31, 31))/1000000</f>
        <v>0.43164089999999994</v>
      </c>
      <c r="X961" s="38">
        <f>(31*0.1790888*100000/1000000)+(31*0.2374*100000/1000000)</f>
        <v>1.2911152800000001</v>
      </c>
      <c r="Y961" s="38">
        <f>(1000*600*CHOOSE(CONTROL!$C$42, 1.0585, 1.0585)*CHOOSE(CONTROL!$C$42, 31, 31))/1000000</f>
        <v>19.688099999999999</v>
      </c>
      <c r="Z961" s="38"/>
      <c r="AA961" s="10"/>
      <c r="AB961" s="39"/>
      <c r="AC961" s="33">
        <f>(B961*122.58+C961*297.941+D961*89.177+E961*40.302+F961*40+G961*160+H961*0+I961*100+J961*300)/(122.58+297.941+89.177+40.302+0+40+160+100+300)</f>
        <v>36.633752691478257</v>
      </c>
      <c r="AD961" s="27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36.293422302158277</v>
      </c>
    </row>
    <row r="962" spans="1:30" ht="15.75" x14ac:dyDescent="0.25">
      <c r="A962" s="13">
        <v>70553</v>
      </c>
      <c r="B962" s="10">
        <f>CHOOSE(CONTROL!$C$42, 37.2872, 37.2872) * CHOOSE(CONTROL!$C$21, $C$9, 100%, $E$9)</f>
        <v>37.287199999999999</v>
      </c>
      <c r="C962" s="10">
        <f>CHOOSE(CONTROL!$C$42, 37.2922, 37.2922) * CHOOSE(CONTROL!$C$21, $C$9, 100%, $E$9)</f>
        <v>37.292200000000001</v>
      </c>
      <c r="D962" s="10">
        <f>CHOOSE(CONTROL!$C$42, 37.3166, 37.3166) * CHOOSE(CONTROL!$C$21, $C$9, 100%, $E$9)</f>
        <v>37.316600000000001</v>
      </c>
      <c r="E962" s="10">
        <f>CHOOSE(CONTROL!$C$42, 37.3504, 37.3504) * CHOOSE(CONTROL!$C$21, $C$9, 100%, $E$9)</f>
        <v>37.3504</v>
      </c>
      <c r="F962" s="10">
        <f>CHOOSE(CONTROL!$C$42, 37.2695, 37.2695)*CHOOSE(CONTROL!$C$21, $C$9, 100%, $E$9)</f>
        <v>37.269500000000001</v>
      </c>
      <c r="G962" s="10">
        <f>CHOOSE(CONTROL!$C$42, 37.2879, 37.2879)*CHOOSE(CONTROL!$C$21, $C$9, 100%, $E$9)</f>
        <v>37.2879</v>
      </c>
      <c r="H962" s="10">
        <f>CHOOSE(CONTROL!$C$42, 37.3396, 37.3396) * CHOOSE(CONTROL!$C$21, $C$9, 100%, $E$9)</f>
        <v>37.339599999999997</v>
      </c>
      <c r="I962" s="10">
        <f>CHOOSE(CONTROL!$C$42, 37.2817, 37.2817)* CHOOSE(CONTROL!$C$21, $C$9, 100%, $E$9)</f>
        <v>37.281700000000001</v>
      </c>
      <c r="J962" s="10">
        <f>CHOOSE(CONTROL!$C$42, 37.2625, 37.2625)* CHOOSE(CONTROL!$C$21, $C$9, 100%, $E$9)</f>
        <v>37.262500000000003</v>
      </c>
      <c r="K962" s="10">
        <f>CHOOSE(CONTROL!$C$42, 36.3764, 36.3764) * CHOOSE(CONTROL!$C$21, $C$9, 100%, $E$9)</f>
        <v>36.376399999999997</v>
      </c>
      <c r="L962" s="10">
        <f>CHOOSE(CONTROL!$C$42, 37.9266, 37.9266) * CHOOSE(CONTROL!$C$21, $C$9, 100%, $E$9)</f>
        <v>37.926600000000001</v>
      </c>
      <c r="M962" s="10">
        <f>CHOOSE(CONTROL!$C$42, 36.9002, 36.9002) * CHOOSE(CONTROL!$C$21, $C$9, 100%, $E$9)</f>
        <v>36.900199999999998</v>
      </c>
      <c r="N962" s="10">
        <f>CHOOSE(CONTROL!$C$42, 36.9185, 36.9185) * CHOOSE(CONTROL!$C$21, $C$9, 100%, $E$9)</f>
        <v>36.918500000000002</v>
      </c>
      <c r="O962" s="10">
        <f>CHOOSE(CONTROL!$C$42, 36.9766, 36.9766) * CHOOSE(CONTROL!$C$21, $C$9, 100%, $E$9)</f>
        <v>36.976599999999998</v>
      </c>
      <c r="P962" s="10">
        <f>CHOOSE(CONTROL!$C$42, 36.9193, 36.9193) * CHOOSE(CONTROL!$C$21, $C$9, 100%, $E$9)</f>
        <v>36.9193</v>
      </c>
      <c r="Q962" s="10">
        <f>CHOOSE(CONTROL!$C$42, 37.5719, 37.5719) * CHOOSE(CONTROL!$C$21, $C$9, 100%, $E$9)</f>
        <v>37.571899999999999</v>
      </c>
      <c r="R962" s="10">
        <f>CHOOSE(CONTROL!$C$42, 38.2528, 38.2528) * CHOOSE(CONTROL!$C$21, $C$9, 100%, $E$9)</f>
        <v>38.252800000000001</v>
      </c>
      <c r="S962" s="10">
        <f>CHOOSE(CONTROL!$C$42, 36.2075, 36.2075) * CHOOSE(CONTROL!$C$21, $C$9, 100%, $E$9)</f>
        <v>36.207500000000003</v>
      </c>
      <c r="T9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62" s="38">
        <f>(1000*CHOOSE(CONTROL!$C$42, 695, 695)*CHOOSE(CONTROL!$C$42, 0.5599, 0.5599)*CHOOSE(CONTROL!$C$42, 28, 28))/1000000</f>
        <v>10.895653999999999</v>
      </c>
      <c r="V962" s="38">
        <f>(1000*CHOOSE(CONTROL!$C$42, 500, 500)*CHOOSE(CONTROL!$C$42, 0.275, 0.275)*CHOOSE(CONTROL!$C$42, 28, 28))/1000000</f>
        <v>3.85</v>
      </c>
      <c r="W962" s="38">
        <f>(1000*CHOOSE(CONTROL!$C$42, 0.1146, 0.1146)*CHOOSE(CONTROL!$C$42, 121.5, 121.5)*CHOOSE(CONTROL!$C$42, 28, 28))/1000000</f>
        <v>0.38986920000000003</v>
      </c>
      <c r="X962" s="38">
        <f>(28*0.1790888*100000/1000000)+(28*0.2374*100000/1000000)</f>
        <v>1.16616864</v>
      </c>
      <c r="Y962" s="38">
        <f>(1000*600*CHOOSE(CONTROL!$C$42, 1.0585, 1.0585)*CHOOSE(CONTROL!$C$42, 28, 28))/1000000</f>
        <v>17.782800000000002</v>
      </c>
      <c r="Z962" s="38"/>
      <c r="AA962" s="10"/>
      <c r="AB962" s="39"/>
      <c r="AC962" s="33">
        <f>(B962*122.58+C962*297.941+D962*89.177+E962*40.302+F962*40+G962*160+H962*0+I962*100+J962*300)/(122.58+297.941+89.177+40.302+0+40+160+100+300)</f>
        <v>37.285550082782606</v>
      </c>
      <c r="AD962" s="27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36.938628776978412</v>
      </c>
    </row>
    <row r="963" spans="1:30" ht="15.75" x14ac:dyDescent="0.25">
      <c r="A963" s="13">
        <v>70584</v>
      </c>
      <c r="B963" s="10">
        <f>CHOOSE(CONTROL!$C$42, 36.2287, 36.2287) * CHOOSE(CONTROL!$C$21, $C$9, 100%, $E$9)</f>
        <v>36.228700000000003</v>
      </c>
      <c r="C963" s="10">
        <f>CHOOSE(CONTROL!$C$42, 36.2336, 36.2336) * CHOOSE(CONTROL!$C$21, $C$9, 100%, $E$9)</f>
        <v>36.233600000000003</v>
      </c>
      <c r="D963" s="10">
        <f>CHOOSE(CONTROL!$C$42, 36.2581, 36.2581) * CHOOSE(CONTROL!$C$21, $C$9, 100%, $E$9)</f>
        <v>36.258099999999999</v>
      </c>
      <c r="E963" s="10">
        <f>CHOOSE(CONTROL!$C$42, 36.2919, 36.2919) * CHOOSE(CONTROL!$C$21, $C$9, 100%, $E$9)</f>
        <v>36.291899999999998</v>
      </c>
      <c r="F963" s="10">
        <f>CHOOSE(CONTROL!$C$42, 36.2094, 36.2094)*CHOOSE(CONTROL!$C$21, $C$9, 100%, $E$9)</f>
        <v>36.209400000000002</v>
      </c>
      <c r="G963" s="10">
        <f>CHOOSE(CONTROL!$C$42, 36.2275, 36.2275)*CHOOSE(CONTROL!$C$21, $C$9, 100%, $E$9)</f>
        <v>36.227499999999999</v>
      </c>
      <c r="H963" s="10">
        <f>CHOOSE(CONTROL!$C$42, 36.2811, 36.2811) * CHOOSE(CONTROL!$C$21, $C$9, 100%, $E$9)</f>
        <v>36.281100000000002</v>
      </c>
      <c r="I963" s="10">
        <f>CHOOSE(CONTROL!$C$42, 36.2232, 36.2232)* CHOOSE(CONTROL!$C$21, $C$9, 100%, $E$9)</f>
        <v>36.223199999999999</v>
      </c>
      <c r="J963" s="10">
        <f>CHOOSE(CONTROL!$C$42, 36.2024, 36.2024)* CHOOSE(CONTROL!$C$21, $C$9, 100%, $E$9)</f>
        <v>36.202399999999997</v>
      </c>
      <c r="K963" s="10">
        <f>CHOOSE(CONTROL!$C$42, 35.3446, 35.3446) * CHOOSE(CONTROL!$C$21, $C$9, 100%, $E$9)</f>
        <v>35.3446</v>
      </c>
      <c r="L963" s="10">
        <f>CHOOSE(CONTROL!$C$42, 36.8681, 36.8681) * CHOOSE(CONTROL!$C$21, $C$9, 100%, $E$9)</f>
        <v>36.868099999999998</v>
      </c>
      <c r="M963" s="10">
        <f>CHOOSE(CONTROL!$C$42, 35.8509, 35.8509) * CHOOSE(CONTROL!$C$21, $C$9, 100%, $E$9)</f>
        <v>35.850900000000003</v>
      </c>
      <c r="N963" s="10">
        <f>CHOOSE(CONTROL!$C$42, 35.8688, 35.8688) * CHOOSE(CONTROL!$C$21, $C$9, 100%, $E$9)</f>
        <v>35.8688</v>
      </c>
      <c r="O963" s="10">
        <f>CHOOSE(CONTROL!$C$42, 35.9288, 35.9288) * CHOOSE(CONTROL!$C$21, $C$9, 100%, $E$9)</f>
        <v>35.928800000000003</v>
      </c>
      <c r="P963" s="10">
        <f>CHOOSE(CONTROL!$C$42, 35.8715, 35.8715) * CHOOSE(CONTROL!$C$21, $C$9, 100%, $E$9)</f>
        <v>35.871499999999997</v>
      </c>
      <c r="Q963" s="10">
        <f>CHOOSE(CONTROL!$C$42, 36.5241, 36.5241) * CHOOSE(CONTROL!$C$21, $C$9, 100%, $E$9)</f>
        <v>36.524099999999997</v>
      </c>
      <c r="R963" s="10">
        <f>CHOOSE(CONTROL!$C$42, 37.2024, 37.2024) * CHOOSE(CONTROL!$C$21, $C$9, 100%, $E$9)</f>
        <v>37.202399999999997</v>
      </c>
      <c r="S963" s="10">
        <f>CHOOSE(CONTROL!$C$42, 35.1795, 35.1795) * CHOOSE(CONTROL!$C$21, $C$9, 100%, $E$9)</f>
        <v>35.179499999999997</v>
      </c>
      <c r="T9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38">
        <f>(1000*CHOOSE(CONTROL!$C$42, 695, 695)*CHOOSE(CONTROL!$C$42, 0.5599, 0.5599)*CHOOSE(CONTROL!$C$42, 31, 31))/1000000</f>
        <v>12.063045499999998</v>
      </c>
      <c r="V963" s="38">
        <f>(1000*CHOOSE(CONTROL!$C$42, 500, 500)*CHOOSE(CONTROL!$C$42, 0.275, 0.275)*CHOOSE(CONTROL!$C$42, 31, 31))/1000000</f>
        <v>4.2625000000000002</v>
      </c>
      <c r="W963" s="38">
        <f>(1000*CHOOSE(CONTROL!$C$42, 0.1146, 0.1146)*CHOOSE(CONTROL!$C$42, 121.5, 121.5)*CHOOSE(CONTROL!$C$42, 31, 31))/1000000</f>
        <v>0.43164089999999994</v>
      </c>
      <c r="X963" s="38">
        <f>(31*0.1790888*100000/1000000)+(31*0.2374*100000/1000000)</f>
        <v>1.2911152800000001</v>
      </c>
      <c r="Y963" s="38">
        <f>(1000*600*CHOOSE(CONTROL!$C$42, 1.0585, 1.0585)*CHOOSE(CONTROL!$C$42, 31, 31))/1000000</f>
        <v>19.688099999999999</v>
      </c>
      <c r="Z963" s="38"/>
      <c r="AA963" s="10"/>
      <c r="AB963" s="39"/>
      <c r="AC963" s="33">
        <f>(B963*122.58+C963*297.941+D963*89.177+E963*40.302+F963*40+G963*160+H963*0+I963*100+J963*300)/(122.58+297.941+89.177+40.302+0+40+160+100+300)</f>
        <v>36.226286783565222</v>
      </c>
      <c r="AD963" s="27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35.890201438848926</v>
      </c>
    </row>
    <row r="964" spans="1:30" ht="15.75" x14ac:dyDescent="0.25">
      <c r="A964" s="13">
        <v>70614</v>
      </c>
      <c r="B964" s="10">
        <f>CHOOSE(CONTROL!$C$42, 36.121, 36.121) * CHOOSE(CONTROL!$C$21, $C$9, 100%, $E$9)</f>
        <v>36.121000000000002</v>
      </c>
      <c r="C964" s="10">
        <f>CHOOSE(CONTROL!$C$42, 36.1254, 36.1254) * CHOOSE(CONTROL!$C$21, $C$9, 100%, $E$9)</f>
        <v>36.125399999999999</v>
      </c>
      <c r="D964" s="10">
        <f>CHOOSE(CONTROL!$C$42, 36.3055, 36.3055) * CHOOSE(CONTROL!$C$21, $C$9, 100%, $E$9)</f>
        <v>36.305500000000002</v>
      </c>
      <c r="E964" s="10">
        <f>CHOOSE(CONTROL!$C$42, 36.3373, 36.3373) * CHOOSE(CONTROL!$C$21, $C$9, 100%, $E$9)</f>
        <v>36.337299999999999</v>
      </c>
      <c r="F964" s="10">
        <f>CHOOSE(CONTROL!$C$42, 36.0863, 36.0863)*CHOOSE(CONTROL!$C$21, $C$9, 100%, $E$9)</f>
        <v>36.086300000000001</v>
      </c>
      <c r="G964" s="10">
        <f>CHOOSE(CONTROL!$C$42, 36.1026, 36.1026)*CHOOSE(CONTROL!$C$21, $C$9, 100%, $E$9)</f>
        <v>36.102600000000002</v>
      </c>
      <c r="H964" s="10">
        <f>CHOOSE(CONTROL!$C$42, 36.3271, 36.3271) * CHOOSE(CONTROL!$C$21, $C$9, 100%, $E$9)</f>
        <v>36.327100000000002</v>
      </c>
      <c r="I964" s="10">
        <f>CHOOSE(CONTROL!$C$42, 36.107, 36.107)* CHOOSE(CONTROL!$C$21, $C$9, 100%, $E$9)</f>
        <v>36.106999999999999</v>
      </c>
      <c r="J964" s="10">
        <f>CHOOSE(CONTROL!$C$42, 36.0793, 36.0793)* CHOOSE(CONTROL!$C$21, $C$9, 100%, $E$9)</f>
        <v>36.079300000000003</v>
      </c>
      <c r="K964" s="10">
        <f>CHOOSE(CONTROL!$C$42, 35.2167, 35.2167) * CHOOSE(CONTROL!$C$21, $C$9, 100%, $E$9)</f>
        <v>35.216700000000003</v>
      </c>
      <c r="L964" s="10">
        <f>CHOOSE(CONTROL!$C$42, 36.9141, 36.9141) * CHOOSE(CONTROL!$C$21, $C$9, 100%, $E$9)</f>
        <v>36.914099999999998</v>
      </c>
      <c r="M964" s="10">
        <f>CHOOSE(CONTROL!$C$42, 35.729, 35.729) * CHOOSE(CONTROL!$C$21, $C$9, 100%, $E$9)</f>
        <v>35.728999999999999</v>
      </c>
      <c r="N964" s="10">
        <f>CHOOSE(CONTROL!$C$42, 35.7451, 35.7451) * CHOOSE(CONTROL!$C$21, $C$9, 100%, $E$9)</f>
        <v>35.745100000000001</v>
      </c>
      <c r="O964" s="10">
        <f>CHOOSE(CONTROL!$C$42, 35.9743, 35.9743) * CHOOSE(CONTROL!$C$21, $C$9, 100%, $E$9)</f>
        <v>35.974299999999999</v>
      </c>
      <c r="P964" s="10">
        <f>CHOOSE(CONTROL!$C$42, 35.7565, 35.7565) * CHOOSE(CONTROL!$C$21, $C$9, 100%, $E$9)</f>
        <v>35.756500000000003</v>
      </c>
      <c r="Q964" s="10">
        <f>CHOOSE(CONTROL!$C$42, 36.5696, 36.5696) * CHOOSE(CONTROL!$C$21, $C$9, 100%, $E$9)</f>
        <v>36.569600000000001</v>
      </c>
      <c r="R964" s="10">
        <f>CHOOSE(CONTROL!$C$42, 37.248, 37.248) * CHOOSE(CONTROL!$C$21, $C$9, 100%, $E$9)</f>
        <v>37.247999999999998</v>
      </c>
      <c r="S964" s="10">
        <f>CHOOSE(CONTROL!$C$42, 35.0742, 35.0742) * CHOOSE(CONTROL!$C$21, $C$9, 100%, $E$9)</f>
        <v>35.074199999999998</v>
      </c>
      <c r="T9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38">
        <f>(1000*CHOOSE(CONTROL!$C$42, 695, 695)*CHOOSE(CONTROL!$C$42, 0.5599, 0.5599)*CHOOSE(CONTROL!$C$42, 30, 30))/1000000</f>
        <v>11.673914999999997</v>
      </c>
      <c r="V964" s="38">
        <f>(1000*CHOOSE(CONTROL!$C$42, 500, 500)*CHOOSE(CONTROL!$C$42, 0.275, 0.275)*CHOOSE(CONTROL!$C$42, 30, 30))/1000000</f>
        <v>4.125</v>
      </c>
      <c r="W964" s="38">
        <f>(1000*CHOOSE(CONTROL!$C$42, 0.1146, 0.1146)*CHOOSE(CONTROL!$C$42, 121.5, 121.5)*CHOOSE(CONTROL!$C$42, 30, 30))/1000000</f>
        <v>0.417717</v>
      </c>
      <c r="X964" s="38">
        <f>(30*0.1790888*245000/1000000)+(30*0.2374*100000/1000000)</f>
        <v>2.0285026799999999</v>
      </c>
      <c r="Y964" s="38">
        <f>(1000*600*CHOOSE(CONTROL!$C$42, 1.0585, 1.0585)*CHOOSE(CONTROL!$C$42, 30, 30))/1000000</f>
        <v>19.053000000000001</v>
      </c>
      <c r="Z964" s="38"/>
      <c r="AA964" s="10"/>
      <c r="AB964" s="39"/>
      <c r="AC964" s="33">
        <f>(B964*141.293+C964*267.993+D964*115.016+E964*89.698+F964*40+G964*185+H964*0+I964*100+J964*300)/(141.293+267.993+115.016+89.698+0+40+185+100+300)</f>
        <v>36.139643501694913</v>
      </c>
      <c r="AD964" s="27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35.845062589928062</v>
      </c>
    </row>
    <row r="965" spans="1:30" ht="15.75" x14ac:dyDescent="0.25">
      <c r="A965" s="13">
        <v>70645</v>
      </c>
      <c r="B965" s="10">
        <f>CHOOSE(CONTROL!$C$42, 36.4416, 36.4416) * CHOOSE(CONTROL!$C$21, $C$9, 100%, $E$9)</f>
        <v>36.441600000000001</v>
      </c>
      <c r="C965" s="10">
        <f>CHOOSE(CONTROL!$C$42, 36.4495, 36.4495) * CHOOSE(CONTROL!$C$21, $C$9, 100%, $E$9)</f>
        <v>36.4495</v>
      </c>
      <c r="D965" s="10">
        <f>CHOOSE(CONTROL!$C$42, 36.6265, 36.6265) * CHOOSE(CONTROL!$C$21, $C$9, 100%, $E$9)</f>
        <v>36.6265</v>
      </c>
      <c r="E965" s="10">
        <f>CHOOSE(CONTROL!$C$42, 36.6576, 36.6576) * CHOOSE(CONTROL!$C$21, $C$9, 100%, $E$9)</f>
        <v>36.657600000000002</v>
      </c>
      <c r="F965" s="10">
        <f>CHOOSE(CONTROL!$C$42, 36.4049, 36.4049)*CHOOSE(CONTROL!$C$21, $C$9, 100%, $E$9)</f>
        <v>36.404899999999998</v>
      </c>
      <c r="G965" s="10">
        <f>CHOOSE(CONTROL!$C$42, 36.4214, 36.4214)*CHOOSE(CONTROL!$C$21, $C$9, 100%, $E$9)</f>
        <v>36.421399999999998</v>
      </c>
      <c r="H965" s="10">
        <f>CHOOSE(CONTROL!$C$42, 36.6462, 36.6462) * CHOOSE(CONTROL!$C$21, $C$9, 100%, $E$9)</f>
        <v>36.6462</v>
      </c>
      <c r="I965" s="10">
        <f>CHOOSE(CONTROL!$C$42, 36.4261, 36.4261)* CHOOSE(CONTROL!$C$21, $C$9, 100%, $E$9)</f>
        <v>36.426099999999998</v>
      </c>
      <c r="J965" s="10">
        <f>CHOOSE(CONTROL!$C$42, 36.3979, 36.3979)* CHOOSE(CONTROL!$C$21, $C$9, 100%, $E$9)</f>
        <v>36.3979</v>
      </c>
      <c r="K965" s="10">
        <f>CHOOSE(CONTROL!$C$42, 35.5256, 35.5256) * CHOOSE(CONTROL!$C$21, $C$9, 100%, $E$9)</f>
        <v>35.525599999999997</v>
      </c>
      <c r="L965" s="10">
        <f>CHOOSE(CONTROL!$C$42, 37.2332, 37.2332) * CHOOSE(CONTROL!$C$21, $C$9, 100%, $E$9)</f>
        <v>37.233199999999997</v>
      </c>
      <c r="M965" s="10">
        <f>CHOOSE(CONTROL!$C$42, 36.0444, 36.0444) * CHOOSE(CONTROL!$C$21, $C$9, 100%, $E$9)</f>
        <v>36.044400000000003</v>
      </c>
      <c r="N965" s="10">
        <f>CHOOSE(CONTROL!$C$42, 36.0608, 36.0608) * CHOOSE(CONTROL!$C$21, $C$9, 100%, $E$9)</f>
        <v>36.0608</v>
      </c>
      <c r="O965" s="10">
        <f>CHOOSE(CONTROL!$C$42, 36.2902, 36.2902) * CHOOSE(CONTROL!$C$21, $C$9, 100%, $E$9)</f>
        <v>36.290199999999999</v>
      </c>
      <c r="P965" s="10">
        <f>CHOOSE(CONTROL!$C$42, 36.0724, 36.0724) * CHOOSE(CONTROL!$C$21, $C$9, 100%, $E$9)</f>
        <v>36.072400000000002</v>
      </c>
      <c r="Q965" s="10">
        <f>CHOOSE(CONTROL!$C$42, 36.8855, 36.8855) * CHOOSE(CONTROL!$C$21, $C$9, 100%, $E$9)</f>
        <v>36.8855</v>
      </c>
      <c r="R965" s="10">
        <f>CHOOSE(CONTROL!$C$42, 37.5647, 37.5647) * CHOOSE(CONTROL!$C$21, $C$9, 100%, $E$9)</f>
        <v>37.564700000000002</v>
      </c>
      <c r="S965" s="10">
        <f>CHOOSE(CONTROL!$C$42, 35.3841, 35.3841) * CHOOSE(CONTROL!$C$21, $C$9, 100%, $E$9)</f>
        <v>35.384099999999997</v>
      </c>
      <c r="T9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38">
        <f>(1000*CHOOSE(CONTROL!$C$42, 695, 695)*CHOOSE(CONTROL!$C$42, 0.5599, 0.5599)*CHOOSE(CONTROL!$C$42, 31, 31))/1000000</f>
        <v>12.063045499999998</v>
      </c>
      <c r="V965" s="38">
        <f>(1000*CHOOSE(CONTROL!$C$42, 500, 500)*CHOOSE(CONTROL!$C$42, 0.275, 0.275)*CHOOSE(CONTROL!$C$42, 31, 31))/1000000</f>
        <v>4.2625000000000002</v>
      </c>
      <c r="W965" s="38">
        <f>(1000*CHOOSE(CONTROL!$C$42, 0.1146, 0.1146)*CHOOSE(CONTROL!$C$42, 121.5, 121.5)*CHOOSE(CONTROL!$C$42, 31, 31))/1000000</f>
        <v>0.43164089999999994</v>
      </c>
      <c r="X965" s="38">
        <f>(31*0.1790888*245000/1000000)+(31*0.2374*100000/1000000)</f>
        <v>2.0961194359999999</v>
      </c>
      <c r="Y965" s="38">
        <f>(1000*600*CHOOSE(CONTROL!$C$42, 1.0585, 1.0585)*CHOOSE(CONTROL!$C$42, 31, 31))/1000000</f>
        <v>19.688099999999999</v>
      </c>
      <c r="Z965" s="38"/>
      <c r="AA965" s="10"/>
      <c r="AB965" s="39"/>
      <c r="AC965" s="33">
        <f>(B965*194.205+C965*267.466+D965*133.845+E965*53.484+F965*40+G965*185+H965*0+I965*100+J965*300)/(194.205+267.466+133.845+53.484+0+40+185+100+300)</f>
        <v>36.456159235400314</v>
      </c>
      <c r="AD965" s="27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36.160778417266194</v>
      </c>
    </row>
    <row r="966" spans="1:30" ht="15.75" x14ac:dyDescent="0.25">
      <c r="A966" s="13">
        <v>70675</v>
      </c>
      <c r="B966" s="10">
        <f>CHOOSE(CONTROL!$C$42, 37.4751, 37.4751) * CHOOSE(CONTROL!$C$21, $C$9, 100%, $E$9)</f>
        <v>37.475099999999998</v>
      </c>
      <c r="C966" s="10">
        <f>CHOOSE(CONTROL!$C$42, 37.483, 37.483) * CHOOSE(CONTROL!$C$21, $C$9, 100%, $E$9)</f>
        <v>37.482999999999997</v>
      </c>
      <c r="D966" s="10">
        <f>CHOOSE(CONTROL!$C$42, 37.66, 37.66) * CHOOSE(CONTROL!$C$21, $C$9, 100%, $E$9)</f>
        <v>37.659999999999997</v>
      </c>
      <c r="E966" s="10">
        <f>CHOOSE(CONTROL!$C$42, 37.6912, 37.6912) * CHOOSE(CONTROL!$C$21, $C$9, 100%, $E$9)</f>
        <v>37.691200000000002</v>
      </c>
      <c r="F966" s="10">
        <f>CHOOSE(CONTROL!$C$42, 37.4386, 37.4386)*CHOOSE(CONTROL!$C$21, $C$9, 100%, $E$9)</f>
        <v>37.438600000000001</v>
      </c>
      <c r="G966" s="10">
        <f>CHOOSE(CONTROL!$C$42, 37.4552, 37.4552)*CHOOSE(CONTROL!$C$21, $C$9, 100%, $E$9)</f>
        <v>37.455199999999998</v>
      </c>
      <c r="H966" s="10">
        <f>CHOOSE(CONTROL!$C$42, 37.6798, 37.6798) * CHOOSE(CONTROL!$C$21, $C$9, 100%, $E$9)</f>
        <v>37.6798</v>
      </c>
      <c r="I966" s="10">
        <f>CHOOSE(CONTROL!$C$42, 37.4597, 37.4597)* CHOOSE(CONTROL!$C$21, $C$9, 100%, $E$9)</f>
        <v>37.459699999999998</v>
      </c>
      <c r="J966" s="10">
        <f>CHOOSE(CONTROL!$C$42, 37.4316, 37.4316)* CHOOSE(CONTROL!$C$21, $C$9, 100%, $E$9)</f>
        <v>37.431600000000003</v>
      </c>
      <c r="K966" s="10">
        <f>CHOOSE(CONTROL!$C$42, 36.5302, 36.5302) * CHOOSE(CONTROL!$C$21, $C$9, 100%, $E$9)</f>
        <v>36.530200000000001</v>
      </c>
      <c r="L966" s="10">
        <f>CHOOSE(CONTROL!$C$42, 38.2668, 38.2668) * CHOOSE(CONTROL!$C$21, $C$9, 100%, $E$9)</f>
        <v>38.266800000000003</v>
      </c>
      <c r="M966" s="10">
        <f>CHOOSE(CONTROL!$C$42, 37.0677, 37.0677) * CHOOSE(CONTROL!$C$21, $C$9, 100%, $E$9)</f>
        <v>37.067700000000002</v>
      </c>
      <c r="N966" s="10">
        <f>CHOOSE(CONTROL!$C$42, 37.0841, 37.0841) * CHOOSE(CONTROL!$C$21, $C$9, 100%, $E$9)</f>
        <v>37.084099999999999</v>
      </c>
      <c r="O966" s="10">
        <f>CHOOSE(CONTROL!$C$42, 37.3134, 37.3134) * CHOOSE(CONTROL!$C$21, $C$9, 100%, $E$9)</f>
        <v>37.313400000000001</v>
      </c>
      <c r="P966" s="10">
        <f>CHOOSE(CONTROL!$C$42, 37.0955, 37.0955) * CHOOSE(CONTROL!$C$21, $C$9, 100%, $E$9)</f>
        <v>37.095500000000001</v>
      </c>
      <c r="Q966" s="10">
        <f>CHOOSE(CONTROL!$C$42, 37.9087, 37.9087) * CHOOSE(CONTROL!$C$21, $C$9, 100%, $E$9)</f>
        <v>37.908700000000003</v>
      </c>
      <c r="R966" s="10">
        <f>CHOOSE(CONTROL!$C$42, 38.5904, 38.5904) * CHOOSE(CONTROL!$C$21, $C$9, 100%, $E$9)</f>
        <v>38.590400000000002</v>
      </c>
      <c r="S966" s="10">
        <f>CHOOSE(CONTROL!$C$42, 36.3878, 36.3878) * CHOOSE(CONTROL!$C$21, $C$9, 100%, $E$9)</f>
        <v>36.387799999999999</v>
      </c>
      <c r="T9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38">
        <f>(1000*CHOOSE(CONTROL!$C$42, 695, 695)*CHOOSE(CONTROL!$C$42, 0.5599, 0.5599)*CHOOSE(CONTROL!$C$42, 30, 30))/1000000</f>
        <v>11.673914999999997</v>
      </c>
      <c r="V966" s="38">
        <f>(1000*CHOOSE(CONTROL!$C$42, 500, 500)*CHOOSE(CONTROL!$C$42, 0.275, 0.275)*CHOOSE(CONTROL!$C$42, 30, 30))/1000000</f>
        <v>4.125</v>
      </c>
      <c r="W966" s="38">
        <f>(1000*CHOOSE(CONTROL!$C$42, 0.1146, 0.1146)*CHOOSE(CONTROL!$C$42, 121.5, 121.5)*CHOOSE(CONTROL!$C$42, 30, 30))/1000000</f>
        <v>0.417717</v>
      </c>
      <c r="X966" s="38">
        <f>(30*0.1790888*245000/1000000)+(30*0.2374*100000/1000000)</f>
        <v>2.0285026799999999</v>
      </c>
      <c r="Y966" s="38">
        <f>(1000*600*CHOOSE(CONTROL!$C$42, 1.0585, 1.0585)*CHOOSE(CONTROL!$C$42, 30, 30))/1000000</f>
        <v>19.053000000000001</v>
      </c>
      <c r="Z966" s="38"/>
      <c r="AA966" s="10"/>
      <c r="AB966" s="39"/>
      <c r="AC966" s="33">
        <f>(B966*194.205+C966*267.466+D966*133.845+E966*53.484+F966*40+G966*185+H966*0+I966*100+J966*300)/(194.205+267.466+133.845+53.484+0+40+185+100+300)</f>
        <v>37.489768221585557</v>
      </c>
      <c r="AD966" s="27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37.184004316546762</v>
      </c>
    </row>
    <row r="967" spans="1:30" ht="15.75" x14ac:dyDescent="0.25">
      <c r="A967" s="13">
        <v>70706</v>
      </c>
      <c r="B967" s="10">
        <f>CHOOSE(CONTROL!$C$42, 36.7563, 36.7563) * CHOOSE(CONTROL!$C$21, $C$9, 100%, $E$9)</f>
        <v>36.756300000000003</v>
      </c>
      <c r="C967" s="10">
        <f>CHOOSE(CONTROL!$C$42, 36.7642, 36.7642) * CHOOSE(CONTROL!$C$21, $C$9, 100%, $E$9)</f>
        <v>36.764200000000002</v>
      </c>
      <c r="D967" s="10">
        <f>CHOOSE(CONTROL!$C$42, 36.9412, 36.9412) * CHOOSE(CONTROL!$C$21, $C$9, 100%, $E$9)</f>
        <v>36.941200000000002</v>
      </c>
      <c r="E967" s="10">
        <f>CHOOSE(CONTROL!$C$42, 36.9723, 36.9723) * CHOOSE(CONTROL!$C$21, $C$9, 100%, $E$9)</f>
        <v>36.972299999999997</v>
      </c>
      <c r="F967" s="10">
        <f>CHOOSE(CONTROL!$C$42, 36.7201, 36.7201)*CHOOSE(CONTROL!$C$21, $C$9, 100%, $E$9)</f>
        <v>36.720100000000002</v>
      </c>
      <c r="G967" s="10">
        <f>CHOOSE(CONTROL!$C$42, 36.7367, 36.7367)*CHOOSE(CONTROL!$C$21, $C$9, 100%, $E$9)</f>
        <v>36.736699999999999</v>
      </c>
      <c r="H967" s="10">
        <f>CHOOSE(CONTROL!$C$42, 36.9609, 36.9609) * CHOOSE(CONTROL!$C$21, $C$9, 100%, $E$9)</f>
        <v>36.960900000000002</v>
      </c>
      <c r="I967" s="10">
        <f>CHOOSE(CONTROL!$C$42, 36.7409, 36.7409)* CHOOSE(CONTROL!$C$21, $C$9, 100%, $E$9)</f>
        <v>36.740900000000003</v>
      </c>
      <c r="J967" s="10">
        <f>CHOOSE(CONTROL!$C$42, 36.7131, 36.7131)* CHOOSE(CONTROL!$C$21, $C$9, 100%, $E$9)</f>
        <v>36.713099999999997</v>
      </c>
      <c r="K967" s="10">
        <f>CHOOSE(CONTROL!$C$42, 35.8323, 35.8323) * CHOOSE(CONTROL!$C$21, $C$9, 100%, $E$9)</f>
        <v>35.832299999999996</v>
      </c>
      <c r="L967" s="10">
        <f>CHOOSE(CONTROL!$C$42, 37.5479, 37.5479) * CHOOSE(CONTROL!$C$21, $C$9, 100%, $E$9)</f>
        <v>37.547899999999998</v>
      </c>
      <c r="M967" s="10">
        <f>CHOOSE(CONTROL!$C$42, 36.3564, 36.3564) * CHOOSE(CONTROL!$C$21, $C$9, 100%, $E$9)</f>
        <v>36.356400000000001</v>
      </c>
      <c r="N967" s="10">
        <f>CHOOSE(CONTROL!$C$42, 36.3728, 36.3728) * CHOOSE(CONTROL!$C$21, $C$9, 100%, $E$9)</f>
        <v>36.372799999999998</v>
      </c>
      <c r="O967" s="10">
        <f>CHOOSE(CONTROL!$C$42, 36.6018, 36.6018) * CHOOSE(CONTROL!$C$21, $C$9, 100%, $E$9)</f>
        <v>36.601799999999997</v>
      </c>
      <c r="P967" s="10">
        <f>CHOOSE(CONTROL!$C$42, 36.3839, 36.3839) * CHOOSE(CONTROL!$C$21, $C$9, 100%, $E$9)</f>
        <v>36.383899999999997</v>
      </c>
      <c r="Q967" s="10">
        <f>CHOOSE(CONTROL!$C$42, 37.1971, 37.1971) * CHOOSE(CONTROL!$C$21, $C$9, 100%, $E$9)</f>
        <v>37.197099999999999</v>
      </c>
      <c r="R967" s="10">
        <f>CHOOSE(CONTROL!$C$42, 37.8771, 37.8771) * CHOOSE(CONTROL!$C$21, $C$9, 100%, $E$9)</f>
        <v>37.877099999999999</v>
      </c>
      <c r="S967" s="10">
        <f>CHOOSE(CONTROL!$C$42, 35.6898, 35.6898) * CHOOSE(CONTROL!$C$21, $C$9, 100%, $E$9)</f>
        <v>35.689799999999998</v>
      </c>
      <c r="T9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38">
        <f>(1000*CHOOSE(CONTROL!$C$42, 695, 695)*CHOOSE(CONTROL!$C$42, 0.5599, 0.5599)*CHOOSE(CONTROL!$C$42, 31, 31))/1000000</f>
        <v>12.063045499999998</v>
      </c>
      <c r="V967" s="38">
        <f>(1000*CHOOSE(CONTROL!$C$42, 500, 500)*CHOOSE(CONTROL!$C$42, 0.275, 0.275)*CHOOSE(CONTROL!$C$42, 31, 31))/1000000</f>
        <v>4.2625000000000002</v>
      </c>
      <c r="W967" s="38">
        <f>(1000*CHOOSE(CONTROL!$C$42, 0.1146, 0.1146)*CHOOSE(CONTROL!$C$42, 121.5, 121.5)*CHOOSE(CONTROL!$C$42, 31, 31))/1000000</f>
        <v>0.43164089999999994</v>
      </c>
      <c r="X967" s="38">
        <f>(31*0.1790888*245000/1000000)+(31*0.2374*100000/1000000)</f>
        <v>2.0961194359999999</v>
      </c>
      <c r="Y967" s="38">
        <f>(1000*600*CHOOSE(CONTROL!$C$42, 1.0585, 1.0585)*CHOOSE(CONTROL!$C$42, 31, 31))/1000000</f>
        <v>19.688099999999999</v>
      </c>
      <c r="Z967" s="38"/>
      <c r="AA967" s="10"/>
      <c r="AB967" s="39"/>
      <c r="AC967" s="33">
        <f>(B967*194.205+C967*267.466+D967*133.845+E967*53.484+F967*40+G967*185+H967*0+I967*100+J967*300)/(194.205+267.466+133.845+53.484+0+40+185+100+300)</f>
        <v>36.771087649843018</v>
      </c>
      <c r="AD967" s="27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36.472525179856113</v>
      </c>
    </row>
    <row r="968" spans="1:30" ht="15.75" x14ac:dyDescent="0.25">
      <c r="A968" s="13">
        <v>70737</v>
      </c>
      <c r="B968" s="10">
        <f>CHOOSE(CONTROL!$C$42, 34.941, 34.941) * CHOOSE(CONTROL!$C$21, $C$9, 100%, $E$9)</f>
        <v>34.941000000000003</v>
      </c>
      <c r="C968" s="10">
        <f>CHOOSE(CONTROL!$C$42, 34.9489, 34.9489) * CHOOSE(CONTROL!$C$21, $C$9, 100%, $E$9)</f>
        <v>34.948900000000002</v>
      </c>
      <c r="D968" s="10">
        <f>CHOOSE(CONTROL!$C$42, 35.1259, 35.1259) * CHOOSE(CONTROL!$C$21, $C$9, 100%, $E$9)</f>
        <v>35.125900000000001</v>
      </c>
      <c r="E968" s="10">
        <f>CHOOSE(CONTROL!$C$42, 35.157, 35.157) * CHOOSE(CONTROL!$C$21, $C$9, 100%, $E$9)</f>
        <v>35.156999999999996</v>
      </c>
      <c r="F968" s="10">
        <f>CHOOSE(CONTROL!$C$42, 34.9048, 34.9048)*CHOOSE(CONTROL!$C$21, $C$9, 100%, $E$9)</f>
        <v>34.904800000000002</v>
      </c>
      <c r="G968" s="10">
        <f>CHOOSE(CONTROL!$C$42, 34.9214, 34.9214)*CHOOSE(CONTROL!$C$21, $C$9, 100%, $E$9)</f>
        <v>34.921399999999998</v>
      </c>
      <c r="H968" s="10">
        <f>CHOOSE(CONTROL!$C$42, 35.1456, 35.1456) * CHOOSE(CONTROL!$C$21, $C$9, 100%, $E$9)</f>
        <v>35.145600000000002</v>
      </c>
      <c r="I968" s="10">
        <f>CHOOSE(CONTROL!$C$42, 34.9255, 34.9255)* CHOOSE(CONTROL!$C$21, $C$9, 100%, $E$9)</f>
        <v>34.9255</v>
      </c>
      <c r="J968" s="10">
        <f>CHOOSE(CONTROL!$C$42, 34.8978, 34.8978)* CHOOSE(CONTROL!$C$21, $C$9, 100%, $E$9)</f>
        <v>34.897799999999997</v>
      </c>
      <c r="K968" s="10">
        <f>CHOOSE(CONTROL!$C$42, 34.0687, 34.0687) * CHOOSE(CONTROL!$C$21, $C$9, 100%, $E$9)</f>
        <v>34.0687</v>
      </c>
      <c r="L968" s="10">
        <f>CHOOSE(CONTROL!$C$42, 35.7326, 35.7326) * CHOOSE(CONTROL!$C$21, $C$9, 100%, $E$9)</f>
        <v>35.732599999999998</v>
      </c>
      <c r="M968" s="10">
        <f>CHOOSE(CONTROL!$C$42, 34.5594, 34.5594) * CHOOSE(CONTROL!$C$21, $C$9, 100%, $E$9)</f>
        <v>34.559399999999997</v>
      </c>
      <c r="N968" s="10">
        <f>CHOOSE(CONTROL!$C$42, 34.5759, 34.5759) * CHOOSE(CONTROL!$C$21, $C$9, 100%, $E$9)</f>
        <v>34.575899999999997</v>
      </c>
      <c r="O968" s="10">
        <f>CHOOSE(CONTROL!$C$42, 34.8048, 34.8048) * CHOOSE(CONTROL!$C$21, $C$9, 100%, $E$9)</f>
        <v>34.8048</v>
      </c>
      <c r="P968" s="10">
        <f>CHOOSE(CONTROL!$C$42, 34.587, 34.587) * CHOOSE(CONTROL!$C$21, $C$9, 100%, $E$9)</f>
        <v>34.587000000000003</v>
      </c>
      <c r="Q968" s="10">
        <f>CHOOSE(CONTROL!$C$42, 35.4001, 35.4001) * CHOOSE(CONTROL!$C$21, $C$9, 100%, $E$9)</f>
        <v>35.400100000000002</v>
      </c>
      <c r="R968" s="10">
        <f>CHOOSE(CONTROL!$C$42, 36.0756, 36.0756) * CHOOSE(CONTROL!$C$21, $C$9, 100%, $E$9)</f>
        <v>36.075600000000001</v>
      </c>
      <c r="S968" s="10">
        <f>CHOOSE(CONTROL!$C$42, 33.9269, 33.9269) * CHOOSE(CONTROL!$C$21, $C$9, 100%, $E$9)</f>
        <v>33.926900000000003</v>
      </c>
      <c r="T9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38">
        <f>(1000*CHOOSE(CONTROL!$C$42, 695, 695)*CHOOSE(CONTROL!$C$42, 0.5599, 0.5599)*CHOOSE(CONTROL!$C$42, 31, 31))/1000000</f>
        <v>12.063045499999998</v>
      </c>
      <c r="V968" s="38">
        <f>(1000*CHOOSE(CONTROL!$C$42, 500, 500)*CHOOSE(CONTROL!$C$42, 0.275, 0.275)*CHOOSE(CONTROL!$C$42, 31, 31))/1000000</f>
        <v>4.2625000000000002</v>
      </c>
      <c r="W968" s="38">
        <f>(1000*CHOOSE(CONTROL!$C$42, 0.1146, 0.1146)*CHOOSE(CONTROL!$C$42, 121.5, 121.5)*CHOOSE(CONTROL!$C$42, 31, 31))/1000000</f>
        <v>0.43164089999999994</v>
      </c>
      <c r="X968" s="38">
        <f>(31*0.1790888*245000/1000000)+(31*0.2374*100000/1000000)</f>
        <v>2.0961194359999999</v>
      </c>
      <c r="Y968" s="38">
        <f>(1000*600*CHOOSE(CONTROL!$C$42, 1.0585, 1.0585)*CHOOSE(CONTROL!$C$42, 31, 31))/1000000</f>
        <v>19.688099999999999</v>
      </c>
      <c r="Z968" s="38"/>
      <c r="AA968" s="10"/>
      <c r="AB968" s="39"/>
      <c r="AC968" s="33">
        <f>(B968*194.205+C968*267.466+D968*133.845+E968*53.484+F968*40+G968*185+H968*0+I968*100+J968*300)/(194.205+267.466+133.845+53.484+0+40+185+100+300)</f>
        <v>34.95577980054945</v>
      </c>
      <c r="AD968" s="27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34.675545323741005</v>
      </c>
    </row>
    <row r="969" spans="1:30" ht="15.75" x14ac:dyDescent="0.25">
      <c r="A969" s="13">
        <v>70767</v>
      </c>
      <c r="B969" s="10">
        <f>CHOOSE(CONTROL!$C$42, 32.723, 32.723) * CHOOSE(CONTROL!$C$21, $C$9, 100%, $E$9)</f>
        <v>32.722999999999999</v>
      </c>
      <c r="C969" s="10">
        <f>CHOOSE(CONTROL!$C$42, 32.7309, 32.7309) * CHOOSE(CONTROL!$C$21, $C$9, 100%, $E$9)</f>
        <v>32.730899999999998</v>
      </c>
      <c r="D969" s="10">
        <f>CHOOSE(CONTROL!$C$42, 32.9079, 32.9079) * CHOOSE(CONTROL!$C$21, $C$9, 100%, $E$9)</f>
        <v>32.907899999999998</v>
      </c>
      <c r="E969" s="10">
        <f>CHOOSE(CONTROL!$C$42, 32.939, 32.939) * CHOOSE(CONTROL!$C$21, $C$9, 100%, $E$9)</f>
        <v>32.939</v>
      </c>
      <c r="F969" s="10">
        <f>CHOOSE(CONTROL!$C$42, 32.6866, 32.6866)*CHOOSE(CONTROL!$C$21, $C$9, 100%, $E$9)</f>
        <v>32.686599999999999</v>
      </c>
      <c r="G969" s="10">
        <f>CHOOSE(CONTROL!$C$42, 32.7031, 32.7031)*CHOOSE(CONTROL!$C$21, $C$9, 100%, $E$9)</f>
        <v>32.703099999999999</v>
      </c>
      <c r="H969" s="10">
        <f>CHOOSE(CONTROL!$C$42, 32.9277, 32.9277) * CHOOSE(CONTROL!$C$21, $C$9, 100%, $E$9)</f>
        <v>32.927700000000002</v>
      </c>
      <c r="I969" s="10">
        <f>CHOOSE(CONTROL!$C$42, 32.7076, 32.7076)* CHOOSE(CONTROL!$C$21, $C$9, 100%, $E$9)</f>
        <v>32.707599999999999</v>
      </c>
      <c r="J969" s="10">
        <f>CHOOSE(CONTROL!$C$42, 32.6796, 32.6796)* CHOOSE(CONTROL!$C$21, $C$9, 100%, $E$9)</f>
        <v>32.679600000000001</v>
      </c>
      <c r="K969" s="10">
        <f>CHOOSE(CONTROL!$C$42, 31.9132, 31.9132) * CHOOSE(CONTROL!$C$21, $C$9, 100%, $E$9)</f>
        <v>31.9132</v>
      </c>
      <c r="L969" s="10">
        <f>CHOOSE(CONTROL!$C$42, 33.5147, 33.5147) * CHOOSE(CONTROL!$C$21, $C$9, 100%, $E$9)</f>
        <v>33.514699999999998</v>
      </c>
      <c r="M969" s="10">
        <f>CHOOSE(CONTROL!$C$42, 32.3636, 32.3636) * CHOOSE(CONTROL!$C$21, $C$9, 100%, $E$9)</f>
        <v>32.363599999999998</v>
      </c>
      <c r="N969" s="10">
        <f>CHOOSE(CONTROL!$C$42, 32.38, 32.38) * CHOOSE(CONTROL!$C$21, $C$9, 100%, $E$9)</f>
        <v>32.380000000000003</v>
      </c>
      <c r="O969" s="10">
        <f>CHOOSE(CONTROL!$C$42, 32.6092, 32.6092) * CHOOSE(CONTROL!$C$21, $C$9, 100%, $E$9)</f>
        <v>32.609200000000001</v>
      </c>
      <c r="P969" s="10">
        <f>CHOOSE(CONTROL!$C$42, 32.3914, 32.3914) * CHOOSE(CONTROL!$C$21, $C$9, 100%, $E$9)</f>
        <v>32.391399999999997</v>
      </c>
      <c r="Q969" s="10">
        <f>CHOOSE(CONTROL!$C$42, 33.2045, 33.2045) * CHOOSE(CONTROL!$C$21, $C$9, 100%, $E$9)</f>
        <v>33.204500000000003</v>
      </c>
      <c r="R969" s="10">
        <f>CHOOSE(CONTROL!$C$42, 33.8745, 33.8745) * CHOOSE(CONTROL!$C$21, $C$9, 100%, $E$9)</f>
        <v>33.874499999999998</v>
      </c>
      <c r="S969" s="10">
        <f>CHOOSE(CONTROL!$C$42, 31.773, 31.773) * CHOOSE(CONTROL!$C$21, $C$9, 100%, $E$9)</f>
        <v>31.773</v>
      </c>
      <c r="T9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38">
        <f>(1000*CHOOSE(CONTROL!$C$42, 695, 695)*CHOOSE(CONTROL!$C$42, 0.5599, 0.5599)*CHOOSE(CONTROL!$C$42, 30, 30))/1000000</f>
        <v>11.673914999999997</v>
      </c>
      <c r="V969" s="38">
        <f>(1000*CHOOSE(CONTROL!$C$42, 500, 500)*CHOOSE(CONTROL!$C$42, 0.275, 0.275)*CHOOSE(CONTROL!$C$42, 30, 30))/1000000</f>
        <v>4.125</v>
      </c>
      <c r="W969" s="38">
        <f>(1000*CHOOSE(CONTROL!$C$42, 0.1146, 0.1146)*CHOOSE(CONTROL!$C$42, 121.5, 121.5)*CHOOSE(CONTROL!$C$42, 30, 30))/1000000</f>
        <v>0.417717</v>
      </c>
      <c r="X969" s="38">
        <f>(30*0.1790888*245000/1000000)+(30*0.2374*100000/1000000)</f>
        <v>2.0285026799999999</v>
      </c>
      <c r="Y969" s="38">
        <f>(1000*600*CHOOSE(CONTROL!$C$42, 1.0585, 1.0585)*CHOOSE(CONTROL!$C$42, 30, 30))/1000000</f>
        <v>19.053000000000001</v>
      </c>
      <c r="Z969" s="38"/>
      <c r="AA969" s="10"/>
      <c r="AB969" s="39"/>
      <c r="AC969" s="33">
        <f>(B969*194.205+C969*267.466+D969*133.845+E969*53.484+F969*40+G969*185+H969*0+I969*100+J969*300)/(194.205+267.466+133.845+53.484+0+40+185+100+300)</f>
        <v>32.737690711067508</v>
      </c>
      <c r="AD969" s="27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32.479858992805759</v>
      </c>
    </row>
    <row r="970" spans="1:30" ht="15.75" x14ac:dyDescent="0.25">
      <c r="A970" s="13">
        <v>70798</v>
      </c>
      <c r="B970" s="10">
        <f>CHOOSE(CONTROL!$C$42, 32.0565, 32.0565) * CHOOSE(CONTROL!$C$21, $C$9, 100%, $E$9)</f>
        <v>32.0565</v>
      </c>
      <c r="C970" s="10">
        <f>CHOOSE(CONTROL!$C$42, 32.0617, 32.0617) * CHOOSE(CONTROL!$C$21, $C$9, 100%, $E$9)</f>
        <v>32.061700000000002</v>
      </c>
      <c r="D970" s="10">
        <f>CHOOSE(CONTROL!$C$42, 32.2437, 32.2437) * CHOOSE(CONTROL!$C$21, $C$9, 100%, $E$9)</f>
        <v>32.243699999999997</v>
      </c>
      <c r="E970" s="10">
        <f>CHOOSE(CONTROL!$C$42, 32.2725, 32.2725) * CHOOSE(CONTROL!$C$21, $C$9, 100%, $E$9)</f>
        <v>32.272500000000001</v>
      </c>
      <c r="F970" s="10">
        <f>CHOOSE(CONTROL!$C$42, 32.0221, 32.0221)*CHOOSE(CONTROL!$C$21, $C$9, 100%, $E$9)</f>
        <v>32.022100000000002</v>
      </c>
      <c r="G970" s="10">
        <f>CHOOSE(CONTROL!$C$42, 32.0384, 32.0384)*CHOOSE(CONTROL!$C$21, $C$9, 100%, $E$9)</f>
        <v>32.038400000000003</v>
      </c>
      <c r="H970" s="10">
        <f>CHOOSE(CONTROL!$C$42, 32.263, 32.263) * CHOOSE(CONTROL!$C$21, $C$9, 100%, $E$9)</f>
        <v>32.262999999999998</v>
      </c>
      <c r="I970" s="10">
        <f>CHOOSE(CONTROL!$C$42, 32.0429, 32.0429)* CHOOSE(CONTROL!$C$21, $C$9, 100%, $E$9)</f>
        <v>32.042900000000003</v>
      </c>
      <c r="J970" s="10">
        <f>CHOOSE(CONTROL!$C$42, 32.0151, 32.0151)* CHOOSE(CONTROL!$C$21, $C$9, 100%, $E$9)</f>
        <v>32.015099999999997</v>
      </c>
      <c r="K970" s="10">
        <f>CHOOSE(CONTROL!$C$42, 31.2679, 31.2679) * CHOOSE(CONTROL!$C$21, $C$9, 100%, $E$9)</f>
        <v>31.267900000000001</v>
      </c>
      <c r="L970" s="10">
        <f>CHOOSE(CONTROL!$C$42, 32.85, 32.85) * CHOOSE(CONTROL!$C$21, $C$9, 100%, $E$9)</f>
        <v>32.85</v>
      </c>
      <c r="M970" s="10">
        <f>CHOOSE(CONTROL!$C$42, 31.7059, 31.7059) * CHOOSE(CONTROL!$C$21, $C$9, 100%, $E$9)</f>
        <v>31.7059</v>
      </c>
      <c r="N970" s="10">
        <f>CHOOSE(CONTROL!$C$42, 31.722, 31.722) * CHOOSE(CONTROL!$C$21, $C$9, 100%, $E$9)</f>
        <v>31.722000000000001</v>
      </c>
      <c r="O970" s="10">
        <f>CHOOSE(CONTROL!$C$42, 31.9512, 31.9512) * CHOOSE(CONTROL!$C$21, $C$9, 100%, $E$9)</f>
        <v>31.9512</v>
      </c>
      <c r="P970" s="10">
        <f>CHOOSE(CONTROL!$C$42, 31.7334, 31.7334) * CHOOSE(CONTROL!$C$21, $C$9, 100%, $E$9)</f>
        <v>31.7334</v>
      </c>
      <c r="Q970" s="10">
        <f>CHOOSE(CONTROL!$C$42, 32.5465, 32.5465) * CHOOSE(CONTROL!$C$21, $C$9, 100%, $E$9)</f>
        <v>32.546500000000002</v>
      </c>
      <c r="R970" s="10">
        <f>CHOOSE(CONTROL!$C$42, 33.2149, 33.2149) * CHOOSE(CONTROL!$C$21, $C$9, 100%, $E$9)</f>
        <v>33.2149</v>
      </c>
      <c r="S970" s="10">
        <f>CHOOSE(CONTROL!$C$42, 31.1276, 31.1276) * CHOOSE(CONTROL!$C$21, $C$9, 100%, $E$9)</f>
        <v>31.127600000000001</v>
      </c>
      <c r="T9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38">
        <f>(1000*CHOOSE(CONTROL!$C$42, 695, 695)*CHOOSE(CONTROL!$C$42, 0.5599, 0.5599)*CHOOSE(CONTROL!$C$42, 31, 31))/1000000</f>
        <v>12.063045499999998</v>
      </c>
      <c r="V970" s="38">
        <f>(1000*CHOOSE(CONTROL!$C$42, 500, 500)*CHOOSE(CONTROL!$C$42, 0.275, 0.275)*CHOOSE(CONTROL!$C$42, 31, 31))/1000000</f>
        <v>4.2625000000000002</v>
      </c>
      <c r="W970" s="38">
        <f>(1000*CHOOSE(CONTROL!$C$42, 0.1146, 0.1146)*CHOOSE(CONTROL!$C$42, 121.5, 121.5)*CHOOSE(CONTROL!$C$42, 31, 31))/1000000</f>
        <v>0.43164089999999994</v>
      </c>
      <c r="X970" s="38">
        <f>(31*0.1790888*245000/1000000)+(31*0.2374*100000/1000000)</f>
        <v>2.0961194359999999</v>
      </c>
      <c r="Y970" s="38">
        <f>(1000*600*CHOOSE(CONTROL!$C$42, 1.0585, 1.0585)*CHOOSE(CONTROL!$C$42, 31, 31))/1000000</f>
        <v>19.688099999999999</v>
      </c>
      <c r="Z970" s="38"/>
      <c r="AA970" s="10"/>
      <c r="AB970" s="39"/>
      <c r="AC970" s="33">
        <f>(B970*131.881+C970*277.167+D970*79.08+E970*125.872+F970*40+G970*185+H970*0+I970*100+J970*300)/(131.881+277.167+79.08+125.872+0+40+185+100+300)</f>
        <v>32.076620174656973</v>
      </c>
      <c r="AD970" s="27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31.821962589928056</v>
      </c>
    </row>
    <row r="971" spans="1:30" ht="15.75" x14ac:dyDescent="0.25">
      <c r="A971" s="13">
        <v>70828</v>
      </c>
      <c r="B971" s="10">
        <f>CHOOSE(CONTROL!$C$42, 32.9005, 32.9005) * CHOOSE(CONTROL!$C$21, $C$9, 100%, $E$9)</f>
        <v>32.900500000000001</v>
      </c>
      <c r="C971" s="10">
        <f>CHOOSE(CONTROL!$C$42, 32.9055, 32.9055) * CHOOSE(CONTROL!$C$21, $C$9, 100%, $E$9)</f>
        <v>32.905500000000004</v>
      </c>
      <c r="D971" s="10">
        <f>CHOOSE(CONTROL!$C$42, 32.93, 32.93) * CHOOSE(CONTROL!$C$21, $C$9, 100%, $E$9)</f>
        <v>32.93</v>
      </c>
      <c r="E971" s="10">
        <f>CHOOSE(CONTROL!$C$42, 32.9637, 32.9637) * CHOOSE(CONTROL!$C$21, $C$9, 100%, $E$9)</f>
        <v>32.963700000000003</v>
      </c>
      <c r="F971" s="10">
        <f>CHOOSE(CONTROL!$C$42, 32.8699, 32.8699)*CHOOSE(CONTROL!$C$21, $C$9, 100%, $E$9)</f>
        <v>32.869900000000001</v>
      </c>
      <c r="G971" s="10">
        <f>CHOOSE(CONTROL!$C$42, 32.8863, 32.8863)*CHOOSE(CONTROL!$C$21, $C$9, 100%, $E$9)</f>
        <v>32.886299999999999</v>
      </c>
      <c r="H971" s="10">
        <f>CHOOSE(CONTROL!$C$42, 32.9529, 32.9529) * CHOOSE(CONTROL!$C$21, $C$9, 100%, $E$9)</f>
        <v>32.9529</v>
      </c>
      <c r="I971" s="10">
        <f>CHOOSE(CONTROL!$C$42, 32.8873, 32.8873)* CHOOSE(CONTROL!$C$21, $C$9, 100%, $E$9)</f>
        <v>32.887300000000003</v>
      </c>
      <c r="J971" s="10">
        <f>CHOOSE(CONTROL!$C$42, 32.8629, 32.8629)* CHOOSE(CONTROL!$C$21, $C$9, 100%, $E$9)</f>
        <v>32.862900000000003</v>
      </c>
      <c r="K971" s="10">
        <f>CHOOSE(CONTROL!$C$42, 32.0899, 32.0899) * CHOOSE(CONTROL!$C$21, $C$9, 100%, $E$9)</f>
        <v>32.0899</v>
      </c>
      <c r="L971" s="10">
        <f>CHOOSE(CONTROL!$C$42, 33.5399, 33.5399) * CHOOSE(CONTROL!$C$21, $C$9, 100%, $E$9)</f>
        <v>33.539900000000003</v>
      </c>
      <c r="M971" s="10">
        <f>CHOOSE(CONTROL!$C$42, 32.5451, 32.5451) * CHOOSE(CONTROL!$C$21, $C$9, 100%, $E$9)</f>
        <v>32.545099999999998</v>
      </c>
      <c r="N971" s="10">
        <f>CHOOSE(CONTROL!$C$42, 32.5613, 32.5613) * CHOOSE(CONTROL!$C$21, $C$9, 100%, $E$9)</f>
        <v>32.561300000000003</v>
      </c>
      <c r="O971" s="10">
        <f>CHOOSE(CONTROL!$C$42, 32.6342, 32.6342) * CHOOSE(CONTROL!$C$21, $C$9, 100%, $E$9)</f>
        <v>32.6342</v>
      </c>
      <c r="P971" s="10">
        <f>CHOOSE(CONTROL!$C$42, 32.5693, 32.5693) * CHOOSE(CONTROL!$C$21, $C$9, 100%, $E$9)</f>
        <v>32.569299999999998</v>
      </c>
      <c r="Q971" s="10">
        <f>CHOOSE(CONTROL!$C$42, 33.2295, 33.2295) * CHOOSE(CONTROL!$C$21, $C$9, 100%, $E$9)</f>
        <v>33.229500000000002</v>
      </c>
      <c r="R971" s="10">
        <f>CHOOSE(CONTROL!$C$42, 33.8996, 33.8996) * CHOOSE(CONTROL!$C$21, $C$9, 100%, $E$9)</f>
        <v>33.8996</v>
      </c>
      <c r="S971" s="10">
        <f>CHOOSE(CONTROL!$C$42, 31.9476, 31.9476) * CHOOSE(CONTROL!$C$21, $C$9, 100%, $E$9)</f>
        <v>31.947600000000001</v>
      </c>
      <c r="T9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38">
        <f>(1000*CHOOSE(CONTROL!$C$42, 695, 695)*CHOOSE(CONTROL!$C$42, 0.5599, 0.5599)*CHOOSE(CONTROL!$C$42, 30, 30))/1000000</f>
        <v>11.673914999999997</v>
      </c>
      <c r="V971" s="38">
        <f>(1000*CHOOSE(CONTROL!$C$42, 500, 500)*CHOOSE(CONTROL!$C$42, 0.275, 0.275)*CHOOSE(CONTROL!$C$42, 30, 30))/1000000</f>
        <v>4.125</v>
      </c>
      <c r="W971" s="38">
        <f>(1000*CHOOSE(CONTROL!$C$42, 0.1146, 0.1146)*CHOOSE(CONTROL!$C$42, 121.5, 121.5)*CHOOSE(CONTROL!$C$42, 30, 30))/1000000</f>
        <v>0.417717</v>
      </c>
      <c r="X971" s="38">
        <f>(30*0.1790888*100000/1000000)+(30*0.2374*100000/1000000)</f>
        <v>1.2494664</v>
      </c>
      <c r="Y971" s="38">
        <f>(1000*600*CHOOSE(CONTROL!$C$42, 1.0585, 1.0585)*CHOOSE(CONTROL!$C$42, 30, 30))/1000000</f>
        <v>19.053000000000001</v>
      </c>
      <c r="Z971" s="38"/>
      <c r="AA971" s="10"/>
      <c r="AB971" s="39"/>
      <c r="AC971" s="33">
        <f>(B971*122.58+C971*297.941+D971*89.177+E971*40.302+F971*40+G971*160+H971*0+I971*100+J971*300)/(122.58+297.941+89.177+40.302+0+40+160+100+300)</f>
        <v>32.89230131556522</v>
      </c>
      <c r="AD971" s="27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32.589897841726618</v>
      </c>
    </row>
    <row r="972" spans="1:30" ht="15.75" x14ac:dyDescent="0.25">
      <c r="A972" s="13">
        <v>70859</v>
      </c>
      <c r="B972" s="10">
        <f>CHOOSE(CONTROL!$C$42, 35.1435, 35.1435) * CHOOSE(CONTROL!$C$21, $C$9, 100%, $E$9)</f>
        <v>35.143500000000003</v>
      </c>
      <c r="C972" s="10">
        <f>CHOOSE(CONTROL!$C$42, 35.1484, 35.1484) * CHOOSE(CONTROL!$C$21, $C$9, 100%, $E$9)</f>
        <v>35.148400000000002</v>
      </c>
      <c r="D972" s="10">
        <f>CHOOSE(CONTROL!$C$42, 35.1729, 35.1729) * CHOOSE(CONTROL!$C$21, $C$9, 100%, $E$9)</f>
        <v>35.172899999999998</v>
      </c>
      <c r="E972" s="10">
        <f>CHOOSE(CONTROL!$C$42, 35.2067, 35.2067) * CHOOSE(CONTROL!$C$21, $C$9, 100%, $E$9)</f>
        <v>35.206699999999998</v>
      </c>
      <c r="F972" s="10">
        <f>CHOOSE(CONTROL!$C$42, 35.1151, 35.1151)*CHOOSE(CONTROL!$C$21, $C$9, 100%, $E$9)</f>
        <v>35.115099999999998</v>
      </c>
      <c r="G972" s="10">
        <f>CHOOSE(CONTROL!$C$42, 35.1322, 35.1322)*CHOOSE(CONTROL!$C$21, $C$9, 100%, $E$9)</f>
        <v>35.132199999999997</v>
      </c>
      <c r="H972" s="10">
        <f>CHOOSE(CONTROL!$C$42, 35.1959, 35.1959) * CHOOSE(CONTROL!$C$21, $C$9, 100%, $E$9)</f>
        <v>35.195900000000002</v>
      </c>
      <c r="I972" s="10">
        <f>CHOOSE(CONTROL!$C$42, 35.1303, 35.1303)* CHOOSE(CONTROL!$C$21, $C$9, 100%, $E$9)</f>
        <v>35.130299999999998</v>
      </c>
      <c r="J972" s="10">
        <f>CHOOSE(CONTROL!$C$42, 35.1081, 35.1081)* CHOOSE(CONTROL!$C$21, $C$9, 100%, $E$9)</f>
        <v>35.1081</v>
      </c>
      <c r="K972" s="10">
        <f>CHOOSE(CONTROL!$C$42, 34.2741, 34.2741) * CHOOSE(CONTROL!$C$21, $C$9, 100%, $E$9)</f>
        <v>34.274099999999997</v>
      </c>
      <c r="L972" s="10">
        <f>CHOOSE(CONTROL!$C$42, 35.7829, 35.7829) * CHOOSE(CONTROL!$C$21, $C$9, 100%, $E$9)</f>
        <v>35.782899999999998</v>
      </c>
      <c r="M972" s="10">
        <f>CHOOSE(CONTROL!$C$42, 34.7676, 34.7676) * CHOOSE(CONTROL!$C$21, $C$9, 100%, $E$9)</f>
        <v>34.767600000000002</v>
      </c>
      <c r="N972" s="10">
        <f>CHOOSE(CONTROL!$C$42, 34.7845, 34.7845) * CHOOSE(CONTROL!$C$21, $C$9, 100%, $E$9)</f>
        <v>34.784500000000001</v>
      </c>
      <c r="O972" s="10">
        <f>CHOOSE(CONTROL!$C$42, 34.8545, 34.8545) * CHOOSE(CONTROL!$C$21, $C$9, 100%, $E$9)</f>
        <v>34.854500000000002</v>
      </c>
      <c r="P972" s="10">
        <f>CHOOSE(CONTROL!$C$42, 34.7896, 34.7896) * CHOOSE(CONTROL!$C$21, $C$9, 100%, $E$9)</f>
        <v>34.7896</v>
      </c>
      <c r="Q972" s="10">
        <f>CHOOSE(CONTROL!$C$42, 35.4498, 35.4498) * CHOOSE(CONTROL!$C$21, $C$9, 100%, $E$9)</f>
        <v>35.449800000000003</v>
      </c>
      <c r="R972" s="10">
        <f>CHOOSE(CONTROL!$C$42, 36.1254, 36.1254) * CHOOSE(CONTROL!$C$21, $C$9, 100%, $E$9)</f>
        <v>36.125399999999999</v>
      </c>
      <c r="S972" s="10">
        <f>CHOOSE(CONTROL!$C$42, 34.1257, 34.1257) * CHOOSE(CONTROL!$C$21, $C$9, 100%, $E$9)</f>
        <v>34.125700000000002</v>
      </c>
      <c r="T9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38">
        <f>(1000*CHOOSE(CONTROL!$C$42, 695, 695)*CHOOSE(CONTROL!$C$42, 0.5599, 0.5599)*CHOOSE(CONTROL!$C$42, 31, 31))/1000000</f>
        <v>12.063045499999998</v>
      </c>
      <c r="V972" s="38">
        <f>(1000*CHOOSE(CONTROL!$C$42, 500, 500)*CHOOSE(CONTROL!$C$42, 0.275, 0.275)*CHOOSE(CONTROL!$C$42, 31, 31))/1000000</f>
        <v>4.2625000000000002</v>
      </c>
      <c r="W972" s="38">
        <f>(1000*CHOOSE(CONTROL!$C$42, 0.1146, 0.1146)*CHOOSE(CONTROL!$C$42, 121.5, 121.5)*CHOOSE(CONTROL!$C$42, 31, 31))/1000000</f>
        <v>0.43164089999999994</v>
      </c>
      <c r="X972" s="38">
        <f>(31*0.1790888*100000/1000000)+(31*0.2374*100000/1000000)</f>
        <v>1.2911152800000001</v>
      </c>
      <c r="Y972" s="38">
        <f>(1000*600*CHOOSE(CONTROL!$C$42, 1.0585, 1.0585)*CHOOSE(CONTROL!$C$42, 31, 31))/1000000</f>
        <v>19.688099999999999</v>
      </c>
      <c r="Z972" s="38"/>
      <c r="AA972" s="10"/>
      <c r="AB972" s="39"/>
      <c r="AC972" s="33">
        <f>(B972*122.58+C972*297.941+D972*89.177+E972*40.302+F972*40+G972*160+H972*0+I972*100+J972*300)/(122.58+297.941+89.177+40.302+0+40+160+100+300)</f>
        <v>35.136321566173912</v>
      </c>
      <c r="AD972" s="27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34.811124460431657</v>
      </c>
    </row>
    <row r="973" spans="1:30" ht="15.75" x14ac:dyDescent="0.25">
      <c r="A973" s="13">
        <v>70890</v>
      </c>
      <c r="B973" s="10">
        <f>CHOOSE(CONTROL!$C$42, 37.5153, 37.5153) * CHOOSE(CONTROL!$C$21, $C$9, 100%, $E$9)</f>
        <v>37.515300000000003</v>
      </c>
      <c r="C973" s="10">
        <f>CHOOSE(CONTROL!$C$42, 37.5202, 37.5202) * CHOOSE(CONTROL!$C$21, $C$9, 100%, $E$9)</f>
        <v>37.520200000000003</v>
      </c>
      <c r="D973" s="10">
        <f>CHOOSE(CONTROL!$C$42, 37.5447, 37.5447) * CHOOSE(CONTROL!$C$21, $C$9, 100%, $E$9)</f>
        <v>37.544699999999999</v>
      </c>
      <c r="E973" s="10">
        <f>CHOOSE(CONTROL!$C$42, 37.5785, 37.5785) * CHOOSE(CONTROL!$C$21, $C$9, 100%, $E$9)</f>
        <v>37.578499999999998</v>
      </c>
      <c r="F973" s="10">
        <f>CHOOSE(CONTROL!$C$42, 37.4982, 37.4982)*CHOOSE(CONTROL!$C$21, $C$9, 100%, $E$9)</f>
        <v>37.498199999999997</v>
      </c>
      <c r="G973" s="10">
        <f>CHOOSE(CONTROL!$C$42, 37.5169, 37.5169)*CHOOSE(CONTROL!$C$21, $C$9, 100%, $E$9)</f>
        <v>37.5169</v>
      </c>
      <c r="H973" s="10">
        <f>CHOOSE(CONTROL!$C$42, 37.5677, 37.5677) * CHOOSE(CONTROL!$C$21, $C$9, 100%, $E$9)</f>
        <v>37.567700000000002</v>
      </c>
      <c r="I973" s="10">
        <f>CHOOSE(CONTROL!$C$42, 37.5098, 37.5098)* CHOOSE(CONTROL!$C$21, $C$9, 100%, $E$9)</f>
        <v>37.509799999999998</v>
      </c>
      <c r="J973" s="10">
        <f>CHOOSE(CONTROL!$C$42, 37.4912, 37.4912)* CHOOSE(CONTROL!$C$21, $C$9, 100%, $E$9)</f>
        <v>37.491199999999999</v>
      </c>
      <c r="K973" s="10">
        <f>CHOOSE(CONTROL!$C$42, 36.5995, 36.5995) * CHOOSE(CONTROL!$C$21, $C$9, 100%, $E$9)</f>
        <v>36.599499999999999</v>
      </c>
      <c r="L973" s="10">
        <f>CHOOSE(CONTROL!$C$42, 38.1547, 38.1547) * CHOOSE(CONTROL!$C$21, $C$9, 100%, $E$9)</f>
        <v>38.154699999999998</v>
      </c>
      <c r="M973" s="10">
        <f>CHOOSE(CONTROL!$C$42, 37.1267, 37.1267) * CHOOSE(CONTROL!$C$21, $C$9, 100%, $E$9)</f>
        <v>37.1267</v>
      </c>
      <c r="N973" s="10">
        <f>CHOOSE(CONTROL!$C$42, 37.1452, 37.1452) * CHOOSE(CONTROL!$C$21, $C$9, 100%, $E$9)</f>
        <v>37.145200000000003</v>
      </c>
      <c r="O973" s="10">
        <f>CHOOSE(CONTROL!$C$42, 37.2024, 37.2024) * CHOOSE(CONTROL!$C$21, $C$9, 100%, $E$9)</f>
        <v>37.202399999999997</v>
      </c>
      <c r="P973" s="10">
        <f>CHOOSE(CONTROL!$C$42, 37.1451, 37.1451) * CHOOSE(CONTROL!$C$21, $C$9, 100%, $E$9)</f>
        <v>37.145099999999999</v>
      </c>
      <c r="Q973" s="10">
        <f>CHOOSE(CONTROL!$C$42, 37.7977, 37.7977) * CHOOSE(CONTROL!$C$21, $C$9, 100%, $E$9)</f>
        <v>37.797699999999999</v>
      </c>
      <c r="R973" s="10">
        <f>CHOOSE(CONTROL!$C$42, 38.4792, 38.4792) * CHOOSE(CONTROL!$C$21, $C$9, 100%, $E$9)</f>
        <v>38.479199999999999</v>
      </c>
      <c r="S973" s="10">
        <f>CHOOSE(CONTROL!$C$42, 36.4289, 36.4289) * CHOOSE(CONTROL!$C$21, $C$9, 100%, $E$9)</f>
        <v>36.428899999999999</v>
      </c>
      <c r="T9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38">
        <f>(1000*CHOOSE(CONTROL!$C$42, 695, 695)*CHOOSE(CONTROL!$C$42, 0.5599, 0.5599)*CHOOSE(CONTROL!$C$42, 31, 31))/1000000</f>
        <v>12.063045499999998</v>
      </c>
      <c r="V973" s="38">
        <f>(1000*CHOOSE(CONTROL!$C$42, 500, 500)*CHOOSE(CONTROL!$C$42, 0.275, 0.275)*CHOOSE(CONTROL!$C$42, 31, 31))/1000000</f>
        <v>4.2625000000000002</v>
      </c>
      <c r="W973" s="38">
        <f>(1000*CHOOSE(CONTROL!$C$42, 0.1146, 0.1146)*CHOOSE(CONTROL!$C$42, 121.5, 121.5)*CHOOSE(CONTROL!$C$42, 31, 31))/1000000</f>
        <v>0.43164089999999994</v>
      </c>
      <c r="X973" s="38">
        <f>(31*0.1790888*100000/1000000)+(31*0.2374*100000/1000000)</f>
        <v>1.2911152800000001</v>
      </c>
      <c r="Y973" s="38">
        <f>(1000*600*CHOOSE(CONTROL!$C$42, 1.0585, 1.0585)*CHOOSE(CONTROL!$C$42, 31, 31))/1000000</f>
        <v>19.688099999999999</v>
      </c>
      <c r="Z973" s="38"/>
      <c r="AA973" s="10"/>
      <c r="AB973" s="39"/>
      <c r="AC973" s="33">
        <f>(B973*122.58+C973*297.941+D973*89.177+E973*40.302+F973*40+G973*160+H973*0+I973*100+J973*300)/(122.58+297.941+89.177+40.302+0+40+160+100+300)</f>
        <v>37.513926783565218</v>
      </c>
      <c r="AD973" s="27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37.164722302158275</v>
      </c>
    </row>
    <row r="974" spans="1:30" ht="15.75" x14ac:dyDescent="0.25">
      <c r="A974" s="13">
        <v>70918</v>
      </c>
      <c r="B974" s="10">
        <f>CHOOSE(CONTROL!$C$42, 38.183, 38.183) * CHOOSE(CONTROL!$C$21, $C$9, 100%, $E$9)</f>
        <v>38.183</v>
      </c>
      <c r="C974" s="10">
        <f>CHOOSE(CONTROL!$C$42, 38.188, 38.188) * CHOOSE(CONTROL!$C$21, $C$9, 100%, $E$9)</f>
        <v>38.188000000000002</v>
      </c>
      <c r="D974" s="10">
        <f>CHOOSE(CONTROL!$C$42, 38.2125, 38.2125) * CHOOSE(CONTROL!$C$21, $C$9, 100%, $E$9)</f>
        <v>38.212499999999999</v>
      </c>
      <c r="E974" s="10">
        <f>CHOOSE(CONTROL!$C$42, 38.2462, 38.2462) * CHOOSE(CONTROL!$C$21, $C$9, 100%, $E$9)</f>
        <v>38.246200000000002</v>
      </c>
      <c r="F974" s="10">
        <f>CHOOSE(CONTROL!$C$42, 38.1653, 38.1653)*CHOOSE(CONTROL!$C$21, $C$9, 100%, $E$9)</f>
        <v>38.165300000000002</v>
      </c>
      <c r="G974" s="10">
        <f>CHOOSE(CONTROL!$C$42, 38.1838, 38.1838)*CHOOSE(CONTROL!$C$21, $C$9, 100%, $E$9)</f>
        <v>38.183799999999998</v>
      </c>
      <c r="H974" s="10">
        <f>CHOOSE(CONTROL!$C$42, 38.2354, 38.2354) * CHOOSE(CONTROL!$C$21, $C$9, 100%, $E$9)</f>
        <v>38.235399999999998</v>
      </c>
      <c r="I974" s="10">
        <f>CHOOSE(CONTROL!$C$42, 38.1775, 38.1775)* CHOOSE(CONTROL!$C$21, $C$9, 100%, $E$9)</f>
        <v>38.177500000000002</v>
      </c>
      <c r="J974" s="10">
        <f>CHOOSE(CONTROL!$C$42, 38.1583, 38.1583)* CHOOSE(CONTROL!$C$21, $C$9, 100%, $E$9)</f>
        <v>38.158299999999997</v>
      </c>
      <c r="K974" s="10">
        <f>CHOOSE(CONTROL!$C$42, 37.2468, 37.2468) * CHOOSE(CONTROL!$C$21, $C$9, 100%, $E$9)</f>
        <v>37.2468</v>
      </c>
      <c r="L974" s="10">
        <f>CHOOSE(CONTROL!$C$42, 38.8224, 38.8224) * CHOOSE(CONTROL!$C$21, $C$9, 100%, $E$9)</f>
        <v>38.822400000000002</v>
      </c>
      <c r="M974" s="10">
        <f>CHOOSE(CONTROL!$C$42, 37.7871, 37.7871) * CHOOSE(CONTROL!$C$21, $C$9, 100%, $E$9)</f>
        <v>37.787100000000002</v>
      </c>
      <c r="N974" s="10">
        <f>CHOOSE(CONTROL!$C$42, 37.8053, 37.8053) * CHOOSE(CONTROL!$C$21, $C$9, 100%, $E$9)</f>
        <v>37.805300000000003</v>
      </c>
      <c r="O974" s="10">
        <f>CHOOSE(CONTROL!$C$42, 37.8634, 37.8634) * CHOOSE(CONTROL!$C$21, $C$9, 100%, $E$9)</f>
        <v>37.863399999999999</v>
      </c>
      <c r="P974" s="10">
        <f>CHOOSE(CONTROL!$C$42, 37.8061, 37.8061) * CHOOSE(CONTROL!$C$21, $C$9, 100%, $E$9)</f>
        <v>37.806100000000001</v>
      </c>
      <c r="Q974" s="10">
        <f>CHOOSE(CONTROL!$C$42, 38.4587, 38.4587) * CHOOSE(CONTROL!$C$21, $C$9, 100%, $E$9)</f>
        <v>38.4587</v>
      </c>
      <c r="R974" s="10">
        <f>CHOOSE(CONTROL!$C$42, 39.1418, 39.1418) * CHOOSE(CONTROL!$C$21, $C$9, 100%, $E$9)</f>
        <v>39.141800000000003</v>
      </c>
      <c r="S974" s="10">
        <f>CHOOSE(CONTROL!$C$42, 37.0774, 37.0774) * CHOOSE(CONTROL!$C$21, $C$9, 100%, $E$9)</f>
        <v>37.077399999999997</v>
      </c>
      <c r="T9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38">
        <f>(1000*CHOOSE(CONTROL!$C$42, 695, 695)*CHOOSE(CONTROL!$C$42, 0.5599, 0.5599)*CHOOSE(CONTROL!$C$42, 28, 28))/1000000</f>
        <v>10.895653999999999</v>
      </c>
      <c r="V974" s="38">
        <f>(1000*CHOOSE(CONTROL!$C$42, 500, 500)*CHOOSE(CONTROL!$C$42, 0.275, 0.275)*CHOOSE(CONTROL!$C$42, 28, 28))/1000000</f>
        <v>3.85</v>
      </c>
      <c r="W974" s="38">
        <f>(1000*CHOOSE(CONTROL!$C$42, 0.1146, 0.1146)*CHOOSE(CONTROL!$C$42, 121.5, 121.5)*CHOOSE(CONTROL!$C$42, 28, 28))/1000000</f>
        <v>0.38986920000000003</v>
      </c>
      <c r="X974" s="38">
        <f>(28*0.1790888*100000/1000000)+(28*0.2374*100000/1000000)</f>
        <v>1.16616864</v>
      </c>
      <c r="Y974" s="38">
        <f>(1000*600*CHOOSE(CONTROL!$C$42, 1.0585, 1.0585)*CHOOSE(CONTROL!$C$42, 28, 28))/1000000</f>
        <v>17.782800000000002</v>
      </c>
      <c r="Z974" s="38"/>
      <c r="AA974" s="10"/>
      <c r="AB974" s="39"/>
      <c r="AC974" s="33">
        <f>(B974*122.58+C974*297.941+D974*89.177+E974*40.302+F974*40+G974*160+H974*0+I974*100+J974*300)/(122.58+297.941+89.177+40.302+0+40+160+100+300)</f>
        <v>38.181371750347829</v>
      </c>
      <c r="AD974" s="27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37.825463309352521</v>
      </c>
    </row>
    <row r="975" spans="1:30" ht="15.75" x14ac:dyDescent="0.25">
      <c r="A975" s="13">
        <v>70949</v>
      </c>
      <c r="B975" s="10">
        <f>CHOOSE(CONTROL!$C$42, 37.0991, 37.0991) * CHOOSE(CONTROL!$C$21, $C$9, 100%, $E$9)</f>
        <v>37.0991</v>
      </c>
      <c r="C975" s="10">
        <f>CHOOSE(CONTROL!$C$42, 37.104, 37.104) * CHOOSE(CONTROL!$C$21, $C$9, 100%, $E$9)</f>
        <v>37.103999999999999</v>
      </c>
      <c r="D975" s="10">
        <f>CHOOSE(CONTROL!$C$42, 37.1285, 37.1285) * CHOOSE(CONTROL!$C$21, $C$9, 100%, $E$9)</f>
        <v>37.128500000000003</v>
      </c>
      <c r="E975" s="10">
        <f>CHOOSE(CONTROL!$C$42, 37.1623, 37.1623) * CHOOSE(CONTROL!$C$21, $C$9, 100%, $E$9)</f>
        <v>37.162300000000002</v>
      </c>
      <c r="F975" s="10">
        <f>CHOOSE(CONTROL!$C$42, 37.0798, 37.0798)*CHOOSE(CONTROL!$C$21, $C$9, 100%, $E$9)</f>
        <v>37.079799999999999</v>
      </c>
      <c r="G975" s="10">
        <f>CHOOSE(CONTROL!$C$42, 37.0979, 37.0979)*CHOOSE(CONTROL!$C$21, $C$9, 100%, $E$9)</f>
        <v>37.097900000000003</v>
      </c>
      <c r="H975" s="10">
        <f>CHOOSE(CONTROL!$C$42, 37.1515, 37.1515) * CHOOSE(CONTROL!$C$21, $C$9, 100%, $E$9)</f>
        <v>37.151499999999999</v>
      </c>
      <c r="I975" s="10">
        <f>CHOOSE(CONTROL!$C$42, 37.0936, 37.0936)* CHOOSE(CONTROL!$C$21, $C$9, 100%, $E$9)</f>
        <v>37.093600000000002</v>
      </c>
      <c r="J975" s="10">
        <f>CHOOSE(CONTROL!$C$42, 37.0728, 37.0728)* CHOOSE(CONTROL!$C$21, $C$9, 100%, $E$9)</f>
        <v>37.072800000000001</v>
      </c>
      <c r="K975" s="10">
        <f>CHOOSE(CONTROL!$C$42, 36.1903, 36.1903) * CHOOSE(CONTROL!$C$21, $C$9, 100%, $E$9)</f>
        <v>36.190300000000001</v>
      </c>
      <c r="L975" s="10">
        <f>CHOOSE(CONTROL!$C$42, 37.7385, 37.7385) * CHOOSE(CONTROL!$C$21, $C$9, 100%, $E$9)</f>
        <v>37.738500000000002</v>
      </c>
      <c r="M975" s="10">
        <f>CHOOSE(CONTROL!$C$42, 36.7125, 36.7125) * CHOOSE(CONTROL!$C$21, $C$9, 100%, $E$9)</f>
        <v>36.712499999999999</v>
      </c>
      <c r="N975" s="10">
        <f>CHOOSE(CONTROL!$C$42, 36.7304, 36.7304) * CHOOSE(CONTROL!$C$21, $C$9, 100%, $E$9)</f>
        <v>36.730400000000003</v>
      </c>
      <c r="O975" s="10">
        <f>CHOOSE(CONTROL!$C$42, 36.7904, 36.7904) * CHOOSE(CONTROL!$C$21, $C$9, 100%, $E$9)</f>
        <v>36.790399999999998</v>
      </c>
      <c r="P975" s="10">
        <f>CHOOSE(CONTROL!$C$42, 36.7331, 36.7331) * CHOOSE(CONTROL!$C$21, $C$9, 100%, $E$9)</f>
        <v>36.7331</v>
      </c>
      <c r="Q975" s="10">
        <f>CHOOSE(CONTROL!$C$42, 37.3857, 37.3857) * CHOOSE(CONTROL!$C$21, $C$9, 100%, $E$9)</f>
        <v>37.3857</v>
      </c>
      <c r="R975" s="10">
        <f>CHOOSE(CONTROL!$C$42, 38.0661, 38.0661) * CHOOSE(CONTROL!$C$21, $C$9, 100%, $E$9)</f>
        <v>38.066099999999999</v>
      </c>
      <c r="S975" s="10">
        <f>CHOOSE(CONTROL!$C$42, 36.0248, 36.0248) * CHOOSE(CONTROL!$C$21, $C$9, 100%, $E$9)</f>
        <v>36.024799999999999</v>
      </c>
      <c r="T9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38">
        <f>(1000*CHOOSE(CONTROL!$C$42, 695, 695)*CHOOSE(CONTROL!$C$42, 0.5599, 0.5599)*CHOOSE(CONTROL!$C$42, 31, 31))/1000000</f>
        <v>12.063045499999998</v>
      </c>
      <c r="V975" s="38">
        <f>(1000*CHOOSE(CONTROL!$C$42, 500, 500)*CHOOSE(CONTROL!$C$42, 0.275, 0.275)*CHOOSE(CONTROL!$C$42, 31, 31))/1000000</f>
        <v>4.2625000000000002</v>
      </c>
      <c r="W975" s="38">
        <f>(1000*CHOOSE(CONTROL!$C$42, 0.1146, 0.1146)*CHOOSE(CONTROL!$C$42, 121.5, 121.5)*CHOOSE(CONTROL!$C$42, 31, 31))/1000000</f>
        <v>0.43164089999999994</v>
      </c>
      <c r="X975" s="38">
        <f>(31*0.1790888*100000/1000000)+(31*0.2374*100000/1000000)</f>
        <v>1.2911152800000001</v>
      </c>
      <c r="Y975" s="38">
        <f>(1000*600*CHOOSE(CONTROL!$C$42, 1.0585, 1.0585)*CHOOSE(CONTROL!$C$42, 31, 31))/1000000</f>
        <v>19.688099999999999</v>
      </c>
      <c r="Z975" s="38"/>
      <c r="AA975" s="10"/>
      <c r="AB975" s="39"/>
      <c r="AC975" s="33">
        <f>(B975*122.58+C975*297.941+D975*89.177+E975*40.302+F975*40+G975*160+H975*0+I975*100+J975*300)/(122.58+297.941+89.177+40.302+0+40+160+100+300)</f>
        <v>37.096686783565218</v>
      </c>
      <c r="AD975" s="27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36.751801438848922</v>
      </c>
    </row>
    <row r="976" spans="1:30" ht="15.75" x14ac:dyDescent="0.25">
      <c r="A976" s="13">
        <v>70979</v>
      </c>
      <c r="B976" s="10">
        <f>CHOOSE(CONTROL!$C$42, 36.9888, 36.9888) * CHOOSE(CONTROL!$C$21, $C$9, 100%, $E$9)</f>
        <v>36.988799999999998</v>
      </c>
      <c r="C976" s="10">
        <f>CHOOSE(CONTROL!$C$42, 36.9932, 36.9932) * CHOOSE(CONTROL!$C$21, $C$9, 100%, $E$9)</f>
        <v>36.993200000000002</v>
      </c>
      <c r="D976" s="10">
        <f>CHOOSE(CONTROL!$C$42, 37.1733, 37.1733) * CHOOSE(CONTROL!$C$21, $C$9, 100%, $E$9)</f>
        <v>37.173299999999998</v>
      </c>
      <c r="E976" s="10">
        <f>CHOOSE(CONTROL!$C$42, 37.2051, 37.2051) * CHOOSE(CONTROL!$C$21, $C$9, 100%, $E$9)</f>
        <v>37.205100000000002</v>
      </c>
      <c r="F976" s="10">
        <f>CHOOSE(CONTROL!$C$42, 36.9541, 36.9541)*CHOOSE(CONTROL!$C$21, $C$9, 100%, $E$9)</f>
        <v>36.954099999999997</v>
      </c>
      <c r="G976" s="10">
        <f>CHOOSE(CONTROL!$C$42, 36.9704, 36.9704)*CHOOSE(CONTROL!$C$21, $C$9, 100%, $E$9)</f>
        <v>36.970399999999998</v>
      </c>
      <c r="H976" s="10">
        <f>CHOOSE(CONTROL!$C$42, 37.1949, 37.1949) * CHOOSE(CONTROL!$C$21, $C$9, 100%, $E$9)</f>
        <v>37.194899999999997</v>
      </c>
      <c r="I976" s="10">
        <f>CHOOSE(CONTROL!$C$42, 36.9748, 36.9748)* CHOOSE(CONTROL!$C$21, $C$9, 100%, $E$9)</f>
        <v>36.974800000000002</v>
      </c>
      <c r="J976" s="10">
        <f>CHOOSE(CONTROL!$C$42, 36.9471, 36.9471)* CHOOSE(CONTROL!$C$21, $C$9, 100%, $E$9)</f>
        <v>36.947099999999999</v>
      </c>
      <c r="K976" s="10">
        <f>CHOOSE(CONTROL!$C$42, 36.0599, 36.0599) * CHOOSE(CONTROL!$C$21, $C$9, 100%, $E$9)</f>
        <v>36.059899999999999</v>
      </c>
      <c r="L976" s="10">
        <f>CHOOSE(CONTROL!$C$42, 37.7819, 37.7819) * CHOOSE(CONTROL!$C$21, $C$9, 100%, $E$9)</f>
        <v>37.7819</v>
      </c>
      <c r="M976" s="10">
        <f>CHOOSE(CONTROL!$C$42, 36.5881, 36.5881) * CHOOSE(CONTROL!$C$21, $C$9, 100%, $E$9)</f>
        <v>36.588099999999997</v>
      </c>
      <c r="N976" s="10">
        <f>CHOOSE(CONTROL!$C$42, 36.6042, 36.6042) * CHOOSE(CONTROL!$C$21, $C$9, 100%, $E$9)</f>
        <v>36.604199999999999</v>
      </c>
      <c r="O976" s="10">
        <f>CHOOSE(CONTROL!$C$42, 36.8333, 36.8333) * CHOOSE(CONTROL!$C$21, $C$9, 100%, $E$9)</f>
        <v>36.833300000000001</v>
      </c>
      <c r="P976" s="10">
        <f>CHOOSE(CONTROL!$C$42, 36.6155, 36.6155) * CHOOSE(CONTROL!$C$21, $C$9, 100%, $E$9)</f>
        <v>36.615499999999997</v>
      </c>
      <c r="Q976" s="10">
        <f>CHOOSE(CONTROL!$C$42, 37.4286, 37.4286) * CHOOSE(CONTROL!$C$21, $C$9, 100%, $E$9)</f>
        <v>37.428600000000003</v>
      </c>
      <c r="R976" s="10">
        <f>CHOOSE(CONTROL!$C$42, 38.1092, 38.1092) * CHOOSE(CONTROL!$C$21, $C$9, 100%, $E$9)</f>
        <v>38.109200000000001</v>
      </c>
      <c r="S976" s="10">
        <f>CHOOSE(CONTROL!$C$42, 35.9169, 35.9169) * CHOOSE(CONTROL!$C$21, $C$9, 100%, $E$9)</f>
        <v>35.916899999999998</v>
      </c>
      <c r="T9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38">
        <f>(1000*CHOOSE(CONTROL!$C$42, 695, 695)*CHOOSE(CONTROL!$C$42, 0.5599, 0.5599)*CHOOSE(CONTROL!$C$42, 30, 30))/1000000</f>
        <v>11.673914999999997</v>
      </c>
      <c r="V976" s="38">
        <f>(1000*CHOOSE(CONTROL!$C$42, 500, 500)*CHOOSE(CONTROL!$C$42, 0.275, 0.275)*CHOOSE(CONTROL!$C$42, 30, 30))/1000000</f>
        <v>4.125</v>
      </c>
      <c r="W976" s="38">
        <f>(1000*CHOOSE(CONTROL!$C$42, 0.1146, 0.1146)*CHOOSE(CONTROL!$C$42, 121.5, 121.5)*CHOOSE(CONTROL!$C$42, 30, 30))/1000000</f>
        <v>0.417717</v>
      </c>
      <c r="X976" s="38">
        <f>(30*0.1790888*245000/1000000)+(30*0.2374*100000/1000000)</f>
        <v>2.0285026799999999</v>
      </c>
      <c r="Y976" s="38">
        <f>(1000*600*CHOOSE(CONTROL!$C$42, 1.0585, 1.0585)*CHOOSE(CONTROL!$C$42, 30, 30))/1000000</f>
        <v>19.053000000000001</v>
      </c>
      <c r="Z976" s="38"/>
      <c r="AA976" s="10"/>
      <c r="AB976" s="39"/>
      <c r="AC976" s="33">
        <f>(B976*141.293+C976*267.993+D976*115.016+E976*89.698+F976*40+G976*185+H976*0+I976*100+J976*300)/(141.293+267.993+115.016+89.698+0+40+185+100+300)</f>
        <v>37.007443501694915</v>
      </c>
      <c r="AD976" s="27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36.704102877697842</v>
      </c>
    </row>
    <row r="977" spans="1:30" ht="15.75" x14ac:dyDescent="0.25">
      <c r="A977" s="13">
        <v>71010</v>
      </c>
      <c r="B977" s="10">
        <f>CHOOSE(CONTROL!$C$42, 37.317, 37.317) * CHOOSE(CONTROL!$C$21, $C$9, 100%, $E$9)</f>
        <v>37.317</v>
      </c>
      <c r="C977" s="10">
        <f>CHOOSE(CONTROL!$C$42, 37.3249, 37.3249) * CHOOSE(CONTROL!$C$21, $C$9, 100%, $E$9)</f>
        <v>37.3249</v>
      </c>
      <c r="D977" s="10">
        <f>CHOOSE(CONTROL!$C$42, 37.5019, 37.5019) * CHOOSE(CONTROL!$C$21, $C$9, 100%, $E$9)</f>
        <v>37.501899999999999</v>
      </c>
      <c r="E977" s="10">
        <f>CHOOSE(CONTROL!$C$42, 37.5331, 37.5331) * CHOOSE(CONTROL!$C$21, $C$9, 100%, $E$9)</f>
        <v>37.533099999999997</v>
      </c>
      <c r="F977" s="10">
        <f>CHOOSE(CONTROL!$C$42, 37.2804, 37.2804)*CHOOSE(CONTROL!$C$21, $C$9, 100%, $E$9)</f>
        <v>37.2804</v>
      </c>
      <c r="G977" s="10">
        <f>CHOOSE(CONTROL!$C$42, 37.2969, 37.2969)*CHOOSE(CONTROL!$C$21, $C$9, 100%, $E$9)</f>
        <v>37.296900000000001</v>
      </c>
      <c r="H977" s="10">
        <f>CHOOSE(CONTROL!$C$42, 37.5217, 37.5217) * CHOOSE(CONTROL!$C$21, $C$9, 100%, $E$9)</f>
        <v>37.521700000000003</v>
      </c>
      <c r="I977" s="10">
        <f>CHOOSE(CONTROL!$C$42, 37.3016, 37.3016)* CHOOSE(CONTROL!$C$21, $C$9, 100%, $E$9)</f>
        <v>37.301600000000001</v>
      </c>
      <c r="J977" s="10">
        <f>CHOOSE(CONTROL!$C$42, 37.2734, 37.2734)* CHOOSE(CONTROL!$C$21, $C$9, 100%, $E$9)</f>
        <v>37.273400000000002</v>
      </c>
      <c r="K977" s="10">
        <f>CHOOSE(CONTROL!$C$42, 36.3762, 36.3762) * CHOOSE(CONTROL!$C$21, $C$9, 100%, $E$9)</f>
        <v>36.376199999999997</v>
      </c>
      <c r="L977" s="10">
        <f>CHOOSE(CONTROL!$C$42, 38.1087, 38.1087) * CHOOSE(CONTROL!$C$21, $C$9, 100%, $E$9)</f>
        <v>38.108699999999999</v>
      </c>
      <c r="M977" s="10">
        <f>CHOOSE(CONTROL!$C$42, 36.9111, 36.9111) * CHOOSE(CONTROL!$C$21, $C$9, 100%, $E$9)</f>
        <v>36.911099999999998</v>
      </c>
      <c r="N977" s="10">
        <f>CHOOSE(CONTROL!$C$42, 36.9274, 36.9274) * CHOOSE(CONTROL!$C$21, $C$9, 100%, $E$9)</f>
        <v>36.927399999999999</v>
      </c>
      <c r="O977" s="10">
        <f>CHOOSE(CONTROL!$C$42, 37.1569, 37.1569) * CHOOSE(CONTROL!$C$21, $C$9, 100%, $E$9)</f>
        <v>37.1569</v>
      </c>
      <c r="P977" s="10">
        <f>CHOOSE(CONTROL!$C$42, 36.939, 36.939) * CHOOSE(CONTROL!$C$21, $C$9, 100%, $E$9)</f>
        <v>36.939</v>
      </c>
      <c r="Q977" s="10">
        <f>CHOOSE(CONTROL!$C$42, 37.7522, 37.7522) * CHOOSE(CONTROL!$C$21, $C$9, 100%, $E$9)</f>
        <v>37.752200000000002</v>
      </c>
      <c r="R977" s="10">
        <f>CHOOSE(CONTROL!$C$42, 38.4335, 38.4335) * CHOOSE(CONTROL!$C$21, $C$9, 100%, $E$9)</f>
        <v>38.433500000000002</v>
      </c>
      <c r="S977" s="10">
        <f>CHOOSE(CONTROL!$C$42, 36.2343, 36.2343) * CHOOSE(CONTROL!$C$21, $C$9, 100%, $E$9)</f>
        <v>36.234299999999998</v>
      </c>
      <c r="T9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38">
        <f>(1000*CHOOSE(CONTROL!$C$42, 695, 695)*CHOOSE(CONTROL!$C$42, 0.5599, 0.5599)*CHOOSE(CONTROL!$C$42, 31, 31))/1000000</f>
        <v>12.063045499999998</v>
      </c>
      <c r="V977" s="38">
        <f>(1000*CHOOSE(CONTROL!$C$42, 500, 500)*CHOOSE(CONTROL!$C$42, 0.275, 0.275)*CHOOSE(CONTROL!$C$42, 31, 31))/1000000</f>
        <v>4.2625000000000002</v>
      </c>
      <c r="W977" s="38">
        <f>(1000*CHOOSE(CONTROL!$C$42, 0.1146, 0.1146)*CHOOSE(CONTROL!$C$42, 121.5, 121.5)*CHOOSE(CONTROL!$C$42, 31, 31))/1000000</f>
        <v>0.43164089999999994</v>
      </c>
      <c r="X977" s="38">
        <f>(31*0.1790888*245000/1000000)+(31*0.2374*100000/1000000)</f>
        <v>2.0961194359999999</v>
      </c>
      <c r="Y977" s="38">
        <f>(1000*600*CHOOSE(CONTROL!$C$42, 1.0585, 1.0585)*CHOOSE(CONTROL!$C$42, 31, 31))/1000000</f>
        <v>19.688099999999999</v>
      </c>
      <c r="Z977" s="38"/>
      <c r="AA977" s="10"/>
      <c r="AB977" s="39"/>
      <c r="AC977" s="33">
        <f>(B977*194.205+C977*267.466+D977*133.845+E977*53.484+F977*40+G977*185+H977*0+I977*100+J977*300)/(194.205+267.466+133.845+53.484+0+40+185+100+300)</f>
        <v>37.331612491601263</v>
      </c>
      <c r="AD977" s="27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37.027458273381299</v>
      </c>
    </row>
    <row r="978" spans="1:30" ht="15.75" x14ac:dyDescent="0.25">
      <c r="A978" s="13">
        <v>71040</v>
      </c>
      <c r="B978" s="10">
        <f>CHOOSE(CONTROL!$C$42, 38.3754, 38.3754) * CHOOSE(CONTROL!$C$21, $C$9, 100%, $E$9)</f>
        <v>38.375399999999999</v>
      </c>
      <c r="C978" s="10">
        <f>CHOOSE(CONTROL!$C$42, 38.3833, 38.3833) * CHOOSE(CONTROL!$C$21, $C$9, 100%, $E$9)</f>
        <v>38.383299999999998</v>
      </c>
      <c r="D978" s="10">
        <f>CHOOSE(CONTROL!$C$42, 38.5603, 38.5603) * CHOOSE(CONTROL!$C$21, $C$9, 100%, $E$9)</f>
        <v>38.560299999999998</v>
      </c>
      <c r="E978" s="10">
        <f>CHOOSE(CONTROL!$C$42, 38.5915, 38.5915) * CHOOSE(CONTROL!$C$21, $C$9, 100%, $E$9)</f>
        <v>38.591500000000003</v>
      </c>
      <c r="F978" s="10">
        <f>CHOOSE(CONTROL!$C$42, 38.3389, 38.3389)*CHOOSE(CONTROL!$C$21, $C$9, 100%, $E$9)</f>
        <v>38.338900000000002</v>
      </c>
      <c r="G978" s="10">
        <f>CHOOSE(CONTROL!$C$42, 38.3555, 38.3555)*CHOOSE(CONTROL!$C$21, $C$9, 100%, $E$9)</f>
        <v>38.355499999999999</v>
      </c>
      <c r="H978" s="10">
        <f>CHOOSE(CONTROL!$C$42, 38.5801, 38.5801) * CHOOSE(CONTROL!$C$21, $C$9, 100%, $E$9)</f>
        <v>38.580100000000002</v>
      </c>
      <c r="I978" s="10">
        <f>CHOOSE(CONTROL!$C$42, 38.36, 38.36)* CHOOSE(CONTROL!$C$21, $C$9, 100%, $E$9)</f>
        <v>38.36</v>
      </c>
      <c r="J978" s="10">
        <f>CHOOSE(CONTROL!$C$42, 38.3319, 38.3319)* CHOOSE(CONTROL!$C$21, $C$9, 100%, $E$9)</f>
        <v>38.331899999999997</v>
      </c>
      <c r="K978" s="10">
        <f>CHOOSE(CONTROL!$C$42, 37.4049, 37.4049) * CHOOSE(CONTROL!$C$21, $C$9, 100%, $E$9)</f>
        <v>37.404899999999998</v>
      </c>
      <c r="L978" s="10">
        <f>CHOOSE(CONTROL!$C$42, 39.1671, 39.1671) * CHOOSE(CONTROL!$C$21, $C$9, 100%, $E$9)</f>
        <v>39.167099999999998</v>
      </c>
      <c r="M978" s="10">
        <f>CHOOSE(CONTROL!$C$42, 37.9589, 37.9589) * CHOOSE(CONTROL!$C$21, $C$9, 100%, $E$9)</f>
        <v>37.9589</v>
      </c>
      <c r="N978" s="10">
        <f>CHOOSE(CONTROL!$C$42, 37.9753, 37.9753) * CHOOSE(CONTROL!$C$21, $C$9, 100%, $E$9)</f>
        <v>37.975299999999997</v>
      </c>
      <c r="O978" s="10">
        <f>CHOOSE(CONTROL!$C$42, 38.2046, 38.2046) * CHOOSE(CONTROL!$C$21, $C$9, 100%, $E$9)</f>
        <v>38.204599999999999</v>
      </c>
      <c r="P978" s="10">
        <f>CHOOSE(CONTROL!$C$42, 37.9868, 37.9868) * CHOOSE(CONTROL!$C$21, $C$9, 100%, $E$9)</f>
        <v>37.986800000000002</v>
      </c>
      <c r="Q978" s="10">
        <f>CHOOSE(CONTROL!$C$42, 38.7999, 38.7999) * CHOOSE(CONTROL!$C$21, $C$9, 100%, $E$9)</f>
        <v>38.799900000000001</v>
      </c>
      <c r="R978" s="10">
        <f>CHOOSE(CONTROL!$C$42, 39.4839, 39.4839) * CHOOSE(CONTROL!$C$21, $C$9, 100%, $E$9)</f>
        <v>39.483899999999998</v>
      </c>
      <c r="S978" s="10">
        <f>CHOOSE(CONTROL!$C$42, 37.2621, 37.2621) * CHOOSE(CONTROL!$C$21, $C$9, 100%, $E$9)</f>
        <v>37.262099999999997</v>
      </c>
      <c r="T9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38">
        <f>(1000*CHOOSE(CONTROL!$C$42, 695, 695)*CHOOSE(CONTROL!$C$42, 0.5599, 0.5599)*CHOOSE(CONTROL!$C$42, 30, 30))/1000000</f>
        <v>11.673914999999997</v>
      </c>
      <c r="V978" s="38">
        <f>(1000*CHOOSE(CONTROL!$C$42, 500, 500)*CHOOSE(CONTROL!$C$42, 0.275, 0.275)*CHOOSE(CONTROL!$C$42, 30, 30))/1000000</f>
        <v>4.125</v>
      </c>
      <c r="W978" s="38">
        <f>(1000*CHOOSE(CONTROL!$C$42, 0.1146, 0.1146)*CHOOSE(CONTROL!$C$42, 121.5, 121.5)*CHOOSE(CONTROL!$C$42, 30, 30))/1000000</f>
        <v>0.417717</v>
      </c>
      <c r="X978" s="38">
        <f>(30*0.1790888*245000/1000000)+(30*0.2374*100000/1000000)</f>
        <v>2.0285026799999999</v>
      </c>
      <c r="Y978" s="38">
        <f>(1000*600*CHOOSE(CONTROL!$C$42, 1.0585, 1.0585)*CHOOSE(CONTROL!$C$42, 30, 30))/1000000</f>
        <v>19.053000000000001</v>
      </c>
      <c r="Z978" s="38"/>
      <c r="AA978" s="10"/>
      <c r="AB978" s="39"/>
      <c r="AC978" s="33">
        <f>(B978*194.205+C978*267.466+D978*133.845+E978*53.484+F978*40+G978*185+H978*0+I978*100+J978*300)/(194.205+267.466+133.845+53.484+0+40+185+100+300)</f>
        <v>38.390068221585558</v>
      </c>
      <c r="AD978" s="27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38.075218705035972</v>
      </c>
    </row>
    <row r="979" spans="1:30" ht="15.75" x14ac:dyDescent="0.25">
      <c r="A979" s="13">
        <v>71071</v>
      </c>
      <c r="B979" s="10">
        <f>CHOOSE(CONTROL!$C$42, 37.6393, 37.6393) * CHOOSE(CONTROL!$C$21, $C$9, 100%, $E$9)</f>
        <v>37.639299999999999</v>
      </c>
      <c r="C979" s="10">
        <f>CHOOSE(CONTROL!$C$42, 37.6472, 37.6472) * CHOOSE(CONTROL!$C$21, $C$9, 100%, $E$9)</f>
        <v>37.647199999999998</v>
      </c>
      <c r="D979" s="10">
        <f>CHOOSE(CONTROL!$C$42, 37.8242, 37.8242) * CHOOSE(CONTROL!$C$21, $C$9, 100%, $E$9)</f>
        <v>37.824199999999998</v>
      </c>
      <c r="E979" s="10">
        <f>CHOOSE(CONTROL!$C$42, 37.8553, 37.8553) * CHOOSE(CONTROL!$C$21, $C$9, 100%, $E$9)</f>
        <v>37.8553</v>
      </c>
      <c r="F979" s="10">
        <f>CHOOSE(CONTROL!$C$42, 37.6031, 37.6031)*CHOOSE(CONTROL!$C$21, $C$9, 100%, $E$9)</f>
        <v>37.603099999999998</v>
      </c>
      <c r="G979" s="10">
        <f>CHOOSE(CONTROL!$C$42, 37.6197, 37.6197)*CHOOSE(CONTROL!$C$21, $C$9, 100%, $E$9)</f>
        <v>37.619700000000002</v>
      </c>
      <c r="H979" s="10">
        <f>CHOOSE(CONTROL!$C$42, 37.844, 37.844) * CHOOSE(CONTROL!$C$21, $C$9, 100%, $E$9)</f>
        <v>37.844000000000001</v>
      </c>
      <c r="I979" s="10">
        <f>CHOOSE(CONTROL!$C$42, 37.6239, 37.6239)* CHOOSE(CONTROL!$C$21, $C$9, 100%, $E$9)</f>
        <v>37.623899999999999</v>
      </c>
      <c r="J979" s="10">
        <f>CHOOSE(CONTROL!$C$42, 37.5961, 37.5961)* CHOOSE(CONTROL!$C$21, $C$9, 100%, $E$9)</f>
        <v>37.5961</v>
      </c>
      <c r="K979" s="10">
        <f>CHOOSE(CONTROL!$C$42, 36.6902, 36.6902) * CHOOSE(CONTROL!$C$21, $C$9, 100%, $E$9)</f>
        <v>36.690199999999997</v>
      </c>
      <c r="L979" s="10">
        <f>CHOOSE(CONTROL!$C$42, 38.431, 38.431) * CHOOSE(CONTROL!$C$21, $C$9, 100%, $E$9)</f>
        <v>38.430999999999997</v>
      </c>
      <c r="M979" s="10">
        <f>CHOOSE(CONTROL!$C$42, 37.2305, 37.2305) * CHOOSE(CONTROL!$C$21, $C$9, 100%, $E$9)</f>
        <v>37.230499999999999</v>
      </c>
      <c r="N979" s="10">
        <f>CHOOSE(CONTROL!$C$42, 37.2469, 37.2469) * CHOOSE(CONTROL!$C$21, $C$9, 100%, $E$9)</f>
        <v>37.246899999999997</v>
      </c>
      <c r="O979" s="10">
        <f>CHOOSE(CONTROL!$C$42, 37.4759, 37.4759) * CHOOSE(CONTROL!$C$21, $C$9, 100%, $E$9)</f>
        <v>37.475900000000003</v>
      </c>
      <c r="P979" s="10">
        <f>CHOOSE(CONTROL!$C$42, 37.2581, 37.2581) * CHOOSE(CONTROL!$C$21, $C$9, 100%, $E$9)</f>
        <v>37.258099999999999</v>
      </c>
      <c r="Q979" s="10">
        <f>CHOOSE(CONTROL!$C$42, 38.0712, 38.0712) * CHOOSE(CONTROL!$C$21, $C$9, 100%, $E$9)</f>
        <v>38.071199999999997</v>
      </c>
      <c r="R979" s="10">
        <f>CHOOSE(CONTROL!$C$42, 38.7534, 38.7534) * CHOOSE(CONTROL!$C$21, $C$9, 100%, $E$9)</f>
        <v>38.753399999999999</v>
      </c>
      <c r="S979" s="10">
        <f>CHOOSE(CONTROL!$C$42, 36.5473, 36.5473) * CHOOSE(CONTROL!$C$21, $C$9, 100%, $E$9)</f>
        <v>36.5473</v>
      </c>
      <c r="T9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38">
        <f>(1000*CHOOSE(CONTROL!$C$42, 695, 695)*CHOOSE(CONTROL!$C$42, 0.5599, 0.5599)*CHOOSE(CONTROL!$C$42, 31, 31))/1000000</f>
        <v>12.063045499999998</v>
      </c>
      <c r="V979" s="38">
        <f>(1000*CHOOSE(CONTROL!$C$42, 500, 500)*CHOOSE(CONTROL!$C$42, 0.275, 0.275)*CHOOSE(CONTROL!$C$42, 31, 31))/1000000</f>
        <v>4.2625000000000002</v>
      </c>
      <c r="W979" s="38">
        <f>(1000*CHOOSE(CONTROL!$C$42, 0.1146, 0.1146)*CHOOSE(CONTROL!$C$42, 121.5, 121.5)*CHOOSE(CONTROL!$C$42, 31, 31))/1000000</f>
        <v>0.43164089999999994</v>
      </c>
      <c r="X979" s="38">
        <f>(31*0.1790888*245000/1000000)+(31*0.2374*100000/1000000)</f>
        <v>2.0961194359999999</v>
      </c>
      <c r="Y979" s="38">
        <f>(1000*600*CHOOSE(CONTROL!$C$42, 1.0585, 1.0585)*CHOOSE(CONTROL!$C$42, 31, 31))/1000000</f>
        <v>19.688099999999999</v>
      </c>
      <c r="Z979" s="38"/>
      <c r="AA979" s="10"/>
      <c r="AB979" s="39"/>
      <c r="AC979" s="33">
        <f>(B979*194.205+C979*267.466+D979*133.845+E979*53.484+F979*40+G979*185+H979*0+I979*100+J979*300)/(194.205+267.466+133.845+53.484+0+40+185+100+300)</f>
        <v>37.654087649843014</v>
      </c>
      <c r="AD979" s="27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37.346639568345324</v>
      </c>
    </row>
    <row r="980" spans="1:30" ht="15.75" x14ac:dyDescent="0.25">
      <c r="A980" s="13">
        <v>71102</v>
      </c>
      <c r="B980" s="10">
        <f>CHOOSE(CONTROL!$C$42, 35.7804, 35.7804) * CHOOSE(CONTROL!$C$21, $C$9, 100%, $E$9)</f>
        <v>35.7804</v>
      </c>
      <c r="C980" s="10">
        <f>CHOOSE(CONTROL!$C$42, 35.7883, 35.7883) * CHOOSE(CONTROL!$C$21, $C$9, 100%, $E$9)</f>
        <v>35.7883</v>
      </c>
      <c r="D980" s="10">
        <f>CHOOSE(CONTROL!$C$42, 35.9653, 35.9653) * CHOOSE(CONTROL!$C$21, $C$9, 100%, $E$9)</f>
        <v>35.965299999999999</v>
      </c>
      <c r="E980" s="10">
        <f>CHOOSE(CONTROL!$C$42, 35.9964, 35.9964) * CHOOSE(CONTROL!$C$21, $C$9, 100%, $E$9)</f>
        <v>35.996400000000001</v>
      </c>
      <c r="F980" s="10">
        <f>CHOOSE(CONTROL!$C$42, 35.7442, 35.7442)*CHOOSE(CONTROL!$C$21, $C$9, 100%, $E$9)</f>
        <v>35.744199999999999</v>
      </c>
      <c r="G980" s="10">
        <f>CHOOSE(CONTROL!$C$42, 35.7608, 35.7608)*CHOOSE(CONTROL!$C$21, $C$9, 100%, $E$9)</f>
        <v>35.760800000000003</v>
      </c>
      <c r="H980" s="10">
        <f>CHOOSE(CONTROL!$C$42, 35.985, 35.985) * CHOOSE(CONTROL!$C$21, $C$9, 100%, $E$9)</f>
        <v>35.984999999999999</v>
      </c>
      <c r="I980" s="10">
        <f>CHOOSE(CONTROL!$C$42, 35.765, 35.765)* CHOOSE(CONTROL!$C$21, $C$9, 100%, $E$9)</f>
        <v>35.765000000000001</v>
      </c>
      <c r="J980" s="10">
        <f>CHOOSE(CONTROL!$C$42, 35.7372, 35.7372)* CHOOSE(CONTROL!$C$21, $C$9, 100%, $E$9)</f>
        <v>35.737200000000001</v>
      </c>
      <c r="K980" s="10">
        <f>CHOOSE(CONTROL!$C$42, 34.8842, 34.8842) * CHOOSE(CONTROL!$C$21, $C$9, 100%, $E$9)</f>
        <v>34.8842</v>
      </c>
      <c r="L980" s="10">
        <f>CHOOSE(CONTROL!$C$42, 36.572, 36.572) * CHOOSE(CONTROL!$C$21, $C$9, 100%, $E$9)</f>
        <v>36.572000000000003</v>
      </c>
      <c r="M980" s="10">
        <f>CHOOSE(CONTROL!$C$42, 35.3904, 35.3904) * CHOOSE(CONTROL!$C$21, $C$9, 100%, $E$9)</f>
        <v>35.3904</v>
      </c>
      <c r="N980" s="10">
        <f>CHOOSE(CONTROL!$C$42, 35.4068, 35.4068) * CHOOSE(CONTROL!$C$21, $C$9, 100%, $E$9)</f>
        <v>35.406799999999997</v>
      </c>
      <c r="O980" s="10">
        <f>CHOOSE(CONTROL!$C$42, 35.6357, 35.6357) * CHOOSE(CONTROL!$C$21, $C$9, 100%, $E$9)</f>
        <v>35.6357</v>
      </c>
      <c r="P980" s="10">
        <f>CHOOSE(CONTROL!$C$42, 35.4179, 35.4179) * CHOOSE(CONTROL!$C$21, $C$9, 100%, $E$9)</f>
        <v>35.417900000000003</v>
      </c>
      <c r="Q980" s="10">
        <f>CHOOSE(CONTROL!$C$42, 36.231, 36.231) * CHOOSE(CONTROL!$C$21, $C$9, 100%, $E$9)</f>
        <v>36.231000000000002</v>
      </c>
      <c r="R980" s="10">
        <f>CHOOSE(CONTROL!$C$42, 36.9086, 36.9086) * CHOOSE(CONTROL!$C$21, $C$9, 100%, $E$9)</f>
        <v>36.9086</v>
      </c>
      <c r="S980" s="10">
        <f>CHOOSE(CONTROL!$C$42, 34.7421, 34.7421) * CHOOSE(CONTROL!$C$21, $C$9, 100%, $E$9)</f>
        <v>34.742100000000001</v>
      </c>
      <c r="T9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38">
        <f>(1000*CHOOSE(CONTROL!$C$42, 695, 695)*CHOOSE(CONTROL!$C$42, 0.5599, 0.5599)*CHOOSE(CONTROL!$C$42, 31, 31))/1000000</f>
        <v>12.063045499999998</v>
      </c>
      <c r="V980" s="38">
        <f>(1000*CHOOSE(CONTROL!$C$42, 500, 500)*CHOOSE(CONTROL!$C$42, 0.275, 0.275)*CHOOSE(CONTROL!$C$42, 31, 31))/1000000</f>
        <v>4.2625000000000002</v>
      </c>
      <c r="W980" s="38">
        <f>(1000*CHOOSE(CONTROL!$C$42, 0.1146, 0.1146)*CHOOSE(CONTROL!$C$42, 121.5, 121.5)*CHOOSE(CONTROL!$C$42, 31, 31))/1000000</f>
        <v>0.43164089999999994</v>
      </c>
      <c r="X980" s="38">
        <f>(31*0.1790888*245000/1000000)+(31*0.2374*100000/1000000)</f>
        <v>2.0961194359999999</v>
      </c>
      <c r="Y980" s="38">
        <f>(1000*600*CHOOSE(CONTROL!$C$42, 1.0585, 1.0585)*CHOOSE(CONTROL!$C$42, 31, 31))/1000000</f>
        <v>19.688099999999999</v>
      </c>
      <c r="Z980" s="38"/>
      <c r="AA980" s="10"/>
      <c r="AB980" s="39"/>
      <c r="AC980" s="33">
        <f>(B980*194.205+C980*267.466+D980*133.845+E980*53.484+F980*40+G980*185+H980*0+I980*100+J980*300)/(194.205+267.466+133.845+53.484+0+40+185+100+300)</f>
        <v>35.795187649843008</v>
      </c>
      <c r="AD980" s="27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35.506479856115106</v>
      </c>
    </row>
    <row r="981" spans="1:30" ht="15.75" x14ac:dyDescent="0.25">
      <c r="A981" s="13">
        <v>71132</v>
      </c>
      <c r="B981" s="10">
        <f>CHOOSE(CONTROL!$C$42, 33.5091, 33.5091) * CHOOSE(CONTROL!$C$21, $C$9, 100%, $E$9)</f>
        <v>33.509099999999997</v>
      </c>
      <c r="C981" s="10">
        <f>CHOOSE(CONTROL!$C$42, 33.517, 33.517) * CHOOSE(CONTROL!$C$21, $C$9, 100%, $E$9)</f>
        <v>33.517000000000003</v>
      </c>
      <c r="D981" s="10">
        <f>CHOOSE(CONTROL!$C$42, 33.694, 33.694) * CHOOSE(CONTROL!$C$21, $C$9, 100%, $E$9)</f>
        <v>33.694000000000003</v>
      </c>
      <c r="E981" s="10">
        <f>CHOOSE(CONTROL!$C$42, 33.7251, 33.7251) * CHOOSE(CONTROL!$C$21, $C$9, 100%, $E$9)</f>
        <v>33.725099999999998</v>
      </c>
      <c r="F981" s="10">
        <f>CHOOSE(CONTROL!$C$42, 33.4727, 33.4727)*CHOOSE(CONTROL!$C$21, $C$9, 100%, $E$9)</f>
        <v>33.472700000000003</v>
      </c>
      <c r="G981" s="10">
        <f>CHOOSE(CONTROL!$C$42, 33.4892, 33.4892)*CHOOSE(CONTROL!$C$21, $C$9, 100%, $E$9)</f>
        <v>33.489199999999997</v>
      </c>
      <c r="H981" s="10">
        <f>CHOOSE(CONTROL!$C$42, 33.7138, 33.7138) * CHOOSE(CONTROL!$C$21, $C$9, 100%, $E$9)</f>
        <v>33.713799999999999</v>
      </c>
      <c r="I981" s="10">
        <f>CHOOSE(CONTROL!$C$42, 33.4937, 33.4937)* CHOOSE(CONTROL!$C$21, $C$9, 100%, $E$9)</f>
        <v>33.493699999999997</v>
      </c>
      <c r="J981" s="10">
        <f>CHOOSE(CONTROL!$C$42, 33.4657, 33.4657)* CHOOSE(CONTROL!$C$21, $C$9, 100%, $E$9)</f>
        <v>33.465699999999998</v>
      </c>
      <c r="K981" s="10">
        <f>CHOOSE(CONTROL!$C$42, 32.6769, 32.6769) * CHOOSE(CONTROL!$C$21, $C$9, 100%, $E$9)</f>
        <v>32.676900000000003</v>
      </c>
      <c r="L981" s="10">
        <f>CHOOSE(CONTROL!$C$42, 34.3008, 34.3008) * CHOOSE(CONTROL!$C$21, $C$9, 100%, $E$9)</f>
        <v>34.300800000000002</v>
      </c>
      <c r="M981" s="10">
        <f>CHOOSE(CONTROL!$C$42, 33.1418, 33.1418) * CHOOSE(CONTROL!$C$21, $C$9, 100%, $E$9)</f>
        <v>33.141800000000003</v>
      </c>
      <c r="N981" s="10">
        <f>CHOOSE(CONTROL!$C$42, 33.1582, 33.1582) * CHOOSE(CONTROL!$C$21, $C$9, 100%, $E$9)</f>
        <v>33.158200000000001</v>
      </c>
      <c r="O981" s="10">
        <f>CHOOSE(CONTROL!$C$42, 33.3874, 33.3874) * CHOOSE(CONTROL!$C$21, $C$9, 100%, $E$9)</f>
        <v>33.3874</v>
      </c>
      <c r="P981" s="10">
        <f>CHOOSE(CONTROL!$C$42, 33.1695, 33.1695) * CHOOSE(CONTROL!$C$21, $C$9, 100%, $E$9)</f>
        <v>33.169499999999999</v>
      </c>
      <c r="Q981" s="10">
        <f>CHOOSE(CONTROL!$C$42, 33.9827, 33.9827) * CHOOSE(CONTROL!$C$21, $C$9, 100%, $E$9)</f>
        <v>33.982700000000001</v>
      </c>
      <c r="R981" s="10">
        <f>CHOOSE(CONTROL!$C$42, 34.6546, 34.6546) * CHOOSE(CONTROL!$C$21, $C$9, 100%, $E$9)</f>
        <v>34.654600000000002</v>
      </c>
      <c r="S981" s="10">
        <f>CHOOSE(CONTROL!$C$42, 32.5364, 32.5364) * CHOOSE(CONTROL!$C$21, $C$9, 100%, $E$9)</f>
        <v>32.5364</v>
      </c>
      <c r="T9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38">
        <f>(1000*CHOOSE(CONTROL!$C$42, 695, 695)*CHOOSE(CONTROL!$C$42, 0.5599, 0.5599)*CHOOSE(CONTROL!$C$42, 30, 30))/1000000</f>
        <v>11.673914999999997</v>
      </c>
      <c r="V981" s="38">
        <f>(1000*CHOOSE(CONTROL!$C$42, 500, 500)*CHOOSE(CONTROL!$C$42, 0.275, 0.275)*CHOOSE(CONTROL!$C$42, 30, 30))/1000000</f>
        <v>4.125</v>
      </c>
      <c r="W981" s="38">
        <f>(1000*CHOOSE(CONTROL!$C$42, 0.1146, 0.1146)*CHOOSE(CONTROL!$C$42, 121.5, 121.5)*CHOOSE(CONTROL!$C$42, 30, 30))/1000000</f>
        <v>0.417717</v>
      </c>
      <c r="X981" s="38">
        <f>(30*0.1790888*245000/1000000)+(30*0.2374*100000/1000000)</f>
        <v>2.0285026799999999</v>
      </c>
      <c r="Y981" s="38">
        <f>(1000*600*CHOOSE(CONTROL!$C$42, 1.0585, 1.0585)*CHOOSE(CONTROL!$C$42, 30, 30))/1000000</f>
        <v>19.053000000000001</v>
      </c>
      <c r="Z981" s="38"/>
      <c r="AA981" s="10"/>
      <c r="AB981" s="39"/>
      <c r="AC981" s="33">
        <f>(B981*194.205+C981*267.466+D981*133.845+E981*53.484+F981*40+G981*185+H981*0+I981*100+J981*300)/(194.205+267.466+133.845+53.484+0+40+185+100+300)</f>
        <v>33.523790711067505</v>
      </c>
      <c r="AD981" s="27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33.258044604316545</v>
      </c>
    </row>
    <row r="982" spans="1:30" ht="15.75" x14ac:dyDescent="0.25">
      <c r="A982" s="13">
        <v>71163</v>
      </c>
      <c r="B982" s="10">
        <f>CHOOSE(CONTROL!$C$42, 32.8267, 32.8267) * CHOOSE(CONTROL!$C$21, $C$9, 100%, $E$9)</f>
        <v>32.826700000000002</v>
      </c>
      <c r="C982" s="10">
        <f>CHOOSE(CONTROL!$C$42, 32.8319, 32.8319) * CHOOSE(CONTROL!$C$21, $C$9, 100%, $E$9)</f>
        <v>32.831899999999997</v>
      </c>
      <c r="D982" s="10">
        <f>CHOOSE(CONTROL!$C$42, 33.0139, 33.0139) * CHOOSE(CONTROL!$C$21, $C$9, 100%, $E$9)</f>
        <v>33.0139</v>
      </c>
      <c r="E982" s="10">
        <f>CHOOSE(CONTROL!$C$42, 33.0427, 33.0427) * CHOOSE(CONTROL!$C$21, $C$9, 100%, $E$9)</f>
        <v>33.042700000000004</v>
      </c>
      <c r="F982" s="10">
        <f>CHOOSE(CONTROL!$C$42, 32.7923, 32.7923)*CHOOSE(CONTROL!$C$21, $C$9, 100%, $E$9)</f>
        <v>32.792299999999997</v>
      </c>
      <c r="G982" s="10">
        <f>CHOOSE(CONTROL!$C$42, 32.8085, 32.8085)*CHOOSE(CONTROL!$C$21, $C$9, 100%, $E$9)</f>
        <v>32.808500000000002</v>
      </c>
      <c r="H982" s="10">
        <f>CHOOSE(CONTROL!$C$42, 33.0331, 33.0331) * CHOOSE(CONTROL!$C$21, $C$9, 100%, $E$9)</f>
        <v>33.033099999999997</v>
      </c>
      <c r="I982" s="10">
        <f>CHOOSE(CONTROL!$C$42, 32.813, 32.813)* CHOOSE(CONTROL!$C$21, $C$9, 100%, $E$9)</f>
        <v>32.813000000000002</v>
      </c>
      <c r="J982" s="10">
        <f>CHOOSE(CONTROL!$C$42, 32.7853, 32.7853)* CHOOSE(CONTROL!$C$21, $C$9, 100%, $E$9)</f>
        <v>32.785299999999999</v>
      </c>
      <c r="K982" s="10">
        <f>CHOOSE(CONTROL!$C$42, 32.0162, 32.0162) * CHOOSE(CONTROL!$C$21, $C$9, 100%, $E$9)</f>
        <v>32.016199999999998</v>
      </c>
      <c r="L982" s="10">
        <f>CHOOSE(CONTROL!$C$42, 33.6201, 33.6201) * CHOOSE(CONTROL!$C$21, $C$9, 100%, $E$9)</f>
        <v>33.620100000000001</v>
      </c>
      <c r="M982" s="10">
        <f>CHOOSE(CONTROL!$C$42, 32.4683, 32.4683) * CHOOSE(CONTROL!$C$21, $C$9, 100%, $E$9)</f>
        <v>32.468299999999999</v>
      </c>
      <c r="N982" s="10">
        <f>CHOOSE(CONTROL!$C$42, 32.4843, 32.4843) * CHOOSE(CONTROL!$C$21, $C$9, 100%, $E$9)</f>
        <v>32.484299999999998</v>
      </c>
      <c r="O982" s="10">
        <f>CHOOSE(CONTROL!$C$42, 32.7136, 32.7136) * CHOOSE(CONTROL!$C$21, $C$9, 100%, $E$9)</f>
        <v>32.7136</v>
      </c>
      <c r="P982" s="10">
        <f>CHOOSE(CONTROL!$C$42, 32.4958, 32.4958) * CHOOSE(CONTROL!$C$21, $C$9, 100%, $E$9)</f>
        <v>32.495800000000003</v>
      </c>
      <c r="Q982" s="10">
        <f>CHOOSE(CONTROL!$C$42, 33.3089, 33.3089) * CHOOSE(CONTROL!$C$21, $C$9, 100%, $E$9)</f>
        <v>33.308900000000001</v>
      </c>
      <c r="R982" s="10">
        <f>CHOOSE(CONTROL!$C$42, 33.9792, 33.9792) * CHOOSE(CONTROL!$C$21, $C$9, 100%, $E$9)</f>
        <v>33.979199999999999</v>
      </c>
      <c r="S982" s="10">
        <f>CHOOSE(CONTROL!$C$42, 31.8755, 31.8755) * CHOOSE(CONTROL!$C$21, $C$9, 100%, $E$9)</f>
        <v>31.875499999999999</v>
      </c>
      <c r="T9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38">
        <f>(1000*CHOOSE(CONTROL!$C$42, 695, 695)*CHOOSE(CONTROL!$C$42, 0.5599, 0.5599)*CHOOSE(CONTROL!$C$42, 31, 31))/1000000</f>
        <v>12.063045499999998</v>
      </c>
      <c r="V982" s="38">
        <f>(1000*CHOOSE(CONTROL!$C$42, 500, 500)*CHOOSE(CONTROL!$C$42, 0.275, 0.275)*CHOOSE(CONTROL!$C$42, 31, 31))/1000000</f>
        <v>4.2625000000000002</v>
      </c>
      <c r="W982" s="38">
        <f>(1000*CHOOSE(CONTROL!$C$42, 0.1146, 0.1146)*CHOOSE(CONTROL!$C$42, 121.5, 121.5)*CHOOSE(CONTROL!$C$42, 31, 31))/1000000</f>
        <v>0.43164089999999994</v>
      </c>
      <c r="X982" s="38">
        <f>(31*0.1790888*245000/1000000)+(31*0.2374*100000/1000000)</f>
        <v>2.0961194359999999</v>
      </c>
      <c r="Y982" s="38">
        <f>(1000*600*CHOOSE(CONTROL!$C$42, 1.0585, 1.0585)*CHOOSE(CONTROL!$C$42, 31, 31))/1000000</f>
        <v>19.688099999999999</v>
      </c>
      <c r="Z982" s="38"/>
      <c r="AA982" s="10"/>
      <c r="AB982" s="39"/>
      <c r="AC982" s="33">
        <f>(B982*131.881+C982*277.167+D982*79.08+E982*125.872+F982*40+G982*185+H982*0+I982*100+J982*300)/(131.881+277.167+79.08+125.872+0+40+185+100+300)</f>
        <v>32.846797172235668</v>
      </c>
      <c r="AD982" s="27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32.584356834532372</v>
      </c>
    </row>
    <row r="983" spans="1:30" ht="15.75" x14ac:dyDescent="0.25">
      <c r="A983" s="13">
        <v>71193</v>
      </c>
      <c r="B983" s="10">
        <f>CHOOSE(CONTROL!$C$42, 33.691, 33.691) * CHOOSE(CONTROL!$C$21, $C$9, 100%, $E$9)</f>
        <v>33.691000000000003</v>
      </c>
      <c r="C983" s="10">
        <f>CHOOSE(CONTROL!$C$42, 33.6959, 33.6959) * CHOOSE(CONTROL!$C$21, $C$9, 100%, $E$9)</f>
        <v>33.695900000000002</v>
      </c>
      <c r="D983" s="10">
        <f>CHOOSE(CONTROL!$C$42, 33.7204, 33.7204) * CHOOSE(CONTROL!$C$21, $C$9, 100%, $E$9)</f>
        <v>33.720399999999998</v>
      </c>
      <c r="E983" s="10">
        <f>CHOOSE(CONTROL!$C$42, 33.7542, 33.7542) * CHOOSE(CONTROL!$C$21, $C$9, 100%, $E$9)</f>
        <v>33.754199999999997</v>
      </c>
      <c r="F983" s="10">
        <f>CHOOSE(CONTROL!$C$42, 33.6603, 33.6603)*CHOOSE(CONTROL!$C$21, $C$9, 100%, $E$9)</f>
        <v>33.660299999999999</v>
      </c>
      <c r="G983" s="10">
        <f>CHOOSE(CONTROL!$C$42, 33.6767, 33.6767)*CHOOSE(CONTROL!$C$21, $C$9, 100%, $E$9)</f>
        <v>33.676699999999997</v>
      </c>
      <c r="H983" s="10">
        <f>CHOOSE(CONTROL!$C$42, 33.7434, 33.7434) * CHOOSE(CONTROL!$C$21, $C$9, 100%, $E$9)</f>
        <v>33.743400000000001</v>
      </c>
      <c r="I983" s="10">
        <f>CHOOSE(CONTROL!$C$42, 33.6778, 33.6778)* CHOOSE(CONTROL!$C$21, $C$9, 100%, $E$9)</f>
        <v>33.677799999999998</v>
      </c>
      <c r="J983" s="10">
        <f>CHOOSE(CONTROL!$C$42, 33.6533, 33.6533)* CHOOSE(CONTROL!$C$21, $C$9, 100%, $E$9)</f>
        <v>33.653300000000002</v>
      </c>
      <c r="K983" s="10">
        <f>CHOOSE(CONTROL!$C$42, 32.8579, 32.8579) * CHOOSE(CONTROL!$C$21, $C$9, 100%, $E$9)</f>
        <v>32.857900000000001</v>
      </c>
      <c r="L983" s="10">
        <f>CHOOSE(CONTROL!$C$42, 34.3304, 34.3304) * CHOOSE(CONTROL!$C$21, $C$9, 100%, $E$9)</f>
        <v>34.330399999999997</v>
      </c>
      <c r="M983" s="10">
        <f>CHOOSE(CONTROL!$C$42, 33.3275, 33.3275) * CHOOSE(CONTROL!$C$21, $C$9, 100%, $E$9)</f>
        <v>33.327500000000001</v>
      </c>
      <c r="N983" s="10">
        <f>CHOOSE(CONTROL!$C$42, 33.3438, 33.3438) * CHOOSE(CONTROL!$C$21, $C$9, 100%, $E$9)</f>
        <v>33.343800000000002</v>
      </c>
      <c r="O983" s="10">
        <f>CHOOSE(CONTROL!$C$42, 33.4167, 33.4167) * CHOOSE(CONTROL!$C$21, $C$9, 100%, $E$9)</f>
        <v>33.416699999999999</v>
      </c>
      <c r="P983" s="10">
        <f>CHOOSE(CONTROL!$C$42, 33.3518, 33.3518) * CHOOSE(CONTROL!$C$21, $C$9, 100%, $E$9)</f>
        <v>33.351799999999997</v>
      </c>
      <c r="Q983" s="10">
        <f>CHOOSE(CONTROL!$C$42, 34.012, 34.012) * CHOOSE(CONTROL!$C$21, $C$9, 100%, $E$9)</f>
        <v>34.012</v>
      </c>
      <c r="R983" s="10">
        <f>CHOOSE(CONTROL!$C$42, 34.684, 34.684) * CHOOSE(CONTROL!$C$21, $C$9, 100%, $E$9)</f>
        <v>34.683999999999997</v>
      </c>
      <c r="S983" s="10">
        <f>CHOOSE(CONTROL!$C$42, 32.7152, 32.7152) * CHOOSE(CONTROL!$C$21, $C$9, 100%, $E$9)</f>
        <v>32.715200000000003</v>
      </c>
      <c r="T9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38">
        <f>(1000*CHOOSE(CONTROL!$C$42, 695, 695)*CHOOSE(CONTROL!$C$42, 0.5599, 0.5599)*CHOOSE(CONTROL!$C$42, 30, 30))/1000000</f>
        <v>11.673914999999997</v>
      </c>
      <c r="V983" s="38">
        <f>(1000*CHOOSE(CONTROL!$C$42, 500, 500)*CHOOSE(CONTROL!$C$42, 0.275, 0.275)*CHOOSE(CONTROL!$C$42, 30, 30))/1000000</f>
        <v>4.125</v>
      </c>
      <c r="W983" s="38">
        <f>(1000*CHOOSE(CONTROL!$C$42, 0.1146, 0.1146)*CHOOSE(CONTROL!$C$42, 121.5, 121.5)*CHOOSE(CONTROL!$C$42, 30, 30))/1000000</f>
        <v>0.417717</v>
      </c>
      <c r="X983" s="38">
        <f>(30*0.1790888*100000/1000000)+(30*0.2374*100000/1000000)</f>
        <v>1.2494664</v>
      </c>
      <c r="Y983" s="38">
        <f>(1000*600*CHOOSE(CONTROL!$C$42, 1.0585, 1.0585)*CHOOSE(CONTROL!$C$42, 30, 30))/1000000</f>
        <v>19.053000000000001</v>
      </c>
      <c r="Z983" s="38"/>
      <c r="AA983" s="10"/>
      <c r="AB983" s="39"/>
      <c r="AC983" s="33">
        <f>(B983*122.58+C983*297.941+D983*89.177+E983*40.302+F983*40+G983*160+H983*0+I983*100+J983*300)/(122.58+297.941+89.177+40.302+0+40+160+100+300)</f>
        <v>33.682724174869563</v>
      </c>
      <c r="AD983" s="27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33.372363309352522</v>
      </c>
    </row>
    <row r="984" spans="1:30" ht="15.75" x14ac:dyDescent="0.25">
      <c r="A984" s="13">
        <v>71224</v>
      </c>
      <c r="B984" s="10">
        <f>CHOOSE(CONTROL!$C$42, 35.9878, 35.9878) * CHOOSE(CONTROL!$C$21, $C$9, 100%, $E$9)</f>
        <v>35.9878</v>
      </c>
      <c r="C984" s="10">
        <f>CHOOSE(CONTROL!$C$42, 35.9928, 35.9928) * CHOOSE(CONTROL!$C$21, $C$9, 100%, $E$9)</f>
        <v>35.992800000000003</v>
      </c>
      <c r="D984" s="10">
        <f>CHOOSE(CONTROL!$C$42, 36.0172, 36.0172) * CHOOSE(CONTROL!$C$21, $C$9, 100%, $E$9)</f>
        <v>36.017200000000003</v>
      </c>
      <c r="E984" s="10">
        <f>CHOOSE(CONTROL!$C$42, 36.051, 36.051) * CHOOSE(CONTROL!$C$21, $C$9, 100%, $E$9)</f>
        <v>36.051000000000002</v>
      </c>
      <c r="F984" s="10">
        <f>CHOOSE(CONTROL!$C$42, 35.9595, 35.9595)*CHOOSE(CONTROL!$C$21, $C$9, 100%, $E$9)</f>
        <v>35.959499999999998</v>
      </c>
      <c r="G984" s="10">
        <f>CHOOSE(CONTROL!$C$42, 35.9765, 35.9765)*CHOOSE(CONTROL!$C$21, $C$9, 100%, $E$9)</f>
        <v>35.976500000000001</v>
      </c>
      <c r="H984" s="10">
        <f>CHOOSE(CONTROL!$C$42, 36.0402, 36.0402) * CHOOSE(CONTROL!$C$21, $C$9, 100%, $E$9)</f>
        <v>36.040199999999999</v>
      </c>
      <c r="I984" s="10">
        <f>CHOOSE(CONTROL!$C$42, 35.9746, 35.9746)* CHOOSE(CONTROL!$C$21, $C$9, 100%, $E$9)</f>
        <v>35.974600000000002</v>
      </c>
      <c r="J984" s="10">
        <f>CHOOSE(CONTROL!$C$42, 35.9525, 35.9525)* CHOOSE(CONTROL!$C$21, $C$9, 100%, $E$9)</f>
        <v>35.952500000000001</v>
      </c>
      <c r="K984" s="10">
        <f>CHOOSE(CONTROL!$C$42, 35.0944, 35.0944) * CHOOSE(CONTROL!$C$21, $C$9, 100%, $E$9)</f>
        <v>35.0944</v>
      </c>
      <c r="L984" s="10">
        <f>CHOOSE(CONTROL!$C$42, 36.6272, 36.6272) * CHOOSE(CONTROL!$C$21, $C$9, 100%, $E$9)</f>
        <v>36.627200000000002</v>
      </c>
      <c r="M984" s="10">
        <f>CHOOSE(CONTROL!$C$42, 35.6035, 35.6035) * CHOOSE(CONTROL!$C$21, $C$9, 100%, $E$9)</f>
        <v>35.603499999999997</v>
      </c>
      <c r="N984" s="10">
        <f>CHOOSE(CONTROL!$C$42, 35.6203, 35.6203) * CHOOSE(CONTROL!$C$21, $C$9, 100%, $E$9)</f>
        <v>35.6203</v>
      </c>
      <c r="O984" s="10">
        <f>CHOOSE(CONTROL!$C$42, 35.6903, 35.6903) * CHOOSE(CONTROL!$C$21, $C$9, 100%, $E$9)</f>
        <v>35.690300000000001</v>
      </c>
      <c r="P984" s="10">
        <f>CHOOSE(CONTROL!$C$42, 35.6254, 35.6254) * CHOOSE(CONTROL!$C$21, $C$9, 100%, $E$9)</f>
        <v>35.625399999999999</v>
      </c>
      <c r="Q984" s="10">
        <f>CHOOSE(CONTROL!$C$42, 36.2856, 36.2856) * CHOOSE(CONTROL!$C$21, $C$9, 100%, $E$9)</f>
        <v>36.285600000000002</v>
      </c>
      <c r="R984" s="10">
        <f>CHOOSE(CONTROL!$C$42, 36.9633, 36.9633) * CHOOSE(CONTROL!$C$21, $C$9, 100%, $E$9)</f>
        <v>36.963299999999997</v>
      </c>
      <c r="S984" s="10">
        <f>CHOOSE(CONTROL!$C$42, 34.9456, 34.9456) * CHOOSE(CONTROL!$C$21, $C$9, 100%, $E$9)</f>
        <v>34.945599999999999</v>
      </c>
      <c r="T9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38">
        <f>(1000*CHOOSE(CONTROL!$C$42, 695, 695)*CHOOSE(CONTROL!$C$42, 0.5599, 0.5599)*CHOOSE(CONTROL!$C$42, 31, 31))/1000000</f>
        <v>12.063045499999998</v>
      </c>
      <c r="V984" s="38">
        <f>(1000*CHOOSE(CONTROL!$C$42, 500, 500)*CHOOSE(CONTROL!$C$42, 0.275, 0.275)*CHOOSE(CONTROL!$C$42, 31, 31))/1000000</f>
        <v>4.2625000000000002</v>
      </c>
      <c r="W984" s="38">
        <f>(1000*CHOOSE(CONTROL!$C$42, 0.1146, 0.1146)*CHOOSE(CONTROL!$C$42, 121.5, 121.5)*CHOOSE(CONTROL!$C$42, 31, 31))/1000000</f>
        <v>0.43164089999999994</v>
      </c>
      <c r="X984" s="38">
        <f>(31*0.1790888*100000/1000000)+(31*0.2374*100000/1000000)</f>
        <v>1.2911152800000001</v>
      </c>
      <c r="Y984" s="38">
        <f>(1000*600*CHOOSE(CONTROL!$C$42, 1.0585, 1.0585)*CHOOSE(CONTROL!$C$42, 31, 31))/1000000</f>
        <v>19.688099999999999</v>
      </c>
      <c r="Z984" s="38"/>
      <c r="AA984" s="10"/>
      <c r="AB984" s="39"/>
      <c r="AC984" s="33">
        <f>(B984*122.58+C984*297.941+D984*89.177+E984*40.302+F984*40+G984*160+H984*0+I984*100+J984*300)/(122.58+297.941+89.177+40.302+0+40+160+100+300)</f>
        <v>35.980677039304346</v>
      </c>
      <c r="AD984" s="27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35.646958992805757</v>
      </c>
    </row>
    <row r="985" spans="1:30" ht="15.75" x14ac:dyDescent="0.25">
      <c r="A985" s="13">
        <v>71255</v>
      </c>
      <c r="B985" s="10">
        <f>CHOOSE(CONTROL!$C$42, 38.4166, 38.4166) * CHOOSE(CONTROL!$C$21, $C$9, 100%, $E$9)</f>
        <v>38.416600000000003</v>
      </c>
      <c r="C985" s="10">
        <f>CHOOSE(CONTROL!$C$42, 38.4216, 38.4216) * CHOOSE(CONTROL!$C$21, $C$9, 100%, $E$9)</f>
        <v>38.421599999999998</v>
      </c>
      <c r="D985" s="10">
        <f>CHOOSE(CONTROL!$C$42, 38.446, 38.446) * CHOOSE(CONTROL!$C$21, $C$9, 100%, $E$9)</f>
        <v>38.445999999999998</v>
      </c>
      <c r="E985" s="10">
        <f>CHOOSE(CONTROL!$C$42, 38.4798, 38.4798) * CHOOSE(CONTROL!$C$21, $C$9, 100%, $E$9)</f>
        <v>38.479799999999997</v>
      </c>
      <c r="F985" s="10">
        <f>CHOOSE(CONTROL!$C$42, 38.3995, 38.3995)*CHOOSE(CONTROL!$C$21, $C$9, 100%, $E$9)</f>
        <v>38.399500000000003</v>
      </c>
      <c r="G985" s="10">
        <f>CHOOSE(CONTROL!$C$42, 38.4182, 38.4182)*CHOOSE(CONTROL!$C$21, $C$9, 100%, $E$9)</f>
        <v>38.418199999999999</v>
      </c>
      <c r="H985" s="10">
        <f>CHOOSE(CONTROL!$C$42, 38.469, 38.469) * CHOOSE(CONTROL!$C$21, $C$9, 100%, $E$9)</f>
        <v>38.469000000000001</v>
      </c>
      <c r="I985" s="10">
        <f>CHOOSE(CONTROL!$C$42, 38.4111, 38.4111)* CHOOSE(CONTROL!$C$21, $C$9, 100%, $E$9)</f>
        <v>38.411099999999998</v>
      </c>
      <c r="J985" s="10">
        <f>CHOOSE(CONTROL!$C$42, 38.3925, 38.3925)* CHOOSE(CONTROL!$C$21, $C$9, 100%, $E$9)</f>
        <v>38.392499999999998</v>
      </c>
      <c r="K985" s="10">
        <f>CHOOSE(CONTROL!$C$42, 37.4752, 37.4752) * CHOOSE(CONTROL!$C$21, $C$9, 100%, $E$9)</f>
        <v>37.475200000000001</v>
      </c>
      <c r="L985" s="10">
        <f>CHOOSE(CONTROL!$C$42, 39.056, 39.056) * CHOOSE(CONTROL!$C$21, $C$9, 100%, $E$9)</f>
        <v>39.055999999999997</v>
      </c>
      <c r="M985" s="10">
        <f>CHOOSE(CONTROL!$C$42, 38.0189, 38.0189) * CHOOSE(CONTROL!$C$21, $C$9, 100%, $E$9)</f>
        <v>38.018900000000002</v>
      </c>
      <c r="N985" s="10">
        <f>CHOOSE(CONTROL!$C$42, 38.0374, 38.0374) * CHOOSE(CONTROL!$C$21, $C$9, 100%, $E$9)</f>
        <v>38.037399999999998</v>
      </c>
      <c r="O985" s="10">
        <f>CHOOSE(CONTROL!$C$42, 38.0946, 38.0946) * CHOOSE(CONTROL!$C$21, $C$9, 100%, $E$9)</f>
        <v>38.0946</v>
      </c>
      <c r="P985" s="10">
        <f>CHOOSE(CONTROL!$C$42, 38.0373, 38.0373) * CHOOSE(CONTROL!$C$21, $C$9, 100%, $E$9)</f>
        <v>38.037300000000002</v>
      </c>
      <c r="Q985" s="10">
        <f>CHOOSE(CONTROL!$C$42, 38.6899, 38.6899) * CHOOSE(CONTROL!$C$21, $C$9, 100%, $E$9)</f>
        <v>38.689900000000002</v>
      </c>
      <c r="R985" s="10">
        <f>CHOOSE(CONTROL!$C$42, 39.3736, 39.3736) * CHOOSE(CONTROL!$C$21, $C$9, 100%, $E$9)</f>
        <v>39.373600000000003</v>
      </c>
      <c r="S985" s="10">
        <f>CHOOSE(CONTROL!$C$42, 37.3042, 37.3042) * CHOOSE(CONTROL!$C$21, $C$9, 100%, $E$9)</f>
        <v>37.304200000000002</v>
      </c>
      <c r="T9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38">
        <f>(1000*CHOOSE(CONTROL!$C$42, 695, 695)*CHOOSE(CONTROL!$C$42, 0.5599, 0.5599)*CHOOSE(CONTROL!$C$42, 31, 31))/1000000</f>
        <v>12.063045499999998</v>
      </c>
      <c r="V985" s="38">
        <f>(1000*CHOOSE(CONTROL!$C$42, 500, 500)*CHOOSE(CONTROL!$C$42, 0.275, 0.275)*CHOOSE(CONTROL!$C$42, 31, 31))/1000000</f>
        <v>4.2625000000000002</v>
      </c>
      <c r="W985" s="38">
        <f>(1000*CHOOSE(CONTROL!$C$42, 0.1146, 0.1146)*CHOOSE(CONTROL!$C$42, 121.5, 121.5)*CHOOSE(CONTROL!$C$42, 31, 31))/1000000</f>
        <v>0.43164089999999994</v>
      </c>
      <c r="X985" s="38">
        <f>(31*0.1790888*100000/1000000)+(31*0.2374*100000/1000000)</f>
        <v>1.2911152800000001</v>
      </c>
      <c r="Y985" s="38">
        <f>(1000*600*CHOOSE(CONTROL!$C$42, 1.0585, 1.0585)*CHOOSE(CONTROL!$C$42, 31, 31))/1000000</f>
        <v>19.688099999999999</v>
      </c>
      <c r="Z985" s="38"/>
      <c r="AA985" s="10"/>
      <c r="AB985" s="39"/>
      <c r="AC985" s="33">
        <f>(B985*122.58+C985*297.941+D985*89.177+E985*40.302+F985*40+G985*160+H985*0+I985*100+J985*300)/(122.58+297.941+89.177+40.302+0+40+160+100+300)</f>
        <v>38.415252691478258</v>
      </c>
      <c r="AD985" s="27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38.05692230215827</v>
      </c>
    </row>
    <row r="986" spans="1:30" ht="15.75" x14ac:dyDescent="0.25">
      <c r="A986" s="13">
        <v>71283</v>
      </c>
      <c r="B986" s="10">
        <f>CHOOSE(CONTROL!$C$42, 39.1004, 39.1004) * CHOOSE(CONTROL!$C$21, $C$9, 100%, $E$9)</f>
        <v>39.1004</v>
      </c>
      <c r="C986" s="10">
        <f>CHOOSE(CONTROL!$C$42, 39.1054, 39.1054) * CHOOSE(CONTROL!$C$21, $C$9, 100%, $E$9)</f>
        <v>39.105400000000003</v>
      </c>
      <c r="D986" s="10">
        <f>CHOOSE(CONTROL!$C$42, 39.1298, 39.1298) * CHOOSE(CONTROL!$C$21, $C$9, 100%, $E$9)</f>
        <v>39.129800000000003</v>
      </c>
      <c r="E986" s="10">
        <f>CHOOSE(CONTROL!$C$42, 39.1636, 39.1636) * CHOOSE(CONTROL!$C$21, $C$9, 100%, $E$9)</f>
        <v>39.163600000000002</v>
      </c>
      <c r="F986" s="10">
        <f>CHOOSE(CONTROL!$C$42, 39.0827, 39.0827)*CHOOSE(CONTROL!$C$21, $C$9, 100%, $E$9)</f>
        <v>39.082700000000003</v>
      </c>
      <c r="G986" s="10">
        <f>CHOOSE(CONTROL!$C$42, 39.1012, 39.1012)*CHOOSE(CONTROL!$C$21, $C$9, 100%, $E$9)</f>
        <v>39.101199999999999</v>
      </c>
      <c r="H986" s="10">
        <f>CHOOSE(CONTROL!$C$42, 39.1528, 39.1528) * CHOOSE(CONTROL!$C$21, $C$9, 100%, $E$9)</f>
        <v>39.152799999999999</v>
      </c>
      <c r="I986" s="10">
        <f>CHOOSE(CONTROL!$C$42, 39.0949, 39.0949)* CHOOSE(CONTROL!$C$21, $C$9, 100%, $E$9)</f>
        <v>39.094900000000003</v>
      </c>
      <c r="J986" s="10">
        <f>CHOOSE(CONTROL!$C$42, 39.0757, 39.0757)* CHOOSE(CONTROL!$C$21, $C$9, 100%, $E$9)</f>
        <v>39.075699999999998</v>
      </c>
      <c r="K986" s="10">
        <f>CHOOSE(CONTROL!$C$42, 38.1381, 38.1381) * CHOOSE(CONTROL!$C$21, $C$9, 100%, $E$9)</f>
        <v>38.138100000000001</v>
      </c>
      <c r="L986" s="10">
        <f>CHOOSE(CONTROL!$C$42, 39.7398, 39.7398) * CHOOSE(CONTROL!$C$21, $C$9, 100%, $E$9)</f>
        <v>39.739800000000002</v>
      </c>
      <c r="M986" s="10">
        <f>CHOOSE(CONTROL!$C$42, 38.6952, 38.6952) * CHOOSE(CONTROL!$C$21, $C$9, 100%, $E$9)</f>
        <v>38.6952</v>
      </c>
      <c r="N986" s="10">
        <f>CHOOSE(CONTROL!$C$42, 38.7135, 38.7135) * CHOOSE(CONTROL!$C$21, $C$9, 100%, $E$9)</f>
        <v>38.713500000000003</v>
      </c>
      <c r="O986" s="10">
        <f>CHOOSE(CONTROL!$C$42, 38.7715, 38.7715) * CHOOSE(CONTROL!$C$21, $C$9, 100%, $E$9)</f>
        <v>38.771500000000003</v>
      </c>
      <c r="P986" s="10">
        <f>CHOOSE(CONTROL!$C$42, 38.7142, 38.7142) * CHOOSE(CONTROL!$C$21, $C$9, 100%, $E$9)</f>
        <v>38.714199999999998</v>
      </c>
      <c r="Q986" s="10">
        <f>CHOOSE(CONTROL!$C$42, 39.3668, 39.3668) * CHOOSE(CONTROL!$C$21, $C$9, 100%, $E$9)</f>
        <v>39.366799999999998</v>
      </c>
      <c r="R986" s="10">
        <f>CHOOSE(CONTROL!$C$42, 40.0522, 40.0522) * CHOOSE(CONTROL!$C$21, $C$9, 100%, $E$9)</f>
        <v>40.052199999999999</v>
      </c>
      <c r="S986" s="10">
        <f>CHOOSE(CONTROL!$C$42, 37.9683, 37.9683) * CHOOSE(CONTROL!$C$21, $C$9, 100%, $E$9)</f>
        <v>37.968299999999999</v>
      </c>
      <c r="T9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38">
        <f>(1000*CHOOSE(CONTROL!$C$42, 695, 695)*CHOOSE(CONTROL!$C$42, 0.5599, 0.5599)*CHOOSE(CONTROL!$C$42, 28, 28))/1000000</f>
        <v>10.895653999999999</v>
      </c>
      <c r="V986" s="38">
        <f>(1000*CHOOSE(CONTROL!$C$42, 500, 500)*CHOOSE(CONTROL!$C$42, 0.275, 0.275)*CHOOSE(CONTROL!$C$42, 28, 28))/1000000</f>
        <v>3.85</v>
      </c>
      <c r="W986" s="38">
        <f>(1000*CHOOSE(CONTROL!$C$42, 0.1146, 0.1146)*CHOOSE(CONTROL!$C$42, 121.5, 121.5)*CHOOSE(CONTROL!$C$42, 28, 28))/1000000</f>
        <v>0.38986920000000003</v>
      </c>
      <c r="X986" s="38">
        <f>(28*0.1790888*100000/1000000)+(28*0.2374*100000/1000000)</f>
        <v>1.16616864</v>
      </c>
      <c r="Y986" s="38">
        <f>(1000*600*CHOOSE(CONTROL!$C$42, 1.0585, 1.0585)*CHOOSE(CONTROL!$C$42, 28, 28))/1000000</f>
        <v>17.782800000000002</v>
      </c>
      <c r="Z986" s="38"/>
      <c r="AA986" s="10"/>
      <c r="AB986" s="39"/>
      <c r="AC986" s="33">
        <f>(B986*122.58+C986*297.941+D986*89.177+E986*40.302+F986*40+G986*160+H986*0+I986*100+J986*300)/(122.58+297.941+89.177+40.302+0+40+160+100+300)</f>
        <v>39.09876399582609</v>
      </c>
      <c r="AD986" s="27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38.733569064748202</v>
      </c>
    </row>
    <row r="987" spans="1:30" ht="15.75" x14ac:dyDescent="0.25">
      <c r="A987" s="13">
        <v>71314</v>
      </c>
      <c r="B987" s="10">
        <f>CHOOSE(CONTROL!$C$42, 37.9904, 37.9904) * CHOOSE(CONTROL!$C$21, $C$9, 100%, $E$9)</f>
        <v>37.990400000000001</v>
      </c>
      <c r="C987" s="10">
        <f>CHOOSE(CONTROL!$C$42, 37.9954, 37.9954) * CHOOSE(CONTROL!$C$21, $C$9, 100%, $E$9)</f>
        <v>37.995399999999997</v>
      </c>
      <c r="D987" s="10">
        <f>CHOOSE(CONTROL!$C$42, 38.0198, 38.0198) * CHOOSE(CONTROL!$C$21, $C$9, 100%, $E$9)</f>
        <v>38.019799999999996</v>
      </c>
      <c r="E987" s="10">
        <f>CHOOSE(CONTROL!$C$42, 38.0536, 38.0536) * CHOOSE(CONTROL!$C$21, $C$9, 100%, $E$9)</f>
        <v>38.053600000000003</v>
      </c>
      <c r="F987" s="10">
        <f>CHOOSE(CONTROL!$C$42, 37.9711, 37.9711)*CHOOSE(CONTROL!$C$21, $C$9, 100%, $E$9)</f>
        <v>37.9711</v>
      </c>
      <c r="G987" s="10">
        <f>CHOOSE(CONTROL!$C$42, 37.9892, 37.9892)*CHOOSE(CONTROL!$C$21, $C$9, 100%, $E$9)</f>
        <v>37.989199999999997</v>
      </c>
      <c r="H987" s="10">
        <f>CHOOSE(CONTROL!$C$42, 38.0428, 38.0428) * CHOOSE(CONTROL!$C$21, $C$9, 100%, $E$9)</f>
        <v>38.0428</v>
      </c>
      <c r="I987" s="10">
        <f>CHOOSE(CONTROL!$C$42, 37.9849, 37.9849)* CHOOSE(CONTROL!$C$21, $C$9, 100%, $E$9)</f>
        <v>37.984900000000003</v>
      </c>
      <c r="J987" s="10">
        <f>CHOOSE(CONTROL!$C$42, 37.9641, 37.9641)* CHOOSE(CONTROL!$C$21, $C$9, 100%, $E$9)</f>
        <v>37.964100000000002</v>
      </c>
      <c r="K987" s="10">
        <f>CHOOSE(CONTROL!$C$42, 37.0563, 37.0563) * CHOOSE(CONTROL!$C$21, $C$9, 100%, $E$9)</f>
        <v>37.0563</v>
      </c>
      <c r="L987" s="10">
        <f>CHOOSE(CONTROL!$C$42, 38.6298, 38.6298) * CHOOSE(CONTROL!$C$21, $C$9, 100%, $E$9)</f>
        <v>38.629800000000003</v>
      </c>
      <c r="M987" s="10">
        <f>CHOOSE(CONTROL!$C$42, 37.5948, 37.5948) * CHOOSE(CONTROL!$C$21, $C$9, 100%, $E$9)</f>
        <v>37.594799999999999</v>
      </c>
      <c r="N987" s="10">
        <f>CHOOSE(CONTROL!$C$42, 37.6127, 37.6127) * CHOOSE(CONTROL!$C$21, $C$9, 100%, $E$9)</f>
        <v>37.612699999999997</v>
      </c>
      <c r="O987" s="10">
        <f>CHOOSE(CONTROL!$C$42, 37.6727, 37.6727) * CHOOSE(CONTROL!$C$21, $C$9, 100%, $E$9)</f>
        <v>37.672699999999999</v>
      </c>
      <c r="P987" s="10">
        <f>CHOOSE(CONTROL!$C$42, 37.6154, 37.6154) * CHOOSE(CONTROL!$C$21, $C$9, 100%, $E$9)</f>
        <v>37.615400000000001</v>
      </c>
      <c r="Q987" s="10">
        <f>CHOOSE(CONTROL!$C$42, 38.268, 38.268) * CHOOSE(CONTROL!$C$21, $C$9, 100%, $E$9)</f>
        <v>38.268000000000001</v>
      </c>
      <c r="R987" s="10">
        <f>CHOOSE(CONTROL!$C$42, 38.9507, 38.9507) * CHOOSE(CONTROL!$C$21, $C$9, 100%, $E$9)</f>
        <v>38.950699999999998</v>
      </c>
      <c r="S987" s="10">
        <f>CHOOSE(CONTROL!$C$42, 36.8904, 36.8904) * CHOOSE(CONTROL!$C$21, $C$9, 100%, $E$9)</f>
        <v>36.8904</v>
      </c>
      <c r="T9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38">
        <f>(1000*CHOOSE(CONTROL!$C$42, 695, 695)*CHOOSE(CONTROL!$C$42, 0.5599, 0.5599)*CHOOSE(CONTROL!$C$42, 31, 31))/1000000</f>
        <v>12.063045499999998</v>
      </c>
      <c r="V987" s="38">
        <f>(1000*CHOOSE(CONTROL!$C$42, 500, 500)*CHOOSE(CONTROL!$C$42, 0.275, 0.275)*CHOOSE(CONTROL!$C$42, 31, 31))/1000000</f>
        <v>4.2625000000000002</v>
      </c>
      <c r="W987" s="38">
        <f>(1000*CHOOSE(CONTROL!$C$42, 0.1146, 0.1146)*CHOOSE(CONTROL!$C$42, 121.5, 121.5)*CHOOSE(CONTROL!$C$42, 31, 31))/1000000</f>
        <v>0.43164089999999994</v>
      </c>
      <c r="X987" s="38">
        <f>(31*0.1790888*100000/1000000)+(31*0.2374*100000/1000000)</f>
        <v>1.2911152800000001</v>
      </c>
      <c r="Y987" s="38">
        <f>(1000*600*CHOOSE(CONTROL!$C$42, 1.0585, 1.0585)*CHOOSE(CONTROL!$C$42, 31, 31))/1000000</f>
        <v>19.688099999999999</v>
      </c>
      <c r="Z987" s="38"/>
      <c r="AA987" s="10"/>
      <c r="AB987" s="39"/>
      <c r="AC987" s="33">
        <f>(B987*122.58+C987*297.941+D987*89.177+E987*40.302+F987*40+G987*160+H987*0+I987*100+J987*300)/(122.58+297.941+89.177+40.302+0+40+160+100+300)</f>
        <v>37.988012691478261</v>
      </c>
      <c r="AD987" s="27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37.634101438848923</v>
      </c>
    </row>
    <row r="988" spans="1:30" ht="15.75" x14ac:dyDescent="0.25">
      <c r="A988" s="13">
        <v>71344</v>
      </c>
      <c r="B988" s="10">
        <f>CHOOSE(CONTROL!$C$42, 37.8775, 37.8775) * CHOOSE(CONTROL!$C$21, $C$9, 100%, $E$9)</f>
        <v>37.877499999999998</v>
      </c>
      <c r="C988" s="10">
        <f>CHOOSE(CONTROL!$C$42, 37.8818, 37.8818) * CHOOSE(CONTROL!$C$21, $C$9, 100%, $E$9)</f>
        <v>37.881799999999998</v>
      </c>
      <c r="D988" s="10">
        <f>CHOOSE(CONTROL!$C$42, 38.062, 38.062) * CHOOSE(CONTROL!$C$21, $C$9, 100%, $E$9)</f>
        <v>38.061999999999998</v>
      </c>
      <c r="E988" s="10">
        <f>CHOOSE(CONTROL!$C$42, 38.0937, 38.0937) * CHOOSE(CONTROL!$C$21, $C$9, 100%, $E$9)</f>
        <v>38.093699999999998</v>
      </c>
      <c r="F988" s="10">
        <f>CHOOSE(CONTROL!$C$42, 37.8428, 37.8428)*CHOOSE(CONTROL!$C$21, $C$9, 100%, $E$9)</f>
        <v>37.842799999999997</v>
      </c>
      <c r="G988" s="10">
        <f>CHOOSE(CONTROL!$C$42, 37.859, 37.859)*CHOOSE(CONTROL!$C$21, $C$9, 100%, $E$9)</f>
        <v>37.859000000000002</v>
      </c>
      <c r="H988" s="10">
        <f>CHOOSE(CONTROL!$C$42, 38.0835, 38.0835) * CHOOSE(CONTROL!$C$21, $C$9, 100%, $E$9)</f>
        <v>38.083500000000001</v>
      </c>
      <c r="I988" s="10">
        <f>CHOOSE(CONTROL!$C$42, 37.8634, 37.8634)* CHOOSE(CONTROL!$C$21, $C$9, 100%, $E$9)</f>
        <v>37.863399999999999</v>
      </c>
      <c r="J988" s="10">
        <f>CHOOSE(CONTROL!$C$42, 37.8358, 37.8358)* CHOOSE(CONTROL!$C$21, $C$9, 100%, $E$9)</f>
        <v>37.835799999999999</v>
      </c>
      <c r="K988" s="10">
        <f>CHOOSE(CONTROL!$C$42, 36.9233, 36.9233) * CHOOSE(CONTROL!$C$21, $C$9, 100%, $E$9)</f>
        <v>36.923299999999998</v>
      </c>
      <c r="L988" s="10">
        <f>CHOOSE(CONTROL!$C$42, 38.6705, 38.6705) * CHOOSE(CONTROL!$C$21, $C$9, 100%, $E$9)</f>
        <v>38.670499999999997</v>
      </c>
      <c r="M988" s="10">
        <f>CHOOSE(CONTROL!$C$42, 37.4678, 37.4678) * CHOOSE(CONTROL!$C$21, $C$9, 100%, $E$9)</f>
        <v>37.467799999999997</v>
      </c>
      <c r="N988" s="10">
        <f>CHOOSE(CONTROL!$C$42, 37.4839, 37.4839) * CHOOSE(CONTROL!$C$21, $C$9, 100%, $E$9)</f>
        <v>37.483899999999998</v>
      </c>
      <c r="O988" s="10">
        <f>CHOOSE(CONTROL!$C$42, 37.713, 37.713) * CHOOSE(CONTROL!$C$21, $C$9, 100%, $E$9)</f>
        <v>37.713000000000001</v>
      </c>
      <c r="P988" s="10">
        <f>CHOOSE(CONTROL!$C$42, 37.4952, 37.4952) * CHOOSE(CONTROL!$C$21, $C$9, 100%, $E$9)</f>
        <v>37.495199999999997</v>
      </c>
      <c r="Q988" s="10">
        <f>CHOOSE(CONTROL!$C$42, 38.3083, 38.3083) * CHOOSE(CONTROL!$C$21, $C$9, 100%, $E$9)</f>
        <v>38.308300000000003</v>
      </c>
      <c r="R988" s="10">
        <f>CHOOSE(CONTROL!$C$42, 38.9911, 38.9911) * CHOOSE(CONTROL!$C$21, $C$9, 100%, $E$9)</f>
        <v>38.991100000000003</v>
      </c>
      <c r="S988" s="10">
        <f>CHOOSE(CONTROL!$C$42, 36.7799, 36.7799) * CHOOSE(CONTROL!$C$21, $C$9, 100%, $E$9)</f>
        <v>36.779899999999998</v>
      </c>
      <c r="T9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38">
        <f>(1000*CHOOSE(CONTROL!$C$42, 695, 695)*CHOOSE(CONTROL!$C$42, 0.5599, 0.5599)*CHOOSE(CONTROL!$C$42, 30, 30))/1000000</f>
        <v>11.673914999999997</v>
      </c>
      <c r="V988" s="38">
        <f>(1000*CHOOSE(CONTROL!$C$42, 500, 500)*CHOOSE(CONTROL!$C$42, 0.275, 0.275)*CHOOSE(CONTROL!$C$42, 30, 30))/1000000</f>
        <v>4.125</v>
      </c>
      <c r="W988" s="38">
        <f>(1000*CHOOSE(CONTROL!$C$42, 0.1146, 0.1146)*CHOOSE(CONTROL!$C$42, 121.5, 121.5)*CHOOSE(CONTROL!$C$42, 30, 30))/1000000</f>
        <v>0.417717</v>
      </c>
      <c r="X988" s="38">
        <f>(30*0.1790888*245000/1000000)+(30*0.2374*100000/1000000)</f>
        <v>2.0285026799999999</v>
      </c>
      <c r="Y988" s="38">
        <f>(1000*600*CHOOSE(CONTROL!$C$42, 1.0585, 1.0585)*CHOOSE(CONTROL!$C$42, 30, 30))/1000000</f>
        <v>19.053000000000001</v>
      </c>
      <c r="Z988" s="38"/>
      <c r="AA988" s="10"/>
      <c r="AB988" s="39"/>
      <c r="AC988" s="33">
        <f>(B988*141.293+C988*267.993+D988*115.016+E988*89.698+F988*40+G988*185+H988*0+I988*100+J988*300)/(141.293+267.993+115.016+89.698+0+40+185+100+300)</f>
        <v>37.896091629943498</v>
      </c>
      <c r="AD988" s="27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37.583802877697842</v>
      </c>
    </row>
    <row r="989" spans="1:30" ht="15.75" x14ac:dyDescent="0.25">
      <c r="A989" s="13">
        <v>71375</v>
      </c>
      <c r="B989" s="10">
        <f>CHOOSE(CONTROL!$C$42, 38.2135, 38.2135) * CHOOSE(CONTROL!$C$21, $C$9, 100%, $E$9)</f>
        <v>38.213500000000003</v>
      </c>
      <c r="C989" s="10">
        <f>CHOOSE(CONTROL!$C$42, 38.2214, 38.2214) * CHOOSE(CONTROL!$C$21, $C$9, 100%, $E$9)</f>
        <v>38.221400000000003</v>
      </c>
      <c r="D989" s="10">
        <f>CHOOSE(CONTROL!$C$42, 38.3984, 38.3984) * CHOOSE(CONTROL!$C$21, $C$9, 100%, $E$9)</f>
        <v>38.398400000000002</v>
      </c>
      <c r="E989" s="10">
        <f>CHOOSE(CONTROL!$C$42, 38.4296, 38.4296) * CHOOSE(CONTROL!$C$21, $C$9, 100%, $E$9)</f>
        <v>38.429600000000001</v>
      </c>
      <c r="F989" s="10">
        <f>CHOOSE(CONTROL!$C$42, 38.1769, 38.1769)*CHOOSE(CONTROL!$C$21, $C$9, 100%, $E$9)</f>
        <v>38.176900000000003</v>
      </c>
      <c r="G989" s="10">
        <f>CHOOSE(CONTROL!$C$42, 38.1934, 38.1934)*CHOOSE(CONTROL!$C$21, $C$9, 100%, $E$9)</f>
        <v>38.193399999999997</v>
      </c>
      <c r="H989" s="10">
        <f>CHOOSE(CONTROL!$C$42, 38.4182, 38.4182) * CHOOSE(CONTROL!$C$21, $C$9, 100%, $E$9)</f>
        <v>38.418199999999999</v>
      </c>
      <c r="I989" s="10">
        <f>CHOOSE(CONTROL!$C$42, 38.1981, 38.1981)* CHOOSE(CONTROL!$C$21, $C$9, 100%, $E$9)</f>
        <v>38.198099999999997</v>
      </c>
      <c r="J989" s="10">
        <f>CHOOSE(CONTROL!$C$42, 38.1699, 38.1699)* CHOOSE(CONTROL!$C$21, $C$9, 100%, $E$9)</f>
        <v>38.169899999999998</v>
      </c>
      <c r="K989" s="10">
        <f>CHOOSE(CONTROL!$C$42, 37.2472, 37.2472) * CHOOSE(CONTROL!$C$21, $C$9, 100%, $E$9)</f>
        <v>37.247199999999999</v>
      </c>
      <c r="L989" s="10">
        <f>CHOOSE(CONTROL!$C$42, 39.0052, 39.0052) * CHOOSE(CONTROL!$C$21, $C$9, 100%, $E$9)</f>
        <v>39.005200000000002</v>
      </c>
      <c r="M989" s="10">
        <f>CHOOSE(CONTROL!$C$42, 37.7985, 37.7985) * CHOOSE(CONTROL!$C$21, $C$9, 100%, $E$9)</f>
        <v>37.798499999999997</v>
      </c>
      <c r="N989" s="10">
        <f>CHOOSE(CONTROL!$C$42, 37.8148, 37.8148) * CHOOSE(CONTROL!$C$21, $C$9, 100%, $E$9)</f>
        <v>37.814799999999998</v>
      </c>
      <c r="O989" s="10">
        <f>CHOOSE(CONTROL!$C$42, 38.0443, 38.0443) * CHOOSE(CONTROL!$C$21, $C$9, 100%, $E$9)</f>
        <v>38.0443</v>
      </c>
      <c r="P989" s="10">
        <f>CHOOSE(CONTROL!$C$42, 37.8265, 37.8265) * CHOOSE(CONTROL!$C$21, $C$9, 100%, $E$9)</f>
        <v>37.826500000000003</v>
      </c>
      <c r="Q989" s="10">
        <f>CHOOSE(CONTROL!$C$42, 38.6396, 38.6396) * CHOOSE(CONTROL!$C$21, $C$9, 100%, $E$9)</f>
        <v>38.639600000000002</v>
      </c>
      <c r="R989" s="10">
        <f>CHOOSE(CONTROL!$C$42, 39.3232, 39.3232) * CHOOSE(CONTROL!$C$21, $C$9, 100%, $E$9)</f>
        <v>39.3232</v>
      </c>
      <c r="S989" s="10">
        <f>CHOOSE(CONTROL!$C$42, 37.1049, 37.1049) * CHOOSE(CONTROL!$C$21, $C$9, 100%, $E$9)</f>
        <v>37.104900000000001</v>
      </c>
      <c r="T9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38">
        <f>(1000*CHOOSE(CONTROL!$C$42, 695, 695)*CHOOSE(CONTROL!$C$42, 0.5599, 0.5599)*CHOOSE(CONTROL!$C$42, 31, 31))/1000000</f>
        <v>12.063045499999998</v>
      </c>
      <c r="V989" s="38">
        <f>(1000*CHOOSE(CONTROL!$C$42, 500, 500)*CHOOSE(CONTROL!$C$42, 0.275, 0.275)*CHOOSE(CONTROL!$C$42, 31, 31))/1000000</f>
        <v>4.2625000000000002</v>
      </c>
      <c r="W989" s="38">
        <f>(1000*CHOOSE(CONTROL!$C$42, 0.1146, 0.1146)*CHOOSE(CONTROL!$C$42, 121.5, 121.5)*CHOOSE(CONTROL!$C$42, 31, 31))/1000000</f>
        <v>0.43164089999999994</v>
      </c>
      <c r="X989" s="38">
        <f>(31*0.1790888*245000/1000000)+(31*0.2374*100000/1000000)</f>
        <v>2.0961194359999999</v>
      </c>
      <c r="Y989" s="38">
        <f>(1000*600*CHOOSE(CONTROL!$C$42, 1.0585, 1.0585)*CHOOSE(CONTROL!$C$42, 31, 31))/1000000</f>
        <v>19.688099999999999</v>
      </c>
      <c r="Z989" s="38"/>
      <c r="AA989" s="10"/>
      <c r="AB989" s="39"/>
      <c r="AC989" s="33">
        <f>(B989*194.205+C989*267.466+D989*133.845+E989*53.484+F989*40+G989*185+H989*0+I989*100+J989*300)/(194.205+267.466+133.845+53.484+0+40+185+100+300)</f>
        <v>38.228112491601259</v>
      </c>
      <c r="AD989" s="27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37.914872661870504</v>
      </c>
    </row>
    <row r="990" spans="1:30" ht="15.75" x14ac:dyDescent="0.25">
      <c r="A990" s="13">
        <v>71405</v>
      </c>
      <c r="B990" s="10">
        <f>CHOOSE(CONTROL!$C$42, 39.2973, 39.2973) * CHOOSE(CONTROL!$C$21, $C$9, 100%, $E$9)</f>
        <v>39.2973</v>
      </c>
      <c r="C990" s="10">
        <f>CHOOSE(CONTROL!$C$42, 39.3053, 39.3053) * CHOOSE(CONTROL!$C$21, $C$9, 100%, $E$9)</f>
        <v>39.305300000000003</v>
      </c>
      <c r="D990" s="10">
        <f>CHOOSE(CONTROL!$C$42, 39.4822, 39.4822) * CHOOSE(CONTROL!$C$21, $C$9, 100%, $E$9)</f>
        <v>39.482199999999999</v>
      </c>
      <c r="E990" s="10">
        <f>CHOOSE(CONTROL!$C$42, 39.5134, 39.5134) * CHOOSE(CONTROL!$C$21, $C$9, 100%, $E$9)</f>
        <v>39.513399999999997</v>
      </c>
      <c r="F990" s="10">
        <f>CHOOSE(CONTROL!$C$42, 39.2609, 39.2609)*CHOOSE(CONTROL!$C$21, $C$9, 100%, $E$9)</f>
        <v>39.260899999999999</v>
      </c>
      <c r="G990" s="10">
        <f>CHOOSE(CONTROL!$C$42, 39.2774, 39.2774)*CHOOSE(CONTROL!$C$21, $C$9, 100%, $E$9)</f>
        <v>39.2774</v>
      </c>
      <c r="H990" s="10">
        <f>CHOOSE(CONTROL!$C$42, 39.502, 39.502) * CHOOSE(CONTROL!$C$21, $C$9, 100%, $E$9)</f>
        <v>39.502000000000002</v>
      </c>
      <c r="I990" s="10">
        <f>CHOOSE(CONTROL!$C$42, 39.2819, 39.2819)* CHOOSE(CONTROL!$C$21, $C$9, 100%, $E$9)</f>
        <v>39.2819</v>
      </c>
      <c r="J990" s="10">
        <f>CHOOSE(CONTROL!$C$42, 39.2539, 39.2539)* CHOOSE(CONTROL!$C$21, $C$9, 100%, $E$9)</f>
        <v>39.253900000000002</v>
      </c>
      <c r="K990" s="10">
        <f>CHOOSE(CONTROL!$C$42, 38.3006, 38.3006) * CHOOSE(CONTROL!$C$21, $C$9, 100%, $E$9)</f>
        <v>38.300600000000003</v>
      </c>
      <c r="L990" s="10">
        <f>CHOOSE(CONTROL!$C$42, 40.089, 40.089) * CHOOSE(CONTROL!$C$21, $C$9, 100%, $E$9)</f>
        <v>40.088999999999999</v>
      </c>
      <c r="M990" s="10">
        <f>CHOOSE(CONTROL!$C$42, 38.8716, 38.8716) * CHOOSE(CONTROL!$C$21, $C$9, 100%, $E$9)</f>
        <v>38.871600000000001</v>
      </c>
      <c r="N990" s="10">
        <f>CHOOSE(CONTROL!$C$42, 38.8879, 38.8879) * CHOOSE(CONTROL!$C$21, $C$9, 100%, $E$9)</f>
        <v>38.887900000000002</v>
      </c>
      <c r="O990" s="10">
        <f>CHOOSE(CONTROL!$C$42, 39.1172, 39.1172) * CHOOSE(CONTROL!$C$21, $C$9, 100%, $E$9)</f>
        <v>39.117199999999997</v>
      </c>
      <c r="P990" s="10">
        <f>CHOOSE(CONTROL!$C$42, 38.8994, 38.8994) * CHOOSE(CONTROL!$C$21, $C$9, 100%, $E$9)</f>
        <v>38.8994</v>
      </c>
      <c r="Q990" s="10">
        <f>CHOOSE(CONTROL!$C$42, 39.7125, 39.7125) * CHOOSE(CONTROL!$C$21, $C$9, 100%, $E$9)</f>
        <v>39.712499999999999</v>
      </c>
      <c r="R990" s="10">
        <f>CHOOSE(CONTROL!$C$42, 40.3988, 40.3988) * CHOOSE(CONTROL!$C$21, $C$9, 100%, $E$9)</f>
        <v>40.398800000000001</v>
      </c>
      <c r="S990" s="10">
        <f>CHOOSE(CONTROL!$C$42, 38.1574, 38.1574) * CHOOSE(CONTROL!$C$21, $C$9, 100%, $E$9)</f>
        <v>38.157400000000003</v>
      </c>
      <c r="T9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38">
        <f>(1000*CHOOSE(CONTROL!$C$42, 695, 695)*CHOOSE(CONTROL!$C$42, 0.5599, 0.5599)*CHOOSE(CONTROL!$C$42, 30, 30))/1000000</f>
        <v>11.673914999999997</v>
      </c>
      <c r="V990" s="38">
        <f>(1000*CHOOSE(CONTROL!$C$42, 500, 500)*CHOOSE(CONTROL!$C$42, 0.275, 0.275)*CHOOSE(CONTROL!$C$42, 30, 30))/1000000</f>
        <v>4.125</v>
      </c>
      <c r="W990" s="38">
        <f>(1000*CHOOSE(CONTROL!$C$42, 0.1146, 0.1146)*CHOOSE(CONTROL!$C$42, 121.5, 121.5)*CHOOSE(CONTROL!$C$42, 30, 30))/1000000</f>
        <v>0.417717</v>
      </c>
      <c r="X990" s="38">
        <f>(30*0.1790888*245000/1000000)+(30*0.2374*100000/1000000)</f>
        <v>2.0285026799999999</v>
      </c>
      <c r="Y990" s="38">
        <f>(1000*600*CHOOSE(CONTROL!$C$42, 1.0585, 1.0585)*CHOOSE(CONTROL!$C$42, 30, 30))/1000000</f>
        <v>19.053000000000001</v>
      </c>
      <c r="Z990" s="38"/>
      <c r="AA990" s="10"/>
      <c r="AB990" s="39"/>
      <c r="AC990" s="33">
        <f>(B990*194.205+C990*267.466+D990*133.845+E990*53.484+F990*40+G990*185+H990*0+I990*100+J990*300)/(194.205+267.466+133.845+53.484+0+40+185+100+300)</f>
        <v>39.312015903375197</v>
      </c>
      <c r="AD990" s="27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38.987853237410071</v>
      </c>
    </row>
    <row r="991" spans="1:30" ht="15.75" x14ac:dyDescent="0.25">
      <c r="A991" s="13">
        <v>71436</v>
      </c>
      <c r="B991" s="10">
        <f>CHOOSE(CONTROL!$C$42, 38.5435, 38.5435) * CHOOSE(CONTROL!$C$21, $C$9, 100%, $E$9)</f>
        <v>38.543500000000002</v>
      </c>
      <c r="C991" s="10">
        <f>CHOOSE(CONTROL!$C$42, 38.5515, 38.5515) * CHOOSE(CONTROL!$C$21, $C$9, 100%, $E$9)</f>
        <v>38.551499999999997</v>
      </c>
      <c r="D991" s="10">
        <f>CHOOSE(CONTROL!$C$42, 38.7284, 38.7284) * CHOOSE(CONTROL!$C$21, $C$9, 100%, $E$9)</f>
        <v>38.728400000000001</v>
      </c>
      <c r="E991" s="10">
        <f>CHOOSE(CONTROL!$C$42, 38.7596, 38.7596) * CHOOSE(CONTROL!$C$21, $C$9, 100%, $E$9)</f>
        <v>38.759599999999999</v>
      </c>
      <c r="F991" s="10">
        <f>CHOOSE(CONTROL!$C$42, 38.5073, 38.5073)*CHOOSE(CONTROL!$C$21, $C$9, 100%, $E$9)</f>
        <v>38.507300000000001</v>
      </c>
      <c r="G991" s="10">
        <f>CHOOSE(CONTROL!$C$42, 38.5239, 38.5239)*CHOOSE(CONTROL!$C$21, $C$9, 100%, $E$9)</f>
        <v>38.523899999999998</v>
      </c>
      <c r="H991" s="10">
        <f>CHOOSE(CONTROL!$C$42, 38.7482, 38.7482) * CHOOSE(CONTROL!$C$21, $C$9, 100%, $E$9)</f>
        <v>38.748199999999997</v>
      </c>
      <c r="I991" s="10">
        <f>CHOOSE(CONTROL!$C$42, 38.5281, 38.5281)* CHOOSE(CONTROL!$C$21, $C$9, 100%, $E$9)</f>
        <v>38.528100000000002</v>
      </c>
      <c r="J991" s="10">
        <f>CHOOSE(CONTROL!$C$42, 38.5003, 38.5003)* CHOOSE(CONTROL!$C$21, $C$9, 100%, $E$9)</f>
        <v>38.500300000000003</v>
      </c>
      <c r="K991" s="10">
        <f>CHOOSE(CONTROL!$C$42, 37.5688, 37.5688) * CHOOSE(CONTROL!$C$21, $C$9, 100%, $E$9)</f>
        <v>37.568800000000003</v>
      </c>
      <c r="L991" s="10">
        <f>CHOOSE(CONTROL!$C$42, 39.3352, 39.3352) * CHOOSE(CONTROL!$C$21, $C$9, 100%, $E$9)</f>
        <v>39.3352</v>
      </c>
      <c r="M991" s="10">
        <f>CHOOSE(CONTROL!$C$42, 38.1256, 38.1256) * CHOOSE(CONTROL!$C$21, $C$9, 100%, $E$9)</f>
        <v>38.125599999999999</v>
      </c>
      <c r="N991" s="10">
        <f>CHOOSE(CONTROL!$C$42, 38.1421, 38.1421) * CHOOSE(CONTROL!$C$21, $C$9, 100%, $E$9)</f>
        <v>38.142099999999999</v>
      </c>
      <c r="O991" s="10">
        <f>CHOOSE(CONTROL!$C$42, 38.371, 38.371) * CHOOSE(CONTROL!$C$21, $C$9, 100%, $E$9)</f>
        <v>38.371000000000002</v>
      </c>
      <c r="P991" s="10">
        <f>CHOOSE(CONTROL!$C$42, 38.1532, 38.1532) * CHOOSE(CONTROL!$C$21, $C$9, 100%, $E$9)</f>
        <v>38.153199999999998</v>
      </c>
      <c r="Q991" s="10">
        <f>CHOOSE(CONTROL!$C$42, 38.9663, 38.9663) * CHOOSE(CONTROL!$C$21, $C$9, 100%, $E$9)</f>
        <v>38.966299999999997</v>
      </c>
      <c r="R991" s="10">
        <f>CHOOSE(CONTROL!$C$42, 39.6507, 39.6507) * CHOOSE(CONTROL!$C$21, $C$9, 100%, $E$9)</f>
        <v>39.650700000000001</v>
      </c>
      <c r="S991" s="10">
        <f>CHOOSE(CONTROL!$C$42, 37.4254, 37.4254) * CHOOSE(CONTROL!$C$21, $C$9, 100%, $E$9)</f>
        <v>37.425400000000003</v>
      </c>
      <c r="T9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38">
        <f>(1000*CHOOSE(CONTROL!$C$42, 695, 695)*CHOOSE(CONTROL!$C$42, 0.5599, 0.5599)*CHOOSE(CONTROL!$C$42, 31, 31))/1000000</f>
        <v>12.063045499999998</v>
      </c>
      <c r="V991" s="38">
        <f>(1000*CHOOSE(CONTROL!$C$42, 500, 500)*CHOOSE(CONTROL!$C$42, 0.275, 0.275)*CHOOSE(CONTROL!$C$42, 31, 31))/1000000</f>
        <v>4.2625000000000002</v>
      </c>
      <c r="W991" s="38">
        <f>(1000*CHOOSE(CONTROL!$C$42, 0.1146, 0.1146)*CHOOSE(CONTROL!$C$42, 121.5, 121.5)*CHOOSE(CONTROL!$C$42, 31, 31))/1000000</f>
        <v>0.43164089999999994</v>
      </c>
      <c r="X991" s="38">
        <f>(31*0.1790888*245000/1000000)+(31*0.2374*100000/1000000)</f>
        <v>2.0961194359999999</v>
      </c>
      <c r="Y991" s="38">
        <f>(1000*600*CHOOSE(CONTROL!$C$42, 1.0585, 1.0585)*CHOOSE(CONTROL!$C$42, 31, 31))/1000000</f>
        <v>19.688099999999999</v>
      </c>
      <c r="Z991" s="38"/>
      <c r="AA991" s="10"/>
      <c r="AB991" s="39"/>
      <c r="AC991" s="33">
        <f>(B991*194.205+C991*267.466+D991*133.845+E991*53.484+F991*40+G991*185+H991*0+I991*100+J991*300)/(194.205+267.466+133.845+53.484+0+40+185+100+300)</f>
        <v>38.558312842150706</v>
      </c>
      <c r="AD991" s="27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38.241745323741007</v>
      </c>
    </row>
    <row r="992" spans="1:30" ht="15.75" x14ac:dyDescent="0.25">
      <c r="A992" s="13">
        <v>71467</v>
      </c>
      <c r="B992" s="10">
        <f>CHOOSE(CONTROL!$C$42, 36.6399, 36.6399) * CHOOSE(CONTROL!$C$21, $C$9, 100%, $E$9)</f>
        <v>36.639899999999997</v>
      </c>
      <c r="C992" s="10">
        <f>CHOOSE(CONTROL!$C$42, 36.6479, 36.6479) * CHOOSE(CONTROL!$C$21, $C$9, 100%, $E$9)</f>
        <v>36.6479</v>
      </c>
      <c r="D992" s="10">
        <f>CHOOSE(CONTROL!$C$42, 36.8248, 36.8248) * CHOOSE(CONTROL!$C$21, $C$9, 100%, $E$9)</f>
        <v>36.824800000000003</v>
      </c>
      <c r="E992" s="10">
        <f>CHOOSE(CONTROL!$C$42, 36.856, 36.856) * CHOOSE(CONTROL!$C$21, $C$9, 100%, $E$9)</f>
        <v>36.856000000000002</v>
      </c>
      <c r="F992" s="10">
        <f>CHOOSE(CONTROL!$C$42, 36.6038, 36.6038)*CHOOSE(CONTROL!$C$21, $C$9, 100%, $E$9)</f>
        <v>36.6038</v>
      </c>
      <c r="G992" s="10">
        <f>CHOOSE(CONTROL!$C$42, 36.6204, 36.6204)*CHOOSE(CONTROL!$C$21, $C$9, 100%, $E$9)</f>
        <v>36.620399999999997</v>
      </c>
      <c r="H992" s="10">
        <f>CHOOSE(CONTROL!$C$42, 36.8446, 36.8446) * CHOOSE(CONTROL!$C$21, $C$9, 100%, $E$9)</f>
        <v>36.8446</v>
      </c>
      <c r="I992" s="10">
        <f>CHOOSE(CONTROL!$C$42, 36.6245, 36.6245)* CHOOSE(CONTROL!$C$21, $C$9, 100%, $E$9)</f>
        <v>36.624499999999998</v>
      </c>
      <c r="J992" s="10">
        <f>CHOOSE(CONTROL!$C$42, 36.5968, 36.5968)* CHOOSE(CONTROL!$C$21, $C$9, 100%, $E$9)</f>
        <v>36.596800000000002</v>
      </c>
      <c r="K992" s="10">
        <f>CHOOSE(CONTROL!$C$42, 35.7194, 35.7194) * CHOOSE(CONTROL!$C$21, $C$9, 100%, $E$9)</f>
        <v>35.7194</v>
      </c>
      <c r="L992" s="10">
        <f>CHOOSE(CONTROL!$C$42, 37.4316, 37.4316) * CHOOSE(CONTROL!$C$21, $C$9, 100%, $E$9)</f>
        <v>37.431600000000003</v>
      </c>
      <c r="M992" s="10">
        <f>CHOOSE(CONTROL!$C$42, 36.2413, 36.2413) * CHOOSE(CONTROL!$C$21, $C$9, 100%, $E$9)</f>
        <v>36.241300000000003</v>
      </c>
      <c r="N992" s="10">
        <f>CHOOSE(CONTROL!$C$42, 36.2577, 36.2577) * CHOOSE(CONTROL!$C$21, $C$9, 100%, $E$9)</f>
        <v>36.2577</v>
      </c>
      <c r="O992" s="10">
        <f>CHOOSE(CONTROL!$C$42, 36.4866, 36.4866) * CHOOSE(CONTROL!$C$21, $C$9, 100%, $E$9)</f>
        <v>36.486600000000003</v>
      </c>
      <c r="P992" s="10">
        <f>CHOOSE(CONTROL!$C$42, 36.2688, 36.2688) * CHOOSE(CONTROL!$C$21, $C$9, 100%, $E$9)</f>
        <v>36.268799999999999</v>
      </c>
      <c r="Q992" s="10">
        <f>CHOOSE(CONTROL!$C$42, 37.0819, 37.0819) * CHOOSE(CONTROL!$C$21, $C$9, 100%, $E$9)</f>
        <v>37.081899999999997</v>
      </c>
      <c r="R992" s="10">
        <f>CHOOSE(CONTROL!$C$42, 37.7616, 37.7616) * CHOOSE(CONTROL!$C$21, $C$9, 100%, $E$9)</f>
        <v>37.761600000000001</v>
      </c>
      <c r="S992" s="10">
        <f>CHOOSE(CONTROL!$C$42, 35.5768, 35.5768) * CHOOSE(CONTROL!$C$21, $C$9, 100%, $E$9)</f>
        <v>35.576799999999999</v>
      </c>
      <c r="T9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38">
        <f>(1000*CHOOSE(CONTROL!$C$42, 695, 695)*CHOOSE(CONTROL!$C$42, 0.5599, 0.5599)*CHOOSE(CONTROL!$C$42, 31, 31))/1000000</f>
        <v>12.063045499999998</v>
      </c>
      <c r="V992" s="38">
        <f>(1000*CHOOSE(CONTROL!$C$42, 500, 500)*CHOOSE(CONTROL!$C$42, 0.275, 0.275)*CHOOSE(CONTROL!$C$42, 31, 31))/1000000</f>
        <v>4.2625000000000002</v>
      </c>
      <c r="W992" s="38">
        <f>(1000*CHOOSE(CONTROL!$C$42, 0.1146, 0.1146)*CHOOSE(CONTROL!$C$42, 121.5, 121.5)*CHOOSE(CONTROL!$C$42, 31, 31))/1000000</f>
        <v>0.43164089999999994</v>
      </c>
      <c r="X992" s="38">
        <f>(31*0.1790888*245000/1000000)+(31*0.2374*100000/1000000)</f>
        <v>2.0961194359999999</v>
      </c>
      <c r="Y992" s="38">
        <f>(1000*600*CHOOSE(CONTROL!$C$42, 1.0585, 1.0585)*CHOOSE(CONTROL!$C$42, 31, 31))/1000000</f>
        <v>19.688099999999999</v>
      </c>
      <c r="Z992" s="38"/>
      <c r="AA992" s="10"/>
      <c r="AB992" s="39"/>
      <c r="AC992" s="33">
        <f>(B992*194.205+C992*267.466+D992*133.845+E992*53.484+F992*40+G992*185+H992*0+I992*100+J992*300)/(194.205+267.466+133.845+53.484+0+40+185+100+300)</f>
        <v>36.654754050941911</v>
      </c>
      <c r="AD992" s="27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36.357379856115116</v>
      </c>
    </row>
    <row r="993" spans="1:30" ht="15.75" x14ac:dyDescent="0.25">
      <c r="A993" s="13">
        <v>71497</v>
      </c>
      <c r="B993" s="10">
        <f>CHOOSE(CONTROL!$C$42, 34.3141, 34.3141) * CHOOSE(CONTROL!$C$21, $C$9, 100%, $E$9)</f>
        <v>34.314100000000003</v>
      </c>
      <c r="C993" s="10">
        <f>CHOOSE(CONTROL!$C$42, 34.322, 34.322) * CHOOSE(CONTROL!$C$21, $C$9, 100%, $E$9)</f>
        <v>34.322000000000003</v>
      </c>
      <c r="D993" s="10">
        <f>CHOOSE(CONTROL!$C$42, 34.499, 34.499) * CHOOSE(CONTROL!$C$21, $C$9, 100%, $E$9)</f>
        <v>34.499000000000002</v>
      </c>
      <c r="E993" s="10">
        <f>CHOOSE(CONTROL!$C$42, 34.5301, 34.5301) * CHOOSE(CONTROL!$C$21, $C$9, 100%, $E$9)</f>
        <v>34.530099999999997</v>
      </c>
      <c r="F993" s="10">
        <f>CHOOSE(CONTROL!$C$42, 34.2777, 34.2777)*CHOOSE(CONTROL!$C$21, $C$9, 100%, $E$9)</f>
        <v>34.277700000000003</v>
      </c>
      <c r="G993" s="10">
        <f>CHOOSE(CONTROL!$C$42, 34.2942, 34.2942)*CHOOSE(CONTROL!$C$21, $C$9, 100%, $E$9)</f>
        <v>34.294199999999996</v>
      </c>
      <c r="H993" s="10">
        <f>CHOOSE(CONTROL!$C$42, 34.5188, 34.5188) * CHOOSE(CONTROL!$C$21, $C$9, 100%, $E$9)</f>
        <v>34.518799999999999</v>
      </c>
      <c r="I993" s="10">
        <f>CHOOSE(CONTROL!$C$42, 34.2987, 34.2987)* CHOOSE(CONTROL!$C$21, $C$9, 100%, $E$9)</f>
        <v>34.298699999999997</v>
      </c>
      <c r="J993" s="10">
        <f>CHOOSE(CONTROL!$C$42, 34.2707, 34.2707)* CHOOSE(CONTROL!$C$21, $C$9, 100%, $E$9)</f>
        <v>34.270699999999998</v>
      </c>
      <c r="K993" s="10">
        <f>CHOOSE(CONTROL!$C$42, 33.4591, 33.4591) * CHOOSE(CONTROL!$C$21, $C$9, 100%, $E$9)</f>
        <v>33.459099999999999</v>
      </c>
      <c r="L993" s="10">
        <f>CHOOSE(CONTROL!$C$42, 35.1058, 35.1058) * CHOOSE(CONTROL!$C$21, $C$9, 100%, $E$9)</f>
        <v>35.105800000000002</v>
      </c>
      <c r="M993" s="10">
        <f>CHOOSE(CONTROL!$C$42, 33.9387, 33.9387) * CHOOSE(CONTROL!$C$21, $C$9, 100%, $E$9)</f>
        <v>33.938699999999997</v>
      </c>
      <c r="N993" s="10">
        <f>CHOOSE(CONTROL!$C$42, 33.955, 33.955) * CHOOSE(CONTROL!$C$21, $C$9, 100%, $E$9)</f>
        <v>33.954999999999998</v>
      </c>
      <c r="O993" s="10">
        <f>CHOOSE(CONTROL!$C$42, 34.1842, 34.1842) * CHOOSE(CONTROL!$C$21, $C$9, 100%, $E$9)</f>
        <v>34.184199999999997</v>
      </c>
      <c r="P993" s="10">
        <f>CHOOSE(CONTROL!$C$42, 33.9664, 33.9664) * CHOOSE(CONTROL!$C$21, $C$9, 100%, $E$9)</f>
        <v>33.9664</v>
      </c>
      <c r="Q993" s="10">
        <f>CHOOSE(CONTROL!$C$42, 34.7795, 34.7795) * CHOOSE(CONTROL!$C$21, $C$9, 100%, $E$9)</f>
        <v>34.779499999999999</v>
      </c>
      <c r="R993" s="10">
        <f>CHOOSE(CONTROL!$C$42, 35.4535, 35.4535) * CHOOSE(CONTROL!$C$21, $C$9, 100%, $E$9)</f>
        <v>35.453499999999998</v>
      </c>
      <c r="S993" s="10">
        <f>CHOOSE(CONTROL!$C$42, 33.3182, 33.3182) * CHOOSE(CONTROL!$C$21, $C$9, 100%, $E$9)</f>
        <v>33.318199999999997</v>
      </c>
      <c r="T9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38">
        <f>(1000*CHOOSE(CONTROL!$C$42, 695, 695)*CHOOSE(CONTROL!$C$42, 0.5599, 0.5599)*CHOOSE(CONTROL!$C$42, 30, 30))/1000000</f>
        <v>11.673914999999997</v>
      </c>
      <c r="V993" s="38">
        <f>(1000*CHOOSE(CONTROL!$C$42, 500, 500)*CHOOSE(CONTROL!$C$42, 0.275, 0.275)*CHOOSE(CONTROL!$C$42, 30, 30))/1000000</f>
        <v>4.125</v>
      </c>
      <c r="W993" s="38">
        <f>(1000*CHOOSE(CONTROL!$C$42, 0.1146, 0.1146)*CHOOSE(CONTROL!$C$42, 121.5, 121.5)*CHOOSE(CONTROL!$C$42, 30, 30))/1000000</f>
        <v>0.417717</v>
      </c>
      <c r="X993" s="38">
        <f>(30*0.1790888*245000/1000000)+(30*0.2374*100000/1000000)</f>
        <v>2.0285026799999999</v>
      </c>
      <c r="Y993" s="38">
        <f>(1000*600*CHOOSE(CONTROL!$C$42, 1.0585, 1.0585)*CHOOSE(CONTROL!$C$42, 30, 30))/1000000</f>
        <v>19.053000000000001</v>
      </c>
      <c r="Z993" s="38"/>
      <c r="AA993" s="10"/>
      <c r="AB993" s="39"/>
      <c r="AC993" s="33">
        <f>(B993*194.205+C993*267.466+D993*133.845+E993*53.484+F993*40+G993*185+H993*0+I993*100+J993*300)/(194.205+267.466+133.845+53.484+0+40+185+100+300)</f>
        <v>34.328790711067505</v>
      </c>
      <c r="AD993" s="27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34.054893525179857</v>
      </c>
    </row>
    <row r="994" spans="1:30" ht="15.75" x14ac:dyDescent="0.25">
      <c r="A994" s="13">
        <v>71528</v>
      </c>
      <c r="B994" s="10">
        <f>CHOOSE(CONTROL!$C$42, 33.6153, 33.6153) * CHOOSE(CONTROL!$C$21, $C$9, 100%, $E$9)</f>
        <v>33.615299999999998</v>
      </c>
      <c r="C994" s="10">
        <f>CHOOSE(CONTROL!$C$42, 33.6206, 33.6206) * CHOOSE(CONTROL!$C$21, $C$9, 100%, $E$9)</f>
        <v>33.620600000000003</v>
      </c>
      <c r="D994" s="10">
        <f>CHOOSE(CONTROL!$C$42, 33.8025, 33.8025) * CHOOSE(CONTROL!$C$21, $C$9, 100%, $E$9)</f>
        <v>33.802500000000002</v>
      </c>
      <c r="E994" s="10">
        <f>CHOOSE(CONTROL!$C$42, 33.8313, 33.8313) * CHOOSE(CONTROL!$C$21, $C$9, 100%, $E$9)</f>
        <v>33.831299999999999</v>
      </c>
      <c r="F994" s="10">
        <f>CHOOSE(CONTROL!$C$42, 33.581, 33.581)*CHOOSE(CONTROL!$C$21, $C$9, 100%, $E$9)</f>
        <v>33.581000000000003</v>
      </c>
      <c r="G994" s="10">
        <f>CHOOSE(CONTROL!$C$42, 33.5972, 33.5972)*CHOOSE(CONTROL!$C$21, $C$9, 100%, $E$9)</f>
        <v>33.597200000000001</v>
      </c>
      <c r="H994" s="10">
        <f>CHOOSE(CONTROL!$C$42, 33.8218, 33.8218) * CHOOSE(CONTROL!$C$21, $C$9, 100%, $E$9)</f>
        <v>33.821800000000003</v>
      </c>
      <c r="I994" s="10">
        <f>CHOOSE(CONTROL!$C$42, 33.6017, 33.6017)* CHOOSE(CONTROL!$C$21, $C$9, 100%, $E$9)</f>
        <v>33.601700000000001</v>
      </c>
      <c r="J994" s="10">
        <f>CHOOSE(CONTROL!$C$42, 33.574, 33.574)* CHOOSE(CONTROL!$C$21, $C$9, 100%, $E$9)</f>
        <v>33.573999999999998</v>
      </c>
      <c r="K994" s="10">
        <f>CHOOSE(CONTROL!$C$42, 32.7825, 32.7825) * CHOOSE(CONTROL!$C$21, $C$9, 100%, $E$9)</f>
        <v>32.782499999999999</v>
      </c>
      <c r="L994" s="10">
        <f>CHOOSE(CONTROL!$C$42, 34.4088, 34.4088) * CHOOSE(CONTROL!$C$21, $C$9, 100%, $E$9)</f>
        <v>34.408799999999999</v>
      </c>
      <c r="M994" s="10">
        <f>CHOOSE(CONTROL!$C$42, 33.249, 33.249) * CHOOSE(CONTROL!$C$21, $C$9, 100%, $E$9)</f>
        <v>33.249000000000002</v>
      </c>
      <c r="N994" s="10">
        <f>CHOOSE(CONTROL!$C$42, 33.265, 33.265) * CHOOSE(CONTROL!$C$21, $C$9, 100%, $E$9)</f>
        <v>33.265000000000001</v>
      </c>
      <c r="O994" s="10">
        <f>CHOOSE(CONTROL!$C$42, 33.4943, 33.4943) * CHOOSE(CONTROL!$C$21, $C$9, 100%, $E$9)</f>
        <v>33.494300000000003</v>
      </c>
      <c r="P994" s="10">
        <f>CHOOSE(CONTROL!$C$42, 33.2765, 33.2765) * CHOOSE(CONTROL!$C$21, $C$9, 100%, $E$9)</f>
        <v>33.276499999999999</v>
      </c>
      <c r="Q994" s="10">
        <f>CHOOSE(CONTROL!$C$42, 34.0896, 34.0896) * CHOOSE(CONTROL!$C$21, $C$9, 100%, $E$9)</f>
        <v>34.089599999999997</v>
      </c>
      <c r="R994" s="10">
        <f>CHOOSE(CONTROL!$C$42, 34.7618, 34.7618) * CHOOSE(CONTROL!$C$21, $C$9, 100%, $E$9)</f>
        <v>34.761800000000001</v>
      </c>
      <c r="S994" s="10">
        <f>CHOOSE(CONTROL!$C$42, 32.6413, 32.6413) * CHOOSE(CONTROL!$C$21, $C$9, 100%, $E$9)</f>
        <v>32.641300000000001</v>
      </c>
      <c r="T9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38">
        <f>(1000*CHOOSE(CONTROL!$C$42, 695, 695)*CHOOSE(CONTROL!$C$42, 0.5599, 0.5599)*CHOOSE(CONTROL!$C$42, 31, 31))/1000000</f>
        <v>12.063045499999998</v>
      </c>
      <c r="V994" s="38">
        <f>(1000*CHOOSE(CONTROL!$C$42, 500, 500)*CHOOSE(CONTROL!$C$42, 0.275, 0.275)*CHOOSE(CONTROL!$C$42, 31, 31))/1000000</f>
        <v>4.2625000000000002</v>
      </c>
      <c r="W994" s="38">
        <f>(1000*CHOOSE(CONTROL!$C$42, 0.1146, 0.1146)*CHOOSE(CONTROL!$C$42, 121.5, 121.5)*CHOOSE(CONTROL!$C$42, 31, 31))/1000000</f>
        <v>0.43164089999999994</v>
      </c>
      <c r="X994" s="38">
        <f>(31*0.1790888*245000/1000000)+(31*0.2374*100000/1000000)</f>
        <v>2.0961194359999999</v>
      </c>
      <c r="Y994" s="38">
        <f>(1000*600*CHOOSE(CONTROL!$C$42, 1.0585, 1.0585)*CHOOSE(CONTROL!$C$42, 31, 31))/1000000</f>
        <v>19.688099999999999</v>
      </c>
      <c r="Z994" s="38"/>
      <c r="AA994" s="10"/>
      <c r="AB994" s="39"/>
      <c r="AC994" s="33">
        <f>(B994*131.881+C994*277.167+D994*79.08+E994*125.872+F994*40+G994*185+H994*0+I994*100+J994*300)/(131.881+277.167+79.08+125.872+0+40+185+100+300)</f>
        <v>33.635469986359965</v>
      </c>
      <c r="AD994" s="27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33.365056834532375</v>
      </c>
    </row>
    <row r="995" spans="1:30" ht="15.75" x14ac:dyDescent="0.25">
      <c r="A995" s="13">
        <v>71558</v>
      </c>
      <c r="B995" s="10">
        <f>CHOOSE(CONTROL!$C$42, 34.5004, 34.5004) * CHOOSE(CONTROL!$C$21, $C$9, 100%, $E$9)</f>
        <v>34.500399999999999</v>
      </c>
      <c r="C995" s="10">
        <f>CHOOSE(CONTROL!$C$42, 34.5054, 34.5054) * CHOOSE(CONTROL!$C$21, $C$9, 100%, $E$9)</f>
        <v>34.505400000000002</v>
      </c>
      <c r="D995" s="10">
        <f>CHOOSE(CONTROL!$C$42, 34.5298, 34.5298) * CHOOSE(CONTROL!$C$21, $C$9, 100%, $E$9)</f>
        <v>34.529800000000002</v>
      </c>
      <c r="E995" s="10">
        <f>CHOOSE(CONTROL!$C$42, 34.5636, 34.5636) * CHOOSE(CONTROL!$C$21, $C$9, 100%, $E$9)</f>
        <v>34.563600000000001</v>
      </c>
      <c r="F995" s="10">
        <f>CHOOSE(CONTROL!$C$42, 34.4697, 34.4697)*CHOOSE(CONTROL!$C$21, $C$9, 100%, $E$9)</f>
        <v>34.469700000000003</v>
      </c>
      <c r="G995" s="10">
        <f>CHOOSE(CONTROL!$C$42, 34.4862, 34.4862)*CHOOSE(CONTROL!$C$21, $C$9, 100%, $E$9)</f>
        <v>34.486199999999997</v>
      </c>
      <c r="H995" s="10">
        <f>CHOOSE(CONTROL!$C$42, 34.5528, 34.5528) * CHOOSE(CONTROL!$C$21, $C$9, 100%, $E$9)</f>
        <v>34.552799999999998</v>
      </c>
      <c r="I995" s="10">
        <f>CHOOSE(CONTROL!$C$42, 34.4872, 34.4872)* CHOOSE(CONTROL!$C$21, $C$9, 100%, $E$9)</f>
        <v>34.487200000000001</v>
      </c>
      <c r="J995" s="10">
        <f>CHOOSE(CONTROL!$C$42, 34.4627, 34.4627)* CHOOSE(CONTROL!$C$21, $C$9, 100%, $E$9)</f>
        <v>34.462699999999998</v>
      </c>
      <c r="K995" s="10">
        <f>CHOOSE(CONTROL!$C$42, 33.6443, 33.6443) * CHOOSE(CONTROL!$C$21, $C$9, 100%, $E$9)</f>
        <v>33.644300000000001</v>
      </c>
      <c r="L995" s="10">
        <f>CHOOSE(CONTROL!$C$42, 35.1398, 35.1398) * CHOOSE(CONTROL!$C$21, $C$9, 100%, $E$9)</f>
        <v>35.139800000000001</v>
      </c>
      <c r="M995" s="10">
        <f>CHOOSE(CONTROL!$C$42, 34.1288, 34.1288) * CHOOSE(CONTROL!$C$21, $C$9, 100%, $E$9)</f>
        <v>34.128799999999998</v>
      </c>
      <c r="N995" s="10">
        <f>CHOOSE(CONTROL!$C$42, 34.145, 34.145) * CHOOSE(CONTROL!$C$21, $C$9, 100%, $E$9)</f>
        <v>34.145000000000003</v>
      </c>
      <c r="O995" s="10">
        <f>CHOOSE(CONTROL!$C$42, 34.2179, 34.2179) * CHOOSE(CONTROL!$C$21, $C$9, 100%, $E$9)</f>
        <v>34.2179</v>
      </c>
      <c r="P995" s="10">
        <f>CHOOSE(CONTROL!$C$42, 34.153, 34.153) * CHOOSE(CONTROL!$C$21, $C$9, 100%, $E$9)</f>
        <v>34.152999999999999</v>
      </c>
      <c r="Q995" s="10">
        <f>CHOOSE(CONTROL!$C$42, 34.8132, 34.8132) * CHOOSE(CONTROL!$C$21, $C$9, 100%, $E$9)</f>
        <v>34.813200000000002</v>
      </c>
      <c r="R995" s="10">
        <f>CHOOSE(CONTROL!$C$42, 35.4873, 35.4873) * CHOOSE(CONTROL!$C$21, $C$9, 100%, $E$9)</f>
        <v>35.487299999999998</v>
      </c>
      <c r="S995" s="10">
        <f>CHOOSE(CONTROL!$C$42, 33.5012, 33.5012) * CHOOSE(CONTROL!$C$21, $C$9, 100%, $E$9)</f>
        <v>33.501199999999997</v>
      </c>
      <c r="T9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38">
        <f>(1000*CHOOSE(CONTROL!$C$42, 695, 695)*CHOOSE(CONTROL!$C$42, 0.5599, 0.5599)*CHOOSE(CONTROL!$C$42, 30, 30))/1000000</f>
        <v>11.673914999999997</v>
      </c>
      <c r="V995" s="38">
        <f>(1000*CHOOSE(CONTROL!$C$42, 500, 500)*CHOOSE(CONTROL!$C$42, 0.275, 0.275)*CHOOSE(CONTROL!$C$42, 30, 30))/1000000</f>
        <v>4.125</v>
      </c>
      <c r="W995" s="38">
        <f>(1000*CHOOSE(CONTROL!$C$42, 0.1146, 0.1146)*CHOOSE(CONTROL!$C$42, 121.5, 121.5)*CHOOSE(CONTROL!$C$42, 30, 30))/1000000</f>
        <v>0.417717</v>
      </c>
      <c r="X995" s="38">
        <f>(30*0.1790888*100000/1000000)+(30*0.2374*100000/1000000)</f>
        <v>1.2494664</v>
      </c>
      <c r="Y995" s="38">
        <f>(1000*600*CHOOSE(CONTROL!$C$42, 1.0585, 1.0585)*CHOOSE(CONTROL!$C$42, 30, 30))/1000000</f>
        <v>19.053000000000001</v>
      </c>
      <c r="Z995" s="38"/>
      <c r="AA995" s="10"/>
      <c r="AB995" s="39"/>
      <c r="AC995" s="33">
        <f>(B995*122.58+C995*297.941+D995*89.177+E995*40.302+F995*40+G995*160+H995*0+I995*100+J995*300)/(122.58+297.941+89.177+40.302+0+40+160+100+300)</f>
        <v>34.492163995826083</v>
      </c>
      <c r="AD995" s="27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34.173597841726618</v>
      </c>
    </row>
    <row r="996" spans="1:30" ht="15.75" x14ac:dyDescent="0.25">
      <c r="A996" s="13">
        <v>71589</v>
      </c>
      <c r="B996" s="10">
        <f>CHOOSE(CONTROL!$C$42, 36.8524, 36.8524) * CHOOSE(CONTROL!$C$21, $C$9, 100%, $E$9)</f>
        <v>36.852400000000003</v>
      </c>
      <c r="C996" s="10">
        <f>CHOOSE(CONTROL!$C$42, 36.8574, 36.8574) * CHOOSE(CONTROL!$C$21, $C$9, 100%, $E$9)</f>
        <v>36.857399999999998</v>
      </c>
      <c r="D996" s="10">
        <f>CHOOSE(CONTROL!$C$42, 36.8819, 36.8819) * CHOOSE(CONTROL!$C$21, $C$9, 100%, $E$9)</f>
        <v>36.881900000000002</v>
      </c>
      <c r="E996" s="10">
        <f>CHOOSE(CONTROL!$C$42, 36.9156, 36.9156) * CHOOSE(CONTROL!$C$21, $C$9, 100%, $E$9)</f>
        <v>36.915599999999998</v>
      </c>
      <c r="F996" s="10">
        <f>CHOOSE(CONTROL!$C$42, 36.8241, 36.8241)*CHOOSE(CONTROL!$C$21, $C$9, 100%, $E$9)</f>
        <v>36.824100000000001</v>
      </c>
      <c r="G996" s="10">
        <f>CHOOSE(CONTROL!$C$42, 36.8411, 36.8411)*CHOOSE(CONTROL!$C$21, $C$9, 100%, $E$9)</f>
        <v>36.841099999999997</v>
      </c>
      <c r="H996" s="10">
        <f>CHOOSE(CONTROL!$C$42, 36.9048, 36.9048) * CHOOSE(CONTROL!$C$21, $C$9, 100%, $E$9)</f>
        <v>36.904800000000002</v>
      </c>
      <c r="I996" s="10">
        <f>CHOOSE(CONTROL!$C$42, 36.8392, 36.8392)* CHOOSE(CONTROL!$C$21, $C$9, 100%, $E$9)</f>
        <v>36.839199999999998</v>
      </c>
      <c r="J996" s="10">
        <f>CHOOSE(CONTROL!$C$42, 36.8171, 36.8171)* CHOOSE(CONTROL!$C$21, $C$9, 100%, $E$9)</f>
        <v>36.817100000000003</v>
      </c>
      <c r="K996" s="10">
        <f>CHOOSE(CONTROL!$C$42, 35.9345, 35.9345) * CHOOSE(CONTROL!$C$21, $C$9, 100%, $E$9)</f>
        <v>35.9345</v>
      </c>
      <c r="L996" s="10">
        <f>CHOOSE(CONTROL!$C$42, 37.4918, 37.4918) * CHOOSE(CONTROL!$C$21, $C$9, 100%, $E$9)</f>
        <v>37.491799999999998</v>
      </c>
      <c r="M996" s="10">
        <f>CHOOSE(CONTROL!$C$42, 36.4594, 36.4594) * CHOOSE(CONTROL!$C$21, $C$9, 100%, $E$9)</f>
        <v>36.459400000000002</v>
      </c>
      <c r="N996" s="10">
        <f>CHOOSE(CONTROL!$C$42, 36.4762, 36.4762) * CHOOSE(CONTROL!$C$21, $C$9, 100%, $E$9)</f>
        <v>36.476199999999999</v>
      </c>
      <c r="O996" s="10">
        <f>CHOOSE(CONTROL!$C$42, 36.5462, 36.5462) * CHOOSE(CONTROL!$C$21, $C$9, 100%, $E$9)</f>
        <v>36.546199999999999</v>
      </c>
      <c r="P996" s="10">
        <f>CHOOSE(CONTROL!$C$42, 36.4813, 36.4813) * CHOOSE(CONTROL!$C$21, $C$9, 100%, $E$9)</f>
        <v>36.481299999999997</v>
      </c>
      <c r="Q996" s="10">
        <f>CHOOSE(CONTROL!$C$42, 37.1415, 37.1415) * CHOOSE(CONTROL!$C$21, $C$9, 100%, $E$9)</f>
        <v>37.141500000000001</v>
      </c>
      <c r="R996" s="10">
        <f>CHOOSE(CONTROL!$C$42, 37.8214, 37.8214) * CHOOSE(CONTROL!$C$21, $C$9, 100%, $E$9)</f>
        <v>37.821399999999997</v>
      </c>
      <c r="S996" s="10">
        <f>CHOOSE(CONTROL!$C$42, 35.7853, 35.7853) * CHOOSE(CONTROL!$C$21, $C$9, 100%, $E$9)</f>
        <v>35.785299999999999</v>
      </c>
      <c r="T9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38">
        <f>(1000*CHOOSE(CONTROL!$C$42, 695, 695)*CHOOSE(CONTROL!$C$42, 0.5599, 0.5599)*CHOOSE(CONTROL!$C$42, 31, 31))/1000000</f>
        <v>12.063045499999998</v>
      </c>
      <c r="V996" s="38">
        <f>(1000*CHOOSE(CONTROL!$C$42, 500, 500)*CHOOSE(CONTROL!$C$42, 0.275, 0.275)*CHOOSE(CONTROL!$C$42, 31, 31))/1000000</f>
        <v>4.2625000000000002</v>
      </c>
      <c r="W996" s="38">
        <f>(1000*CHOOSE(CONTROL!$C$42, 0.1146, 0.1146)*CHOOSE(CONTROL!$C$42, 121.5, 121.5)*CHOOSE(CONTROL!$C$42, 31, 31))/1000000</f>
        <v>0.43164089999999994</v>
      </c>
      <c r="X996" s="38">
        <f>(31*0.1790888*100000/1000000)+(31*0.2374*100000/1000000)</f>
        <v>1.2911152800000001</v>
      </c>
      <c r="Y996" s="38">
        <f>(1000*600*CHOOSE(CONTROL!$C$42, 1.0585, 1.0585)*CHOOSE(CONTROL!$C$42, 31, 31))/1000000</f>
        <v>19.688099999999999</v>
      </c>
      <c r="Z996" s="38"/>
      <c r="AA996" s="10"/>
      <c r="AB996" s="39"/>
      <c r="AC996" s="33">
        <f>(B996*122.58+C996*297.941+D996*89.177+E996*40.302+F996*40+G996*160+H996*0+I996*100+J996*300)/(122.58+297.941+89.177+40.302+0+40+160+100+300)</f>
        <v>36.845284793826082</v>
      </c>
      <c r="AD996" s="27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36.502858992805763</v>
      </c>
    </row>
    <row r="997" spans="1:30" ht="15.75" x14ac:dyDescent="0.25">
      <c r="A997" s="13">
        <v>71620</v>
      </c>
      <c r="B997" s="10">
        <f>CHOOSE(CONTROL!$C$42, 39.3396, 39.3396) * CHOOSE(CONTROL!$C$21, $C$9, 100%, $E$9)</f>
        <v>39.339599999999997</v>
      </c>
      <c r="C997" s="10">
        <f>CHOOSE(CONTROL!$C$42, 39.3445, 39.3445) * CHOOSE(CONTROL!$C$21, $C$9, 100%, $E$9)</f>
        <v>39.344499999999996</v>
      </c>
      <c r="D997" s="10">
        <f>CHOOSE(CONTROL!$C$42, 39.369, 39.369) * CHOOSE(CONTROL!$C$21, $C$9, 100%, $E$9)</f>
        <v>39.369</v>
      </c>
      <c r="E997" s="10">
        <f>CHOOSE(CONTROL!$C$42, 39.4028, 39.4028) * CHOOSE(CONTROL!$C$21, $C$9, 100%, $E$9)</f>
        <v>39.402799999999999</v>
      </c>
      <c r="F997" s="10">
        <f>CHOOSE(CONTROL!$C$42, 39.3225, 39.3225)*CHOOSE(CONTROL!$C$21, $C$9, 100%, $E$9)</f>
        <v>39.322499999999998</v>
      </c>
      <c r="G997" s="10">
        <f>CHOOSE(CONTROL!$C$42, 39.3412, 39.3412)*CHOOSE(CONTROL!$C$21, $C$9, 100%, $E$9)</f>
        <v>39.341200000000001</v>
      </c>
      <c r="H997" s="10">
        <f>CHOOSE(CONTROL!$C$42, 39.392, 39.392) * CHOOSE(CONTROL!$C$21, $C$9, 100%, $E$9)</f>
        <v>39.392000000000003</v>
      </c>
      <c r="I997" s="10">
        <f>CHOOSE(CONTROL!$C$42, 39.3341, 39.3341)* CHOOSE(CONTROL!$C$21, $C$9, 100%, $E$9)</f>
        <v>39.334099999999999</v>
      </c>
      <c r="J997" s="10">
        <f>CHOOSE(CONTROL!$C$42, 39.3155, 39.3155)* CHOOSE(CONTROL!$C$21, $C$9, 100%, $E$9)</f>
        <v>39.3155</v>
      </c>
      <c r="K997" s="10">
        <f>CHOOSE(CONTROL!$C$42, 38.3719, 38.3719) * CHOOSE(CONTROL!$C$21, $C$9, 100%, $E$9)</f>
        <v>38.371899999999997</v>
      </c>
      <c r="L997" s="10">
        <f>CHOOSE(CONTROL!$C$42, 39.979, 39.979) * CHOOSE(CONTROL!$C$21, $C$9, 100%, $E$9)</f>
        <v>39.978999999999999</v>
      </c>
      <c r="M997" s="10">
        <f>CHOOSE(CONTROL!$C$42, 38.9326, 38.9326) * CHOOSE(CONTROL!$C$21, $C$9, 100%, $E$9)</f>
        <v>38.932600000000001</v>
      </c>
      <c r="N997" s="10">
        <f>CHOOSE(CONTROL!$C$42, 38.9511, 38.9511) * CHOOSE(CONTROL!$C$21, $C$9, 100%, $E$9)</f>
        <v>38.951099999999997</v>
      </c>
      <c r="O997" s="10">
        <f>CHOOSE(CONTROL!$C$42, 39.0083, 39.0083) * CHOOSE(CONTROL!$C$21, $C$9, 100%, $E$9)</f>
        <v>39.008299999999998</v>
      </c>
      <c r="P997" s="10">
        <f>CHOOSE(CONTROL!$C$42, 38.951, 38.951) * CHOOSE(CONTROL!$C$21, $C$9, 100%, $E$9)</f>
        <v>38.951000000000001</v>
      </c>
      <c r="Q997" s="10">
        <f>CHOOSE(CONTROL!$C$42, 39.6036, 39.6036) * CHOOSE(CONTROL!$C$21, $C$9, 100%, $E$9)</f>
        <v>39.6036</v>
      </c>
      <c r="R997" s="10">
        <f>CHOOSE(CONTROL!$C$42, 40.2896, 40.2896) * CHOOSE(CONTROL!$C$21, $C$9, 100%, $E$9)</f>
        <v>40.2896</v>
      </c>
      <c r="S997" s="10">
        <f>CHOOSE(CONTROL!$C$42, 38.2005, 38.2005) * CHOOSE(CONTROL!$C$21, $C$9, 100%, $E$9)</f>
        <v>38.200499999999998</v>
      </c>
      <c r="T9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38">
        <f>(1000*CHOOSE(CONTROL!$C$42, 695, 695)*CHOOSE(CONTROL!$C$42, 0.5599, 0.5599)*CHOOSE(CONTROL!$C$42, 31, 31))/1000000</f>
        <v>12.063045499999998</v>
      </c>
      <c r="V997" s="38">
        <f>(1000*CHOOSE(CONTROL!$C$42, 500, 500)*CHOOSE(CONTROL!$C$42, 0.275, 0.275)*CHOOSE(CONTROL!$C$42, 31, 31))/1000000</f>
        <v>4.2625000000000002</v>
      </c>
      <c r="W997" s="38">
        <f>(1000*CHOOSE(CONTROL!$C$42, 0.1146, 0.1146)*CHOOSE(CONTROL!$C$42, 121.5, 121.5)*CHOOSE(CONTROL!$C$42, 31, 31))/1000000</f>
        <v>0.43164089999999994</v>
      </c>
      <c r="X997" s="38">
        <f>(31*0.1790888*100000/1000000)+(31*0.2374*100000/1000000)</f>
        <v>1.2911152800000001</v>
      </c>
      <c r="Y997" s="38">
        <f>(1000*600*CHOOSE(CONTROL!$C$42, 1.0585, 1.0585)*CHOOSE(CONTROL!$C$42, 31, 31))/1000000</f>
        <v>19.688099999999999</v>
      </c>
      <c r="Z997" s="38"/>
      <c r="AA997" s="10"/>
      <c r="AB997" s="39"/>
      <c r="AC997" s="33">
        <f>(B997*122.58+C997*297.941+D997*89.177+E997*40.302+F997*40+G997*160+H997*0+I997*100+J997*300)/(122.58+297.941+89.177+40.302+0+40+160+100+300)</f>
        <v>39.338226783565219</v>
      </c>
      <c r="AD997" s="27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38.970622302158269</v>
      </c>
    </row>
    <row r="998" spans="1:30" ht="15.75" x14ac:dyDescent="0.25">
      <c r="A998" s="13">
        <v>71649</v>
      </c>
      <c r="B998" s="10">
        <f>CHOOSE(CONTROL!$C$42, 40.0398, 40.0398) * CHOOSE(CONTROL!$C$21, $C$9, 100%, $E$9)</f>
        <v>40.0398</v>
      </c>
      <c r="C998" s="10">
        <f>CHOOSE(CONTROL!$C$42, 40.0448, 40.0448) * CHOOSE(CONTROL!$C$21, $C$9, 100%, $E$9)</f>
        <v>40.044800000000002</v>
      </c>
      <c r="D998" s="10">
        <f>CHOOSE(CONTROL!$C$42, 40.0692, 40.0692) * CHOOSE(CONTROL!$C$21, $C$9, 100%, $E$9)</f>
        <v>40.069200000000002</v>
      </c>
      <c r="E998" s="10">
        <f>CHOOSE(CONTROL!$C$42, 40.103, 40.103) * CHOOSE(CONTROL!$C$21, $C$9, 100%, $E$9)</f>
        <v>40.103000000000002</v>
      </c>
      <c r="F998" s="10">
        <f>CHOOSE(CONTROL!$C$42, 40.0221, 40.0221)*CHOOSE(CONTROL!$C$21, $C$9, 100%, $E$9)</f>
        <v>40.022100000000002</v>
      </c>
      <c r="G998" s="10">
        <f>CHOOSE(CONTROL!$C$42, 40.0406, 40.0406)*CHOOSE(CONTROL!$C$21, $C$9, 100%, $E$9)</f>
        <v>40.040599999999998</v>
      </c>
      <c r="H998" s="10">
        <f>CHOOSE(CONTROL!$C$42, 40.0922, 40.0922) * CHOOSE(CONTROL!$C$21, $C$9, 100%, $E$9)</f>
        <v>40.092199999999998</v>
      </c>
      <c r="I998" s="10">
        <f>CHOOSE(CONTROL!$C$42, 40.0343, 40.0343)* CHOOSE(CONTROL!$C$21, $C$9, 100%, $E$9)</f>
        <v>40.034300000000002</v>
      </c>
      <c r="J998" s="10">
        <f>CHOOSE(CONTROL!$C$42, 40.0151, 40.0151)* CHOOSE(CONTROL!$C$21, $C$9, 100%, $E$9)</f>
        <v>40.015099999999997</v>
      </c>
      <c r="K998" s="10">
        <f>CHOOSE(CONTROL!$C$42, 39.0508, 39.0508) * CHOOSE(CONTROL!$C$21, $C$9, 100%, $E$9)</f>
        <v>39.050800000000002</v>
      </c>
      <c r="L998" s="10">
        <f>CHOOSE(CONTROL!$C$42, 40.6792, 40.6792) * CHOOSE(CONTROL!$C$21, $C$9, 100%, $E$9)</f>
        <v>40.679200000000002</v>
      </c>
      <c r="M998" s="10">
        <f>CHOOSE(CONTROL!$C$42, 39.6251, 39.6251) * CHOOSE(CONTROL!$C$21, $C$9, 100%, $E$9)</f>
        <v>39.625100000000003</v>
      </c>
      <c r="N998" s="10">
        <f>CHOOSE(CONTROL!$C$42, 39.6434, 39.6434) * CHOOSE(CONTROL!$C$21, $C$9, 100%, $E$9)</f>
        <v>39.6434</v>
      </c>
      <c r="O998" s="10">
        <f>CHOOSE(CONTROL!$C$42, 39.7014, 39.7014) * CHOOSE(CONTROL!$C$21, $C$9, 100%, $E$9)</f>
        <v>39.7014</v>
      </c>
      <c r="P998" s="10">
        <f>CHOOSE(CONTROL!$C$42, 39.6442, 39.6442) * CHOOSE(CONTROL!$C$21, $C$9, 100%, $E$9)</f>
        <v>39.644199999999998</v>
      </c>
      <c r="Q998" s="10">
        <f>CHOOSE(CONTROL!$C$42, 40.2967, 40.2967) * CHOOSE(CONTROL!$C$21, $C$9, 100%, $E$9)</f>
        <v>40.296700000000001</v>
      </c>
      <c r="R998" s="10">
        <f>CHOOSE(CONTROL!$C$42, 40.9845, 40.9845) * CHOOSE(CONTROL!$C$21, $C$9, 100%, $E$9)</f>
        <v>40.984499999999997</v>
      </c>
      <c r="S998" s="10">
        <f>CHOOSE(CONTROL!$C$42, 38.8805, 38.8805) * CHOOSE(CONTROL!$C$21, $C$9, 100%, $E$9)</f>
        <v>38.880499999999998</v>
      </c>
      <c r="T99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98" s="38">
        <f>(1000*CHOOSE(CONTROL!$C$42, 695, 695)*CHOOSE(CONTROL!$C$42, 0.5599, 0.5599)*CHOOSE(CONTROL!$C$42, 29, 29))/1000000</f>
        <v>11.284784499999999</v>
      </c>
      <c r="V998" s="38">
        <f>(1000*CHOOSE(CONTROL!$C$42, 500, 500)*CHOOSE(CONTROL!$C$42, 0.275, 0.275)*CHOOSE(CONTROL!$C$42, 29, 29))/1000000</f>
        <v>3.9874999999999998</v>
      </c>
      <c r="W998" s="38">
        <f>(1000*CHOOSE(CONTROL!$C$42, 0.1146, 0.1146)*CHOOSE(CONTROL!$C$42, 121.5, 121.5)*CHOOSE(CONTROL!$C$42, 29, 29))/1000000</f>
        <v>0.40379309999999996</v>
      </c>
      <c r="X998" s="38">
        <f>(29*0.1790888*100000/1000000)+(29*0.2374*100000/1000000)</f>
        <v>1.2078175199999999</v>
      </c>
      <c r="Y998" s="38">
        <f>(1000*600*CHOOSE(CONTROL!$C$42, 1.0585, 1.0585)*CHOOSE(CONTROL!$C$42, 29, 29))/1000000</f>
        <v>18.417899999999999</v>
      </c>
      <c r="Z998" s="38"/>
      <c r="AA998" s="10"/>
      <c r="AB998" s="39"/>
      <c r="AC998" s="33">
        <f>(B998*122.58+C998*297.941+D998*89.177+E998*40.302+F998*40+G998*160+H998*0+I998*100+J998*300)/(122.58+297.941+89.177+40.302+0+40+160+100+300)</f>
        <v>40.038163995826082</v>
      </c>
      <c r="AD998" s="27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39.663483453237411</v>
      </c>
    </row>
    <row r="999" spans="1:30" ht="15.75" x14ac:dyDescent="0.25">
      <c r="A999" s="13">
        <v>71680</v>
      </c>
      <c r="B999" s="10">
        <f>CHOOSE(CONTROL!$C$42, 38.9032, 38.9032) * CHOOSE(CONTROL!$C$21, $C$9, 100%, $E$9)</f>
        <v>38.903199999999998</v>
      </c>
      <c r="C999" s="10">
        <f>CHOOSE(CONTROL!$C$42, 38.9081, 38.9081) * CHOOSE(CONTROL!$C$21, $C$9, 100%, $E$9)</f>
        <v>38.908099999999997</v>
      </c>
      <c r="D999" s="10">
        <f>CHOOSE(CONTROL!$C$42, 38.9326, 38.9326) * CHOOSE(CONTROL!$C$21, $C$9, 100%, $E$9)</f>
        <v>38.932600000000001</v>
      </c>
      <c r="E999" s="10">
        <f>CHOOSE(CONTROL!$C$42, 38.9663, 38.9663) * CHOOSE(CONTROL!$C$21, $C$9, 100%, $E$9)</f>
        <v>38.966299999999997</v>
      </c>
      <c r="F999" s="10">
        <f>CHOOSE(CONTROL!$C$42, 38.8839, 38.8839)*CHOOSE(CONTROL!$C$21, $C$9, 100%, $E$9)</f>
        <v>38.883899999999997</v>
      </c>
      <c r="G999" s="10">
        <f>CHOOSE(CONTROL!$C$42, 38.902, 38.902)*CHOOSE(CONTROL!$C$21, $C$9, 100%, $E$9)</f>
        <v>38.902000000000001</v>
      </c>
      <c r="H999" s="10">
        <f>CHOOSE(CONTROL!$C$42, 38.9555, 38.9555) * CHOOSE(CONTROL!$C$21, $C$9, 100%, $E$9)</f>
        <v>38.955500000000001</v>
      </c>
      <c r="I999" s="10">
        <f>CHOOSE(CONTROL!$C$42, 38.8976, 38.8976)* CHOOSE(CONTROL!$C$21, $C$9, 100%, $E$9)</f>
        <v>38.897599999999997</v>
      </c>
      <c r="J999" s="10">
        <f>CHOOSE(CONTROL!$C$42, 38.8769, 38.8769)* CHOOSE(CONTROL!$C$21, $C$9, 100%, $E$9)</f>
        <v>38.876899999999999</v>
      </c>
      <c r="K999" s="10">
        <f>CHOOSE(CONTROL!$C$42, 37.9431, 37.9431) * CHOOSE(CONTROL!$C$21, $C$9, 100%, $E$9)</f>
        <v>37.943100000000001</v>
      </c>
      <c r="L999" s="10">
        <f>CHOOSE(CONTROL!$C$42, 39.5425, 39.5425) * CHOOSE(CONTROL!$C$21, $C$9, 100%, $E$9)</f>
        <v>39.542499999999997</v>
      </c>
      <c r="M999" s="10">
        <f>CHOOSE(CONTROL!$C$42, 38.4984, 38.4984) * CHOOSE(CONTROL!$C$21, $C$9, 100%, $E$9)</f>
        <v>38.498399999999997</v>
      </c>
      <c r="N999" s="10">
        <f>CHOOSE(CONTROL!$C$42, 38.5163, 38.5163) * CHOOSE(CONTROL!$C$21, $C$9, 100%, $E$9)</f>
        <v>38.516300000000001</v>
      </c>
      <c r="O999" s="10">
        <f>CHOOSE(CONTROL!$C$42, 38.5762, 38.5762) * CHOOSE(CONTROL!$C$21, $C$9, 100%, $E$9)</f>
        <v>38.5762</v>
      </c>
      <c r="P999" s="10">
        <f>CHOOSE(CONTROL!$C$42, 38.519, 38.519) * CHOOSE(CONTROL!$C$21, $C$9, 100%, $E$9)</f>
        <v>38.518999999999998</v>
      </c>
      <c r="Q999" s="10">
        <f>CHOOSE(CONTROL!$C$42, 39.1715, 39.1715) * CHOOSE(CONTROL!$C$21, $C$9, 100%, $E$9)</f>
        <v>39.171500000000002</v>
      </c>
      <c r="R999" s="10">
        <f>CHOOSE(CONTROL!$C$42, 39.8565, 39.8565) * CHOOSE(CONTROL!$C$21, $C$9, 100%, $E$9)</f>
        <v>39.856499999999997</v>
      </c>
      <c r="S999" s="10">
        <f>CHOOSE(CONTROL!$C$42, 37.7767, 37.7767) * CHOOSE(CONTROL!$C$21, $C$9, 100%, $E$9)</f>
        <v>37.776699999999998</v>
      </c>
      <c r="T9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38">
        <f>(1000*CHOOSE(CONTROL!$C$42, 695, 695)*CHOOSE(CONTROL!$C$42, 0.5599, 0.5599)*CHOOSE(CONTROL!$C$42, 31, 31))/1000000</f>
        <v>12.063045499999998</v>
      </c>
      <c r="V999" s="38">
        <f>(1000*CHOOSE(CONTROL!$C$42, 500, 500)*CHOOSE(CONTROL!$C$42, 0.275, 0.275)*CHOOSE(CONTROL!$C$42, 31, 31))/1000000</f>
        <v>4.2625000000000002</v>
      </c>
      <c r="W999" s="38">
        <f>(1000*CHOOSE(CONTROL!$C$42, 0.1146, 0.1146)*CHOOSE(CONTROL!$C$42, 121.5, 121.5)*CHOOSE(CONTROL!$C$42, 31, 31))/1000000</f>
        <v>0.43164089999999994</v>
      </c>
      <c r="X999" s="38">
        <f>(31*0.1790888*100000/1000000)+(31*0.2374*100000/1000000)</f>
        <v>1.2911152800000001</v>
      </c>
      <c r="Y999" s="38">
        <f>(1000*600*CHOOSE(CONTROL!$C$42, 1.0585, 1.0585)*CHOOSE(CONTROL!$C$42, 31, 31))/1000000</f>
        <v>19.688099999999999</v>
      </c>
      <c r="Z999" s="38"/>
      <c r="AA999" s="10"/>
      <c r="AB999" s="39"/>
      <c r="AC999" s="33">
        <f>(B999*122.58+C999*297.941+D999*89.177+E999*40.302+F999*40+G999*160+H999*0+I999*100+J999*300)/(122.58+297.941+89.177+40.302+0+40+160+100+300)</f>
        <v>38.900774583391303</v>
      </c>
      <c r="AD999" s="27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38.537656115107914</v>
      </c>
    </row>
    <row r="1000" spans="1:30" ht="15.75" x14ac:dyDescent="0.25">
      <c r="A1000" s="13">
        <v>71710</v>
      </c>
      <c r="B1000" s="10">
        <f>CHOOSE(CONTROL!$C$42, 38.7875, 38.7875) * CHOOSE(CONTROL!$C$21, $C$9, 100%, $E$9)</f>
        <v>38.787500000000001</v>
      </c>
      <c r="C1000" s="10">
        <f>CHOOSE(CONTROL!$C$42, 38.7918, 38.7918) * CHOOSE(CONTROL!$C$21, $C$9, 100%, $E$9)</f>
        <v>38.791800000000002</v>
      </c>
      <c r="D1000" s="10">
        <f>CHOOSE(CONTROL!$C$42, 38.972, 38.972) * CHOOSE(CONTROL!$C$21, $C$9, 100%, $E$9)</f>
        <v>38.972000000000001</v>
      </c>
      <c r="E1000" s="10">
        <f>CHOOSE(CONTROL!$C$42, 39.0037, 39.0037) * CHOOSE(CONTROL!$C$21, $C$9, 100%, $E$9)</f>
        <v>39.003700000000002</v>
      </c>
      <c r="F1000" s="10">
        <f>CHOOSE(CONTROL!$C$42, 38.7528, 38.7528)*CHOOSE(CONTROL!$C$21, $C$9, 100%, $E$9)</f>
        <v>38.752800000000001</v>
      </c>
      <c r="G1000" s="10">
        <f>CHOOSE(CONTROL!$C$42, 38.769, 38.769)*CHOOSE(CONTROL!$C$21, $C$9, 100%, $E$9)</f>
        <v>38.768999999999998</v>
      </c>
      <c r="H1000" s="10">
        <f>CHOOSE(CONTROL!$C$42, 38.9935, 38.9935) * CHOOSE(CONTROL!$C$21, $C$9, 100%, $E$9)</f>
        <v>38.993499999999997</v>
      </c>
      <c r="I1000" s="10">
        <f>CHOOSE(CONTROL!$C$42, 38.7734, 38.7734)* CHOOSE(CONTROL!$C$21, $C$9, 100%, $E$9)</f>
        <v>38.773400000000002</v>
      </c>
      <c r="J1000" s="10">
        <f>CHOOSE(CONTROL!$C$42, 38.7458, 38.7458)* CHOOSE(CONTROL!$C$21, $C$9, 100%, $E$9)</f>
        <v>38.745800000000003</v>
      </c>
      <c r="K1000" s="10">
        <f>CHOOSE(CONTROL!$C$42, 37.8074, 37.8074) * CHOOSE(CONTROL!$C$21, $C$9, 100%, $E$9)</f>
        <v>37.807400000000001</v>
      </c>
      <c r="L1000" s="10">
        <f>CHOOSE(CONTROL!$C$42, 39.5805, 39.5805) * CHOOSE(CONTROL!$C$21, $C$9, 100%, $E$9)</f>
        <v>39.580500000000001</v>
      </c>
      <c r="M1000" s="10">
        <f>CHOOSE(CONTROL!$C$42, 38.3686, 38.3686) * CHOOSE(CONTROL!$C$21, $C$9, 100%, $E$9)</f>
        <v>38.368600000000001</v>
      </c>
      <c r="N1000" s="10">
        <f>CHOOSE(CONTROL!$C$42, 38.3847, 38.3847) * CHOOSE(CONTROL!$C$21, $C$9, 100%, $E$9)</f>
        <v>38.384700000000002</v>
      </c>
      <c r="O1000" s="10">
        <f>CHOOSE(CONTROL!$C$42, 38.6138, 38.6138) * CHOOSE(CONTROL!$C$21, $C$9, 100%, $E$9)</f>
        <v>38.613799999999998</v>
      </c>
      <c r="P1000" s="10">
        <f>CHOOSE(CONTROL!$C$42, 38.396, 38.396) * CHOOSE(CONTROL!$C$21, $C$9, 100%, $E$9)</f>
        <v>38.396000000000001</v>
      </c>
      <c r="Q1000" s="10">
        <f>CHOOSE(CONTROL!$C$42, 39.2091, 39.2091) * CHOOSE(CONTROL!$C$21, $C$9, 100%, $E$9)</f>
        <v>39.209099999999999</v>
      </c>
      <c r="R1000" s="10">
        <f>CHOOSE(CONTROL!$C$42, 39.8942, 39.8942) * CHOOSE(CONTROL!$C$21, $C$9, 100%, $E$9)</f>
        <v>39.894199999999998</v>
      </c>
      <c r="S1000" s="10">
        <f>CHOOSE(CONTROL!$C$42, 37.6636, 37.6636) * CHOOSE(CONTROL!$C$21, $C$9, 100%, $E$9)</f>
        <v>37.663600000000002</v>
      </c>
      <c r="T10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38">
        <f>(1000*CHOOSE(CONTROL!$C$42, 695, 695)*CHOOSE(CONTROL!$C$42, 0.5599, 0.5599)*CHOOSE(CONTROL!$C$42, 30, 30))/1000000</f>
        <v>11.673914999999997</v>
      </c>
      <c r="V1000" s="38">
        <f>(1000*CHOOSE(CONTROL!$C$42, 500, 500)*CHOOSE(CONTROL!$C$42, 0.275, 0.275)*CHOOSE(CONTROL!$C$42, 30, 30))/1000000</f>
        <v>4.125</v>
      </c>
      <c r="W1000" s="38">
        <f>(1000*CHOOSE(CONTROL!$C$42, 0.1146, 0.1146)*CHOOSE(CONTROL!$C$42, 121.5, 121.5)*CHOOSE(CONTROL!$C$42, 30, 30))/1000000</f>
        <v>0.417717</v>
      </c>
      <c r="X1000" s="38">
        <f>(30*0.1790888*245000/1000000)+(30*0.2374*100000/1000000)</f>
        <v>2.0285026799999999</v>
      </c>
      <c r="Y1000" s="38">
        <f>(1000*600*CHOOSE(CONTROL!$C$42, 1.0585, 1.0585)*CHOOSE(CONTROL!$C$42, 30, 30))/1000000</f>
        <v>19.053000000000001</v>
      </c>
      <c r="Z1000" s="38"/>
      <c r="AA1000" s="10"/>
      <c r="AB1000" s="39"/>
      <c r="AC1000" s="33">
        <f>(B1000*141.293+C1000*267.993+D1000*115.016+E1000*89.698+F1000*40+G1000*185+H1000*0+I1000*100+J1000*300)/(141.293+267.993+115.016+89.698+0+40+185+100+300)</f>
        <v>38.806091629943509</v>
      </c>
      <c r="AD1000" s="27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38.484602877697839</v>
      </c>
    </row>
    <row r="1001" spans="1:30" ht="15.75" x14ac:dyDescent="0.25">
      <c r="A1001" s="13">
        <v>71741</v>
      </c>
      <c r="B1001" s="10">
        <f>CHOOSE(CONTROL!$C$42, 39.1316, 39.1316) * CHOOSE(CONTROL!$C$21, $C$9, 100%, $E$9)</f>
        <v>39.131599999999999</v>
      </c>
      <c r="C1001" s="10">
        <f>CHOOSE(CONTROL!$C$42, 39.1395, 39.1395) * CHOOSE(CONTROL!$C$21, $C$9, 100%, $E$9)</f>
        <v>39.139499999999998</v>
      </c>
      <c r="D1001" s="10">
        <f>CHOOSE(CONTROL!$C$42, 39.3165, 39.3165) * CHOOSE(CONTROL!$C$21, $C$9, 100%, $E$9)</f>
        <v>39.316499999999998</v>
      </c>
      <c r="E1001" s="10">
        <f>CHOOSE(CONTROL!$C$42, 39.3476, 39.3476) * CHOOSE(CONTROL!$C$21, $C$9, 100%, $E$9)</f>
        <v>39.3476</v>
      </c>
      <c r="F1001" s="10">
        <f>CHOOSE(CONTROL!$C$42, 39.0949, 39.0949)*CHOOSE(CONTROL!$C$21, $C$9, 100%, $E$9)</f>
        <v>39.094900000000003</v>
      </c>
      <c r="G1001" s="10">
        <f>CHOOSE(CONTROL!$C$42, 39.1114, 39.1114)*CHOOSE(CONTROL!$C$21, $C$9, 100%, $E$9)</f>
        <v>39.111400000000003</v>
      </c>
      <c r="H1001" s="10">
        <f>CHOOSE(CONTROL!$C$42, 39.3362, 39.3362) * CHOOSE(CONTROL!$C$21, $C$9, 100%, $E$9)</f>
        <v>39.336199999999998</v>
      </c>
      <c r="I1001" s="10">
        <f>CHOOSE(CONTROL!$C$42, 39.1161, 39.1161)* CHOOSE(CONTROL!$C$21, $C$9, 100%, $E$9)</f>
        <v>39.116100000000003</v>
      </c>
      <c r="J1001" s="10">
        <f>CHOOSE(CONTROL!$C$42, 39.0879, 39.0879)* CHOOSE(CONTROL!$C$21, $C$9, 100%, $E$9)</f>
        <v>39.087899999999998</v>
      </c>
      <c r="K1001" s="10">
        <f>CHOOSE(CONTROL!$C$42, 38.1392, 38.1392) * CHOOSE(CONTROL!$C$21, $C$9, 100%, $E$9)</f>
        <v>38.139200000000002</v>
      </c>
      <c r="L1001" s="10">
        <f>CHOOSE(CONTROL!$C$42, 39.9232, 39.9232) * CHOOSE(CONTROL!$C$21, $C$9, 100%, $E$9)</f>
        <v>39.923200000000001</v>
      </c>
      <c r="M1001" s="10">
        <f>CHOOSE(CONTROL!$C$42, 38.7073, 38.7073) * CHOOSE(CONTROL!$C$21, $C$9, 100%, $E$9)</f>
        <v>38.707299999999996</v>
      </c>
      <c r="N1001" s="10">
        <f>CHOOSE(CONTROL!$C$42, 38.7236, 38.7236) * CHOOSE(CONTROL!$C$21, $C$9, 100%, $E$9)</f>
        <v>38.723599999999998</v>
      </c>
      <c r="O1001" s="10">
        <f>CHOOSE(CONTROL!$C$42, 38.9531, 38.9531) * CHOOSE(CONTROL!$C$21, $C$9, 100%, $E$9)</f>
        <v>38.953099999999999</v>
      </c>
      <c r="P1001" s="10">
        <f>CHOOSE(CONTROL!$C$42, 38.7353, 38.7353) * CHOOSE(CONTROL!$C$21, $C$9, 100%, $E$9)</f>
        <v>38.735300000000002</v>
      </c>
      <c r="Q1001" s="10">
        <f>CHOOSE(CONTROL!$C$42, 39.5484, 39.5484) * CHOOSE(CONTROL!$C$21, $C$9, 100%, $E$9)</f>
        <v>39.548400000000001</v>
      </c>
      <c r="R1001" s="10">
        <f>CHOOSE(CONTROL!$C$42, 40.2343, 40.2343) * CHOOSE(CONTROL!$C$21, $C$9, 100%, $E$9)</f>
        <v>40.234299999999998</v>
      </c>
      <c r="S1001" s="10">
        <f>CHOOSE(CONTROL!$C$42, 37.9964, 37.9964) * CHOOSE(CONTROL!$C$21, $C$9, 100%, $E$9)</f>
        <v>37.996400000000001</v>
      </c>
      <c r="T10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38">
        <f>(1000*CHOOSE(CONTROL!$C$42, 695, 695)*CHOOSE(CONTROL!$C$42, 0.5599, 0.5599)*CHOOSE(CONTROL!$C$42, 31, 31))/1000000</f>
        <v>12.063045499999998</v>
      </c>
      <c r="V1001" s="38">
        <f>(1000*CHOOSE(CONTROL!$C$42, 500, 500)*CHOOSE(CONTROL!$C$42, 0.275, 0.275)*CHOOSE(CONTROL!$C$42, 31, 31))/1000000</f>
        <v>4.2625000000000002</v>
      </c>
      <c r="W1001" s="38">
        <f>(1000*CHOOSE(CONTROL!$C$42, 0.1146, 0.1146)*CHOOSE(CONTROL!$C$42, 121.5, 121.5)*CHOOSE(CONTROL!$C$42, 31, 31))/1000000</f>
        <v>0.43164089999999994</v>
      </c>
      <c r="X1001" s="38">
        <f>(31*0.1790888*245000/1000000)+(31*0.2374*100000/1000000)</f>
        <v>2.0961194359999999</v>
      </c>
      <c r="Y1001" s="38">
        <f>(1000*600*CHOOSE(CONTROL!$C$42, 1.0585, 1.0585)*CHOOSE(CONTROL!$C$42, 31, 31))/1000000</f>
        <v>19.688099999999999</v>
      </c>
      <c r="Z1001" s="38"/>
      <c r="AA1001" s="10"/>
      <c r="AB1001" s="39"/>
      <c r="AC1001" s="33">
        <f>(B1001*194.205+C1001*267.466+D1001*133.845+E1001*53.484+F1001*40+G1001*185+H1001*0+I1001*100+J1001*300)/(194.205+267.466+133.845+53.484+0+40+185+100+300)</f>
        <v>39.146159235400305</v>
      </c>
      <c r="AD1001" s="27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38.823672661870496</v>
      </c>
    </row>
    <row r="1002" spans="1:30" ht="15.75" x14ac:dyDescent="0.25">
      <c r="A1002" s="13">
        <v>71771</v>
      </c>
      <c r="B1002" s="10">
        <f>CHOOSE(CONTROL!$C$42, 40.2414, 40.2414) * CHOOSE(CONTROL!$C$21, $C$9, 100%, $E$9)</f>
        <v>40.241399999999999</v>
      </c>
      <c r="C1002" s="10">
        <f>CHOOSE(CONTROL!$C$42, 40.2493, 40.2493) * CHOOSE(CONTROL!$C$21, $C$9, 100%, $E$9)</f>
        <v>40.249299999999998</v>
      </c>
      <c r="D1002" s="10">
        <f>CHOOSE(CONTROL!$C$42, 40.4263, 40.4263) * CHOOSE(CONTROL!$C$21, $C$9, 100%, $E$9)</f>
        <v>40.426299999999998</v>
      </c>
      <c r="E1002" s="10">
        <f>CHOOSE(CONTROL!$C$42, 40.4575, 40.4575) * CHOOSE(CONTROL!$C$21, $C$9, 100%, $E$9)</f>
        <v>40.457500000000003</v>
      </c>
      <c r="F1002" s="10">
        <f>CHOOSE(CONTROL!$C$42, 40.205, 40.205)*CHOOSE(CONTROL!$C$21, $C$9, 100%, $E$9)</f>
        <v>40.204999999999998</v>
      </c>
      <c r="G1002" s="10">
        <f>CHOOSE(CONTROL!$C$42, 40.2215, 40.2215)*CHOOSE(CONTROL!$C$21, $C$9, 100%, $E$9)</f>
        <v>40.221499999999999</v>
      </c>
      <c r="H1002" s="10">
        <f>CHOOSE(CONTROL!$C$42, 40.4461, 40.4461) * CHOOSE(CONTROL!$C$21, $C$9, 100%, $E$9)</f>
        <v>40.446100000000001</v>
      </c>
      <c r="I1002" s="10">
        <f>CHOOSE(CONTROL!$C$42, 40.226, 40.226)* CHOOSE(CONTROL!$C$21, $C$9, 100%, $E$9)</f>
        <v>40.225999999999999</v>
      </c>
      <c r="J1002" s="10">
        <f>CHOOSE(CONTROL!$C$42, 40.198, 40.198)* CHOOSE(CONTROL!$C$21, $C$9, 100%, $E$9)</f>
        <v>40.198</v>
      </c>
      <c r="K1002" s="10">
        <f>CHOOSE(CONTROL!$C$42, 39.2179, 39.2179) * CHOOSE(CONTROL!$C$21, $C$9, 100%, $E$9)</f>
        <v>39.2179</v>
      </c>
      <c r="L1002" s="10">
        <f>CHOOSE(CONTROL!$C$42, 41.0331, 41.0331) * CHOOSE(CONTROL!$C$21, $C$9, 100%, $E$9)</f>
        <v>41.033099999999997</v>
      </c>
      <c r="M1002" s="10">
        <f>CHOOSE(CONTROL!$C$42, 39.8061, 39.8061) * CHOOSE(CONTROL!$C$21, $C$9, 100%, $E$9)</f>
        <v>39.806100000000001</v>
      </c>
      <c r="N1002" s="10">
        <f>CHOOSE(CONTROL!$C$42, 39.8225, 39.8225) * CHOOSE(CONTROL!$C$21, $C$9, 100%, $E$9)</f>
        <v>39.822499999999998</v>
      </c>
      <c r="O1002" s="10">
        <f>CHOOSE(CONTROL!$C$42, 40.0518, 40.0518) * CHOOSE(CONTROL!$C$21, $C$9, 100%, $E$9)</f>
        <v>40.0518</v>
      </c>
      <c r="P1002" s="10">
        <f>CHOOSE(CONTROL!$C$42, 39.8339, 39.8339) * CHOOSE(CONTROL!$C$21, $C$9, 100%, $E$9)</f>
        <v>39.8339</v>
      </c>
      <c r="Q1002" s="10">
        <f>CHOOSE(CONTROL!$C$42, 40.6471, 40.6471) * CHOOSE(CONTROL!$C$21, $C$9, 100%, $E$9)</f>
        <v>40.647100000000002</v>
      </c>
      <c r="R1002" s="10">
        <f>CHOOSE(CONTROL!$C$42, 41.3357, 41.3357) * CHOOSE(CONTROL!$C$21, $C$9, 100%, $E$9)</f>
        <v>41.335700000000003</v>
      </c>
      <c r="S1002" s="10">
        <f>CHOOSE(CONTROL!$C$42, 39.0742, 39.0742) * CHOOSE(CONTROL!$C$21, $C$9, 100%, $E$9)</f>
        <v>39.074199999999998</v>
      </c>
      <c r="T10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38">
        <f>(1000*CHOOSE(CONTROL!$C$42, 695, 695)*CHOOSE(CONTROL!$C$42, 0.5599, 0.5599)*CHOOSE(CONTROL!$C$42, 30, 30))/1000000</f>
        <v>11.673914999999997</v>
      </c>
      <c r="V1002" s="38">
        <f>(1000*CHOOSE(CONTROL!$C$42, 500, 500)*CHOOSE(CONTROL!$C$42, 0.275, 0.275)*CHOOSE(CONTROL!$C$42, 30, 30))/1000000</f>
        <v>4.125</v>
      </c>
      <c r="W1002" s="38">
        <f>(1000*CHOOSE(CONTROL!$C$42, 0.1146, 0.1146)*CHOOSE(CONTROL!$C$42, 121.5, 121.5)*CHOOSE(CONTROL!$C$42, 30, 30))/1000000</f>
        <v>0.417717</v>
      </c>
      <c r="X1002" s="38">
        <f>(30*0.1790888*245000/1000000)+(30*0.2374*100000/1000000)</f>
        <v>2.0285026799999999</v>
      </c>
      <c r="Y1002" s="38">
        <f>(1000*600*CHOOSE(CONTROL!$C$42, 1.0585, 1.0585)*CHOOSE(CONTROL!$C$42, 30, 30))/1000000</f>
        <v>19.053000000000001</v>
      </c>
      <c r="Z1002" s="38"/>
      <c r="AA1002" s="10"/>
      <c r="AB1002" s="39"/>
      <c r="AC1002" s="33">
        <f>(B1002*194.205+C1002*267.466+D1002*133.845+E1002*53.484+F1002*40+G1002*185+H1002*0+I1002*100+J1002*300)/(194.205+267.466+133.845+53.484+0+40+185+100+300)</f>
        <v>40.256094909183666</v>
      </c>
      <c r="AD1002" s="27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39.922404316546761</v>
      </c>
    </row>
    <row r="1003" spans="1:30" ht="15.75" x14ac:dyDescent="0.25">
      <c r="A1003" s="13">
        <v>71802</v>
      </c>
      <c r="B1003" s="10">
        <f>CHOOSE(CONTROL!$C$42, 39.4695, 39.4695) * CHOOSE(CONTROL!$C$21, $C$9, 100%, $E$9)</f>
        <v>39.469499999999996</v>
      </c>
      <c r="C1003" s="10">
        <f>CHOOSE(CONTROL!$C$42, 39.4774, 39.4774) * CHOOSE(CONTROL!$C$21, $C$9, 100%, $E$9)</f>
        <v>39.477400000000003</v>
      </c>
      <c r="D1003" s="10">
        <f>CHOOSE(CONTROL!$C$42, 39.6544, 39.6544) * CHOOSE(CONTROL!$C$21, $C$9, 100%, $E$9)</f>
        <v>39.654400000000003</v>
      </c>
      <c r="E1003" s="10">
        <f>CHOOSE(CONTROL!$C$42, 39.6855, 39.6855) * CHOOSE(CONTROL!$C$21, $C$9, 100%, $E$9)</f>
        <v>39.685499999999998</v>
      </c>
      <c r="F1003" s="10">
        <f>CHOOSE(CONTROL!$C$42, 39.4333, 39.4333)*CHOOSE(CONTROL!$C$21, $C$9, 100%, $E$9)</f>
        <v>39.433300000000003</v>
      </c>
      <c r="G1003" s="10">
        <f>CHOOSE(CONTROL!$C$42, 39.4499, 39.4499)*CHOOSE(CONTROL!$C$21, $C$9, 100%, $E$9)</f>
        <v>39.4499</v>
      </c>
      <c r="H1003" s="10">
        <f>CHOOSE(CONTROL!$C$42, 39.6742, 39.6742) * CHOOSE(CONTROL!$C$21, $C$9, 100%, $E$9)</f>
        <v>39.674199999999999</v>
      </c>
      <c r="I1003" s="10">
        <f>CHOOSE(CONTROL!$C$42, 39.4541, 39.4541)* CHOOSE(CONTROL!$C$21, $C$9, 100%, $E$9)</f>
        <v>39.454099999999997</v>
      </c>
      <c r="J1003" s="10">
        <f>CHOOSE(CONTROL!$C$42, 39.4263, 39.4263)* CHOOSE(CONTROL!$C$21, $C$9, 100%, $E$9)</f>
        <v>39.426299999999998</v>
      </c>
      <c r="K1003" s="10">
        <f>CHOOSE(CONTROL!$C$42, 38.4684, 38.4684) * CHOOSE(CONTROL!$C$21, $C$9, 100%, $E$9)</f>
        <v>38.468400000000003</v>
      </c>
      <c r="L1003" s="10">
        <f>CHOOSE(CONTROL!$C$42, 40.2612, 40.2612) * CHOOSE(CONTROL!$C$21, $C$9, 100%, $E$9)</f>
        <v>40.261200000000002</v>
      </c>
      <c r="M1003" s="10">
        <f>CHOOSE(CONTROL!$C$42, 39.0422, 39.0422) * CHOOSE(CONTROL!$C$21, $C$9, 100%, $E$9)</f>
        <v>39.042200000000001</v>
      </c>
      <c r="N1003" s="10">
        <f>CHOOSE(CONTROL!$C$42, 39.0587, 39.0587) * CHOOSE(CONTROL!$C$21, $C$9, 100%, $E$9)</f>
        <v>39.058700000000002</v>
      </c>
      <c r="O1003" s="10">
        <f>CHOOSE(CONTROL!$C$42, 39.2876, 39.2876) * CHOOSE(CONTROL!$C$21, $C$9, 100%, $E$9)</f>
        <v>39.287599999999998</v>
      </c>
      <c r="P1003" s="10">
        <f>CHOOSE(CONTROL!$C$42, 39.0698, 39.0698) * CHOOSE(CONTROL!$C$21, $C$9, 100%, $E$9)</f>
        <v>39.069800000000001</v>
      </c>
      <c r="Q1003" s="10">
        <f>CHOOSE(CONTROL!$C$42, 39.8829, 39.8829) * CHOOSE(CONTROL!$C$21, $C$9, 100%, $E$9)</f>
        <v>39.882899999999999</v>
      </c>
      <c r="R1003" s="10">
        <f>CHOOSE(CONTROL!$C$42, 40.5696, 40.5696) * CHOOSE(CONTROL!$C$21, $C$9, 100%, $E$9)</f>
        <v>40.569600000000001</v>
      </c>
      <c r="S1003" s="10">
        <f>CHOOSE(CONTROL!$C$42, 38.3246, 38.3246) * CHOOSE(CONTROL!$C$21, $C$9, 100%, $E$9)</f>
        <v>38.324599999999997</v>
      </c>
      <c r="T10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38">
        <f>(1000*CHOOSE(CONTROL!$C$42, 695, 695)*CHOOSE(CONTROL!$C$42, 0.5599, 0.5599)*CHOOSE(CONTROL!$C$42, 31, 31))/1000000</f>
        <v>12.063045499999998</v>
      </c>
      <c r="V1003" s="38">
        <f>(1000*CHOOSE(CONTROL!$C$42, 500, 500)*CHOOSE(CONTROL!$C$42, 0.275, 0.275)*CHOOSE(CONTROL!$C$42, 31, 31))/1000000</f>
        <v>4.2625000000000002</v>
      </c>
      <c r="W1003" s="38">
        <f>(1000*CHOOSE(CONTROL!$C$42, 0.1146, 0.1146)*CHOOSE(CONTROL!$C$42, 121.5, 121.5)*CHOOSE(CONTROL!$C$42, 31, 31))/1000000</f>
        <v>0.43164089999999994</v>
      </c>
      <c r="X1003" s="38">
        <f>(31*0.1790888*245000/1000000)+(31*0.2374*100000/1000000)</f>
        <v>2.0961194359999999</v>
      </c>
      <c r="Y1003" s="38">
        <f>(1000*600*CHOOSE(CONTROL!$C$42, 1.0585, 1.0585)*CHOOSE(CONTROL!$C$42, 31, 31))/1000000</f>
        <v>19.688099999999999</v>
      </c>
      <c r="Z1003" s="38"/>
      <c r="AA1003" s="10"/>
      <c r="AB1003" s="39"/>
      <c r="AC1003" s="33">
        <f>(B1003*194.205+C1003*267.466+D1003*133.845+E1003*53.484+F1003*40+G1003*185+H1003*0+I1003*100+J1003*300)/(194.205+267.466+133.845+53.484+0+40+185+100+300)</f>
        <v>39.484287649843012</v>
      </c>
      <c r="AD1003" s="27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39.158345323741003</v>
      </c>
    </row>
    <row r="1004" spans="1:30" ht="15.75" x14ac:dyDescent="0.25">
      <c r="A1004" s="13">
        <v>71833</v>
      </c>
      <c r="B1004" s="10">
        <f>CHOOSE(CONTROL!$C$42, 37.5202, 37.5202) * CHOOSE(CONTROL!$C$21, $C$9, 100%, $E$9)</f>
        <v>37.520200000000003</v>
      </c>
      <c r="C1004" s="10">
        <f>CHOOSE(CONTROL!$C$42, 37.5281, 37.5281) * CHOOSE(CONTROL!$C$21, $C$9, 100%, $E$9)</f>
        <v>37.528100000000002</v>
      </c>
      <c r="D1004" s="10">
        <f>CHOOSE(CONTROL!$C$42, 37.7051, 37.7051) * CHOOSE(CONTROL!$C$21, $C$9, 100%, $E$9)</f>
        <v>37.705100000000002</v>
      </c>
      <c r="E1004" s="10">
        <f>CHOOSE(CONTROL!$C$42, 37.7362, 37.7362) * CHOOSE(CONTROL!$C$21, $C$9, 100%, $E$9)</f>
        <v>37.736199999999997</v>
      </c>
      <c r="F1004" s="10">
        <f>CHOOSE(CONTROL!$C$42, 37.484, 37.484)*CHOOSE(CONTROL!$C$21, $C$9, 100%, $E$9)</f>
        <v>37.484000000000002</v>
      </c>
      <c r="G1004" s="10">
        <f>CHOOSE(CONTROL!$C$42, 37.5006, 37.5006)*CHOOSE(CONTROL!$C$21, $C$9, 100%, $E$9)</f>
        <v>37.500599999999999</v>
      </c>
      <c r="H1004" s="10">
        <f>CHOOSE(CONTROL!$C$42, 37.7248, 37.7248) * CHOOSE(CONTROL!$C$21, $C$9, 100%, $E$9)</f>
        <v>37.724800000000002</v>
      </c>
      <c r="I1004" s="10">
        <f>CHOOSE(CONTROL!$C$42, 37.5048, 37.5048)* CHOOSE(CONTROL!$C$21, $C$9, 100%, $E$9)</f>
        <v>37.504800000000003</v>
      </c>
      <c r="J1004" s="10">
        <f>CHOOSE(CONTROL!$C$42, 37.477, 37.477)* CHOOSE(CONTROL!$C$21, $C$9, 100%, $E$9)</f>
        <v>37.476999999999997</v>
      </c>
      <c r="K1004" s="10">
        <f>CHOOSE(CONTROL!$C$42, 36.5746, 36.5746) * CHOOSE(CONTROL!$C$21, $C$9, 100%, $E$9)</f>
        <v>36.574599999999997</v>
      </c>
      <c r="L1004" s="10">
        <f>CHOOSE(CONTROL!$C$42, 38.3118, 38.3118) * CHOOSE(CONTROL!$C$21, $C$9, 100%, $E$9)</f>
        <v>38.311799999999998</v>
      </c>
      <c r="M1004" s="10">
        <f>CHOOSE(CONTROL!$C$42, 37.1126, 37.1126) * CHOOSE(CONTROL!$C$21, $C$9, 100%, $E$9)</f>
        <v>37.1126</v>
      </c>
      <c r="N1004" s="10">
        <f>CHOOSE(CONTROL!$C$42, 37.1291, 37.1291) * CHOOSE(CONTROL!$C$21, $C$9, 100%, $E$9)</f>
        <v>37.129100000000001</v>
      </c>
      <c r="O1004" s="10">
        <f>CHOOSE(CONTROL!$C$42, 37.358, 37.358) * CHOOSE(CONTROL!$C$21, $C$9, 100%, $E$9)</f>
        <v>37.357999999999997</v>
      </c>
      <c r="P1004" s="10">
        <f>CHOOSE(CONTROL!$C$42, 37.1401, 37.1401) * CHOOSE(CONTROL!$C$21, $C$9, 100%, $E$9)</f>
        <v>37.140099999999997</v>
      </c>
      <c r="Q1004" s="10">
        <f>CHOOSE(CONTROL!$C$42, 37.9533, 37.9533) * CHOOSE(CONTROL!$C$21, $C$9, 100%, $E$9)</f>
        <v>37.953299999999999</v>
      </c>
      <c r="R1004" s="10">
        <f>CHOOSE(CONTROL!$C$42, 38.6351, 38.6351) * CHOOSE(CONTROL!$C$21, $C$9, 100%, $E$9)</f>
        <v>38.635100000000001</v>
      </c>
      <c r="S1004" s="10">
        <f>CHOOSE(CONTROL!$C$42, 36.4316, 36.4316) * CHOOSE(CONTROL!$C$21, $C$9, 100%, $E$9)</f>
        <v>36.431600000000003</v>
      </c>
      <c r="T10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38">
        <f>(1000*CHOOSE(CONTROL!$C$42, 695, 695)*CHOOSE(CONTROL!$C$42, 0.5599, 0.5599)*CHOOSE(CONTROL!$C$42, 31, 31))/1000000</f>
        <v>12.063045499999998</v>
      </c>
      <c r="V1004" s="38">
        <f>(1000*CHOOSE(CONTROL!$C$42, 500, 500)*CHOOSE(CONTROL!$C$42, 0.275, 0.275)*CHOOSE(CONTROL!$C$42, 31, 31))/1000000</f>
        <v>4.2625000000000002</v>
      </c>
      <c r="W1004" s="38">
        <f>(1000*CHOOSE(CONTROL!$C$42, 0.1146, 0.1146)*CHOOSE(CONTROL!$C$42, 121.5, 121.5)*CHOOSE(CONTROL!$C$42, 31, 31))/1000000</f>
        <v>0.43164089999999994</v>
      </c>
      <c r="X1004" s="38">
        <f>(31*0.1790888*245000/1000000)+(31*0.2374*100000/1000000)</f>
        <v>2.0961194359999999</v>
      </c>
      <c r="Y1004" s="38">
        <f>(1000*600*CHOOSE(CONTROL!$C$42, 1.0585, 1.0585)*CHOOSE(CONTROL!$C$42, 31, 31))/1000000</f>
        <v>19.688099999999999</v>
      </c>
      <c r="Z1004" s="38"/>
      <c r="AA1004" s="10"/>
      <c r="AB1004" s="39"/>
      <c r="AC1004" s="33">
        <f>(B1004*194.205+C1004*267.466+D1004*133.845+E1004*53.484+F1004*40+G1004*185+H1004*0+I1004*100+J1004*300)/(194.205+267.466+133.845+53.484+0+40+185+100+300)</f>
        <v>37.534987649843018</v>
      </c>
      <c r="AD1004" s="27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37.228730935251797</v>
      </c>
    </row>
    <row r="1005" spans="1:30" ht="15.75" x14ac:dyDescent="0.25">
      <c r="A1005" s="13">
        <v>71863</v>
      </c>
      <c r="B1005" s="10">
        <f>CHOOSE(CONTROL!$C$42, 35.1384, 35.1384) * CHOOSE(CONTROL!$C$21, $C$9, 100%, $E$9)</f>
        <v>35.138399999999997</v>
      </c>
      <c r="C1005" s="10">
        <f>CHOOSE(CONTROL!$C$42, 35.1464, 35.1464) * CHOOSE(CONTROL!$C$21, $C$9, 100%, $E$9)</f>
        <v>35.1464</v>
      </c>
      <c r="D1005" s="10">
        <f>CHOOSE(CONTROL!$C$42, 35.3233, 35.3233) * CHOOSE(CONTROL!$C$21, $C$9, 100%, $E$9)</f>
        <v>35.323300000000003</v>
      </c>
      <c r="E1005" s="10">
        <f>CHOOSE(CONTROL!$C$42, 35.3545, 35.3545) * CHOOSE(CONTROL!$C$21, $C$9, 100%, $E$9)</f>
        <v>35.354500000000002</v>
      </c>
      <c r="F1005" s="10">
        <f>CHOOSE(CONTROL!$C$42, 35.102, 35.102)*CHOOSE(CONTROL!$C$21, $C$9, 100%, $E$9)</f>
        <v>35.101999999999997</v>
      </c>
      <c r="G1005" s="10">
        <f>CHOOSE(CONTROL!$C$42, 35.1186, 35.1186)*CHOOSE(CONTROL!$C$21, $C$9, 100%, $E$9)</f>
        <v>35.118600000000001</v>
      </c>
      <c r="H1005" s="10">
        <f>CHOOSE(CONTROL!$C$42, 35.3431, 35.3431) * CHOOSE(CONTROL!$C$21, $C$9, 100%, $E$9)</f>
        <v>35.3431</v>
      </c>
      <c r="I1005" s="10">
        <f>CHOOSE(CONTROL!$C$42, 35.123, 35.123)* CHOOSE(CONTROL!$C$21, $C$9, 100%, $E$9)</f>
        <v>35.122999999999998</v>
      </c>
      <c r="J1005" s="10">
        <f>CHOOSE(CONTROL!$C$42, 35.095, 35.095)* CHOOSE(CONTROL!$C$21, $C$9, 100%, $E$9)</f>
        <v>35.094999999999999</v>
      </c>
      <c r="K1005" s="10">
        <f>CHOOSE(CONTROL!$C$42, 34.26, 34.26) * CHOOSE(CONTROL!$C$21, $C$9, 100%, $E$9)</f>
        <v>34.26</v>
      </c>
      <c r="L1005" s="10">
        <f>CHOOSE(CONTROL!$C$42, 35.9301, 35.9301) * CHOOSE(CONTROL!$C$21, $C$9, 100%, $E$9)</f>
        <v>35.930100000000003</v>
      </c>
      <c r="M1005" s="10">
        <f>CHOOSE(CONTROL!$C$42, 34.7547, 34.7547) * CHOOSE(CONTROL!$C$21, $C$9, 100%, $E$9)</f>
        <v>34.7547</v>
      </c>
      <c r="N1005" s="10">
        <f>CHOOSE(CONTROL!$C$42, 34.7711, 34.7711) * CHOOSE(CONTROL!$C$21, $C$9, 100%, $E$9)</f>
        <v>34.771099999999997</v>
      </c>
      <c r="O1005" s="10">
        <f>CHOOSE(CONTROL!$C$42, 35.0003, 35.0003) * CHOOSE(CONTROL!$C$21, $C$9, 100%, $E$9)</f>
        <v>35.000300000000003</v>
      </c>
      <c r="P1005" s="10">
        <f>CHOOSE(CONTROL!$C$42, 34.7825, 34.7825) * CHOOSE(CONTROL!$C$21, $C$9, 100%, $E$9)</f>
        <v>34.782499999999999</v>
      </c>
      <c r="Q1005" s="10">
        <f>CHOOSE(CONTROL!$C$42, 35.5956, 35.5956) * CHOOSE(CONTROL!$C$21, $C$9, 100%, $E$9)</f>
        <v>35.595599999999997</v>
      </c>
      <c r="R1005" s="10">
        <f>CHOOSE(CONTROL!$C$42, 36.2716, 36.2716) * CHOOSE(CONTROL!$C$21, $C$9, 100%, $E$9)</f>
        <v>36.271599999999999</v>
      </c>
      <c r="S1005" s="10">
        <f>CHOOSE(CONTROL!$C$42, 34.1187, 34.1187) * CHOOSE(CONTROL!$C$21, $C$9, 100%, $E$9)</f>
        <v>34.118699999999997</v>
      </c>
      <c r="T10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38">
        <f>(1000*CHOOSE(CONTROL!$C$42, 695, 695)*CHOOSE(CONTROL!$C$42, 0.5599, 0.5599)*CHOOSE(CONTROL!$C$42, 30, 30))/1000000</f>
        <v>11.673914999999997</v>
      </c>
      <c r="V1005" s="38">
        <f>(1000*CHOOSE(CONTROL!$C$42, 500, 500)*CHOOSE(CONTROL!$C$42, 0.275, 0.275)*CHOOSE(CONTROL!$C$42, 30, 30))/1000000</f>
        <v>4.125</v>
      </c>
      <c r="W1005" s="38">
        <f>(1000*CHOOSE(CONTROL!$C$42, 0.1146, 0.1146)*CHOOSE(CONTROL!$C$42, 121.5, 121.5)*CHOOSE(CONTROL!$C$42, 30, 30))/1000000</f>
        <v>0.417717</v>
      </c>
      <c r="X1005" s="38">
        <f>(30*0.1790888*245000/1000000)+(30*0.2374*100000/1000000)</f>
        <v>2.0285026799999999</v>
      </c>
      <c r="Y1005" s="38">
        <f>(1000*600*CHOOSE(CONTROL!$C$42, 1.0585, 1.0585)*CHOOSE(CONTROL!$C$42, 30, 30))/1000000</f>
        <v>19.053000000000001</v>
      </c>
      <c r="Z1005" s="38"/>
      <c r="AA1005" s="10"/>
      <c r="AB1005" s="39"/>
      <c r="AC1005" s="33">
        <f>(B1005*194.205+C1005*267.466+D1005*133.845+E1005*53.484+F1005*40+G1005*185+H1005*0+I1005*100+J1005*300)/(194.205+267.466+133.845+53.484+0+40+185+100+300)</f>
        <v>35.153130424568289</v>
      </c>
      <c r="AD1005" s="27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34.870958992805754</v>
      </c>
    </row>
    <row r="1006" spans="1:30" ht="15.75" x14ac:dyDescent="0.25">
      <c r="A1006" s="13">
        <v>71894</v>
      </c>
      <c r="B1006" s="10">
        <f>CHOOSE(CONTROL!$C$42, 34.423, 34.423) * CHOOSE(CONTROL!$C$21, $C$9, 100%, $E$9)</f>
        <v>34.423000000000002</v>
      </c>
      <c r="C1006" s="10">
        <f>CHOOSE(CONTROL!$C$42, 34.4282, 34.4282) * CHOOSE(CONTROL!$C$21, $C$9, 100%, $E$9)</f>
        <v>34.428199999999997</v>
      </c>
      <c r="D1006" s="10">
        <f>CHOOSE(CONTROL!$C$42, 34.6101, 34.6101) * CHOOSE(CONTROL!$C$21, $C$9, 100%, $E$9)</f>
        <v>34.610100000000003</v>
      </c>
      <c r="E1006" s="10">
        <f>CHOOSE(CONTROL!$C$42, 34.6389, 34.6389) * CHOOSE(CONTROL!$C$21, $C$9, 100%, $E$9)</f>
        <v>34.6389</v>
      </c>
      <c r="F1006" s="10">
        <f>CHOOSE(CONTROL!$C$42, 34.3886, 34.3886)*CHOOSE(CONTROL!$C$21, $C$9, 100%, $E$9)</f>
        <v>34.388599999999997</v>
      </c>
      <c r="G1006" s="10">
        <f>CHOOSE(CONTROL!$C$42, 34.4048, 34.4048)*CHOOSE(CONTROL!$C$21, $C$9, 100%, $E$9)</f>
        <v>34.404800000000002</v>
      </c>
      <c r="H1006" s="10">
        <f>CHOOSE(CONTROL!$C$42, 34.6294, 34.6294) * CHOOSE(CONTROL!$C$21, $C$9, 100%, $E$9)</f>
        <v>34.629399999999997</v>
      </c>
      <c r="I1006" s="10">
        <f>CHOOSE(CONTROL!$C$42, 34.4093, 34.4093)* CHOOSE(CONTROL!$C$21, $C$9, 100%, $E$9)</f>
        <v>34.409300000000002</v>
      </c>
      <c r="J1006" s="10">
        <f>CHOOSE(CONTROL!$C$42, 34.3816, 34.3816)* CHOOSE(CONTROL!$C$21, $C$9, 100%, $E$9)</f>
        <v>34.381599999999999</v>
      </c>
      <c r="K1006" s="10">
        <f>CHOOSE(CONTROL!$C$42, 33.5671, 33.5671) * CHOOSE(CONTROL!$C$21, $C$9, 100%, $E$9)</f>
        <v>33.567100000000003</v>
      </c>
      <c r="L1006" s="10">
        <f>CHOOSE(CONTROL!$C$42, 35.2164, 35.2164) * CHOOSE(CONTROL!$C$21, $C$9, 100%, $E$9)</f>
        <v>35.2164</v>
      </c>
      <c r="M1006" s="10">
        <f>CHOOSE(CONTROL!$C$42, 34.0484, 34.0484) * CHOOSE(CONTROL!$C$21, $C$9, 100%, $E$9)</f>
        <v>34.048400000000001</v>
      </c>
      <c r="N1006" s="10">
        <f>CHOOSE(CONTROL!$C$42, 34.0645, 34.0645) * CHOOSE(CONTROL!$C$21, $C$9, 100%, $E$9)</f>
        <v>34.064500000000002</v>
      </c>
      <c r="O1006" s="10">
        <f>CHOOSE(CONTROL!$C$42, 34.2937, 34.2937) * CHOOSE(CONTROL!$C$21, $C$9, 100%, $E$9)</f>
        <v>34.293700000000001</v>
      </c>
      <c r="P1006" s="10">
        <f>CHOOSE(CONTROL!$C$42, 34.0759, 34.0759) * CHOOSE(CONTROL!$C$21, $C$9, 100%, $E$9)</f>
        <v>34.075899999999997</v>
      </c>
      <c r="Q1006" s="10">
        <f>CHOOSE(CONTROL!$C$42, 34.889, 34.889) * CHOOSE(CONTROL!$C$21, $C$9, 100%, $E$9)</f>
        <v>34.889000000000003</v>
      </c>
      <c r="R1006" s="10">
        <f>CHOOSE(CONTROL!$C$42, 35.5633, 35.5633) * CHOOSE(CONTROL!$C$21, $C$9, 100%, $E$9)</f>
        <v>35.563299999999998</v>
      </c>
      <c r="S1006" s="10">
        <f>CHOOSE(CONTROL!$C$42, 33.4256, 33.4256) * CHOOSE(CONTROL!$C$21, $C$9, 100%, $E$9)</f>
        <v>33.425600000000003</v>
      </c>
      <c r="T10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38">
        <f>(1000*CHOOSE(CONTROL!$C$42, 695, 695)*CHOOSE(CONTROL!$C$42, 0.5599, 0.5599)*CHOOSE(CONTROL!$C$42, 31, 31))/1000000</f>
        <v>12.063045499999998</v>
      </c>
      <c r="V1006" s="38">
        <f>(1000*CHOOSE(CONTROL!$C$42, 500, 500)*CHOOSE(CONTROL!$C$42, 0.275, 0.275)*CHOOSE(CONTROL!$C$42, 31, 31))/1000000</f>
        <v>4.2625000000000002</v>
      </c>
      <c r="W1006" s="38">
        <f>(1000*CHOOSE(CONTROL!$C$42, 0.1146, 0.1146)*CHOOSE(CONTROL!$C$42, 121.5, 121.5)*CHOOSE(CONTROL!$C$42, 31, 31))/1000000</f>
        <v>0.43164089999999994</v>
      </c>
      <c r="X1006" s="38">
        <f>(31*0.1790888*245000/1000000)+(31*0.2374*100000/1000000)</f>
        <v>2.0961194359999999</v>
      </c>
      <c r="Y1006" s="38">
        <f>(1000*600*CHOOSE(CONTROL!$C$42, 1.0585, 1.0585)*CHOOSE(CONTROL!$C$42, 31, 31))/1000000</f>
        <v>19.688099999999999</v>
      </c>
      <c r="Z1006" s="38"/>
      <c r="AA1006" s="10"/>
      <c r="AB1006" s="39"/>
      <c r="AC1006" s="33">
        <f>(B1006*131.881+C1006*277.167+D1006*79.08+E1006*125.872+F1006*40+G1006*185+H1006*0+I1006*100+J1006*300)/(131.881+277.167+79.08+125.872+0+40+185+100+300)</f>
        <v>34.443080630508476</v>
      </c>
      <c r="AD1006" s="27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34.164462589928057</v>
      </c>
    </row>
    <row r="1007" spans="1:30" ht="15.75" x14ac:dyDescent="0.25">
      <c r="A1007" s="13">
        <v>71924</v>
      </c>
      <c r="B1007" s="10">
        <f>CHOOSE(CONTROL!$C$42, 35.3293, 35.3293) * CHOOSE(CONTROL!$C$21, $C$9, 100%, $E$9)</f>
        <v>35.329300000000003</v>
      </c>
      <c r="C1007" s="10">
        <f>CHOOSE(CONTROL!$C$42, 35.3343, 35.3343) * CHOOSE(CONTROL!$C$21, $C$9, 100%, $E$9)</f>
        <v>35.334299999999999</v>
      </c>
      <c r="D1007" s="10">
        <f>CHOOSE(CONTROL!$C$42, 35.3587, 35.3587) * CHOOSE(CONTROL!$C$21, $C$9, 100%, $E$9)</f>
        <v>35.358699999999999</v>
      </c>
      <c r="E1007" s="10">
        <f>CHOOSE(CONTROL!$C$42, 35.3925, 35.3925) * CHOOSE(CONTROL!$C$21, $C$9, 100%, $E$9)</f>
        <v>35.392499999999998</v>
      </c>
      <c r="F1007" s="10">
        <f>CHOOSE(CONTROL!$C$42, 35.2986, 35.2986)*CHOOSE(CONTROL!$C$21, $C$9, 100%, $E$9)</f>
        <v>35.2986</v>
      </c>
      <c r="G1007" s="10">
        <f>CHOOSE(CONTROL!$C$42, 35.3151, 35.3151)*CHOOSE(CONTROL!$C$21, $C$9, 100%, $E$9)</f>
        <v>35.315100000000001</v>
      </c>
      <c r="H1007" s="10">
        <f>CHOOSE(CONTROL!$C$42, 35.3817, 35.3817) * CHOOSE(CONTROL!$C$21, $C$9, 100%, $E$9)</f>
        <v>35.381700000000002</v>
      </c>
      <c r="I1007" s="10">
        <f>CHOOSE(CONTROL!$C$42, 35.3161, 35.3161)* CHOOSE(CONTROL!$C$21, $C$9, 100%, $E$9)</f>
        <v>35.316099999999999</v>
      </c>
      <c r="J1007" s="10">
        <f>CHOOSE(CONTROL!$C$42, 35.2916, 35.2916)* CHOOSE(CONTROL!$C$21, $C$9, 100%, $E$9)</f>
        <v>35.291600000000003</v>
      </c>
      <c r="K1007" s="10">
        <f>CHOOSE(CONTROL!$C$42, 34.4496, 34.4496) * CHOOSE(CONTROL!$C$21, $C$9, 100%, $E$9)</f>
        <v>34.449599999999997</v>
      </c>
      <c r="L1007" s="10">
        <f>CHOOSE(CONTROL!$C$42, 35.9687, 35.9687) * CHOOSE(CONTROL!$C$21, $C$9, 100%, $E$9)</f>
        <v>35.968699999999998</v>
      </c>
      <c r="M1007" s="10">
        <f>CHOOSE(CONTROL!$C$42, 34.9493, 34.9493) * CHOOSE(CONTROL!$C$21, $C$9, 100%, $E$9)</f>
        <v>34.949300000000001</v>
      </c>
      <c r="N1007" s="10">
        <f>CHOOSE(CONTROL!$C$42, 34.9656, 34.9656) * CHOOSE(CONTROL!$C$21, $C$9, 100%, $E$9)</f>
        <v>34.965600000000002</v>
      </c>
      <c r="O1007" s="10">
        <f>CHOOSE(CONTROL!$C$42, 35.0385, 35.0385) * CHOOSE(CONTROL!$C$21, $C$9, 100%, $E$9)</f>
        <v>35.038499999999999</v>
      </c>
      <c r="P1007" s="10">
        <f>CHOOSE(CONTROL!$C$42, 34.9735, 34.9735) * CHOOSE(CONTROL!$C$21, $C$9, 100%, $E$9)</f>
        <v>34.973500000000001</v>
      </c>
      <c r="Q1007" s="10">
        <f>CHOOSE(CONTROL!$C$42, 35.6338, 35.6338) * CHOOSE(CONTROL!$C$21, $C$9, 100%, $E$9)</f>
        <v>35.633800000000001</v>
      </c>
      <c r="R1007" s="10">
        <f>CHOOSE(CONTROL!$C$42, 36.3098, 36.3098) * CHOOSE(CONTROL!$C$21, $C$9, 100%, $E$9)</f>
        <v>36.309800000000003</v>
      </c>
      <c r="S1007" s="10">
        <f>CHOOSE(CONTROL!$C$42, 34.3062, 34.3062) * CHOOSE(CONTROL!$C$21, $C$9, 100%, $E$9)</f>
        <v>34.306199999999997</v>
      </c>
      <c r="T10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38">
        <f>(1000*CHOOSE(CONTROL!$C$42, 695, 695)*CHOOSE(CONTROL!$C$42, 0.5599, 0.5599)*CHOOSE(CONTROL!$C$42, 30, 30))/1000000</f>
        <v>11.673914999999997</v>
      </c>
      <c r="V1007" s="38">
        <f>(1000*CHOOSE(CONTROL!$C$42, 500, 500)*CHOOSE(CONTROL!$C$42, 0.275, 0.275)*CHOOSE(CONTROL!$C$42, 30, 30))/1000000</f>
        <v>4.125</v>
      </c>
      <c r="W1007" s="38">
        <f>(1000*CHOOSE(CONTROL!$C$42, 0.1146, 0.1146)*CHOOSE(CONTROL!$C$42, 121.5, 121.5)*CHOOSE(CONTROL!$C$42, 30, 30))/1000000</f>
        <v>0.417717</v>
      </c>
      <c r="X1007" s="38">
        <f>(30*0.1790888*100000/1000000)+(30*0.2374*100000/1000000)</f>
        <v>1.2494664</v>
      </c>
      <c r="Y1007" s="38">
        <f>(1000*600*CHOOSE(CONTROL!$C$42, 1.0585, 1.0585)*CHOOSE(CONTROL!$C$42, 30, 30))/1000000</f>
        <v>19.053000000000001</v>
      </c>
      <c r="Z1007" s="38"/>
      <c r="AA1007" s="10"/>
      <c r="AB1007" s="39"/>
      <c r="AC1007" s="33">
        <f>(B1007*122.58+C1007*297.941+D1007*89.177+E1007*40.302+F1007*40+G1007*160+H1007*0+I1007*100+J1007*300)/(122.58+297.941+89.177+40.302+0+40+160+100+300)</f>
        <v>35.321063995826087</v>
      </c>
      <c r="AD1007" s="27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34.99414892086331</v>
      </c>
    </row>
    <row r="1008" spans="1:30" ht="15.75" x14ac:dyDescent="0.25">
      <c r="A1008" s="13">
        <v>71955</v>
      </c>
      <c r="B1008" s="10">
        <f>CHOOSE(CONTROL!$C$42, 37.7378, 37.7378) * CHOOSE(CONTROL!$C$21, $C$9, 100%, $E$9)</f>
        <v>37.7378</v>
      </c>
      <c r="C1008" s="10">
        <f>CHOOSE(CONTROL!$C$42, 37.7428, 37.7428) * CHOOSE(CONTROL!$C$21, $C$9, 100%, $E$9)</f>
        <v>37.742800000000003</v>
      </c>
      <c r="D1008" s="10">
        <f>CHOOSE(CONTROL!$C$42, 37.7673, 37.7673) * CHOOSE(CONTROL!$C$21, $C$9, 100%, $E$9)</f>
        <v>37.767299999999999</v>
      </c>
      <c r="E1008" s="10">
        <f>CHOOSE(CONTROL!$C$42, 37.801, 37.801) * CHOOSE(CONTROL!$C$21, $C$9, 100%, $E$9)</f>
        <v>37.801000000000002</v>
      </c>
      <c r="F1008" s="10">
        <f>CHOOSE(CONTROL!$C$42, 37.7095, 37.7095)*CHOOSE(CONTROL!$C$21, $C$9, 100%, $E$9)</f>
        <v>37.709499999999998</v>
      </c>
      <c r="G1008" s="10">
        <f>CHOOSE(CONTROL!$C$42, 37.7265, 37.7265)*CHOOSE(CONTROL!$C$21, $C$9, 100%, $E$9)</f>
        <v>37.726500000000001</v>
      </c>
      <c r="H1008" s="10">
        <f>CHOOSE(CONTROL!$C$42, 37.7902, 37.7902) * CHOOSE(CONTROL!$C$21, $C$9, 100%, $E$9)</f>
        <v>37.790199999999999</v>
      </c>
      <c r="I1008" s="10">
        <f>CHOOSE(CONTROL!$C$42, 37.7246, 37.7246)* CHOOSE(CONTROL!$C$21, $C$9, 100%, $E$9)</f>
        <v>37.724600000000002</v>
      </c>
      <c r="J1008" s="10">
        <f>CHOOSE(CONTROL!$C$42, 37.7025, 37.7025)* CHOOSE(CONTROL!$C$21, $C$9, 100%, $E$9)</f>
        <v>37.702500000000001</v>
      </c>
      <c r="K1008" s="10">
        <f>CHOOSE(CONTROL!$C$42, 36.7947, 36.7947) * CHOOSE(CONTROL!$C$21, $C$9, 100%, $E$9)</f>
        <v>36.794699999999999</v>
      </c>
      <c r="L1008" s="10">
        <f>CHOOSE(CONTROL!$C$42, 38.3772, 38.3772) * CHOOSE(CONTROL!$C$21, $C$9, 100%, $E$9)</f>
        <v>38.377200000000002</v>
      </c>
      <c r="M1008" s="10">
        <f>CHOOSE(CONTROL!$C$42, 37.3358, 37.3358) * CHOOSE(CONTROL!$C$21, $C$9, 100%, $E$9)</f>
        <v>37.335799999999999</v>
      </c>
      <c r="N1008" s="10">
        <f>CHOOSE(CONTROL!$C$42, 37.3527, 37.3527) * CHOOSE(CONTROL!$C$21, $C$9, 100%, $E$9)</f>
        <v>37.352699999999999</v>
      </c>
      <c r="O1008" s="10">
        <f>CHOOSE(CONTROL!$C$42, 37.4227, 37.4227) * CHOOSE(CONTROL!$C$21, $C$9, 100%, $E$9)</f>
        <v>37.422699999999999</v>
      </c>
      <c r="P1008" s="10">
        <f>CHOOSE(CONTROL!$C$42, 37.3578, 37.3578) * CHOOSE(CONTROL!$C$21, $C$9, 100%, $E$9)</f>
        <v>37.357799999999997</v>
      </c>
      <c r="Q1008" s="10">
        <f>CHOOSE(CONTROL!$C$42, 38.018, 38.018) * CHOOSE(CONTROL!$C$21, $C$9, 100%, $E$9)</f>
        <v>38.018000000000001</v>
      </c>
      <c r="R1008" s="10">
        <f>CHOOSE(CONTROL!$C$42, 38.7, 38.7) * CHOOSE(CONTROL!$C$21, $C$9, 100%, $E$9)</f>
        <v>38.700000000000003</v>
      </c>
      <c r="S1008" s="10">
        <f>CHOOSE(CONTROL!$C$42, 36.6451, 36.6451) * CHOOSE(CONTROL!$C$21, $C$9, 100%, $E$9)</f>
        <v>36.645099999999999</v>
      </c>
      <c r="T10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38">
        <f>(1000*CHOOSE(CONTROL!$C$42, 695, 695)*CHOOSE(CONTROL!$C$42, 0.5599, 0.5599)*CHOOSE(CONTROL!$C$42, 31, 31))/1000000</f>
        <v>12.063045499999998</v>
      </c>
      <c r="V1008" s="38">
        <f>(1000*CHOOSE(CONTROL!$C$42, 500, 500)*CHOOSE(CONTROL!$C$42, 0.275, 0.275)*CHOOSE(CONTROL!$C$42, 31, 31))/1000000</f>
        <v>4.2625000000000002</v>
      </c>
      <c r="W1008" s="38">
        <f>(1000*CHOOSE(CONTROL!$C$42, 0.1146, 0.1146)*CHOOSE(CONTROL!$C$42, 121.5, 121.5)*CHOOSE(CONTROL!$C$42, 31, 31))/1000000</f>
        <v>0.43164089999999994</v>
      </c>
      <c r="X1008" s="38">
        <f>(31*0.1790888*100000/1000000)+(31*0.2374*100000/1000000)</f>
        <v>1.2911152800000001</v>
      </c>
      <c r="Y1008" s="38">
        <f>(1000*600*CHOOSE(CONTROL!$C$42, 1.0585, 1.0585)*CHOOSE(CONTROL!$C$42, 31, 31))/1000000</f>
        <v>19.688099999999999</v>
      </c>
      <c r="Z1008" s="38"/>
      <c r="AA1008" s="10"/>
      <c r="AB1008" s="39"/>
      <c r="AC1008" s="33">
        <f>(B1008*122.58+C1008*297.941+D1008*89.177+E1008*40.302+F1008*40+G1008*160+H1008*0+I1008*100+J1008*300)/(122.58+297.941+89.177+40.302+0+40+160+100+300)</f>
        <v>37.730684793826086</v>
      </c>
      <c r="AD1008" s="27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37.379324460431654</v>
      </c>
    </row>
    <row r="1009" spans="1:30" ht="15.75" x14ac:dyDescent="0.25">
      <c r="A1009" s="13">
        <v>71986</v>
      </c>
      <c r="B1009" s="10">
        <f>CHOOSE(CONTROL!$C$42, 40.2847, 40.2847) * CHOOSE(CONTROL!$C$21, $C$9, 100%, $E$9)</f>
        <v>40.284700000000001</v>
      </c>
      <c r="C1009" s="10">
        <f>CHOOSE(CONTROL!$C$42, 40.2897, 40.2897) * CHOOSE(CONTROL!$C$21, $C$9, 100%, $E$9)</f>
        <v>40.289700000000003</v>
      </c>
      <c r="D1009" s="10">
        <f>CHOOSE(CONTROL!$C$42, 40.3142, 40.3142) * CHOOSE(CONTROL!$C$21, $C$9, 100%, $E$9)</f>
        <v>40.3142</v>
      </c>
      <c r="E1009" s="10">
        <f>CHOOSE(CONTROL!$C$42, 40.3479, 40.3479) * CHOOSE(CONTROL!$C$21, $C$9, 100%, $E$9)</f>
        <v>40.347900000000003</v>
      </c>
      <c r="F1009" s="10">
        <f>CHOOSE(CONTROL!$C$42, 40.2677, 40.2677)*CHOOSE(CONTROL!$C$21, $C$9, 100%, $E$9)</f>
        <v>40.267699999999998</v>
      </c>
      <c r="G1009" s="10">
        <f>CHOOSE(CONTROL!$C$42, 40.2863, 40.2863)*CHOOSE(CONTROL!$C$21, $C$9, 100%, $E$9)</f>
        <v>40.286299999999997</v>
      </c>
      <c r="H1009" s="10">
        <f>CHOOSE(CONTROL!$C$42, 40.3371, 40.3371) * CHOOSE(CONTROL!$C$21, $C$9, 100%, $E$9)</f>
        <v>40.3371</v>
      </c>
      <c r="I1009" s="10">
        <f>CHOOSE(CONTROL!$C$42, 40.2792, 40.2792)* CHOOSE(CONTROL!$C$21, $C$9, 100%, $E$9)</f>
        <v>40.279200000000003</v>
      </c>
      <c r="J1009" s="10">
        <f>CHOOSE(CONTROL!$C$42, 40.2607, 40.2607)* CHOOSE(CONTROL!$C$21, $C$9, 100%, $E$9)</f>
        <v>40.2607</v>
      </c>
      <c r="K1009" s="10">
        <f>CHOOSE(CONTROL!$C$42, 39.2902, 39.2902) * CHOOSE(CONTROL!$C$21, $C$9, 100%, $E$9)</f>
        <v>39.290199999999999</v>
      </c>
      <c r="L1009" s="10">
        <f>CHOOSE(CONTROL!$C$42, 40.9241, 40.9241) * CHOOSE(CONTROL!$C$21, $C$9, 100%, $E$9)</f>
        <v>40.924100000000003</v>
      </c>
      <c r="M1009" s="10">
        <f>CHOOSE(CONTROL!$C$42, 39.8682, 39.8682) * CHOOSE(CONTROL!$C$21, $C$9, 100%, $E$9)</f>
        <v>39.868200000000002</v>
      </c>
      <c r="N1009" s="10">
        <f>CHOOSE(CONTROL!$C$42, 39.8867, 39.8867) * CHOOSE(CONTROL!$C$21, $C$9, 100%, $E$9)</f>
        <v>39.886699999999998</v>
      </c>
      <c r="O1009" s="10">
        <f>CHOOSE(CONTROL!$C$42, 39.9439, 39.9439) * CHOOSE(CONTROL!$C$21, $C$9, 100%, $E$9)</f>
        <v>39.943899999999999</v>
      </c>
      <c r="P1009" s="10">
        <f>CHOOSE(CONTROL!$C$42, 39.8866, 39.8866) * CHOOSE(CONTROL!$C$21, $C$9, 100%, $E$9)</f>
        <v>39.886600000000001</v>
      </c>
      <c r="Q1009" s="10">
        <f>CHOOSE(CONTROL!$C$42, 40.5392, 40.5392) * CHOOSE(CONTROL!$C$21, $C$9, 100%, $E$9)</f>
        <v>40.539200000000001</v>
      </c>
      <c r="R1009" s="10">
        <f>CHOOSE(CONTROL!$C$42, 41.2275, 41.2275) * CHOOSE(CONTROL!$C$21, $C$9, 100%, $E$9)</f>
        <v>41.227499999999999</v>
      </c>
      <c r="S1009" s="10">
        <f>CHOOSE(CONTROL!$C$42, 39.1184, 39.1184) * CHOOSE(CONTROL!$C$21, $C$9, 100%, $E$9)</f>
        <v>39.118400000000001</v>
      </c>
      <c r="T10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38">
        <f>(1000*CHOOSE(CONTROL!$C$42, 695, 695)*CHOOSE(CONTROL!$C$42, 0.5599, 0.5599)*CHOOSE(CONTROL!$C$42, 31, 31))/1000000</f>
        <v>12.063045499999998</v>
      </c>
      <c r="V1009" s="38">
        <f>(1000*CHOOSE(CONTROL!$C$42, 500, 500)*CHOOSE(CONTROL!$C$42, 0.275, 0.275)*CHOOSE(CONTROL!$C$42, 31, 31))/1000000</f>
        <v>4.2625000000000002</v>
      </c>
      <c r="W1009" s="38">
        <f>(1000*CHOOSE(CONTROL!$C$42, 0.1146, 0.1146)*CHOOSE(CONTROL!$C$42, 121.5, 121.5)*CHOOSE(CONTROL!$C$42, 31, 31))/1000000</f>
        <v>0.43164089999999994</v>
      </c>
      <c r="X1009" s="38">
        <f>(31*0.1790888*100000/1000000)+(31*0.2374*100000/1000000)</f>
        <v>1.2911152800000001</v>
      </c>
      <c r="Y1009" s="38">
        <f>(1000*600*CHOOSE(CONTROL!$C$42, 1.0585, 1.0585)*CHOOSE(CONTROL!$C$42, 31, 31))/1000000</f>
        <v>19.688099999999999</v>
      </c>
      <c r="Z1009" s="38"/>
      <c r="AA1009" s="10"/>
      <c r="AB1009" s="39"/>
      <c r="AC1009" s="33">
        <f>(B1009*122.58+C1009*297.941+D1009*89.177+E1009*40.302+F1009*40+G1009*160+H1009*0+I1009*100+J1009*300)/(122.58+297.941+89.177+40.302+0+40+160+100+300)</f>
        <v>40.283390011217385</v>
      </c>
      <c r="AD1009" s="27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39.90622230215827</v>
      </c>
    </row>
    <row r="1010" spans="1:30" ht="15.75" x14ac:dyDescent="0.25">
      <c r="A1010" s="13">
        <v>72014</v>
      </c>
      <c r="B1010" s="10">
        <f>CHOOSE(CONTROL!$C$42, 41.0018, 41.0018) * CHOOSE(CONTROL!$C$21, $C$9, 100%, $E$9)</f>
        <v>41.001800000000003</v>
      </c>
      <c r="C1010" s="10">
        <f>CHOOSE(CONTROL!$C$42, 41.0068, 41.0068) * CHOOSE(CONTROL!$C$21, $C$9, 100%, $E$9)</f>
        <v>41.006799999999998</v>
      </c>
      <c r="D1010" s="10">
        <f>CHOOSE(CONTROL!$C$42, 41.0312, 41.0312) * CHOOSE(CONTROL!$C$21, $C$9, 100%, $E$9)</f>
        <v>41.031199999999998</v>
      </c>
      <c r="E1010" s="10">
        <f>CHOOSE(CONTROL!$C$42, 41.065, 41.065) * CHOOSE(CONTROL!$C$21, $C$9, 100%, $E$9)</f>
        <v>41.064999999999998</v>
      </c>
      <c r="F1010" s="10">
        <f>CHOOSE(CONTROL!$C$42, 40.9841, 40.9841)*CHOOSE(CONTROL!$C$21, $C$9, 100%, $E$9)</f>
        <v>40.984099999999998</v>
      </c>
      <c r="G1010" s="10">
        <f>CHOOSE(CONTROL!$C$42, 41.0026, 41.0026)*CHOOSE(CONTROL!$C$21, $C$9, 100%, $E$9)</f>
        <v>41.002600000000001</v>
      </c>
      <c r="H1010" s="10">
        <f>CHOOSE(CONTROL!$C$42, 41.0542, 41.0542) * CHOOSE(CONTROL!$C$21, $C$9, 100%, $E$9)</f>
        <v>41.054200000000002</v>
      </c>
      <c r="I1010" s="10">
        <f>CHOOSE(CONTROL!$C$42, 40.9963, 40.9963)* CHOOSE(CONTROL!$C$21, $C$9, 100%, $E$9)</f>
        <v>40.996299999999998</v>
      </c>
      <c r="J1010" s="10">
        <f>CHOOSE(CONTROL!$C$42, 40.9771, 40.9771)* CHOOSE(CONTROL!$C$21, $C$9, 100%, $E$9)</f>
        <v>40.9771</v>
      </c>
      <c r="K1010" s="10">
        <f>CHOOSE(CONTROL!$C$42, 39.9855, 39.9855) * CHOOSE(CONTROL!$C$21, $C$9, 100%, $E$9)</f>
        <v>39.985500000000002</v>
      </c>
      <c r="L1010" s="10">
        <f>CHOOSE(CONTROL!$C$42, 41.6412, 41.6412) * CHOOSE(CONTROL!$C$21, $C$9, 100%, $E$9)</f>
        <v>41.641199999999998</v>
      </c>
      <c r="M1010" s="10">
        <f>CHOOSE(CONTROL!$C$42, 40.5774, 40.5774) * CHOOSE(CONTROL!$C$21, $C$9, 100%, $E$9)</f>
        <v>40.577399999999997</v>
      </c>
      <c r="N1010" s="10">
        <f>CHOOSE(CONTROL!$C$42, 40.5957, 40.5957) * CHOOSE(CONTROL!$C$21, $C$9, 100%, $E$9)</f>
        <v>40.595700000000001</v>
      </c>
      <c r="O1010" s="10">
        <f>CHOOSE(CONTROL!$C$42, 40.6537, 40.6537) * CHOOSE(CONTROL!$C$21, $C$9, 100%, $E$9)</f>
        <v>40.653700000000001</v>
      </c>
      <c r="P1010" s="10">
        <f>CHOOSE(CONTROL!$C$42, 40.5964, 40.5964) * CHOOSE(CONTROL!$C$21, $C$9, 100%, $E$9)</f>
        <v>40.596400000000003</v>
      </c>
      <c r="Q1010" s="10">
        <f>CHOOSE(CONTROL!$C$42, 41.249, 41.249) * CHOOSE(CONTROL!$C$21, $C$9, 100%, $E$9)</f>
        <v>41.249000000000002</v>
      </c>
      <c r="R1010" s="10">
        <f>CHOOSE(CONTROL!$C$42, 41.9391, 41.9391) * CHOOSE(CONTROL!$C$21, $C$9, 100%, $E$9)</f>
        <v>41.939100000000003</v>
      </c>
      <c r="S1010" s="10">
        <f>CHOOSE(CONTROL!$C$42, 39.8147, 39.8147) * CHOOSE(CONTROL!$C$21, $C$9, 100%, $E$9)</f>
        <v>39.814700000000002</v>
      </c>
      <c r="T10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10" s="38">
        <f>(1000*CHOOSE(CONTROL!$C$42, 695, 695)*CHOOSE(CONTROL!$C$42, 0.5599, 0.5599)*CHOOSE(CONTROL!$C$42, 28, 28))/1000000</f>
        <v>10.895653999999999</v>
      </c>
      <c r="V1010" s="38">
        <f>(1000*CHOOSE(CONTROL!$C$42, 500, 500)*CHOOSE(CONTROL!$C$42, 0.275, 0.275)*CHOOSE(CONTROL!$C$42, 28, 28))/1000000</f>
        <v>3.85</v>
      </c>
      <c r="W1010" s="38">
        <f>(1000*CHOOSE(CONTROL!$C$42, 0.1146, 0.1146)*CHOOSE(CONTROL!$C$42, 121.5, 121.5)*CHOOSE(CONTROL!$C$42, 28, 28))/1000000</f>
        <v>0.38986920000000003</v>
      </c>
      <c r="X1010" s="38">
        <f>(28*0.1790888*100000/1000000)+(28*0.2374*100000/1000000)</f>
        <v>1.16616864</v>
      </c>
      <c r="Y1010" s="38">
        <f>(1000*600*CHOOSE(CONTROL!$C$42, 1.0585, 1.0585)*CHOOSE(CONTROL!$C$42, 28, 28))/1000000</f>
        <v>17.782800000000002</v>
      </c>
      <c r="Z1010" s="38"/>
      <c r="AA1010" s="10"/>
      <c r="AB1010" s="39"/>
      <c r="AC1010" s="33">
        <f>(B1010*122.58+C1010*297.941+D1010*89.177+E1010*40.302+F1010*40+G1010*160+H1010*0+I1010*100+J1010*300)/(122.58+297.941+89.177+40.302+0+40+160+100+300)</f>
        <v>41.000163995826078</v>
      </c>
      <c r="AD1010" s="27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40.6157690647482</v>
      </c>
    </row>
    <row r="1011" spans="1:30" ht="15.75" x14ac:dyDescent="0.25">
      <c r="A1011" s="13">
        <v>72045</v>
      </c>
      <c r="B1011" s="10">
        <f>CHOOSE(CONTROL!$C$42, 39.8378, 39.8378) * CHOOSE(CONTROL!$C$21, $C$9, 100%, $E$9)</f>
        <v>39.837800000000001</v>
      </c>
      <c r="C1011" s="10">
        <f>CHOOSE(CONTROL!$C$42, 39.8428, 39.8428) * CHOOSE(CONTROL!$C$21, $C$9, 100%, $E$9)</f>
        <v>39.842799999999997</v>
      </c>
      <c r="D1011" s="10">
        <f>CHOOSE(CONTROL!$C$42, 39.8672, 39.8672) * CHOOSE(CONTROL!$C$21, $C$9, 100%, $E$9)</f>
        <v>39.867199999999997</v>
      </c>
      <c r="E1011" s="10">
        <f>CHOOSE(CONTROL!$C$42, 39.901, 39.901) * CHOOSE(CONTROL!$C$21, $C$9, 100%, $E$9)</f>
        <v>39.901000000000003</v>
      </c>
      <c r="F1011" s="10">
        <f>CHOOSE(CONTROL!$C$42, 39.8185, 39.8185)*CHOOSE(CONTROL!$C$21, $C$9, 100%, $E$9)</f>
        <v>39.8185</v>
      </c>
      <c r="G1011" s="10">
        <f>CHOOSE(CONTROL!$C$42, 39.8366, 39.8366)*CHOOSE(CONTROL!$C$21, $C$9, 100%, $E$9)</f>
        <v>39.836599999999997</v>
      </c>
      <c r="H1011" s="10">
        <f>CHOOSE(CONTROL!$C$42, 39.8902, 39.8902) * CHOOSE(CONTROL!$C$21, $C$9, 100%, $E$9)</f>
        <v>39.8902</v>
      </c>
      <c r="I1011" s="10">
        <f>CHOOSE(CONTROL!$C$42, 39.8323, 39.8323)* CHOOSE(CONTROL!$C$21, $C$9, 100%, $E$9)</f>
        <v>39.832299999999996</v>
      </c>
      <c r="J1011" s="10">
        <f>CHOOSE(CONTROL!$C$42, 39.8115, 39.8115)* CHOOSE(CONTROL!$C$21, $C$9, 100%, $E$9)</f>
        <v>39.811500000000002</v>
      </c>
      <c r="K1011" s="10">
        <f>CHOOSE(CONTROL!$C$42, 38.8512, 38.8512) * CHOOSE(CONTROL!$C$21, $C$9, 100%, $E$9)</f>
        <v>38.851199999999999</v>
      </c>
      <c r="L1011" s="10">
        <f>CHOOSE(CONTROL!$C$42, 40.4772, 40.4772) * CHOOSE(CONTROL!$C$21, $C$9, 100%, $E$9)</f>
        <v>40.477200000000003</v>
      </c>
      <c r="M1011" s="10">
        <f>CHOOSE(CONTROL!$C$42, 39.4236, 39.4236) * CHOOSE(CONTROL!$C$21, $C$9, 100%, $E$9)</f>
        <v>39.4236</v>
      </c>
      <c r="N1011" s="10">
        <f>CHOOSE(CONTROL!$C$42, 39.4415, 39.4415) * CHOOSE(CONTROL!$C$21, $C$9, 100%, $E$9)</f>
        <v>39.441499999999998</v>
      </c>
      <c r="O1011" s="10">
        <f>CHOOSE(CONTROL!$C$42, 39.5015, 39.5015) * CHOOSE(CONTROL!$C$21, $C$9, 100%, $E$9)</f>
        <v>39.5015</v>
      </c>
      <c r="P1011" s="10">
        <f>CHOOSE(CONTROL!$C$42, 39.4442, 39.4442) * CHOOSE(CONTROL!$C$21, $C$9, 100%, $E$9)</f>
        <v>39.444200000000002</v>
      </c>
      <c r="Q1011" s="10">
        <f>CHOOSE(CONTROL!$C$42, 40.0968, 40.0968) * CHOOSE(CONTROL!$C$21, $C$9, 100%, $E$9)</f>
        <v>40.096800000000002</v>
      </c>
      <c r="R1011" s="10">
        <f>CHOOSE(CONTROL!$C$42, 40.784, 40.784) * CHOOSE(CONTROL!$C$21, $C$9, 100%, $E$9)</f>
        <v>40.783999999999999</v>
      </c>
      <c r="S1011" s="10">
        <f>CHOOSE(CONTROL!$C$42, 38.6844, 38.6844) * CHOOSE(CONTROL!$C$21, $C$9, 100%, $E$9)</f>
        <v>38.684399999999997</v>
      </c>
      <c r="T10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38">
        <f>(1000*CHOOSE(CONTROL!$C$42, 695, 695)*CHOOSE(CONTROL!$C$42, 0.5599, 0.5599)*CHOOSE(CONTROL!$C$42, 31, 31))/1000000</f>
        <v>12.063045499999998</v>
      </c>
      <c r="V1011" s="38">
        <f>(1000*CHOOSE(CONTROL!$C$42, 500, 500)*CHOOSE(CONTROL!$C$42, 0.275, 0.275)*CHOOSE(CONTROL!$C$42, 31, 31))/1000000</f>
        <v>4.2625000000000002</v>
      </c>
      <c r="W1011" s="38">
        <f>(1000*CHOOSE(CONTROL!$C$42, 0.1146, 0.1146)*CHOOSE(CONTROL!$C$42, 121.5, 121.5)*CHOOSE(CONTROL!$C$42, 31, 31))/1000000</f>
        <v>0.43164089999999994</v>
      </c>
      <c r="X1011" s="38">
        <f>(31*0.1790888*100000/1000000)+(31*0.2374*100000/1000000)</f>
        <v>1.2911152800000001</v>
      </c>
      <c r="Y1011" s="38">
        <f>(1000*600*CHOOSE(CONTROL!$C$42, 1.0585, 1.0585)*CHOOSE(CONTROL!$C$42, 31, 31))/1000000</f>
        <v>19.688099999999999</v>
      </c>
      <c r="Z1011" s="38"/>
      <c r="AA1011" s="10"/>
      <c r="AB1011" s="39"/>
      <c r="AC1011" s="33">
        <f>(B1011*122.58+C1011*297.941+D1011*89.177+E1011*40.302+F1011*40+G1011*160+H1011*0+I1011*100+J1011*300)/(122.58+297.941+89.177+40.302+0+40+160+100+300)</f>
        <v>39.835412691478268</v>
      </c>
      <c r="AD1011" s="27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39.462901438848924</v>
      </c>
    </row>
    <row r="1012" spans="1:30" ht="15.75" x14ac:dyDescent="0.25">
      <c r="A1012" s="13">
        <v>72075</v>
      </c>
      <c r="B1012" s="10">
        <f>CHOOSE(CONTROL!$C$42, 39.7193, 39.7193) * CHOOSE(CONTROL!$C$21, $C$9, 100%, $E$9)</f>
        <v>39.719299999999997</v>
      </c>
      <c r="C1012" s="10">
        <f>CHOOSE(CONTROL!$C$42, 39.7237, 39.7237) * CHOOSE(CONTROL!$C$21, $C$9, 100%, $E$9)</f>
        <v>39.723700000000001</v>
      </c>
      <c r="D1012" s="10">
        <f>CHOOSE(CONTROL!$C$42, 39.9038, 39.9038) * CHOOSE(CONTROL!$C$21, $C$9, 100%, $E$9)</f>
        <v>39.903799999999997</v>
      </c>
      <c r="E1012" s="10">
        <f>CHOOSE(CONTROL!$C$42, 39.9356, 39.9356) * CHOOSE(CONTROL!$C$21, $C$9, 100%, $E$9)</f>
        <v>39.935600000000001</v>
      </c>
      <c r="F1012" s="10">
        <f>CHOOSE(CONTROL!$C$42, 39.6847, 39.6847)*CHOOSE(CONTROL!$C$21, $C$9, 100%, $E$9)</f>
        <v>39.684699999999999</v>
      </c>
      <c r="G1012" s="10">
        <f>CHOOSE(CONTROL!$C$42, 39.7009, 39.7009)*CHOOSE(CONTROL!$C$21, $C$9, 100%, $E$9)</f>
        <v>39.700899999999997</v>
      </c>
      <c r="H1012" s="10">
        <f>CHOOSE(CONTROL!$C$42, 39.9254, 39.9254) * CHOOSE(CONTROL!$C$21, $C$9, 100%, $E$9)</f>
        <v>39.925400000000003</v>
      </c>
      <c r="I1012" s="10">
        <f>CHOOSE(CONTROL!$C$42, 39.7053, 39.7053)* CHOOSE(CONTROL!$C$21, $C$9, 100%, $E$9)</f>
        <v>39.705300000000001</v>
      </c>
      <c r="J1012" s="10">
        <f>CHOOSE(CONTROL!$C$42, 39.6777, 39.6777)* CHOOSE(CONTROL!$C$21, $C$9, 100%, $E$9)</f>
        <v>39.677700000000002</v>
      </c>
      <c r="K1012" s="10">
        <f>CHOOSE(CONTROL!$C$42, 38.7128, 38.7128) * CHOOSE(CONTROL!$C$21, $C$9, 100%, $E$9)</f>
        <v>38.712800000000001</v>
      </c>
      <c r="L1012" s="10">
        <f>CHOOSE(CONTROL!$C$42, 40.5124, 40.5124) * CHOOSE(CONTROL!$C$21, $C$9, 100%, $E$9)</f>
        <v>40.5124</v>
      </c>
      <c r="M1012" s="10">
        <f>CHOOSE(CONTROL!$C$42, 39.2911, 39.2911) * CHOOSE(CONTROL!$C$21, $C$9, 100%, $E$9)</f>
        <v>39.2911</v>
      </c>
      <c r="N1012" s="10">
        <f>CHOOSE(CONTROL!$C$42, 39.3072, 39.3072) * CHOOSE(CONTROL!$C$21, $C$9, 100%, $E$9)</f>
        <v>39.307200000000002</v>
      </c>
      <c r="O1012" s="10">
        <f>CHOOSE(CONTROL!$C$42, 39.5363, 39.5363) * CHOOSE(CONTROL!$C$21, $C$9, 100%, $E$9)</f>
        <v>39.536299999999997</v>
      </c>
      <c r="P1012" s="10">
        <f>CHOOSE(CONTROL!$C$42, 39.3185, 39.3185) * CHOOSE(CONTROL!$C$21, $C$9, 100%, $E$9)</f>
        <v>39.3185</v>
      </c>
      <c r="Q1012" s="10">
        <f>CHOOSE(CONTROL!$C$42, 40.1316, 40.1316) * CHOOSE(CONTROL!$C$21, $C$9, 100%, $E$9)</f>
        <v>40.131599999999999</v>
      </c>
      <c r="R1012" s="10">
        <f>CHOOSE(CONTROL!$C$42, 40.8189, 40.8189) * CHOOSE(CONTROL!$C$21, $C$9, 100%, $E$9)</f>
        <v>40.818899999999999</v>
      </c>
      <c r="S1012" s="10">
        <f>CHOOSE(CONTROL!$C$42, 38.5686, 38.5686) * CHOOSE(CONTROL!$C$21, $C$9, 100%, $E$9)</f>
        <v>38.568600000000004</v>
      </c>
      <c r="T10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38">
        <f>(1000*CHOOSE(CONTROL!$C$42, 695, 695)*CHOOSE(CONTROL!$C$42, 0.5599, 0.5599)*CHOOSE(CONTROL!$C$42, 30, 30))/1000000</f>
        <v>11.673914999999997</v>
      </c>
      <c r="V1012" s="38">
        <f>(1000*CHOOSE(CONTROL!$C$42, 500, 500)*CHOOSE(CONTROL!$C$42, 0.275, 0.275)*CHOOSE(CONTROL!$C$42, 30, 30))/1000000</f>
        <v>4.125</v>
      </c>
      <c r="W1012" s="38">
        <f>(1000*CHOOSE(CONTROL!$C$42, 0.1146, 0.1146)*CHOOSE(CONTROL!$C$42, 121.5, 121.5)*CHOOSE(CONTROL!$C$42, 30, 30))/1000000</f>
        <v>0.417717</v>
      </c>
      <c r="X1012" s="38">
        <f>(30*0.1790888*245000/1000000)+(30*0.2374*100000/1000000)</f>
        <v>2.0285026799999999</v>
      </c>
      <c r="Y1012" s="38">
        <f>(1000*600*CHOOSE(CONTROL!$C$42, 1.0585, 1.0585)*CHOOSE(CONTROL!$C$42, 30, 30))/1000000</f>
        <v>19.053000000000001</v>
      </c>
      <c r="Z1012" s="38"/>
      <c r="AA1012" s="10"/>
      <c r="AB1012" s="39"/>
      <c r="AC1012" s="33">
        <f>(B1012*141.293+C1012*267.993+D1012*115.016+E1012*89.698+F1012*40+G1012*185+H1012*0+I1012*100+J1012*300)/(141.293+267.993+115.016+89.698+0+40+185+100+300)</f>
        <v>39.737970943179981</v>
      </c>
      <c r="AD1012" s="27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39.407102877697838</v>
      </c>
    </row>
    <row r="1013" spans="1:30" ht="15.75" x14ac:dyDescent="0.25">
      <c r="A1013" s="13">
        <v>72106</v>
      </c>
      <c r="B1013" s="10">
        <f>CHOOSE(CONTROL!$C$42, 40.0717, 40.0717) * CHOOSE(CONTROL!$C$21, $C$9, 100%, $E$9)</f>
        <v>40.0717</v>
      </c>
      <c r="C1013" s="10">
        <f>CHOOSE(CONTROL!$C$42, 40.0796, 40.0796) * CHOOSE(CONTROL!$C$21, $C$9, 100%, $E$9)</f>
        <v>40.079599999999999</v>
      </c>
      <c r="D1013" s="10">
        <f>CHOOSE(CONTROL!$C$42, 40.2566, 40.2566) * CHOOSE(CONTROL!$C$21, $C$9, 100%, $E$9)</f>
        <v>40.256599999999999</v>
      </c>
      <c r="E1013" s="10">
        <f>CHOOSE(CONTROL!$C$42, 40.2877, 40.2877) * CHOOSE(CONTROL!$C$21, $C$9, 100%, $E$9)</f>
        <v>40.287700000000001</v>
      </c>
      <c r="F1013" s="10">
        <f>CHOOSE(CONTROL!$C$42, 40.035, 40.035)*CHOOSE(CONTROL!$C$21, $C$9, 100%, $E$9)</f>
        <v>40.034999999999997</v>
      </c>
      <c r="G1013" s="10">
        <f>CHOOSE(CONTROL!$C$42, 40.0515, 40.0515)*CHOOSE(CONTROL!$C$21, $C$9, 100%, $E$9)</f>
        <v>40.051499999999997</v>
      </c>
      <c r="H1013" s="10">
        <f>CHOOSE(CONTROL!$C$42, 40.2763, 40.2763) * CHOOSE(CONTROL!$C$21, $C$9, 100%, $E$9)</f>
        <v>40.276299999999999</v>
      </c>
      <c r="I1013" s="10">
        <f>CHOOSE(CONTROL!$C$42, 40.0562, 40.0562)* CHOOSE(CONTROL!$C$21, $C$9, 100%, $E$9)</f>
        <v>40.056199999999997</v>
      </c>
      <c r="J1013" s="10">
        <f>CHOOSE(CONTROL!$C$42, 40.028, 40.028)* CHOOSE(CONTROL!$C$21, $C$9, 100%, $E$9)</f>
        <v>40.027999999999999</v>
      </c>
      <c r="K1013" s="10">
        <f>CHOOSE(CONTROL!$C$42, 39.0525, 39.0525) * CHOOSE(CONTROL!$C$21, $C$9, 100%, $E$9)</f>
        <v>39.052500000000002</v>
      </c>
      <c r="L1013" s="10">
        <f>CHOOSE(CONTROL!$C$42, 40.8633, 40.8633) * CHOOSE(CONTROL!$C$21, $C$9, 100%, $E$9)</f>
        <v>40.863300000000002</v>
      </c>
      <c r="M1013" s="10">
        <f>CHOOSE(CONTROL!$C$42, 39.6379, 39.6379) * CHOOSE(CONTROL!$C$21, $C$9, 100%, $E$9)</f>
        <v>39.637900000000002</v>
      </c>
      <c r="N1013" s="10">
        <f>CHOOSE(CONTROL!$C$42, 39.6542, 39.6542) * CHOOSE(CONTROL!$C$21, $C$9, 100%, $E$9)</f>
        <v>39.654200000000003</v>
      </c>
      <c r="O1013" s="10">
        <f>CHOOSE(CONTROL!$C$42, 39.8837, 39.8837) * CHOOSE(CONTROL!$C$21, $C$9, 100%, $E$9)</f>
        <v>39.883699999999997</v>
      </c>
      <c r="P1013" s="10">
        <f>CHOOSE(CONTROL!$C$42, 39.6659, 39.6659) * CHOOSE(CONTROL!$C$21, $C$9, 100%, $E$9)</f>
        <v>39.665900000000001</v>
      </c>
      <c r="Q1013" s="10">
        <f>CHOOSE(CONTROL!$C$42, 40.479, 40.479) * CHOOSE(CONTROL!$C$21, $C$9, 100%, $E$9)</f>
        <v>40.478999999999999</v>
      </c>
      <c r="R1013" s="10">
        <f>CHOOSE(CONTROL!$C$42, 41.1672, 41.1672) * CHOOSE(CONTROL!$C$21, $C$9, 100%, $E$9)</f>
        <v>41.167200000000001</v>
      </c>
      <c r="S1013" s="10">
        <f>CHOOSE(CONTROL!$C$42, 38.9093, 38.9093) * CHOOSE(CONTROL!$C$21, $C$9, 100%, $E$9)</f>
        <v>38.909300000000002</v>
      </c>
      <c r="T10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38">
        <f>(1000*CHOOSE(CONTROL!$C$42, 695, 695)*CHOOSE(CONTROL!$C$42, 0.5599, 0.5599)*CHOOSE(CONTROL!$C$42, 31, 31))/1000000</f>
        <v>12.063045499999998</v>
      </c>
      <c r="V1013" s="38">
        <f>(1000*CHOOSE(CONTROL!$C$42, 500, 500)*CHOOSE(CONTROL!$C$42, 0.275, 0.275)*CHOOSE(CONTROL!$C$42, 31, 31))/1000000</f>
        <v>4.2625000000000002</v>
      </c>
      <c r="W1013" s="38">
        <f>(1000*CHOOSE(CONTROL!$C$42, 0.1146, 0.1146)*CHOOSE(CONTROL!$C$42, 121.5, 121.5)*CHOOSE(CONTROL!$C$42, 31, 31))/1000000</f>
        <v>0.43164089999999994</v>
      </c>
      <c r="X1013" s="38">
        <f>(31*0.1790888*245000/1000000)+(31*0.2374*100000/1000000)</f>
        <v>2.0961194359999999</v>
      </c>
      <c r="Y1013" s="38">
        <f>(1000*600*CHOOSE(CONTROL!$C$42, 1.0585, 1.0585)*CHOOSE(CONTROL!$C$42, 31, 31))/1000000</f>
        <v>19.688099999999999</v>
      </c>
      <c r="Z1013" s="38"/>
      <c r="AA1013" s="10"/>
      <c r="AB1013" s="39"/>
      <c r="AC1013" s="33">
        <f>(B1013*194.205+C1013*267.466+D1013*133.845+E1013*53.484+F1013*40+G1013*185+H1013*0+I1013*100+J1013*300)/(194.205+267.466+133.845+53.484+0+40+185+100+300)</f>
        <v>40.086259235400313</v>
      </c>
      <c r="AD1013" s="27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39.754272661870509</v>
      </c>
    </row>
    <row r="1014" spans="1:30" ht="15.75" x14ac:dyDescent="0.25">
      <c r="A1014" s="13">
        <v>72136</v>
      </c>
      <c r="B1014" s="10">
        <f>CHOOSE(CONTROL!$C$42, 41.2082, 41.2082) * CHOOSE(CONTROL!$C$21, $C$9, 100%, $E$9)</f>
        <v>41.208199999999998</v>
      </c>
      <c r="C1014" s="10">
        <f>CHOOSE(CONTROL!$C$42, 41.2161, 41.2161) * CHOOSE(CONTROL!$C$21, $C$9, 100%, $E$9)</f>
        <v>41.216099999999997</v>
      </c>
      <c r="D1014" s="10">
        <f>CHOOSE(CONTROL!$C$42, 41.3931, 41.3931) * CHOOSE(CONTROL!$C$21, $C$9, 100%, $E$9)</f>
        <v>41.393099999999997</v>
      </c>
      <c r="E1014" s="10">
        <f>CHOOSE(CONTROL!$C$42, 41.4242, 41.4242) * CHOOSE(CONTROL!$C$21, $C$9, 100%, $E$9)</f>
        <v>41.424199999999999</v>
      </c>
      <c r="F1014" s="10">
        <f>CHOOSE(CONTROL!$C$42, 41.1717, 41.1717)*CHOOSE(CONTROL!$C$21, $C$9, 100%, $E$9)</f>
        <v>41.171700000000001</v>
      </c>
      <c r="G1014" s="10">
        <f>CHOOSE(CONTROL!$C$42, 41.1883, 41.1883)*CHOOSE(CONTROL!$C$21, $C$9, 100%, $E$9)</f>
        <v>41.188299999999998</v>
      </c>
      <c r="H1014" s="10">
        <f>CHOOSE(CONTROL!$C$42, 41.4129, 41.4129) * CHOOSE(CONTROL!$C$21, $C$9, 100%, $E$9)</f>
        <v>41.4129</v>
      </c>
      <c r="I1014" s="10">
        <f>CHOOSE(CONTROL!$C$42, 41.1928, 41.1928)* CHOOSE(CONTROL!$C$21, $C$9, 100%, $E$9)</f>
        <v>41.192799999999998</v>
      </c>
      <c r="J1014" s="10">
        <f>CHOOSE(CONTROL!$C$42, 41.1647, 41.1647)* CHOOSE(CONTROL!$C$21, $C$9, 100%, $E$9)</f>
        <v>41.164700000000003</v>
      </c>
      <c r="K1014" s="10">
        <f>CHOOSE(CONTROL!$C$42, 40.1572, 40.1572) * CHOOSE(CONTROL!$C$21, $C$9, 100%, $E$9)</f>
        <v>40.157200000000003</v>
      </c>
      <c r="L1014" s="10">
        <f>CHOOSE(CONTROL!$C$42, 41.9999, 41.9999) * CHOOSE(CONTROL!$C$21, $C$9, 100%, $E$9)</f>
        <v>41.999899999999997</v>
      </c>
      <c r="M1014" s="10">
        <f>CHOOSE(CONTROL!$C$42, 40.7631, 40.7631) * CHOOSE(CONTROL!$C$21, $C$9, 100%, $E$9)</f>
        <v>40.763100000000001</v>
      </c>
      <c r="N1014" s="10">
        <f>CHOOSE(CONTROL!$C$42, 40.7795, 40.7795) * CHOOSE(CONTROL!$C$21, $C$9, 100%, $E$9)</f>
        <v>40.779499999999999</v>
      </c>
      <c r="O1014" s="10">
        <f>CHOOSE(CONTROL!$C$42, 41.0088, 41.0088) * CHOOSE(CONTROL!$C$21, $C$9, 100%, $E$9)</f>
        <v>41.008800000000001</v>
      </c>
      <c r="P1014" s="10">
        <f>CHOOSE(CONTROL!$C$42, 40.7909, 40.7909) * CHOOSE(CONTROL!$C$21, $C$9, 100%, $E$9)</f>
        <v>40.790900000000001</v>
      </c>
      <c r="Q1014" s="10">
        <f>CHOOSE(CONTROL!$C$42, 41.6041, 41.6041) * CHOOSE(CONTROL!$C$21, $C$9, 100%, $E$9)</f>
        <v>41.604100000000003</v>
      </c>
      <c r="R1014" s="10">
        <f>CHOOSE(CONTROL!$C$42, 42.2951, 42.2951) * CHOOSE(CONTROL!$C$21, $C$9, 100%, $E$9)</f>
        <v>42.295099999999998</v>
      </c>
      <c r="S1014" s="10">
        <f>CHOOSE(CONTROL!$C$42, 40.013, 40.013) * CHOOSE(CONTROL!$C$21, $C$9, 100%, $E$9)</f>
        <v>40.012999999999998</v>
      </c>
      <c r="T10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38">
        <f>(1000*CHOOSE(CONTROL!$C$42, 695, 695)*CHOOSE(CONTROL!$C$42, 0.5599, 0.5599)*CHOOSE(CONTROL!$C$42, 30, 30))/1000000</f>
        <v>11.673914999999997</v>
      </c>
      <c r="V1014" s="38">
        <f>(1000*CHOOSE(CONTROL!$C$42, 500, 500)*CHOOSE(CONTROL!$C$42, 0.275, 0.275)*CHOOSE(CONTROL!$C$42, 30, 30))/1000000</f>
        <v>4.125</v>
      </c>
      <c r="W1014" s="38">
        <f>(1000*CHOOSE(CONTROL!$C$42, 0.1146, 0.1146)*CHOOSE(CONTROL!$C$42, 121.5, 121.5)*CHOOSE(CONTROL!$C$42, 30, 30))/1000000</f>
        <v>0.417717</v>
      </c>
      <c r="X1014" s="38">
        <f>(30*0.1790888*245000/1000000)+(30*0.2374*100000/1000000)</f>
        <v>2.0285026799999999</v>
      </c>
      <c r="Y1014" s="38">
        <f>(1000*600*CHOOSE(CONTROL!$C$42, 1.0585, 1.0585)*CHOOSE(CONTROL!$C$42, 30, 30))/1000000</f>
        <v>19.053000000000001</v>
      </c>
      <c r="Z1014" s="38"/>
      <c r="AA1014" s="10"/>
      <c r="AB1014" s="39"/>
      <c r="AC1014" s="33">
        <f>(B1014*194.205+C1014*267.466+D1014*133.845+E1014*53.484+F1014*40+G1014*185+H1014*0+I1014*100+J1014*300)/(194.205+267.466+133.845+53.484+0+40+185+100+300)</f>
        <v>41.222864023469391</v>
      </c>
      <c r="AD1014" s="27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40.879404316546761</v>
      </c>
    </row>
    <row r="1015" spans="1:30" ht="15.75" x14ac:dyDescent="0.25">
      <c r="A1015" s="13">
        <v>72167</v>
      </c>
      <c r="B1015" s="10">
        <f>CHOOSE(CONTROL!$C$42, 40.4177, 40.4177) * CHOOSE(CONTROL!$C$21, $C$9, 100%, $E$9)</f>
        <v>40.417700000000004</v>
      </c>
      <c r="C1015" s="10">
        <f>CHOOSE(CONTROL!$C$42, 40.4256, 40.4256) * CHOOSE(CONTROL!$C$21, $C$9, 100%, $E$9)</f>
        <v>40.425600000000003</v>
      </c>
      <c r="D1015" s="10">
        <f>CHOOSE(CONTROL!$C$42, 40.6026, 40.6026) * CHOOSE(CONTROL!$C$21, $C$9, 100%, $E$9)</f>
        <v>40.602600000000002</v>
      </c>
      <c r="E1015" s="10">
        <f>CHOOSE(CONTROL!$C$42, 40.6338, 40.6338) * CHOOSE(CONTROL!$C$21, $C$9, 100%, $E$9)</f>
        <v>40.633800000000001</v>
      </c>
      <c r="F1015" s="10">
        <f>CHOOSE(CONTROL!$C$42, 40.3815, 40.3815)*CHOOSE(CONTROL!$C$21, $C$9, 100%, $E$9)</f>
        <v>40.381500000000003</v>
      </c>
      <c r="G1015" s="10">
        <f>CHOOSE(CONTROL!$C$42, 40.3981, 40.3981)*CHOOSE(CONTROL!$C$21, $C$9, 100%, $E$9)</f>
        <v>40.398099999999999</v>
      </c>
      <c r="H1015" s="10">
        <f>CHOOSE(CONTROL!$C$42, 40.6224, 40.6224) * CHOOSE(CONTROL!$C$21, $C$9, 100%, $E$9)</f>
        <v>40.622399999999999</v>
      </c>
      <c r="I1015" s="10">
        <f>CHOOSE(CONTROL!$C$42, 40.4023, 40.4023)* CHOOSE(CONTROL!$C$21, $C$9, 100%, $E$9)</f>
        <v>40.402299999999997</v>
      </c>
      <c r="J1015" s="10">
        <f>CHOOSE(CONTROL!$C$42, 40.3745, 40.3745)* CHOOSE(CONTROL!$C$21, $C$9, 100%, $E$9)</f>
        <v>40.374499999999998</v>
      </c>
      <c r="K1015" s="10">
        <f>CHOOSE(CONTROL!$C$42, 39.3897, 39.3897) * CHOOSE(CONTROL!$C$21, $C$9, 100%, $E$9)</f>
        <v>39.389699999999998</v>
      </c>
      <c r="L1015" s="10">
        <f>CHOOSE(CONTROL!$C$42, 41.2094, 41.2094) * CHOOSE(CONTROL!$C$21, $C$9, 100%, $E$9)</f>
        <v>41.209400000000002</v>
      </c>
      <c r="M1015" s="10">
        <f>CHOOSE(CONTROL!$C$42, 39.9809, 39.9809) * CHOOSE(CONTROL!$C$21, $C$9, 100%, $E$9)</f>
        <v>39.980899999999998</v>
      </c>
      <c r="N1015" s="10">
        <f>CHOOSE(CONTROL!$C$42, 39.9973, 39.9973) * CHOOSE(CONTROL!$C$21, $C$9, 100%, $E$9)</f>
        <v>39.997300000000003</v>
      </c>
      <c r="O1015" s="10">
        <f>CHOOSE(CONTROL!$C$42, 40.2263, 40.2263) * CHOOSE(CONTROL!$C$21, $C$9, 100%, $E$9)</f>
        <v>40.226300000000002</v>
      </c>
      <c r="P1015" s="10">
        <f>CHOOSE(CONTROL!$C$42, 40.0085, 40.0085) * CHOOSE(CONTROL!$C$21, $C$9, 100%, $E$9)</f>
        <v>40.008499999999998</v>
      </c>
      <c r="Q1015" s="10">
        <f>CHOOSE(CONTROL!$C$42, 40.8216, 40.8216) * CHOOSE(CONTROL!$C$21, $C$9, 100%, $E$9)</f>
        <v>40.821599999999997</v>
      </c>
      <c r="R1015" s="10">
        <f>CHOOSE(CONTROL!$C$42, 41.5106, 41.5106) * CHOOSE(CONTROL!$C$21, $C$9, 100%, $E$9)</f>
        <v>41.510599999999997</v>
      </c>
      <c r="S1015" s="10">
        <f>CHOOSE(CONTROL!$C$42, 39.2454, 39.2454) * CHOOSE(CONTROL!$C$21, $C$9, 100%, $E$9)</f>
        <v>39.245399999999997</v>
      </c>
      <c r="T10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38">
        <f>(1000*CHOOSE(CONTROL!$C$42, 695, 695)*CHOOSE(CONTROL!$C$42, 0.5599, 0.5599)*CHOOSE(CONTROL!$C$42, 31, 31))/1000000</f>
        <v>12.063045499999998</v>
      </c>
      <c r="V1015" s="38">
        <f>(1000*CHOOSE(CONTROL!$C$42, 500, 500)*CHOOSE(CONTROL!$C$42, 0.275, 0.275)*CHOOSE(CONTROL!$C$42, 31, 31))/1000000</f>
        <v>4.2625000000000002</v>
      </c>
      <c r="W1015" s="38">
        <f>(1000*CHOOSE(CONTROL!$C$42, 0.1146, 0.1146)*CHOOSE(CONTROL!$C$42, 121.5, 121.5)*CHOOSE(CONTROL!$C$42, 31, 31))/1000000</f>
        <v>0.43164089999999994</v>
      </c>
      <c r="X1015" s="38">
        <f>(31*0.1790888*245000/1000000)+(31*0.2374*100000/1000000)</f>
        <v>2.0961194359999999</v>
      </c>
      <c r="Y1015" s="38">
        <f>(1000*600*CHOOSE(CONTROL!$C$42, 1.0585, 1.0585)*CHOOSE(CONTROL!$C$42, 31, 31))/1000000</f>
        <v>19.688099999999999</v>
      </c>
      <c r="Z1015" s="38"/>
      <c r="AA1015" s="10"/>
      <c r="AB1015" s="39"/>
      <c r="AC1015" s="33">
        <f>(B1015*194.205+C1015*267.466+D1015*133.845+E1015*53.484+F1015*40+G1015*185+H1015*0+I1015*100+J1015*300)/(194.205+267.466+133.845+53.484+0+40+185+100+300)</f>
        <v>40.432491847959184</v>
      </c>
      <c r="AD1015" s="27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40.097039568345323</v>
      </c>
    </row>
    <row r="1016" spans="1:30" ht="15.75" x14ac:dyDescent="0.25">
      <c r="A1016" s="13">
        <v>72198</v>
      </c>
      <c r="B1016" s="10">
        <f>CHOOSE(CONTROL!$C$42, 38.4216, 38.4216) * CHOOSE(CONTROL!$C$21, $C$9, 100%, $E$9)</f>
        <v>38.421599999999998</v>
      </c>
      <c r="C1016" s="10">
        <f>CHOOSE(CONTROL!$C$42, 38.4295, 38.4295) * CHOOSE(CONTROL!$C$21, $C$9, 100%, $E$9)</f>
        <v>38.429499999999997</v>
      </c>
      <c r="D1016" s="10">
        <f>CHOOSE(CONTROL!$C$42, 38.6065, 38.6065) * CHOOSE(CONTROL!$C$21, $C$9, 100%, $E$9)</f>
        <v>38.606499999999997</v>
      </c>
      <c r="E1016" s="10">
        <f>CHOOSE(CONTROL!$C$42, 38.6376, 38.6376) * CHOOSE(CONTROL!$C$21, $C$9, 100%, $E$9)</f>
        <v>38.637599999999999</v>
      </c>
      <c r="F1016" s="10">
        <f>CHOOSE(CONTROL!$C$42, 38.3854, 38.3854)*CHOOSE(CONTROL!$C$21, $C$9, 100%, $E$9)</f>
        <v>38.385399999999997</v>
      </c>
      <c r="G1016" s="10">
        <f>CHOOSE(CONTROL!$C$42, 38.402, 38.402)*CHOOSE(CONTROL!$C$21, $C$9, 100%, $E$9)</f>
        <v>38.402000000000001</v>
      </c>
      <c r="H1016" s="10">
        <f>CHOOSE(CONTROL!$C$42, 38.6262, 38.6262) * CHOOSE(CONTROL!$C$21, $C$9, 100%, $E$9)</f>
        <v>38.626199999999997</v>
      </c>
      <c r="I1016" s="10">
        <f>CHOOSE(CONTROL!$C$42, 38.4061, 38.4061)* CHOOSE(CONTROL!$C$21, $C$9, 100%, $E$9)</f>
        <v>38.406100000000002</v>
      </c>
      <c r="J1016" s="10">
        <f>CHOOSE(CONTROL!$C$42, 38.3784, 38.3784)* CHOOSE(CONTROL!$C$21, $C$9, 100%, $E$9)</f>
        <v>38.378399999999999</v>
      </c>
      <c r="K1016" s="10">
        <f>CHOOSE(CONTROL!$C$42, 37.4504, 37.4504) * CHOOSE(CONTROL!$C$21, $C$9, 100%, $E$9)</f>
        <v>37.450400000000002</v>
      </c>
      <c r="L1016" s="10">
        <f>CHOOSE(CONTROL!$C$42, 39.2132, 39.2132) * CHOOSE(CONTROL!$C$21, $C$9, 100%, $E$9)</f>
        <v>39.213200000000001</v>
      </c>
      <c r="M1016" s="10">
        <f>CHOOSE(CONTROL!$C$42, 38.0049, 38.0049) * CHOOSE(CONTROL!$C$21, $C$9, 100%, $E$9)</f>
        <v>38.004899999999999</v>
      </c>
      <c r="N1016" s="10">
        <f>CHOOSE(CONTROL!$C$42, 38.0214, 38.0214) * CHOOSE(CONTROL!$C$21, $C$9, 100%, $E$9)</f>
        <v>38.0214</v>
      </c>
      <c r="O1016" s="10">
        <f>CHOOSE(CONTROL!$C$42, 38.2502, 38.2502) * CHOOSE(CONTROL!$C$21, $C$9, 100%, $E$9)</f>
        <v>38.2502</v>
      </c>
      <c r="P1016" s="10">
        <f>CHOOSE(CONTROL!$C$42, 38.0324, 38.0324) * CHOOSE(CONTROL!$C$21, $C$9, 100%, $E$9)</f>
        <v>38.032400000000003</v>
      </c>
      <c r="Q1016" s="10">
        <f>CHOOSE(CONTROL!$C$42, 38.8455, 38.8455) * CHOOSE(CONTROL!$C$21, $C$9, 100%, $E$9)</f>
        <v>38.845500000000001</v>
      </c>
      <c r="R1016" s="10">
        <f>CHOOSE(CONTROL!$C$42, 39.5297, 39.5297) * CHOOSE(CONTROL!$C$21, $C$9, 100%, $E$9)</f>
        <v>39.529699999999998</v>
      </c>
      <c r="S1016" s="10">
        <f>CHOOSE(CONTROL!$C$42, 37.3069, 37.3069) * CHOOSE(CONTROL!$C$21, $C$9, 100%, $E$9)</f>
        <v>37.306899999999999</v>
      </c>
      <c r="T10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38">
        <f>(1000*CHOOSE(CONTROL!$C$42, 695, 695)*CHOOSE(CONTROL!$C$42, 0.5599, 0.5599)*CHOOSE(CONTROL!$C$42, 31, 31))/1000000</f>
        <v>12.063045499999998</v>
      </c>
      <c r="V1016" s="38">
        <f>(1000*CHOOSE(CONTROL!$C$42, 500, 500)*CHOOSE(CONTROL!$C$42, 0.275, 0.275)*CHOOSE(CONTROL!$C$42, 31, 31))/1000000</f>
        <v>4.2625000000000002</v>
      </c>
      <c r="W1016" s="38">
        <f>(1000*CHOOSE(CONTROL!$C$42, 0.1146, 0.1146)*CHOOSE(CONTROL!$C$42, 121.5, 121.5)*CHOOSE(CONTROL!$C$42, 31, 31))/1000000</f>
        <v>0.43164089999999994</v>
      </c>
      <c r="X1016" s="38">
        <f>(31*0.1790888*245000/1000000)+(31*0.2374*100000/1000000)</f>
        <v>2.0961194359999999</v>
      </c>
      <c r="Y1016" s="38">
        <f>(1000*600*CHOOSE(CONTROL!$C$42, 1.0585, 1.0585)*CHOOSE(CONTROL!$C$42, 31, 31))/1000000</f>
        <v>19.688099999999999</v>
      </c>
      <c r="Z1016" s="38"/>
      <c r="AA1016" s="10"/>
      <c r="AB1016" s="39"/>
      <c r="AC1016" s="33">
        <f>(B1016*194.205+C1016*267.466+D1016*133.845+E1016*53.484+F1016*40+G1016*185+H1016*0+I1016*100+J1016*300)/(194.205+267.466+133.845+53.484+0+40+185+100+300)</f>
        <v>38.436379800549453</v>
      </c>
      <c r="AD1016" s="27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38.120985611510797</v>
      </c>
    </row>
    <row r="1017" spans="1:30" ht="15.75" x14ac:dyDescent="0.25">
      <c r="A1017" s="13">
        <v>72228</v>
      </c>
      <c r="B1017" s="10">
        <f>CHOOSE(CONTROL!$C$42, 35.9826, 35.9826) * CHOOSE(CONTROL!$C$21, $C$9, 100%, $E$9)</f>
        <v>35.982599999999998</v>
      </c>
      <c r="C1017" s="10">
        <f>CHOOSE(CONTROL!$C$42, 35.9905, 35.9905) * CHOOSE(CONTROL!$C$21, $C$9, 100%, $E$9)</f>
        <v>35.990499999999997</v>
      </c>
      <c r="D1017" s="10">
        <f>CHOOSE(CONTROL!$C$42, 36.1675, 36.1675) * CHOOSE(CONTROL!$C$21, $C$9, 100%, $E$9)</f>
        <v>36.167499999999997</v>
      </c>
      <c r="E1017" s="10">
        <f>CHOOSE(CONTROL!$C$42, 36.1986, 36.1986) * CHOOSE(CONTROL!$C$21, $C$9, 100%, $E$9)</f>
        <v>36.198599999999999</v>
      </c>
      <c r="F1017" s="10">
        <f>CHOOSE(CONTROL!$C$42, 35.9462, 35.9462)*CHOOSE(CONTROL!$C$21, $C$9, 100%, $E$9)</f>
        <v>35.946199999999997</v>
      </c>
      <c r="G1017" s="10">
        <f>CHOOSE(CONTROL!$C$42, 35.9627, 35.9627)*CHOOSE(CONTROL!$C$21, $C$9, 100%, $E$9)</f>
        <v>35.962699999999998</v>
      </c>
      <c r="H1017" s="10">
        <f>CHOOSE(CONTROL!$C$42, 36.1873, 36.1873) * CHOOSE(CONTROL!$C$21, $C$9, 100%, $E$9)</f>
        <v>36.1873</v>
      </c>
      <c r="I1017" s="10">
        <f>CHOOSE(CONTROL!$C$42, 35.9672, 35.9672)* CHOOSE(CONTROL!$C$21, $C$9, 100%, $E$9)</f>
        <v>35.967199999999998</v>
      </c>
      <c r="J1017" s="10">
        <f>CHOOSE(CONTROL!$C$42, 35.9392, 35.9392)* CHOOSE(CONTROL!$C$21, $C$9, 100%, $E$9)</f>
        <v>35.9392</v>
      </c>
      <c r="K1017" s="10">
        <f>CHOOSE(CONTROL!$C$42, 35.0802, 35.0802) * CHOOSE(CONTROL!$C$21, $C$9, 100%, $E$9)</f>
        <v>35.080199999999998</v>
      </c>
      <c r="L1017" s="10">
        <f>CHOOSE(CONTROL!$C$42, 36.7743, 36.7743) * CHOOSE(CONTROL!$C$21, $C$9, 100%, $E$9)</f>
        <v>36.774299999999997</v>
      </c>
      <c r="M1017" s="10">
        <f>CHOOSE(CONTROL!$C$42, 35.5903, 35.5903) * CHOOSE(CONTROL!$C$21, $C$9, 100%, $E$9)</f>
        <v>35.590299999999999</v>
      </c>
      <c r="N1017" s="10">
        <f>CHOOSE(CONTROL!$C$42, 35.6067, 35.6067) * CHOOSE(CONTROL!$C$21, $C$9, 100%, $E$9)</f>
        <v>35.606699999999996</v>
      </c>
      <c r="O1017" s="10">
        <f>CHOOSE(CONTROL!$C$42, 35.8359, 35.8359) * CHOOSE(CONTROL!$C$21, $C$9, 100%, $E$9)</f>
        <v>35.835900000000002</v>
      </c>
      <c r="P1017" s="10">
        <f>CHOOSE(CONTROL!$C$42, 35.6181, 35.6181) * CHOOSE(CONTROL!$C$21, $C$9, 100%, $E$9)</f>
        <v>35.618099999999998</v>
      </c>
      <c r="Q1017" s="10">
        <f>CHOOSE(CONTROL!$C$42, 36.4312, 36.4312) * CHOOSE(CONTROL!$C$21, $C$9, 100%, $E$9)</f>
        <v>36.431199999999997</v>
      </c>
      <c r="R1017" s="10">
        <f>CHOOSE(CONTROL!$C$42, 37.1093, 37.1093) * CHOOSE(CONTROL!$C$21, $C$9, 100%, $E$9)</f>
        <v>37.109299999999998</v>
      </c>
      <c r="S1017" s="10">
        <f>CHOOSE(CONTROL!$C$42, 34.9385, 34.9385) * CHOOSE(CONTROL!$C$21, $C$9, 100%, $E$9)</f>
        <v>34.938499999999998</v>
      </c>
      <c r="T10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38">
        <f>(1000*CHOOSE(CONTROL!$C$42, 695, 695)*CHOOSE(CONTROL!$C$42, 0.5599, 0.5599)*CHOOSE(CONTROL!$C$42, 30, 30))/1000000</f>
        <v>11.673914999999997</v>
      </c>
      <c r="V1017" s="38">
        <f>(1000*CHOOSE(CONTROL!$C$42, 500, 500)*CHOOSE(CONTROL!$C$42, 0.275, 0.275)*CHOOSE(CONTROL!$C$42, 30, 30))/1000000</f>
        <v>4.125</v>
      </c>
      <c r="W1017" s="38">
        <f>(1000*CHOOSE(CONTROL!$C$42, 0.1146, 0.1146)*CHOOSE(CONTROL!$C$42, 121.5, 121.5)*CHOOSE(CONTROL!$C$42, 30, 30))/1000000</f>
        <v>0.417717</v>
      </c>
      <c r="X1017" s="38">
        <f>(30*0.1790888*245000/1000000)+(30*0.2374*100000/1000000)</f>
        <v>2.0285026799999999</v>
      </c>
      <c r="Y1017" s="38">
        <f>(1000*600*CHOOSE(CONTROL!$C$42, 1.0585, 1.0585)*CHOOSE(CONTROL!$C$42, 30, 30))/1000000</f>
        <v>19.053000000000001</v>
      </c>
      <c r="Z1017" s="38"/>
      <c r="AA1017" s="10"/>
      <c r="AB1017" s="39"/>
      <c r="AC1017" s="33">
        <f>(B1017*194.205+C1017*267.466+D1017*133.845+E1017*53.484+F1017*40+G1017*185+H1017*0+I1017*100+J1017*300)/(194.205+267.466+133.845+53.484+0+40+185+100+300)</f>
        <v>35.997290711067507</v>
      </c>
      <c r="AD1017" s="27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35.706558992805761</v>
      </c>
    </row>
    <row r="1018" spans="1:30" ht="15.75" x14ac:dyDescent="0.25">
      <c r="A1018" s="13">
        <v>72259</v>
      </c>
      <c r="B1018" s="10">
        <f>CHOOSE(CONTROL!$C$42, 35.25, 35.25) * CHOOSE(CONTROL!$C$21, $C$9, 100%, $E$9)</f>
        <v>35.25</v>
      </c>
      <c r="C1018" s="10">
        <f>CHOOSE(CONTROL!$C$42, 35.2552, 35.2552) * CHOOSE(CONTROL!$C$21, $C$9, 100%, $E$9)</f>
        <v>35.255200000000002</v>
      </c>
      <c r="D1018" s="10">
        <f>CHOOSE(CONTROL!$C$42, 35.4371, 35.4371) * CHOOSE(CONTROL!$C$21, $C$9, 100%, $E$9)</f>
        <v>35.437100000000001</v>
      </c>
      <c r="E1018" s="10">
        <f>CHOOSE(CONTROL!$C$42, 35.4659, 35.4659) * CHOOSE(CONTROL!$C$21, $C$9, 100%, $E$9)</f>
        <v>35.465899999999998</v>
      </c>
      <c r="F1018" s="10">
        <f>CHOOSE(CONTROL!$C$42, 35.2156, 35.2156)*CHOOSE(CONTROL!$C$21, $C$9, 100%, $E$9)</f>
        <v>35.215600000000002</v>
      </c>
      <c r="G1018" s="10">
        <f>CHOOSE(CONTROL!$C$42, 35.2318, 35.2318)*CHOOSE(CONTROL!$C$21, $C$9, 100%, $E$9)</f>
        <v>35.2318</v>
      </c>
      <c r="H1018" s="10">
        <f>CHOOSE(CONTROL!$C$42, 35.4564, 35.4564) * CHOOSE(CONTROL!$C$21, $C$9, 100%, $E$9)</f>
        <v>35.456400000000002</v>
      </c>
      <c r="I1018" s="10">
        <f>CHOOSE(CONTROL!$C$42, 35.2363, 35.2363)* CHOOSE(CONTROL!$C$21, $C$9, 100%, $E$9)</f>
        <v>35.2363</v>
      </c>
      <c r="J1018" s="10">
        <f>CHOOSE(CONTROL!$C$42, 35.2086, 35.2086)* CHOOSE(CONTROL!$C$21, $C$9, 100%, $E$9)</f>
        <v>35.208599999999997</v>
      </c>
      <c r="K1018" s="10">
        <f>CHOOSE(CONTROL!$C$42, 34.3706, 34.3706) * CHOOSE(CONTROL!$C$21, $C$9, 100%, $E$9)</f>
        <v>34.370600000000003</v>
      </c>
      <c r="L1018" s="10">
        <f>CHOOSE(CONTROL!$C$42, 36.0434, 36.0434) * CHOOSE(CONTROL!$C$21, $C$9, 100%, $E$9)</f>
        <v>36.043399999999998</v>
      </c>
      <c r="M1018" s="10">
        <f>CHOOSE(CONTROL!$C$42, 34.8671, 34.8671) * CHOOSE(CONTROL!$C$21, $C$9, 100%, $E$9)</f>
        <v>34.867100000000001</v>
      </c>
      <c r="N1018" s="10">
        <f>CHOOSE(CONTROL!$C$42, 34.8832, 34.8832) * CHOOSE(CONTROL!$C$21, $C$9, 100%, $E$9)</f>
        <v>34.883200000000002</v>
      </c>
      <c r="O1018" s="10">
        <f>CHOOSE(CONTROL!$C$42, 35.1124, 35.1124) * CHOOSE(CONTROL!$C$21, $C$9, 100%, $E$9)</f>
        <v>35.112400000000001</v>
      </c>
      <c r="P1018" s="10">
        <f>CHOOSE(CONTROL!$C$42, 34.8946, 34.8946) * CHOOSE(CONTROL!$C$21, $C$9, 100%, $E$9)</f>
        <v>34.894599999999997</v>
      </c>
      <c r="Q1018" s="10">
        <f>CHOOSE(CONTROL!$C$42, 35.7077, 35.7077) * CHOOSE(CONTROL!$C$21, $C$9, 100%, $E$9)</f>
        <v>35.707700000000003</v>
      </c>
      <c r="R1018" s="10">
        <f>CHOOSE(CONTROL!$C$42, 36.384, 36.384) * CHOOSE(CONTROL!$C$21, $C$9, 100%, $E$9)</f>
        <v>36.384</v>
      </c>
      <c r="S1018" s="10">
        <f>CHOOSE(CONTROL!$C$42, 34.2287, 34.2287) * CHOOSE(CONTROL!$C$21, $C$9, 100%, $E$9)</f>
        <v>34.228700000000003</v>
      </c>
      <c r="T10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38">
        <f>(1000*CHOOSE(CONTROL!$C$42, 695, 695)*CHOOSE(CONTROL!$C$42, 0.5599, 0.5599)*CHOOSE(CONTROL!$C$42, 31, 31))/1000000</f>
        <v>12.063045499999998</v>
      </c>
      <c r="V1018" s="38">
        <f>(1000*CHOOSE(CONTROL!$C$42, 500, 500)*CHOOSE(CONTROL!$C$42, 0.275, 0.275)*CHOOSE(CONTROL!$C$42, 31, 31))/1000000</f>
        <v>4.2625000000000002</v>
      </c>
      <c r="W1018" s="38">
        <f>(1000*CHOOSE(CONTROL!$C$42, 0.1146, 0.1146)*CHOOSE(CONTROL!$C$42, 121.5, 121.5)*CHOOSE(CONTROL!$C$42, 31, 31))/1000000</f>
        <v>0.43164089999999994</v>
      </c>
      <c r="X1018" s="38">
        <f>(31*0.1790888*245000/1000000)+(31*0.2374*100000/1000000)</f>
        <v>2.0961194359999999</v>
      </c>
      <c r="Y1018" s="38">
        <f>(1000*600*CHOOSE(CONTROL!$C$42, 1.0585, 1.0585)*CHOOSE(CONTROL!$C$42, 31, 31))/1000000</f>
        <v>19.688099999999999</v>
      </c>
      <c r="Z1018" s="38"/>
      <c r="AA1018" s="10"/>
      <c r="AB1018" s="39"/>
      <c r="AC1018" s="33">
        <f>(B1018*131.881+C1018*277.167+D1018*79.08+E1018*125.872+F1018*40+G1018*185+H1018*0+I1018*100+J1018*300)/(131.881+277.167+79.08+125.872+0+40+185+100+300)</f>
        <v>35.270080630508474</v>
      </c>
      <c r="AD1018" s="27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34.983162589928057</v>
      </c>
    </row>
    <row r="1019" spans="1:30" ht="15.75" x14ac:dyDescent="0.25">
      <c r="A1019" s="13">
        <v>72289</v>
      </c>
      <c r="B1019" s="10">
        <f>CHOOSE(CONTROL!$C$42, 36.1781, 36.1781) * CHOOSE(CONTROL!$C$21, $C$9, 100%, $E$9)</f>
        <v>36.178100000000001</v>
      </c>
      <c r="C1019" s="10">
        <f>CHOOSE(CONTROL!$C$42, 36.1831, 36.1831) * CHOOSE(CONTROL!$C$21, $C$9, 100%, $E$9)</f>
        <v>36.183100000000003</v>
      </c>
      <c r="D1019" s="10">
        <f>CHOOSE(CONTROL!$C$42, 36.2075, 36.2075) * CHOOSE(CONTROL!$C$21, $C$9, 100%, $E$9)</f>
        <v>36.207500000000003</v>
      </c>
      <c r="E1019" s="10">
        <f>CHOOSE(CONTROL!$C$42, 36.2413, 36.2413) * CHOOSE(CONTROL!$C$21, $C$9, 100%, $E$9)</f>
        <v>36.241300000000003</v>
      </c>
      <c r="F1019" s="10">
        <f>CHOOSE(CONTROL!$C$42, 36.1474, 36.1474)*CHOOSE(CONTROL!$C$21, $C$9, 100%, $E$9)</f>
        <v>36.147399999999998</v>
      </c>
      <c r="G1019" s="10">
        <f>CHOOSE(CONTROL!$C$42, 36.1639, 36.1639)*CHOOSE(CONTROL!$C$21, $C$9, 100%, $E$9)</f>
        <v>36.163899999999998</v>
      </c>
      <c r="H1019" s="10">
        <f>CHOOSE(CONTROL!$C$42, 36.2305, 36.2305) * CHOOSE(CONTROL!$C$21, $C$9, 100%, $E$9)</f>
        <v>36.230499999999999</v>
      </c>
      <c r="I1019" s="10">
        <f>CHOOSE(CONTROL!$C$42, 36.1649, 36.1649)* CHOOSE(CONTROL!$C$21, $C$9, 100%, $E$9)</f>
        <v>36.164900000000003</v>
      </c>
      <c r="J1019" s="10">
        <f>CHOOSE(CONTROL!$C$42, 36.1404, 36.1404)* CHOOSE(CONTROL!$C$21, $C$9, 100%, $E$9)</f>
        <v>36.1404</v>
      </c>
      <c r="K1019" s="10">
        <f>CHOOSE(CONTROL!$C$42, 35.2743, 35.2743) * CHOOSE(CONTROL!$C$21, $C$9, 100%, $E$9)</f>
        <v>35.274299999999997</v>
      </c>
      <c r="L1019" s="10">
        <f>CHOOSE(CONTROL!$C$42, 36.8175, 36.8175) * CHOOSE(CONTROL!$C$21, $C$9, 100%, $E$9)</f>
        <v>36.817500000000003</v>
      </c>
      <c r="M1019" s="10">
        <f>CHOOSE(CONTROL!$C$42, 35.7895, 35.7895) * CHOOSE(CONTROL!$C$21, $C$9, 100%, $E$9)</f>
        <v>35.789499999999997</v>
      </c>
      <c r="N1019" s="10">
        <f>CHOOSE(CONTROL!$C$42, 35.8058, 35.8058) * CHOOSE(CONTROL!$C$21, $C$9, 100%, $E$9)</f>
        <v>35.805799999999998</v>
      </c>
      <c r="O1019" s="10">
        <f>CHOOSE(CONTROL!$C$42, 35.8787, 35.8787) * CHOOSE(CONTROL!$C$21, $C$9, 100%, $E$9)</f>
        <v>35.878700000000002</v>
      </c>
      <c r="P1019" s="10">
        <f>CHOOSE(CONTROL!$C$42, 35.8138, 35.8138) * CHOOSE(CONTROL!$C$21, $C$9, 100%, $E$9)</f>
        <v>35.813800000000001</v>
      </c>
      <c r="Q1019" s="10">
        <f>CHOOSE(CONTROL!$C$42, 36.474, 36.474) * CHOOSE(CONTROL!$C$21, $C$9, 100%, $E$9)</f>
        <v>36.473999999999997</v>
      </c>
      <c r="R1019" s="10">
        <f>CHOOSE(CONTROL!$C$42, 37.1522, 37.1522) * CHOOSE(CONTROL!$C$21, $C$9, 100%, $E$9)</f>
        <v>37.152200000000001</v>
      </c>
      <c r="S1019" s="10">
        <f>CHOOSE(CONTROL!$C$42, 35.1304, 35.1304) * CHOOSE(CONTROL!$C$21, $C$9, 100%, $E$9)</f>
        <v>35.130400000000002</v>
      </c>
      <c r="T10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38">
        <f>(1000*CHOOSE(CONTROL!$C$42, 695, 695)*CHOOSE(CONTROL!$C$42, 0.5599, 0.5599)*CHOOSE(CONTROL!$C$42, 30, 30))/1000000</f>
        <v>11.673914999999997</v>
      </c>
      <c r="V1019" s="38">
        <f>(1000*CHOOSE(CONTROL!$C$42, 500, 500)*CHOOSE(CONTROL!$C$42, 0.275, 0.275)*CHOOSE(CONTROL!$C$42, 30, 30))/1000000</f>
        <v>4.125</v>
      </c>
      <c r="W1019" s="38">
        <f>(1000*CHOOSE(CONTROL!$C$42, 0.1146, 0.1146)*CHOOSE(CONTROL!$C$42, 121.5, 121.5)*CHOOSE(CONTROL!$C$42, 30, 30))/1000000</f>
        <v>0.417717</v>
      </c>
      <c r="X1019" s="38">
        <f>(30*0.1790888*100000/1000000)+(30*0.2374*100000/1000000)</f>
        <v>1.2494664</v>
      </c>
      <c r="Y1019" s="38">
        <f>(1000*600*CHOOSE(CONTROL!$C$42, 1.0585, 1.0585)*CHOOSE(CONTROL!$C$42, 30, 30))/1000000</f>
        <v>19.053000000000001</v>
      </c>
      <c r="Z1019" s="38"/>
      <c r="AA1019" s="10"/>
      <c r="AB1019" s="39"/>
      <c r="AC1019" s="33">
        <f>(B1019*122.58+C1019*297.941+D1019*89.177+E1019*40.302+F1019*40+G1019*160+H1019*0+I1019*100+J1019*300)/(122.58+297.941+89.177+40.302+0+40+160+100+300)</f>
        <v>36.169863995826084</v>
      </c>
      <c r="AD1019" s="27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35.834363309352526</v>
      </c>
    </row>
    <row r="1020" spans="1:30" ht="15.75" x14ac:dyDescent="0.25">
      <c r="A1020" s="13">
        <v>72320</v>
      </c>
      <c r="B1020" s="10">
        <f>CHOOSE(CONTROL!$C$42, 38.6445, 38.6445) * CHOOSE(CONTROL!$C$21, $C$9, 100%, $E$9)</f>
        <v>38.644500000000001</v>
      </c>
      <c r="C1020" s="10">
        <f>CHOOSE(CONTROL!$C$42, 38.6495, 38.6495) * CHOOSE(CONTROL!$C$21, $C$9, 100%, $E$9)</f>
        <v>38.649500000000003</v>
      </c>
      <c r="D1020" s="10">
        <f>CHOOSE(CONTROL!$C$42, 38.6739, 38.6739) * CHOOSE(CONTROL!$C$21, $C$9, 100%, $E$9)</f>
        <v>38.673900000000003</v>
      </c>
      <c r="E1020" s="10">
        <f>CHOOSE(CONTROL!$C$42, 38.7077, 38.7077) * CHOOSE(CONTROL!$C$21, $C$9, 100%, $E$9)</f>
        <v>38.707700000000003</v>
      </c>
      <c r="F1020" s="10">
        <f>CHOOSE(CONTROL!$C$42, 38.6161, 38.6161)*CHOOSE(CONTROL!$C$21, $C$9, 100%, $E$9)</f>
        <v>38.616100000000003</v>
      </c>
      <c r="G1020" s="10">
        <f>CHOOSE(CONTROL!$C$42, 38.6332, 38.6332)*CHOOSE(CONTROL!$C$21, $C$9, 100%, $E$9)</f>
        <v>38.633200000000002</v>
      </c>
      <c r="H1020" s="10">
        <f>CHOOSE(CONTROL!$C$42, 38.6969, 38.6969) * CHOOSE(CONTROL!$C$21, $C$9, 100%, $E$9)</f>
        <v>38.696899999999999</v>
      </c>
      <c r="I1020" s="10">
        <f>CHOOSE(CONTROL!$C$42, 38.6313, 38.6313)* CHOOSE(CONTROL!$C$21, $C$9, 100%, $E$9)</f>
        <v>38.631300000000003</v>
      </c>
      <c r="J1020" s="10">
        <f>CHOOSE(CONTROL!$C$42, 38.6091, 38.6091)* CHOOSE(CONTROL!$C$21, $C$9, 100%, $E$9)</f>
        <v>38.609099999999998</v>
      </c>
      <c r="K1020" s="10">
        <f>CHOOSE(CONTROL!$C$42, 37.6756, 37.6756) * CHOOSE(CONTROL!$C$21, $C$9, 100%, $E$9)</f>
        <v>37.675600000000003</v>
      </c>
      <c r="L1020" s="10">
        <f>CHOOSE(CONTROL!$C$42, 39.2839, 39.2839) * CHOOSE(CONTROL!$C$21, $C$9, 100%, $E$9)</f>
        <v>39.283900000000003</v>
      </c>
      <c r="M1020" s="10">
        <f>CHOOSE(CONTROL!$C$42, 38.2333, 38.2333) * CHOOSE(CONTROL!$C$21, $C$9, 100%, $E$9)</f>
        <v>38.2333</v>
      </c>
      <c r="N1020" s="10">
        <f>CHOOSE(CONTROL!$C$42, 38.2502, 38.2502) * CHOOSE(CONTROL!$C$21, $C$9, 100%, $E$9)</f>
        <v>38.2502</v>
      </c>
      <c r="O1020" s="10">
        <f>CHOOSE(CONTROL!$C$42, 38.3202, 38.3202) * CHOOSE(CONTROL!$C$21, $C$9, 100%, $E$9)</f>
        <v>38.3202</v>
      </c>
      <c r="P1020" s="10">
        <f>CHOOSE(CONTROL!$C$42, 38.2553, 38.2553) * CHOOSE(CONTROL!$C$21, $C$9, 100%, $E$9)</f>
        <v>38.255299999999998</v>
      </c>
      <c r="Q1020" s="10">
        <f>CHOOSE(CONTROL!$C$42, 38.9155, 38.9155) * CHOOSE(CONTROL!$C$21, $C$9, 100%, $E$9)</f>
        <v>38.915500000000002</v>
      </c>
      <c r="R1020" s="10">
        <f>CHOOSE(CONTROL!$C$42, 39.5998, 39.5998) * CHOOSE(CONTROL!$C$21, $C$9, 100%, $E$9)</f>
        <v>39.599800000000002</v>
      </c>
      <c r="S1020" s="10">
        <f>CHOOSE(CONTROL!$C$42, 37.5256, 37.5256) * CHOOSE(CONTROL!$C$21, $C$9, 100%, $E$9)</f>
        <v>37.525599999999997</v>
      </c>
      <c r="T10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38">
        <f>(1000*CHOOSE(CONTROL!$C$42, 695, 695)*CHOOSE(CONTROL!$C$42, 0.5599, 0.5599)*CHOOSE(CONTROL!$C$42, 31, 31))/1000000</f>
        <v>12.063045499999998</v>
      </c>
      <c r="V1020" s="38">
        <f>(1000*CHOOSE(CONTROL!$C$42, 500, 500)*CHOOSE(CONTROL!$C$42, 0.275, 0.275)*CHOOSE(CONTROL!$C$42, 31, 31))/1000000</f>
        <v>4.2625000000000002</v>
      </c>
      <c r="W1020" s="38">
        <f>(1000*CHOOSE(CONTROL!$C$42, 0.1146, 0.1146)*CHOOSE(CONTROL!$C$42, 121.5, 121.5)*CHOOSE(CONTROL!$C$42, 31, 31))/1000000</f>
        <v>0.43164089999999994</v>
      </c>
      <c r="X1020" s="38">
        <f>(31*0.1790888*100000/1000000)+(31*0.2374*100000/1000000)</f>
        <v>1.2911152800000001</v>
      </c>
      <c r="Y1020" s="38">
        <f>(1000*600*CHOOSE(CONTROL!$C$42, 1.0585, 1.0585)*CHOOSE(CONTROL!$C$42, 31, 31))/1000000</f>
        <v>19.688099999999999</v>
      </c>
      <c r="Z1020" s="38"/>
      <c r="AA1020" s="10"/>
      <c r="AB1020" s="39"/>
      <c r="AC1020" s="33">
        <f>(B1020*122.58+C1020*297.941+D1020*89.177+E1020*40.302+F1020*40+G1020*160+H1020*0+I1020*100+J1020*300)/(122.58+297.941+89.177+40.302+0+40+160+100+300)</f>
        <v>38.637347474086958</v>
      </c>
      <c r="AD1020" s="27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38.276824460431648</v>
      </c>
    </row>
    <row r="1021" spans="1:30" ht="15.75" x14ac:dyDescent="0.25">
      <c r="A1021" s="13">
        <v>72351</v>
      </c>
      <c r="B1021" s="10">
        <f>CHOOSE(CONTROL!$C$42, 41.2526, 41.2526) * CHOOSE(CONTROL!$C$21, $C$9, 100%, $E$9)</f>
        <v>41.252600000000001</v>
      </c>
      <c r="C1021" s="10">
        <f>CHOOSE(CONTROL!$C$42, 41.2576, 41.2576) * CHOOSE(CONTROL!$C$21, $C$9, 100%, $E$9)</f>
        <v>41.257599999999996</v>
      </c>
      <c r="D1021" s="10">
        <f>CHOOSE(CONTROL!$C$42, 41.282, 41.282) * CHOOSE(CONTROL!$C$21, $C$9, 100%, $E$9)</f>
        <v>41.281999999999996</v>
      </c>
      <c r="E1021" s="10">
        <f>CHOOSE(CONTROL!$C$42, 41.3158, 41.3158) * CHOOSE(CONTROL!$C$21, $C$9, 100%, $E$9)</f>
        <v>41.315800000000003</v>
      </c>
      <c r="F1021" s="10">
        <f>CHOOSE(CONTROL!$C$42, 41.2355, 41.2355)*CHOOSE(CONTROL!$C$21, $C$9, 100%, $E$9)</f>
        <v>41.235500000000002</v>
      </c>
      <c r="G1021" s="10">
        <f>CHOOSE(CONTROL!$C$42, 41.2542, 41.2542)*CHOOSE(CONTROL!$C$21, $C$9, 100%, $E$9)</f>
        <v>41.254199999999997</v>
      </c>
      <c r="H1021" s="10">
        <f>CHOOSE(CONTROL!$C$42, 41.305, 41.305) * CHOOSE(CONTROL!$C$21, $C$9, 100%, $E$9)</f>
        <v>41.305</v>
      </c>
      <c r="I1021" s="10">
        <f>CHOOSE(CONTROL!$C$42, 41.2471, 41.2471)* CHOOSE(CONTROL!$C$21, $C$9, 100%, $E$9)</f>
        <v>41.247100000000003</v>
      </c>
      <c r="J1021" s="10">
        <f>CHOOSE(CONTROL!$C$42, 41.2285, 41.2285)* CHOOSE(CONTROL!$C$21, $C$9, 100%, $E$9)</f>
        <v>41.228499999999997</v>
      </c>
      <c r="K1021" s="10">
        <f>CHOOSE(CONTROL!$C$42, 40.2306, 40.2306) * CHOOSE(CONTROL!$C$21, $C$9, 100%, $E$9)</f>
        <v>40.230600000000003</v>
      </c>
      <c r="L1021" s="10">
        <f>CHOOSE(CONTROL!$C$42, 41.892, 41.892) * CHOOSE(CONTROL!$C$21, $C$9, 100%, $E$9)</f>
        <v>41.892000000000003</v>
      </c>
      <c r="M1021" s="10">
        <f>CHOOSE(CONTROL!$C$42, 40.8263, 40.8263) * CHOOSE(CONTROL!$C$21, $C$9, 100%, $E$9)</f>
        <v>40.826300000000003</v>
      </c>
      <c r="N1021" s="10">
        <f>CHOOSE(CONTROL!$C$42, 40.8448, 40.8448) * CHOOSE(CONTROL!$C$21, $C$9, 100%, $E$9)</f>
        <v>40.844799999999999</v>
      </c>
      <c r="O1021" s="10">
        <f>CHOOSE(CONTROL!$C$42, 40.902, 40.902) * CHOOSE(CONTROL!$C$21, $C$9, 100%, $E$9)</f>
        <v>40.902000000000001</v>
      </c>
      <c r="P1021" s="10">
        <f>CHOOSE(CONTROL!$C$42, 40.8447, 40.8447) * CHOOSE(CONTROL!$C$21, $C$9, 100%, $E$9)</f>
        <v>40.844700000000003</v>
      </c>
      <c r="Q1021" s="10">
        <f>CHOOSE(CONTROL!$C$42, 41.4973, 41.4973) * CHOOSE(CONTROL!$C$21, $C$9, 100%, $E$9)</f>
        <v>41.497300000000003</v>
      </c>
      <c r="R1021" s="10">
        <f>CHOOSE(CONTROL!$C$42, 42.188, 42.188) * CHOOSE(CONTROL!$C$21, $C$9, 100%, $E$9)</f>
        <v>42.188000000000002</v>
      </c>
      <c r="S1021" s="10">
        <f>CHOOSE(CONTROL!$C$42, 40.0583, 40.0583) * CHOOSE(CONTROL!$C$21, $C$9, 100%, $E$9)</f>
        <v>40.058300000000003</v>
      </c>
      <c r="T10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38">
        <f>(1000*CHOOSE(CONTROL!$C$42, 695, 695)*CHOOSE(CONTROL!$C$42, 0.5599, 0.5599)*CHOOSE(CONTROL!$C$42, 31, 31))/1000000</f>
        <v>12.063045499999998</v>
      </c>
      <c r="V1021" s="38">
        <f>(1000*CHOOSE(CONTROL!$C$42, 500, 500)*CHOOSE(CONTROL!$C$42, 0.275, 0.275)*CHOOSE(CONTROL!$C$42, 31, 31))/1000000</f>
        <v>4.2625000000000002</v>
      </c>
      <c r="W1021" s="38">
        <f>(1000*CHOOSE(CONTROL!$C$42, 0.1146, 0.1146)*CHOOSE(CONTROL!$C$42, 121.5, 121.5)*CHOOSE(CONTROL!$C$42, 31, 31))/1000000</f>
        <v>0.43164089999999994</v>
      </c>
      <c r="X1021" s="38">
        <f>(31*0.1790888*100000/1000000)+(31*0.2374*100000/1000000)</f>
        <v>1.2911152800000001</v>
      </c>
      <c r="Y1021" s="38">
        <f>(1000*600*CHOOSE(CONTROL!$C$42, 1.0585, 1.0585)*CHOOSE(CONTROL!$C$42, 31, 31))/1000000</f>
        <v>19.688099999999999</v>
      </c>
      <c r="Z1021" s="38"/>
      <c r="AA1021" s="10"/>
      <c r="AB1021" s="39"/>
      <c r="AC1021" s="33">
        <f>(B1021*122.58+C1021*297.941+D1021*89.177+E1021*40.302+F1021*40+G1021*160+H1021*0+I1021*100+J1021*300)/(122.58+297.941+89.177+40.302+0+40+160+100+300)</f>
        <v>41.251252691478257</v>
      </c>
      <c r="AD1021" s="27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40.864322302158278</v>
      </c>
    </row>
    <row r="1022" spans="1:30" ht="15.75" x14ac:dyDescent="0.25">
      <c r="A1022" s="13">
        <v>72379</v>
      </c>
      <c r="B1022" s="10">
        <f>CHOOSE(CONTROL!$C$42, 41.9869, 41.9869) * CHOOSE(CONTROL!$C$21, $C$9, 100%, $E$9)</f>
        <v>41.986899999999999</v>
      </c>
      <c r="C1022" s="10">
        <f>CHOOSE(CONTROL!$C$42, 41.9919, 41.9919) * CHOOSE(CONTROL!$C$21, $C$9, 100%, $E$9)</f>
        <v>41.991900000000001</v>
      </c>
      <c r="D1022" s="10">
        <f>CHOOSE(CONTROL!$C$42, 42.0163, 42.0163) * CHOOSE(CONTROL!$C$21, $C$9, 100%, $E$9)</f>
        <v>42.016300000000001</v>
      </c>
      <c r="E1022" s="10">
        <f>CHOOSE(CONTROL!$C$42, 42.0501, 42.0501) * CHOOSE(CONTROL!$C$21, $C$9, 100%, $E$9)</f>
        <v>42.0501</v>
      </c>
      <c r="F1022" s="10">
        <f>CHOOSE(CONTROL!$C$42, 41.9692, 41.9692)*CHOOSE(CONTROL!$C$21, $C$9, 100%, $E$9)</f>
        <v>41.969200000000001</v>
      </c>
      <c r="G1022" s="10">
        <f>CHOOSE(CONTROL!$C$42, 41.9877, 41.9877)*CHOOSE(CONTROL!$C$21, $C$9, 100%, $E$9)</f>
        <v>41.987699999999997</v>
      </c>
      <c r="H1022" s="10">
        <f>CHOOSE(CONTROL!$C$42, 42.0393, 42.0393) * CHOOSE(CONTROL!$C$21, $C$9, 100%, $E$9)</f>
        <v>42.039299999999997</v>
      </c>
      <c r="I1022" s="10">
        <f>CHOOSE(CONTROL!$C$42, 41.9814, 41.9814)* CHOOSE(CONTROL!$C$21, $C$9, 100%, $E$9)</f>
        <v>41.981400000000001</v>
      </c>
      <c r="J1022" s="10">
        <f>CHOOSE(CONTROL!$C$42, 41.9622, 41.9622)* CHOOSE(CONTROL!$C$21, $C$9, 100%, $E$9)</f>
        <v>41.962200000000003</v>
      </c>
      <c r="K1022" s="10">
        <f>CHOOSE(CONTROL!$C$42, 40.9426, 40.9426) * CHOOSE(CONTROL!$C$21, $C$9, 100%, $E$9)</f>
        <v>40.942599999999999</v>
      </c>
      <c r="L1022" s="10">
        <f>CHOOSE(CONTROL!$C$42, 42.6263, 42.6263) * CHOOSE(CONTROL!$C$21, $C$9, 100%, $E$9)</f>
        <v>42.626300000000001</v>
      </c>
      <c r="M1022" s="10">
        <f>CHOOSE(CONTROL!$C$42, 41.5525, 41.5525) * CHOOSE(CONTROL!$C$21, $C$9, 100%, $E$9)</f>
        <v>41.552500000000002</v>
      </c>
      <c r="N1022" s="10">
        <f>CHOOSE(CONTROL!$C$42, 41.5708, 41.5708) * CHOOSE(CONTROL!$C$21, $C$9, 100%, $E$9)</f>
        <v>41.570799999999998</v>
      </c>
      <c r="O1022" s="10">
        <f>CHOOSE(CONTROL!$C$42, 41.6289, 41.6289) * CHOOSE(CONTROL!$C$21, $C$9, 100%, $E$9)</f>
        <v>41.628900000000002</v>
      </c>
      <c r="P1022" s="10">
        <f>CHOOSE(CONTROL!$C$42, 41.5716, 41.5716) * CHOOSE(CONTROL!$C$21, $C$9, 100%, $E$9)</f>
        <v>41.571599999999997</v>
      </c>
      <c r="Q1022" s="10">
        <f>CHOOSE(CONTROL!$C$42, 42.2242, 42.2242) * CHOOSE(CONTROL!$C$21, $C$9, 100%, $E$9)</f>
        <v>42.224200000000003</v>
      </c>
      <c r="R1022" s="10">
        <f>CHOOSE(CONTROL!$C$42, 42.9167, 42.9167) * CHOOSE(CONTROL!$C$21, $C$9, 100%, $E$9)</f>
        <v>42.916699999999999</v>
      </c>
      <c r="S1022" s="10">
        <f>CHOOSE(CONTROL!$C$42, 40.7714, 40.7714) * CHOOSE(CONTROL!$C$21, $C$9, 100%, $E$9)</f>
        <v>40.7714</v>
      </c>
      <c r="T10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38">
        <f>(1000*CHOOSE(CONTROL!$C$42, 695, 695)*CHOOSE(CONTROL!$C$42, 0.5599, 0.5599)*CHOOSE(CONTROL!$C$42, 28, 28))/1000000</f>
        <v>10.895653999999999</v>
      </c>
      <c r="V1022" s="38">
        <f>(1000*CHOOSE(CONTROL!$C$42, 500, 500)*CHOOSE(CONTROL!$C$42, 0.275, 0.275)*CHOOSE(CONTROL!$C$42, 28, 28))/1000000</f>
        <v>3.85</v>
      </c>
      <c r="W1022" s="38">
        <f>(1000*CHOOSE(CONTROL!$C$42, 0.1146, 0.1146)*CHOOSE(CONTROL!$C$42, 121.5, 121.5)*CHOOSE(CONTROL!$C$42, 28, 28))/1000000</f>
        <v>0.38986920000000003</v>
      </c>
      <c r="X1022" s="38">
        <f>(28*0.1790888*100000/1000000)+(28*0.2374*100000/1000000)</f>
        <v>1.16616864</v>
      </c>
      <c r="Y1022" s="38">
        <f>(1000*600*CHOOSE(CONTROL!$C$42, 1.0585, 1.0585)*CHOOSE(CONTROL!$C$42, 28, 28))/1000000</f>
        <v>17.782800000000002</v>
      </c>
      <c r="Z1022" s="38"/>
      <c r="AA1022" s="10"/>
      <c r="AB1022" s="39"/>
      <c r="AC1022" s="33">
        <f>(B1022*122.58+C1022*297.941+D1022*89.177+E1022*40.302+F1022*40+G1022*160+H1022*0+I1022*100+J1022*300)/(122.58+297.941+89.177+40.302+0+40+160+100+300)</f>
        <v>41.985263995826095</v>
      </c>
      <c r="AD1022" s="27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41.590928776978423</v>
      </c>
    </row>
    <row r="1023" spans="1:30" ht="15.75" x14ac:dyDescent="0.25">
      <c r="A1023" s="13">
        <v>72410</v>
      </c>
      <c r="B1023" s="10">
        <f>CHOOSE(CONTROL!$C$42, 40.795, 40.795) * CHOOSE(CONTROL!$C$21, $C$9, 100%, $E$9)</f>
        <v>40.795000000000002</v>
      </c>
      <c r="C1023" s="10">
        <f>CHOOSE(CONTROL!$C$42, 40.7999, 40.7999) * CHOOSE(CONTROL!$C$21, $C$9, 100%, $E$9)</f>
        <v>40.799900000000001</v>
      </c>
      <c r="D1023" s="10">
        <f>CHOOSE(CONTROL!$C$42, 40.8244, 40.8244) * CHOOSE(CONTROL!$C$21, $C$9, 100%, $E$9)</f>
        <v>40.824399999999997</v>
      </c>
      <c r="E1023" s="10">
        <f>CHOOSE(CONTROL!$C$42, 40.8581, 40.8581) * CHOOSE(CONTROL!$C$21, $C$9, 100%, $E$9)</f>
        <v>40.8581</v>
      </c>
      <c r="F1023" s="10">
        <f>CHOOSE(CONTROL!$C$42, 40.7757, 40.7757)*CHOOSE(CONTROL!$C$21, $C$9, 100%, $E$9)</f>
        <v>40.775700000000001</v>
      </c>
      <c r="G1023" s="10">
        <f>CHOOSE(CONTROL!$C$42, 40.7938, 40.7938)*CHOOSE(CONTROL!$C$21, $C$9, 100%, $E$9)</f>
        <v>40.793799999999997</v>
      </c>
      <c r="H1023" s="10">
        <f>CHOOSE(CONTROL!$C$42, 40.8473, 40.8473) * CHOOSE(CONTROL!$C$21, $C$9, 100%, $E$9)</f>
        <v>40.847299999999997</v>
      </c>
      <c r="I1023" s="10">
        <f>CHOOSE(CONTROL!$C$42, 40.7894, 40.7894)* CHOOSE(CONTROL!$C$21, $C$9, 100%, $E$9)</f>
        <v>40.789400000000001</v>
      </c>
      <c r="J1023" s="10">
        <f>CHOOSE(CONTROL!$C$42, 40.7687, 40.7687)* CHOOSE(CONTROL!$C$21, $C$9, 100%, $E$9)</f>
        <v>40.768700000000003</v>
      </c>
      <c r="K1023" s="10">
        <f>CHOOSE(CONTROL!$C$42, 39.7811, 39.7811) * CHOOSE(CONTROL!$C$21, $C$9, 100%, $E$9)</f>
        <v>39.781100000000002</v>
      </c>
      <c r="L1023" s="10">
        <f>CHOOSE(CONTROL!$C$42, 41.4343, 41.4343) * CHOOSE(CONTROL!$C$21, $C$9, 100%, $E$9)</f>
        <v>41.4343</v>
      </c>
      <c r="M1023" s="10">
        <f>CHOOSE(CONTROL!$C$42, 40.3711, 40.3711) * CHOOSE(CONTROL!$C$21, $C$9, 100%, $E$9)</f>
        <v>40.371099999999998</v>
      </c>
      <c r="N1023" s="10">
        <f>CHOOSE(CONTROL!$C$42, 40.389, 40.389) * CHOOSE(CONTROL!$C$21, $C$9, 100%, $E$9)</f>
        <v>40.389000000000003</v>
      </c>
      <c r="O1023" s="10">
        <f>CHOOSE(CONTROL!$C$42, 40.4489, 40.4489) * CHOOSE(CONTROL!$C$21, $C$9, 100%, $E$9)</f>
        <v>40.448900000000002</v>
      </c>
      <c r="P1023" s="10">
        <f>CHOOSE(CONTROL!$C$42, 40.3917, 40.3917) * CHOOSE(CONTROL!$C$21, $C$9, 100%, $E$9)</f>
        <v>40.3917</v>
      </c>
      <c r="Q1023" s="10">
        <f>CHOOSE(CONTROL!$C$42, 41.0442, 41.0442) * CHOOSE(CONTROL!$C$21, $C$9, 100%, $E$9)</f>
        <v>41.044199999999996</v>
      </c>
      <c r="R1023" s="10">
        <f>CHOOSE(CONTROL!$C$42, 41.7339, 41.7339) * CHOOSE(CONTROL!$C$21, $C$9, 100%, $E$9)</f>
        <v>41.733899999999998</v>
      </c>
      <c r="S1023" s="10">
        <f>CHOOSE(CONTROL!$C$42, 39.6138, 39.6138) * CHOOSE(CONTROL!$C$21, $C$9, 100%, $E$9)</f>
        <v>39.613799999999998</v>
      </c>
      <c r="T10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38">
        <f>(1000*CHOOSE(CONTROL!$C$42, 695, 695)*CHOOSE(CONTROL!$C$42, 0.5599, 0.5599)*CHOOSE(CONTROL!$C$42, 31, 31))/1000000</f>
        <v>12.063045499999998</v>
      </c>
      <c r="V1023" s="38">
        <f>(1000*CHOOSE(CONTROL!$C$42, 500, 500)*CHOOSE(CONTROL!$C$42, 0.275, 0.275)*CHOOSE(CONTROL!$C$42, 31, 31))/1000000</f>
        <v>4.2625000000000002</v>
      </c>
      <c r="W1023" s="38">
        <f>(1000*CHOOSE(CONTROL!$C$42, 0.1146, 0.1146)*CHOOSE(CONTROL!$C$42, 121.5, 121.5)*CHOOSE(CONTROL!$C$42, 31, 31))/1000000</f>
        <v>0.43164089999999994</v>
      </c>
      <c r="X1023" s="38">
        <f>(31*0.1790888*100000/1000000)+(31*0.2374*100000/1000000)</f>
        <v>1.2911152800000001</v>
      </c>
      <c r="Y1023" s="38">
        <f>(1000*600*CHOOSE(CONTROL!$C$42, 1.0585, 1.0585)*CHOOSE(CONTROL!$C$42, 31, 31))/1000000</f>
        <v>19.688099999999999</v>
      </c>
      <c r="Z1023" s="38"/>
      <c r="AA1023" s="10"/>
      <c r="AB1023" s="39"/>
      <c r="AC1023" s="33">
        <f>(B1023*122.58+C1023*297.941+D1023*89.177+E1023*40.302+F1023*40+G1023*160+H1023*0+I1023*100+J1023*300)/(122.58+297.941+89.177+40.302+0+40+160+100+300)</f>
        <v>40.792574583391307</v>
      </c>
      <c r="AD1023" s="27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40.410356115107916</v>
      </c>
    </row>
    <row r="1024" spans="1:30" ht="15.75" x14ac:dyDescent="0.25">
      <c r="A1024" s="13">
        <v>72440</v>
      </c>
      <c r="B1024" s="10">
        <f>CHOOSE(CONTROL!$C$42, 40.6736, 40.6736) * CHOOSE(CONTROL!$C$21, $C$9, 100%, $E$9)</f>
        <v>40.6736</v>
      </c>
      <c r="C1024" s="10">
        <f>CHOOSE(CONTROL!$C$42, 40.678, 40.678) * CHOOSE(CONTROL!$C$21, $C$9, 100%, $E$9)</f>
        <v>40.677999999999997</v>
      </c>
      <c r="D1024" s="10">
        <f>CHOOSE(CONTROL!$C$42, 40.8581, 40.8581) * CHOOSE(CONTROL!$C$21, $C$9, 100%, $E$9)</f>
        <v>40.8581</v>
      </c>
      <c r="E1024" s="10">
        <f>CHOOSE(CONTROL!$C$42, 40.8899, 40.8899) * CHOOSE(CONTROL!$C$21, $C$9, 100%, $E$9)</f>
        <v>40.889899999999997</v>
      </c>
      <c r="F1024" s="10">
        <f>CHOOSE(CONTROL!$C$42, 40.6389, 40.6389)*CHOOSE(CONTROL!$C$21, $C$9, 100%, $E$9)</f>
        <v>40.6389</v>
      </c>
      <c r="G1024" s="10">
        <f>CHOOSE(CONTROL!$C$42, 40.6552, 40.6552)*CHOOSE(CONTROL!$C$21, $C$9, 100%, $E$9)</f>
        <v>40.655200000000001</v>
      </c>
      <c r="H1024" s="10">
        <f>CHOOSE(CONTROL!$C$42, 40.8797, 40.8797) * CHOOSE(CONTROL!$C$21, $C$9, 100%, $E$9)</f>
        <v>40.8797</v>
      </c>
      <c r="I1024" s="10">
        <f>CHOOSE(CONTROL!$C$42, 40.6596, 40.6596)* CHOOSE(CONTROL!$C$21, $C$9, 100%, $E$9)</f>
        <v>40.659599999999998</v>
      </c>
      <c r="J1024" s="10">
        <f>CHOOSE(CONTROL!$C$42, 40.6319, 40.6319)* CHOOSE(CONTROL!$C$21, $C$9, 100%, $E$9)</f>
        <v>40.631900000000002</v>
      </c>
      <c r="K1024" s="10">
        <f>CHOOSE(CONTROL!$C$42, 39.64, 39.64) * CHOOSE(CONTROL!$C$21, $C$9, 100%, $E$9)</f>
        <v>39.64</v>
      </c>
      <c r="L1024" s="10">
        <f>CHOOSE(CONTROL!$C$42, 41.4667, 41.4667) * CHOOSE(CONTROL!$C$21, $C$9, 100%, $E$9)</f>
        <v>41.466700000000003</v>
      </c>
      <c r="M1024" s="10">
        <f>CHOOSE(CONTROL!$C$42, 40.2357, 40.2357) * CHOOSE(CONTROL!$C$21, $C$9, 100%, $E$9)</f>
        <v>40.235700000000001</v>
      </c>
      <c r="N1024" s="10">
        <f>CHOOSE(CONTROL!$C$42, 40.2518, 40.2518) * CHOOSE(CONTROL!$C$21, $C$9, 100%, $E$9)</f>
        <v>40.251800000000003</v>
      </c>
      <c r="O1024" s="10">
        <f>CHOOSE(CONTROL!$C$42, 40.4809, 40.4809) * CHOOSE(CONTROL!$C$21, $C$9, 100%, $E$9)</f>
        <v>40.480899999999998</v>
      </c>
      <c r="P1024" s="10">
        <f>CHOOSE(CONTROL!$C$42, 40.2631, 40.2631) * CHOOSE(CONTROL!$C$21, $C$9, 100%, $E$9)</f>
        <v>40.263100000000001</v>
      </c>
      <c r="Q1024" s="10">
        <f>CHOOSE(CONTROL!$C$42, 41.0762, 41.0762) * CHOOSE(CONTROL!$C$21, $C$9, 100%, $E$9)</f>
        <v>41.0762</v>
      </c>
      <c r="R1024" s="10">
        <f>CHOOSE(CONTROL!$C$42, 41.7659, 41.7659) * CHOOSE(CONTROL!$C$21, $C$9, 100%, $E$9)</f>
        <v>41.765900000000002</v>
      </c>
      <c r="S1024" s="10">
        <f>CHOOSE(CONTROL!$C$42, 39.4952, 39.4952) * CHOOSE(CONTROL!$C$21, $C$9, 100%, $E$9)</f>
        <v>39.495199999999997</v>
      </c>
      <c r="T10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38">
        <f>(1000*CHOOSE(CONTROL!$C$42, 695, 695)*CHOOSE(CONTROL!$C$42, 0.5599, 0.5599)*CHOOSE(CONTROL!$C$42, 30, 30))/1000000</f>
        <v>11.673914999999997</v>
      </c>
      <c r="V1024" s="38">
        <f>(1000*CHOOSE(CONTROL!$C$42, 500, 500)*CHOOSE(CONTROL!$C$42, 0.275, 0.275)*CHOOSE(CONTROL!$C$42, 30, 30))/1000000</f>
        <v>4.125</v>
      </c>
      <c r="W1024" s="38">
        <f>(1000*CHOOSE(CONTROL!$C$42, 0.1146, 0.1146)*CHOOSE(CONTROL!$C$42, 121.5, 121.5)*CHOOSE(CONTROL!$C$42, 30, 30))/1000000</f>
        <v>0.417717</v>
      </c>
      <c r="X1024" s="38">
        <f>(30*0.1790888*245000/1000000)+(30*0.2374*100000/1000000)</f>
        <v>2.0285026799999999</v>
      </c>
      <c r="Y1024" s="38">
        <f>(1000*600*CHOOSE(CONTROL!$C$42, 1.0585, 1.0585)*CHOOSE(CONTROL!$C$42, 30, 30))/1000000</f>
        <v>19.053000000000001</v>
      </c>
      <c r="Z1024" s="38"/>
      <c r="AA1024" s="10"/>
      <c r="AB1024" s="39"/>
      <c r="AC1024" s="33">
        <f>(B1024*141.293+C1024*267.993+D1024*115.016+E1024*89.698+F1024*40+G1024*185+H1024*0+I1024*100+J1024*300)/(141.293+267.993+115.016+89.698+0+40+185+100+300)</f>
        <v>40.692243501694918</v>
      </c>
      <c r="AD1024" s="27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40.351702877697846</v>
      </c>
    </row>
    <row r="1025" spans="1:30" ht="15.75" x14ac:dyDescent="0.25">
      <c r="A1025" s="13">
        <v>72471</v>
      </c>
      <c r="B1025" s="10">
        <f>CHOOSE(CONTROL!$C$42, 41.0343, 41.0343) * CHOOSE(CONTROL!$C$21, $C$9, 100%, $E$9)</f>
        <v>41.034300000000002</v>
      </c>
      <c r="C1025" s="10">
        <f>CHOOSE(CONTROL!$C$42, 41.0423, 41.0423) * CHOOSE(CONTROL!$C$21, $C$9, 100%, $E$9)</f>
        <v>41.042299999999997</v>
      </c>
      <c r="D1025" s="10">
        <f>CHOOSE(CONTROL!$C$42, 41.2192, 41.2192) * CHOOSE(CONTROL!$C$21, $C$9, 100%, $E$9)</f>
        <v>41.219200000000001</v>
      </c>
      <c r="E1025" s="10">
        <f>CHOOSE(CONTROL!$C$42, 41.2504, 41.2504) * CHOOSE(CONTROL!$C$21, $C$9, 100%, $E$9)</f>
        <v>41.250399999999999</v>
      </c>
      <c r="F1025" s="10">
        <f>CHOOSE(CONTROL!$C$42, 40.9977, 40.9977)*CHOOSE(CONTROL!$C$21, $C$9, 100%, $E$9)</f>
        <v>40.997700000000002</v>
      </c>
      <c r="G1025" s="10">
        <f>CHOOSE(CONTROL!$C$42, 41.0142, 41.0142)*CHOOSE(CONTROL!$C$21, $C$9, 100%, $E$9)</f>
        <v>41.014200000000002</v>
      </c>
      <c r="H1025" s="10">
        <f>CHOOSE(CONTROL!$C$42, 41.239, 41.239) * CHOOSE(CONTROL!$C$21, $C$9, 100%, $E$9)</f>
        <v>41.238999999999997</v>
      </c>
      <c r="I1025" s="10">
        <f>CHOOSE(CONTROL!$C$42, 41.0189, 41.0189)* CHOOSE(CONTROL!$C$21, $C$9, 100%, $E$9)</f>
        <v>41.018900000000002</v>
      </c>
      <c r="J1025" s="10">
        <f>CHOOSE(CONTROL!$C$42, 40.9907, 40.9907)* CHOOSE(CONTROL!$C$21, $C$9, 100%, $E$9)</f>
        <v>40.990699999999997</v>
      </c>
      <c r="K1025" s="10">
        <f>CHOOSE(CONTROL!$C$42, 39.9879, 39.9879) * CHOOSE(CONTROL!$C$21, $C$9, 100%, $E$9)</f>
        <v>39.987900000000003</v>
      </c>
      <c r="L1025" s="10">
        <f>CHOOSE(CONTROL!$C$42, 41.826, 41.826) * CHOOSE(CONTROL!$C$21, $C$9, 100%, $E$9)</f>
        <v>41.826000000000001</v>
      </c>
      <c r="M1025" s="10">
        <f>CHOOSE(CONTROL!$C$42, 40.5909, 40.5909) * CHOOSE(CONTROL!$C$21, $C$9, 100%, $E$9)</f>
        <v>40.590899999999998</v>
      </c>
      <c r="N1025" s="10">
        <f>CHOOSE(CONTROL!$C$42, 40.6072, 40.6072) * CHOOSE(CONTROL!$C$21, $C$9, 100%, $E$9)</f>
        <v>40.607199999999999</v>
      </c>
      <c r="O1025" s="10">
        <f>CHOOSE(CONTROL!$C$42, 40.8367, 40.8367) * CHOOSE(CONTROL!$C$21, $C$9, 100%, $E$9)</f>
        <v>40.8367</v>
      </c>
      <c r="P1025" s="10">
        <f>CHOOSE(CONTROL!$C$42, 40.6188, 40.6188) * CHOOSE(CONTROL!$C$21, $C$9, 100%, $E$9)</f>
        <v>40.6188</v>
      </c>
      <c r="Q1025" s="10">
        <f>CHOOSE(CONTROL!$C$42, 41.432, 41.432) * CHOOSE(CONTROL!$C$21, $C$9, 100%, $E$9)</f>
        <v>41.432000000000002</v>
      </c>
      <c r="R1025" s="10">
        <f>CHOOSE(CONTROL!$C$42, 42.1225, 42.1225) * CHOOSE(CONTROL!$C$21, $C$9, 100%, $E$9)</f>
        <v>42.122500000000002</v>
      </c>
      <c r="S1025" s="10">
        <f>CHOOSE(CONTROL!$C$42, 39.8442, 39.8442) * CHOOSE(CONTROL!$C$21, $C$9, 100%, $E$9)</f>
        <v>39.844200000000001</v>
      </c>
      <c r="T10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38">
        <f>(1000*CHOOSE(CONTROL!$C$42, 695, 695)*CHOOSE(CONTROL!$C$42, 0.5599, 0.5599)*CHOOSE(CONTROL!$C$42, 31, 31))/1000000</f>
        <v>12.063045499999998</v>
      </c>
      <c r="V1025" s="38">
        <f>(1000*CHOOSE(CONTROL!$C$42, 500, 500)*CHOOSE(CONTROL!$C$42, 0.275, 0.275)*CHOOSE(CONTROL!$C$42, 31, 31))/1000000</f>
        <v>4.2625000000000002</v>
      </c>
      <c r="W1025" s="38">
        <f>(1000*CHOOSE(CONTROL!$C$42, 0.1146, 0.1146)*CHOOSE(CONTROL!$C$42, 121.5, 121.5)*CHOOSE(CONTROL!$C$42, 31, 31))/1000000</f>
        <v>0.43164089999999994</v>
      </c>
      <c r="X1025" s="38">
        <f>(31*0.1790888*245000/1000000)+(31*0.2374*100000/1000000)</f>
        <v>2.0961194359999999</v>
      </c>
      <c r="Y1025" s="38">
        <f>(1000*600*CHOOSE(CONTROL!$C$42, 1.0585, 1.0585)*CHOOSE(CONTROL!$C$42, 31, 31))/1000000</f>
        <v>19.688099999999999</v>
      </c>
      <c r="Z1025" s="38"/>
      <c r="AA1025" s="10"/>
      <c r="AB1025" s="39"/>
      <c r="AC1025" s="33">
        <f>(B1025*194.205+C1025*267.466+D1025*133.845+E1025*53.484+F1025*40+G1025*185+H1025*0+I1025*100+J1025*300)/(194.205+267.466+133.845+53.484+0+40+185+100+300)</f>
        <v>41.04893348579278</v>
      </c>
      <c r="AD1025" s="27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40.707258273381292</v>
      </c>
    </row>
    <row r="1026" spans="1:30" ht="15.75" x14ac:dyDescent="0.25">
      <c r="A1026" s="13">
        <v>72501</v>
      </c>
      <c r="B1026" s="10">
        <f>CHOOSE(CONTROL!$C$42, 42.1982, 42.1982) * CHOOSE(CONTROL!$C$21, $C$9, 100%, $E$9)</f>
        <v>42.1982</v>
      </c>
      <c r="C1026" s="10">
        <f>CHOOSE(CONTROL!$C$42, 42.2061, 42.2061) * CHOOSE(CONTROL!$C$21, $C$9, 100%, $E$9)</f>
        <v>42.206099999999999</v>
      </c>
      <c r="D1026" s="10">
        <f>CHOOSE(CONTROL!$C$42, 42.3831, 42.3831) * CHOOSE(CONTROL!$C$21, $C$9, 100%, $E$9)</f>
        <v>42.383099999999999</v>
      </c>
      <c r="E1026" s="10">
        <f>CHOOSE(CONTROL!$C$42, 42.4142, 42.4142) * CHOOSE(CONTROL!$C$21, $C$9, 100%, $E$9)</f>
        <v>42.414200000000001</v>
      </c>
      <c r="F1026" s="10">
        <f>CHOOSE(CONTROL!$C$42, 42.1617, 42.1617)*CHOOSE(CONTROL!$C$21, $C$9, 100%, $E$9)</f>
        <v>42.161700000000003</v>
      </c>
      <c r="G1026" s="10">
        <f>CHOOSE(CONTROL!$C$42, 42.1783, 42.1783)*CHOOSE(CONTROL!$C$21, $C$9, 100%, $E$9)</f>
        <v>42.1783</v>
      </c>
      <c r="H1026" s="10">
        <f>CHOOSE(CONTROL!$C$42, 42.4029, 42.4029) * CHOOSE(CONTROL!$C$21, $C$9, 100%, $E$9)</f>
        <v>42.402900000000002</v>
      </c>
      <c r="I1026" s="10">
        <f>CHOOSE(CONTROL!$C$42, 42.1828, 42.1828)* CHOOSE(CONTROL!$C$21, $C$9, 100%, $E$9)</f>
        <v>42.1828</v>
      </c>
      <c r="J1026" s="10">
        <f>CHOOSE(CONTROL!$C$42, 42.1547, 42.1547)* CHOOSE(CONTROL!$C$21, $C$9, 100%, $E$9)</f>
        <v>42.154699999999998</v>
      </c>
      <c r="K1026" s="10">
        <f>CHOOSE(CONTROL!$C$42, 41.119, 41.119) * CHOOSE(CONTROL!$C$21, $C$9, 100%, $E$9)</f>
        <v>41.119</v>
      </c>
      <c r="L1026" s="10">
        <f>CHOOSE(CONTROL!$C$42, 42.9899, 42.9899) * CHOOSE(CONTROL!$C$21, $C$9, 100%, $E$9)</f>
        <v>42.989899999999999</v>
      </c>
      <c r="M1026" s="10">
        <f>CHOOSE(CONTROL!$C$42, 41.7431, 41.7431) * CHOOSE(CONTROL!$C$21, $C$9, 100%, $E$9)</f>
        <v>41.743099999999998</v>
      </c>
      <c r="N1026" s="10">
        <f>CHOOSE(CONTROL!$C$42, 41.7595, 41.7595) * CHOOSE(CONTROL!$C$21, $C$9, 100%, $E$9)</f>
        <v>41.759500000000003</v>
      </c>
      <c r="O1026" s="10">
        <f>CHOOSE(CONTROL!$C$42, 41.9888, 41.9888) * CHOOSE(CONTROL!$C$21, $C$9, 100%, $E$9)</f>
        <v>41.988799999999998</v>
      </c>
      <c r="P1026" s="10">
        <f>CHOOSE(CONTROL!$C$42, 41.7709, 41.7709) * CHOOSE(CONTROL!$C$21, $C$9, 100%, $E$9)</f>
        <v>41.770899999999997</v>
      </c>
      <c r="Q1026" s="10">
        <f>CHOOSE(CONTROL!$C$42, 42.5841, 42.5841) * CHOOSE(CONTROL!$C$21, $C$9, 100%, $E$9)</f>
        <v>42.584099999999999</v>
      </c>
      <c r="R1026" s="10">
        <f>CHOOSE(CONTROL!$C$42, 43.2775, 43.2775) * CHOOSE(CONTROL!$C$21, $C$9, 100%, $E$9)</f>
        <v>43.277500000000003</v>
      </c>
      <c r="S1026" s="10">
        <f>CHOOSE(CONTROL!$C$42, 40.9744, 40.9744) * CHOOSE(CONTROL!$C$21, $C$9, 100%, $E$9)</f>
        <v>40.974400000000003</v>
      </c>
      <c r="T10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38">
        <f>(1000*CHOOSE(CONTROL!$C$42, 695, 695)*CHOOSE(CONTROL!$C$42, 0.5599, 0.5599)*CHOOSE(CONTROL!$C$42, 30, 30))/1000000</f>
        <v>11.673914999999997</v>
      </c>
      <c r="V1026" s="38">
        <f>(1000*CHOOSE(CONTROL!$C$42, 500, 500)*CHOOSE(CONTROL!$C$42, 0.275, 0.275)*CHOOSE(CONTROL!$C$42, 30, 30))/1000000</f>
        <v>4.125</v>
      </c>
      <c r="W1026" s="38">
        <f>(1000*CHOOSE(CONTROL!$C$42, 0.1146, 0.1146)*CHOOSE(CONTROL!$C$42, 121.5, 121.5)*CHOOSE(CONTROL!$C$42, 30, 30))/1000000</f>
        <v>0.417717</v>
      </c>
      <c r="X1026" s="38">
        <f>(30*0.1790888*245000/1000000)+(30*0.2374*100000/1000000)</f>
        <v>2.0285026799999999</v>
      </c>
      <c r="Y1026" s="38">
        <f>(1000*600*CHOOSE(CONTROL!$C$42, 1.0585, 1.0585)*CHOOSE(CONTROL!$C$42, 30, 30))/1000000</f>
        <v>19.053000000000001</v>
      </c>
      <c r="Z1026" s="38"/>
      <c r="AA1026" s="10"/>
      <c r="AB1026" s="39"/>
      <c r="AC1026" s="33">
        <f>(B1026*194.205+C1026*267.466+D1026*133.845+E1026*53.484+F1026*40+G1026*185+H1026*0+I1026*100+J1026*300)/(194.205+267.466+133.845+53.484+0+40+185+100+300)</f>
        <v>42.212864023469393</v>
      </c>
      <c r="AD1026" s="27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41.859404316546758</v>
      </c>
    </row>
    <row r="1027" spans="1:30" ht="15.75" x14ac:dyDescent="0.25">
      <c r="A1027" s="13">
        <v>72532</v>
      </c>
      <c r="B1027" s="10">
        <f>CHOOSE(CONTROL!$C$42, 41.3887, 41.3887) * CHOOSE(CONTROL!$C$21, $C$9, 100%, $E$9)</f>
        <v>41.3887</v>
      </c>
      <c r="C1027" s="10">
        <f>CHOOSE(CONTROL!$C$42, 41.3966, 41.3966) * CHOOSE(CONTROL!$C$21, $C$9, 100%, $E$9)</f>
        <v>41.396599999999999</v>
      </c>
      <c r="D1027" s="10">
        <f>CHOOSE(CONTROL!$C$42, 41.5736, 41.5736) * CHOOSE(CONTROL!$C$21, $C$9, 100%, $E$9)</f>
        <v>41.573599999999999</v>
      </c>
      <c r="E1027" s="10">
        <f>CHOOSE(CONTROL!$C$42, 41.6048, 41.6048) * CHOOSE(CONTROL!$C$21, $C$9, 100%, $E$9)</f>
        <v>41.604799999999997</v>
      </c>
      <c r="F1027" s="10">
        <f>CHOOSE(CONTROL!$C$42, 41.3525, 41.3525)*CHOOSE(CONTROL!$C$21, $C$9, 100%, $E$9)</f>
        <v>41.352499999999999</v>
      </c>
      <c r="G1027" s="10">
        <f>CHOOSE(CONTROL!$C$42, 41.3691, 41.3691)*CHOOSE(CONTROL!$C$21, $C$9, 100%, $E$9)</f>
        <v>41.369100000000003</v>
      </c>
      <c r="H1027" s="10">
        <f>CHOOSE(CONTROL!$C$42, 41.5934, 41.5934) * CHOOSE(CONTROL!$C$21, $C$9, 100%, $E$9)</f>
        <v>41.593400000000003</v>
      </c>
      <c r="I1027" s="10">
        <f>CHOOSE(CONTROL!$C$42, 41.3733, 41.3733)* CHOOSE(CONTROL!$C$21, $C$9, 100%, $E$9)</f>
        <v>41.3733</v>
      </c>
      <c r="J1027" s="10">
        <f>CHOOSE(CONTROL!$C$42, 41.3455, 41.3455)* CHOOSE(CONTROL!$C$21, $C$9, 100%, $E$9)</f>
        <v>41.345500000000001</v>
      </c>
      <c r="K1027" s="10">
        <f>CHOOSE(CONTROL!$C$42, 40.3331, 40.3331) * CHOOSE(CONTROL!$C$21, $C$9, 100%, $E$9)</f>
        <v>40.333100000000002</v>
      </c>
      <c r="L1027" s="10">
        <f>CHOOSE(CONTROL!$C$42, 42.1804, 42.1804) * CHOOSE(CONTROL!$C$21, $C$9, 100%, $E$9)</f>
        <v>42.180399999999999</v>
      </c>
      <c r="M1027" s="10">
        <f>CHOOSE(CONTROL!$C$42, 40.9421, 40.9421) * CHOOSE(CONTROL!$C$21, $C$9, 100%, $E$9)</f>
        <v>40.942100000000003</v>
      </c>
      <c r="N1027" s="10">
        <f>CHOOSE(CONTROL!$C$42, 40.9585, 40.9585) * CHOOSE(CONTROL!$C$21, $C$9, 100%, $E$9)</f>
        <v>40.958500000000001</v>
      </c>
      <c r="O1027" s="10">
        <f>CHOOSE(CONTROL!$C$42, 41.1875, 41.1875) * CHOOSE(CONTROL!$C$21, $C$9, 100%, $E$9)</f>
        <v>41.1875</v>
      </c>
      <c r="P1027" s="10">
        <f>CHOOSE(CONTROL!$C$42, 40.9697, 40.9697) * CHOOSE(CONTROL!$C$21, $C$9, 100%, $E$9)</f>
        <v>40.969700000000003</v>
      </c>
      <c r="Q1027" s="10">
        <f>CHOOSE(CONTROL!$C$42, 41.7828, 41.7828) * CHOOSE(CONTROL!$C$21, $C$9, 100%, $E$9)</f>
        <v>41.782800000000002</v>
      </c>
      <c r="R1027" s="10">
        <f>CHOOSE(CONTROL!$C$42, 42.4742, 42.4742) * CHOOSE(CONTROL!$C$21, $C$9, 100%, $E$9)</f>
        <v>42.474200000000003</v>
      </c>
      <c r="S1027" s="10">
        <f>CHOOSE(CONTROL!$C$42, 40.1883, 40.1883) * CHOOSE(CONTROL!$C$21, $C$9, 100%, $E$9)</f>
        <v>40.188299999999998</v>
      </c>
      <c r="T10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38">
        <f>(1000*CHOOSE(CONTROL!$C$42, 695, 695)*CHOOSE(CONTROL!$C$42, 0.5599, 0.5599)*CHOOSE(CONTROL!$C$42, 31, 31))/1000000</f>
        <v>12.063045499999998</v>
      </c>
      <c r="V1027" s="38">
        <f>(1000*CHOOSE(CONTROL!$C$42, 500, 500)*CHOOSE(CONTROL!$C$42, 0.275, 0.275)*CHOOSE(CONTROL!$C$42, 31, 31))/1000000</f>
        <v>4.2625000000000002</v>
      </c>
      <c r="W1027" s="38">
        <f>(1000*CHOOSE(CONTROL!$C$42, 0.1146, 0.1146)*CHOOSE(CONTROL!$C$42, 121.5, 121.5)*CHOOSE(CONTROL!$C$42, 31, 31))/1000000</f>
        <v>0.43164089999999994</v>
      </c>
      <c r="X1027" s="38">
        <f>(31*0.1790888*245000/1000000)+(31*0.2374*100000/1000000)</f>
        <v>2.0961194359999999</v>
      </c>
      <c r="Y1027" s="38">
        <f>(1000*600*CHOOSE(CONTROL!$C$42, 1.0585, 1.0585)*CHOOSE(CONTROL!$C$42, 31, 31))/1000000</f>
        <v>19.688099999999999</v>
      </c>
      <c r="Z1027" s="38"/>
      <c r="AA1027" s="10"/>
      <c r="AB1027" s="39"/>
      <c r="AC1027" s="33">
        <f>(B1027*194.205+C1027*267.466+D1027*133.845+E1027*53.484+F1027*40+G1027*185+H1027*0+I1027*100+J1027*300)/(194.205+267.466+133.845+53.484+0+40+185+100+300)</f>
        <v>41.403491847959188</v>
      </c>
      <c r="AD1027" s="27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41.058239568345329</v>
      </c>
    </row>
    <row r="1028" spans="1:30" ht="15.75" x14ac:dyDescent="0.25">
      <c r="A1028" s="13">
        <v>72563</v>
      </c>
      <c r="B1028" s="10">
        <f>CHOOSE(CONTROL!$C$42, 39.3446, 39.3446) * CHOOSE(CONTROL!$C$21, $C$9, 100%, $E$9)</f>
        <v>39.3446</v>
      </c>
      <c r="C1028" s="10">
        <f>CHOOSE(CONTROL!$C$42, 39.3525, 39.3525) * CHOOSE(CONTROL!$C$21, $C$9, 100%, $E$9)</f>
        <v>39.352499999999999</v>
      </c>
      <c r="D1028" s="10">
        <f>CHOOSE(CONTROL!$C$42, 39.5295, 39.5295) * CHOOSE(CONTROL!$C$21, $C$9, 100%, $E$9)</f>
        <v>39.529499999999999</v>
      </c>
      <c r="E1028" s="10">
        <f>CHOOSE(CONTROL!$C$42, 39.5606, 39.5606) * CHOOSE(CONTROL!$C$21, $C$9, 100%, $E$9)</f>
        <v>39.560600000000001</v>
      </c>
      <c r="F1028" s="10">
        <f>CHOOSE(CONTROL!$C$42, 39.3084, 39.3084)*CHOOSE(CONTROL!$C$21, $C$9, 100%, $E$9)</f>
        <v>39.308399999999999</v>
      </c>
      <c r="G1028" s="10">
        <f>CHOOSE(CONTROL!$C$42, 39.325, 39.325)*CHOOSE(CONTROL!$C$21, $C$9, 100%, $E$9)</f>
        <v>39.325000000000003</v>
      </c>
      <c r="H1028" s="10">
        <f>CHOOSE(CONTROL!$C$42, 39.5493, 39.5493) * CHOOSE(CONTROL!$C$21, $C$9, 100%, $E$9)</f>
        <v>39.549300000000002</v>
      </c>
      <c r="I1028" s="10">
        <f>CHOOSE(CONTROL!$C$42, 39.3292, 39.3292)* CHOOSE(CONTROL!$C$21, $C$9, 100%, $E$9)</f>
        <v>39.3292</v>
      </c>
      <c r="J1028" s="10">
        <f>CHOOSE(CONTROL!$C$42, 39.3014, 39.3014)* CHOOSE(CONTROL!$C$21, $C$9, 100%, $E$9)</f>
        <v>39.301400000000001</v>
      </c>
      <c r="K1028" s="10">
        <f>CHOOSE(CONTROL!$C$42, 38.3472, 38.3472) * CHOOSE(CONTROL!$C$21, $C$9, 100%, $E$9)</f>
        <v>38.347200000000001</v>
      </c>
      <c r="L1028" s="10">
        <f>CHOOSE(CONTROL!$C$42, 40.1363, 40.1363) * CHOOSE(CONTROL!$C$21, $C$9, 100%, $E$9)</f>
        <v>40.136299999999999</v>
      </c>
      <c r="M1028" s="10">
        <f>CHOOSE(CONTROL!$C$42, 38.9186, 38.9186) * CHOOSE(CONTROL!$C$21, $C$9, 100%, $E$9)</f>
        <v>38.918599999999998</v>
      </c>
      <c r="N1028" s="10">
        <f>CHOOSE(CONTROL!$C$42, 38.9351, 38.9351) * CHOOSE(CONTROL!$C$21, $C$9, 100%, $E$9)</f>
        <v>38.935099999999998</v>
      </c>
      <c r="O1028" s="10">
        <f>CHOOSE(CONTROL!$C$42, 39.164, 39.164) * CHOOSE(CONTROL!$C$21, $C$9, 100%, $E$9)</f>
        <v>39.164000000000001</v>
      </c>
      <c r="P1028" s="10">
        <f>CHOOSE(CONTROL!$C$42, 38.9461, 38.9461) * CHOOSE(CONTROL!$C$21, $C$9, 100%, $E$9)</f>
        <v>38.946100000000001</v>
      </c>
      <c r="Q1028" s="10">
        <f>CHOOSE(CONTROL!$C$42, 39.7593, 39.7593) * CHOOSE(CONTROL!$C$21, $C$9, 100%, $E$9)</f>
        <v>39.759300000000003</v>
      </c>
      <c r="R1028" s="10">
        <f>CHOOSE(CONTROL!$C$42, 40.4457, 40.4457) * CHOOSE(CONTROL!$C$21, $C$9, 100%, $E$9)</f>
        <v>40.445700000000002</v>
      </c>
      <c r="S1028" s="10">
        <f>CHOOSE(CONTROL!$C$42, 38.2033, 38.2033) * CHOOSE(CONTROL!$C$21, $C$9, 100%, $E$9)</f>
        <v>38.203299999999999</v>
      </c>
      <c r="T10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38">
        <f>(1000*CHOOSE(CONTROL!$C$42, 695, 695)*CHOOSE(CONTROL!$C$42, 0.5599, 0.5599)*CHOOSE(CONTROL!$C$42, 31, 31))/1000000</f>
        <v>12.063045499999998</v>
      </c>
      <c r="V1028" s="38">
        <f>(1000*CHOOSE(CONTROL!$C$42, 500, 500)*CHOOSE(CONTROL!$C$42, 0.275, 0.275)*CHOOSE(CONTROL!$C$42, 31, 31))/1000000</f>
        <v>4.2625000000000002</v>
      </c>
      <c r="W1028" s="38">
        <f>(1000*CHOOSE(CONTROL!$C$42, 0.1146, 0.1146)*CHOOSE(CONTROL!$C$42, 121.5, 121.5)*CHOOSE(CONTROL!$C$42, 31, 31))/1000000</f>
        <v>0.43164089999999994</v>
      </c>
      <c r="X1028" s="38">
        <f>(31*0.1790888*245000/1000000)+(31*0.2374*100000/1000000)</f>
        <v>2.0961194359999999</v>
      </c>
      <c r="Y1028" s="38">
        <f>(1000*600*CHOOSE(CONTROL!$C$42, 1.0585, 1.0585)*CHOOSE(CONTROL!$C$42, 31, 31))/1000000</f>
        <v>19.688099999999999</v>
      </c>
      <c r="Z1028" s="38"/>
      <c r="AA1028" s="10"/>
      <c r="AB1028" s="39"/>
      <c r="AC1028" s="33">
        <f>(B1028*194.205+C1028*267.466+D1028*133.845+E1028*53.484+F1028*40+G1028*185+H1028*0+I1028*100+J1028*300)/(194.205+267.466+133.845+53.484+0+40+185+100+300)</f>
        <v>39.359387649843015</v>
      </c>
      <c r="AD1028" s="27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39.034730935251794</v>
      </c>
    </row>
    <row r="1029" spans="1:30" ht="15.75" x14ac:dyDescent="0.25">
      <c r="A1029" s="13">
        <v>72593</v>
      </c>
      <c r="B1029" s="10">
        <f>CHOOSE(CONTROL!$C$42, 36.847, 36.847) * CHOOSE(CONTROL!$C$21, $C$9, 100%, $E$9)</f>
        <v>36.847000000000001</v>
      </c>
      <c r="C1029" s="10">
        <f>CHOOSE(CONTROL!$C$42, 36.855, 36.855) * CHOOSE(CONTROL!$C$21, $C$9, 100%, $E$9)</f>
        <v>36.854999999999997</v>
      </c>
      <c r="D1029" s="10">
        <f>CHOOSE(CONTROL!$C$42, 37.0319, 37.0319) * CHOOSE(CONTROL!$C$21, $C$9, 100%, $E$9)</f>
        <v>37.0319</v>
      </c>
      <c r="E1029" s="10">
        <f>CHOOSE(CONTROL!$C$42, 37.0631, 37.0631) * CHOOSE(CONTROL!$C$21, $C$9, 100%, $E$9)</f>
        <v>37.063099999999999</v>
      </c>
      <c r="F1029" s="10">
        <f>CHOOSE(CONTROL!$C$42, 36.8106, 36.8106)*CHOOSE(CONTROL!$C$21, $C$9, 100%, $E$9)</f>
        <v>36.810600000000001</v>
      </c>
      <c r="G1029" s="10">
        <f>CHOOSE(CONTROL!$C$42, 36.8272, 36.8272)*CHOOSE(CONTROL!$C$21, $C$9, 100%, $E$9)</f>
        <v>36.827199999999998</v>
      </c>
      <c r="H1029" s="10">
        <f>CHOOSE(CONTROL!$C$42, 37.0517, 37.0517) * CHOOSE(CONTROL!$C$21, $C$9, 100%, $E$9)</f>
        <v>37.051699999999997</v>
      </c>
      <c r="I1029" s="10">
        <f>CHOOSE(CONTROL!$C$42, 36.8316, 36.8316)* CHOOSE(CONTROL!$C$21, $C$9, 100%, $E$9)</f>
        <v>36.831600000000002</v>
      </c>
      <c r="J1029" s="10">
        <f>CHOOSE(CONTROL!$C$42, 36.8036, 36.8036)* CHOOSE(CONTROL!$C$21, $C$9, 100%, $E$9)</f>
        <v>36.803600000000003</v>
      </c>
      <c r="K1029" s="10">
        <f>CHOOSE(CONTROL!$C$42, 35.92, 35.92) * CHOOSE(CONTROL!$C$21, $C$9, 100%, $E$9)</f>
        <v>35.92</v>
      </c>
      <c r="L1029" s="10">
        <f>CHOOSE(CONTROL!$C$42, 37.6387, 37.6387) * CHOOSE(CONTROL!$C$21, $C$9, 100%, $E$9)</f>
        <v>37.6387</v>
      </c>
      <c r="M1029" s="10">
        <f>CHOOSE(CONTROL!$C$42, 36.446, 36.446) * CHOOSE(CONTROL!$C$21, $C$9, 100%, $E$9)</f>
        <v>36.445999999999998</v>
      </c>
      <c r="N1029" s="10">
        <f>CHOOSE(CONTROL!$C$42, 36.4624, 36.4624) * CHOOSE(CONTROL!$C$21, $C$9, 100%, $E$9)</f>
        <v>36.462400000000002</v>
      </c>
      <c r="O1029" s="10">
        <f>CHOOSE(CONTROL!$C$42, 36.6916, 36.6916) * CHOOSE(CONTROL!$C$21, $C$9, 100%, $E$9)</f>
        <v>36.691600000000001</v>
      </c>
      <c r="P1029" s="10">
        <f>CHOOSE(CONTROL!$C$42, 36.4738, 36.4738) * CHOOSE(CONTROL!$C$21, $C$9, 100%, $E$9)</f>
        <v>36.473799999999997</v>
      </c>
      <c r="Q1029" s="10">
        <f>CHOOSE(CONTROL!$C$42, 37.2869, 37.2869) * CHOOSE(CONTROL!$C$21, $C$9, 100%, $E$9)</f>
        <v>37.286900000000003</v>
      </c>
      <c r="R1029" s="10">
        <f>CHOOSE(CONTROL!$C$42, 37.9671, 37.9671) * CHOOSE(CONTROL!$C$21, $C$9, 100%, $E$9)</f>
        <v>37.967100000000002</v>
      </c>
      <c r="S1029" s="10">
        <f>CHOOSE(CONTROL!$C$42, 35.7779, 35.7779) * CHOOSE(CONTROL!$C$21, $C$9, 100%, $E$9)</f>
        <v>35.777900000000002</v>
      </c>
      <c r="T10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38">
        <f>(1000*CHOOSE(CONTROL!$C$42, 695, 695)*CHOOSE(CONTROL!$C$42, 0.5599, 0.5599)*CHOOSE(CONTROL!$C$42, 30, 30))/1000000</f>
        <v>11.673914999999997</v>
      </c>
      <c r="V1029" s="38">
        <f>(1000*CHOOSE(CONTROL!$C$42, 500, 500)*CHOOSE(CONTROL!$C$42, 0.275, 0.275)*CHOOSE(CONTROL!$C$42, 30, 30))/1000000</f>
        <v>4.125</v>
      </c>
      <c r="W1029" s="38">
        <f>(1000*CHOOSE(CONTROL!$C$42, 0.1146, 0.1146)*CHOOSE(CONTROL!$C$42, 121.5, 121.5)*CHOOSE(CONTROL!$C$42, 30, 30))/1000000</f>
        <v>0.417717</v>
      </c>
      <c r="X1029" s="38">
        <f>(30*0.1790888*245000/1000000)+(30*0.2374*100000/1000000)</f>
        <v>2.0285026799999999</v>
      </c>
      <c r="Y1029" s="38">
        <f>(1000*600*CHOOSE(CONTROL!$C$42, 1.0585, 1.0585)*CHOOSE(CONTROL!$C$42, 30, 30))/1000000</f>
        <v>19.053000000000001</v>
      </c>
      <c r="Z1029" s="38"/>
      <c r="AA1029" s="10"/>
      <c r="AB1029" s="39"/>
      <c r="AC1029" s="33">
        <f>(B1029*194.205+C1029*267.466+D1029*133.845+E1029*53.484+F1029*40+G1029*185+H1029*0+I1029*100+J1029*300)/(194.205+267.466+133.845+53.484+0+40+185+100+300)</f>
        <v>36.861730424568286</v>
      </c>
      <c r="AD1029" s="27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36.562258992805759</v>
      </c>
    </row>
    <row r="1030" spans="1:30" ht="15.75" x14ac:dyDescent="0.25">
      <c r="A1030" s="13">
        <v>72624</v>
      </c>
      <c r="B1030" s="10">
        <f>CHOOSE(CONTROL!$C$42, 36.0969, 36.0969) * CHOOSE(CONTROL!$C$21, $C$9, 100%, $E$9)</f>
        <v>36.096899999999998</v>
      </c>
      <c r="C1030" s="10">
        <f>CHOOSE(CONTROL!$C$42, 36.1021, 36.1021) * CHOOSE(CONTROL!$C$21, $C$9, 100%, $E$9)</f>
        <v>36.1021</v>
      </c>
      <c r="D1030" s="10">
        <f>CHOOSE(CONTROL!$C$42, 36.284, 36.284) * CHOOSE(CONTROL!$C$21, $C$9, 100%, $E$9)</f>
        <v>36.283999999999999</v>
      </c>
      <c r="E1030" s="10">
        <f>CHOOSE(CONTROL!$C$42, 36.3128, 36.3128) * CHOOSE(CONTROL!$C$21, $C$9, 100%, $E$9)</f>
        <v>36.312800000000003</v>
      </c>
      <c r="F1030" s="10">
        <f>CHOOSE(CONTROL!$C$42, 36.0625, 36.0625)*CHOOSE(CONTROL!$C$21, $C$9, 100%, $E$9)</f>
        <v>36.0625</v>
      </c>
      <c r="G1030" s="10">
        <f>CHOOSE(CONTROL!$C$42, 36.0787, 36.0787)*CHOOSE(CONTROL!$C$21, $C$9, 100%, $E$9)</f>
        <v>36.078699999999998</v>
      </c>
      <c r="H1030" s="10">
        <f>CHOOSE(CONTROL!$C$42, 36.3033, 36.3033) * CHOOSE(CONTROL!$C$21, $C$9, 100%, $E$9)</f>
        <v>36.3033</v>
      </c>
      <c r="I1030" s="10">
        <f>CHOOSE(CONTROL!$C$42, 36.0832, 36.0832)* CHOOSE(CONTROL!$C$21, $C$9, 100%, $E$9)</f>
        <v>36.083199999999998</v>
      </c>
      <c r="J1030" s="10">
        <f>CHOOSE(CONTROL!$C$42, 36.0555, 36.0555)* CHOOSE(CONTROL!$C$21, $C$9, 100%, $E$9)</f>
        <v>36.055500000000002</v>
      </c>
      <c r="K1030" s="10">
        <f>CHOOSE(CONTROL!$C$42, 35.1935, 35.1935) * CHOOSE(CONTROL!$C$21, $C$9, 100%, $E$9)</f>
        <v>35.1935</v>
      </c>
      <c r="L1030" s="10">
        <f>CHOOSE(CONTROL!$C$42, 36.8903, 36.8903) * CHOOSE(CONTROL!$C$21, $C$9, 100%, $E$9)</f>
        <v>36.890300000000003</v>
      </c>
      <c r="M1030" s="10">
        <f>CHOOSE(CONTROL!$C$42, 35.7054, 35.7054) * CHOOSE(CONTROL!$C$21, $C$9, 100%, $E$9)</f>
        <v>35.705399999999997</v>
      </c>
      <c r="N1030" s="10">
        <f>CHOOSE(CONTROL!$C$42, 35.7215, 35.7215) * CHOOSE(CONTROL!$C$21, $C$9, 100%, $E$9)</f>
        <v>35.721499999999999</v>
      </c>
      <c r="O1030" s="10">
        <f>CHOOSE(CONTROL!$C$42, 35.9508, 35.9508) * CHOOSE(CONTROL!$C$21, $C$9, 100%, $E$9)</f>
        <v>35.950800000000001</v>
      </c>
      <c r="P1030" s="10">
        <f>CHOOSE(CONTROL!$C$42, 35.7329, 35.7329) * CHOOSE(CONTROL!$C$21, $C$9, 100%, $E$9)</f>
        <v>35.732900000000001</v>
      </c>
      <c r="Q1030" s="10">
        <f>CHOOSE(CONTROL!$C$42, 36.5461, 36.5461) * CHOOSE(CONTROL!$C$21, $C$9, 100%, $E$9)</f>
        <v>36.546100000000003</v>
      </c>
      <c r="R1030" s="10">
        <f>CHOOSE(CONTROL!$C$42, 37.2244, 37.2244) * CHOOSE(CONTROL!$C$21, $C$9, 100%, $E$9)</f>
        <v>37.224400000000003</v>
      </c>
      <c r="S1030" s="10">
        <f>CHOOSE(CONTROL!$C$42, 35.0511, 35.0511) * CHOOSE(CONTROL!$C$21, $C$9, 100%, $E$9)</f>
        <v>35.051099999999998</v>
      </c>
      <c r="T10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38">
        <f>(1000*CHOOSE(CONTROL!$C$42, 695, 695)*CHOOSE(CONTROL!$C$42, 0.5599, 0.5599)*CHOOSE(CONTROL!$C$42, 31, 31))/1000000</f>
        <v>12.063045499999998</v>
      </c>
      <c r="V1030" s="38">
        <f>(1000*CHOOSE(CONTROL!$C$42, 500, 500)*CHOOSE(CONTROL!$C$42, 0.275, 0.275)*CHOOSE(CONTROL!$C$42, 31, 31))/1000000</f>
        <v>4.2625000000000002</v>
      </c>
      <c r="W1030" s="38">
        <f>(1000*CHOOSE(CONTROL!$C$42, 0.1146, 0.1146)*CHOOSE(CONTROL!$C$42, 121.5, 121.5)*CHOOSE(CONTROL!$C$42, 31, 31))/1000000</f>
        <v>0.43164089999999994</v>
      </c>
      <c r="X1030" s="38">
        <f>(31*0.1790888*245000/1000000)+(31*0.2374*100000/1000000)</f>
        <v>2.0961194359999999</v>
      </c>
      <c r="Y1030" s="38">
        <f>(1000*600*CHOOSE(CONTROL!$C$42, 1.0585, 1.0585)*CHOOSE(CONTROL!$C$42, 31, 31))/1000000</f>
        <v>19.688099999999999</v>
      </c>
      <c r="Z1030" s="38"/>
      <c r="AA1030" s="10"/>
      <c r="AB1030" s="39"/>
      <c r="AC1030" s="33">
        <f>(B1030*131.881+C1030*277.167+D1030*79.08+E1030*125.872+F1030*40+G1030*185+H1030*0+I1030*100+J1030*300)/(131.881+277.167+79.08+125.872+0+40+185+100+300)</f>
        <v>36.116980630508472</v>
      </c>
      <c r="AD1030" s="27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35.821507913669066</v>
      </c>
    </row>
    <row r="1031" spans="1:30" ht="15.75" x14ac:dyDescent="0.25">
      <c r="A1031" s="13">
        <v>72654</v>
      </c>
      <c r="B1031" s="10">
        <f>CHOOSE(CONTROL!$C$42, 37.0473, 37.0473) * CHOOSE(CONTROL!$C$21, $C$9, 100%, $E$9)</f>
        <v>37.0473</v>
      </c>
      <c r="C1031" s="10">
        <f>CHOOSE(CONTROL!$C$42, 37.0523, 37.0523) * CHOOSE(CONTROL!$C$21, $C$9, 100%, $E$9)</f>
        <v>37.052300000000002</v>
      </c>
      <c r="D1031" s="10">
        <f>CHOOSE(CONTROL!$C$42, 37.0767, 37.0767) * CHOOSE(CONTROL!$C$21, $C$9, 100%, $E$9)</f>
        <v>37.076700000000002</v>
      </c>
      <c r="E1031" s="10">
        <f>CHOOSE(CONTROL!$C$42, 37.1105, 37.1105) * CHOOSE(CONTROL!$C$21, $C$9, 100%, $E$9)</f>
        <v>37.110500000000002</v>
      </c>
      <c r="F1031" s="10">
        <f>CHOOSE(CONTROL!$C$42, 37.0166, 37.0166)*CHOOSE(CONTROL!$C$21, $C$9, 100%, $E$9)</f>
        <v>37.016599999999997</v>
      </c>
      <c r="G1031" s="10">
        <f>CHOOSE(CONTROL!$C$42, 37.0331, 37.0331)*CHOOSE(CONTROL!$C$21, $C$9, 100%, $E$9)</f>
        <v>37.033099999999997</v>
      </c>
      <c r="H1031" s="10">
        <f>CHOOSE(CONTROL!$C$42, 37.0997, 37.0997) * CHOOSE(CONTROL!$C$21, $C$9, 100%, $E$9)</f>
        <v>37.099699999999999</v>
      </c>
      <c r="I1031" s="10">
        <f>CHOOSE(CONTROL!$C$42, 37.0341, 37.0341)* CHOOSE(CONTROL!$C$21, $C$9, 100%, $E$9)</f>
        <v>37.034100000000002</v>
      </c>
      <c r="J1031" s="10">
        <f>CHOOSE(CONTROL!$C$42, 37.0096, 37.0096)* CHOOSE(CONTROL!$C$21, $C$9, 100%, $E$9)</f>
        <v>37.009599999999999</v>
      </c>
      <c r="K1031" s="10">
        <f>CHOOSE(CONTROL!$C$42, 36.1188, 36.1188) * CHOOSE(CONTROL!$C$21, $C$9, 100%, $E$9)</f>
        <v>36.1188</v>
      </c>
      <c r="L1031" s="10">
        <f>CHOOSE(CONTROL!$C$42, 37.6867, 37.6867) * CHOOSE(CONTROL!$C$21, $C$9, 100%, $E$9)</f>
        <v>37.686700000000002</v>
      </c>
      <c r="M1031" s="10">
        <f>CHOOSE(CONTROL!$C$42, 36.65, 36.65) * CHOOSE(CONTROL!$C$21, $C$9, 100%, $E$9)</f>
        <v>36.65</v>
      </c>
      <c r="N1031" s="10">
        <f>CHOOSE(CONTROL!$C$42, 36.6662, 36.6662) * CHOOSE(CONTROL!$C$21, $C$9, 100%, $E$9)</f>
        <v>36.666200000000003</v>
      </c>
      <c r="O1031" s="10">
        <f>CHOOSE(CONTROL!$C$42, 36.7391, 36.7391) * CHOOSE(CONTROL!$C$21, $C$9, 100%, $E$9)</f>
        <v>36.739100000000001</v>
      </c>
      <c r="P1031" s="10">
        <f>CHOOSE(CONTROL!$C$42, 36.6742, 36.6742) * CHOOSE(CONTROL!$C$21, $C$9, 100%, $E$9)</f>
        <v>36.674199999999999</v>
      </c>
      <c r="Q1031" s="10">
        <f>CHOOSE(CONTROL!$C$42, 37.3344, 37.3344) * CHOOSE(CONTROL!$C$21, $C$9, 100%, $E$9)</f>
        <v>37.334400000000002</v>
      </c>
      <c r="R1031" s="10">
        <f>CHOOSE(CONTROL!$C$42, 38.0148, 38.0148) * CHOOSE(CONTROL!$C$21, $C$9, 100%, $E$9)</f>
        <v>38.014800000000001</v>
      </c>
      <c r="S1031" s="10">
        <f>CHOOSE(CONTROL!$C$42, 35.9745, 35.9745) * CHOOSE(CONTROL!$C$21, $C$9, 100%, $E$9)</f>
        <v>35.974499999999999</v>
      </c>
      <c r="T10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38">
        <f>(1000*CHOOSE(CONTROL!$C$42, 695, 695)*CHOOSE(CONTROL!$C$42, 0.5599, 0.5599)*CHOOSE(CONTROL!$C$42, 30, 30))/1000000</f>
        <v>11.673914999999997</v>
      </c>
      <c r="V1031" s="38">
        <f>(1000*CHOOSE(CONTROL!$C$42, 500, 500)*CHOOSE(CONTROL!$C$42, 0.275, 0.275)*CHOOSE(CONTROL!$C$42, 30, 30))/1000000</f>
        <v>4.125</v>
      </c>
      <c r="W1031" s="38">
        <f>(1000*CHOOSE(CONTROL!$C$42, 0.1146, 0.1146)*CHOOSE(CONTROL!$C$42, 121.5, 121.5)*CHOOSE(CONTROL!$C$42, 30, 30))/1000000</f>
        <v>0.417717</v>
      </c>
      <c r="X1031" s="38">
        <f>(30*0.1790888*100000/1000000)+(30*0.2374*100000/1000000)</f>
        <v>1.2494664</v>
      </c>
      <c r="Y1031" s="38">
        <f>(1000*600*CHOOSE(CONTROL!$C$42, 1.0585, 1.0585)*CHOOSE(CONTROL!$C$42, 30, 30))/1000000</f>
        <v>19.053000000000001</v>
      </c>
      <c r="Z1031" s="38"/>
      <c r="AA1031" s="10"/>
      <c r="AB1031" s="39"/>
      <c r="AC1031" s="33">
        <f>(B1031*122.58+C1031*297.941+D1031*89.177+E1031*40.302+F1031*40+G1031*160+H1031*0+I1031*100+J1031*300)/(122.58+297.941+89.177+40.302+0+40+160+100+300)</f>
        <v>37.039063995826083</v>
      </c>
      <c r="AD1031" s="27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36.694797841726619</v>
      </c>
    </row>
    <row r="1032" spans="1:30" ht="15.75" x14ac:dyDescent="0.25">
      <c r="A1032" s="13">
        <v>72685</v>
      </c>
      <c r="B1032" s="10">
        <f>CHOOSE(CONTROL!$C$42, 39.573, 39.573) * CHOOSE(CONTROL!$C$21, $C$9, 100%, $E$9)</f>
        <v>39.573</v>
      </c>
      <c r="C1032" s="10">
        <f>CHOOSE(CONTROL!$C$42, 39.5779, 39.5779) * CHOOSE(CONTROL!$C$21, $C$9, 100%, $E$9)</f>
        <v>39.5779</v>
      </c>
      <c r="D1032" s="10">
        <f>CHOOSE(CONTROL!$C$42, 39.6024, 39.6024) * CHOOSE(CONTROL!$C$21, $C$9, 100%, $E$9)</f>
        <v>39.602400000000003</v>
      </c>
      <c r="E1032" s="10">
        <f>CHOOSE(CONTROL!$C$42, 39.6362, 39.6362) * CHOOSE(CONTROL!$C$21, $C$9, 100%, $E$9)</f>
        <v>39.636200000000002</v>
      </c>
      <c r="F1032" s="10">
        <f>CHOOSE(CONTROL!$C$42, 39.5446, 39.5446)*CHOOSE(CONTROL!$C$21, $C$9, 100%, $E$9)</f>
        <v>39.544600000000003</v>
      </c>
      <c r="G1032" s="10">
        <f>CHOOSE(CONTROL!$C$42, 39.5616, 39.5616)*CHOOSE(CONTROL!$C$21, $C$9, 100%, $E$9)</f>
        <v>39.561599999999999</v>
      </c>
      <c r="H1032" s="10">
        <f>CHOOSE(CONTROL!$C$42, 39.6254, 39.6254) * CHOOSE(CONTROL!$C$21, $C$9, 100%, $E$9)</f>
        <v>39.625399999999999</v>
      </c>
      <c r="I1032" s="10">
        <f>CHOOSE(CONTROL!$C$42, 39.5597, 39.5597)* CHOOSE(CONTROL!$C$21, $C$9, 100%, $E$9)</f>
        <v>39.559699999999999</v>
      </c>
      <c r="J1032" s="10">
        <f>CHOOSE(CONTROL!$C$42, 39.5376, 39.5376)* CHOOSE(CONTROL!$C$21, $C$9, 100%, $E$9)</f>
        <v>39.537599999999998</v>
      </c>
      <c r="K1032" s="10">
        <f>CHOOSE(CONTROL!$C$42, 38.5777, 38.5777) * CHOOSE(CONTROL!$C$21, $C$9, 100%, $E$9)</f>
        <v>38.5777</v>
      </c>
      <c r="L1032" s="10">
        <f>CHOOSE(CONTROL!$C$42, 40.2124, 40.2124) * CHOOSE(CONTROL!$C$21, $C$9, 100%, $E$9)</f>
        <v>40.212400000000002</v>
      </c>
      <c r="M1032" s="10">
        <f>CHOOSE(CONTROL!$C$42, 39.1524, 39.1524) * CHOOSE(CONTROL!$C$21, $C$9, 100%, $E$9)</f>
        <v>39.1524</v>
      </c>
      <c r="N1032" s="10">
        <f>CHOOSE(CONTROL!$C$42, 39.1693, 39.1693) * CHOOSE(CONTROL!$C$21, $C$9, 100%, $E$9)</f>
        <v>39.1693</v>
      </c>
      <c r="O1032" s="10">
        <f>CHOOSE(CONTROL!$C$42, 39.2393, 39.2393) * CHOOSE(CONTROL!$C$21, $C$9, 100%, $E$9)</f>
        <v>39.2393</v>
      </c>
      <c r="P1032" s="10">
        <f>CHOOSE(CONTROL!$C$42, 39.1744, 39.1744) * CHOOSE(CONTROL!$C$21, $C$9, 100%, $E$9)</f>
        <v>39.174399999999999</v>
      </c>
      <c r="Q1032" s="10">
        <f>CHOOSE(CONTROL!$C$42, 39.8346, 39.8346) * CHOOSE(CONTROL!$C$21, $C$9, 100%, $E$9)</f>
        <v>39.834600000000002</v>
      </c>
      <c r="R1032" s="10">
        <f>CHOOSE(CONTROL!$C$42, 40.5212, 40.5212) * CHOOSE(CONTROL!$C$21, $C$9, 100%, $E$9)</f>
        <v>40.5212</v>
      </c>
      <c r="S1032" s="10">
        <f>CHOOSE(CONTROL!$C$42, 38.4272, 38.4272) * CHOOSE(CONTROL!$C$21, $C$9, 100%, $E$9)</f>
        <v>38.427199999999999</v>
      </c>
      <c r="T10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38">
        <f>(1000*CHOOSE(CONTROL!$C$42, 695, 695)*CHOOSE(CONTROL!$C$42, 0.5599, 0.5599)*CHOOSE(CONTROL!$C$42, 31, 31))/1000000</f>
        <v>12.063045499999998</v>
      </c>
      <c r="V1032" s="38">
        <f>(1000*CHOOSE(CONTROL!$C$42, 500, 500)*CHOOSE(CONTROL!$C$42, 0.275, 0.275)*CHOOSE(CONTROL!$C$42, 31, 31))/1000000</f>
        <v>4.2625000000000002</v>
      </c>
      <c r="W1032" s="38">
        <f>(1000*CHOOSE(CONTROL!$C$42, 0.1146, 0.1146)*CHOOSE(CONTROL!$C$42, 121.5, 121.5)*CHOOSE(CONTROL!$C$42, 31, 31))/1000000</f>
        <v>0.43164089999999994</v>
      </c>
      <c r="X1032" s="38">
        <f>(31*0.1790888*100000/1000000)+(31*0.2374*100000/1000000)</f>
        <v>1.2911152800000001</v>
      </c>
      <c r="Y1032" s="38">
        <f>(1000*600*CHOOSE(CONTROL!$C$42, 1.0585, 1.0585)*CHOOSE(CONTROL!$C$42, 31, 31))/1000000</f>
        <v>19.688099999999999</v>
      </c>
      <c r="Z1032" s="38"/>
      <c r="AA1032" s="10"/>
      <c r="AB1032" s="39"/>
      <c r="AC1032" s="33">
        <f>(B1032*122.58+C1032*297.941+D1032*89.177+E1032*40.302+F1032*40+G1032*160+H1032*0+I1032*100+J1032*300)/(122.58+297.941+89.177+40.302+0+40+160+100+300)</f>
        <v>39.565798957478265</v>
      </c>
      <c r="AD1032" s="27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39.195924460431655</v>
      </c>
    </row>
    <row r="1033" spans="1:30" ht="15.75" x14ac:dyDescent="0.25">
      <c r="A1033" s="13">
        <v>72716</v>
      </c>
      <c r="B1033" s="10">
        <f>CHOOSE(CONTROL!$C$42, 42.2437, 42.2437) * CHOOSE(CONTROL!$C$21, $C$9, 100%, $E$9)</f>
        <v>42.243699999999997</v>
      </c>
      <c r="C1033" s="10">
        <f>CHOOSE(CONTROL!$C$42, 42.2487, 42.2487) * CHOOSE(CONTROL!$C$21, $C$9, 100%, $E$9)</f>
        <v>42.248699999999999</v>
      </c>
      <c r="D1033" s="10">
        <f>CHOOSE(CONTROL!$C$42, 42.2731, 42.2731) * CHOOSE(CONTROL!$C$21, $C$9, 100%, $E$9)</f>
        <v>42.273099999999999</v>
      </c>
      <c r="E1033" s="10">
        <f>CHOOSE(CONTROL!$C$42, 42.3069, 42.3069) * CHOOSE(CONTROL!$C$21, $C$9, 100%, $E$9)</f>
        <v>42.306899999999999</v>
      </c>
      <c r="F1033" s="10">
        <f>CHOOSE(CONTROL!$C$42, 42.2267, 42.2267)*CHOOSE(CONTROL!$C$21, $C$9, 100%, $E$9)</f>
        <v>42.226700000000001</v>
      </c>
      <c r="G1033" s="10">
        <f>CHOOSE(CONTROL!$C$42, 42.2453, 42.2453)*CHOOSE(CONTROL!$C$21, $C$9, 100%, $E$9)</f>
        <v>42.2453</v>
      </c>
      <c r="H1033" s="10">
        <f>CHOOSE(CONTROL!$C$42, 42.2961, 42.2961) * CHOOSE(CONTROL!$C$21, $C$9, 100%, $E$9)</f>
        <v>42.296100000000003</v>
      </c>
      <c r="I1033" s="10">
        <f>CHOOSE(CONTROL!$C$42, 42.2382, 42.2382)* CHOOSE(CONTROL!$C$21, $C$9, 100%, $E$9)</f>
        <v>42.238199999999999</v>
      </c>
      <c r="J1033" s="10">
        <f>CHOOSE(CONTROL!$C$42, 42.2197, 42.2197)* CHOOSE(CONTROL!$C$21, $C$9, 100%, $E$9)</f>
        <v>42.219700000000003</v>
      </c>
      <c r="K1033" s="10">
        <f>CHOOSE(CONTROL!$C$42, 41.1936, 41.1936) * CHOOSE(CONTROL!$C$21, $C$9, 100%, $E$9)</f>
        <v>41.193600000000004</v>
      </c>
      <c r="L1033" s="10">
        <f>CHOOSE(CONTROL!$C$42, 42.8831, 42.8831) * CHOOSE(CONTROL!$C$21, $C$9, 100%, $E$9)</f>
        <v>42.883099999999999</v>
      </c>
      <c r="M1033" s="10">
        <f>CHOOSE(CONTROL!$C$42, 41.8074, 41.8074) * CHOOSE(CONTROL!$C$21, $C$9, 100%, $E$9)</f>
        <v>41.807400000000001</v>
      </c>
      <c r="N1033" s="10">
        <f>CHOOSE(CONTROL!$C$42, 41.8259, 41.8259) * CHOOSE(CONTROL!$C$21, $C$9, 100%, $E$9)</f>
        <v>41.825899999999997</v>
      </c>
      <c r="O1033" s="10">
        <f>CHOOSE(CONTROL!$C$42, 41.8831, 41.8831) * CHOOSE(CONTROL!$C$21, $C$9, 100%, $E$9)</f>
        <v>41.883099999999999</v>
      </c>
      <c r="P1033" s="10">
        <f>CHOOSE(CONTROL!$C$42, 41.8258, 41.8258) * CHOOSE(CONTROL!$C$21, $C$9, 100%, $E$9)</f>
        <v>41.825800000000001</v>
      </c>
      <c r="Q1033" s="10">
        <f>CHOOSE(CONTROL!$C$42, 42.4784, 42.4784) * CHOOSE(CONTROL!$C$21, $C$9, 100%, $E$9)</f>
        <v>42.478400000000001</v>
      </c>
      <c r="R1033" s="10">
        <f>CHOOSE(CONTROL!$C$42, 43.1716, 43.1716) * CHOOSE(CONTROL!$C$21, $C$9, 100%, $E$9)</f>
        <v>43.171599999999998</v>
      </c>
      <c r="S1033" s="10">
        <f>CHOOSE(CONTROL!$C$42, 41.0207, 41.0207) * CHOOSE(CONTROL!$C$21, $C$9, 100%, $E$9)</f>
        <v>41.020699999999998</v>
      </c>
      <c r="T10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38">
        <f>(1000*CHOOSE(CONTROL!$C$42, 695, 695)*CHOOSE(CONTROL!$C$42, 0.5599, 0.5599)*CHOOSE(CONTROL!$C$42, 31, 31))/1000000</f>
        <v>12.063045499999998</v>
      </c>
      <c r="V1033" s="38">
        <f>(1000*CHOOSE(CONTROL!$C$42, 500, 500)*CHOOSE(CONTROL!$C$42, 0.275, 0.275)*CHOOSE(CONTROL!$C$42, 31, 31))/1000000</f>
        <v>4.2625000000000002</v>
      </c>
      <c r="W1033" s="38">
        <f>(1000*CHOOSE(CONTROL!$C$42, 0.1146, 0.1146)*CHOOSE(CONTROL!$C$42, 121.5, 121.5)*CHOOSE(CONTROL!$C$42, 31, 31))/1000000</f>
        <v>0.43164089999999994</v>
      </c>
      <c r="X1033" s="38">
        <f>(31*0.1790888*100000/1000000)+(31*0.2374*100000/1000000)</f>
        <v>1.2911152800000001</v>
      </c>
      <c r="Y1033" s="38">
        <f>(1000*600*CHOOSE(CONTROL!$C$42, 1.0585, 1.0585)*CHOOSE(CONTROL!$C$42, 31, 31))/1000000</f>
        <v>19.688099999999999</v>
      </c>
      <c r="Z1033" s="38"/>
      <c r="AA1033" s="10"/>
      <c r="AB1033" s="39"/>
      <c r="AC1033" s="33">
        <f>(B1033*122.58+C1033*297.941+D1033*89.177+E1033*40.302+F1033*40+G1033*160+H1033*0+I1033*100+J1033*300)/(122.58+297.941+89.177+40.302+0+40+160+100+300)</f>
        <v>42.242382256695656</v>
      </c>
      <c r="AD1033" s="27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41.845422302158276</v>
      </c>
    </row>
    <row r="1034" spans="1:30" ht="15.75" x14ac:dyDescent="0.25">
      <c r="A1034" s="13">
        <v>72744</v>
      </c>
      <c r="B1034" s="10">
        <f>CHOOSE(CONTROL!$C$42, 42.9957, 42.9957) * CHOOSE(CONTROL!$C$21, $C$9, 100%, $E$9)</f>
        <v>42.995699999999999</v>
      </c>
      <c r="C1034" s="10">
        <f>CHOOSE(CONTROL!$C$42, 43.0006, 43.0006) * CHOOSE(CONTROL!$C$21, $C$9, 100%, $E$9)</f>
        <v>43.000599999999999</v>
      </c>
      <c r="D1034" s="10">
        <f>CHOOSE(CONTROL!$C$42, 43.0251, 43.0251) * CHOOSE(CONTROL!$C$21, $C$9, 100%, $E$9)</f>
        <v>43.025100000000002</v>
      </c>
      <c r="E1034" s="10">
        <f>CHOOSE(CONTROL!$C$42, 43.0589, 43.0589) * CHOOSE(CONTROL!$C$21, $C$9, 100%, $E$9)</f>
        <v>43.058900000000001</v>
      </c>
      <c r="F1034" s="10">
        <f>CHOOSE(CONTROL!$C$42, 42.9779, 42.9779)*CHOOSE(CONTROL!$C$21, $C$9, 100%, $E$9)</f>
        <v>42.977899999999998</v>
      </c>
      <c r="G1034" s="10">
        <f>CHOOSE(CONTROL!$C$42, 42.9964, 42.9964)*CHOOSE(CONTROL!$C$21, $C$9, 100%, $E$9)</f>
        <v>42.996400000000001</v>
      </c>
      <c r="H1034" s="10">
        <f>CHOOSE(CONTROL!$C$42, 43.0481, 43.0481) * CHOOSE(CONTROL!$C$21, $C$9, 100%, $E$9)</f>
        <v>43.048099999999998</v>
      </c>
      <c r="I1034" s="10">
        <f>CHOOSE(CONTROL!$C$42, 42.9902, 42.9902)* CHOOSE(CONTROL!$C$21, $C$9, 100%, $E$9)</f>
        <v>42.990200000000002</v>
      </c>
      <c r="J1034" s="10">
        <f>CHOOSE(CONTROL!$C$42, 42.9709, 42.9709)* CHOOSE(CONTROL!$C$21, $C$9, 100%, $E$9)</f>
        <v>42.9709</v>
      </c>
      <c r="K1034" s="10">
        <f>CHOOSE(CONTROL!$C$42, 41.9227, 41.9227) * CHOOSE(CONTROL!$C$21, $C$9, 100%, $E$9)</f>
        <v>41.922699999999999</v>
      </c>
      <c r="L1034" s="10">
        <f>CHOOSE(CONTROL!$C$42, 43.6351, 43.6351) * CHOOSE(CONTROL!$C$21, $C$9, 100%, $E$9)</f>
        <v>43.635100000000001</v>
      </c>
      <c r="M1034" s="10">
        <f>CHOOSE(CONTROL!$C$42, 42.5511, 42.5511) * CHOOSE(CONTROL!$C$21, $C$9, 100%, $E$9)</f>
        <v>42.551099999999998</v>
      </c>
      <c r="N1034" s="10">
        <f>CHOOSE(CONTROL!$C$42, 42.5694, 42.5694) * CHOOSE(CONTROL!$C$21, $C$9, 100%, $E$9)</f>
        <v>42.569400000000002</v>
      </c>
      <c r="O1034" s="10">
        <f>CHOOSE(CONTROL!$C$42, 42.6275, 42.6275) * CHOOSE(CONTROL!$C$21, $C$9, 100%, $E$9)</f>
        <v>42.627499999999998</v>
      </c>
      <c r="P1034" s="10">
        <f>CHOOSE(CONTROL!$C$42, 42.5702, 42.5702) * CHOOSE(CONTROL!$C$21, $C$9, 100%, $E$9)</f>
        <v>42.5702</v>
      </c>
      <c r="Q1034" s="10">
        <f>CHOOSE(CONTROL!$C$42, 43.2228, 43.2228) * CHOOSE(CONTROL!$C$21, $C$9, 100%, $E$9)</f>
        <v>43.222799999999999</v>
      </c>
      <c r="R1034" s="10">
        <f>CHOOSE(CONTROL!$C$42, 43.9178, 43.9178) * CHOOSE(CONTROL!$C$21, $C$9, 100%, $E$9)</f>
        <v>43.9178</v>
      </c>
      <c r="S1034" s="10">
        <f>CHOOSE(CONTROL!$C$42, 41.751, 41.751) * CHOOSE(CONTROL!$C$21, $C$9, 100%, $E$9)</f>
        <v>41.750999999999998</v>
      </c>
      <c r="T10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38">
        <f>(1000*CHOOSE(CONTROL!$C$42, 695, 695)*CHOOSE(CONTROL!$C$42, 0.5599, 0.5599)*CHOOSE(CONTROL!$C$42, 28, 28))/1000000</f>
        <v>10.895653999999999</v>
      </c>
      <c r="V1034" s="38">
        <f>(1000*CHOOSE(CONTROL!$C$42, 500, 500)*CHOOSE(CONTROL!$C$42, 0.275, 0.275)*CHOOSE(CONTROL!$C$42, 28, 28))/1000000</f>
        <v>3.85</v>
      </c>
      <c r="W1034" s="38">
        <f>(1000*CHOOSE(CONTROL!$C$42, 0.1146, 0.1146)*CHOOSE(CONTROL!$C$42, 121.5, 121.5)*CHOOSE(CONTROL!$C$42, 28, 28))/1000000</f>
        <v>0.38986920000000003</v>
      </c>
      <c r="X1034" s="38">
        <f>(28*0.1790888*100000/1000000)+(28*0.2374*100000/1000000)</f>
        <v>1.16616864</v>
      </c>
      <c r="Y1034" s="38">
        <f>(1000*600*CHOOSE(CONTROL!$C$42, 1.0585, 1.0585)*CHOOSE(CONTROL!$C$42, 28, 28))/1000000</f>
        <v>17.782800000000002</v>
      </c>
      <c r="Z1034" s="38"/>
      <c r="AA1034" s="10"/>
      <c r="AB1034" s="39"/>
      <c r="AC1034" s="33">
        <f>(B1034*122.58+C1034*297.941+D1034*89.177+E1034*40.302+F1034*40+G1034*160+H1034*0+I1034*100+J1034*300)/(122.58+297.941+89.177+40.302+0+40+160+100+300)</f>
        <v>42.993994609652169</v>
      </c>
      <c r="AD1034" s="27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42.589528776978419</v>
      </c>
    </row>
    <row r="1035" spans="1:30" ht="15.75" x14ac:dyDescent="0.25">
      <c r="A1035" s="13">
        <v>72775</v>
      </c>
      <c r="B1035" s="10">
        <f>CHOOSE(CONTROL!$C$42, 41.7751, 41.7751) * CHOOSE(CONTROL!$C$21, $C$9, 100%, $E$9)</f>
        <v>41.775100000000002</v>
      </c>
      <c r="C1035" s="10">
        <f>CHOOSE(CONTROL!$C$42, 41.78, 41.78) * CHOOSE(CONTROL!$C$21, $C$9, 100%, $E$9)</f>
        <v>41.78</v>
      </c>
      <c r="D1035" s="10">
        <f>CHOOSE(CONTROL!$C$42, 41.8045, 41.8045) * CHOOSE(CONTROL!$C$21, $C$9, 100%, $E$9)</f>
        <v>41.804499999999997</v>
      </c>
      <c r="E1035" s="10">
        <f>CHOOSE(CONTROL!$C$42, 41.8383, 41.8383) * CHOOSE(CONTROL!$C$21, $C$9, 100%, $E$9)</f>
        <v>41.838299999999997</v>
      </c>
      <c r="F1035" s="10">
        <f>CHOOSE(CONTROL!$C$42, 41.7558, 41.7558)*CHOOSE(CONTROL!$C$21, $C$9, 100%, $E$9)</f>
        <v>41.755800000000001</v>
      </c>
      <c r="G1035" s="10">
        <f>CHOOSE(CONTROL!$C$42, 41.7739, 41.7739)*CHOOSE(CONTROL!$C$21, $C$9, 100%, $E$9)</f>
        <v>41.773899999999998</v>
      </c>
      <c r="H1035" s="10">
        <f>CHOOSE(CONTROL!$C$42, 41.8275, 41.8275) * CHOOSE(CONTROL!$C$21, $C$9, 100%, $E$9)</f>
        <v>41.827500000000001</v>
      </c>
      <c r="I1035" s="10">
        <f>CHOOSE(CONTROL!$C$42, 41.7696, 41.7696)* CHOOSE(CONTROL!$C$21, $C$9, 100%, $E$9)</f>
        <v>41.769599999999997</v>
      </c>
      <c r="J1035" s="10">
        <f>CHOOSE(CONTROL!$C$42, 41.7488, 41.7488)* CHOOSE(CONTROL!$C$21, $C$9, 100%, $E$9)</f>
        <v>41.748800000000003</v>
      </c>
      <c r="K1035" s="10">
        <f>CHOOSE(CONTROL!$C$42, 40.7334, 40.7334) * CHOOSE(CONTROL!$C$21, $C$9, 100%, $E$9)</f>
        <v>40.733400000000003</v>
      </c>
      <c r="L1035" s="10">
        <f>CHOOSE(CONTROL!$C$42, 42.4145, 42.4145) * CHOOSE(CONTROL!$C$21, $C$9, 100%, $E$9)</f>
        <v>42.414499999999997</v>
      </c>
      <c r="M1035" s="10">
        <f>CHOOSE(CONTROL!$C$42, 41.3413, 41.3413) * CHOOSE(CONTROL!$C$21, $C$9, 100%, $E$9)</f>
        <v>41.341299999999997</v>
      </c>
      <c r="N1035" s="10">
        <f>CHOOSE(CONTROL!$C$42, 41.3592, 41.3592) * CHOOSE(CONTROL!$C$21, $C$9, 100%, $E$9)</f>
        <v>41.359200000000001</v>
      </c>
      <c r="O1035" s="10">
        <f>CHOOSE(CONTROL!$C$42, 41.4192, 41.4192) * CHOOSE(CONTROL!$C$21, $C$9, 100%, $E$9)</f>
        <v>41.419199999999996</v>
      </c>
      <c r="P1035" s="10">
        <f>CHOOSE(CONTROL!$C$42, 41.3619, 41.3619) * CHOOSE(CONTROL!$C$21, $C$9, 100%, $E$9)</f>
        <v>41.361899999999999</v>
      </c>
      <c r="Q1035" s="10">
        <f>CHOOSE(CONTROL!$C$42, 42.0145, 42.0145) * CHOOSE(CONTROL!$C$21, $C$9, 100%, $E$9)</f>
        <v>42.014499999999998</v>
      </c>
      <c r="R1035" s="10">
        <f>CHOOSE(CONTROL!$C$42, 42.7065, 42.7065) * CHOOSE(CONTROL!$C$21, $C$9, 100%, $E$9)</f>
        <v>42.706499999999998</v>
      </c>
      <c r="S1035" s="10">
        <f>CHOOSE(CONTROL!$C$42, 40.5656, 40.5656) * CHOOSE(CONTROL!$C$21, $C$9, 100%, $E$9)</f>
        <v>40.565600000000003</v>
      </c>
      <c r="T10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38">
        <f>(1000*CHOOSE(CONTROL!$C$42, 695, 695)*CHOOSE(CONTROL!$C$42, 0.5599, 0.5599)*CHOOSE(CONTROL!$C$42, 31, 31))/1000000</f>
        <v>12.063045499999998</v>
      </c>
      <c r="V1035" s="38">
        <f>(1000*CHOOSE(CONTROL!$C$42, 500, 500)*CHOOSE(CONTROL!$C$42, 0.275, 0.275)*CHOOSE(CONTROL!$C$42, 31, 31))/1000000</f>
        <v>4.2625000000000002</v>
      </c>
      <c r="W1035" s="38">
        <f>(1000*CHOOSE(CONTROL!$C$42, 0.1146, 0.1146)*CHOOSE(CONTROL!$C$42, 121.5, 121.5)*CHOOSE(CONTROL!$C$42, 31, 31))/1000000</f>
        <v>0.43164089999999994</v>
      </c>
      <c r="X1035" s="38">
        <f>(31*0.1790888*100000/1000000)+(31*0.2374*100000/1000000)</f>
        <v>1.2911152800000001</v>
      </c>
      <c r="Y1035" s="38">
        <f>(1000*600*CHOOSE(CONTROL!$C$42, 1.0585, 1.0585)*CHOOSE(CONTROL!$C$42, 31, 31))/1000000</f>
        <v>19.688099999999999</v>
      </c>
      <c r="Z1035" s="38"/>
      <c r="AA1035" s="10"/>
      <c r="AB1035" s="39"/>
      <c r="AC1035" s="33">
        <f>(B1035*122.58+C1035*297.941+D1035*89.177+E1035*40.302+F1035*40+G1035*160+H1035*0+I1035*100+J1035*300)/(122.58+297.941+89.177+40.302+0+40+160+100+300)</f>
        <v>41.77268678356522</v>
      </c>
      <c r="AD1035" s="27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41.380601438848913</v>
      </c>
    </row>
    <row r="1036" spans="1:30" ht="15.75" x14ac:dyDescent="0.25">
      <c r="A1036" s="13">
        <v>72805</v>
      </c>
      <c r="B1036" s="10">
        <f>CHOOSE(CONTROL!$C$42, 41.6508, 41.6508) * CHOOSE(CONTROL!$C$21, $C$9, 100%, $E$9)</f>
        <v>41.650799999999997</v>
      </c>
      <c r="C1036" s="10">
        <f>CHOOSE(CONTROL!$C$42, 41.6552, 41.6552) * CHOOSE(CONTROL!$C$21, $C$9, 100%, $E$9)</f>
        <v>41.655200000000001</v>
      </c>
      <c r="D1036" s="10">
        <f>CHOOSE(CONTROL!$C$42, 41.8353, 41.8353) * CHOOSE(CONTROL!$C$21, $C$9, 100%, $E$9)</f>
        <v>41.835299999999997</v>
      </c>
      <c r="E1036" s="10">
        <f>CHOOSE(CONTROL!$C$42, 41.8671, 41.8671) * CHOOSE(CONTROL!$C$21, $C$9, 100%, $E$9)</f>
        <v>41.867100000000001</v>
      </c>
      <c r="F1036" s="10">
        <f>CHOOSE(CONTROL!$C$42, 41.6161, 41.6161)*CHOOSE(CONTROL!$C$21, $C$9, 100%, $E$9)</f>
        <v>41.616100000000003</v>
      </c>
      <c r="G1036" s="10">
        <f>CHOOSE(CONTROL!$C$42, 41.6324, 41.6324)*CHOOSE(CONTROL!$C$21, $C$9, 100%, $E$9)</f>
        <v>41.632399999999997</v>
      </c>
      <c r="H1036" s="10">
        <f>CHOOSE(CONTROL!$C$42, 41.8569, 41.8569) * CHOOSE(CONTROL!$C$21, $C$9, 100%, $E$9)</f>
        <v>41.856900000000003</v>
      </c>
      <c r="I1036" s="10">
        <f>CHOOSE(CONTROL!$C$42, 41.6368, 41.6368)* CHOOSE(CONTROL!$C$21, $C$9, 100%, $E$9)</f>
        <v>41.636800000000001</v>
      </c>
      <c r="J1036" s="10">
        <f>CHOOSE(CONTROL!$C$42, 41.6091, 41.6091)* CHOOSE(CONTROL!$C$21, $C$9, 100%, $E$9)</f>
        <v>41.609099999999998</v>
      </c>
      <c r="K1036" s="10">
        <f>CHOOSE(CONTROL!$C$42, 40.5894, 40.5894) * CHOOSE(CONTROL!$C$21, $C$9, 100%, $E$9)</f>
        <v>40.589399999999998</v>
      </c>
      <c r="L1036" s="10">
        <f>CHOOSE(CONTROL!$C$42, 42.4439, 42.4439) * CHOOSE(CONTROL!$C$21, $C$9, 100%, $E$9)</f>
        <v>42.443899999999999</v>
      </c>
      <c r="M1036" s="10">
        <f>CHOOSE(CONTROL!$C$42, 41.203, 41.203) * CHOOSE(CONTROL!$C$21, $C$9, 100%, $E$9)</f>
        <v>41.203000000000003</v>
      </c>
      <c r="N1036" s="10">
        <f>CHOOSE(CONTROL!$C$42, 41.2191, 41.2191) * CHOOSE(CONTROL!$C$21, $C$9, 100%, $E$9)</f>
        <v>41.219099999999997</v>
      </c>
      <c r="O1036" s="10">
        <f>CHOOSE(CONTROL!$C$42, 41.4483, 41.4483) * CHOOSE(CONTROL!$C$21, $C$9, 100%, $E$9)</f>
        <v>41.448300000000003</v>
      </c>
      <c r="P1036" s="10">
        <f>CHOOSE(CONTROL!$C$42, 41.2305, 41.2305) * CHOOSE(CONTROL!$C$21, $C$9, 100%, $E$9)</f>
        <v>41.230499999999999</v>
      </c>
      <c r="Q1036" s="10">
        <f>CHOOSE(CONTROL!$C$42, 42.0436, 42.0436) * CHOOSE(CONTROL!$C$21, $C$9, 100%, $E$9)</f>
        <v>42.043599999999998</v>
      </c>
      <c r="R1036" s="10">
        <f>CHOOSE(CONTROL!$C$42, 42.7357, 42.7357) * CHOOSE(CONTROL!$C$21, $C$9, 100%, $E$9)</f>
        <v>42.735700000000001</v>
      </c>
      <c r="S1036" s="10">
        <f>CHOOSE(CONTROL!$C$42, 40.4442, 40.4442) * CHOOSE(CONTROL!$C$21, $C$9, 100%, $E$9)</f>
        <v>40.444200000000002</v>
      </c>
      <c r="T10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38">
        <f>(1000*CHOOSE(CONTROL!$C$42, 695, 695)*CHOOSE(CONTROL!$C$42, 0.5599, 0.5599)*CHOOSE(CONTROL!$C$42, 30, 30))/1000000</f>
        <v>11.673914999999997</v>
      </c>
      <c r="V1036" s="38">
        <f>(1000*CHOOSE(CONTROL!$C$42, 500, 500)*CHOOSE(CONTROL!$C$42, 0.275, 0.275)*CHOOSE(CONTROL!$C$42, 30, 30))/1000000</f>
        <v>4.125</v>
      </c>
      <c r="W1036" s="38">
        <f>(1000*CHOOSE(CONTROL!$C$42, 0.1146, 0.1146)*CHOOSE(CONTROL!$C$42, 121.5, 121.5)*CHOOSE(CONTROL!$C$42, 30, 30))/1000000</f>
        <v>0.417717</v>
      </c>
      <c r="X1036" s="38">
        <f>(30*0.1790888*245000/1000000)+(30*0.2374*100000/1000000)</f>
        <v>2.0285026799999999</v>
      </c>
      <c r="Y1036" s="38">
        <f>(1000*600*CHOOSE(CONTROL!$C$42, 1.0585, 1.0585)*CHOOSE(CONTROL!$C$42, 30, 30))/1000000</f>
        <v>19.053000000000001</v>
      </c>
      <c r="Z1036" s="38"/>
      <c r="AA1036" s="10"/>
      <c r="AB1036" s="39"/>
      <c r="AC1036" s="33">
        <f>(B1036*141.293+C1036*267.993+D1036*115.016+E1036*89.698+F1036*40+G1036*185+H1036*0+I1036*100+J1036*300)/(141.293+267.993+115.016+89.698+0+40+185+100+300)</f>
        <v>41.669443501694914</v>
      </c>
      <c r="AD1036" s="27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41.319062589928059</v>
      </c>
    </row>
    <row r="1037" spans="1:30" ht="15.75" x14ac:dyDescent="0.25">
      <c r="A1037" s="13">
        <v>72836</v>
      </c>
      <c r="B1037" s="10">
        <f>CHOOSE(CONTROL!$C$42, 42.0202, 42.0202) * CHOOSE(CONTROL!$C$21, $C$9, 100%, $E$9)</f>
        <v>42.020200000000003</v>
      </c>
      <c r="C1037" s="10">
        <f>CHOOSE(CONTROL!$C$42, 42.0281, 42.0281) * CHOOSE(CONTROL!$C$21, $C$9, 100%, $E$9)</f>
        <v>42.028100000000002</v>
      </c>
      <c r="D1037" s="10">
        <f>CHOOSE(CONTROL!$C$42, 42.2051, 42.2051) * CHOOSE(CONTROL!$C$21, $C$9, 100%, $E$9)</f>
        <v>42.205100000000002</v>
      </c>
      <c r="E1037" s="10">
        <f>CHOOSE(CONTROL!$C$42, 42.2362, 42.2362) * CHOOSE(CONTROL!$C$21, $C$9, 100%, $E$9)</f>
        <v>42.236199999999997</v>
      </c>
      <c r="F1037" s="10">
        <f>CHOOSE(CONTROL!$C$42, 41.9835, 41.9835)*CHOOSE(CONTROL!$C$21, $C$9, 100%, $E$9)</f>
        <v>41.983499999999999</v>
      </c>
      <c r="G1037" s="10">
        <f>CHOOSE(CONTROL!$C$42, 42, 42)*CHOOSE(CONTROL!$C$21, $C$9, 100%, $E$9)</f>
        <v>42</v>
      </c>
      <c r="H1037" s="10">
        <f>CHOOSE(CONTROL!$C$42, 42.2248, 42.2248) * CHOOSE(CONTROL!$C$21, $C$9, 100%, $E$9)</f>
        <v>42.224800000000002</v>
      </c>
      <c r="I1037" s="10">
        <f>CHOOSE(CONTROL!$C$42, 42.0047, 42.0047)* CHOOSE(CONTROL!$C$21, $C$9, 100%, $E$9)</f>
        <v>42.0047</v>
      </c>
      <c r="J1037" s="10">
        <f>CHOOSE(CONTROL!$C$42, 41.9765, 41.9765)* CHOOSE(CONTROL!$C$21, $C$9, 100%, $E$9)</f>
        <v>41.976500000000001</v>
      </c>
      <c r="K1037" s="10">
        <f>CHOOSE(CONTROL!$C$42, 40.9457, 40.9457) * CHOOSE(CONTROL!$C$21, $C$9, 100%, $E$9)</f>
        <v>40.945700000000002</v>
      </c>
      <c r="L1037" s="10">
        <f>CHOOSE(CONTROL!$C$42, 42.8118, 42.8118) * CHOOSE(CONTROL!$C$21, $C$9, 100%, $E$9)</f>
        <v>42.811799999999998</v>
      </c>
      <c r="M1037" s="10">
        <f>CHOOSE(CONTROL!$C$42, 41.5667, 41.5667) * CHOOSE(CONTROL!$C$21, $C$9, 100%, $E$9)</f>
        <v>41.566699999999997</v>
      </c>
      <c r="N1037" s="10">
        <f>CHOOSE(CONTROL!$C$42, 41.5831, 41.5831) * CHOOSE(CONTROL!$C$21, $C$9, 100%, $E$9)</f>
        <v>41.583100000000002</v>
      </c>
      <c r="O1037" s="10">
        <f>CHOOSE(CONTROL!$C$42, 41.8125, 41.8125) * CHOOSE(CONTROL!$C$21, $C$9, 100%, $E$9)</f>
        <v>41.8125</v>
      </c>
      <c r="P1037" s="10">
        <f>CHOOSE(CONTROL!$C$42, 41.5947, 41.5947) * CHOOSE(CONTROL!$C$21, $C$9, 100%, $E$9)</f>
        <v>41.594700000000003</v>
      </c>
      <c r="Q1037" s="10">
        <f>CHOOSE(CONTROL!$C$42, 42.4078, 42.4078) * CHOOSE(CONTROL!$C$21, $C$9, 100%, $E$9)</f>
        <v>42.407800000000002</v>
      </c>
      <c r="R1037" s="10">
        <f>CHOOSE(CONTROL!$C$42, 43.1009, 43.1009) * CHOOSE(CONTROL!$C$21, $C$9, 100%, $E$9)</f>
        <v>43.100900000000003</v>
      </c>
      <c r="S1037" s="10">
        <f>CHOOSE(CONTROL!$C$42, 40.8015, 40.8015) * CHOOSE(CONTROL!$C$21, $C$9, 100%, $E$9)</f>
        <v>40.801499999999997</v>
      </c>
      <c r="T10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38">
        <f>(1000*CHOOSE(CONTROL!$C$42, 695, 695)*CHOOSE(CONTROL!$C$42, 0.5599, 0.5599)*CHOOSE(CONTROL!$C$42, 31, 31))/1000000</f>
        <v>12.063045499999998</v>
      </c>
      <c r="V1037" s="38">
        <f>(1000*CHOOSE(CONTROL!$C$42, 500, 500)*CHOOSE(CONTROL!$C$42, 0.275, 0.275)*CHOOSE(CONTROL!$C$42, 31, 31))/1000000</f>
        <v>4.2625000000000002</v>
      </c>
      <c r="W1037" s="38">
        <f>(1000*CHOOSE(CONTROL!$C$42, 0.1146, 0.1146)*CHOOSE(CONTROL!$C$42, 121.5, 121.5)*CHOOSE(CONTROL!$C$42, 31, 31))/1000000</f>
        <v>0.43164089999999994</v>
      </c>
      <c r="X1037" s="38">
        <f>(31*0.1790888*245000/1000000)+(31*0.2374*100000/1000000)</f>
        <v>2.0961194359999999</v>
      </c>
      <c r="Y1037" s="38">
        <f>(1000*600*CHOOSE(CONTROL!$C$42, 1.0585, 1.0585)*CHOOSE(CONTROL!$C$42, 31, 31))/1000000</f>
        <v>19.688099999999999</v>
      </c>
      <c r="Z1037" s="38"/>
      <c r="AA1037" s="10"/>
      <c r="AB1037" s="39"/>
      <c r="AC1037" s="33">
        <f>(B1037*194.205+C1037*267.466+D1037*133.845+E1037*53.484+F1037*40+G1037*185+H1037*0+I1037*100+J1037*300)/(194.205+267.466+133.845+53.484+0+40+185+100+300)</f>
        <v>42.034759235400315</v>
      </c>
      <c r="AD1037" s="27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41.683078417266195</v>
      </c>
    </row>
    <row r="1038" spans="1:30" ht="15.75" x14ac:dyDescent="0.25">
      <c r="A1038" s="13">
        <v>72866</v>
      </c>
      <c r="B1038" s="10">
        <f>CHOOSE(CONTROL!$C$42, 43.212, 43.212) * CHOOSE(CONTROL!$C$21, $C$9, 100%, $E$9)</f>
        <v>43.212000000000003</v>
      </c>
      <c r="C1038" s="10">
        <f>CHOOSE(CONTROL!$C$42, 43.2199, 43.2199) * CHOOSE(CONTROL!$C$21, $C$9, 100%, $E$9)</f>
        <v>43.219900000000003</v>
      </c>
      <c r="D1038" s="10">
        <f>CHOOSE(CONTROL!$C$42, 43.3969, 43.3969) * CHOOSE(CONTROL!$C$21, $C$9, 100%, $E$9)</f>
        <v>43.396900000000002</v>
      </c>
      <c r="E1038" s="10">
        <f>CHOOSE(CONTROL!$C$42, 43.428, 43.428) * CHOOSE(CONTROL!$C$21, $C$9, 100%, $E$9)</f>
        <v>43.427999999999997</v>
      </c>
      <c r="F1038" s="10">
        <f>CHOOSE(CONTROL!$C$42, 43.1755, 43.1755)*CHOOSE(CONTROL!$C$21, $C$9, 100%, $E$9)</f>
        <v>43.1755</v>
      </c>
      <c r="G1038" s="10">
        <f>CHOOSE(CONTROL!$C$42, 43.192, 43.192)*CHOOSE(CONTROL!$C$21, $C$9, 100%, $E$9)</f>
        <v>43.192</v>
      </c>
      <c r="H1038" s="10">
        <f>CHOOSE(CONTROL!$C$42, 43.4166, 43.4166) * CHOOSE(CONTROL!$C$21, $C$9, 100%, $E$9)</f>
        <v>43.416600000000003</v>
      </c>
      <c r="I1038" s="10">
        <f>CHOOSE(CONTROL!$C$42, 43.1966, 43.1966)* CHOOSE(CONTROL!$C$21, $C$9, 100%, $E$9)</f>
        <v>43.196599999999997</v>
      </c>
      <c r="J1038" s="10">
        <f>CHOOSE(CONTROL!$C$42, 43.1685, 43.1685)* CHOOSE(CONTROL!$C$21, $C$9, 100%, $E$9)</f>
        <v>43.168500000000002</v>
      </c>
      <c r="K1038" s="10">
        <f>CHOOSE(CONTROL!$C$42, 42.104, 42.104) * CHOOSE(CONTROL!$C$21, $C$9, 100%, $E$9)</f>
        <v>42.103999999999999</v>
      </c>
      <c r="L1038" s="10">
        <f>CHOOSE(CONTROL!$C$42, 44.0036, 44.0036) * CHOOSE(CONTROL!$C$21, $C$9, 100%, $E$9)</f>
        <v>44.003599999999999</v>
      </c>
      <c r="M1038" s="10">
        <f>CHOOSE(CONTROL!$C$42, 42.7467, 42.7467) * CHOOSE(CONTROL!$C$21, $C$9, 100%, $E$9)</f>
        <v>42.746699999999997</v>
      </c>
      <c r="N1038" s="10">
        <f>CHOOSE(CONTROL!$C$42, 42.7631, 42.7631) * CHOOSE(CONTROL!$C$21, $C$9, 100%, $E$9)</f>
        <v>42.763100000000001</v>
      </c>
      <c r="O1038" s="10">
        <f>CHOOSE(CONTROL!$C$42, 42.9923, 42.9923) * CHOOSE(CONTROL!$C$21, $C$9, 100%, $E$9)</f>
        <v>42.9923</v>
      </c>
      <c r="P1038" s="10">
        <f>CHOOSE(CONTROL!$C$42, 42.7745, 42.7745) * CHOOSE(CONTROL!$C$21, $C$9, 100%, $E$9)</f>
        <v>42.774500000000003</v>
      </c>
      <c r="Q1038" s="10">
        <f>CHOOSE(CONTROL!$C$42, 43.5876, 43.5876) * CHOOSE(CONTROL!$C$21, $C$9, 100%, $E$9)</f>
        <v>43.587600000000002</v>
      </c>
      <c r="R1038" s="10">
        <f>CHOOSE(CONTROL!$C$42, 44.2836, 44.2836) * CHOOSE(CONTROL!$C$21, $C$9, 100%, $E$9)</f>
        <v>44.2836</v>
      </c>
      <c r="S1038" s="10">
        <f>CHOOSE(CONTROL!$C$42, 41.9589, 41.9589) * CHOOSE(CONTROL!$C$21, $C$9, 100%, $E$9)</f>
        <v>41.9589</v>
      </c>
      <c r="T10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38">
        <f>(1000*CHOOSE(CONTROL!$C$42, 695, 695)*CHOOSE(CONTROL!$C$42, 0.5599, 0.5599)*CHOOSE(CONTROL!$C$42, 30, 30))/1000000</f>
        <v>11.673914999999997</v>
      </c>
      <c r="V1038" s="38">
        <f>(1000*CHOOSE(CONTROL!$C$42, 500, 500)*CHOOSE(CONTROL!$C$42, 0.275, 0.275)*CHOOSE(CONTROL!$C$42, 30, 30))/1000000</f>
        <v>4.125</v>
      </c>
      <c r="W1038" s="38">
        <f>(1000*CHOOSE(CONTROL!$C$42, 0.1146, 0.1146)*CHOOSE(CONTROL!$C$42, 121.5, 121.5)*CHOOSE(CONTROL!$C$42, 30, 30))/1000000</f>
        <v>0.417717</v>
      </c>
      <c r="X1038" s="38">
        <f>(30*0.1790888*245000/1000000)+(30*0.2374*100000/1000000)</f>
        <v>2.0285026799999999</v>
      </c>
      <c r="Y1038" s="38">
        <f>(1000*600*CHOOSE(CONTROL!$C$42, 1.0585, 1.0585)*CHOOSE(CONTROL!$C$42, 30, 30))/1000000</f>
        <v>19.053000000000001</v>
      </c>
      <c r="Z1038" s="38"/>
      <c r="AA1038" s="10"/>
      <c r="AB1038" s="39"/>
      <c r="AC1038" s="33">
        <f>(B1038*194.205+C1038*267.466+D1038*133.845+E1038*53.484+F1038*40+G1038*185+H1038*0+I1038*100+J1038*300)/(194.205+267.466+133.845+53.484+0+40+185+100+300)</f>
        <v>43.22664950227631</v>
      </c>
      <c r="AD1038" s="27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42.862958992805751</v>
      </c>
    </row>
    <row r="1039" spans="1:30" ht="15.75" x14ac:dyDescent="0.25">
      <c r="A1039" s="13">
        <v>72897</v>
      </c>
      <c r="B1039" s="10">
        <f>CHOOSE(CONTROL!$C$42, 42.3831, 42.3831) * CHOOSE(CONTROL!$C$21, $C$9, 100%, $E$9)</f>
        <v>42.383099999999999</v>
      </c>
      <c r="C1039" s="10">
        <f>CHOOSE(CONTROL!$C$42, 42.391, 42.391) * CHOOSE(CONTROL!$C$21, $C$9, 100%, $E$9)</f>
        <v>42.390999999999998</v>
      </c>
      <c r="D1039" s="10">
        <f>CHOOSE(CONTROL!$C$42, 42.568, 42.568) * CHOOSE(CONTROL!$C$21, $C$9, 100%, $E$9)</f>
        <v>42.567999999999998</v>
      </c>
      <c r="E1039" s="10">
        <f>CHOOSE(CONTROL!$C$42, 42.5991, 42.5991) * CHOOSE(CONTROL!$C$21, $C$9, 100%, $E$9)</f>
        <v>42.5991</v>
      </c>
      <c r="F1039" s="10">
        <f>CHOOSE(CONTROL!$C$42, 42.3468, 42.3468)*CHOOSE(CONTROL!$C$21, $C$9, 100%, $E$9)</f>
        <v>42.346800000000002</v>
      </c>
      <c r="G1039" s="10">
        <f>CHOOSE(CONTROL!$C$42, 42.3634, 42.3634)*CHOOSE(CONTROL!$C$21, $C$9, 100%, $E$9)</f>
        <v>42.363399999999999</v>
      </c>
      <c r="H1039" s="10">
        <f>CHOOSE(CONTROL!$C$42, 42.5877, 42.5877) * CHOOSE(CONTROL!$C$21, $C$9, 100%, $E$9)</f>
        <v>42.587699999999998</v>
      </c>
      <c r="I1039" s="10">
        <f>CHOOSE(CONTROL!$C$42, 42.3676, 42.3676)* CHOOSE(CONTROL!$C$21, $C$9, 100%, $E$9)</f>
        <v>42.367600000000003</v>
      </c>
      <c r="J1039" s="10">
        <f>CHOOSE(CONTROL!$C$42, 42.3398, 42.3398)* CHOOSE(CONTROL!$C$21, $C$9, 100%, $E$9)</f>
        <v>42.339799999999997</v>
      </c>
      <c r="K1039" s="10">
        <f>CHOOSE(CONTROL!$C$42, 41.2992, 41.2992) * CHOOSE(CONTROL!$C$21, $C$9, 100%, $E$9)</f>
        <v>41.299199999999999</v>
      </c>
      <c r="L1039" s="10">
        <f>CHOOSE(CONTROL!$C$42, 43.1747, 43.1747) * CHOOSE(CONTROL!$C$21, $C$9, 100%, $E$9)</f>
        <v>43.174700000000001</v>
      </c>
      <c r="M1039" s="10">
        <f>CHOOSE(CONTROL!$C$42, 41.9264, 41.9264) * CHOOSE(CONTROL!$C$21, $C$9, 100%, $E$9)</f>
        <v>41.926400000000001</v>
      </c>
      <c r="N1039" s="10">
        <f>CHOOSE(CONTROL!$C$42, 41.9428, 41.9428) * CHOOSE(CONTROL!$C$21, $C$9, 100%, $E$9)</f>
        <v>41.942799999999998</v>
      </c>
      <c r="O1039" s="10">
        <f>CHOOSE(CONTROL!$C$42, 42.1718, 42.1718) * CHOOSE(CONTROL!$C$21, $C$9, 100%, $E$9)</f>
        <v>42.171799999999998</v>
      </c>
      <c r="P1039" s="10">
        <f>CHOOSE(CONTROL!$C$42, 41.954, 41.954) * CHOOSE(CONTROL!$C$21, $C$9, 100%, $E$9)</f>
        <v>41.954000000000001</v>
      </c>
      <c r="Q1039" s="10">
        <f>CHOOSE(CONTROL!$C$42, 42.7671, 42.7671) * CHOOSE(CONTROL!$C$21, $C$9, 100%, $E$9)</f>
        <v>42.767099999999999</v>
      </c>
      <c r="R1039" s="10">
        <f>CHOOSE(CONTROL!$C$42, 43.461, 43.461) * CHOOSE(CONTROL!$C$21, $C$9, 100%, $E$9)</f>
        <v>43.460999999999999</v>
      </c>
      <c r="S1039" s="10">
        <f>CHOOSE(CONTROL!$C$42, 41.1539, 41.1539) * CHOOSE(CONTROL!$C$21, $C$9, 100%, $E$9)</f>
        <v>41.1539</v>
      </c>
      <c r="T10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38">
        <f>(1000*CHOOSE(CONTROL!$C$42, 695, 695)*CHOOSE(CONTROL!$C$42, 0.5599, 0.5599)*CHOOSE(CONTROL!$C$42, 31, 31))/1000000</f>
        <v>12.063045499999998</v>
      </c>
      <c r="V1039" s="38">
        <f>(1000*CHOOSE(CONTROL!$C$42, 500, 500)*CHOOSE(CONTROL!$C$42, 0.275, 0.275)*CHOOSE(CONTROL!$C$42, 31, 31))/1000000</f>
        <v>4.2625000000000002</v>
      </c>
      <c r="W1039" s="38">
        <f>(1000*CHOOSE(CONTROL!$C$42, 0.1146, 0.1146)*CHOOSE(CONTROL!$C$42, 121.5, 121.5)*CHOOSE(CONTROL!$C$42, 31, 31))/1000000</f>
        <v>0.43164089999999994</v>
      </c>
      <c r="X1039" s="38">
        <f>(31*0.1790888*245000/1000000)+(31*0.2374*100000/1000000)</f>
        <v>2.0961194359999999</v>
      </c>
      <c r="Y1039" s="38">
        <f>(1000*600*CHOOSE(CONTROL!$C$42, 1.0585, 1.0585)*CHOOSE(CONTROL!$C$42, 31, 31))/1000000</f>
        <v>19.688099999999999</v>
      </c>
      <c r="Z1039" s="38"/>
      <c r="AA1039" s="10"/>
      <c r="AB1039" s="39"/>
      <c r="AC1039" s="33">
        <f>(B1039*194.205+C1039*267.466+D1039*133.845+E1039*53.484+F1039*40+G1039*185+H1039*0+I1039*100+J1039*300)/(194.205+267.466+133.845+53.484+0+40+185+100+300)</f>
        <v>42.397838591758237</v>
      </c>
      <c r="AD1039" s="27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42.042539568345319</v>
      </c>
    </row>
    <row r="1040" spans="1:30" ht="15.75" x14ac:dyDescent="0.25">
      <c r="A1040" s="13">
        <v>72928</v>
      </c>
      <c r="B1040" s="10">
        <f>CHOOSE(CONTROL!$C$42, 40.2898, 40.2898) * CHOOSE(CONTROL!$C$21, $C$9, 100%, $E$9)</f>
        <v>40.2898</v>
      </c>
      <c r="C1040" s="10">
        <f>CHOOSE(CONTROL!$C$42, 40.2977, 40.2977) * CHOOSE(CONTROL!$C$21, $C$9, 100%, $E$9)</f>
        <v>40.297699999999999</v>
      </c>
      <c r="D1040" s="10">
        <f>CHOOSE(CONTROL!$C$42, 40.4747, 40.4747) * CHOOSE(CONTROL!$C$21, $C$9, 100%, $E$9)</f>
        <v>40.474699999999999</v>
      </c>
      <c r="E1040" s="10">
        <f>CHOOSE(CONTROL!$C$42, 40.5058, 40.5058) * CHOOSE(CONTROL!$C$21, $C$9, 100%, $E$9)</f>
        <v>40.505800000000001</v>
      </c>
      <c r="F1040" s="10">
        <f>CHOOSE(CONTROL!$C$42, 40.2536, 40.2536)*CHOOSE(CONTROL!$C$21, $C$9, 100%, $E$9)</f>
        <v>40.253599999999999</v>
      </c>
      <c r="G1040" s="10">
        <f>CHOOSE(CONTROL!$C$42, 40.2703, 40.2703)*CHOOSE(CONTROL!$C$21, $C$9, 100%, $E$9)</f>
        <v>40.270299999999999</v>
      </c>
      <c r="H1040" s="10">
        <f>CHOOSE(CONTROL!$C$42, 40.4945, 40.4945) * CHOOSE(CONTROL!$C$21, $C$9, 100%, $E$9)</f>
        <v>40.494500000000002</v>
      </c>
      <c r="I1040" s="10">
        <f>CHOOSE(CONTROL!$C$42, 40.2744, 40.2744)* CHOOSE(CONTROL!$C$21, $C$9, 100%, $E$9)</f>
        <v>40.2744</v>
      </c>
      <c r="J1040" s="10">
        <f>CHOOSE(CONTROL!$C$42, 40.2466, 40.2466)* CHOOSE(CONTROL!$C$21, $C$9, 100%, $E$9)</f>
        <v>40.246600000000001</v>
      </c>
      <c r="K1040" s="10">
        <f>CHOOSE(CONTROL!$C$42, 39.2655, 39.2655) * CHOOSE(CONTROL!$C$21, $C$9, 100%, $E$9)</f>
        <v>39.265500000000003</v>
      </c>
      <c r="L1040" s="10">
        <f>CHOOSE(CONTROL!$C$42, 41.0815, 41.0815) * CHOOSE(CONTROL!$C$21, $C$9, 100%, $E$9)</f>
        <v>41.081499999999998</v>
      </c>
      <c r="M1040" s="10">
        <f>CHOOSE(CONTROL!$C$42, 39.8543, 39.8543) * CHOOSE(CONTROL!$C$21, $C$9, 100%, $E$9)</f>
        <v>39.854300000000002</v>
      </c>
      <c r="N1040" s="10">
        <f>CHOOSE(CONTROL!$C$42, 39.8708, 39.8708) * CHOOSE(CONTROL!$C$21, $C$9, 100%, $E$9)</f>
        <v>39.870800000000003</v>
      </c>
      <c r="O1040" s="10">
        <f>CHOOSE(CONTROL!$C$42, 40.0996, 40.0996) * CHOOSE(CONTROL!$C$21, $C$9, 100%, $E$9)</f>
        <v>40.099600000000002</v>
      </c>
      <c r="P1040" s="10">
        <f>CHOOSE(CONTROL!$C$42, 39.8818, 39.8818) * CHOOSE(CONTROL!$C$21, $C$9, 100%, $E$9)</f>
        <v>39.881799999999998</v>
      </c>
      <c r="Q1040" s="10">
        <f>CHOOSE(CONTROL!$C$42, 40.6949, 40.6949) * CHOOSE(CONTROL!$C$21, $C$9, 100%, $E$9)</f>
        <v>40.694899999999997</v>
      </c>
      <c r="R1040" s="10">
        <f>CHOOSE(CONTROL!$C$42, 41.3837, 41.3837) * CHOOSE(CONTROL!$C$21, $C$9, 100%, $E$9)</f>
        <v>41.383699999999997</v>
      </c>
      <c r="S1040" s="10">
        <f>CHOOSE(CONTROL!$C$42, 39.1212, 39.1212) * CHOOSE(CONTROL!$C$21, $C$9, 100%, $E$9)</f>
        <v>39.121200000000002</v>
      </c>
      <c r="T10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38">
        <f>(1000*CHOOSE(CONTROL!$C$42, 695, 695)*CHOOSE(CONTROL!$C$42, 0.5599, 0.5599)*CHOOSE(CONTROL!$C$42, 31, 31))/1000000</f>
        <v>12.063045499999998</v>
      </c>
      <c r="V1040" s="38">
        <f>(1000*CHOOSE(CONTROL!$C$42, 500, 500)*CHOOSE(CONTROL!$C$42, 0.275, 0.275)*CHOOSE(CONTROL!$C$42, 31, 31))/1000000</f>
        <v>4.2625000000000002</v>
      </c>
      <c r="W1040" s="38">
        <f>(1000*CHOOSE(CONTROL!$C$42, 0.1146, 0.1146)*CHOOSE(CONTROL!$C$42, 121.5, 121.5)*CHOOSE(CONTROL!$C$42, 31, 31))/1000000</f>
        <v>0.43164089999999994</v>
      </c>
      <c r="X1040" s="38">
        <f>(31*0.1790888*245000/1000000)+(31*0.2374*100000/1000000)</f>
        <v>2.0961194359999999</v>
      </c>
      <c r="Y1040" s="38">
        <f>(1000*600*CHOOSE(CONTROL!$C$42, 1.0585, 1.0585)*CHOOSE(CONTROL!$C$42, 31, 31))/1000000</f>
        <v>19.688099999999999</v>
      </c>
      <c r="Z1040" s="38"/>
      <c r="AA1040" s="10"/>
      <c r="AB1040" s="39"/>
      <c r="AC1040" s="33">
        <f>(B1040*194.205+C1040*267.466+D1040*133.845+E1040*53.484+F1040*40+G1040*185+H1040*0+I1040*100+J1040*300)/(194.205+267.466+133.845+53.484+0+40+185+100+300)</f>
        <v>40.304602171036109</v>
      </c>
      <c r="AD1040" s="27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39.9703856115108</v>
      </c>
    </row>
    <row r="1041" spans="1:30" ht="15.75" x14ac:dyDescent="0.25">
      <c r="A1041" s="13">
        <v>72958</v>
      </c>
      <c r="B1041" s="10">
        <f>CHOOSE(CONTROL!$C$42, 37.7322, 37.7322) * CHOOSE(CONTROL!$C$21, $C$9, 100%, $E$9)</f>
        <v>37.732199999999999</v>
      </c>
      <c r="C1041" s="10">
        <f>CHOOSE(CONTROL!$C$42, 37.7402, 37.7402) * CHOOSE(CONTROL!$C$21, $C$9, 100%, $E$9)</f>
        <v>37.740200000000002</v>
      </c>
      <c r="D1041" s="10">
        <f>CHOOSE(CONTROL!$C$42, 37.9171, 37.9171) * CHOOSE(CONTROL!$C$21, $C$9, 100%, $E$9)</f>
        <v>37.917099999999998</v>
      </c>
      <c r="E1041" s="10">
        <f>CHOOSE(CONTROL!$C$42, 37.9483, 37.9483) * CHOOSE(CONTROL!$C$21, $C$9, 100%, $E$9)</f>
        <v>37.948300000000003</v>
      </c>
      <c r="F1041" s="10">
        <f>CHOOSE(CONTROL!$C$42, 37.6958, 37.6958)*CHOOSE(CONTROL!$C$21, $C$9, 100%, $E$9)</f>
        <v>37.695799999999998</v>
      </c>
      <c r="G1041" s="10">
        <f>CHOOSE(CONTROL!$C$42, 37.7124, 37.7124)*CHOOSE(CONTROL!$C$21, $C$9, 100%, $E$9)</f>
        <v>37.712400000000002</v>
      </c>
      <c r="H1041" s="10">
        <f>CHOOSE(CONTROL!$C$42, 37.9369, 37.9369) * CHOOSE(CONTROL!$C$21, $C$9, 100%, $E$9)</f>
        <v>37.936900000000001</v>
      </c>
      <c r="I1041" s="10">
        <f>CHOOSE(CONTROL!$C$42, 37.7168, 37.7168)* CHOOSE(CONTROL!$C$21, $C$9, 100%, $E$9)</f>
        <v>37.716799999999999</v>
      </c>
      <c r="J1041" s="10">
        <f>CHOOSE(CONTROL!$C$42, 37.6888, 37.6888)* CHOOSE(CONTROL!$C$21, $C$9, 100%, $E$9)</f>
        <v>37.688800000000001</v>
      </c>
      <c r="K1041" s="10">
        <f>CHOOSE(CONTROL!$C$42, 36.7801, 36.7801) * CHOOSE(CONTROL!$C$21, $C$9, 100%, $E$9)</f>
        <v>36.780099999999997</v>
      </c>
      <c r="L1041" s="10">
        <f>CHOOSE(CONTROL!$C$42, 38.5239, 38.5239) * CHOOSE(CONTROL!$C$21, $C$9, 100%, $E$9)</f>
        <v>38.523899999999998</v>
      </c>
      <c r="M1041" s="10">
        <f>CHOOSE(CONTROL!$C$42, 37.3223, 37.3223) * CHOOSE(CONTROL!$C$21, $C$9, 100%, $E$9)</f>
        <v>37.322299999999998</v>
      </c>
      <c r="N1041" s="10">
        <f>CHOOSE(CONTROL!$C$42, 37.3387, 37.3387) * CHOOSE(CONTROL!$C$21, $C$9, 100%, $E$9)</f>
        <v>37.338700000000003</v>
      </c>
      <c r="O1041" s="10">
        <f>CHOOSE(CONTROL!$C$42, 37.5679, 37.5679) * CHOOSE(CONTROL!$C$21, $C$9, 100%, $E$9)</f>
        <v>37.567900000000002</v>
      </c>
      <c r="P1041" s="10">
        <f>CHOOSE(CONTROL!$C$42, 37.3501, 37.3501) * CHOOSE(CONTROL!$C$21, $C$9, 100%, $E$9)</f>
        <v>37.350099999999998</v>
      </c>
      <c r="Q1041" s="10">
        <f>CHOOSE(CONTROL!$C$42, 38.1632, 38.1632) * CHOOSE(CONTROL!$C$21, $C$9, 100%, $E$9)</f>
        <v>38.163200000000003</v>
      </c>
      <c r="R1041" s="10">
        <f>CHOOSE(CONTROL!$C$42, 38.8456, 38.8456) * CHOOSE(CONTROL!$C$21, $C$9, 100%, $E$9)</f>
        <v>38.845599999999997</v>
      </c>
      <c r="S1041" s="10">
        <f>CHOOSE(CONTROL!$C$42, 36.6375, 36.6375) * CHOOSE(CONTROL!$C$21, $C$9, 100%, $E$9)</f>
        <v>36.637500000000003</v>
      </c>
      <c r="T10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38">
        <f>(1000*CHOOSE(CONTROL!$C$42, 695, 695)*CHOOSE(CONTROL!$C$42, 0.5599, 0.5599)*CHOOSE(CONTROL!$C$42, 30, 30))/1000000</f>
        <v>11.673914999999997</v>
      </c>
      <c r="V1041" s="38">
        <f>(1000*CHOOSE(CONTROL!$C$42, 500, 500)*CHOOSE(CONTROL!$C$42, 0.275, 0.275)*CHOOSE(CONTROL!$C$42, 30, 30))/1000000</f>
        <v>4.125</v>
      </c>
      <c r="W1041" s="38">
        <f>(1000*CHOOSE(CONTROL!$C$42, 0.1146, 0.1146)*CHOOSE(CONTROL!$C$42, 121.5, 121.5)*CHOOSE(CONTROL!$C$42, 30, 30))/1000000</f>
        <v>0.417717</v>
      </c>
      <c r="X1041" s="38">
        <f>(30*0.1790888*245000/1000000)+(30*0.2374*100000/1000000)</f>
        <v>2.0285026799999999</v>
      </c>
      <c r="Y1041" s="38">
        <f>(1000*600*CHOOSE(CONTROL!$C$42, 1.0585, 1.0585)*CHOOSE(CONTROL!$C$42, 30, 30))/1000000</f>
        <v>19.053000000000001</v>
      </c>
      <c r="Z1041" s="38"/>
      <c r="AA1041" s="10"/>
      <c r="AB1041" s="39"/>
      <c r="AC1041" s="33">
        <f>(B1041*194.205+C1041*267.466+D1041*133.845+E1041*53.484+F1041*40+G1041*185+H1041*0+I1041*100+J1041*300)/(194.205+267.466+133.845+53.484+0+40+185+100+300)</f>
        <v>37.746930424568284</v>
      </c>
      <c r="AD1041" s="27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37.43855899280576</v>
      </c>
    </row>
    <row r="1042" spans="1:30" ht="15.75" x14ac:dyDescent="0.25">
      <c r="A1042" s="13">
        <v>72989</v>
      </c>
      <c r="B1042" s="10">
        <f>CHOOSE(CONTROL!$C$42, 36.9641, 36.9641) * CHOOSE(CONTROL!$C$21, $C$9, 100%, $E$9)</f>
        <v>36.964100000000002</v>
      </c>
      <c r="C1042" s="10">
        <f>CHOOSE(CONTROL!$C$42, 36.9693, 36.9693) * CHOOSE(CONTROL!$C$21, $C$9, 100%, $E$9)</f>
        <v>36.969299999999997</v>
      </c>
      <c r="D1042" s="10">
        <f>CHOOSE(CONTROL!$C$42, 37.1513, 37.1513) * CHOOSE(CONTROL!$C$21, $C$9, 100%, $E$9)</f>
        <v>37.151299999999999</v>
      </c>
      <c r="E1042" s="10">
        <f>CHOOSE(CONTROL!$C$42, 37.1801, 37.1801) * CHOOSE(CONTROL!$C$21, $C$9, 100%, $E$9)</f>
        <v>37.180100000000003</v>
      </c>
      <c r="F1042" s="10">
        <f>CHOOSE(CONTROL!$C$42, 36.9297, 36.9297)*CHOOSE(CONTROL!$C$21, $C$9, 100%, $E$9)</f>
        <v>36.929699999999997</v>
      </c>
      <c r="G1042" s="10">
        <f>CHOOSE(CONTROL!$C$42, 36.9459, 36.9459)*CHOOSE(CONTROL!$C$21, $C$9, 100%, $E$9)</f>
        <v>36.945900000000002</v>
      </c>
      <c r="H1042" s="10">
        <f>CHOOSE(CONTROL!$C$42, 37.1705, 37.1705) * CHOOSE(CONTROL!$C$21, $C$9, 100%, $E$9)</f>
        <v>37.170499999999997</v>
      </c>
      <c r="I1042" s="10">
        <f>CHOOSE(CONTROL!$C$42, 36.9504, 36.9504)* CHOOSE(CONTROL!$C$21, $C$9, 100%, $E$9)</f>
        <v>36.950400000000002</v>
      </c>
      <c r="J1042" s="10">
        <f>CHOOSE(CONTROL!$C$42, 36.9227, 36.9227)* CHOOSE(CONTROL!$C$21, $C$9, 100%, $E$9)</f>
        <v>36.922699999999999</v>
      </c>
      <c r="K1042" s="10">
        <f>CHOOSE(CONTROL!$C$42, 36.036, 36.036) * CHOOSE(CONTROL!$C$21, $C$9, 100%, $E$9)</f>
        <v>36.036000000000001</v>
      </c>
      <c r="L1042" s="10">
        <f>CHOOSE(CONTROL!$C$42, 37.7575, 37.7575) * CHOOSE(CONTROL!$C$21, $C$9, 100%, $E$9)</f>
        <v>37.7575</v>
      </c>
      <c r="M1042" s="10">
        <f>CHOOSE(CONTROL!$C$42, 36.5639, 36.5639) * CHOOSE(CONTROL!$C$21, $C$9, 100%, $E$9)</f>
        <v>36.563899999999997</v>
      </c>
      <c r="N1042" s="10">
        <f>CHOOSE(CONTROL!$C$42, 36.58, 36.58) * CHOOSE(CONTROL!$C$21, $C$9, 100%, $E$9)</f>
        <v>36.58</v>
      </c>
      <c r="O1042" s="10">
        <f>CHOOSE(CONTROL!$C$42, 36.8092, 36.8092) * CHOOSE(CONTROL!$C$21, $C$9, 100%, $E$9)</f>
        <v>36.809199999999997</v>
      </c>
      <c r="P1042" s="10">
        <f>CHOOSE(CONTROL!$C$42, 36.5914, 36.5914) * CHOOSE(CONTROL!$C$21, $C$9, 100%, $E$9)</f>
        <v>36.5914</v>
      </c>
      <c r="Q1042" s="10">
        <f>CHOOSE(CONTROL!$C$42, 37.4045, 37.4045) * CHOOSE(CONTROL!$C$21, $C$9, 100%, $E$9)</f>
        <v>37.404499999999999</v>
      </c>
      <c r="R1042" s="10">
        <f>CHOOSE(CONTROL!$C$42, 38.085, 38.085) * CHOOSE(CONTROL!$C$21, $C$9, 100%, $E$9)</f>
        <v>38.085000000000001</v>
      </c>
      <c r="S1042" s="10">
        <f>CHOOSE(CONTROL!$C$42, 35.8933, 35.8933) * CHOOSE(CONTROL!$C$21, $C$9, 100%, $E$9)</f>
        <v>35.893300000000004</v>
      </c>
      <c r="T10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38">
        <f>(1000*CHOOSE(CONTROL!$C$42, 695, 695)*CHOOSE(CONTROL!$C$42, 0.5599, 0.5599)*CHOOSE(CONTROL!$C$42, 31, 31))/1000000</f>
        <v>12.063045499999998</v>
      </c>
      <c r="V1042" s="38">
        <f>(1000*CHOOSE(CONTROL!$C$42, 500, 500)*CHOOSE(CONTROL!$C$42, 0.275, 0.275)*CHOOSE(CONTROL!$C$42, 31, 31))/1000000</f>
        <v>4.2625000000000002</v>
      </c>
      <c r="W1042" s="38">
        <f>(1000*CHOOSE(CONTROL!$C$42, 0.1146, 0.1146)*CHOOSE(CONTROL!$C$42, 121.5, 121.5)*CHOOSE(CONTROL!$C$42, 31, 31))/1000000</f>
        <v>0.43164089999999994</v>
      </c>
      <c r="X1042" s="38">
        <f>(31*0.1790888*245000/1000000)+(31*0.2374*100000/1000000)</f>
        <v>2.0961194359999999</v>
      </c>
      <c r="Y1042" s="38">
        <f>(1000*600*CHOOSE(CONTROL!$C$42, 1.0585, 1.0585)*CHOOSE(CONTROL!$C$42, 31, 31))/1000000</f>
        <v>19.688099999999999</v>
      </c>
      <c r="Z1042" s="38"/>
      <c r="AA1042" s="10"/>
      <c r="AB1042" s="39"/>
      <c r="AC1042" s="33">
        <f>(B1042*131.881+C1042*277.167+D1042*79.08+E1042*125.872+F1042*40+G1042*185+H1042*0+I1042*100+J1042*300)/(131.881+277.167+79.08+125.872+0+40+185+100+300)</f>
        <v>36.984197172235667</v>
      </c>
      <c r="AD1042" s="27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36.67996258992806</v>
      </c>
    </row>
    <row r="1043" spans="1:30" ht="15.75" x14ac:dyDescent="0.25">
      <c r="A1043" s="13">
        <v>73019</v>
      </c>
      <c r="B1043" s="10">
        <f>CHOOSE(CONTROL!$C$42, 37.9374, 37.9374) * CHOOSE(CONTROL!$C$21, $C$9, 100%, $E$9)</f>
        <v>37.937399999999997</v>
      </c>
      <c r="C1043" s="10">
        <f>CHOOSE(CONTROL!$C$42, 37.9423, 37.9423) * CHOOSE(CONTROL!$C$21, $C$9, 100%, $E$9)</f>
        <v>37.942300000000003</v>
      </c>
      <c r="D1043" s="10">
        <f>CHOOSE(CONTROL!$C$42, 37.9668, 37.9668) * CHOOSE(CONTROL!$C$21, $C$9, 100%, $E$9)</f>
        <v>37.966799999999999</v>
      </c>
      <c r="E1043" s="10">
        <f>CHOOSE(CONTROL!$C$42, 38.0006, 38.0006) * CHOOSE(CONTROL!$C$21, $C$9, 100%, $E$9)</f>
        <v>38.000599999999999</v>
      </c>
      <c r="F1043" s="10">
        <f>CHOOSE(CONTROL!$C$42, 37.9067, 37.9067)*CHOOSE(CONTROL!$C$21, $C$9, 100%, $E$9)</f>
        <v>37.906700000000001</v>
      </c>
      <c r="G1043" s="10">
        <f>CHOOSE(CONTROL!$C$42, 37.9231, 37.9231)*CHOOSE(CONTROL!$C$21, $C$9, 100%, $E$9)</f>
        <v>37.923099999999998</v>
      </c>
      <c r="H1043" s="10">
        <f>CHOOSE(CONTROL!$C$42, 37.9898, 37.9898) * CHOOSE(CONTROL!$C$21, $C$9, 100%, $E$9)</f>
        <v>37.989800000000002</v>
      </c>
      <c r="I1043" s="10">
        <f>CHOOSE(CONTROL!$C$42, 37.9242, 37.9242)* CHOOSE(CONTROL!$C$21, $C$9, 100%, $E$9)</f>
        <v>37.924199999999999</v>
      </c>
      <c r="J1043" s="10">
        <f>CHOOSE(CONTROL!$C$42, 37.8997, 37.8997)* CHOOSE(CONTROL!$C$21, $C$9, 100%, $E$9)</f>
        <v>37.899700000000003</v>
      </c>
      <c r="K1043" s="10">
        <f>CHOOSE(CONTROL!$C$42, 36.9836, 36.9836) * CHOOSE(CONTROL!$C$21, $C$9, 100%, $E$9)</f>
        <v>36.983600000000003</v>
      </c>
      <c r="L1043" s="10">
        <f>CHOOSE(CONTROL!$C$42, 38.5768, 38.5768) * CHOOSE(CONTROL!$C$21, $C$9, 100%, $E$9)</f>
        <v>38.576799999999999</v>
      </c>
      <c r="M1043" s="10">
        <f>CHOOSE(CONTROL!$C$42, 37.5311, 37.5311) * CHOOSE(CONTROL!$C$21, $C$9, 100%, $E$9)</f>
        <v>37.531100000000002</v>
      </c>
      <c r="N1043" s="10">
        <f>CHOOSE(CONTROL!$C$42, 37.5473, 37.5473) * CHOOSE(CONTROL!$C$21, $C$9, 100%, $E$9)</f>
        <v>37.5473</v>
      </c>
      <c r="O1043" s="10">
        <f>CHOOSE(CONTROL!$C$42, 37.6202, 37.6202) * CHOOSE(CONTROL!$C$21, $C$9, 100%, $E$9)</f>
        <v>37.620199999999997</v>
      </c>
      <c r="P1043" s="10">
        <f>CHOOSE(CONTROL!$C$42, 37.5553, 37.5553) * CHOOSE(CONTROL!$C$21, $C$9, 100%, $E$9)</f>
        <v>37.555300000000003</v>
      </c>
      <c r="Q1043" s="10">
        <f>CHOOSE(CONTROL!$C$42, 38.2155, 38.2155) * CHOOSE(CONTROL!$C$21, $C$9, 100%, $E$9)</f>
        <v>38.215499999999999</v>
      </c>
      <c r="R1043" s="10">
        <f>CHOOSE(CONTROL!$C$42, 38.8981, 38.8981) * CHOOSE(CONTROL!$C$21, $C$9, 100%, $E$9)</f>
        <v>38.898099999999999</v>
      </c>
      <c r="S1043" s="10">
        <f>CHOOSE(CONTROL!$C$42, 36.8389, 36.8389) * CHOOSE(CONTROL!$C$21, $C$9, 100%, $E$9)</f>
        <v>36.838900000000002</v>
      </c>
      <c r="T10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38">
        <f>(1000*CHOOSE(CONTROL!$C$42, 695, 695)*CHOOSE(CONTROL!$C$42, 0.5599, 0.5599)*CHOOSE(CONTROL!$C$42, 30, 30))/1000000</f>
        <v>11.673914999999997</v>
      </c>
      <c r="V1043" s="38">
        <f>(1000*CHOOSE(CONTROL!$C$42, 500, 500)*CHOOSE(CONTROL!$C$42, 0.275, 0.275)*CHOOSE(CONTROL!$C$42, 30, 30))/1000000</f>
        <v>4.125</v>
      </c>
      <c r="W1043" s="38">
        <f>(1000*CHOOSE(CONTROL!$C$42, 0.1146, 0.1146)*CHOOSE(CONTROL!$C$42, 121.5, 121.5)*CHOOSE(CONTROL!$C$42, 30, 30))/1000000</f>
        <v>0.417717</v>
      </c>
      <c r="X1043" s="38">
        <f>(30*0.1790888*100000/1000000)+(30*0.2374*100000/1000000)</f>
        <v>1.2494664</v>
      </c>
      <c r="Y1043" s="38">
        <f>(1000*600*CHOOSE(CONTROL!$C$42, 1.0585, 1.0585)*CHOOSE(CONTROL!$C$42, 30, 30))/1000000</f>
        <v>19.053000000000001</v>
      </c>
      <c r="Z1043" s="38"/>
      <c r="AA1043" s="10"/>
      <c r="AB1043" s="39"/>
      <c r="AC1043" s="33">
        <f>(B1043*122.58+C1043*297.941+D1043*89.177+E1043*40.302+F1043*40+G1043*160+H1043*0+I1043*100+J1043*300)/(122.58+297.941+89.177+40.302+0+40+160+100+300)</f>
        <v>37.929124174869564</v>
      </c>
      <c r="AD1043" s="27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37.575897841726615</v>
      </c>
    </row>
    <row r="1044" spans="1:30" ht="15.75" x14ac:dyDescent="0.25">
      <c r="A1044" s="13">
        <v>73050</v>
      </c>
      <c r="B1044" s="10">
        <f>CHOOSE(CONTROL!$C$42, 40.5237, 40.5237) * CHOOSE(CONTROL!$C$21, $C$9, 100%, $E$9)</f>
        <v>40.523699999999998</v>
      </c>
      <c r="C1044" s="10">
        <f>CHOOSE(CONTROL!$C$42, 40.5287, 40.5287) * CHOOSE(CONTROL!$C$21, $C$9, 100%, $E$9)</f>
        <v>40.528700000000001</v>
      </c>
      <c r="D1044" s="10">
        <f>CHOOSE(CONTROL!$C$42, 40.5532, 40.5532) * CHOOSE(CONTROL!$C$21, $C$9, 100%, $E$9)</f>
        <v>40.553199999999997</v>
      </c>
      <c r="E1044" s="10">
        <f>CHOOSE(CONTROL!$C$42, 40.5869, 40.5869) * CHOOSE(CONTROL!$C$21, $C$9, 100%, $E$9)</f>
        <v>40.5869</v>
      </c>
      <c r="F1044" s="10">
        <f>CHOOSE(CONTROL!$C$42, 40.4954, 40.4954)*CHOOSE(CONTROL!$C$21, $C$9, 100%, $E$9)</f>
        <v>40.495399999999997</v>
      </c>
      <c r="G1044" s="10">
        <f>CHOOSE(CONTROL!$C$42, 40.5124, 40.5124)*CHOOSE(CONTROL!$C$21, $C$9, 100%, $E$9)</f>
        <v>40.5124</v>
      </c>
      <c r="H1044" s="10">
        <f>CHOOSE(CONTROL!$C$42, 40.5761, 40.5761) * CHOOSE(CONTROL!$C$21, $C$9, 100%, $E$9)</f>
        <v>40.576099999999997</v>
      </c>
      <c r="I1044" s="10">
        <f>CHOOSE(CONTROL!$C$42, 40.5105, 40.5105)* CHOOSE(CONTROL!$C$21, $C$9, 100%, $E$9)</f>
        <v>40.5105</v>
      </c>
      <c r="J1044" s="10">
        <f>CHOOSE(CONTROL!$C$42, 40.4884, 40.4884)* CHOOSE(CONTROL!$C$21, $C$9, 100%, $E$9)</f>
        <v>40.488399999999999</v>
      </c>
      <c r="K1044" s="10">
        <f>CHOOSE(CONTROL!$C$42, 39.5015, 39.5015) * CHOOSE(CONTROL!$C$21, $C$9, 100%, $E$9)</f>
        <v>39.5015</v>
      </c>
      <c r="L1044" s="10">
        <f>CHOOSE(CONTROL!$C$42, 41.1631, 41.1631) * CHOOSE(CONTROL!$C$21, $C$9, 100%, $E$9)</f>
        <v>41.1631</v>
      </c>
      <c r="M1044" s="10">
        <f>CHOOSE(CONTROL!$C$42, 40.0936, 40.0936) * CHOOSE(CONTROL!$C$21, $C$9, 100%, $E$9)</f>
        <v>40.093600000000002</v>
      </c>
      <c r="N1044" s="10">
        <f>CHOOSE(CONTROL!$C$42, 40.1105, 40.1105) * CHOOSE(CONTROL!$C$21, $C$9, 100%, $E$9)</f>
        <v>40.110500000000002</v>
      </c>
      <c r="O1044" s="10">
        <f>CHOOSE(CONTROL!$C$42, 40.1805, 40.1805) * CHOOSE(CONTROL!$C$21, $C$9, 100%, $E$9)</f>
        <v>40.180500000000002</v>
      </c>
      <c r="P1044" s="10">
        <f>CHOOSE(CONTROL!$C$42, 40.1156, 40.1156) * CHOOSE(CONTROL!$C$21, $C$9, 100%, $E$9)</f>
        <v>40.115600000000001</v>
      </c>
      <c r="Q1044" s="10">
        <f>CHOOSE(CONTROL!$C$42, 40.7758, 40.7758) * CHOOSE(CONTROL!$C$21, $C$9, 100%, $E$9)</f>
        <v>40.775799999999997</v>
      </c>
      <c r="R1044" s="10">
        <f>CHOOSE(CONTROL!$C$42, 41.4647, 41.4647) * CHOOSE(CONTROL!$C$21, $C$9, 100%, $E$9)</f>
        <v>41.464700000000001</v>
      </c>
      <c r="S1044" s="10">
        <f>CHOOSE(CONTROL!$C$42, 39.3505, 39.3505) * CHOOSE(CONTROL!$C$21, $C$9, 100%, $E$9)</f>
        <v>39.350499999999997</v>
      </c>
      <c r="T10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38">
        <f>(1000*CHOOSE(CONTROL!$C$42, 695, 695)*CHOOSE(CONTROL!$C$42, 0.5599, 0.5599)*CHOOSE(CONTROL!$C$42, 31, 31))/1000000</f>
        <v>12.063045499999998</v>
      </c>
      <c r="V1044" s="38">
        <f>(1000*CHOOSE(CONTROL!$C$42, 500, 500)*CHOOSE(CONTROL!$C$42, 0.275, 0.275)*CHOOSE(CONTROL!$C$42, 31, 31))/1000000</f>
        <v>4.2625000000000002</v>
      </c>
      <c r="W1044" s="38">
        <f>(1000*CHOOSE(CONTROL!$C$42, 0.1146, 0.1146)*CHOOSE(CONTROL!$C$42, 121.5, 121.5)*CHOOSE(CONTROL!$C$42, 31, 31))/1000000</f>
        <v>0.43164089999999994</v>
      </c>
      <c r="X1044" s="38">
        <f>(31*0.1790888*100000/1000000)+(31*0.2374*100000/1000000)</f>
        <v>1.2911152800000001</v>
      </c>
      <c r="Y1044" s="38">
        <f>(1000*600*CHOOSE(CONTROL!$C$42, 1.0585, 1.0585)*CHOOSE(CONTROL!$C$42, 31, 31))/1000000</f>
        <v>19.688099999999999</v>
      </c>
      <c r="Z1044" s="38"/>
      <c r="AA1044" s="10"/>
      <c r="AB1044" s="39"/>
      <c r="AC1044" s="33">
        <f>(B1044*122.58+C1044*297.941+D1044*89.177+E1044*40.302+F1044*40+G1044*160+H1044*0+I1044*100+J1044*300)/(122.58+297.941+89.177+40.302+0+40+160+100+300)</f>
        <v>40.516584793826091</v>
      </c>
      <c r="AD1044" s="27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40.137124460431657</v>
      </c>
    </row>
    <row r="1045" spans="1:30" ht="15.75" x14ac:dyDescent="0.25">
      <c r="A1045" s="13">
        <v>73081</v>
      </c>
      <c r="B1045" s="10">
        <f>CHOOSE(CONTROL!$C$42, 43.2587, 43.2587) * CHOOSE(CONTROL!$C$21, $C$9, 100%, $E$9)</f>
        <v>43.258699999999997</v>
      </c>
      <c r="C1045" s="10">
        <f>CHOOSE(CONTROL!$C$42, 43.2636, 43.2636) * CHOOSE(CONTROL!$C$21, $C$9, 100%, $E$9)</f>
        <v>43.263599999999997</v>
      </c>
      <c r="D1045" s="10">
        <f>CHOOSE(CONTROL!$C$42, 43.2881, 43.2881) * CHOOSE(CONTROL!$C$21, $C$9, 100%, $E$9)</f>
        <v>43.2881</v>
      </c>
      <c r="E1045" s="10">
        <f>CHOOSE(CONTROL!$C$42, 43.3219, 43.3219) * CHOOSE(CONTROL!$C$21, $C$9, 100%, $E$9)</f>
        <v>43.321899999999999</v>
      </c>
      <c r="F1045" s="10">
        <f>CHOOSE(CONTROL!$C$42, 43.2416, 43.2416)*CHOOSE(CONTROL!$C$21, $C$9, 100%, $E$9)</f>
        <v>43.241599999999998</v>
      </c>
      <c r="G1045" s="10">
        <f>CHOOSE(CONTROL!$C$42, 43.2603, 43.2603)*CHOOSE(CONTROL!$C$21, $C$9, 100%, $E$9)</f>
        <v>43.260300000000001</v>
      </c>
      <c r="H1045" s="10">
        <f>CHOOSE(CONTROL!$C$42, 43.3111, 43.3111) * CHOOSE(CONTROL!$C$21, $C$9, 100%, $E$9)</f>
        <v>43.311100000000003</v>
      </c>
      <c r="I1045" s="10">
        <f>CHOOSE(CONTROL!$C$42, 43.2532, 43.2532)* CHOOSE(CONTROL!$C$21, $C$9, 100%, $E$9)</f>
        <v>43.2532</v>
      </c>
      <c r="J1045" s="10">
        <f>CHOOSE(CONTROL!$C$42, 43.2346, 43.2346)* CHOOSE(CONTROL!$C$21, $C$9, 100%, $E$9)</f>
        <v>43.2346</v>
      </c>
      <c r="K1045" s="10">
        <f>CHOOSE(CONTROL!$C$42, 42.1797, 42.1797) * CHOOSE(CONTROL!$C$21, $C$9, 100%, $E$9)</f>
        <v>42.179699999999997</v>
      </c>
      <c r="L1045" s="10">
        <f>CHOOSE(CONTROL!$C$42, 43.8981, 43.8981) * CHOOSE(CONTROL!$C$21, $C$9, 100%, $E$9)</f>
        <v>43.898099999999999</v>
      </c>
      <c r="M1045" s="10">
        <f>CHOOSE(CONTROL!$C$42, 42.8121, 42.8121) * CHOOSE(CONTROL!$C$21, $C$9, 100%, $E$9)</f>
        <v>42.812100000000001</v>
      </c>
      <c r="N1045" s="10">
        <f>CHOOSE(CONTROL!$C$42, 42.8306, 42.8306) * CHOOSE(CONTROL!$C$21, $C$9, 100%, $E$9)</f>
        <v>42.830599999999997</v>
      </c>
      <c r="O1045" s="10">
        <f>CHOOSE(CONTROL!$C$42, 42.8878, 42.8878) * CHOOSE(CONTROL!$C$21, $C$9, 100%, $E$9)</f>
        <v>42.887799999999999</v>
      </c>
      <c r="P1045" s="10">
        <f>CHOOSE(CONTROL!$C$42, 42.8305, 42.8305) * CHOOSE(CONTROL!$C$21, $C$9, 100%, $E$9)</f>
        <v>42.830500000000001</v>
      </c>
      <c r="Q1045" s="10">
        <f>CHOOSE(CONTROL!$C$42, 43.4831, 43.4831) * CHOOSE(CONTROL!$C$21, $C$9, 100%, $E$9)</f>
        <v>43.4831</v>
      </c>
      <c r="R1045" s="10">
        <f>CHOOSE(CONTROL!$C$42, 44.1788, 44.1788) * CHOOSE(CONTROL!$C$21, $C$9, 100%, $E$9)</f>
        <v>44.178800000000003</v>
      </c>
      <c r="S1045" s="10">
        <f>CHOOSE(CONTROL!$C$42, 42.0064, 42.0064) * CHOOSE(CONTROL!$C$21, $C$9, 100%, $E$9)</f>
        <v>42.006399999999999</v>
      </c>
      <c r="T10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38">
        <f>(1000*CHOOSE(CONTROL!$C$42, 695, 695)*CHOOSE(CONTROL!$C$42, 0.5599, 0.5599)*CHOOSE(CONTROL!$C$42, 31, 31))/1000000</f>
        <v>12.063045499999998</v>
      </c>
      <c r="V1045" s="38">
        <f>(1000*CHOOSE(CONTROL!$C$42, 500, 500)*CHOOSE(CONTROL!$C$42, 0.275, 0.275)*CHOOSE(CONTROL!$C$42, 31, 31))/1000000</f>
        <v>4.2625000000000002</v>
      </c>
      <c r="W1045" s="38">
        <f>(1000*CHOOSE(CONTROL!$C$42, 0.1146, 0.1146)*CHOOSE(CONTROL!$C$42, 121.5, 121.5)*CHOOSE(CONTROL!$C$42, 31, 31))/1000000</f>
        <v>0.43164089999999994</v>
      </c>
      <c r="X1045" s="38">
        <f>(31*0.1790888*100000/1000000)+(31*0.2374*100000/1000000)</f>
        <v>1.2911152800000001</v>
      </c>
      <c r="Y1045" s="38">
        <f>(1000*600*CHOOSE(CONTROL!$C$42, 1.0585, 1.0585)*CHOOSE(CONTROL!$C$42, 31, 31))/1000000</f>
        <v>19.688099999999999</v>
      </c>
      <c r="Z1045" s="38"/>
      <c r="AA1045" s="10"/>
      <c r="AB1045" s="39"/>
      <c r="AC1045" s="33">
        <f>(B1045*122.58+C1045*297.941+D1045*89.177+E1045*40.302+F1045*40+G1045*160+H1045*0+I1045*100+J1045*300)/(122.58+297.941+89.177+40.302+0+40+160+100+300)</f>
        <v>43.257326783565219</v>
      </c>
      <c r="AD1045" s="27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42.850122302158269</v>
      </c>
    </row>
    <row r="1046" spans="1:30" ht="15.75" x14ac:dyDescent="0.25">
      <c r="A1046" s="13">
        <v>73109</v>
      </c>
      <c r="B1046" s="10">
        <f>CHOOSE(CONTROL!$C$42, 44.0287, 44.0287) * CHOOSE(CONTROL!$C$21, $C$9, 100%, $E$9)</f>
        <v>44.028700000000001</v>
      </c>
      <c r="C1046" s="10">
        <f>CHOOSE(CONTROL!$C$42, 44.0336, 44.0336) * CHOOSE(CONTROL!$C$21, $C$9, 100%, $E$9)</f>
        <v>44.0336</v>
      </c>
      <c r="D1046" s="10">
        <f>CHOOSE(CONTROL!$C$42, 44.0581, 44.0581) * CHOOSE(CONTROL!$C$21, $C$9, 100%, $E$9)</f>
        <v>44.058100000000003</v>
      </c>
      <c r="E1046" s="10">
        <f>CHOOSE(CONTROL!$C$42, 44.0919, 44.0919) * CHOOSE(CONTROL!$C$21, $C$9, 100%, $E$9)</f>
        <v>44.091900000000003</v>
      </c>
      <c r="F1046" s="10">
        <f>CHOOSE(CONTROL!$C$42, 44.0109, 44.0109)*CHOOSE(CONTROL!$C$21, $C$9, 100%, $E$9)</f>
        <v>44.010899999999999</v>
      </c>
      <c r="G1046" s="10">
        <f>CHOOSE(CONTROL!$C$42, 44.0294, 44.0294)*CHOOSE(CONTROL!$C$21, $C$9, 100%, $E$9)</f>
        <v>44.029400000000003</v>
      </c>
      <c r="H1046" s="10">
        <f>CHOOSE(CONTROL!$C$42, 44.0811, 44.0811) * CHOOSE(CONTROL!$C$21, $C$9, 100%, $E$9)</f>
        <v>44.081099999999999</v>
      </c>
      <c r="I1046" s="10">
        <f>CHOOSE(CONTROL!$C$42, 44.0232, 44.0232)* CHOOSE(CONTROL!$C$21, $C$9, 100%, $E$9)</f>
        <v>44.023200000000003</v>
      </c>
      <c r="J1046" s="10">
        <f>CHOOSE(CONTROL!$C$42, 44.0039, 44.0039)* CHOOSE(CONTROL!$C$21, $C$9, 100%, $E$9)</f>
        <v>44.003900000000002</v>
      </c>
      <c r="K1046" s="10">
        <f>CHOOSE(CONTROL!$C$42, 42.9263, 42.9263) * CHOOSE(CONTROL!$C$21, $C$9, 100%, $E$9)</f>
        <v>42.926299999999998</v>
      </c>
      <c r="L1046" s="10">
        <f>CHOOSE(CONTROL!$C$42, 44.6681, 44.6681) * CHOOSE(CONTROL!$C$21, $C$9, 100%, $E$9)</f>
        <v>44.668100000000003</v>
      </c>
      <c r="M1046" s="10">
        <f>CHOOSE(CONTROL!$C$42, 43.5737, 43.5737) * CHOOSE(CONTROL!$C$21, $C$9, 100%, $E$9)</f>
        <v>43.573700000000002</v>
      </c>
      <c r="N1046" s="10">
        <f>CHOOSE(CONTROL!$C$42, 43.592, 43.592) * CHOOSE(CONTROL!$C$21, $C$9, 100%, $E$9)</f>
        <v>43.591999999999999</v>
      </c>
      <c r="O1046" s="10">
        <f>CHOOSE(CONTROL!$C$42, 43.65, 43.65) * CHOOSE(CONTROL!$C$21, $C$9, 100%, $E$9)</f>
        <v>43.65</v>
      </c>
      <c r="P1046" s="10">
        <f>CHOOSE(CONTROL!$C$42, 43.5928, 43.5928) * CHOOSE(CONTROL!$C$21, $C$9, 100%, $E$9)</f>
        <v>43.592799999999997</v>
      </c>
      <c r="Q1046" s="10">
        <f>CHOOSE(CONTROL!$C$42, 44.2453, 44.2453) * CHOOSE(CONTROL!$C$21, $C$9, 100%, $E$9)</f>
        <v>44.2453</v>
      </c>
      <c r="R1046" s="10">
        <f>CHOOSE(CONTROL!$C$42, 44.943, 44.943) * CHOOSE(CONTROL!$C$21, $C$9, 100%, $E$9)</f>
        <v>44.942999999999998</v>
      </c>
      <c r="S1046" s="10">
        <f>CHOOSE(CONTROL!$C$42, 42.7541, 42.7541) * CHOOSE(CONTROL!$C$21, $C$9, 100%, $E$9)</f>
        <v>42.754100000000001</v>
      </c>
      <c r="T104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46" s="38">
        <f>(1000*CHOOSE(CONTROL!$C$42, 695, 695)*CHOOSE(CONTROL!$C$42, 0.5599, 0.5599)*CHOOSE(CONTROL!$C$42, 29, 29))/1000000</f>
        <v>11.284784499999999</v>
      </c>
      <c r="V1046" s="38">
        <f>(1000*CHOOSE(CONTROL!$C$42, 500, 500)*CHOOSE(CONTROL!$C$42, 0.275, 0.275)*CHOOSE(CONTROL!$C$42, 29, 29))/1000000</f>
        <v>3.9874999999999998</v>
      </c>
      <c r="W1046" s="38">
        <f>(1000*CHOOSE(CONTROL!$C$42, 0.1146, 0.1146)*CHOOSE(CONTROL!$C$42, 121.5, 121.5)*CHOOSE(CONTROL!$C$42, 29, 29))/1000000</f>
        <v>0.40379309999999996</v>
      </c>
      <c r="X1046" s="38">
        <f>(28*0.1790888*100000/1000000)+(28*0.2374*100000/1000000)</f>
        <v>1.16616864</v>
      </c>
      <c r="Y1046" s="38">
        <f>(1000*600*CHOOSE(CONTROL!$C$42, 1.0585, 1.0585)*CHOOSE(CONTROL!$C$42, 29, 29))/1000000</f>
        <v>18.417899999999999</v>
      </c>
      <c r="Z1046" s="38"/>
      <c r="AA1046" s="10"/>
      <c r="AB1046" s="39"/>
      <c r="AC1046" s="33">
        <f>(B1046*122.58+C1046*297.941+D1046*89.177+E1046*40.302+F1046*40+G1046*160+H1046*0+I1046*100+J1046*300)/(122.58+297.941+89.177+40.302+0+40+160+100+300)</f>
        <v>44.026994609652171</v>
      </c>
      <c r="AD1046" s="27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43.61208345323741</v>
      </c>
    </row>
    <row r="1047" spans="1:30" ht="15.75" x14ac:dyDescent="0.25">
      <c r="A1047" s="13">
        <v>73140</v>
      </c>
      <c r="B1047" s="10">
        <f>CHOOSE(CONTROL!$C$42, 42.7788, 42.7788) * CHOOSE(CONTROL!$C$21, $C$9, 100%, $E$9)</f>
        <v>42.778799999999997</v>
      </c>
      <c r="C1047" s="10">
        <f>CHOOSE(CONTROL!$C$42, 42.7837, 42.7837) * CHOOSE(CONTROL!$C$21, $C$9, 100%, $E$9)</f>
        <v>42.783700000000003</v>
      </c>
      <c r="D1047" s="10">
        <f>CHOOSE(CONTROL!$C$42, 42.8082, 42.8082) * CHOOSE(CONTROL!$C$21, $C$9, 100%, $E$9)</f>
        <v>42.808199999999999</v>
      </c>
      <c r="E1047" s="10">
        <f>CHOOSE(CONTROL!$C$42, 42.8419, 42.8419) * CHOOSE(CONTROL!$C$21, $C$9, 100%, $E$9)</f>
        <v>42.841900000000003</v>
      </c>
      <c r="F1047" s="10">
        <f>CHOOSE(CONTROL!$C$42, 42.7595, 42.7595)*CHOOSE(CONTROL!$C$21, $C$9, 100%, $E$9)</f>
        <v>42.759500000000003</v>
      </c>
      <c r="G1047" s="10">
        <f>CHOOSE(CONTROL!$C$42, 42.7776, 42.7776)*CHOOSE(CONTROL!$C$21, $C$9, 100%, $E$9)</f>
        <v>42.7776</v>
      </c>
      <c r="H1047" s="10">
        <f>CHOOSE(CONTROL!$C$42, 42.8311, 42.8311) * CHOOSE(CONTROL!$C$21, $C$9, 100%, $E$9)</f>
        <v>42.831099999999999</v>
      </c>
      <c r="I1047" s="10">
        <f>CHOOSE(CONTROL!$C$42, 42.7733, 42.7733)* CHOOSE(CONTROL!$C$21, $C$9, 100%, $E$9)</f>
        <v>42.773299999999999</v>
      </c>
      <c r="J1047" s="10">
        <f>CHOOSE(CONTROL!$C$42, 42.7525, 42.7525)* CHOOSE(CONTROL!$C$21, $C$9, 100%, $E$9)</f>
        <v>42.752499999999998</v>
      </c>
      <c r="K1047" s="10">
        <f>CHOOSE(CONTROL!$C$42, 41.7086, 41.7086) * CHOOSE(CONTROL!$C$21, $C$9, 100%, $E$9)</f>
        <v>41.708599999999997</v>
      </c>
      <c r="L1047" s="10">
        <f>CHOOSE(CONTROL!$C$42, 43.4181, 43.4181) * CHOOSE(CONTROL!$C$21, $C$9, 100%, $E$9)</f>
        <v>43.418100000000003</v>
      </c>
      <c r="M1047" s="10">
        <f>CHOOSE(CONTROL!$C$42, 42.3349, 42.3349) * CHOOSE(CONTROL!$C$21, $C$9, 100%, $E$9)</f>
        <v>42.334899999999998</v>
      </c>
      <c r="N1047" s="10">
        <f>CHOOSE(CONTROL!$C$42, 42.3528, 42.3528) * CHOOSE(CONTROL!$C$21, $C$9, 100%, $E$9)</f>
        <v>42.352800000000002</v>
      </c>
      <c r="O1047" s="10">
        <f>CHOOSE(CONTROL!$C$42, 42.4127, 42.4127) * CHOOSE(CONTROL!$C$21, $C$9, 100%, $E$9)</f>
        <v>42.412700000000001</v>
      </c>
      <c r="P1047" s="10">
        <f>CHOOSE(CONTROL!$C$42, 42.3555, 42.3555) * CHOOSE(CONTROL!$C$21, $C$9, 100%, $E$9)</f>
        <v>42.355499999999999</v>
      </c>
      <c r="Q1047" s="10">
        <f>CHOOSE(CONTROL!$C$42, 43.008, 43.008) * CHOOSE(CONTROL!$C$21, $C$9, 100%, $E$9)</f>
        <v>43.008000000000003</v>
      </c>
      <c r="R1047" s="10">
        <f>CHOOSE(CONTROL!$C$42, 43.7026, 43.7026) * CHOOSE(CONTROL!$C$21, $C$9, 100%, $E$9)</f>
        <v>43.702599999999997</v>
      </c>
      <c r="S1047" s="10">
        <f>CHOOSE(CONTROL!$C$42, 41.5403, 41.5403) * CHOOSE(CONTROL!$C$21, $C$9, 100%, $E$9)</f>
        <v>41.540300000000002</v>
      </c>
      <c r="T10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38">
        <f>(1000*CHOOSE(CONTROL!$C$42, 695, 695)*CHOOSE(CONTROL!$C$42, 0.5599, 0.5599)*CHOOSE(CONTROL!$C$42, 31, 31))/1000000</f>
        <v>12.063045499999998</v>
      </c>
      <c r="V1047" s="38">
        <f>(1000*CHOOSE(CONTROL!$C$42, 500, 500)*CHOOSE(CONTROL!$C$42, 0.275, 0.275)*CHOOSE(CONTROL!$C$42, 31, 31))/1000000</f>
        <v>4.2625000000000002</v>
      </c>
      <c r="W1047" s="38">
        <f>(1000*CHOOSE(CONTROL!$C$42, 0.1146, 0.1146)*CHOOSE(CONTROL!$C$42, 121.5, 121.5)*CHOOSE(CONTROL!$C$42, 31, 31))/1000000</f>
        <v>0.43164089999999994</v>
      </c>
      <c r="X1047" s="38">
        <f>(31*0.1790888*100000/1000000)+(31*0.2374*100000/1000000)</f>
        <v>1.2911152800000001</v>
      </c>
      <c r="Y1047" s="38">
        <f>(1000*600*CHOOSE(CONTROL!$C$42, 1.0585, 1.0585)*CHOOSE(CONTROL!$C$42, 31, 31))/1000000</f>
        <v>19.688099999999999</v>
      </c>
      <c r="Z1047" s="38"/>
      <c r="AA1047" s="10"/>
      <c r="AB1047" s="39"/>
      <c r="AC1047" s="33">
        <f>(B1047*122.58+C1047*297.941+D1047*89.177+E1047*40.302+F1047*40+G1047*160+H1047*0+I1047*100+J1047*300)/(122.58+297.941+89.177+40.302+0+40+160+100+300)</f>
        <v>42.776383279043479</v>
      </c>
      <c r="AD1047" s="27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42.374156115107915</v>
      </c>
    </row>
    <row r="1048" spans="1:30" ht="15.75" x14ac:dyDescent="0.25">
      <c r="A1048" s="13">
        <v>73170</v>
      </c>
      <c r="B1048" s="10">
        <f>CHOOSE(CONTROL!$C$42, 42.6515, 42.6515) * CHOOSE(CONTROL!$C$21, $C$9, 100%, $E$9)</f>
        <v>42.651499999999999</v>
      </c>
      <c r="C1048" s="10">
        <f>CHOOSE(CONTROL!$C$42, 42.6558, 42.6558) * CHOOSE(CONTROL!$C$21, $C$9, 100%, $E$9)</f>
        <v>42.655799999999999</v>
      </c>
      <c r="D1048" s="10">
        <f>CHOOSE(CONTROL!$C$42, 42.836, 42.836) * CHOOSE(CONTROL!$C$21, $C$9, 100%, $E$9)</f>
        <v>42.835999999999999</v>
      </c>
      <c r="E1048" s="10">
        <f>CHOOSE(CONTROL!$C$42, 42.8677, 42.8677) * CHOOSE(CONTROL!$C$21, $C$9, 100%, $E$9)</f>
        <v>42.867699999999999</v>
      </c>
      <c r="F1048" s="10">
        <f>CHOOSE(CONTROL!$C$42, 42.6168, 42.6168)*CHOOSE(CONTROL!$C$21, $C$9, 100%, $E$9)</f>
        <v>42.616799999999998</v>
      </c>
      <c r="G1048" s="10">
        <f>CHOOSE(CONTROL!$C$42, 42.633, 42.633)*CHOOSE(CONTROL!$C$21, $C$9, 100%, $E$9)</f>
        <v>42.633000000000003</v>
      </c>
      <c r="H1048" s="10">
        <f>CHOOSE(CONTROL!$C$42, 42.8575, 42.8575) * CHOOSE(CONTROL!$C$21, $C$9, 100%, $E$9)</f>
        <v>42.857500000000002</v>
      </c>
      <c r="I1048" s="10">
        <f>CHOOSE(CONTROL!$C$42, 42.6374, 42.6374)* CHOOSE(CONTROL!$C$21, $C$9, 100%, $E$9)</f>
        <v>42.6374</v>
      </c>
      <c r="J1048" s="10">
        <f>CHOOSE(CONTROL!$C$42, 42.6098, 42.6098)* CHOOSE(CONTROL!$C$21, $C$9, 100%, $E$9)</f>
        <v>42.6098</v>
      </c>
      <c r="K1048" s="10">
        <f>CHOOSE(CONTROL!$C$42, 41.5616, 41.5616) * CHOOSE(CONTROL!$C$21, $C$9, 100%, $E$9)</f>
        <v>41.561599999999999</v>
      </c>
      <c r="L1048" s="10">
        <f>CHOOSE(CONTROL!$C$42, 43.4445, 43.4445) * CHOOSE(CONTROL!$C$21, $C$9, 100%, $E$9)</f>
        <v>43.444499999999998</v>
      </c>
      <c r="M1048" s="10">
        <f>CHOOSE(CONTROL!$C$42, 42.1936, 42.1936) * CHOOSE(CONTROL!$C$21, $C$9, 100%, $E$9)</f>
        <v>42.193600000000004</v>
      </c>
      <c r="N1048" s="10">
        <f>CHOOSE(CONTROL!$C$42, 42.2097, 42.2097) * CHOOSE(CONTROL!$C$21, $C$9, 100%, $E$9)</f>
        <v>42.209699999999998</v>
      </c>
      <c r="O1048" s="10">
        <f>CHOOSE(CONTROL!$C$42, 42.4388, 42.4388) * CHOOSE(CONTROL!$C$21, $C$9, 100%, $E$9)</f>
        <v>42.438800000000001</v>
      </c>
      <c r="P1048" s="10">
        <f>CHOOSE(CONTROL!$C$42, 42.221, 42.221) * CHOOSE(CONTROL!$C$21, $C$9, 100%, $E$9)</f>
        <v>42.220999999999997</v>
      </c>
      <c r="Q1048" s="10">
        <f>CHOOSE(CONTROL!$C$42, 43.0341, 43.0341) * CHOOSE(CONTROL!$C$21, $C$9, 100%, $E$9)</f>
        <v>43.034100000000002</v>
      </c>
      <c r="R1048" s="10">
        <f>CHOOSE(CONTROL!$C$42, 43.7287, 43.7287) * CHOOSE(CONTROL!$C$21, $C$9, 100%, $E$9)</f>
        <v>43.728700000000003</v>
      </c>
      <c r="S1048" s="10">
        <f>CHOOSE(CONTROL!$C$42, 41.4159, 41.4159) * CHOOSE(CONTROL!$C$21, $C$9, 100%, $E$9)</f>
        <v>41.415900000000001</v>
      </c>
      <c r="T10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38">
        <f>(1000*CHOOSE(CONTROL!$C$42, 695, 695)*CHOOSE(CONTROL!$C$42, 0.5599, 0.5599)*CHOOSE(CONTROL!$C$42, 30, 30))/1000000</f>
        <v>11.673914999999997</v>
      </c>
      <c r="V1048" s="38">
        <f>(1000*CHOOSE(CONTROL!$C$42, 500, 500)*CHOOSE(CONTROL!$C$42, 0.275, 0.275)*CHOOSE(CONTROL!$C$42, 30, 30))/1000000</f>
        <v>4.125</v>
      </c>
      <c r="W1048" s="38">
        <f>(1000*CHOOSE(CONTROL!$C$42, 0.1146, 0.1146)*CHOOSE(CONTROL!$C$42, 121.5, 121.5)*CHOOSE(CONTROL!$C$42, 30, 30))/1000000</f>
        <v>0.417717</v>
      </c>
      <c r="X1048" s="38">
        <f>(30*0.1790888*245000/1000000)+(30*0.2374*100000/1000000)</f>
        <v>2.0285026799999999</v>
      </c>
      <c r="Y1048" s="38">
        <f>(1000*600*CHOOSE(CONTROL!$C$42, 1.0585, 1.0585)*CHOOSE(CONTROL!$C$42, 30, 30))/1000000</f>
        <v>19.053000000000001</v>
      </c>
      <c r="Z1048" s="38"/>
      <c r="AA1048" s="10"/>
      <c r="AB1048" s="39"/>
      <c r="AC1048" s="33">
        <f>(B1048*141.293+C1048*267.993+D1048*115.016+E1048*89.698+F1048*40+G1048*185+H1048*0+I1048*100+J1048*300)/(141.293+267.993+115.016+89.698+0+40+185+100+300)</f>
        <v>42.670091629943506</v>
      </c>
      <c r="AD1048" s="27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42.309602877697841</v>
      </c>
    </row>
    <row r="1049" spans="1:30" ht="15.75" x14ac:dyDescent="0.25">
      <c r="A1049" s="13">
        <v>73201</v>
      </c>
      <c r="B1049" s="10">
        <f>CHOOSE(CONTROL!$C$42, 43.0297, 43.0297) * CHOOSE(CONTROL!$C$21, $C$9, 100%, $E$9)</f>
        <v>43.029699999999998</v>
      </c>
      <c r="C1049" s="10">
        <f>CHOOSE(CONTROL!$C$42, 43.0376, 43.0376) * CHOOSE(CONTROL!$C$21, $C$9, 100%, $E$9)</f>
        <v>43.037599999999998</v>
      </c>
      <c r="D1049" s="10">
        <f>CHOOSE(CONTROL!$C$42, 43.2146, 43.2146) * CHOOSE(CONTROL!$C$21, $C$9, 100%, $E$9)</f>
        <v>43.214599999999997</v>
      </c>
      <c r="E1049" s="10">
        <f>CHOOSE(CONTROL!$C$42, 43.2457, 43.2457) * CHOOSE(CONTROL!$C$21, $C$9, 100%, $E$9)</f>
        <v>43.245699999999999</v>
      </c>
      <c r="F1049" s="10">
        <f>CHOOSE(CONTROL!$C$42, 42.993, 42.993)*CHOOSE(CONTROL!$C$21, $C$9, 100%, $E$9)</f>
        <v>42.993000000000002</v>
      </c>
      <c r="G1049" s="10">
        <f>CHOOSE(CONTROL!$C$42, 43.0095, 43.0095)*CHOOSE(CONTROL!$C$21, $C$9, 100%, $E$9)</f>
        <v>43.009500000000003</v>
      </c>
      <c r="H1049" s="10">
        <f>CHOOSE(CONTROL!$C$42, 43.2343, 43.2343) * CHOOSE(CONTROL!$C$21, $C$9, 100%, $E$9)</f>
        <v>43.234299999999998</v>
      </c>
      <c r="I1049" s="10">
        <f>CHOOSE(CONTROL!$C$42, 43.0143, 43.0143)* CHOOSE(CONTROL!$C$21, $C$9, 100%, $E$9)</f>
        <v>43.014299999999999</v>
      </c>
      <c r="J1049" s="10">
        <f>CHOOSE(CONTROL!$C$42, 42.986, 42.986)* CHOOSE(CONTROL!$C$21, $C$9, 100%, $E$9)</f>
        <v>42.985999999999997</v>
      </c>
      <c r="K1049" s="10">
        <f>CHOOSE(CONTROL!$C$42, 41.9265, 41.9265) * CHOOSE(CONTROL!$C$21, $C$9, 100%, $E$9)</f>
        <v>41.926499999999997</v>
      </c>
      <c r="L1049" s="10">
        <f>CHOOSE(CONTROL!$C$42, 43.8213, 43.8213) * CHOOSE(CONTROL!$C$21, $C$9, 100%, $E$9)</f>
        <v>43.821300000000001</v>
      </c>
      <c r="M1049" s="10">
        <f>CHOOSE(CONTROL!$C$42, 42.566, 42.566) * CHOOSE(CONTROL!$C$21, $C$9, 100%, $E$9)</f>
        <v>42.566000000000003</v>
      </c>
      <c r="N1049" s="10">
        <f>CHOOSE(CONTROL!$C$42, 42.5824, 42.5824) * CHOOSE(CONTROL!$C$21, $C$9, 100%, $E$9)</f>
        <v>42.5824</v>
      </c>
      <c r="O1049" s="10">
        <f>CHOOSE(CONTROL!$C$42, 42.8119, 42.8119) * CHOOSE(CONTROL!$C$21, $C$9, 100%, $E$9)</f>
        <v>42.811900000000001</v>
      </c>
      <c r="P1049" s="10">
        <f>CHOOSE(CONTROL!$C$42, 42.594, 42.594) * CHOOSE(CONTROL!$C$21, $C$9, 100%, $E$9)</f>
        <v>42.594000000000001</v>
      </c>
      <c r="Q1049" s="10">
        <f>CHOOSE(CONTROL!$C$42, 43.4072, 43.4072) * CHOOSE(CONTROL!$C$21, $C$9, 100%, $E$9)</f>
        <v>43.407200000000003</v>
      </c>
      <c r="R1049" s="10">
        <f>CHOOSE(CONTROL!$C$42, 44.1027, 44.1027) * CHOOSE(CONTROL!$C$21, $C$9, 100%, $E$9)</f>
        <v>44.102699999999999</v>
      </c>
      <c r="S1049" s="10">
        <f>CHOOSE(CONTROL!$C$42, 41.7819, 41.7819) * CHOOSE(CONTROL!$C$21, $C$9, 100%, $E$9)</f>
        <v>41.7819</v>
      </c>
      <c r="T10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38">
        <f>(1000*CHOOSE(CONTROL!$C$42, 695, 695)*CHOOSE(CONTROL!$C$42, 0.5599, 0.5599)*CHOOSE(CONTROL!$C$42, 31, 31))/1000000</f>
        <v>12.063045499999998</v>
      </c>
      <c r="V1049" s="38">
        <f>(1000*CHOOSE(CONTROL!$C$42, 500, 500)*CHOOSE(CONTROL!$C$42, 0.275, 0.275)*CHOOSE(CONTROL!$C$42, 31, 31))/1000000</f>
        <v>4.2625000000000002</v>
      </c>
      <c r="W1049" s="38">
        <f>(1000*CHOOSE(CONTROL!$C$42, 0.1146, 0.1146)*CHOOSE(CONTROL!$C$42, 121.5, 121.5)*CHOOSE(CONTROL!$C$42, 31, 31))/1000000</f>
        <v>0.43164089999999994</v>
      </c>
      <c r="X1049" s="38">
        <f>(31*0.1790888*245000/1000000)+(31*0.2374*100000/1000000)</f>
        <v>2.0961194359999999</v>
      </c>
      <c r="Y1049" s="38">
        <f>(1000*600*CHOOSE(CONTROL!$C$42, 1.0585, 1.0585)*CHOOSE(CONTROL!$C$42, 31, 31))/1000000</f>
        <v>19.688099999999999</v>
      </c>
      <c r="Z1049" s="38"/>
      <c r="AA1049" s="10"/>
      <c r="AB1049" s="39"/>
      <c r="AC1049" s="33">
        <f>(B1049*194.205+C1049*267.466+D1049*133.845+E1049*53.484+F1049*40+G1049*185+H1049*0+I1049*100+J1049*300)/(194.205+267.466+133.845+53.484+0+40+185+100+300)</f>
        <v>43.044267084693871</v>
      </c>
      <c r="AD1049" s="27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42.682423741007199</v>
      </c>
    </row>
    <row r="1050" spans="1:30" ht="15.75" x14ac:dyDescent="0.25">
      <c r="A1050" s="13">
        <v>73231</v>
      </c>
      <c r="B1050" s="10">
        <f>CHOOSE(CONTROL!$C$42, 44.2501, 44.2501) * CHOOSE(CONTROL!$C$21, $C$9, 100%, $E$9)</f>
        <v>44.250100000000003</v>
      </c>
      <c r="C1050" s="10">
        <f>CHOOSE(CONTROL!$C$42, 44.258, 44.258) * CHOOSE(CONTROL!$C$21, $C$9, 100%, $E$9)</f>
        <v>44.258000000000003</v>
      </c>
      <c r="D1050" s="10">
        <f>CHOOSE(CONTROL!$C$42, 44.435, 44.435) * CHOOSE(CONTROL!$C$21, $C$9, 100%, $E$9)</f>
        <v>44.435000000000002</v>
      </c>
      <c r="E1050" s="10">
        <f>CHOOSE(CONTROL!$C$42, 44.4661, 44.4661) * CHOOSE(CONTROL!$C$21, $C$9, 100%, $E$9)</f>
        <v>44.466099999999997</v>
      </c>
      <c r="F1050" s="10">
        <f>CHOOSE(CONTROL!$C$42, 44.2136, 44.2136)*CHOOSE(CONTROL!$C$21, $C$9, 100%, $E$9)</f>
        <v>44.2136</v>
      </c>
      <c r="G1050" s="10">
        <f>CHOOSE(CONTROL!$C$42, 44.2302, 44.2302)*CHOOSE(CONTROL!$C$21, $C$9, 100%, $E$9)</f>
        <v>44.230200000000004</v>
      </c>
      <c r="H1050" s="10">
        <f>CHOOSE(CONTROL!$C$42, 44.4548, 44.4548) * CHOOSE(CONTROL!$C$21, $C$9, 100%, $E$9)</f>
        <v>44.454799999999999</v>
      </c>
      <c r="I1050" s="10">
        <f>CHOOSE(CONTROL!$C$42, 44.2347, 44.2347)* CHOOSE(CONTROL!$C$21, $C$9, 100%, $E$9)</f>
        <v>44.234699999999997</v>
      </c>
      <c r="J1050" s="10">
        <f>CHOOSE(CONTROL!$C$42, 44.2066, 44.2066)* CHOOSE(CONTROL!$C$21, $C$9, 100%, $E$9)</f>
        <v>44.206600000000002</v>
      </c>
      <c r="K1050" s="10">
        <f>CHOOSE(CONTROL!$C$42, 43.1126, 43.1126) * CHOOSE(CONTROL!$C$21, $C$9, 100%, $E$9)</f>
        <v>43.1126</v>
      </c>
      <c r="L1050" s="10">
        <f>CHOOSE(CONTROL!$C$42, 45.0418, 45.0418) * CHOOSE(CONTROL!$C$21, $C$9, 100%, $E$9)</f>
        <v>45.041800000000002</v>
      </c>
      <c r="M1050" s="10">
        <f>CHOOSE(CONTROL!$C$42, 43.7743, 43.7743) * CHOOSE(CONTROL!$C$21, $C$9, 100%, $E$9)</f>
        <v>43.774299999999997</v>
      </c>
      <c r="N1050" s="10">
        <f>CHOOSE(CONTROL!$C$42, 43.7907, 43.7907) * CHOOSE(CONTROL!$C$21, $C$9, 100%, $E$9)</f>
        <v>43.790700000000001</v>
      </c>
      <c r="O1050" s="10">
        <f>CHOOSE(CONTROL!$C$42, 44.02, 44.02) * CHOOSE(CONTROL!$C$21, $C$9, 100%, $E$9)</f>
        <v>44.02</v>
      </c>
      <c r="P1050" s="10">
        <f>CHOOSE(CONTROL!$C$42, 43.8022, 43.8022) * CHOOSE(CONTROL!$C$21, $C$9, 100%, $E$9)</f>
        <v>43.802199999999999</v>
      </c>
      <c r="Q1050" s="10">
        <f>CHOOSE(CONTROL!$C$42, 44.6153, 44.6153) * CHOOSE(CONTROL!$C$21, $C$9, 100%, $E$9)</f>
        <v>44.615299999999998</v>
      </c>
      <c r="R1050" s="10">
        <f>CHOOSE(CONTROL!$C$42, 45.3138, 45.3138) * CHOOSE(CONTROL!$C$21, $C$9, 100%, $E$9)</f>
        <v>45.313800000000001</v>
      </c>
      <c r="S1050" s="10">
        <f>CHOOSE(CONTROL!$C$42, 42.967, 42.967) * CHOOSE(CONTROL!$C$21, $C$9, 100%, $E$9)</f>
        <v>42.966999999999999</v>
      </c>
      <c r="T10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38">
        <f>(1000*CHOOSE(CONTROL!$C$42, 695, 695)*CHOOSE(CONTROL!$C$42, 0.5599, 0.5599)*CHOOSE(CONTROL!$C$42, 30, 30))/1000000</f>
        <v>11.673914999999997</v>
      </c>
      <c r="V1050" s="38">
        <f>(1000*CHOOSE(CONTROL!$C$42, 500, 500)*CHOOSE(CONTROL!$C$42, 0.275, 0.275)*CHOOSE(CONTROL!$C$42, 30, 30))/1000000</f>
        <v>4.125</v>
      </c>
      <c r="W1050" s="38">
        <f>(1000*CHOOSE(CONTROL!$C$42, 0.1146, 0.1146)*CHOOSE(CONTROL!$C$42, 121.5, 121.5)*CHOOSE(CONTROL!$C$42, 30, 30))/1000000</f>
        <v>0.417717</v>
      </c>
      <c r="X1050" s="38">
        <f>(30*0.1790888*245000/1000000)+(30*0.2374*100000/1000000)</f>
        <v>2.0285026799999999</v>
      </c>
      <c r="Y1050" s="38">
        <f>(1000*600*CHOOSE(CONTROL!$C$42, 1.0585, 1.0585)*CHOOSE(CONTROL!$C$42, 30, 30))/1000000</f>
        <v>19.053000000000001</v>
      </c>
      <c r="Z1050" s="38"/>
      <c r="AA1050" s="10"/>
      <c r="AB1050" s="39"/>
      <c r="AC1050" s="33">
        <f>(B1050*194.205+C1050*267.466+D1050*133.845+E1050*53.484+F1050*40+G1050*185+H1050*0+I1050*100+J1050*300)/(194.205+267.466+133.845+53.484+0+40+185+100+300)</f>
        <v>44.264764023469397</v>
      </c>
      <c r="AD1050" s="27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43.890618705035976</v>
      </c>
    </row>
    <row r="1051" spans="1:30" ht="15.75" x14ac:dyDescent="0.25">
      <c r="A1051" s="13">
        <v>73262</v>
      </c>
      <c r="B1051" s="10">
        <f>CHOOSE(CONTROL!$C$42, 43.4013, 43.4013) * CHOOSE(CONTROL!$C$21, $C$9, 100%, $E$9)</f>
        <v>43.401299999999999</v>
      </c>
      <c r="C1051" s="10">
        <f>CHOOSE(CONTROL!$C$42, 43.4092, 43.4092) * CHOOSE(CONTROL!$C$21, $C$9, 100%, $E$9)</f>
        <v>43.409199999999998</v>
      </c>
      <c r="D1051" s="10">
        <f>CHOOSE(CONTROL!$C$42, 43.5862, 43.5862) * CHOOSE(CONTROL!$C$21, $C$9, 100%, $E$9)</f>
        <v>43.586199999999998</v>
      </c>
      <c r="E1051" s="10">
        <f>CHOOSE(CONTROL!$C$42, 43.6173, 43.6173) * CHOOSE(CONTROL!$C$21, $C$9, 100%, $E$9)</f>
        <v>43.6173</v>
      </c>
      <c r="F1051" s="10">
        <f>CHOOSE(CONTROL!$C$42, 43.3651, 43.3651)*CHOOSE(CONTROL!$C$21, $C$9, 100%, $E$9)</f>
        <v>43.365099999999998</v>
      </c>
      <c r="G1051" s="10">
        <f>CHOOSE(CONTROL!$C$42, 43.3817, 43.3817)*CHOOSE(CONTROL!$C$21, $C$9, 100%, $E$9)</f>
        <v>43.381700000000002</v>
      </c>
      <c r="H1051" s="10">
        <f>CHOOSE(CONTROL!$C$42, 43.606, 43.606) * CHOOSE(CONTROL!$C$21, $C$9, 100%, $E$9)</f>
        <v>43.606000000000002</v>
      </c>
      <c r="I1051" s="10">
        <f>CHOOSE(CONTROL!$C$42, 43.3859, 43.3859)* CHOOSE(CONTROL!$C$21, $C$9, 100%, $E$9)</f>
        <v>43.385899999999999</v>
      </c>
      <c r="J1051" s="10">
        <f>CHOOSE(CONTROL!$C$42, 43.3581, 43.3581)* CHOOSE(CONTROL!$C$21, $C$9, 100%, $E$9)</f>
        <v>43.3581</v>
      </c>
      <c r="K1051" s="10">
        <f>CHOOSE(CONTROL!$C$42, 42.2885, 42.2885) * CHOOSE(CONTROL!$C$21, $C$9, 100%, $E$9)</f>
        <v>42.288499999999999</v>
      </c>
      <c r="L1051" s="10">
        <f>CHOOSE(CONTROL!$C$42, 44.193, 44.193) * CHOOSE(CONTROL!$C$21, $C$9, 100%, $E$9)</f>
        <v>44.192999999999998</v>
      </c>
      <c r="M1051" s="10">
        <f>CHOOSE(CONTROL!$C$42, 42.9343, 42.9343) * CHOOSE(CONTROL!$C$21, $C$9, 100%, $E$9)</f>
        <v>42.9343</v>
      </c>
      <c r="N1051" s="10">
        <f>CHOOSE(CONTROL!$C$42, 42.9508, 42.9508) * CHOOSE(CONTROL!$C$21, $C$9, 100%, $E$9)</f>
        <v>42.950800000000001</v>
      </c>
      <c r="O1051" s="10">
        <f>CHOOSE(CONTROL!$C$42, 43.1797, 43.1797) * CHOOSE(CONTROL!$C$21, $C$9, 100%, $E$9)</f>
        <v>43.179699999999997</v>
      </c>
      <c r="P1051" s="10">
        <f>CHOOSE(CONTROL!$C$42, 42.9619, 42.9619) * CHOOSE(CONTROL!$C$21, $C$9, 100%, $E$9)</f>
        <v>42.9619</v>
      </c>
      <c r="Q1051" s="10">
        <f>CHOOSE(CONTROL!$C$42, 43.775, 43.775) * CHOOSE(CONTROL!$C$21, $C$9, 100%, $E$9)</f>
        <v>43.774999999999999</v>
      </c>
      <c r="R1051" s="10">
        <f>CHOOSE(CONTROL!$C$42, 44.4715, 44.4715) * CHOOSE(CONTROL!$C$21, $C$9, 100%, $E$9)</f>
        <v>44.471499999999999</v>
      </c>
      <c r="S1051" s="10">
        <f>CHOOSE(CONTROL!$C$42, 42.1427, 42.1427) * CHOOSE(CONTROL!$C$21, $C$9, 100%, $E$9)</f>
        <v>42.142699999999998</v>
      </c>
      <c r="T10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38">
        <f>(1000*CHOOSE(CONTROL!$C$42, 695, 695)*CHOOSE(CONTROL!$C$42, 0.5599, 0.5599)*CHOOSE(CONTROL!$C$42, 31, 31))/1000000</f>
        <v>12.063045499999998</v>
      </c>
      <c r="V1051" s="38">
        <f>(1000*CHOOSE(CONTROL!$C$42, 500, 500)*CHOOSE(CONTROL!$C$42, 0.275, 0.275)*CHOOSE(CONTROL!$C$42, 31, 31))/1000000</f>
        <v>4.2625000000000002</v>
      </c>
      <c r="W1051" s="38">
        <f>(1000*CHOOSE(CONTROL!$C$42, 0.1146, 0.1146)*CHOOSE(CONTROL!$C$42, 121.5, 121.5)*CHOOSE(CONTROL!$C$42, 31, 31))/1000000</f>
        <v>0.43164089999999994</v>
      </c>
      <c r="X1051" s="38">
        <f>(31*0.1790888*245000/1000000)+(31*0.2374*100000/1000000)</f>
        <v>2.0961194359999999</v>
      </c>
      <c r="Y1051" s="38">
        <f>(1000*600*CHOOSE(CONTROL!$C$42, 1.0585, 1.0585)*CHOOSE(CONTROL!$C$42, 31, 31))/1000000</f>
        <v>19.688099999999999</v>
      </c>
      <c r="Z1051" s="38"/>
      <c r="AA1051" s="10"/>
      <c r="AB1051" s="39"/>
      <c r="AC1051" s="33">
        <f>(B1051*194.205+C1051*267.466+D1051*133.845+E1051*53.484+F1051*40+G1051*185+H1051*0+I1051*100+J1051*300)/(194.205+267.466+133.845+53.484+0+40+185+100+300)</f>
        <v>43.416087649843014</v>
      </c>
      <c r="AD1051" s="27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43.050445323741009</v>
      </c>
    </row>
    <row r="1052" spans="1:30" ht="15.75" x14ac:dyDescent="0.25">
      <c r="A1052" s="13">
        <v>73293</v>
      </c>
      <c r="B1052" s="10">
        <f>CHOOSE(CONTROL!$C$42, 41.2577, 41.2577) * CHOOSE(CONTROL!$C$21, $C$9, 100%, $E$9)</f>
        <v>41.2577</v>
      </c>
      <c r="C1052" s="10">
        <f>CHOOSE(CONTROL!$C$42, 41.2656, 41.2656) * CHOOSE(CONTROL!$C$21, $C$9, 100%, $E$9)</f>
        <v>41.265599999999999</v>
      </c>
      <c r="D1052" s="10">
        <f>CHOOSE(CONTROL!$C$42, 41.4426, 41.4426) * CHOOSE(CONTROL!$C$21, $C$9, 100%, $E$9)</f>
        <v>41.442599999999999</v>
      </c>
      <c r="E1052" s="10">
        <f>CHOOSE(CONTROL!$C$42, 41.4738, 41.4738) * CHOOSE(CONTROL!$C$21, $C$9, 100%, $E$9)</f>
        <v>41.473799999999997</v>
      </c>
      <c r="F1052" s="10">
        <f>CHOOSE(CONTROL!$C$42, 41.2216, 41.2216)*CHOOSE(CONTROL!$C$21, $C$9, 100%, $E$9)</f>
        <v>41.221600000000002</v>
      </c>
      <c r="G1052" s="10">
        <f>CHOOSE(CONTROL!$C$42, 41.2382, 41.2382)*CHOOSE(CONTROL!$C$21, $C$9, 100%, $E$9)</f>
        <v>41.238199999999999</v>
      </c>
      <c r="H1052" s="10">
        <f>CHOOSE(CONTROL!$C$42, 41.4624, 41.4624) * CHOOSE(CONTROL!$C$21, $C$9, 100%, $E$9)</f>
        <v>41.462400000000002</v>
      </c>
      <c r="I1052" s="10">
        <f>CHOOSE(CONTROL!$C$42, 41.2423, 41.2423)* CHOOSE(CONTROL!$C$21, $C$9, 100%, $E$9)</f>
        <v>41.2423</v>
      </c>
      <c r="J1052" s="10">
        <f>CHOOSE(CONTROL!$C$42, 41.2146, 41.2146)* CHOOSE(CONTROL!$C$21, $C$9, 100%, $E$9)</f>
        <v>41.214599999999997</v>
      </c>
      <c r="K1052" s="10">
        <f>CHOOSE(CONTROL!$C$42, 40.2059, 40.2059) * CHOOSE(CONTROL!$C$21, $C$9, 100%, $E$9)</f>
        <v>40.2059</v>
      </c>
      <c r="L1052" s="10">
        <f>CHOOSE(CONTROL!$C$42, 42.0494, 42.0494) * CHOOSE(CONTROL!$C$21, $C$9, 100%, $E$9)</f>
        <v>42.049399999999999</v>
      </c>
      <c r="M1052" s="10">
        <f>CHOOSE(CONTROL!$C$42, 40.8125, 40.8125) * CHOOSE(CONTROL!$C$21, $C$9, 100%, $E$9)</f>
        <v>40.8125</v>
      </c>
      <c r="N1052" s="10">
        <f>CHOOSE(CONTROL!$C$42, 40.8289, 40.8289) * CHOOSE(CONTROL!$C$21, $C$9, 100%, $E$9)</f>
        <v>40.828899999999997</v>
      </c>
      <c r="O1052" s="10">
        <f>CHOOSE(CONTROL!$C$42, 41.0578, 41.0578) * CHOOSE(CONTROL!$C$21, $C$9, 100%, $E$9)</f>
        <v>41.0578</v>
      </c>
      <c r="P1052" s="10">
        <f>CHOOSE(CONTROL!$C$42, 40.84, 40.84) * CHOOSE(CONTROL!$C$21, $C$9, 100%, $E$9)</f>
        <v>40.840000000000003</v>
      </c>
      <c r="Q1052" s="10">
        <f>CHOOSE(CONTROL!$C$42, 41.6531, 41.6531) * CHOOSE(CONTROL!$C$21, $C$9, 100%, $E$9)</f>
        <v>41.653100000000002</v>
      </c>
      <c r="R1052" s="10">
        <f>CHOOSE(CONTROL!$C$42, 42.3442, 42.3442) * CHOOSE(CONTROL!$C$21, $C$9, 100%, $E$9)</f>
        <v>42.344200000000001</v>
      </c>
      <c r="S1052" s="10">
        <f>CHOOSE(CONTROL!$C$42, 40.0611, 40.0611) * CHOOSE(CONTROL!$C$21, $C$9, 100%, $E$9)</f>
        <v>40.061100000000003</v>
      </c>
      <c r="T10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38">
        <f>(1000*CHOOSE(CONTROL!$C$42, 695, 695)*CHOOSE(CONTROL!$C$42, 0.5599, 0.5599)*CHOOSE(CONTROL!$C$42, 31, 31))/1000000</f>
        <v>12.063045499999998</v>
      </c>
      <c r="V1052" s="38">
        <f>(1000*CHOOSE(CONTROL!$C$42, 500, 500)*CHOOSE(CONTROL!$C$42, 0.275, 0.275)*CHOOSE(CONTROL!$C$42, 31, 31))/1000000</f>
        <v>4.2625000000000002</v>
      </c>
      <c r="W1052" s="38">
        <f>(1000*CHOOSE(CONTROL!$C$42, 0.1146, 0.1146)*CHOOSE(CONTROL!$C$42, 121.5, 121.5)*CHOOSE(CONTROL!$C$42, 31, 31))/1000000</f>
        <v>0.43164089999999994</v>
      </c>
      <c r="X1052" s="38">
        <f>(31*0.1790888*245000/1000000)+(31*0.2374*100000/1000000)</f>
        <v>2.0961194359999999</v>
      </c>
      <c r="Y1052" s="38">
        <f>(1000*600*CHOOSE(CONTROL!$C$42, 1.0585, 1.0585)*CHOOSE(CONTROL!$C$42, 31, 31))/1000000</f>
        <v>19.688099999999999</v>
      </c>
      <c r="Z1052" s="38"/>
      <c r="AA1052" s="10"/>
      <c r="AB1052" s="39"/>
      <c r="AC1052" s="33">
        <f>(B1052*194.205+C1052*267.466+D1052*133.845+E1052*53.484+F1052*40+G1052*185+H1052*0+I1052*100+J1052*300)/(194.205+267.466+133.845+53.484+0+40+185+100+300)</f>
        <v>41.27253305675039</v>
      </c>
      <c r="AD1052" s="27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40.928579856115107</v>
      </c>
    </row>
    <row r="1053" spans="1:30" ht="15.75" x14ac:dyDescent="0.25">
      <c r="A1053" s="13">
        <v>73323</v>
      </c>
      <c r="B1053" s="10">
        <f>CHOOSE(CONTROL!$C$42, 38.6387, 38.6387) * CHOOSE(CONTROL!$C$21, $C$9, 100%, $E$9)</f>
        <v>38.6387</v>
      </c>
      <c r="C1053" s="10">
        <f>CHOOSE(CONTROL!$C$42, 38.6466, 38.6466) * CHOOSE(CONTROL!$C$21, $C$9, 100%, $E$9)</f>
        <v>38.646599999999999</v>
      </c>
      <c r="D1053" s="10">
        <f>CHOOSE(CONTROL!$C$42, 38.8236, 38.8236) * CHOOSE(CONTROL!$C$21, $C$9, 100%, $E$9)</f>
        <v>38.823599999999999</v>
      </c>
      <c r="E1053" s="10">
        <f>CHOOSE(CONTROL!$C$42, 38.8548, 38.8548) * CHOOSE(CONTROL!$C$21, $C$9, 100%, $E$9)</f>
        <v>38.854799999999997</v>
      </c>
      <c r="F1053" s="10">
        <f>CHOOSE(CONTROL!$C$42, 38.6023, 38.6023)*CHOOSE(CONTROL!$C$21, $C$9, 100%, $E$9)</f>
        <v>38.6023</v>
      </c>
      <c r="G1053" s="10">
        <f>CHOOSE(CONTROL!$C$42, 38.6189, 38.6189)*CHOOSE(CONTROL!$C$21, $C$9, 100%, $E$9)</f>
        <v>38.618899999999996</v>
      </c>
      <c r="H1053" s="10">
        <f>CHOOSE(CONTROL!$C$42, 38.8434, 38.8434) * CHOOSE(CONTROL!$C$21, $C$9, 100%, $E$9)</f>
        <v>38.843400000000003</v>
      </c>
      <c r="I1053" s="10">
        <f>CHOOSE(CONTROL!$C$42, 38.6233, 38.6233)* CHOOSE(CONTROL!$C$21, $C$9, 100%, $E$9)</f>
        <v>38.6233</v>
      </c>
      <c r="J1053" s="10">
        <f>CHOOSE(CONTROL!$C$42, 38.5953, 38.5953)* CHOOSE(CONTROL!$C$21, $C$9, 100%, $E$9)</f>
        <v>38.595300000000002</v>
      </c>
      <c r="K1053" s="10">
        <f>CHOOSE(CONTROL!$C$42, 37.6608, 37.6608) * CHOOSE(CONTROL!$C$21, $C$9, 100%, $E$9)</f>
        <v>37.660800000000002</v>
      </c>
      <c r="L1053" s="10">
        <f>CHOOSE(CONTROL!$C$42, 39.4304, 39.4304) * CHOOSE(CONTROL!$C$21, $C$9, 100%, $E$9)</f>
        <v>39.430399999999999</v>
      </c>
      <c r="M1053" s="10">
        <f>CHOOSE(CONTROL!$C$42, 38.2196, 38.2196) * CHOOSE(CONTROL!$C$21, $C$9, 100%, $E$9)</f>
        <v>38.2196</v>
      </c>
      <c r="N1053" s="10">
        <f>CHOOSE(CONTROL!$C$42, 38.236, 38.236) * CHOOSE(CONTROL!$C$21, $C$9, 100%, $E$9)</f>
        <v>38.235999999999997</v>
      </c>
      <c r="O1053" s="10">
        <f>CHOOSE(CONTROL!$C$42, 38.4652, 38.4652) * CHOOSE(CONTROL!$C$21, $C$9, 100%, $E$9)</f>
        <v>38.465200000000003</v>
      </c>
      <c r="P1053" s="10">
        <f>CHOOSE(CONTROL!$C$42, 38.2474, 38.2474) * CHOOSE(CONTROL!$C$21, $C$9, 100%, $E$9)</f>
        <v>38.247399999999999</v>
      </c>
      <c r="Q1053" s="10">
        <f>CHOOSE(CONTROL!$C$42, 39.0605, 39.0605) * CHOOSE(CONTROL!$C$21, $C$9, 100%, $E$9)</f>
        <v>39.060499999999998</v>
      </c>
      <c r="R1053" s="10">
        <f>CHOOSE(CONTROL!$C$42, 39.7452, 39.7452) * CHOOSE(CONTROL!$C$21, $C$9, 100%, $E$9)</f>
        <v>39.745199999999997</v>
      </c>
      <c r="S1053" s="10">
        <f>CHOOSE(CONTROL!$C$42, 37.5178, 37.5178) * CHOOSE(CONTROL!$C$21, $C$9, 100%, $E$9)</f>
        <v>37.517800000000001</v>
      </c>
      <c r="T10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38">
        <f>(1000*CHOOSE(CONTROL!$C$42, 695, 695)*CHOOSE(CONTROL!$C$42, 0.5599, 0.5599)*CHOOSE(CONTROL!$C$42, 30, 30))/1000000</f>
        <v>11.673914999999997</v>
      </c>
      <c r="V1053" s="38">
        <f>(1000*CHOOSE(CONTROL!$C$42, 500, 500)*CHOOSE(CONTROL!$C$42, 0.275, 0.275)*CHOOSE(CONTROL!$C$42, 30, 30))/1000000</f>
        <v>4.125</v>
      </c>
      <c r="W1053" s="38">
        <f>(1000*CHOOSE(CONTROL!$C$42, 0.1146, 0.1146)*CHOOSE(CONTROL!$C$42, 121.5, 121.5)*CHOOSE(CONTROL!$C$42, 30, 30))/1000000</f>
        <v>0.417717</v>
      </c>
      <c r="X1053" s="38">
        <f>(30*0.1790888*245000/1000000)+(30*0.2374*100000/1000000)</f>
        <v>2.0285026799999999</v>
      </c>
      <c r="Y1053" s="38">
        <f>(1000*600*CHOOSE(CONTROL!$C$42, 1.0585, 1.0585)*CHOOSE(CONTROL!$C$42, 30, 30))/1000000</f>
        <v>19.053000000000001</v>
      </c>
      <c r="Z1053" s="38"/>
      <c r="AA1053" s="10"/>
      <c r="AB1053" s="39"/>
      <c r="AC1053" s="33">
        <f>(B1053*194.205+C1053*267.466+D1053*133.845+E1053*53.484+F1053*40+G1053*185+H1053*0+I1053*100+J1053*300)/(194.205+267.466+133.845+53.484+0+40+185+100+300)</f>
        <v>38.653409430376769</v>
      </c>
      <c r="AD1053" s="27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38.335858992805754</v>
      </c>
    </row>
    <row r="1054" spans="1:30" ht="15.75" x14ac:dyDescent="0.25">
      <c r="A1054" s="13">
        <v>73354</v>
      </c>
      <c r="B1054" s="10">
        <f>CHOOSE(CONTROL!$C$42, 37.8522, 37.8522) * CHOOSE(CONTROL!$C$21, $C$9, 100%, $E$9)</f>
        <v>37.852200000000003</v>
      </c>
      <c r="C1054" s="10">
        <f>CHOOSE(CONTROL!$C$42, 37.8574, 37.8574) * CHOOSE(CONTROL!$C$21, $C$9, 100%, $E$9)</f>
        <v>37.857399999999998</v>
      </c>
      <c r="D1054" s="10">
        <f>CHOOSE(CONTROL!$C$42, 38.0393, 38.0393) * CHOOSE(CONTROL!$C$21, $C$9, 100%, $E$9)</f>
        <v>38.039299999999997</v>
      </c>
      <c r="E1054" s="10">
        <f>CHOOSE(CONTROL!$C$42, 38.0681, 38.0681) * CHOOSE(CONTROL!$C$21, $C$9, 100%, $E$9)</f>
        <v>38.068100000000001</v>
      </c>
      <c r="F1054" s="10">
        <f>CHOOSE(CONTROL!$C$42, 37.8178, 37.8178)*CHOOSE(CONTROL!$C$21, $C$9, 100%, $E$9)</f>
        <v>37.817799999999998</v>
      </c>
      <c r="G1054" s="10">
        <f>CHOOSE(CONTROL!$C$42, 37.834, 37.834)*CHOOSE(CONTROL!$C$21, $C$9, 100%, $E$9)</f>
        <v>37.834000000000003</v>
      </c>
      <c r="H1054" s="10">
        <f>CHOOSE(CONTROL!$C$42, 38.0586, 38.0586) * CHOOSE(CONTROL!$C$21, $C$9, 100%, $E$9)</f>
        <v>38.058599999999998</v>
      </c>
      <c r="I1054" s="10">
        <f>CHOOSE(CONTROL!$C$42, 37.8385, 37.8385)* CHOOSE(CONTROL!$C$21, $C$9, 100%, $E$9)</f>
        <v>37.838500000000003</v>
      </c>
      <c r="J1054" s="10">
        <f>CHOOSE(CONTROL!$C$42, 37.8108, 37.8108)* CHOOSE(CONTROL!$C$21, $C$9, 100%, $E$9)</f>
        <v>37.8108</v>
      </c>
      <c r="K1054" s="10">
        <f>CHOOSE(CONTROL!$C$42, 36.8989, 36.8989) * CHOOSE(CONTROL!$C$21, $C$9, 100%, $E$9)</f>
        <v>36.898899999999998</v>
      </c>
      <c r="L1054" s="10">
        <f>CHOOSE(CONTROL!$C$42, 38.6456, 38.6456) * CHOOSE(CONTROL!$C$21, $C$9, 100%, $E$9)</f>
        <v>38.645600000000002</v>
      </c>
      <c r="M1054" s="10">
        <f>CHOOSE(CONTROL!$C$42, 37.443, 37.443) * CHOOSE(CONTROL!$C$21, $C$9, 100%, $E$9)</f>
        <v>37.442999999999998</v>
      </c>
      <c r="N1054" s="10">
        <f>CHOOSE(CONTROL!$C$42, 37.4591, 37.4591) * CHOOSE(CONTROL!$C$21, $C$9, 100%, $E$9)</f>
        <v>37.459099999999999</v>
      </c>
      <c r="O1054" s="10">
        <f>CHOOSE(CONTROL!$C$42, 37.6883, 37.6883) * CHOOSE(CONTROL!$C$21, $C$9, 100%, $E$9)</f>
        <v>37.688299999999998</v>
      </c>
      <c r="P1054" s="10">
        <f>CHOOSE(CONTROL!$C$42, 37.4705, 37.4705) * CHOOSE(CONTROL!$C$21, $C$9, 100%, $E$9)</f>
        <v>37.470500000000001</v>
      </c>
      <c r="Q1054" s="10">
        <f>CHOOSE(CONTROL!$C$42, 38.2836, 38.2836) * CHOOSE(CONTROL!$C$21, $C$9, 100%, $E$9)</f>
        <v>38.2836</v>
      </c>
      <c r="R1054" s="10">
        <f>CHOOSE(CONTROL!$C$42, 38.9663, 38.9663) * CHOOSE(CONTROL!$C$21, $C$9, 100%, $E$9)</f>
        <v>38.966299999999997</v>
      </c>
      <c r="S1054" s="10">
        <f>CHOOSE(CONTROL!$C$42, 36.7557, 36.7557) * CHOOSE(CONTROL!$C$21, $C$9, 100%, $E$9)</f>
        <v>36.755699999999997</v>
      </c>
      <c r="T10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38">
        <f>(1000*CHOOSE(CONTROL!$C$42, 695, 695)*CHOOSE(CONTROL!$C$42, 0.5599, 0.5599)*CHOOSE(CONTROL!$C$42, 31, 31))/1000000</f>
        <v>12.063045499999998</v>
      </c>
      <c r="V1054" s="38">
        <f>(1000*CHOOSE(CONTROL!$C$42, 500, 500)*CHOOSE(CONTROL!$C$42, 0.275, 0.275)*CHOOSE(CONTROL!$C$42, 31, 31))/1000000</f>
        <v>4.2625000000000002</v>
      </c>
      <c r="W1054" s="38">
        <f>(1000*CHOOSE(CONTROL!$C$42, 0.1146, 0.1146)*CHOOSE(CONTROL!$C$42, 121.5, 121.5)*CHOOSE(CONTROL!$C$42, 31, 31))/1000000</f>
        <v>0.43164089999999994</v>
      </c>
      <c r="X1054" s="38">
        <f>(31*0.1790888*245000/1000000)+(31*0.2374*100000/1000000)</f>
        <v>2.0961194359999999</v>
      </c>
      <c r="Y1054" s="38">
        <f>(1000*600*CHOOSE(CONTROL!$C$42, 1.0585, 1.0585)*CHOOSE(CONTROL!$C$42, 31, 31))/1000000</f>
        <v>19.688099999999999</v>
      </c>
      <c r="Z1054" s="38"/>
      <c r="AA1054" s="10"/>
      <c r="AB1054" s="39"/>
      <c r="AC1054" s="33">
        <f>(B1054*131.881+C1054*277.167+D1054*79.08+E1054*125.872+F1054*40+G1054*185+H1054*0+I1054*100+J1054*300)/(131.881+277.167+79.08+125.872+0+40+185+100+300)</f>
        <v>37.87228063050847</v>
      </c>
      <c r="AD1054" s="27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37.559062589928054</v>
      </c>
    </row>
    <row r="1055" spans="1:30" ht="15.75" x14ac:dyDescent="0.25">
      <c r="A1055" s="13">
        <v>73384</v>
      </c>
      <c r="B1055" s="10">
        <f>CHOOSE(CONTROL!$C$42, 38.8489, 38.8489) * CHOOSE(CONTROL!$C$21, $C$9, 100%, $E$9)</f>
        <v>38.8489</v>
      </c>
      <c r="C1055" s="10">
        <f>CHOOSE(CONTROL!$C$42, 38.8538, 38.8538) * CHOOSE(CONTROL!$C$21, $C$9, 100%, $E$9)</f>
        <v>38.8538</v>
      </c>
      <c r="D1055" s="10">
        <f>CHOOSE(CONTROL!$C$42, 38.8783, 38.8783) * CHOOSE(CONTROL!$C$21, $C$9, 100%, $E$9)</f>
        <v>38.878300000000003</v>
      </c>
      <c r="E1055" s="10">
        <f>CHOOSE(CONTROL!$C$42, 38.912, 38.912) * CHOOSE(CONTROL!$C$21, $C$9, 100%, $E$9)</f>
        <v>38.911999999999999</v>
      </c>
      <c r="F1055" s="10">
        <f>CHOOSE(CONTROL!$C$42, 38.8182, 38.8182)*CHOOSE(CONTROL!$C$21, $C$9, 100%, $E$9)</f>
        <v>38.818199999999997</v>
      </c>
      <c r="G1055" s="10">
        <f>CHOOSE(CONTROL!$C$42, 38.8346, 38.8346)*CHOOSE(CONTROL!$C$21, $C$9, 100%, $E$9)</f>
        <v>38.834600000000002</v>
      </c>
      <c r="H1055" s="10">
        <f>CHOOSE(CONTROL!$C$42, 38.9012, 38.9012) * CHOOSE(CONTROL!$C$21, $C$9, 100%, $E$9)</f>
        <v>38.901200000000003</v>
      </c>
      <c r="I1055" s="10">
        <f>CHOOSE(CONTROL!$C$42, 38.8356, 38.8356)* CHOOSE(CONTROL!$C$21, $C$9, 100%, $E$9)</f>
        <v>38.835599999999999</v>
      </c>
      <c r="J1055" s="10">
        <f>CHOOSE(CONTROL!$C$42, 38.8112, 38.8112)* CHOOSE(CONTROL!$C$21, $C$9, 100%, $E$9)</f>
        <v>38.811199999999999</v>
      </c>
      <c r="K1055" s="10">
        <f>CHOOSE(CONTROL!$C$42, 37.8692, 37.8692) * CHOOSE(CONTROL!$C$21, $C$9, 100%, $E$9)</f>
        <v>37.869199999999999</v>
      </c>
      <c r="L1055" s="10">
        <f>CHOOSE(CONTROL!$C$42, 39.4882, 39.4882) * CHOOSE(CONTROL!$C$21, $C$9, 100%, $E$9)</f>
        <v>39.488199999999999</v>
      </c>
      <c r="M1055" s="10">
        <f>CHOOSE(CONTROL!$C$42, 38.4333, 38.4333) * CHOOSE(CONTROL!$C$21, $C$9, 100%, $E$9)</f>
        <v>38.433300000000003</v>
      </c>
      <c r="N1055" s="10">
        <f>CHOOSE(CONTROL!$C$42, 38.4496, 38.4496) * CHOOSE(CONTROL!$C$21, $C$9, 100%, $E$9)</f>
        <v>38.449599999999997</v>
      </c>
      <c r="O1055" s="10">
        <f>CHOOSE(CONTROL!$C$42, 38.5225, 38.5225) * CHOOSE(CONTROL!$C$21, $C$9, 100%, $E$9)</f>
        <v>38.522500000000001</v>
      </c>
      <c r="P1055" s="10">
        <f>CHOOSE(CONTROL!$C$42, 38.4576, 38.4576) * CHOOSE(CONTROL!$C$21, $C$9, 100%, $E$9)</f>
        <v>38.457599999999999</v>
      </c>
      <c r="Q1055" s="10">
        <f>CHOOSE(CONTROL!$C$42, 39.1178, 39.1178) * CHOOSE(CONTROL!$C$21, $C$9, 100%, $E$9)</f>
        <v>39.117800000000003</v>
      </c>
      <c r="R1055" s="10">
        <f>CHOOSE(CONTROL!$C$42, 39.8026, 39.8026) * CHOOSE(CONTROL!$C$21, $C$9, 100%, $E$9)</f>
        <v>39.802599999999998</v>
      </c>
      <c r="S1055" s="10">
        <f>CHOOSE(CONTROL!$C$42, 37.724, 37.724) * CHOOSE(CONTROL!$C$21, $C$9, 100%, $E$9)</f>
        <v>37.723999999999997</v>
      </c>
      <c r="T10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38">
        <f>(1000*CHOOSE(CONTROL!$C$42, 695, 695)*CHOOSE(CONTROL!$C$42, 0.5599, 0.5599)*CHOOSE(CONTROL!$C$42, 30, 30))/1000000</f>
        <v>11.673914999999997</v>
      </c>
      <c r="V1055" s="38">
        <f>(1000*CHOOSE(CONTROL!$C$42, 500, 500)*CHOOSE(CONTROL!$C$42, 0.275, 0.275)*CHOOSE(CONTROL!$C$42, 30, 30))/1000000</f>
        <v>4.125</v>
      </c>
      <c r="W1055" s="38">
        <f>(1000*CHOOSE(CONTROL!$C$42, 0.1146, 0.1146)*CHOOSE(CONTROL!$C$42, 121.5, 121.5)*CHOOSE(CONTROL!$C$42, 30, 30))/1000000</f>
        <v>0.417717</v>
      </c>
      <c r="X1055" s="38">
        <f>(30*0.1790888*100000/1000000)+(30*0.2374*100000/1000000)</f>
        <v>1.2494664</v>
      </c>
      <c r="Y1055" s="38">
        <f>(1000*600*CHOOSE(CONTROL!$C$42, 1.0585, 1.0585)*CHOOSE(CONTROL!$C$42, 30, 30))/1000000</f>
        <v>19.053000000000001</v>
      </c>
      <c r="Z1055" s="38"/>
      <c r="AA1055" s="10"/>
      <c r="AB1055" s="39"/>
      <c r="AC1055" s="33">
        <f>(B1055*122.58+C1055*297.941+D1055*89.177+E1055*40.302+F1055*40+G1055*160+H1055*0+I1055*100+J1055*300)/(122.58+297.941+89.177+40.302+0+40+160+100+300)</f>
        <v>38.840611974695655</v>
      </c>
      <c r="AD1055" s="27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38.478163309352517</v>
      </c>
    </row>
    <row r="1056" spans="1:30" ht="15.75" x14ac:dyDescent="0.25">
      <c r="A1056" s="13">
        <v>73415</v>
      </c>
      <c r="B1056" s="10">
        <f>CHOOSE(CONTROL!$C$42, 41.4973, 41.4973) * CHOOSE(CONTROL!$C$21, $C$9, 100%, $E$9)</f>
        <v>41.497300000000003</v>
      </c>
      <c r="C1056" s="10">
        <f>CHOOSE(CONTROL!$C$42, 41.5023, 41.5023) * CHOOSE(CONTROL!$C$21, $C$9, 100%, $E$9)</f>
        <v>41.502299999999998</v>
      </c>
      <c r="D1056" s="10">
        <f>CHOOSE(CONTROL!$C$42, 41.5268, 41.5268) * CHOOSE(CONTROL!$C$21, $C$9, 100%, $E$9)</f>
        <v>41.526800000000001</v>
      </c>
      <c r="E1056" s="10">
        <f>CHOOSE(CONTROL!$C$42, 41.5605, 41.5605) * CHOOSE(CONTROL!$C$21, $C$9, 100%, $E$9)</f>
        <v>41.560499999999998</v>
      </c>
      <c r="F1056" s="10">
        <f>CHOOSE(CONTROL!$C$42, 41.469, 41.469)*CHOOSE(CONTROL!$C$21, $C$9, 100%, $E$9)</f>
        <v>41.469000000000001</v>
      </c>
      <c r="G1056" s="10">
        <f>CHOOSE(CONTROL!$C$42, 41.486, 41.486)*CHOOSE(CONTROL!$C$21, $C$9, 100%, $E$9)</f>
        <v>41.485999999999997</v>
      </c>
      <c r="H1056" s="10">
        <f>CHOOSE(CONTROL!$C$42, 41.5497, 41.5497) * CHOOSE(CONTROL!$C$21, $C$9, 100%, $E$9)</f>
        <v>41.549700000000001</v>
      </c>
      <c r="I1056" s="10">
        <f>CHOOSE(CONTROL!$C$42, 41.4841, 41.4841)* CHOOSE(CONTROL!$C$21, $C$9, 100%, $E$9)</f>
        <v>41.484099999999998</v>
      </c>
      <c r="J1056" s="10">
        <f>CHOOSE(CONTROL!$C$42, 41.462, 41.462)* CHOOSE(CONTROL!$C$21, $C$9, 100%, $E$9)</f>
        <v>41.462000000000003</v>
      </c>
      <c r="K1056" s="10">
        <f>CHOOSE(CONTROL!$C$42, 40.4474, 40.4474) * CHOOSE(CONTROL!$C$21, $C$9, 100%, $E$9)</f>
        <v>40.447400000000002</v>
      </c>
      <c r="L1056" s="10">
        <f>CHOOSE(CONTROL!$C$42, 42.1367, 42.1367) * CHOOSE(CONTROL!$C$21, $C$9, 100%, $E$9)</f>
        <v>42.136699999999998</v>
      </c>
      <c r="M1056" s="10">
        <f>CHOOSE(CONTROL!$C$42, 41.0574, 41.0574) * CHOOSE(CONTROL!$C$21, $C$9, 100%, $E$9)</f>
        <v>41.057400000000001</v>
      </c>
      <c r="N1056" s="10">
        <f>CHOOSE(CONTROL!$C$42, 41.0742, 41.0742) * CHOOSE(CONTROL!$C$21, $C$9, 100%, $E$9)</f>
        <v>41.074199999999998</v>
      </c>
      <c r="O1056" s="10">
        <f>CHOOSE(CONTROL!$C$42, 41.1443, 41.1443) * CHOOSE(CONTROL!$C$21, $C$9, 100%, $E$9)</f>
        <v>41.144300000000001</v>
      </c>
      <c r="P1056" s="10">
        <f>CHOOSE(CONTROL!$C$42, 41.0793, 41.0793) * CHOOSE(CONTROL!$C$21, $C$9, 100%, $E$9)</f>
        <v>41.079300000000003</v>
      </c>
      <c r="Q1056" s="10">
        <f>CHOOSE(CONTROL!$C$42, 41.7396, 41.7396) * CHOOSE(CONTROL!$C$21, $C$9, 100%, $E$9)</f>
        <v>41.739600000000003</v>
      </c>
      <c r="R1056" s="10">
        <f>CHOOSE(CONTROL!$C$42, 42.4309, 42.4309) * CHOOSE(CONTROL!$C$21, $C$9, 100%, $E$9)</f>
        <v>42.430900000000001</v>
      </c>
      <c r="S1056" s="10">
        <f>CHOOSE(CONTROL!$C$42, 40.2959, 40.2959) * CHOOSE(CONTROL!$C$21, $C$9, 100%, $E$9)</f>
        <v>40.295900000000003</v>
      </c>
      <c r="T10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38">
        <f>(1000*CHOOSE(CONTROL!$C$42, 695, 695)*CHOOSE(CONTROL!$C$42, 0.5599, 0.5599)*CHOOSE(CONTROL!$C$42, 31, 31))/1000000</f>
        <v>12.063045499999998</v>
      </c>
      <c r="V1056" s="38">
        <f>(1000*CHOOSE(CONTROL!$C$42, 500, 500)*CHOOSE(CONTROL!$C$42, 0.275, 0.275)*CHOOSE(CONTROL!$C$42, 31, 31))/1000000</f>
        <v>4.2625000000000002</v>
      </c>
      <c r="W1056" s="38">
        <f>(1000*CHOOSE(CONTROL!$C$42, 0.1146, 0.1146)*CHOOSE(CONTROL!$C$42, 121.5, 121.5)*CHOOSE(CONTROL!$C$42, 31, 31))/1000000</f>
        <v>0.43164089999999994</v>
      </c>
      <c r="X1056" s="38">
        <f>(31*0.1790888*100000/1000000)+(31*0.2374*100000/1000000)</f>
        <v>1.2911152800000001</v>
      </c>
      <c r="Y1056" s="38">
        <f>(1000*600*CHOOSE(CONTROL!$C$42, 1.0585, 1.0585)*CHOOSE(CONTROL!$C$42, 31, 31))/1000000</f>
        <v>19.688099999999999</v>
      </c>
      <c r="Z1056" s="38"/>
      <c r="AA1056" s="10"/>
      <c r="AB1056" s="39"/>
      <c r="AC1056" s="33">
        <f>(B1056*122.58+C1056*297.941+D1056*89.177+E1056*40.302+F1056*40+G1056*160+H1056*0+I1056*100+J1056*300)/(122.58+297.941+89.177+40.302+0+40+160+100+300)</f>
        <v>41.490184793826081</v>
      </c>
      <c r="AD1056" s="27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41.10090431654676</v>
      </c>
    </row>
    <row r="1057" spans="1:30" ht="15" x14ac:dyDescent="0.2">
      <c r="A1057" s="12"/>
      <c r="Y1057" s="38"/>
    </row>
    <row r="1058" spans="1:30" ht="15" x14ac:dyDescent="0.2">
      <c r="A1058" s="11">
        <v>2014</v>
      </c>
      <c r="B1058" s="10">
        <f t="shared" ref="B1058:J1058" si="3">AVERAGE(B13:B24)</f>
        <v>4.7531956080593414</v>
      </c>
      <c r="C1058" s="10">
        <f t="shared" si="3"/>
        <v>4.7593758934058368</v>
      </c>
      <c r="D1058" s="10">
        <f t="shared" si="3"/>
        <v>4.8902090858085785</v>
      </c>
      <c r="E1058" s="10">
        <f t="shared" si="3"/>
        <v>4.922303386813482</v>
      </c>
      <c r="F1058" s="10">
        <f t="shared" si="3"/>
        <v>4.7485496045735394</v>
      </c>
      <c r="G1058" s="10">
        <f t="shared" si="3"/>
        <v>4.7667290246688347</v>
      </c>
      <c r="H1058" s="10">
        <f t="shared" si="3"/>
        <v>4.9114191044659927</v>
      </c>
      <c r="I1058" s="10">
        <f t="shared" si="3"/>
        <v>4.7496852027909151</v>
      </c>
      <c r="J1058" s="10">
        <f t="shared" si="3"/>
        <v>4.7415496045735397</v>
      </c>
      <c r="K1058" s="10"/>
      <c r="L1058" s="10">
        <f t="shared" ref="L1058:S1058" si="4">AVERAGE(L13:L24)</f>
        <v>5.4984191044659916</v>
      </c>
      <c r="M1058" s="10">
        <f t="shared" si="4"/>
        <v>4.7075185458729516</v>
      </c>
      <c r="N1058" s="10">
        <f t="shared" si="4"/>
        <v>4.7255189228908323</v>
      </c>
      <c r="O1058" s="10">
        <f t="shared" si="4"/>
        <v>4.875686916255785</v>
      </c>
      <c r="P1058" s="10">
        <f t="shared" si="4"/>
        <v>4.7156338131297231</v>
      </c>
      <c r="Q1058" s="10">
        <f t="shared" si="4"/>
        <v>5.4709869162557858</v>
      </c>
      <c r="R1058" s="10">
        <f t="shared" si="4"/>
        <v>6.0716586960464234</v>
      </c>
      <c r="S1058" s="10">
        <f t="shared" si="4"/>
        <v>4.6127325565135919</v>
      </c>
      <c r="T1058" s="32">
        <f>SUM(T13:T24)</f>
        <v>364.74278412000001</v>
      </c>
      <c r="U1058" s="32">
        <f>SUM(U13:U24)</f>
        <v>142.03438749999998</v>
      </c>
      <c r="V1058" s="32">
        <f>SUM(V13:V24)</f>
        <v>58.217499999999994</v>
      </c>
      <c r="W1058" s="32">
        <f>SUM(W13:W24)</f>
        <v>8.3652599999999993</v>
      </c>
      <c r="X1058" s="32">
        <f>SUM(X13:X24)</f>
        <v>5.5571254639999994</v>
      </c>
      <c r="Y1058" s="32"/>
      <c r="Z1058" s="32">
        <f>SUM(Z13:Z24)</f>
        <v>3.899999999999999</v>
      </c>
      <c r="AA1058" s="10">
        <f>AVERAGE(AA13:AA24)</f>
        <v>4.7119852591404898</v>
      </c>
      <c r="AB1058" s="32">
        <f>SUM(AB13:AB24)</f>
        <v>12.630990000000001</v>
      </c>
      <c r="AC1058" s="33">
        <f>AVERAGE(AC13:AC24)</f>
        <v>4.7972290358626326</v>
      </c>
      <c r="AD1058" s="27">
        <f>AVERAGE(AD13:AD24)</f>
        <v>4.774130485745733</v>
      </c>
    </row>
    <row r="1059" spans="1:30" ht="15" x14ac:dyDescent="0.2">
      <c r="A1059" s="11">
        <v>2015</v>
      </c>
      <c r="B1059" s="10">
        <f t="shared" ref="B1059:J1059" si="5">AVERAGE(B25:B36)</f>
        <v>4.3227333333333329</v>
      </c>
      <c r="C1059" s="10">
        <f t="shared" si="5"/>
        <v>4.3289083333333336</v>
      </c>
      <c r="D1059" s="10">
        <f t="shared" si="5"/>
        <v>4.4430083333333341</v>
      </c>
      <c r="E1059" s="10">
        <f t="shared" si="5"/>
        <v>4.4751250000000002</v>
      </c>
      <c r="F1059" s="10">
        <f t="shared" si="5"/>
        <v>4.292391666666667</v>
      </c>
      <c r="G1059" s="10">
        <f t="shared" si="5"/>
        <v>4.3094083333333337</v>
      </c>
      <c r="H1059" s="10">
        <f t="shared" si="5"/>
        <v>4.4642333333333326</v>
      </c>
      <c r="I1059" s="10">
        <f t="shared" si="5"/>
        <v>4.310433333333334</v>
      </c>
      <c r="J1059" s="10">
        <f t="shared" si="5"/>
        <v>4.2853916666666665</v>
      </c>
      <c r="K1059" s="10"/>
      <c r="L1059" s="10">
        <f t="shared" ref="L1059:S1059" si="6">AVERAGE(L25:L36)</f>
        <v>5.0512333333333332</v>
      </c>
      <c r="M1059" s="10">
        <f t="shared" si="6"/>
        <v>4.2559833333333339</v>
      </c>
      <c r="N1059" s="10">
        <f t="shared" si="6"/>
        <v>4.2728250000000001</v>
      </c>
      <c r="O1059" s="10">
        <f t="shared" si="6"/>
        <v>4.4329999999999998</v>
      </c>
      <c r="P1059" s="10">
        <f t="shared" si="6"/>
        <v>4.2808083333333338</v>
      </c>
      <c r="Q1059" s="10">
        <f t="shared" si="6"/>
        <v>5.0282999999999998</v>
      </c>
      <c r="R1059" s="10">
        <f t="shared" si="6"/>
        <v>5.6278833333333322</v>
      </c>
      <c r="S1059" s="10">
        <f t="shared" si="6"/>
        <v>4.1947166666666664</v>
      </c>
      <c r="T1059" s="32">
        <f>SUM(T25:T36)</f>
        <v>364.742681</v>
      </c>
      <c r="U1059" s="32">
        <f>SUM(U25:U36)</f>
        <v>142.03263249999998</v>
      </c>
      <c r="V1059" s="32">
        <f>SUM(V25:V36)</f>
        <v>58.217499999999994</v>
      </c>
      <c r="W1059" s="32">
        <f>SUM(W25:W36)</f>
        <v>8.3657999999999983</v>
      </c>
      <c r="X1059" s="32">
        <f>SUM(X25:X36)</f>
        <v>17.010567464000001</v>
      </c>
      <c r="Y1059" s="32"/>
      <c r="Z1059" s="32">
        <f>SUM(Z25:Z36)</f>
        <v>3.5999999999999992</v>
      </c>
      <c r="AA1059" s="10">
        <f>AVERAGE(AA25:AA36)</f>
        <v>4.2759</v>
      </c>
      <c r="AB1059" s="32">
        <f>SUM(AB25:AB36)</f>
        <v>12.811459999999997</v>
      </c>
      <c r="AC1059" s="33">
        <f>AVERAGE(AC25:AC36)</f>
        <v>4.3355394221451835</v>
      </c>
      <c r="AD1059" s="27">
        <f>AVERAGE(AD25:AD36)</f>
        <v>4.3185163069544359</v>
      </c>
    </row>
    <row r="1060" spans="1:30" ht="15" x14ac:dyDescent="0.2">
      <c r="A1060" s="11">
        <v>2016</v>
      </c>
      <c r="B1060" s="10">
        <f t="shared" ref="B1060:J1060" si="7">AVERAGE(B37:B48)</f>
        <v>4.2459499999999997</v>
      </c>
      <c r="C1060" s="10">
        <f t="shared" si="7"/>
        <v>4.2521083333333332</v>
      </c>
      <c r="D1060" s="10">
        <f t="shared" si="7"/>
        <v>4.3662166666666673</v>
      </c>
      <c r="E1060" s="10">
        <f t="shared" si="7"/>
        <v>4.3982999999999999</v>
      </c>
      <c r="F1060" s="10">
        <f t="shared" si="7"/>
        <v>4.2155999999999993</v>
      </c>
      <c r="G1060" s="10">
        <f t="shared" si="7"/>
        <v>4.2326083333333333</v>
      </c>
      <c r="H1060" s="10">
        <f t="shared" si="7"/>
        <v>4.3874166666666667</v>
      </c>
      <c r="I1060" s="10">
        <f t="shared" si="7"/>
        <v>4.2336333333333327</v>
      </c>
      <c r="J1060" s="10">
        <f t="shared" si="7"/>
        <v>4.2085999999999997</v>
      </c>
      <c r="K1060" s="10"/>
      <c r="L1060" s="10">
        <f t="shared" ref="L1060:S1060" si="8">AVERAGE(L37:L48)</f>
        <v>4.9744166666666665</v>
      </c>
      <c r="M1060" s="10">
        <f t="shared" si="8"/>
        <v>4.1799500000000007</v>
      </c>
      <c r="N1060" s="10">
        <f t="shared" si="8"/>
        <v>4.1967916666666678</v>
      </c>
      <c r="O1060" s="10">
        <f t="shared" si="8"/>
        <v>4.3569833333333339</v>
      </c>
      <c r="P1060" s="10">
        <f t="shared" si="8"/>
        <v>4.2047750000000006</v>
      </c>
      <c r="Q1060" s="10">
        <f t="shared" si="8"/>
        <v>4.9522833333333329</v>
      </c>
      <c r="R1060" s="10">
        <f t="shared" si="8"/>
        <v>5.5516583333333331</v>
      </c>
      <c r="S1060" s="10">
        <f t="shared" si="8"/>
        <v>4.1201333333333325</v>
      </c>
      <c r="T1060" s="32">
        <f>SUM(T37:T48)</f>
        <v>358.17703550000004</v>
      </c>
      <c r="U1060" s="32">
        <f>SUM(U37:U48)</f>
        <v>142.42176299999997</v>
      </c>
      <c r="V1060" s="32">
        <f>SUM(V37:V48)</f>
        <v>58.377000000000002</v>
      </c>
      <c r="W1060" s="32">
        <f>SUM(W37:W48)</f>
        <v>6.1846754999999982</v>
      </c>
      <c r="X1060" s="32">
        <f>SUM(X37:X48)</f>
        <v>20.800615543999996</v>
      </c>
      <c r="Y1060" s="32"/>
      <c r="Z1060" s="32">
        <f>SUM(Z37:Z48)</f>
        <v>3.5999999999999992</v>
      </c>
      <c r="AA1060" s="32"/>
      <c r="AB1060" s="32"/>
      <c r="AC1060" s="33">
        <f>AVERAGE(AC37:AC48)</f>
        <v>4.2535694393828392</v>
      </c>
      <c r="AD1060" s="27">
        <f>AVERAGE(AD37:AD48)</f>
        <v>4.2416488009592328</v>
      </c>
    </row>
    <row r="1061" spans="1:30" ht="15" x14ac:dyDescent="0.2">
      <c r="A1061" s="11">
        <v>2017</v>
      </c>
      <c r="B1061" s="10">
        <f t="shared" ref="B1061:S1061" si="9">AVERAGE(B49:B60)</f>
        <v>4.6124749999999999</v>
      </c>
      <c r="C1061" s="10">
        <f t="shared" si="9"/>
        <v>4.6186250000000006</v>
      </c>
      <c r="D1061" s="10">
        <f t="shared" si="9"/>
        <v>4.7327500000000002</v>
      </c>
      <c r="E1061" s="10">
        <f t="shared" si="9"/>
        <v>4.7648250000000001</v>
      </c>
      <c r="F1061" s="10">
        <f t="shared" si="9"/>
        <v>4.5821250000000004</v>
      </c>
      <c r="G1061" s="10">
        <f t="shared" si="9"/>
        <v>4.5991333333333344</v>
      </c>
      <c r="H1061" s="10">
        <f t="shared" si="9"/>
        <v>4.7539583333333333</v>
      </c>
      <c r="I1061" s="10">
        <f t="shared" si="9"/>
        <v>4.6001750000000001</v>
      </c>
      <c r="J1061" s="10">
        <f t="shared" si="9"/>
        <v>4.5751249999999999</v>
      </c>
      <c r="K1061" s="10">
        <f t="shared" si="9"/>
        <v>4.6099083333333324</v>
      </c>
      <c r="L1061" s="10">
        <f t="shared" si="9"/>
        <v>5.340958333333333</v>
      </c>
      <c r="M1061" s="10">
        <f t="shared" si="9"/>
        <v>4.5427833333333334</v>
      </c>
      <c r="N1061" s="10">
        <f t="shared" si="9"/>
        <v>4.5596250000000005</v>
      </c>
      <c r="O1061" s="10">
        <f t="shared" si="9"/>
        <v>4.7198000000000002</v>
      </c>
      <c r="P1061" s="10">
        <f t="shared" si="9"/>
        <v>4.5676000000000005</v>
      </c>
      <c r="Q1061" s="10">
        <f t="shared" si="9"/>
        <v>5.315100000000001</v>
      </c>
      <c r="R1061" s="10">
        <f t="shared" si="9"/>
        <v>5.9153833333333337</v>
      </c>
      <c r="S1061" s="10">
        <f t="shared" si="9"/>
        <v>4.4760583333333335</v>
      </c>
      <c r="T1061" s="32">
        <f>SUM(T49:T60)</f>
        <v>357.24568100000005</v>
      </c>
      <c r="U1061" s="32">
        <f>SUM(U49:U60)</f>
        <v>142.03263249999998</v>
      </c>
      <c r="V1061" s="32">
        <f>SUM(V49:V60)</f>
        <v>58.217499999999994</v>
      </c>
      <c r="W1061" s="32">
        <f>SUM(W49:W60)</f>
        <v>5.0822234999999996</v>
      </c>
      <c r="X1061" s="32">
        <f>SUM(X49:X60)</f>
        <v>20.758966663999999</v>
      </c>
      <c r="Y1061" s="32">
        <f>SUM(Y53:Y60)</f>
        <v>198.18539999999999</v>
      </c>
      <c r="Z1061" s="32"/>
      <c r="AA1061" s="10"/>
      <c r="AB1061" s="10"/>
      <c r="AC1061" s="33">
        <f>AVERAGE(AC49:AC60)</f>
        <v>4.6200946445747144</v>
      </c>
      <c r="AD1061" s="27">
        <f>AVERAGE(AD49:AD60)</f>
        <v>4.6044748201438859</v>
      </c>
    </row>
    <row r="1062" spans="1:30" ht="15" x14ac:dyDescent="0.2">
      <c r="A1062" s="11">
        <v>2018</v>
      </c>
      <c r="B1062" s="10">
        <f t="shared" ref="B1062:S1062" si="10">AVERAGE(B61:B72)</f>
        <v>4.7815250000000011</v>
      </c>
      <c r="C1062" s="10">
        <f t="shared" si="10"/>
        <v>4.7876916666666665</v>
      </c>
      <c r="D1062" s="10">
        <f t="shared" si="10"/>
        <v>4.901791666666667</v>
      </c>
      <c r="E1062" s="10">
        <f t="shared" si="10"/>
        <v>4.9338916666666668</v>
      </c>
      <c r="F1062" s="10">
        <f t="shared" si="10"/>
        <v>4.7511666666666672</v>
      </c>
      <c r="G1062" s="10">
        <f t="shared" si="10"/>
        <v>4.7681833333333339</v>
      </c>
      <c r="H1062" s="10">
        <f t="shared" si="10"/>
        <v>4.9230083333333337</v>
      </c>
      <c r="I1062" s="10">
        <f t="shared" si="10"/>
        <v>4.7692166666666669</v>
      </c>
      <c r="J1062" s="10">
        <f t="shared" si="10"/>
        <v>4.7441666666666675</v>
      </c>
      <c r="K1062" s="10">
        <f t="shared" si="10"/>
        <v>4.7741666666666669</v>
      </c>
      <c r="L1062" s="10">
        <f t="shared" si="10"/>
        <v>5.5100083333333343</v>
      </c>
      <c r="M1062" s="10">
        <f t="shared" si="10"/>
        <v>4.7101333333333333</v>
      </c>
      <c r="N1062" s="10">
        <f t="shared" si="10"/>
        <v>4.7269666666666668</v>
      </c>
      <c r="O1062" s="10">
        <f t="shared" si="10"/>
        <v>4.8871583333333328</v>
      </c>
      <c r="P1062" s="10">
        <f t="shared" si="10"/>
        <v>4.7349416666666668</v>
      </c>
      <c r="Q1062" s="10">
        <f t="shared" si="10"/>
        <v>5.4824583333333337</v>
      </c>
      <c r="R1062" s="10">
        <f t="shared" si="10"/>
        <v>6.0831666666666662</v>
      </c>
      <c r="S1062" s="10">
        <f t="shared" si="10"/>
        <v>4.6402166666666664</v>
      </c>
      <c r="T1062" s="32">
        <f t="shared" ref="T1062:Y1062" si="11">SUM(T61:T72)</f>
        <v>357.24568100000005</v>
      </c>
      <c r="U1062" s="32">
        <f t="shared" si="11"/>
        <v>142.03263249999998</v>
      </c>
      <c r="V1062" s="32">
        <f t="shared" si="11"/>
        <v>50.187500000000007</v>
      </c>
      <c r="W1062" s="32">
        <f t="shared" si="11"/>
        <v>5.0822234999999996</v>
      </c>
      <c r="X1062" s="32">
        <f t="shared" si="11"/>
        <v>20.758966663999999</v>
      </c>
      <c r="Y1062" s="32">
        <f t="shared" si="11"/>
        <v>293.19720000000001</v>
      </c>
      <c r="Z1062" s="32"/>
      <c r="AA1062" s="10"/>
      <c r="AB1062" s="10"/>
      <c r="AC1062" s="33">
        <f>AVERAGE(AC61:AC72)</f>
        <v>4.789145513558525</v>
      </c>
      <c r="AD1062" s="27">
        <f>AVERAGE(AD61:AD72)</f>
        <v>4.7718254796163064</v>
      </c>
    </row>
    <row r="1063" spans="1:30" ht="15" x14ac:dyDescent="0.2">
      <c r="A1063" s="11">
        <v>2019</v>
      </c>
      <c r="B1063" s="10">
        <f t="shared" ref="B1063:S1063" si="12">AVERAGE(B73:B84)</f>
        <v>5.4619416666666671</v>
      </c>
      <c r="C1063" s="10">
        <f t="shared" si="12"/>
        <v>5.4680833333333334</v>
      </c>
      <c r="D1063" s="10">
        <f t="shared" si="12"/>
        <v>5.5822083333333339</v>
      </c>
      <c r="E1063" s="10">
        <f t="shared" si="12"/>
        <v>5.6143166666666664</v>
      </c>
      <c r="F1063" s="10">
        <f t="shared" si="12"/>
        <v>5.4315833333333332</v>
      </c>
      <c r="G1063" s="10">
        <f t="shared" si="12"/>
        <v>5.4485916666666654</v>
      </c>
      <c r="H1063" s="10">
        <f t="shared" si="12"/>
        <v>5.6034249999999988</v>
      </c>
      <c r="I1063" s="10">
        <f t="shared" si="12"/>
        <v>5.4496333333333338</v>
      </c>
      <c r="J1063" s="10">
        <f t="shared" si="12"/>
        <v>5.4245833333333335</v>
      </c>
      <c r="K1063" s="10">
        <f t="shared" si="12"/>
        <v>5.4352666666666671</v>
      </c>
      <c r="L1063" s="10">
        <f t="shared" si="12"/>
        <v>6.1904249999999985</v>
      </c>
      <c r="M1063" s="10">
        <f t="shared" si="12"/>
        <v>5.3836666666666666</v>
      </c>
      <c r="N1063" s="10">
        <f t="shared" si="12"/>
        <v>5.4005000000000001</v>
      </c>
      <c r="O1063" s="10">
        <f t="shared" si="12"/>
        <v>5.5607000000000006</v>
      </c>
      <c r="P1063" s="10">
        <f t="shared" si="12"/>
        <v>5.4085166666666673</v>
      </c>
      <c r="Q1063" s="10">
        <f t="shared" si="12"/>
        <v>6.1559999999999997</v>
      </c>
      <c r="R1063" s="10">
        <f t="shared" si="12"/>
        <v>6.7583999999999991</v>
      </c>
      <c r="S1063" s="10">
        <f t="shared" si="12"/>
        <v>5.3009750000000002</v>
      </c>
      <c r="T1063" s="32">
        <f t="shared" ref="T1063:Y1063" si="13">SUM(T73:T84)</f>
        <v>357.24568100000005</v>
      </c>
      <c r="U1063" s="32">
        <f t="shared" si="13"/>
        <v>142.03263249999998</v>
      </c>
      <c r="V1063" s="32">
        <f t="shared" si="13"/>
        <v>50.187500000000007</v>
      </c>
      <c r="W1063" s="32">
        <f t="shared" si="13"/>
        <v>5.0822234999999996</v>
      </c>
      <c r="X1063" s="32">
        <f t="shared" si="13"/>
        <v>20.758966663999999</v>
      </c>
      <c r="Y1063" s="32">
        <f t="shared" si="13"/>
        <v>290.24799999999999</v>
      </c>
      <c r="Z1063" s="32"/>
      <c r="AA1063" s="10"/>
      <c r="AB1063" s="10"/>
      <c r="AC1063" s="33">
        <f>AVERAGE(AC73:AC84)</f>
        <v>5.4695555499195008</v>
      </c>
      <c r="AD1063" s="27">
        <f>AVERAGE(AD73:AD84)</f>
        <v>5.4453671462829734</v>
      </c>
    </row>
    <row r="1064" spans="1:30" ht="15" x14ac:dyDescent="0.2">
      <c r="A1064" s="11">
        <v>2020</v>
      </c>
      <c r="B1064" s="10">
        <f t="shared" ref="B1064:S1064" si="14">AVERAGE(B85:B96)</f>
        <v>5.6163999999999996</v>
      </c>
      <c r="C1064" s="10">
        <f t="shared" si="14"/>
        <v>5.6225666666666667</v>
      </c>
      <c r="D1064" s="10">
        <f t="shared" si="14"/>
        <v>5.7366666666666655</v>
      </c>
      <c r="E1064" s="10">
        <f t="shared" si="14"/>
        <v>5.768766666666667</v>
      </c>
      <c r="F1064" s="10">
        <f t="shared" si="14"/>
        <v>5.5860500000000002</v>
      </c>
      <c r="G1064" s="10">
        <f t="shared" si="14"/>
        <v>5.6030583333333333</v>
      </c>
      <c r="H1064" s="10">
        <f t="shared" si="14"/>
        <v>5.7578749999999994</v>
      </c>
      <c r="I1064" s="10">
        <f t="shared" si="14"/>
        <v>5.6040999999999999</v>
      </c>
      <c r="J1064" s="10">
        <f t="shared" si="14"/>
        <v>5.5790499999999996</v>
      </c>
      <c r="K1064" s="10">
        <f t="shared" si="14"/>
        <v>5.5853333333333337</v>
      </c>
      <c r="L1064" s="10">
        <f t="shared" si="14"/>
        <v>6.3448750000000009</v>
      </c>
      <c r="M1064" s="10">
        <f t="shared" si="14"/>
        <v>5.5365666666666682</v>
      </c>
      <c r="N1064" s="10">
        <f t="shared" si="14"/>
        <v>5.5533916666666672</v>
      </c>
      <c r="O1064" s="10">
        <f t="shared" si="14"/>
        <v>5.7135916666666668</v>
      </c>
      <c r="P1064" s="10">
        <f t="shared" si="14"/>
        <v>5.5613916666666663</v>
      </c>
      <c r="Q1064" s="10">
        <f t="shared" si="14"/>
        <v>6.3088916666666668</v>
      </c>
      <c r="R1064" s="10">
        <f t="shared" si="14"/>
        <v>6.9116833333333334</v>
      </c>
      <c r="S1064" s="10">
        <f t="shared" si="14"/>
        <v>5.4509749999999997</v>
      </c>
      <c r="T1064" s="32">
        <f t="shared" ref="T1064:Y1064" si="15">SUM(T85:T96)</f>
        <v>358.17703550000004</v>
      </c>
      <c r="U1064" s="32">
        <f t="shared" si="15"/>
        <v>142.42176299999997</v>
      </c>
      <c r="V1064" s="32">
        <f t="shared" si="15"/>
        <v>50.325000000000003</v>
      </c>
      <c r="W1064" s="32">
        <f t="shared" si="15"/>
        <v>5.0961473999999995</v>
      </c>
      <c r="X1064" s="32">
        <f t="shared" si="15"/>
        <v>20.800615543999996</v>
      </c>
      <c r="Y1064" s="32">
        <f t="shared" si="15"/>
        <v>349.04302000000001</v>
      </c>
      <c r="Z1064" s="32"/>
      <c r="AA1064" s="10"/>
      <c r="AB1064" s="10"/>
      <c r="AC1064" s="33">
        <f>AVERAGE(AC85:AC96)</f>
        <v>5.6240242178889241</v>
      </c>
      <c r="AD1064" s="27">
        <f>AVERAGE(AD85:AD96)</f>
        <v>5.598259292565948</v>
      </c>
    </row>
    <row r="1065" spans="1:30" ht="15" x14ac:dyDescent="0.2">
      <c r="A1065" s="11">
        <v>2021</v>
      </c>
      <c r="B1065" s="10">
        <f t="shared" ref="B1065:S1065" si="16">AVERAGE(B97:B108)</f>
        <v>5.8223500000000001</v>
      </c>
      <c r="C1065" s="10">
        <f t="shared" si="16"/>
        <v>5.8285083333333327</v>
      </c>
      <c r="D1065" s="10">
        <f t="shared" si="16"/>
        <v>5.9426249999999996</v>
      </c>
      <c r="E1065" s="10">
        <f t="shared" si="16"/>
        <v>5.9747249999999994</v>
      </c>
      <c r="F1065" s="10">
        <f t="shared" si="16"/>
        <v>5.7920166666666661</v>
      </c>
      <c r="G1065" s="10">
        <f t="shared" si="16"/>
        <v>5.8090166666666656</v>
      </c>
      <c r="H1065" s="10">
        <f t="shared" si="16"/>
        <v>5.9638416666666672</v>
      </c>
      <c r="I1065" s="10">
        <f t="shared" si="16"/>
        <v>5.8100499999999995</v>
      </c>
      <c r="J1065" s="10">
        <f t="shared" si="16"/>
        <v>5.7850166666666674</v>
      </c>
      <c r="K1065" s="10">
        <f t="shared" si="16"/>
        <v>5.7854333333333328</v>
      </c>
      <c r="L1065" s="10">
        <f t="shared" si="16"/>
        <v>6.550841666666666</v>
      </c>
      <c r="M1065" s="10">
        <f t="shared" si="16"/>
        <v>5.7404499999999992</v>
      </c>
      <c r="N1065" s="10">
        <f t="shared" si="16"/>
        <v>5.7572833333333335</v>
      </c>
      <c r="O1065" s="10">
        <f t="shared" si="16"/>
        <v>5.9174833333333341</v>
      </c>
      <c r="P1065" s="10">
        <f t="shared" si="16"/>
        <v>5.7652666666666663</v>
      </c>
      <c r="Q1065" s="10">
        <f t="shared" si="16"/>
        <v>6.512783333333334</v>
      </c>
      <c r="R1065" s="10">
        <f t="shared" si="16"/>
        <v>7.1160583333333323</v>
      </c>
      <c r="S1065" s="10">
        <f t="shared" si="16"/>
        <v>5.6509833333333335</v>
      </c>
      <c r="T1065" s="32">
        <f t="shared" ref="T1065:Y1065" si="17">SUM(T97:T108)</f>
        <v>357.24568100000005</v>
      </c>
      <c r="U1065" s="32">
        <f t="shared" si="17"/>
        <v>142.03263249999998</v>
      </c>
      <c r="V1065" s="32">
        <f t="shared" si="17"/>
        <v>50.187500000000007</v>
      </c>
      <c r="W1065" s="32">
        <f t="shared" si="17"/>
        <v>5.0822234999999996</v>
      </c>
      <c r="X1065" s="32">
        <f t="shared" si="17"/>
        <v>20.758966663999999</v>
      </c>
      <c r="Y1065" s="32">
        <f t="shared" si="17"/>
        <v>388.68119999999999</v>
      </c>
      <c r="Z1065" s="32"/>
      <c r="AA1065" s="10"/>
      <c r="AB1065" s="10"/>
      <c r="AC1065" s="33">
        <f>AVERAGE(AC97:AC108)</f>
        <v>5.8299774991008242</v>
      </c>
      <c r="AD1065" s="27">
        <f>AVERAGE(AD97:AD108)</f>
        <v>5.8021471223021583</v>
      </c>
    </row>
    <row r="1066" spans="1:30" ht="15" x14ac:dyDescent="0.2">
      <c r="A1066" s="11">
        <v>2022</v>
      </c>
      <c r="B1066" s="10">
        <f t="shared" ref="B1066:S1066" si="18">AVERAGE(B109:B120)</f>
        <v>6.0283083333333343</v>
      </c>
      <c r="C1066" s="10">
        <f t="shared" si="18"/>
        <v>6.0344583333333333</v>
      </c>
      <c r="D1066" s="10">
        <f t="shared" si="18"/>
        <v>6.1485833333333337</v>
      </c>
      <c r="E1066" s="10">
        <f t="shared" si="18"/>
        <v>6.1806833333333344</v>
      </c>
      <c r="F1066" s="10">
        <f t="shared" si="18"/>
        <v>5.9979500000000003</v>
      </c>
      <c r="G1066" s="10">
        <f t="shared" si="18"/>
        <v>6.0149749999999997</v>
      </c>
      <c r="H1066" s="10">
        <f t="shared" si="18"/>
        <v>6.1697916666666677</v>
      </c>
      <c r="I1066" s="10">
        <f t="shared" si="18"/>
        <v>6.0160000000000009</v>
      </c>
      <c r="J1066" s="10">
        <f t="shared" si="18"/>
        <v>5.9909500000000007</v>
      </c>
      <c r="K1066" s="10">
        <f t="shared" si="18"/>
        <v>5.985525</v>
      </c>
      <c r="L1066" s="10">
        <f t="shared" si="18"/>
        <v>6.7567916666666674</v>
      </c>
      <c r="M1066" s="10">
        <f t="shared" si="18"/>
        <v>5.9443250000000001</v>
      </c>
      <c r="N1066" s="10">
        <f t="shared" si="18"/>
        <v>5.9611499999999991</v>
      </c>
      <c r="O1066" s="10">
        <f t="shared" si="18"/>
        <v>6.1213500000000005</v>
      </c>
      <c r="P1066" s="10">
        <f t="shared" si="18"/>
        <v>5.9691499999999991</v>
      </c>
      <c r="Q1066" s="10">
        <f t="shared" si="18"/>
        <v>6.7166499999999987</v>
      </c>
      <c r="R1066" s="10">
        <f t="shared" si="18"/>
        <v>7.3204250000000002</v>
      </c>
      <c r="S1066" s="10">
        <f t="shared" si="18"/>
        <v>5.8509750000000009</v>
      </c>
      <c r="T1066" s="32">
        <f t="shared" ref="T1066:Y1066" si="19">SUM(T109:T120)</f>
        <v>357.24568100000005</v>
      </c>
      <c r="U1066" s="32">
        <f t="shared" si="19"/>
        <v>142.03263249999998</v>
      </c>
      <c r="V1066" s="32">
        <f t="shared" si="19"/>
        <v>50.187500000000007</v>
      </c>
      <c r="W1066" s="32">
        <f t="shared" si="19"/>
        <v>5.0822234999999996</v>
      </c>
      <c r="X1066" s="32">
        <f t="shared" si="19"/>
        <v>20.758966663999999</v>
      </c>
      <c r="Y1066" s="32">
        <f t="shared" si="19"/>
        <v>386.33789999999999</v>
      </c>
      <c r="Z1066" s="32"/>
      <c r="AA1066" s="10"/>
      <c r="AB1066" s="10"/>
      <c r="AC1066" s="33">
        <f>AVERAGE(AC109:AC120)</f>
        <v>6.0359267101838086</v>
      </c>
      <c r="AD1066" s="27">
        <f>AVERAGE(AD109:AD120)</f>
        <v>6.0060176258992817</v>
      </c>
    </row>
    <row r="1067" spans="1:30" ht="15" x14ac:dyDescent="0.2">
      <c r="A1067" s="11">
        <v>2023</v>
      </c>
      <c r="B1067" s="10">
        <f t="shared" ref="B1067:S1067" si="20">AVERAGE(B121:B132)</f>
        <v>6.2342750000000002</v>
      </c>
      <c r="C1067" s="10">
        <f t="shared" si="20"/>
        <v>6.240425000000001</v>
      </c>
      <c r="D1067" s="10">
        <f t="shared" si="20"/>
        <v>6.3545333333333334</v>
      </c>
      <c r="E1067" s="10">
        <f t="shared" si="20"/>
        <v>6.3866416666666668</v>
      </c>
      <c r="F1067" s="10">
        <f t="shared" si="20"/>
        <v>6.2039166666666672</v>
      </c>
      <c r="G1067" s="10">
        <f t="shared" si="20"/>
        <v>6.2209166666666667</v>
      </c>
      <c r="H1067" s="10">
        <f t="shared" si="20"/>
        <v>6.3757499999999991</v>
      </c>
      <c r="I1067" s="10">
        <f t="shared" si="20"/>
        <v>6.2219583333333333</v>
      </c>
      <c r="J1067" s="10">
        <f t="shared" si="20"/>
        <v>6.1969166666666666</v>
      </c>
      <c r="K1067" s="10">
        <f t="shared" si="20"/>
        <v>6.1856333333333327</v>
      </c>
      <c r="L1067" s="10">
        <f t="shared" si="20"/>
        <v>6.9627500000000007</v>
      </c>
      <c r="M1067" s="10">
        <f t="shared" si="20"/>
        <v>6.1481916666666665</v>
      </c>
      <c r="N1067" s="10">
        <f t="shared" si="20"/>
        <v>6.1650333333333327</v>
      </c>
      <c r="O1067" s="10">
        <f t="shared" si="20"/>
        <v>6.3252333333333342</v>
      </c>
      <c r="P1067" s="10">
        <f t="shared" si="20"/>
        <v>6.1730333333333327</v>
      </c>
      <c r="Q1067" s="10">
        <f t="shared" si="20"/>
        <v>6.9205333333333314</v>
      </c>
      <c r="R1067" s="10">
        <f t="shared" si="20"/>
        <v>7.5248499999999998</v>
      </c>
      <c r="S1067" s="10">
        <f t="shared" si="20"/>
        <v>6.0509750000000002</v>
      </c>
      <c r="T1067" s="32">
        <f t="shared" ref="T1067:Y1067" si="21">SUM(T121:T132)</f>
        <v>357.24568100000005</v>
      </c>
      <c r="U1067" s="32">
        <f t="shared" si="21"/>
        <v>142.03263249999998</v>
      </c>
      <c r="V1067" s="32">
        <f t="shared" si="21"/>
        <v>50.187500000000007</v>
      </c>
      <c r="W1067" s="32">
        <f t="shared" si="21"/>
        <v>5.0822234999999996</v>
      </c>
      <c r="X1067" s="32">
        <f t="shared" si="21"/>
        <v>20.758966663999999</v>
      </c>
      <c r="Y1067" s="32">
        <f t="shared" si="21"/>
        <v>384.12599999999998</v>
      </c>
      <c r="Z1067" s="32"/>
      <c r="AA1067" s="10"/>
      <c r="AB1067" s="10"/>
      <c r="AC1067" s="33">
        <f>AVERAGE(AC121:AC132)</f>
        <v>6.2418871776505584</v>
      </c>
      <c r="AD1067" s="27">
        <f>AVERAGE(AD121:AD132)</f>
        <v>6.2098952038369299</v>
      </c>
    </row>
    <row r="1068" spans="1:30" ht="15" x14ac:dyDescent="0.2">
      <c r="A1068" s="11">
        <v>2024</v>
      </c>
      <c r="B1068" s="10">
        <f t="shared" ref="B1068:S1068" si="22">AVERAGE(B133:B144)</f>
        <v>6.4402250000000008</v>
      </c>
      <c r="C1068" s="10">
        <f t="shared" si="22"/>
        <v>6.4463749999999997</v>
      </c>
      <c r="D1068" s="10">
        <f t="shared" si="22"/>
        <v>6.5605000000000002</v>
      </c>
      <c r="E1068" s="10">
        <f t="shared" si="22"/>
        <v>6.5925750000000001</v>
      </c>
      <c r="F1068" s="10">
        <f t="shared" si="22"/>
        <v>6.4098749999999995</v>
      </c>
      <c r="G1068" s="10">
        <f t="shared" si="22"/>
        <v>6.4268666666666663</v>
      </c>
      <c r="H1068" s="10">
        <f t="shared" si="22"/>
        <v>6.5816833333333316</v>
      </c>
      <c r="I1068" s="10">
        <f t="shared" si="22"/>
        <v>6.4278833333333338</v>
      </c>
      <c r="J1068" s="10">
        <f t="shared" si="22"/>
        <v>6.4028750000000008</v>
      </c>
      <c r="K1068" s="10">
        <f t="shared" si="22"/>
        <v>6.3857249999999999</v>
      </c>
      <c r="L1068" s="10">
        <f t="shared" si="22"/>
        <v>7.1686833333333331</v>
      </c>
      <c r="M1068" s="10">
        <f t="shared" si="22"/>
        <v>6.3520833333333329</v>
      </c>
      <c r="N1068" s="10">
        <f t="shared" si="22"/>
        <v>6.3689083333333345</v>
      </c>
      <c r="O1068" s="10">
        <f t="shared" si="22"/>
        <v>6.5290999999999997</v>
      </c>
      <c r="P1068" s="10">
        <f t="shared" si="22"/>
        <v>6.3769</v>
      </c>
      <c r="Q1068" s="10">
        <f t="shared" si="22"/>
        <v>7.1244000000000005</v>
      </c>
      <c r="R1068" s="10">
        <f t="shared" si="22"/>
        <v>7.729216666666666</v>
      </c>
      <c r="S1068" s="10">
        <f t="shared" si="22"/>
        <v>6.2509833333333331</v>
      </c>
      <c r="T1068" s="32">
        <f t="shared" ref="T1068:Y1068" si="23">SUM(T133:T144)</f>
        <v>358.17703550000004</v>
      </c>
      <c r="U1068" s="32">
        <f t="shared" si="23"/>
        <v>142.42176299999997</v>
      </c>
      <c r="V1068" s="32">
        <f t="shared" si="23"/>
        <v>50.325000000000003</v>
      </c>
      <c r="W1068" s="32">
        <f t="shared" si="23"/>
        <v>5.0961473999999995</v>
      </c>
      <c r="X1068" s="32">
        <f t="shared" si="23"/>
        <v>20.800615543999996</v>
      </c>
      <c r="Y1068" s="32">
        <f t="shared" si="23"/>
        <v>383.00436000000002</v>
      </c>
      <c r="Z1068" s="32"/>
      <c r="AA1068" s="10"/>
      <c r="AB1068" s="10"/>
      <c r="AC1068" s="33">
        <f>AVERAGE(AC133:AC144)</f>
        <v>6.4478382065858133</v>
      </c>
      <c r="AD1068" s="27">
        <f>AVERAGE(AD133:AD144)</f>
        <v>6.4137724220623502</v>
      </c>
    </row>
    <row r="1069" spans="1:30" ht="15" x14ac:dyDescent="0.2">
      <c r="A1069" s="11">
        <v>2025</v>
      </c>
      <c r="B1069" s="10">
        <f t="shared" ref="B1069:S1069" si="24">AVERAGE(B145:B156)</f>
        <v>6.5946749999999996</v>
      </c>
      <c r="C1069" s="10">
        <f t="shared" si="24"/>
        <v>6.6008250000000004</v>
      </c>
      <c r="D1069" s="10">
        <f t="shared" si="24"/>
        <v>6.7149583333333345</v>
      </c>
      <c r="E1069" s="10">
        <f t="shared" si="24"/>
        <v>6.7470333333333343</v>
      </c>
      <c r="F1069" s="10">
        <f t="shared" si="24"/>
        <v>6.5643583333333337</v>
      </c>
      <c r="G1069" s="10">
        <f t="shared" si="24"/>
        <v>6.5813249999999996</v>
      </c>
      <c r="H1069" s="10">
        <f t="shared" si="24"/>
        <v>6.7361499999999994</v>
      </c>
      <c r="I1069" s="10">
        <f t="shared" si="24"/>
        <v>6.582374999999999</v>
      </c>
      <c r="J1069" s="10">
        <f t="shared" si="24"/>
        <v>6.5573583333333332</v>
      </c>
      <c r="K1069" s="10">
        <f t="shared" si="24"/>
        <v>6.5358083333333328</v>
      </c>
      <c r="L1069" s="10">
        <f t="shared" si="24"/>
        <v>7.3231499999999992</v>
      </c>
      <c r="M1069" s="10">
        <f t="shared" si="24"/>
        <v>6.5049916666666654</v>
      </c>
      <c r="N1069" s="10">
        <f t="shared" si="24"/>
        <v>6.5218333333333334</v>
      </c>
      <c r="O1069" s="10">
        <f t="shared" si="24"/>
        <v>6.6820166666666667</v>
      </c>
      <c r="P1069" s="10">
        <f t="shared" si="24"/>
        <v>6.5298166666666662</v>
      </c>
      <c r="Q1069" s="10">
        <f t="shared" si="24"/>
        <v>7.2773166666666667</v>
      </c>
      <c r="R1069" s="10">
        <f t="shared" si="24"/>
        <v>7.8824916666666676</v>
      </c>
      <c r="S1069" s="10">
        <f t="shared" si="24"/>
        <v>6.4009833333333326</v>
      </c>
      <c r="T1069" s="32">
        <f t="shared" ref="T1069:Y1069" si="25">SUM(T145:T156)</f>
        <v>357.24568100000005</v>
      </c>
      <c r="U1069" s="32">
        <f t="shared" si="25"/>
        <v>142.03263249999998</v>
      </c>
      <c r="V1069" s="32">
        <f t="shared" si="25"/>
        <v>50.187500000000007</v>
      </c>
      <c r="W1069" s="32">
        <f t="shared" si="25"/>
        <v>5.0822234999999996</v>
      </c>
      <c r="X1069" s="32">
        <f t="shared" si="25"/>
        <v>20.758966663999999</v>
      </c>
      <c r="Y1069" s="32">
        <f t="shared" si="25"/>
        <v>379.76789999999994</v>
      </c>
      <c r="Z1069" s="32"/>
      <c r="AA1069" s="10"/>
      <c r="AB1069" s="10"/>
      <c r="AC1069" s="33">
        <f>AVERAGE(AC145:AC156)</f>
        <v>6.6023035948364068</v>
      </c>
      <c r="AD1069" s="27">
        <f>AVERAGE(AD145:AD156)</f>
        <v>6.566688129496403</v>
      </c>
    </row>
    <row r="1070" spans="1:30" ht="15" x14ac:dyDescent="0.2">
      <c r="A1070" s="11">
        <v>2026</v>
      </c>
      <c r="B1070" s="10">
        <f t="shared" ref="B1070:S1070" si="26">AVERAGE(B157:B168)</f>
        <v>6.8006166666666665</v>
      </c>
      <c r="C1070" s="10">
        <f t="shared" si="26"/>
        <v>6.8068</v>
      </c>
      <c r="D1070" s="10">
        <f t="shared" si="26"/>
        <v>6.9208999999999996</v>
      </c>
      <c r="E1070" s="10">
        <f t="shared" si="26"/>
        <v>6.9529999999999994</v>
      </c>
      <c r="F1070" s="10">
        <f t="shared" si="26"/>
        <v>6.7703000000000015</v>
      </c>
      <c r="G1070" s="10">
        <f t="shared" si="26"/>
        <v>6.7872833333333338</v>
      </c>
      <c r="H1070" s="10">
        <f t="shared" si="26"/>
        <v>6.9421250000000008</v>
      </c>
      <c r="I1070" s="10">
        <f t="shared" si="26"/>
        <v>6.7883166666666668</v>
      </c>
      <c r="J1070" s="10">
        <f t="shared" si="26"/>
        <v>6.7633000000000001</v>
      </c>
      <c r="K1070" s="10">
        <f t="shared" si="26"/>
        <v>6.7359166666666654</v>
      </c>
      <c r="L1070" s="10">
        <f t="shared" si="26"/>
        <v>7.5291249999999996</v>
      </c>
      <c r="M1070" s="10">
        <f t="shared" si="26"/>
        <v>6.7088583333333327</v>
      </c>
      <c r="N1070" s="10">
        <f t="shared" si="26"/>
        <v>6.7256833333333335</v>
      </c>
      <c r="O1070" s="10">
        <f t="shared" si="26"/>
        <v>6.8858749999999995</v>
      </c>
      <c r="P1070" s="10">
        <f t="shared" si="26"/>
        <v>6.7336833333333326</v>
      </c>
      <c r="Q1070" s="10">
        <f t="shared" si="26"/>
        <v>7.4811750000000012</v>
      </c>
      <c r="R1070" s="10">
        <f t="shared" si="26"/>
        <v>8.0868916666666681</v>
      </c>
      <c r="S1070" s="10">
        <f t="shared" si="26"/>
        <v>6.6009833333333319</v>
      </c>
      <c r="T1070" s="32">
        <f t="shared" ref="T1070:Y1070" si="27">SUM(T157:T168)</f>
        <v>357.24568100000005</v>
      </c>
      <c r="U1070" s="32">
        <f t="shared" si="27"/>
        <v>142.03263249999998</v>
      </c>
      <c r="V1070" s="32">
        <f t="shared" si="27"/>
        <v>50.187500000000007</v>
      </c>
      <c r="W1070" s="32">
        <f t="shared" si="27"/>
        <v>5.0822234999999996</v>
      </c>
      <c r="X1070" s="32">
        <f t="shared" si="27"/>
        <v>20.758966663999999</v>
      </c>
      <c r="Y1070" s="32">
        <f t="shared" si="27"/>
        <v>377.59980000000007</v>
      </c>
      <c r="Z1070" s="32"/>
      <c r="AA1070" s="10"/>
      <c r="AB1070" s="10"/>
      <c r="AC1070" s="33">
        <f>AVERAGE(AC157:AC168)</f>
        <v>6.8082556328488719</v>
      </c>
      <c r="AD1070" s="27">
        <f>AVERAGE(AD157:AD168)</f>
        <v>6.7705471822541972</v>
      </c>
    </row>
    <row r="1071" spans="1:30" ht="15" x14ac:dyDescent="0.2">
      <c r="A1071" s="11">
        <v>2027</v>
      </c>
      <c r="B1071" s="10">
        <f t="shared" ref="B1071:S1071" si="28">AVERAGE(B169:B180)</f>
        <v>7.0580583333333324</v>
      </c>
      <c r="C1071" s="10">
        <f t="shared" si="28"/>
        <v>7.0642416666666668</v>
      </c>
      <c r="D1071" s="10">
        <f t="shared" si="28"/>
        <v>7.1783250000000001</v>
      </c>
      <c r="E1071" s="10">
        <f t="shared" si="28"/>
        <v>7.2104333333333344</v>
      </c>
      <c r="F1071" s="10">
        <f t="shared" si="28"/>
        <v>7.0277250000000011</v>
      </c>
      <c r="G1071" s="10">
        <f t="shared" si="28"/>
        <v>7.044741666666666</v>
      </c>
      <c r="H1071" s="10">
        <f t="shared" si="28"/>
        <v>7.1995583333333331</v>
      </c>
      <c r="I1071" s="10">
        <f t="shared" si="28"/>
        <v>7.0457666666666681</v>
      </c>
      <c r="J1071" s="10">
        <f t="shared" si="28"/>
        <v>7.0207249999999997</v>
      </c>
      <c r="K1071" s="10">
        <f t="shared" si="28"/>
        <v>6.9860250000000006</v>
      </c>
      <c r="L1071" s="10">
        <f t="shared" si="28"/>
        <v>7.7865583333333346</v>
      </c>
      <c r="M1071" s="10">
        <f t="shared" si="28"/>
        <v>6.9637083333333321</v>
      </c>
      <c r="N1071" s="10">
        <f t="shared" si="28"/>
        <v>6.9805333333333337</v>
      </c>
      <c r="O1071" s="10">
        <f t="shared" si="28"/>
        <v>7.1407333333333325</v>
      </c>
      <c r="P1071" s="10">
        <f t="shared" si="28"/>
        <v>6.9885333333333337</v>
      </c>
      <c r="Q1071" s="10">
        <f t="shared" si="28"/>
        <v>7.7360333333333324</v>
      </c>
      <c r="R1071" s="10">
        <f t="shared" si="28"/>
        <v>8.3423666666666669</v>
      </c>
      <c r="S1071" s="10">
        <f t="shared" si="28"/>
        <v>6.8509750000000009</v>
      </c>
      <c r="T1071" s="32">
        <f t="shared" ref="T1071:Y1071" si="29">SUM(T169:T180)</f>
        <v>357.24568100000005</v>
      </c>
      <c r="U1071" s="32">
        <f t="shared" si="29"/>
        <v>142.03263249999998</v>
      </c>
      <c r="V1071" s="32">
        <f t="shared" si="29"/>
        <v>50.187500000000007</v>
      </c>
      <c r="W1071" s="32">
        <f t="shared" si="29"/>
        <v>5.0822234999999996</v>
      </c>
      <c r="X1071" s="32">
        <f t="shared" si="29"/>
        <v>20.758966663999999</v>
      </c>
      <c r="Y1071" s="32">
        <f t="shared" si="29"/>
        <v>375.43169999999998</v>
      </c>
      <c r="Z1071" s="32"/>
      <c r="AA1071" s="10"/>
      <c r="AB1071" s="10"/>
      <c r="AC1071" s="33">
        <f>AVERAGE(AC169:AC180)</f>
        <v>7.0656952514323343</v>
      </c>
      <c r="AD1071" s="27">
        <f>AVERAGE(AD169:AD180)</f>
        <v>7.0254009592326128</v>
      </c>
    </row>
    <row r="1072" spans="1:30" ht="15" x14ac:dyDescent="0.2">
      <c r="A1072" s="11">
        <v>2028</v>
      </c>
      <c r="B1072" s="10">
        <f t="shared" ref="B1072:S1072" si="30">AVERAGE(B181:B192)</f>
        <v>7.3154999999999992</v>
      </c>
      <c r="C1072" s="10">
        <f t="shared" si="30"/>
        <v>7.3216749999999999</v>
      </c>
      <c r="D1072" s="10">
        <f t="shared" si="30"/>
        <v>7.4357916666666668</v>
      </c>
      <c r="E1072" s="10">
        <f t="shared" si="30"/>
        <v>7.467858333333333</v>
      </c>
      <c r="F1072" s="10">
        <f t="shared" si="30"/>
        <v>7.2851749999999997</v>
      </c>
      <c r="G1072" s="10">
        <f t="shared" si="30"/>
        <v>7.3021666666666674</v>
      </c>
      <c r="H1072" s="10">
        <f t="shared" si="30"/>
        <v>7.4569833333333326</v>
      </c>
      <c r="I1072" s="10">
        <f t="shared" si="30"/>
        <v>7.3031999999999995</v>
      </c>
      <c r="J1072" s="10">
        <f t="shared" si="30"/>
        <v>7.2781750000000009</v>
      </c>
      <c r="K1072" s="10">
        <f t="shared" si="30"/>
        <v>7.236158333333333</v>
      </c>
      <c r="L1072" s="10">
        <f t="shared" si="30"/>
        <v>8.0439833333333333</v>
      </c>
      <c r="M1072" s="10">
        <f t="shared" si="30"/>
        <v>7.2185583333333332</v>
      </c>
      <c r="N1072" s="10">
        <f t="shared" si="30"/>
        <v>7.2353750000000003</v>
      </c>
      <c r="O1072" s="10">
        <f t="shared" si="30"/>
        <v>7.395575</v>
      </c>
      <c r="P1072" s="10">
        <f t="shared" si="30"/>
        <v>7.2433666666666667</v>
      </c>
      <c r="Q1072" s="10">
        <f t="shared" si="30"/>
        <v>7.990875</v>
      </c>
      <c r="R1072" s="10">
        <f t="shared" si="30"/>
        <v>8.5978583333333329</v>
      </c>
      <c r="S1072" s="10">
        <f t="shared" si="30"/>
        <v>7.1009750000000009</v>
      </c>
      <c r="T1072" s="32">
        <f t="shared" ref="T1072:Y1072" si="31">SUM(T181:T192)</f>
        <v>358.17703550000004</v>
      </c>
      <c r="U1072" s="32">
        <f t="shared" si="31"/>
        <v>142.42176299999997</v>
      </c>
      <c r="V1072" s="32">
        <f t="shared" si="31"/>
        <v>50.325000000000003</v>
      </c>
      <c r="W1072" s="32">
        <f t="shared" si="31"/>
        <v>5.0961473999999995</v>
      </c>
      <c r="X1072" s="32">
        <f t="shared" si="31"/>
        <v>20.800615543999996</v>
      </c>
      <c r="Y1072" s="32">
        <f t="shared" si="31"/>
        <v>374.28624000000002</v>
      </c>
      <c r="Z1072" s="32"/>
      <c r="AA1072" s="10"/>
      <c r="AB1072" s="10"/>
      <c r="AC1072" s="33">
        <f>AVERAGE(AC181:AC192)</f>
        <v>7.3231355803997822</v>
      </c>
      <c r="AD1072" s="27">
        <f>AVERAGE(AD181:AD192)</f>
        <v>7.280244304556355</v>
      </c>
    </row>
    <row r="1073" spans="1:30" ht="15" x14ac:dyDescent="0.2">
      <c r="A1073" s="11">
        <v>2029</v>
      </c>
      <c r="B1073" s="10">
        <f t="shared" ref="B1073:S1073" si="32">AVERAGE(B193:B204)</f>
        <v>7.6244250000000013</v>
      </c>
      <c r="C1073" s="10">
        <f t="shared" si="32"/>
        <v>7.6306000000000003</v>
      </c>
      <c r="D1073" s="10">
        <f t="shared" si="32"/>
        <v>7.7446916666666654</v>
      </c>
      <c r="E1073" s="10">
        <f t="shared" si="32"/>
        <v>7.776816666666666</v>
      </c>
      <c r="F1073" s="10">
        <f t="shared" si="32"/>
        <v>7.5940916666666674</v>
      </c>
      <c r="G1073" s="10">
        <f t="shared" si="32"/>
        <v>7.6111166666666668</v>
      </c>
      <c r="H1073" s="10">
        <f t="shared" si="32"/>
        <v>7.7659333333333329</v>
      </c>
      <c r="I1073" s="10">
        <f t="shared" si="32"/>
        <v>7.6121333333333352</v>
      </c>
      <c r="J1073" s="10">
        <f t="shared" si="32"/>
        <v>7.5870916666666659</v>
      </c>
      <c r="K1073" s="10">
        <f t="shared" si="32"/>
        <v>7.5362916666666644</v>
      </c>
      <c r="L1073" s="10">
        <f t="shared" si="32"/>
        <v>8.3529333333333327</v>
      </c>
      <c r="M1073" s="10">
        <f t="shared" si="32"/>
        <v>7.524350000000001</v>
      </c>
      <c r="N1073" s="10">
        <f t="shared" si="32"/>
        <v>7.5411916666666663</v>
      </c>
      <c r="O1073" s="10">
        <f t="shared" si="32"/>
        <v>7.701383333333335</v>
      </c>
      <c r="P1073" s="10">
        <f t="shared" si="32"/>
        <v>7.5491916666666663</v>
      </c>
      <c r="Q1073" s="10">
        <f t="shared" si="32"/>
        <v>8.2966833333333323</v>
      </c>
      <c r="R1073" s="10">
        <f t="shared" si="32"/>
        <v>8.9044249999999998</v>
      </c>
      <c r="S1073" s="10">
        <f t="shared" si="32"/>
        <v>7.400974999999999</v>
      </c>
      <c r="T1073" s="32">
        <f t="shared" ref="T1073:Y1073" si="33">SUM(T193:T204)</f>
        <v>357.24568100000005</v>
      </c>
      <c r="U1073" s="32">
        <f t="shared" si="33"/>
        <v>142.03263249999998</v>
      </c>
      <c r="V1073" s="32">
        <f t="shared" si="33"/>
        <v>50.187500000000007</v>
      </c>
      <c r="W1073" s="32">
        <f t="shared" si="33"/>
        <v>5.0822234999999996</v>
      </c>
      <c r="X1073" s="32">
        <f t="shared" si="33"/>
        <v>20.758966663999999</v>
      </c>
      <c r="Y1073" s="32">
        <f t="shared" si="33"/>
        <v>371.0954999999999</v>
      </c>
      <c r="Z1073" s="32"/>
      <c r="AA1073" s="10"/>
      <c r="AB1073" s="10"/>
      <c r="AC1073" s="33">
        <f>AVERAGE(AC193:AC204)</f>
        <v>7.6320616688917013</v>
      </c>
      <c r="AD1073" s="27">
        <f>AVERAGE(AD193:AD204)</f>
        <v>7.5860526378896891</v>
      </c>
    </row>
    <row r="1074" spans="1:30" ht="15" x14ac:dyDescent="0.2">
      <c r="A1074" s="11">
        <v>2030</v>
      </c>
      <c r="B1074" s="10">
        <f t="shared" ref="B1074:S1074" si="34">AVERAGE(B205:B216)</f>
        <v>7.9333583333333317</v>
      </c>
      <c r="C1074" s="10">
        <f t="shared" si="34"/>
        <v>7.9395249999999997</v>
      </c>
      <c r="D1074" s="10">
        <f t="shared" si="34"/>
        <v>8.0536249999999985</v>
      </c>
      <c r="E1074" s="10">
        <f t="shared" si="34"/>
        <v>8.0857416666666655</v>
      </c>
      <c r="F1074" s="10">
        <f t="shared" si="34"/>
        <v>7.9030166666666659</v>
      </c>
      <c r="G1074" s="10">
        <f t="shared" si="34"/>
        <v>7.9200333333333326</v>
      </c>
      <c r="H1074" s="10">
        <f t="shared" si="34"/>
        <v>8.0748666666666669</v>
      </c>
      <c r="I1074" s="10">
        <f t="shared" si="34"/>
        <v>7.9210583333333338</v>
      </c>
      <c r="J1074" s="10">
        <f t="shared" si="34"/>
        <v>7.8960166666666671</v>
      </c>
      <c r="K1074" s="10">
        <f t="shared" si="34"/>
        <v>7.8364499999999984</v>
      </c>
      <c r="L1074" s="10">
        <f t="shared" si="34"/>
        <v>8.6618666666666666</v>
      </c>
      <c r="M1074" s="10">
        <f t="shared" si="34"/>
        <v>7.8301583333333342</v>
      </c>
      <c r="N1074" s="10">
        <f t="shared" si="34"/>
        <v>7.8470000000000004</v>
      </c>
      <c r="O1074" s="10">
        <f t="shared" si="34"/>
        <v>8.0071999999999992</v>
      </c>
      <c r="P1074" s="10">
        <f t="shared" si="34"/>
        <v>7.8550000000000004</v>
      </c>
      <c r="Q1074" s="10">
        <f t="shared" si="34"/>
        <v>8.6025000000000009</v>
      </c>
      <c r="R1074" s="10">
        <f t="shared" si="34"/>
        <v>9.2110000000000003</v>
      </c>
      <c r="S1074" s="10">
        <f t="shared" si="34"/>
        <v>7.7009916666666669</v>
      </c>
      <c r="T1074" s="32">
        <f t="shared" ref="T1074:Y1074" si="35">SUM(T205:T216)</f>
        <v>357.24568100000005</v>
      </c>
      <c r="U1074" s="32">
        <f t="shared" si="35"/>
        <v>142.03263249999998</v>
      </c>
      <c r="V1074" s="32">
        <f t="shared" si="35"/>
        <v>50.187500000000007</v>
      </c>
      <c r="W1074" s="32">
        <f t="shared" si="35"/>
        <v>5.0822234999999996</v>
      </c>
      <c r="X1074" s="32">
        <f t="shared" si="35"/>
        <v>20.758966663999999</v>
      </c>
      <c r="Y1074" s="32">
        <f t="shared" si="35"/>
        <v>368.92740000000003</v>
      </c>
      <c r="Z1074" s="32"/>
      <c r="AA1074" s="10"/>
      <c r="AB1074" s="10"/>
      <c r="AC1074" s="33">
        <f>AVERAGE(AC205:AC216)</f>
        <v>7.940987225944494</v>
      </c>
      <c r="AD1074" s="27">
        <f>AVERAGE(AD205:AD216)</f>
        <v>7.8918618705035977</v>
      </c>
    </row>
    <row r="1075" spans="1:30" ht="15" x14ac:dyDescent="0.2">
      <c r="A1075" s="11">
        <v>2031</v>
      </c>
      <c r="B1075" s="10">
        <f t="shared" ref="B1075:S1075" si="36">AVERAGE(B217:B228)</f>
        <v>8.1238916666666672</v>
      </c>
      <c r="C1075" s="10">
        <f t="shared" si="36"/>
        <v>8.1300499999999989</v>
      </c>
      <c r="D1075" s="10">
        <f t="shared" si="36"/>
        <v>8.2441666666666666</v>
      </c>
      <c r="E1075" s="10">
        <f t="shared" si="36"/>
        <v>8.2762499999999992</v>
      </c>
      <c r="F1075" s="10">
        <f t="shared" si="36"/>
        <v>8.0935499999999987</v>
      </c>
      <c r="G1075" s="10">
        <f t="shared" si="36"/>
        <v>8.1105416666666681</v>
      </c>
      <c r="H1075" s="10">
        <f t="shared" si="36"/>
        <v>8.2653583333333334</v>
      </c>
      <c r="I1075" s="10">
        <f t="shared" si="36"/>
        <v>8.1115750000000002</v>
      </c>
      <c r="J1075" s="10">
        <f t="shared" si="36"/>
        <v>8.0865500000000008</v>
      </c>
      <c r="K1075" s="10">
        <f t="shared" si="36"/>
        <v>8.0215750000000003</v>
      </c>
      <c r="L1075" s="10">
        <f t="shared" si="36"/>
        <v>8.8523583333333367</v>
      </c>
      <c r="M1075" s="10">
        <f t="shared" si="36"/>
        <v>8.0187833333333334</v>
      </c>
      <c r="N1075" s="10">
        <f t="shared" si="36"/>
        <v>8.0355916666666669</v>
      </c>
      <c r="O1075" s="10">
        <f t="shared" si="36"/>
        <v>8.195783333333333</v>
      </c>
      <c r="P1075" s="10">
        <f t="shared" si="36"/>
        <v>8.0435916666666678</v>
      </c>
      <c r="Q1075" s="10">
        <f t="shared" si="36"/>
        <v>8.7910833333333329</v>
      </c>
      <c r="R1075" s="10">
        <f t="shared" si="36"/>
        <v>9.4000666666666675</v>
      </c>
      <c r="S1075" s="10">
        <f t="shared" si="36"/>
        <v>7.8860083333333337</v>
      </c>
      <c r="T1075" s="32">
        <f t="shared" ref="T1075:Y1075" si="37">SUM(T217:T228)</f>
        <v>357.24568100000005</v>
      </c>
      <c r="U1075" s="32">
        <f t="shared" si="37"/>
        <v>142.03263249999998</v>
      </c>
      <c r="V1075" s="32">
        <f t="shared" si="37"/>
        <v>50.187500000000007</v>
      </c>
      <c r="W1075" s="32">
        <f t="shared" si="37"/>
        <v>5.0822234999999996</v>
      </c>
      <c r="X1075" s="32">
        <f t="shared" si="37"/>
        <v>20.758966663999999</v>
      </c>
      <c r="Y1075" s="32">
        <f t="shared" si="37"/>
        <v>365.31389999999999</v>
      </c>
      <c r="Z1075" s="32"/>
      <c r="AA1075" s="10"/>
      <c r="AB1075" s="10"/>
      <c r="AC1075" s="33">
        <f>AVERAGE(AC217:AC228)</f>
        <v>8.1315135420530122</v>
      </c>
      <c r="AD1075" s="27">
        <f>AVERAGE(AD217:AD228)</f>
        <v>8.0804612709832142</v>
      </c>
    </row>
    <row r="1076" spans="1:30" ht="15" x14ac:dyDescent="0.2">
      <c r="A1076" s="11">
        <v>2032</v>
      </c>
      <c r="B1076" s="10">
        <f t="shared" ref="B1076:S1076" si="38">AVERAGE(B229:B240)</f>
        <v>8.3190000000000008</v>
      </c>
      <c r="C1076" s="10">
        <f t="shared" si="38"/>
        <v>8.3251333333333335</v>
      </c>
      <c r="D1076" s="10">
        <f t="shared" si="38"/>
        <v>8.4392666666666685</v>
      </c>
      <c r="E1076" s="10">
        <f t="shared" si="38"/>
        <v>8.4713583333333329</v>
      </c>
      <c r="F1076" s="10">
        <f t="shared" si="38"/>
        <v>8.2886333333333351</v>
      </c>
      <c r="G1076" s="10">
        <f t="shared" si="38"/>
        <v>8.3056416666666664</v>
      </c>
      <c r="H1076" s="10">
        <f t="shared" si="38"/>
        <v>8.4604666666666652</v>
      </c>
      <c r="I1076" s="10">
        <f t="shared" si="38"/>
        <v>8.3066999999999993</v>
      </c>
      <c r="J1076" s="10">
        <f t="shared" si="38"/>
        <v>8.2816333333333336</v>
      </c>
      <c r="K1076" s="10">
        <f t="shared" si="38"/>
        <v>8.2111166666666673</v>
      </c>
      <c r="L1076" s="10">
        <f t="shared" si="38"/>
        <v>9.0474666666666668</v>
      </c>
      <c r="M1076" s="10">
        <f t="shared" si="38"/>
        <v>8.2118999999999982</v>
      </c>
      <c r="N1076" s="10">
        <f t="shared" si="38"/>
        <v>8.2287250000000025</v>
      </c>
      <c r="O1076" s="10">
        <f t="shared" si="38"/>
        <v>8.3888916666666677</v>
      </c>
      <c r="P1076" s="10">
        <f t="shared" si="38"/>
        <v>8.2367166666666662</v>
      </c>
      <c r="Q1076" s="10">
        <f t="shared" si="38"/>
        <v>8.9841916666666677</v>
      </c>
      <c r="R1076" s="10">
        <f t="shared" si="38"/>
        <v>9.5936749999999993</v>
      </c>
      <c r="S1076" s="10">
        <f t="shared" si="38"/>
        <v>8.0754583333333354</v>
      </c>
      <c r="T1076" s="32">
        <f t="shared" ref="T1076:Y1076" si="39">SUM(T229:T240)</f>
        <v>358.17703550000004</v>
      </c>
      <c r="U1076" s="32">
        <f t="shared" si="39"/>
        <v>142.42176299999997</v>
      </c>
      <c r="V1076" s="32">
        <f t="shared" si="39"/>
        <v>50.325000000000003</v>
      </c>
      <c r="W1076" s="32">
        <f t="shared" si="39"/>
        <v>5.0961473999999995</v>
      </c>
      <c r="X1076" s="32">
        <f t="shared" si="39"/>
        <v>20.800615543999996</v>
      </c>
      <c r="Y1076" s="32">
        <f t="shared" si="39"/>
        <v>364.47012000000001</v>
      </c>
      <c r="Z1076" s="32"/>
      <c r="AA1076" s="10"/>
      <c r="AB1076" s="10"/>
      <c r="AC1076" s="33">
        <f>AVERAGE(AC229:AC240)</f>
        <v>8.3266073204316111</v>
      </c>
      <c r="AD1076" s="27">
        <f>AVERAGE(AD229:AD240)</f>
        <v>8.2735806354916068</v>
      </c>
    </row>
    <row r="1077" spans="1:30" ht="15" x14ac:dyDescent="0.2">
      <c r="A1077" s="11">
        <v>2033</v>
      </c>
      <c r="B1077" s="10">
        <f t="shared" ref="B1077:S1077" si="40">AVERAGE(B241:B252)</f>
        <v>8.518774999999998</v>
      </c>
      <c r="C1077" s="10">
        <f t="shared" si="40"/>
        <v>8.5249250000000014</v>
      </c>
      <c r="D1077" s="10">
        <f t="shared" si="40"/>
        <v>8.6390416666666638</v>
      </c>
      <c r="E1077" s="10">
        <f t="shared" si="40"/>
        <v>8.6711416666666654</v>
      </c>
      <c r="F1077" s="10">
        <f t="shared" si="40"/>
        <v>8.4884250000000012</v>
      </c>
      <c r="G1077" s="10">
        <f t="shared" si="40"/>
        <v>8.5054333333333343</v>
      </c>
      <c r="H1077" s="10">
        <f t="shared" si="40"/>
        <v>8.6602583333333332</v>
      </c>
      <c r="I1077" s="10">
        <f t="shared" si="40"/>
        <v>8.5064583333333328</v>
      </c>
      <c r="J1077" s="10">
        <f t="shared" si="40"/>
        <v>8.4814249999999998</v>
      </c>
      <c r="K1077" s="10">
        <f t="shared" si="40"/>
        <v>8.4052333333333333</v>
      </c>
      <c r="L1077" s="10">
        <f t="shared" si="40"/>
        <v>9.2472583333333347</v>
      </c>
      <c r="M1077" s="10">
        <f t="shared" si="40"/>
        <v>8.4096416666666673</v>
      </c>
      <c r="N1077" s="10">
        <f t="shared" si="40"/>
        <v>8.426499999999999</v>
      </c>
      <c r="O1077" s="10">
        <f t="shared" si="40"/>
        <v>8.5866833333333332</v>
      </c>
      <c r="P1077" s="10">
        <f t="shared" si="40"/>
        <v>8.4344750000000008</v>
      </c>
      <c r="Q1077" s="10">
        <f t="shared" si="40"/>
        <v>9.1819833333333332</v>
      </c>
      <c r="R1077" s="10">
        <f t="shared" si="40"/>
        <v>9.7919333333333327</v>
      </c>
      <c r="S1077" s="10">
        <f t="shared" si="40"/>
        <v>8.2694583333333327</v>
      </c>
      <c r="T1077" s="32">
        <f t="shared" ref="T1077:Y1077" si="41">SUM(T241:T252)</f>
        <v>357.24568100000005</v>
      </c>
      <c r="U1077" s="32">
        <f t="shared" si="41"/>
        <v>142.03263249999998</v>
      </c>
      <c r="V1077" s="32">
        <f t="shared" si="41"/>
        <v>50.187500000000007</v>
      </c>
      <c r="W1077" s="32">
        <f t="shared" si="41"/>
        <v>5.0822234999999996</v>
      </c>
      <c r="X1077" s="32">
        <f t="shared" si="41"/>
        <v>20.758966663999999</v>
      </c>
      <c r="Y1077" s="32">
        <f t="shared" si="41"/>
        <v>362.33550000000002</v>
      </c>
      <c r="Z1077" s="32"/>
      <c r="AA1077" s="10"/>
      <c r="AB1077" s="10"/>
      <c r="AC1077" s="33">
        <f>AVERAGE(AC241:AC252)</f>
        <v>8.5263918780708128</v>
      </c>
      <c r="AD1077" s="27">
        <f>AVERAGE(AD241:AD252)</f>
        <v>8.4713478417266188</v>
      </c>
    </row>
    <row r="1078" spans="1:30" ht="15" x14ac:dyDescent="0.2">
      <c r="A1078" s="11">
        <v>2034</v>
      </c>
      <c r="B1078" s="10">
        <f t="shared" ref="B1078:S1078" si="42">AVERAGE(B253:B264)</f>
        <v>8.7233500000000017</v>
      </c>
      <c r="C1078" s="10">
        <f t="shared" si="42"/>
        <v>8.7295250000000006</v>
      </c>
      <c r="D1078" s="10">
        <f t="shared" si="42"/>
        <v>8.8436166666666676</v>
      </c>
      <c r="E1078" s="10">
        <f t="shared" si="42"/>
        <v>8.8757083333333338</v>
      </c>
      <c r="F1078" s="10">
        <f t="shared" si="42"/>
        <v>8.6930166666666668</v>
      </c>
      <c r="G1078" s="10">
        <f t="shared" si="42"/>
        <v>8.7099916666666655</v>
      </c>
      <c r="H1078" s="10">
        <f t="shared" si="42"/>
        <v>8.8648333333333333</v>
      </c>
      <c r="I1078" s="10">
        <f t="shared" si="42"/>
        <v>8.7110416666666666</v>
      </c>
      <c r="J1078" s="10">
        <f t="shared" si="42"/>
        <v>8.6860166666666672</v>
      </c>
      <c r="K1078" s="10">
        <f t="shared" si="42"/>
        <v>8.6039999999999992</v>
      </c>
      <c r="L1078" s="10">
        <f t="shared" si="42"/>
        <v>9.4518333333333331</v>
      </c>
      <c r="M1078" s="10">
        <f t="shared" si="42"/>
        <v>8.6121666666666652</v>
      </c>
      <c r="N1078" s="10">
        <f t="shared" si="42"/>
        <v>8.6290166666666668</v>
      </c>
      <c r="O1078" s="10">
        <f t="shared" si="42"/>
        <v>8.7892083333333328</v>
      </c>
      <c r="P1078" s="10">
        <f t="shared" si="42"/>
        <v>8.6369916666666668</v>
      </c>
      <c r="Q1078" s="10">
        <f t="shared" si="42"/>
        <v>9.3845083333333346</v>
      </c>
      <c r="R1078" s="10">
        <f t="shared" si="42"/>
        <v>9.9949583333333347</v>
      </c>
      <c r="S1078" s="10">
        <f t="shared" si="42"/>
        <v>8.4681250000000006</v>
      </c>
      <c r="T1078" s="32">
        <f t="shared" ref="T1078:Y1078" si="43">SUM(T253:T264)</f>
        <v>357.24568100000005</v>
      </c>
      <c r="U1078" s="32">
        <f t="shared" si="43"/>
        <v>142.03263249999998</v>
      </c>
      <c r="V1078" s="32">
        <f t="shared" si="43"/>
        <v>50.187500000000007</v>
      </c>
      <c r="W1078" s="32">
        <f t="shared" si="43"/>
        <v>5.0822234999999996</v>
      </c>
      <c r="X1078" s="32">
        <f t="shared" si="43"/>
        <v>20.758966663999999</v>
      </c>
      <c r="Y1078" s="32">
        <f t="shared" si="43"/>
        <v>361.59090000000009</v>
      </c>
      <c r="Z1078" s="32"/>
      <c r="AA1078" s="10"/>
      <c r="AB1078" s="10"/>
      <c r="AC1078" s="33">
        <f>AVERAGE(AC253:AC264)</f>
        <v>8.7309766064999543</v>
      </c>
      <c r="AD1078" s="27">
        <f>AVERAGE(AD253:AD264)</f>
        <v>8.6738697242206229</v>
      </c>
    </row>
    <row r="1079" spans="1:30" ht="15" x14ac:dyDescent="0.2">
      <c r="A1079" s="11">
        <v>2035</v>
      </c>
      <c r="B1079" s="10">
        <f t="shared" ref="B1079:S1079" si="44">AVERAGE(B265:B276)</f>
        <v>8.9328666666666692</v>
      </c>
      <c r="C1079" s="10">
        <f t="shared" si="44"/>
        <v>8.9390083333333319</v>
      </c>
      <c r="D1079" s="10">
        <f t="shared" si="44"/>
        <v>9.0531333333333333</v>
      </c>
      <c r="E1079" s="10">
        <f t="shared" si="44"/>
        <v>9.0852166666666676</v>
      </c>
      <c r="F1079" s="10">
        <f t="shared" si="44"/>
        <v>8.9025083333333335</v>
      </c>
      <c r="G1079" s="10">
        <f t="shared" si="44"/>
        <v>8.9195083333333329</v>
      </c>
      <c r="H1079" s="10">
        <f t="shared" si="44"/>
        <v>9.0743166666666664</v>
      </c>
      <c r="I1079" s="10">
        <f t="shared" si="44"/>
        <v>8.920558333333334</v>
      </c>
      <c r="J1079" s="10">
        <f t="shared" si="44"/>
        <v>8.895508333333332</v>
      </c>
      <c r="K1079" s="10">
        <f t="shared" si="44"/>
        <v>8.8075333333333337</v>
      </c>
      <c r="L1079" s="10">
        <f t="shared" si="44"/>
        <v>9.6613166666666661</v>
      </c>
      <c r="M1079" s="10">
        <f t="shared" si="44"/>
        <v>8.819566666666665</v>
      </c>
      <c r="N1079" s="10">
        <f t="shared" si="44"/>
        <v>8.8363833333333321</v>
      </c>
      <c r="O1079" s="10">
        <f t="shared" si="44"/>
        <v>8.9965750000000018</v>
      </c>
      <c r="P1079" s="10">
        <f t="shared" si="44"/>
        <v>8.8443833333333348</v>
      </c>
      <c r="Q1079" s="10">
        <f t="shared" si="44"/>
        <v>9.5918749999999999</v>
      </c>
      <c r="R1079" s="10">
        <f t="shared" si="44"/>
        <v>10.202866666666665</v>
      </c>
      <c r="S1079" s="10">
        <f t="shared" si="44"/>
        <v>8.6715749999999989</v>
      </c>
      <c r="T1079" s="32">
        <f t="shared" ref="T1079:Y1079" si="45">SUM(T265:T276)</f>
        <v>357.24568100000005</v>
      </c>
      <c r="U1079" s="32">
        <f t="shared" si="45"/>
        <v>142.03263249999998</v>
      </c>
      <c r="V1079" s="32">
        <f t="shared" si="45"/>
        <v>50.187500000000007</v>
      </c>
      <c r="W1079" s="32">
        <f t="shared" si="45"/>
        <v>5.0822234999999996</v>
      </c>
      <c r="X1079" s="32">
        <f t="shared" si="45"/>
        <v>20.758966663999999</v>
      </c>
      <c r="Y1079" s="32">
        <f t="shared" si="45"/>
        <v>360.82439999999997</v>
      </c>
      <c r="Z1079" s="32"/>
      <c r="AA1079" s="10"/>
      <c r="AB1079" s="10"/>
      <c r="AC1079" s="33">
        <f>AVERAGE(AC265:AC276)</f>
        <v>8.9404782539447503</v>
      </c>
      <c r="AD1079" s="27">
        <f>AVERAGE(AD265:AD276)</f>
        <v>8.8812514988009585</v>
      </c>
    </row>
    <row r="1080" spans="1:30" ht="15" x14ac:dyDescent="0.2">
      <c r="A1080" s="11">
        <v>2036</v>
      </c>
      <c r="B1080" s="10">
        <f t="shared" ref="B1080:S1080" si="46">AVERAGE(B277:B288)</f>
        <v>9.1473916666666657</v>
      </c>
      <c r="C1080" s="10">
        <f t="shared" si="46"/>
        <v>9.1535250000000001</v>
      </c>
      <c r="D1080" s="10">
        <f t="shared" si="46"/>
        <v>9.2676583333333333</v>
      </c>
      <c r="E1080" s="10">
        <f t="shared" si="46"/>
        <v>9.2997583333333331</v>
      </c>
      <c r="F1080" s="10">
        <f t="shared" si="46"/>
        <v>9.1170333333333318</v>
      </c>
      <c r="G1080" s="10">
        <f t="shared" si="46"/>
        <v>9.1340500000000002</v>
      </c>
      <c r="H1080" s="10">
        <f t="shared" si="46"/>
        <v>9.2888749999999991</v>
      </c>
      <c r="I1080" s="10">
        <f t="shared" si="46"/>
        <v>9.1350999999999996</v>
      </c>
      <c r="J1080" s="10">
        <f t="shared" si="46"/>
        <v>9.1100333333333356</v>
      </c>
      <c r="K1080" s="10">
        <f t="shared" si="46"/>
        <v>9.015975000000001</v>
      </c>
      <c r="L1080" s="10">
        <f t="shared" si="46"/>
        <v>9.8758750000000006</v>
      </c>
      <c r="M1080" s="10">
        <f t="shared" si="46"/>
        <v>9.0319333333333329</v>
      </c>
      <c r="N1080" s="10">
        <f t="shared" si="46"/>
        <v>9.0487583333333337</v>
      </c>
      <c r="O1080" s="10">
        <f t="shared" si="46"/>
        <v>9.2089583333333334</v>
      </c>
      <c r="P1080" s="10">
        <f t="shared" si="46"/>
        <v>9.0567416666666674</v>
      </c>
      <c r="Q1080" s="10">
        <f t="shared" si="46"/>
        <v>9.8042583333333333</v>
      </c>
      <c r="R1080" s="10">
        <f t="shared" si="46"/>
        <v>10.415766666666666</v>
      </c>
      <c r="S1080" s="10">
        <f t="shared" si="46"/>
        <v>8.8799083333333346</v>
      </c>
      <c r="T1080" s="32">
        <f t="shared" ref="T1080:Y1080" si="47">SUM(T277:T288)</f>
        <v>358.17703550000004</v>
      </c>
      <c r="U1080" s="32">
        <f t="shared" si="47"/>
        <v>142.42176299999997</v>
      </c>
      <c r="V1080" s="32">
        <f t="shared" si="47"/>
        <v>50.325000000000003</v>
      </c>
      <c r="W1080" s="32">
        <f t="shared" si="47"/>
        <v>5.0961473999999995</v>
      </c>
      <c r="X1080" s="32">
        <f t="shared" si="47"/>
        <v>20.800615543999996</v>
      </c>
      <c r="Y1080" s="32">
        <f t="shared" si="47"/>
        <v>361.04435999999998</v>
      </c>
      <c r="Z1080" s="32"/>
      <c r="AA1080" s="10"/>
      <c r="AB1080" s="10"/>
      <c r="AC1080" s="33">
        <f>AVERAGE(AC277:AC288)</f>
        <v>9.1550051306236302</v>
      </c>
      <c r="AD1080" s="27">
        <f>AVERAGE(AD277:AD288)</f>
        <v>9.0936235611510785</v>
      </c>
    </row>
    <row r="1081" spans="1:30" ht="15" x14ac:dyDescent="0.2">
      <c r="A1081" s="11">
        <v>2037</v>
      </c>
      <c r="B1081" s="10">
        <f t="shared" ref="B1081:S1081" si="48">AVERAGE(B289:B300)</f>
        <v>9.3670583333333326</v>
      </c>
      <c r="C1081" s="10">
        <f t="shared" si="48"/>
        <v>9.3732249999999997</v>
      </c>
      <c r="D1081" s="10">
        <f t="shared" si="48"/>
        <v>9.4873333333333321</v>
      </c>
      <c r="E1081" s="10">
        <f t="shared" si="48"/>
        <v>9.5194416666666655</v>
      </c>
      <c r="F1081" s="10">
        <f t="shared" si="48"/>
        <v>9.3367333333333331</v>
      </c>
      <c r="G1081" s="10">
        <f t="shared" si="48"/>
        <v>9.353741666666668</v>
      </c>
      <c r="H1081" s="10">
        <f t="shared" si="48"/>
        <v>9.508541666666666</v>
      </c>
      <c r="I1081" s="10">
        <f t="shared" si="48"/>
        <v>9.3547583333333328</v>
      </c>
      <c r="J1081" s="10">
        <f t="shared" si="48"/>
        <v>9.3297333333333334</v>
      </c>
      <c r="K1081" s="10">
        <f t="shared" si="48"/>
        <v>9.2294333333333327</v>
      </c>
      <c r="L1081" s="10">
        <f t="shared" si="48"/>
        <v>10.095541666666668</v>
      </c>
      <c r="M1081" s="10">
        <f t="shared" si="48"/>
        <v>9.2494083333333332</v>
      </c>
      <c r="N1081" s="10">
        <f t="shared" si="48"/>
        <v>9.2662250000000004</v>
      </c>
      <c r="O1081" s="10">
        <f t="shared" si="48"/>
        <v>9.4264250000000018</v>
      </c>
      <c r="P1081" s="10">
        <f t="shared" si="48"/>
        <v>9.2742249999999995</v>
      </c>
      <c r="Q1081" s="10">
        <f t="shared" si="48"/>
        <v>10.021725000000002</v>
      </c>
      <c r="R1081" s="10">
        <f t="shared" si="48"/>
        <v>10.633783333333332</v>
      </c>
      <c r="S1081" s="10">
        <f t="shared" si="48"/>
        <v>9.0932416666666658</v>
      </c>
      <c r="T1081" s="32">
        <f t="shared" ref="T1081:Y1081" si="49">SUM(T289:T300)</f>
        <v>357.24568100000005</v>
      </c>
      <c r="U1081" s="32">
        <f t="shared" si="49"/>
        <v>142.03263249999998</v>
      </c>
      <c r="V1081" s="32">
        <f t="shared" si="49"/>
        <v>50.187500000000007</v>
      </c>
      <c r="W1081" s="32">
        <f t="shared" si="49"/>
        <v>5.0822234999999996</v>
      </c>
      <c r="X1081" s="32">
        <f t="shared" si="49"/>
        <v>20.758966663999999</v>
      </c>
      <c r="Y1081" s="32">
        <f t="shared" si="49"/>
        <v>359.29139999999995</v>
      </c>
      <c r="Z1081" s="32"/>
      <c r="AA1081" s="10"/>
      <c r="AB1081" s="10"/>
      <c r="AC1081" s="33">
        <f>AVERAGE(AC289:AC300)</f>
        <v>9.3746935494522639</v>
      </c>
      <c r="AD1081" s="27">
        <f>AVERAGE(AD289:AD300)</f>
        <v>9.3110940647482003</v>
      </c>
    </row>
    <row r="1082" spans="1:30" ht="15" x14ac:dyDescent="0.2">
      <c r="A1082" s="11">
        <f t="shared" ref="A1082:A1113" si="50">A1081+1</f>
        <v>2038</v>
      </c>
      <c r="B1082" s="10">
        <f t="shared" ref="B1082:S1082" si="51">AVERAGE(B301:B312)</f>
        <v>9.5920250000000014</v>
      </c>
      <c r="C1082" s="10">
        <f t="shared" si="51"/>
        <v>9.5981916666666667</v>
      </c>
      <c r="D1082" s="10">
        <f t="shared" si="51"/>
        <v>9.7122999999999973</v>
      </c>
      <c r="E1082" s="10">
        <f t="shared" si="51"/>
        <v>9.7443833333333352</v>
      </c>
      <c r="F1082" s="10">
        <f t="shared" si="51"/>
        <v>9.5617083333333337</v>
      </c>
      <c r="G1082" s="10">
        <f t="shared" si="51"/>
        <v>9.5786916666666659</v>
      </c>
      <c r="H1082" s="10">
        <f t="shared" si="51"/>
        <v>9.733508333333333</v>
      </c>
      <c r="I1082" s="10">
        <f t="shared" si="51"/>
        <v>9.5797166666666644</v>
      </c>
      <c r="J1082" s="10">
        <f t="shared" si="51"/>
        <v>9.5547083333333322</v>
      </c>
      <c r="K1082" s="10">
        <f t="shared" si="51"/>
        <v>9.448008333333334</v>
      </c>
      <c r="L1082" s="10">
        <f t="shared" si="51"/>
        <v>10.320508333333335</v>
      </c>
      <c r="M1082" s="10">
        <f t="shared" si="51"/>
        <v>9.4720999999999993</v>
      </c>
      <c r="N1082" s="10">
        <f t="shared" si="51"/>
        <v>9.4889250000000001</v>
      </c>
      <c r="O1082" s="10">
        <f t="shared" si="51"/>
        <v>9.6491333333333333</v>
      </c>
      <c r="P1082" s="10">
        <f t="shared" si="51"/>
        <v>9.4969166666666691</v>
      </c>
      <c r="Q1082" s="10">
        <f t="shared" si="51"/>
        <v>10.244433333333332</v>
      </c>
      <c r="R1082" s="10">
        <f t="shared" si="51"/>
        <v>10.857025</v>
      </c>
      <c r="S1082" s="10">
        <f t="shared" si="51"/>
        <v>9.3117166666666673</v>
      </c>
      <c r="T1082" s="32">
        <f t="shared" ref="T1082:Y1082" si="52">SUM(T301:T312)</f>
        <v>357.24568100000005</v>
      </c>
      <c r="U1082" s="32">
        <f t="shared" si="52"/>
        <v>142.03263249999998</v>
      </c>
      <c r="V1082" s="32">
        <f t="shared" si="52"/>
        <v>50.187500000000007</v>
      </c>
      <c r="W1082" s="32">
        <f t="shared" si="52"/>
        <v>5.0822234999999996</v>
      </c>
      <c r="X1082" s="32">
        <f t="shared" si="52"/>
        <v>20.758966663999999</v>
      </c>
      <c r="Y1082" s="32">
        <f t="shared" si="52"/>
        <v>358.54679999999996</v>
      </c>
      <c r="Z1082" s="32"/>
      <c r="AA1082" s="10"/>
      <c r="AB1082" s="10"/>
      <c r="AC1082" s="33">
        <f>AVERAGE(AC301:AC312)</f>
        <v>9.5996587702444298</v>
      </c>
      <c r="AD1082" s="27">
        <f>AVERAGE(AD301:AD312)</f>
        <v>9.53379376498801</v>
      </c>
    </row>
    <row r="1083" spans="1:30" ht="15" x14ac:dyDescent="0.2">
      <c r="A1083" s="11">
        <f t="shared" si="50"/>
        <v>2039</v>
      </c>
      <c r="B1083" s="10">
        <f t="shared" ref="B1083:S1083" si="53">AVERAGE(B313:B324)</f>
        <v>9.8224083333333336</v>
      </c>
      <c r="C1083" s="10">
        <f t="shared" si="53"/>
        <v>9.8285666666666653</v>
      </c>
      <c r="D1083" s="10">
        <f t="shared" si="53"/>
        <v>9.9426833333333331</v>
      </c>
      <c r="E1083" s="10">
        <f t="shared" si="53"/>
        <v>9.9747666666666657</v>
      </c>
      <c r="F1083" s="10">
        <f t="shared" si="53"/>
        <v>9.7920666666666687</v>
      </c>
      <c r="G1083" s="10">
        <f t="shared" si="53"/>
        <v>9.8090666666666664</v>
      </c>
      <c r="H1083" s="10">
        <f t="shared" si="53"/>
        <v>9.9639000000000006</v>
      </c>
      <c r="I1083" s="10">
        <f t="shared" si="53"/>
        <v>9.8101000000000003</v>
      </c>
      <c r="J1083" s="10">
        <f t="shared" si="53"/>
        <v>9.7850666666666672</v>
      </c>
      <c r="K1083" s="10">
        <f t="shared" si="53"/>
        <v>9.6718166666666665</v>
      </c>
      <c r="L1083" s="10">
        <f t="shared" si="53"/>
        <v>10.550899999999999</v>
      </c>
      <c r="M1083" s="10">
        <f t="shared" si="53"/>
        <v>9.7001500000000007</v>
      </c>
      <c r="N1083" s="10">
        <f t="shared" si="53"/>
        <v>9.7169749999999997</v>
      </c>
      <c r="O1083" s="10">
        <f t="shared" si="53"/>
        <v>9.8771583333333339</v>
      </c>
      <c r="P1083" s="10">
        <f t="shared" si="53"/>
        <v>9.724949999999998</v>
      </c>
      <c r="Q1083" s="10">
        <f t="shared" si="53"/>
        <v>10.472458333333334</v>
      </c>
      <c r="R1083" s="10">
        <f t="shared" si="53"/>
        <v>11.085650000000001</v>
      </c>
      <c r="S1083" s="10">
        <f t="shared" si="53"/>
        <v>9.5354333333333336</v>
      </c>
      <c r="T1083" s="32">
        <f t="shared" ref="T1083:Y1083" si="54">SUM(T313:T324)</f>
        <v>357.24568100000005</v>
      </c>
      <c r="U1083" s="32">
        <f t="shared" si="54"/>
        <v>142.03263249999998</v>
      </c>
      <c r="V1083" s="32">
        <f t="shared" si="54"/>
        <v>50.187500000000007</v>
      </c>
      <c r="W1083" s="32">
        <f t="shared" si="54"/>
        <v>5.0822234999999996</v>
      </c>
      <c r="X1083" s="32">
        <f t="shared" si="54"/>
        <v>20.758966663999999</v>
      </c>
      <c r="Y1083" s="32">
        <f t="shared" si="54"/>
        <v>357.78030000000001</v>
      </c>
      <c r="Z1083" s="32"/>
      <c r="AA1083" s="37"/>
      <c r="AB1083" s="36"/>
      <c r="AC1083" s="33">
        <f>AVERAGE(AC313:AC324)</f>
        <v>9.8300316088948509</v>
      </c>
      <c r="AD1083" s="27">
        <f>AVERAGE(AD313:AD324)</f>
        <v>9.7618329136690658</v>
      </c>
    </row>
    <row r="1084" spans="1:30" ht="15" x14ac:dyDescent="0.2">
      <c r="A1084" s="11">
        <f t="shared" si="50"/>
        <v>2040</v>
      </c>
      <c r="B1084" s="10">
        <f t="shared" ref="B1084:S1084" si="55">AVERAGE(B325:B336)</f>
        <v>10.058308333333333</v>
      </c>
      <c r="C1084" s="10">
        <f t="shared" si="55"/>
        <v>10.064475</v>
      </c>
      <c r="D1084" s="10">
        <f t="shared" si="55"/>
        <v>10.178583333333334</v>
      </c>
      <c r="E1084" s="10">
        <f t="shared" si="55"/>
        <v>10.210674999999998</v>
      </c>
      <c r="F1084" s="10">
        <f t="shared" si="55"/>
        <v>10.027983333333333</v>
      </c>
      <c r="G1084" s="10">
        <f t="shared" si="55"/>
        <v>10.044975000000001</v>
      </c>
      <c r="H1084" s="10">
        <f t="shared" si="55"/>
        <v>10.199800000000002</v>
      </c>
      <c r="I1084" s="10">
        <f t="shared" si="55"/>
        <v>10.046008333333333</v>
      </c>
      <c r="J1084" s="10">
        <f t="shared" si="55"/>
        <v>10.020983333333335</v>
      </c>
      <c r="K1084" s="10">
        <f t="shared" si="55"/>
        <v>9.9010333333333325</v>
      </c>
      <c r="L1084" s="10">
        <f t="shared" si="55"/>
        <v>10.786800000000001</v>
      </c>
      <c r="M1084" s="10">
        <f t="shared" si="55"/>
        <v>9.9336749999999991</v>
      </c>
      <c r="N1084" s="10">
        <f t="shared" si="55"/>
        <v>9.9505000000000017</v>
      </c>
      <c r="O1084" s="10">
        <f t="shared" si="55"/>
        <v>10.110700000000003</v>
      </c>
      <c r="P1084" s="10">
        <f t="shared" si="55"/>
        <v>9.9584833333333336</v>
      </c>
      <c r="Q1084" s="10">
        <f t="shared" si="55"/>
        <v>10.705999999999998</v>
      </c>
      <c r="R1084" s="10">
        <f t="shared" si="55"/>
        <v>11.319766666666666</v>
      </c>
      <c r="S1084" s="10">
        <f t="shared" si="55"/>
        <v>9.7645166666666672</v>
      </c>
      <c r="T1084" s="32">
        <f t="shared" ref="T1084:Y1084" si="56">SUM(T325:T336)</f>
        <v>358.17703550000004</v>
      </c>
      <c r="U1084" s="32">
        <f t="shared" si="56"/>
        <v>142.42176299999997</v>
      </c>
      <c r="V1084" s="32">
        <f t="shared" si="56"/>
        <v>50.325000000000003</v>
      </c>
      <c r="W1084" s="32">
        <f t="shared" si="56"/>
        <v>5.0961473999999995</v>
      </c>
      <c r="X1084" s="32">
        <f t="shared" si="56"/>
        <v>20.800615543999996</v>
      </c>
      <c r="Y1084" s="32">
        <f t="shared" si="56"/>
        <v>357.99191999999994</v>
      </c>
      <c r="Z1084" s="32"/>
      <c r="AA1084" s="37"/>
      <c r="AB1084" s="36"/>
      <c r="AC1084" s="33">
        <f>AVERAGE(AC325:AC336)</f>
        <v>10.065940657224216</v>
      </c>
      <c r="AD1084" s="27">
        <f>AVERAGE(AD325:AD336)</f>
        <v>9.9953652278177465</v>
      </c>
    </row>
    <row r="1085" spans="1:30" ht="15" x14ac:dyDescent="0.2">
      <c r="A1085" s="11">
        <f t="shared" si="50"/>
        <v>2041</v>
      </c>
      <c r="B1085" s="10">
        <f t="shared" ref="B1085:S1085" si="57">AVERAGE(B337:B348)</f>
        <v>10.299883333333334</v>
      </c>
      <c r="C1085" s="10">
        <f t="shared" si="57"/>
        <v>10.306041666666669</v>
      </c>
      <c r="D1085" s="10">
        <f t="shared" si="57"/>
        <v>10.420158333333331</v>
      </c>
      <c r="E1085" s="10">
        <f t="shared" si="57"/>
        <v>10.452258333333333</v>
      </c>
      <c r="F1085" s="10">
        <f t="shared" si="57"/>
        <v>10.269550000000001</v>
      </c>
      <c r="G1085" s="10">
        <f t="shared" si="57"/>
        <v>10.286566666666667</v>
      </c>
      <c r="H1085" s="10">
        <f t="shared" si="57"/>
        <v>10.441374999999999</v>
      </c>
      <c r="I1085" s="10">
        <f t="shared" si="57"/>
        <v>10.287583333333332</v>
      </c>
      <c r="J1085" s="10">
        <f t="shared" si="57"/>
        <v>10.262550000000001</v>
      </c>
      <c r="K1085" s="10">
        <f t="shared" si="57"/>
        <v>10.135733333333333</v>
      </c>
      <c r="L1085" s="10">
        <f t="shared" si="57"/>
        <v>11.028374999999999</v>
      </c>
      <c r="M1085" s="10">
        <f t="shared" si="57"/>
        <v>10.172808333333332</v>
      </c>
      <c r="N1085" s="10">
        <f t="shared" si="57"/>
        <v>10.189641666666668</v>
      </c>
      <c r="O1085" s="10">
        <f t="shared" si="57"/>
        <v>10.349824999999999</v>
      </c>
      <c r="P1085" s="10">
        <f t="shared" si="57"/>
        <v>10.197616666666667</v>
      </c>
      <c r="Q1085" s="10">
        <f t="shared" si="57"/>
        <v>10.945124999999999</v>
      </c>
      <c r="R1085" s="10">
        <f t="shared" si="57"/>
        <v>11.559500000000002</v>
      </c>
      <c r="S1085" s="10">
        <f t="shared" si="57"/>
        <v>9.9991083333333322</v>
      </c>
      <c r="T1085" s="32">
        <f t="shared" ref="T1085:Y1085" si="58">SUM(T337:T348)</f>
        <v>357.24568100000005</v>
      </c>
      <c r="U1085" s="32">
        <f t="shared" si="58"/>
        <v>142.03263249999998</v>
      </c>
      <c r="V1085" s="32">
        <f t="shared" si="58"/>
        <v>50.187500000000007</v>
      </c>
      <c r="W1085" s="32">
        <f t="shared" si="58"/>
        <v>5.0822234999999996</v>
      </c>
      <c r="X1085" s="32">
        <f t="shared" si="58"/>
        <v>20.758966663999999</v>
      </c>
      <c r="Y1085" s="32">
        <f t="shared" si="58"/>
        <v>356.26920000000001</v>
      </c>
      <c r="Z1085" s="32"/>
      <c r="AA1085" s="37"/>
      <c r="AB1085" s="36"/>
      <c r="AC1085" s="33">
        <f>AVERAGE(AC337:AC348)</f>
        <v>10.307514343018193</v>
      </c>
      <c r="AD1085" s="27">
        <f>AVERAGE(AD337:AD348)</f>
        <v>10.234496702637889</v>
      </c>
    </row>
    <row r="1086" spans="1:30" ht="15" x14ac:dyDescent="0.2">
      <c r="A1086" s="11">
        <f t="shared" si="50"/>
        <v>2042</v>
      </c>
      <c r="B1086" s="10">
        <f t="shared" ref="B1086:S1086" si="59">AVERAGE(B349:B360)</f>
        <v>10.547258333333334</v>
      </c>
      <c r="C1086" s="10">
        <f t="shared" si="59"/>
        <v>10.553425000000001</v>
      </c>
      <c r="D1086" s="10">
        <f t="shared" si="59"/>
        <v>10.667558333333332</v>
      </c>
      <c r="E1086" s="10">
        <f t="shared" si="59"/>
        <v>10.699633333333333</v>
      </c>
      <c r="F1086" s="10">
        <f t="shared" si="59"/>
        <v>10.516941666666666</v>
      </c>
      <c r="G1086" s="10">
        <f t="shared" si="59"/>
        <v>10.533933333333332</v>
      </c>
      <c r="H1086" s="10">
        <f t="shared" si="59"/>
        <v>10.688749999999999</v>
      </c>
      <c r="I1086" s="10">
        <f t="shared" si="59"/>
        <v>10.53495</v>
      </c>
      <c r="J1086" s="10">
        <f t="shared" si="59"/>
        <v>10.509941666666666</v>
      </c>
      <c r="K1086" s="10">
        <f t="shared" si="59"/>
        <v>10.376083333333334</v>
      </c>
      <c r="L1086" s="10">
        <f t="shared" si="59"/>
        <v>11.27575</v>
      </c>
      <c r="M1086" s="10">
        <f t="shared" si="59"/>
        <v>10.417691666666668</v>
      </c>
      <c r="N1086" s="10">
        <f t="shared" si="59"/>
        <v>10.434525000000001</v>
      </c>
      <c r="O1086" s="10">
        <f t="shared" si="59"/>
        <v>10.594724999999999</v>
      </c>
      <c r="P1086" s="10">
        <f t="shared" si="59"/>
        <v>10.442508333333334</v>
      </c>
      <c r="Q1086" s="10">
        <f t="shared" si="59"/>
        <v>11.190025</v>
      </c>
      <c r="R1086" s="10">
        <f t="shared" si="59"/>
        <v>11.804983333333332</v>
      </c>
      <c r="S1086" s="10">
        <f t="shared" si="59"/>
        <v>10.23934166666667</v>
      </c>
      <c r="T1086" s="32">
        <f t="shared" ref="T1086:Y1086" si="60">SUM(T349:T360)</f>
        <v>357.24568100000005</v>
      </c>
      <c r="U1086" s="32">
        <f t="shared" si="60"/>
        <v>142.03263249999998</v>
      </c>
      <c r="V1086" s="32">
        <f t="shared" si="60"/>
        <v>50.187500000000007</v>
      </c>
      <c r="W1086" s="32">
        <f t="shared" si="60"/>
        <v>5.0822234999999996</v>
      </c>
      <c r="X1086" s="32">
        <f t="shared" si="60"/>
        <v>20.758966663999999</v>
      </c>
      <c r="Y1086" s="32">
        <f t="shared" si="60"/>
        <v>242.47679999999997</v>
      </c>
      <c r="Z1086" s="32"/>
      <c r="AA1086" s="37"/>
      <c r="AB1086" s="36"/>
      <c r="AC1086" s="33">
        <f>AVERAGE(AC349:AC360)</f>
        <v>10.554894888637989</v>
      </c>
      <c r="AD1086" s="27">
        <f>AVERAGE(AD349:AD360)</f>
        <v>10.479387350119906</v>
      </c>
    </row>
    <row r="1087" spans="1:30" ht="15" x14ac:dyDescent="0.2">
      <c r="A1087" s="11">
        <f t="shared" si="50"/>
        <v>2043</v>
      </c>
      <c r="B1087" s="10">
        <f t="shared" ref="B1087:S1087" si="61">AVERAGE(B361:B372)</f>
        <v>10.800583333333334</v>
      </c>
      <c r="C1087" s="10">
        <f t="shared" si="61"/>
        <v>10.806758333333335</v>
      </c>
      <c r="D1087" s="10">
        <f t="shared" si="61"/>
        <v>10.920866666666667</v>
      </c>
      <c r="E1087" s="10">
        <f t="shared" si="61"/>
        <v>10.952966666666667</v>
      </c>
      <c r="F1087" s="10">
        <f t="shared" si="61"/>
        <v>10.770249999999999</v>
      </c>
      <c r="G1087" s="10">
        <f t="shared" si="61"/>
        <v>10.787258333333334</v>
      </c>
      <c r="H1087" s="10">
        <f t="shared" si="61"/>
        <v>10.942074999999997</v>
      </c>
      <c r="I1087" s="10">
        <f t="shared" si="61"/>
        <v>10.788274999999999</v>
      </c>
      <c r="J1087" s="10">
        <f t="shared" si="61"/>
        <v>10.763249999999999</v>
      </c>
      <c r="K1087" s="10">
        <f t="shared" si="61"/>
        <v>10.622191666666668</v>
      </c>
      <c r="L1087" s="10">
        <f t="shared" si="61"/>
        <v>11.529075000000001</v>
      </c>
      <c r="M1087" s="10">
        <f t="shared" si="61"/>
        <v>10.668466666666667</v>
      </c>
      <c r="N1087" s="10">
        <f t="shared" si="61"/>
        <v>10.685291666666666</v>
      </c>
      <c r="O1087" s="10">
        <f t="shared" si="61"/>
        <v>10.845483333333332</v>
      </c>
      <c r="P1087" s="10">
        <f t="shared" si="61"/>
        <v>10.693283333333333</v>
      </c>
      <c r="Q1087" s="10">
        <f t="shared" si="61"/>
        <v>11.440783333333334</v>
      </c>
      <c r="R1087" s="10">
        <f t="shared" si="61"/>
        <v>12.056383333333335</v>
      </c>
      <c r="S1087" s="10">
        <f t="shared" si="61"/>
        <v>10.485358333333332</v>
      </c>
      <c r="T1087" s="32">
        <f t="shared" ref="T1087:Y1087" si="62">SUM(T361:T372)</f>
        <v>357.24568100000005</v>
      </c>
      <c r="U1087" s="32">
        <f t="shared" si="62"/>
        <v>142.03263249999998</v>
      </c>
      <c r="V1087" s="32">
        <f t="shared" si="62"/>
        <v>50.187500000000007</v>
      </c>
      <c r="W1087" s="32">
        <f t="shared" si="62"/>
        <v>5.0822234999999996</v>
      </c>
      <c r="X1087" s="32">
        <f t="shared" si="62"/>
        <v>20.758966663999999</v>
      </c>
      <c r="Y1087" s="32">
        <f t="shared" si="62"/>
        <v>241.71029999999999</v>
      </c>
      <c r="Z1087" s="32"/>
      <c r="AA1087" s="37"/>
      <c r="AB1087" s="36"/>
      <c r="AC1087" s="33">
        <f>AVERAGE(AC361:AC372)</f>
        <v>10.808217456189475</v>
      </c>
      <c r="AD1087" s="27">
        <f>AVERAGE(AD361:AD372)</f>
        <v>10.730154316546761</v>
      </c>
    </row>
    <row r="1088" spans="1:30" ht="15" x14ac:dyDescent="0.2">
      <c r="A1088" s="11">
        <f t="shared" si="50"/>
        <v>2044</v>
      </c>
      <c r="B1088" s="10">
        <f t="shared" ref="B1088:S1088" si="63">AVERAGE(B373:B384)</f>
        <v>11.059983333333333</v>
      </c>
      <c r="C1088" s="10">
        <f t="shared" si="63"/>
        <v>11.066158333333334</v>
      </c>
      <c r="D1088" s="10">
        <f t="shared" si="63"/>
        <v>11.180275</v>
      </c>
      <c r="E1088" s="10">
        <f t="shared" si="63"/>
        <v>11.212375</v>
      </c>
      <c r="F1088" s="10">
        <f t="shared" si="63"/>
        <v>11.029666666666666</v>
      </c>
      <c r="G1088" s="10">
        <f t="shared" si="63"/>
        <v>11.04665</v>
      </c>
      <c r="H1088" s="10">
        <f t="shared" si="63"/>
        <v>11.201483333333334</v>
      </c>
      <c r="I1088" s="10">
        <f t="shared" si="63"/>
        <v>11.047683333333334</v>
      </c>
      <c r="J1088" s="10">
        <f t="shared" si="63"/>
        <v>11.022666666666666</v>
      </c>
      <c r="K1088" s="10">
        <f t="shared" si="63"/>
        <v>10.874258333333332</v>
      </c>
      <c r="L1088" s="10">
        <f t="shared" si="63"/>
        <v>11.788483333333332</v>
      </c>
      <c r="M1088" s="10">
        <f t="shared" si="63"/>
        <v>10.92525</v>
      </c>
      <c r="N1088" s="10">
        <f t="shared" si="63"/>
        <v>10.942075000000003</v>
      </c>
      <c r="O1088" s="10">
        <f t="shared" si="63"/>
        <v>11.102283333333332</v>
      </c>
      <c r="P1088" s="10">
        <f t="shared" si="63"/>
        <v>10.950066666666666</v>
      </c>
      <c r="Q1088" s="10">
        <f t="shared" si="63"/>
        <v>11.697583333333332</v>
      </c>
      <c r="R1088" s="10">
        <f t="shared" si="63"/>
        <v>12.313808333333334</v>
      </c>
      <c r="S1088" s="10">
        <f t="shared" si="63"/>
        <v>10.737258333333335</v>
      </c>
      <c r="T1088" s="32">
        <f t="shared" ref="T1088:Y1088" si="64">SUM(T373:T384)</f>
        <v>358.17703550000004</v>
      </c>
      <c r="U1088" s="32">
        <f t="shared" si="64"/>
        <v>142.42176299999997</v>
      </c>
      <c r="V1088" s="32">
        <f t="shared" si="64"/>
        <v>50.325000000000003</v>
      </c>
      <c r="W1088" s="32">
        <f t="shared" si="64"/>
        <v>5.0961473999999995</v>
      </c>
      <c r="X1088" s="32">
        <f t="shared" si="64"/>
        <v>20.800615543999996</v>
      </c>
      <c r="Y1088" s="32">
        <f t="shared" si="64"/>
        <v>241.58196000000004</v>
      </c>
      <c r="Z1088" s="32"/>
      <c r="AA1088" s="37"/>
      <c r="AB1088" s="36"/>
      <c r="AC1088" s="33">
        <f>AVERAGE(AC373:AC384)</f>
        <v>11.06762253239655</v>
      </c>
      <c r="AD1088" s="27">
        <f>AVERAGE(AD373:AD384)</f>
        <v>10.986943764988007</v>
      </c>
    </row>
    <row r="1089" spans="1:30" ht="15" x14ac:dyDescent="0.2">
      <c r="A1089" s="11">
        <f t="shared" si="50"/>
        <v>2045</v>
      </c>
      <c r="B1089" s="10">
        <f t="shared" ref="B1089:S1089" si="65">AVERAGE(B385:B396)</f>
        <v>11.325650000000001</v>
      </c>
      <c r="C1089" s="10">
        <f t="shared" si="65"/>
        <v>11.331808333333333</v>
      </c>
      <c r="D1089" s="10">
        <f t="shared" si="65"/>
        <v>11.445925000000001</v>
      </c>
      <c r="E1089" s="10">
        <f t="shared" si="65"/>
        <v>11.478016666666667</v>
      </c>
      <c r="F1089" s="10">
        <f t="shared" si="65"/>
        <v>11.295308333333333</v>
      </c>
      <c r="G1089" s="10">
        <f t="shared" si="65"/>
        <v>11.312308333333334</v>
      </c>
      <c r="H1089" s="10">
        <f t="shared" si="65"/>
        <v>11.467133333333331</v>
      </c>
      <c r="I1089" s="10">
        <f t="shared" si="65"/>
        <v>11.313341666666666</v>
      </c>
      <c r="J1089" s="10">
        <f t="shared" si="65"/>
        <v>11.288308333333331</v>
      </c>
      <c r="K1089" s="10">
        <f t="shared" si="65"/>
        <v>11.132350000000001</v>
      </c>
      <c r="L1089" s="10">
        <f t="shared" si="65"/>
        <v>12.054133333333334</v>
      </c>
      <c r="M1089" s="10">
        <f t="shared" si="65"/>
        <v>11.188208333333336</v>
      </c>
      <c r="N1089" s="10">
        <f t="shared" si="65"/>
        <v>11.20505</v>
      </c>
      <c r="O1089" s="10">
        <f t="shared" si="65"/>
        <v>11.365233333333334</v>
      </c>
      <c r="P1089" s="10">
        <f t="shared" si="65"/>
        <v>11.213025</v>
      </c>
      <c r="Q1089" s="10">
        <f t="shared" si="65"/>
        <v>11.960533333333332</v>
      </c>
      <c r="R1089" s="10">
        <f t="shared" si="65"/>
        <v>12.577441666666665</v>
      </c>
      <c r="S1089" s="10">
        <f t="shared" si="65"/>
        <v>10.995216666666666</v>
      </c>
      <c r="T1089" s="32">
        <f t="shared" ref="T1089:Y1089" si="66">SUM(T385:T396)</f>
        <v>357.24568100000005</v>
      </c>
      <c r="U1089" s="32">
        <f t="shared" si="66"/>
        <v>142.03263249999998</v>
      </c>
      <c r="V1089" s="32">
        <f t="shared" si="66"/>
        <v>50.187500000000007</v>
      </c>
      <c r="W1089" s="32">
        <f t="shared" si="66"/>
        <v>5.0822234999999996</v>
      </c>
      <c r="X1089" s="32">
        <f t="shared" si="66"/>
        <v>20.758966663999999</v>
      </c>
      <c r="Y1089" s="32">
        <f t="shared" si="66"/>
        <v>240.15540000000001</v>
      </c>
      <c r="Z1089" s="32"/>
      <c r="AA1089" s="37"/>
      <c r="AB1089" s="36"/>
      <c r="AC1089" s="33">
        <f>AVERAGE(AC385:AC396)</f>
        <v>11.333274000697728</v>
      </c>
      <c r="AD1089" s="27">
        <f>AVERAGE(AD385:AD396)</f>
        <v>11.249902158273381</v>
      </c>
    </row>
    <row r="1090" spans="1:30" ht="15" x14ac:dyDescent="0.2">
      <c r="A1090" s="11">
        <f t="shared" si="50"/>
        <v>2046</v>
      </c>
      <c r="B1090" s="10">
        <f t="shared" ref="B1090:S1090" si="67">AVERAGE(B397:B408)</f>
        <v>11.597666666666669</v>
      </c>
      <c r="C1090" s="10">
        <f t="shared" si="67"/>
        <v>11.603833333333334</v>
      </c>
      <c r="D1090" s="10">
        <f t="shared" si="67"/>
        <v>11.717941666666668</v>
      </c>
      <c r="E1090" s="10">
        <f t="shared" si="67"/>
        <v>11.750041666666666</v>
      </c>
      <c r="F1090" s="10">
        <f t="shared" si="67"/>
        <v>11.567333333333332</v>
      </c>
      <c r="G1090" s="10">
        <f t="shared" si="67"/>
        <v>11.584341666666667</v>
      </c>
      <c r="H1090" s="10">
        <f t="shared" si="67"/>
        <v>11.739158333333334</v>
      </c>
      <c r="I1090" s="10">
        <f t="shared" si="67"/>
        <v>11.585366666666667</v>
      </c>
      <c r="J1090" s="10">
        <f t="shared" si="67"/>
        <v>11.560333333333334</v>
      </c>
      <c r="K1090" s="10">
        <f t="shared" si="67"/>
        <v>11.396666666666667</v>
      </c>
      <c r="L1090" s="10">
        <f t="shared" si="67"/>
        <v>12.326158333333334</v>
      </c>
      <c r="M1090" s="10">
        <f t="shared" si="67"/>
        <v>11.457500000000001</v>
      </c>
      <c r="N1090" s="10">
        <f t="shared" si="67"/>
        <v>11.474316666666667</v>
      </c>
      <c r="O1090" s="10">
        <f t="shared" si="67"/>
        <v>11.634516666666668</v>
      </c>
      <c r="P1090" s="10">
        <f t="shared" si="67"/>
        <v>11.482325000000001</v>
      </c>
      <c r="Q1090" s="10">
        <f t="shared" si="67"/>
        <v>12.229816666666666</v>
      </c>
      <c r="R1090" s="10">
        <f t="shared" si="67"/>
        <v>12.847383333333333</v>
      </c>
      <c r="S1090" s="10">
        <f t="shared" si="67"/>
        <v>11.259366666666665</v>
      </c>
      <c r="T1090" s="32">
        <f t="shared" ref="T1090:Y1090" si="68">SUM(T397:T408)</f>
        <v>357.24568100000005</v>
      </c>
      <c r="U1090" s="32">
        <f t="shared" si="68"/>
        <v>142.03263249999998</v>
      </c>
      <c r="V1090" s="32">
        <f t="shared" si="68"/>
        <v>50.187500000000007</v>
      </c>
      <c r="W1090" s="32">
        <f t="shared" si="68"/>
        <v>5.0822234999999996</v>
      </c>
      <c r="X1090" s="32">
        <f t="shared" si="68"/>
        <v>20.758966663999999</v>
      </c>
      <c r="Y1090" s="32">
        <f t="shared" si="68"/>
        <v>239.38890000000001</v>
      </c>
      <c r="Z1090" s="32"/>
      <c r="AA1090" s="37"/>
      <c r="AB1090" s="36"/>
      <c r="AC1090" s="33">
        <f>AVERAGE(AC397:AC408)</f>
        <v>11.605298645400262</v>
      </c>
      <c r="AD1090" s="27">
        <f>AVERAGE(AD397:AD408)</f>
        <v>11.519185491606713</v>
      </c>
    </row>
    <row r="1091" spans="1:30" ht="15" x14ac:dyDescent="0.2">
      <c r="A1091" s="11">
        <f t="shared" si="50"/>
        <v>2047</v>
      </c>
      <c r="B1091" s="10">
        <f t="shared" ref="B1091:S1091" si="69">AVERAGE(B409:B420)</f>
        <v>11.876233333333333</v>
      </c>
      <c r="C1091" s="10">
        <f t="shared" si="69"/>
        <v>11.882391666666665</v>
      </c>
      <c r="D1091" s="10">
        <f t="shared" si="69"/>
        <v>11.996508333333333</v>
      </c>
      <c r="E1091" s="10">
        <f t="shared" si="69"/>
        <v>12.028608333333333</v>
      </c>
      <c r="F1091" s="10">
        <f t="shared" si="69"/>
        <v>11.8459</v>
      </c>
      <c r="G1091" s="10">
        <f t="shared" si="69"/>
        <v>11.862899999999998</v>
      </c>
      <c r="H1091" s="10">
        <f t="shared" si="69"/>
        <v>12.017725</v>
      </c>
      <c r="I1091" s="10">
        <f t="shared" si="69"/>
        <v>11.863925</v>
      </c>
      <c r="J1091" s="10">
        <f t="shared" si="69"/>
        <v>11.838899999999997</v>
      </c>
      <c r="K1091" s="10">
        <f t="shared" si="69"/>
        <v>11.667291666666669</v>
      </c>
      <c r="L1091" s="10">
        <f t="shared" si="69"/>
        <v>12.604725</v>
      </c>
      <c r="M1091" s="10">
        <f t="shared" si="69"/>
        <v>11.733233333333336</v>
      </c>
      <c r="N1091" s="10">
        <f t="shared" si="69"/>
        <v>11.750075000000001</v>
      </c>
      <c r="O1091" s="10">
        <f t="shared" si="69"/>
        <v>11.910266666666665</v>
      </c>
      <c r="P1091" s="10">
        <f t="shared" si="69"/>
        <v>11.758066666666664</v>
      </c>
      <c r="Q1091" s="10">
        <f t="shared" si="69"/>
        <v>12.505566666666667</v>
      </c>
      <c r="R1091" s="10">
        <f t="shared" si="69"/>
        <v>13.123816666666665</v>
      </c>
      <c r="S1091" s="10">
        <f t="shared" si="69"/>
        <v>11.529908333333333</v>
      </c>
      <c r="T1091" s="32">
        <f t="shared" ref="T1091:Y1091" si="70">SUM(T409:T420)</f>
        <v>357.24568100000005</v>
      </c>
      <c r="U1091" s="32">
        <f t="shared" si="70"/>
        <v>142.03263249999998</v>
      </c>
      <c r="V1091" s="32">
        <f t="shared" si="70"/>
        <v>50.187500000000007</v>
      </c>
      <c r="W1091" s="32">
        <f t="shared" si="70"/>
        <v>5.0822234999999996</v>
      </c>
      <c r="X1091" s="32">
        <f t="shared" si="70"/>
        <v>20.758966663999999</v>
      </c>
      <c r="Y1091" s="32">
        <f t="shared" si="70"/>
        <v>238.62239999999994</v>
      </c>
      <c r="Z1091" s="32"/>
      <c r="AA1091" s="37"/>
      <c r="AB1091" s="36"/>
      <c r="AC1091" s="33">
        <f>AVERAGE(AC409:AC420)</f>
        <v>11.883861287493827</v>
      </c>
      <c r="AD1091" s="27">
        <f>AVERAGE(AD409:AD420)</f>
        <v>11.794931894484414</v>
      </c>
    </row>
    <row r="1092" spans="1:30" ht="15" x14ac:dyDescent="0.2">
      <c r="A1092" s="11">
        <f t="shared" si="50"/>
        <v>2048</v>
      </c>
      <c r="B1092" s="10">
        <f t="shared" ref="B1092:S1092" si="71">AVERAGE(B421:B432)</f>
        <v>12.161483333333335</v>
      </c>
      <c r="C1092" s="10">
        <f t="shared" si="71"/>
        <v>12.167658333333334</v>
      </c>
      <c r="D1092" s="10">
        <f t="shared" si="71"/>
        <v>12.281750000000001</v>
      </c>
      <c r="E1092" s="10">
        <f t="shared" si="71"/>
        <v>12.313849999999997</v>
      </c>
      <c r="F1092" s="10">
        <f t="shared" si="71"/>
        <v>12.131141666666664</v>
      </c>
      <c r="G1092" s="10">
        <f t="shared" si="71"/>
        <v>12.148158333333333</v>
      </c>
      <c r="H1092" s="10">
        <f t="shared" si="71"/>
        <v>12.302975000000002</v>
      </c>
      <c r="I1092" s="10">
        <f t="shared" si="71"/>
        <v>12.149175000000001</v>
      </c>
      <c r="J1092" s="10">
        <f t="shared" si="71"/>
        <v>12.124141666666665</v>
      </c>
      <c r="K1092" s="10">
        <f t="shared" si="71"/>
        <v>11.944433333333331</v>
      </c>
      <c r="L1092" s="10">
        <f t="shared" si="71"/>
        <v>12.889975</v>
      </c>
      <c r="M1092" s="10">
        <f t="shared" si="71"/>
        <v>12.015616666666666</v>
      </c>
      <c r="N1092" s="10">
        <f t="shared" si="71"/>
        <v>12.032458333333336</v>
      </c>
      <c r="O1092" s="10">
        <f t="shared" si="71"/>
        <v>12.192658333333332</v>
      </c>
      <c r="P1092" s="10">
        <f t="shared" si="71"/>
        <v>12.04045</v>
      </c>
      <c r="Q1092" s="10">
        <f t="shared" si="71"/>
        <v>12.787958333333336</v>
      </c>
      <c r="R1092" s="10">
        <f t="shared" si="71"/>
        <v>13.406916666666666</v>
      </c>
      <c r="S1092" s="10">
        <f t="shared" si="71"/>
        <v>11.806916666666668</v>
      </c>
      <c r="T1092" s="32">
        <f t="shared" ref="T1092:Y1092" si="72">SUM(T421:T432)</f>
        <v>358.17703550000004</v>
      </c>
      <c r="U1092" s="32">
        <f t="shared" si="72"/>
        <v>142.42176299999997</v>
      </c>
      <c r="V1092" s="32">
        <f t="shared" si="72"/>
        <v>50.325000000000003</v>
      </c>
      <c r="W1092" s="32">
        <f t="shared" si="72"/>
        <v>5.0961473999999995</v>
      </c>
      <c r="X1092" s="32">
        <f t="shared" si="72"/>
        <v>20.800615543999996</v>
      </c>
      <c r="Y1092" s="32">
        <f t="shared" si="72"/>
        <v>238.50756000000001</v>
      </c>
      <c r="Z1092" s="32"/>
      <c r="AA1092" s="37"/>
      <c r="AB1092" s="36"/>
      <c r="AC1092" s="33">
        <f>AVERAGE(AC421:AC432)</f>
        <v>12.169112193701702</v>
      </c>
      <c r="AD1092" s="27">
        <f>AVERAGE(AD421:AD432)</f>
        <v>12.077317565947242</v>
      </c>
    </row>
    <row r="1093" spans="1:30" ht="15" x14ac:dyDescent="0.2">
      <c r="A1093" s="11">
        <f t="shared" si="50"/>
        <v>2049</v>
      </c>
      <c r="B1093" s="10">
        <f t="shared" ref="B1093:S1093" si="73">AVERAGE(B433:B444)</f>
        <v>12.453608333333333</v>
      </c>
      <c r="C1093" s="10">
        <f t="shared" si="73"/>
        <v>12.459775000000002</v>
      </c>
      <c r="D1093" s="10">
        <f t="shared" si="73"/>
        <v>12.573874999999999</v>
      </c>
      <c r="E1093" s="10">
        <f t="shared" si="73"/>
        <v>12.60595</v>
      </c>
      <c r="F1093" s="10">
        <f t="shared" si="73"/>
        <v>12.423258333333331</v>
      </c>
      <c r="G1093" s="10">
        <f t="shared" si="73"/>
        <v>12.440241666666665</v>
      </c>
      <c r="H1093" s="10">
        <f t="shared" si="73"/>
        <v>12.595083333333333</v>
      </c>
      <c r="I1093" s="10">
        <f t="shared" si="73"/>
        <v>12.441299999999998</v>
      </c>
      <c r="J1093" s="10">
        <f t="shared" si="73"/>
        <v>12.416258333333333</v>
      </c>
      <c r="K1093" s="10">
        <f t="shared" si="73"/>
        <v>12.228250000000001</v>
      </c>
      <c r="L1093" s="10">
        <f t="shared" si="73"/>
        <v>13.182083333333333</v>
      </c>
      <c r="M1093" s="10">
        <f t="shared" si="73"/>
        <v>12.304783333333333</v>
      </c>
      <c r="N1093" s="10">
        <f t="shared" si="73"/>
        <v>12.321591666666665</v>
      </c>
      <c r="O1093" s="10">
        <f t="shared" si="73"/>
        <v>12.481808333333333</v>
      </c>
      <c r="P1093" s="10">
        <f t="shared" si="73"/>
        <v>12.329599999999999</v>
      </c>
      <c r="Q1093" s="10">
        <f t="shared" si="73"/>
        <v>13.07710833333333</v>
      </c>
      <c r="R1093" s="10">
        <f t="shared" si="73"/>
        <v>13.696808333333331</v>
      </c>
      <c r="S1093" s="10">
        <f t="shared" si="73"/>
        <v>12.090566666666666</v>
      </c>
      <c r="T1093" s="32">
        <f t="shared" ref="T1093:Y1093" si="74">SUM(T433:T444)</f>
        <v>357.24568100000005</v>
      </c>
      <c r="U1093" s="32">
        <f t="shared" si="74"/>
        <v>142.03263249999998</v>
      </c>
      <c r="V1093" s="32">
        <f t="shared" si="74"/>
        <v>50.187500000000007</v>
      </c>
      <c r="W1093" s="32">
        <f t="shared" si="74"/>
        <v>5.0822234999999996</v>
      </c>
      <c r="X1093" s="32">
        <f t="shared" si="74"/>
        <v>20.758966663999999</v>
      </c>
      <c r="Y1093" s="32">
        <f t="shared" si="74"/>
        <v>237.08939999999996</v>
      </c>
      <c r="Z1093" s="32"/>
      <c r="AA1093" s="37"/>
      <c r="AB1093" s="36"/>
      <c r="AC1093" s="33">
        <f>AVERAGE(AC433:AC444)</f>
        <v>12.461226581421137</v>
      </c>
      <c r="AD1093" s="27">
        <f>AVERAGE(AD433:AD444)</f>
        <v>12.366472362110313</v>
      </c>
    </row>
    <row r="1094" spans="1:30" ht="15" x14ac:dyDescent="0.2">
      <c r="A1094" s="11">
        <f t="shared" si="50"/>
        <v>2050</v>
      </c>
      <c r="B1094" s="10">
        <f t="shared" ref="B1094:S1094" si="75">AVERAGE(B445:B456)</f>
        <v>12.752724999999998</v>
      </c>
      <c r="C1094" s="10">
        <f t="shared" si="75"/>
        <v>12.758891666666665</v>
      </c>
      <c r="D1094" s="10">
        <f t="shared" si="75"/>
        <v>12.873008333333333</v>
      </c>
      <c r="E1094" s="10">
        <f t="shared" si="75"/>
        <v>12.905091666666666</v>
      </c>
      <c r="F1094" s="10">
        <f t="shared" si="75"/>
        <v>12.722383333333335</v>
      </c>
      <c r="G1094" s="10">
        <f t="shared" si="75"/>
        <v>12.739375000000001</v>
      </c>
      <c r="H1094" s="10">
        <f t="shared" si="75"/>
        <v>12.8942</v>
      </c>
      <c r="I1094" s="10">
        <f t="shared" si="75"/>
        <v>12.740400000000001</v>
      </c>
      <c r="J1094" s="10">
        <f t="shared" si="75"/>
        <v>12.715383333333333</v>
      </c>
      <c r="K1094" s="10">
        <f t="shared" si="75"/>
        <v>12.518883333333335</v>
      </c>
      <c r="L1094" s="10">
        <f t="shared" si="75"/>
        <v>13.481199999999999</v>
      </c>
      <c r="M1094" s="10">
        <f t="shared" si="75"/>
        <v>12.600891666666664</v>
      </c>
      <c r="N1094" s="10">
        <f t="shared" si="75"/>
        <v>12.617725</v>
      </c>
      <c r="O1094" s="10">
        <f t="shared" si="75"/>
        <v>12.777916666666664</v>
      </c>
      <c r="P1094" s="10">
        <f t="shared" si="75"/>
        <v>12.625716666666667</v>
      </c>
      <c r="Q1094" s="10">
        <f t="shared" si="75"/>
        <v>13.37321666666667</v>
      </c>
      <c r="R1094" s="10">
        <f t="shared" si="75"/>
        <v>13.993633333333335</v>
      </c>
      <c r="S1094" s="10">
        <f t="shared" si="75"/>
        <v>12.381058333333334</v>
      </c>
      <c r="T1094" s="32">
        <f t="shared" ref="T1094:Y1094" si="76">SUM(T445:T456)</f>
        <v>357.24568100000005</v>
      </c>
      <c r="U1094" s="32">
        <f t="shared" si="76"/>
        <v>142.03263249999998</v>
      </c>
      <c r="V1094" s="32">
        <f t="shared" si="76"/>
        <v>50.187500000000007</v>
      </c>
      <c r="W1094" s="32">
        <f t="shared" si="76"/>
        <v>5.0822234999999996</v>
      </c>
      <c r="X1094" s="32">
        <f t="shared" si="76"/>
        <v>20.758966663999999</v>
      </c>
      <c r="Y1094" s="32">
        <f t="shared" si="76"/>
        <v>236.32289999999998</v>
      </c>
      <c r="Z1094" s="32"/>
      <c r="AA1094" s="37"/>
      <c r="AB1094" s="36"/>
      <c r="AC1094" s="33">
        <f>AVERAGE(AC445:AC456)</f>
        <v>12.760348709959745</v>
      </c>
      <c r="AD1094" s="27">
        <f>AVERAGE(AD445:AD456)</f>
        <v>12.662586211031178</v>
      </c>
    </row>
    <row r="1095" spans="1:30" ht="15" x14ac:dyDescent="0.2">
      <c r="A1095" s="11">
        <f t="shared" si="50"/>
        <v>2051</v>
      </c>
      <c r="B1095" s="10">
        <f t="shared" ref="B1095:S1095" si="77">AVERAGE(B457:B468)</f>
        <v>13.059033333333334</v>
      </c>
      <c r="C1095" s="10">
        <f t="shared" si="77"/>
        <v>13.065199999999999</v>
      </c>
      <c r="D1095" s="10">
        <f t="shared" si="77"/>
        <v>13.179308333333331</v>
      </c>
      <c r="E1095" s="10">
        <f t="shared" si="77"/>
        <v>13.211416666666667</v>
      </c>
      <c r="F1095" s="10">
        <f t="shared" si="77"/>
        <v>13.028699999999999</v>
      </c>
      <c r="G1095" s="10">
        <f t="shared" si="77"/>
        <v>13.045691666666668</v>
      </c>
      <c r="H1095" s="10">
        <f t="shared" si="77"/>
        <v>13.200516666666665</v>
      </c>
      <c r="I1095" s="10">
        <f t="shared" si="77"/>
        <v>13.046725</v>
      </c>
      <c r="J1095" s="10">
        <f t="shared" si="77"/>
        <v>13.021700000000001</v>
      </c>
      <c r="K1095" s="10">
        <f t="shared" si="77"/>
        <v>12.816483333333336</v>
      </c>
      <c r="L1095" s="10">
        <f t="shared" si="77"/>
        <v>13.787516666666667</v>
      </c>
      <c r="M1095" s="10">
        <f t="shared" si="77"/>
        <v>12.904108333333333</v>
      </c>
      <c r="N1095" s="10">
        <f t="shared" si="77"/>
        <v>12.920941666666666</v>
      </c>
      <c r="O1095" s="10">
        <f t="shared" si="77"/>
        <v>13.081133333333334</v>
      </c>
      <c r="P1095" s="10">
        <f t="shared" si="77"/>
        <v>12.92895</v>
      </c>
      <c r="Q1095" s="10">
        <f t="shared" si="77"/>
        <v>13.676433333333334</v>
      </c>
      <c r="R1095" s="10">
        <f t="shared" si="77"/>
        <v>14.297624999999998</v>
      </c>
      <c r="S1095" s="10">
        <f t="shared" si="77"/>
        <v>12.678533333333334</v>
      </c>
      <c r="T1095" s="32">
        <f t="shared" ref="T1095:Y1095" si="78">SUM(T457:T468)</f>
        <v>357.24568100000005</v>
      </c>
      <c r="U1095" s="32">
        <f t="shared" si="78"/>
        <v>142.03263249999998</v>
      </c>
      <c r="V1095" s="32">
        <f t="shared" si="78"/>
        <v>50.187500000000007</v>
      </c>
      <c r="W1095" s="32">
        <f t="shared" si="78"/>
        <v>5.0822234999999996</v>
      </c>
      <c r="X1095" s="32">
        <f t="shared" si="78"/>
        <v>20.758966663999999</v>
      </c>
      <c r="Y1095" s="32">
        <f t="shared" si="78"/>
        <v>235.5783000000001</v>
      </c>
      <c r="Z1095" s="32"/>
      <c r="AA1095" s="37"/>
      <c r="AB1095" s="36"/>
      <c r="AC1095" s="33">
        <f>AVERAGE(AC457:AC468)</f>
        <v>13.066661482538391</v>
      </c>
      <c r="AD1095" s="27">
        <f>AVERAGE(AD457:AD468)</f>
        <v>12.965803836930455</v>
      </c>
    </row>
    <row r="1096" spans="1:30" ht="15" x14ac:dyDescent="0.2">
      <c r="A1096" s="11">
        <f t="shared" si="50"/>
        <v>2052</v>
      </c>
      <c r="B1096" s="10">
        <f t="shared" ref="B1096:S1096" si="79">AVERAGE(B469:B480)</f>
        <v>13.3727</v>
      </c>
      <c r="C1096" s="10">
        <f t="shared" si="79"/>
        <v>13.378883333333334</v>
      </c>
      <c r="D1096" s="10">
        <f t="shared" si="79"/>
        <v>13.492991666666668</v>
      </c>
      <c r="E1096" s="10">
        <f t="shared" si="79"/>
        <v>13.525083333333333</v>
      </c>
      <c r="F1096" s="10">
        <f t="shared" si="79"/>
        <v>13.342391666666666</v>
      </c>
      <c r="G1096" s="10">
        <f t="shared" si="79"/>
        <v>13.359383333333334</v>
      </c>
      <c r="H1096" s="10">
        <f t="shared" si="79"/>
        <v>13.514208333333334</v>
      </c>
      <c r="I1096" s="10">
        <f t="shared" si="79"/>
        <v>13.360408333333334</v>
      </c>
      <c r="J1096" s="10">
        <f t="shared" si="79"/>
        <v>13.335391666666666</v>
      </c>
      <c r="K1096" s="10">
        <f t="shared" si="79"/>
        <v>13.121266666666664</v>
      </c>
      <c r="L1096" s="10">
        <f t="shared" si="79"/>
        <v>14.101208333333332</v>
      </c>
      <c r="M1096" s="10">
        <f t="shared" si="79"/>
        <v>13.214625000000003</v>
      </c>
      <c r="N1096" s="10">
        <f t="shared" si="79"/>
        <v>13.231441666666667</v>
      </c>
      <c r="O1096" s="10">
        <f t="shared" si="79"/>
        <v>13.39165</v>
      </c>
      <c r="P1096" s="10">
        <f t="shared" si="79"/>
        <v>13.239458333333333</v>
      </c>
      <c r="Q1096" s="10">
        <f t="shared" si="79"/>
        <v>13.98695</v>
      </c>
      <c r="R1096" s="10">
        <f t="shared" si="79"/>
        <v>14.608916666666666</v>
      </c>
      <c r="S1096" s="10">
        <f t="shared" si="79"/>
        <v>12.983141666666667</v>
      </c>
      <c r="T1096" s="32">
        <f t="shared" ref="T1096:Y1096" si="80">SUM(T469:T480)</f>
        <v>358.17703550000004</v>
      </c>
      <c r="U1096" s="32">
        <f t="shared" si="80"/>
        <v>142.42176299999997</v>
      </c>
      <c r="V1096" s="32">
        <f t="shared" si="80"/>
        <v>50.325000000000003</v>
      </c>
      <c r="W1096" s="32">
        <f t="shared" si="80"/>
        <v>5.0961473999999995</v>
      </c>
      <c r="X1096" s="32">
        <f t="shared" si="80"/>
        <v>20.800615543999996</v>
      </c>
      <c r="Y1096" s="32">
        <f t="shared" si="80"/>
        <v>235.45512000000002</v>
      </c>
      <c r="Z1096" s="32"/>
      <c r="AA1096" s="37"/>
      <c r="AB1096" s="36"/>
      <c r="AC1096" s="33">
        <f>AVERAGE(AC469:AC480)</f>
        <v>13.380345986052786</v>
      </c>
      <c r="AD1096" s="27">
        <f>AVERAGE(AD469:AD480)</f>
        <v>13.276315467625897</v>
      </c>
    </row>
    <row r="1097" spans="1:30" ht="15" x14ac:dyDescent="0.2">
      <c r="A1097" s="11">
        <f t="shared" si="50"/>
        <v>2053</v>
      </c>
      <c r="B1097" s="10">
        <f t="shared" ref="B1097:S1097" si="81">AVERAGE(B481:B492)</f>
        <v>13.693924999999998</v>
      </c>
      <c r="C1097" s="10">
        <f t="shared" si="81"/>
        <v>13.700091666666665</v>
      </c>
      <c r="D1097" s="10">
        <f t="shared" si="81"/>
        <v>13.814191666666668</v>
      </c>
      <c r="E1097" s="10">
        <f t="shared" si="81"/>
        <v>13.846308333333335</v>
      </c>
      <c r="F1097" s="10">
        <f t="shared" si="81"/>
        <v>13.663591666666663</v>
      </c>
      <c r="G1097" s="10">
        <f t="shared" si="81"/>
        <v>13.680591666666666</v>
      </c>
      <c r="H1097" s="10">
        <f t="shared" si="81"/>
        <v>13.835408333333334</v>
      </c>
      <c r="I1097" s="10">
        <f t="shared" si="81"/>
        <v>13.681616666666665</v>
      </c>
      <c r="J1097" s="10">
        <f t="shared" si="81"/>
        <v>13.656591666666666</v>
      </c>
      <c r="K1097" s="10">
        <f t="shared" si="81"/>
        <v>13.433341666666665</v>
      </c>
      <c r="L1097" s="10">
        <f t="shared" si="81"/>
        <v>14.422408333333335</v>
      </c>
      <c r="M1097" s="10">
        <f t="shared" si="81"/>
        <v>13.532608333333334</v>
      </c>
      <c r="N1097" s="10">
        <f t="shared" si="81"/>
        <v>13.549425000000001</v>
      </c>
      <c r="O1097" s="10">
        <f t="shared" si="81"/>
        <v>13.709633333333334</v>
      </c>
      <c r="P1097" s="10">
        <f t="shared" si="81"/>
        <v>13.557416666666667</v>
      </c>
      <c r="Q1097" s="10">
        <f t="shared" si="81"/>
        <v>14.304933333333333</v>
      </c>
      <c r="R1097" s="10">
        <f t="shared" si="81"/>
        <v>14.927675000000001</v>
      </c>
      <c r="S1097" s="10">
        <f t="shared" si="81"/>
        <v>13.295049999999998</v>
      </c>
      <c r="T1097" s="32">
        <f t="shared" ref="T1097:Y1097" si="82">SUM(T481:T492)</f>
        <v>357.24568100000005</v>
      </c>
      <c r="U1097" s="32">
        <f t="shared" si="82"/>
        <v>142.03263249999998</v>
      </c>
      <c r="V1097" s="32">
        <f t="shared" si="82"/>
        <v>50.187500000000007</v>
      </c>
      <c r="W1097" s="32">
        <f t="shared" si="82"/>
        <v>5.0822234999999996</v>
      </c>
      <c r="X1097" s="32">
        <f t="shared" si="82"/>
        <v>20.758966663999999</v>
      </c>
      <c r="Y1097" s="32">
        <f t="shared" si="82"/>
        <v>234.0453</v>
      </c>
      <c r="Z1097" s="32"/>
      <c r="AA1097" s="37"/>
      <c r="AB1097" s="36"/>
      <c r="AC1097" s="33">
        <f>AVERAGE(AC481:AC492)</f>
        <v>13.701554629036773</v>
      </c>
      <c r="AD1097" s="27">
        <f>AVERAGE(AD481:AD492)</f>
        <v>13.59429520383693</v>
      </c>
    </row>
    <row r="1098" spans="1:30" ht="15" x14ac:dyDescent="0.2">
      <c r="A1098" s="11">
        <f t="shared" si="50"/>
        <v>2054</v>
      </c>
      <c r="B1098" s="10">
        <f t="shared" ref="B1098:S1098" si="83">AVERAGE(B493:B504)</f>
        <v>14.022841666666663</v>
      </c>
      <c r="C1098" s="10">
        <f t="shared" si="83"/>
        <v>14.029024999999999</v>
      </c>
      <c r="D1098" s="10">
        <f t="shared" si="83"/>
        <v>14.143125</v>
      </c>
      <c r="E1098" s="10">
        <f t="shared" si="83"/>
        <v>14.175225000000003</v>
      </c>
      <c r="F1098" s="10">
        <f t="shared" si="83"/>
        <v>13.992516666666665</v>
      </c>
      <c r="G1098" s="10">
        <f t="shared" si="83"/>
        <v>14.009525000000004</v>
      </c>
      <c r="H1098" s="10">
        <f t="shared" si="83"/>
        <v>14.164333333333332</v>
      </c>
      <c r="I1098" s="10">
        <f t="shared" si="83"/>
        <v>14.01055</v>
      </c>
      <c r="J1098" s="10">
        <f t="shared" si="83"/>
        <v>13.985516666666669</v>
      </c>
      <c r="K1098" s="10">
        <f t="shared" si="83"/>
        <v>13.752933333333337</v>
      </c>
      <c r="L1098" s="10">
        <f t="shared" si="83"/>
        <v>14.751333333333335</v>
      </c>
      <c r="M1098" s="10">
        <f t="shared" si="83"/>
        <v>13.858199999999998</v>
      </c>
      <c r="N1098" s="10">
        <f t="shared" si="83"/>
        <v>13.875049999999996</v>
      </c>
      <c r="O1098" s="10">
        <f t="shared" si="83"/>
        <v>14.035216666666669</v>
      </c>
      <c r="P1098" s="10">
        <f t="shared" si="83"/>
        <v>13.883033333333335</v>
      </c>
      <c r="Q1098" s="10">
        <f t="shared" si="83"/>
        <v>14.630516666666667</v>
      </c>
      <c r="R1098" s="10">
        <f t="shared" si="83"/>
        <v>15.254116666666667</v>
      </c>
      <c r="S1098" s="10">
        <f t="shared" si="83"/>
        <v>13.614475000000004</v>
      </c>
      <c r="T1098" s="32">
        <f t="shared" ref="T1098:Y1098" si="84">SUM(T493:T504)</f>
        <v>357.24568100000005</v>
      </c>
      <c r="U1098" s="32">
        <f t="shared" si="84"/>
        <v>142.03263249999998</v>
      </c>
      <c r="V1098" s="32">
        <f t="shared" si="84"/>
        <v>50.187500000000007</v>
      </c>
      <c r="W1098" s="32">
        <f t="shared" si="84"/>
        <v>5.0822234999999996</v>
      </c>
      <c r="X1098" s="32">
        <f t="shared" si="84"/>
        <v>20.758966663999999</v>
      </c>
      <c r="Y1098" s="32">
        <f t="shared" si="84"/>
        <v>233.30070000000001</v>
      </c>
      <c r="Z1098" s="32"/>
      <c r="AA1098" s="35"/>
      <c r="AB1098" s="34"/>
      <c r="AC1098" s="33">
        <f>AVERAGE(AC493:AC504)</f>
        <v>14.03048274309983</v>
      </c>
      <c r="AD1098" s="27">
        <f>AVERAGE(AD493:AD504)</f>
        <v>13.919894364508389</v>
      </c>
    </row>
    <row r="1099" spans="1:30" ht="15" x14ac:dyDescent="0.2">
      <c r="A1099" s="11">
        <f t="shared" si="50"/>
        <v>2055</v>
      </c>
      <c r="B1099" s="10">
        <f t="shared" ref="B1099:S1099" si="85">AVERAGE(B505:B516)</f>
        <v>14.359691666666665</v>
      </c>
      <c r="C1099" s="10">
        <f t="shared" si="85"/>
        <v>14.365858333333335</v>
      </c>
      <c r="D1099" s="10">
        <f t="shared" si="85"/>
        <v>14.479966666666664</v>
      </c>
      <c r="E1099" s="10">
        <f t="shared" si="85"/>
        <v>14.512058333333336</v>
      </c>
      <c r="F1099" s="10">
        <f t="shared" si="85"/>
        <v>14.329341666666664</v>
      </c>
      <c r="G1099" s="10">
        <f t="shared" si="85"/>
        <v>14.346358333333333</v>
      </c>
      <c r="H1099" s="10">
        <f t="shared" si="85"/>
        <v>14.501166666666665</v>
      </c>
      <c r="I1099" s="10">
        <f t="shared" si="85"/>
        <v>14.3474</v>
      </c>
      <c r="J1099" s="10">
        <f t="shared" si="85"/>
        <v>14.322341666666665</v>
      </c>
      <c r="K1099" s="10">
        <f t="shared" si="85"/>
        <v>14.080183333333332</v>
      </c>
      <c r="L1099" s="10">
        <f t="shared" si="85"/>
        <v>15.088166666666666</v>
      </c>
      <c r="M1099" s="10">
        <f t="shared" si="85"/>
        <v>14.191641666666664</v>
      </c>
      <c r="N1099" s="10">
        <f t="shared" si="85"/>
        <v>14.208466666666666</v>
      </c>
      <c r="O1099" s="10">
        <f t="shared" si="85"/>
        <v>14.368658333333331</v>
      </c>
      <c r="P1099" s="10">
        <f t="shared" si="85"/>
        <v>14.216458333333334</v>
      </c>
      <c r="Q1099" s="10">
        <f t="shared" si="85"/>
        <v>14.963958333333336</v>
      </c>
      <c r="R1099" s="10">
        <f t="shared" si="85"/>
        <v>15.588350000000004</v>
      </c>
      <c r="S1099" s="10">
        <f t="shared" si="85"/>
        <v>13.941583333333332</v>
      </c>
      <c r="T1099" s="32">
        <f t="shared" ref="T1099:Y1099" si="86">SUM(T505:T516)</f>
        <v>357.24568100000005</v>
      </c>
      <c r="U1099" s="32">
        <f t="shared" si="86"/>
        <v>142.03263249999998</v>
      </c>
      <c r="V1099" s="32">
        <f t="shared" si="86"/>
        <v>50.187500000000007</v>
      </c>
      <c r="W1099" s="32">
        <f t="shared" si="86"/>
        <v>5.0822234999999996</v>
      </c>
      <c r="X1099" s="32">
        <f t="shared" si="86"/>
        <v>20.758966663999999</v>
      </c>
      <c r="Y1099" s="32">
        <f t="shared" si="86"/>
        <v>232.55610000000001</v>
      </c>
      <c r="Z1099" s="32"/>
      <c r="AA1099" s="35"/>
      <c r="AB1099" s="34"/>
      <c r="AC1099" s="33">
        <f>AVERAGE(AC505:AC516)</f>
        <v>14.367318070308619</v>
      </c>
      <c r="AD1099" s="27">
        <f>AVERAGE(AD505:AD516)</f>
        <v>14.253329316546763</v>
      </c>
    </row>
    <row r="1100" spans="1:30" ht="15" x14ac:dyDescent="0.2">
      <c r="A1100" s="11">
        <f t="shared" si="50"/>
        <v>2056</v>
      </c>
      <c r="B1100" s="10">
        <f t="shared" ref="B1100:S1100" si="87">AVERAGE(B517:B528)</f>
        <v>14.704608333333335</v>
      </c>
      <c r="C1100" s="10">
        <f t="shared" si="87"/>
        <v>14.710783333333334</v>
      </c>
      <c r="D1100" s="10">
        <f t="shared" si="87"/>
        <v>14.824874999999999</v>
      </c>
      <c r="E1100" s="10">
        <f t="shared" si="87"/>
        <v>14.856983333333334</v>
      </c>
      <c r="F1100" s="10">
        <f t="shared" si="87"/>
        <v>14.674275</v>
      </c>
      <c r="G1100" s="10">
        <f t="shared" si="87"/>
        <v>14.691283333333333</v>
      </c>
      <c r="H1100" s="10">
        <f t="shared" si="87"/>
        <v>14.846108333333333</v>
      </c>
      <c r="I1100" s="10">
        <f t="shared" si="87"/>
        <v>14.692316666666665</v>
      </c>
      <c r="J1100" s="10">
        <f t="shared" si="87"/>
        <v>14.667275000000002</v>
      </c>
      <c r="K1100" s="10">
        <f t="shared" si="87"/>
        <v>14.41530833333333</v>
      </c>
      <c r="L1100" s="10">
        <f t="shared" si="87"/>
        <v>15.433108333333335</v>
      </c>
      <c r="M1100" s="10">
        <f t="shared" si="87"/>
        <v>14.533091666666664</v>
      </c>
      <c r="N1100" s="10">
        <f t="shared" si="87"/>
        <v>14.549891666666666</v>
      </c>
      <c r="O1100" s="10">
        <f t="shared" si="87"/>
        <v>14.710108333333332</v>
      </c>
      <c r="P1100" s="10">
        <f t="shared" si="87"/>
        <v>14.557908333333335</v>
      </c>
      <c r="Q1100" s="10">
        <f t="shared" si="87"/>
        <v>15.305408333333334</v>
      </c>
      <c r="R1100" s="10">
        <f t="shared" si="87"/>
        <v>15.930666666666665</v>
      </c>
      <c r="S1100" s="10">
        <f t="shared" si="87"/>
        <v>14.276533333333333</v>
      </c>
      <c r="T1100" s="32">
        <f t="shared" ref="T1100:Y1100" si="88">SUM(T517:T528)</f>
        <v>358.17703550000004</v>
      </c>
      <c r="U1100" s="32">
        <f t="shared" si="88"/>
        <v>142.42176299999997</v>
      </c>
      <c r="V1100" s="32">
        <f t="shared" si="88"/>
        <v>50.325000000000003</v>
      </c>
      <c r="W1100" s="32">
        <f t="shared" si="88"/>
        <v>5.0961473999999995</v>
      </c>
      <c r="X1100" s="32">
        <f t="shared" si="88"/>
        <v>20.800615543999996</v>
      </c>
      <c r="Y1100" s="32">
        <f t="shared" si="88"/>
        <v>232.44659999999996</v>
      </c>
      <c r="Z1100" s="32"/>
      <c r="AA1100" s="35"/>
      <c r="AB1100" s="34"/>
      <c r="AC1100" s="33">
        <f>AVERAGE(AC517:AC528)</f>
        <v>14.712241995843202</v>
      </c>
      <c r="AD1100" s="27">
        <f>AVERAGE(AD517:AD528)</f>
        <v>14.594776438848919</v>
      </c>
    </row>
    <row r="1101" spans="1:30" ht="15" x14ac:dyDescent="0.2">
      <c r="A1101" s="11">
        <f t="shared" si="50"/>
        <v>2057</v>
      </c>
      <c r="B1101" s="10">
        <f t="shared" ref="B1101:S1101" si="89">AVERAGE(B529:B540)</f>
        <v>15.057841666666667</v>
      </c>
      <c r="C1101" s="10">
        <f t="shared" si="89"/>
        <v>15.063991666666666</v>
      </c>
      <c r="D1101" s="10">
        <f t="shared" si="89"/>
        <v>15.17811666666667</v>
      </c>
      <c r="E1101" s="10">
        <f t="shared" si="89"/>
        <v>15.210183333333333</v>
      </c>
      <c r="F1101" s="10">
        <f t="shared" si="89"/>
        <v>15.027500000000002</v>
      </c>
      <c r="G1101" s="10">
        <f t="shared" si="89"/>
        <v>15.044491666666667</v>
      </c>
      <c r="H1101" s="10">
        <f t="shared" si="89"/>
        <v>15.199308333333335</v>
      </c>
      <c r="I1101" s="10">
        <f t="shared" si="89"/>
        <v>15.045541666666665</v>
      </c>
      <c r="J1101" s="10">
        <f t="shared" si="89"/>
        <v>15.020499999999998</v>
      </c>
      <c r="K1101" s="10">
        <f t="shared" si="89"/>
        <v>14.758483333333333</v>
      </c>
      <c r="L1101" s="10">
        <f t="shared" si="89"/>
        <v>15.786308333333332</v>
      </c>
      <c r="M1101" s="10">
        <f t="shared" si="89"/>
        <v>14.882741666666668</v>
      </c>
      <c r="N1101" s="10">
        <f t="shared" si="89"/>
        <v>14.89955</v>
      </c>
      <c r="O1101" s="10">
        <f t="shared" si="89"/>
        <v>15.059775</v>
      </c>
      <c r="P1101" s="10">
        <f t="shared" si="89"/>
        <v>14.907558333333332</v>
      </c>
      <c r="Q1101" s="10">
        <f t="shared" si="89"/>
        <v>15.655074999999998</v>
      </c>
      <c r="R1101" s="10">
        <f t="shared" si="89"/>
        <v>16.281199999999998</v>
      </c>
      <c r="S1101" s="10">
        <f t="shared" si="89"/>
        <v>14.619558333333332</v>
      </c>
      <c r="T1101" s="32">
        <f t="shared" ref="T1101:Y1101" si="90">SUM(T529:T540)</f>
        <v>357.24568100000005</v>
      </c>
      <c r="U1101" s="32">
        <f t="shared" si="90"/>
        <v>142.03263249999998</v>
      </c>
      <c r="V1101" s="32">
        <f t="shared" si="90"/>
        <v>50.187500000000007</v>
      </c>
      <c r="W1101" s="32">
        <f t="shared" si="90"/>
        <v>5.0822234999999996</v>
      </c>
      <c r="X1101" s="32">
        <f t="shared" si="90"/>
        <v>20.758966663999999</v>
      </c>
      <c r="Y1101" s="32">
        <f t="shared" si="90"/>
        <v>231.81149999999997</v>
      </c>
      <c r="Z1101" s="32"/>
      <c r="AA1101" s="35"/>
      <c r="AB1101" s="34"/>
      <c r="AC1101" s="33">
        <f>AVERAGE(AC529:AC540)</f>
        <v>15.065461561279365</v>
      </c>
      <c r="AD1101" s="27">
        <f>AVERAGE(AD529:AD540)</f>
        <v>14.944433033573143</v>
      </c>
    </row>
    <row r="1102" spans="1:30" ht="15" x14ac:dyDescent="0.2">
      <c r="A1102" s="11">
        <f t="shared" si="50"/>
        <v>2058</v>
      </c>
      <c r="B1102" s="10">
        <f t="shared" ref="B1102:S1102" si="91">AVERAGE(B541:B552)</f>
        <v>15.419525</v>
      </c>
      <c r="C1102" s="10">
        <f t="shared" si="91"/>
        <v>15.425691666666667</v>
      </c>
      <c r="D1102" s="10">
        <f t="shared" si="91"/>
        <v>15.539808333333333</v>
      </c>
      <c r="E1102" s="10">
        <f t="shared" si="91"/>
        <v>15.571900000000001</v>
      </c>
      <c r="F1102" s="10">
        <f t="shared" si="91"/>
        <v>15.389200000000001</v>
      </c>
      <c r="G1102" s="10">
        <f t="shared" si="91"/>
        <v>15.406191666666667</v>
      </c>
      <c r="H1102" s="10">
        <f t="shared" si="91"/>
        <v>15.561016666666665</v>
      </c>
      <c r="I1102" s="10">
        <f t="shared" si="91"/>
        <v>15.407225000000002</v>
      </c>
      <c r="J1102" s="10">
        <f t="shared" si="91"/>
        <v>15.382199999999999</v>
      </c>
      <c r="K1102" s="10">
        <f t="shared" si="91"/>
        <v>15.109916666666665</v>
      </c>
      <c r="L1102" s="10">
        <f t="shared" si="91"/>
        <v>16.148016666666667</v>
      </c>
      <c r="M1102" s="10">
        <f t="shared" si="91"/>
        <v>15.240774999999999</v>
      </c>
      <c r="N1102" s="10">
        <f t="shared" si="91"/>
        <v>15.257599999999998</v>
      </c>
      <c r="O1102" s="10">
        <f t="shared" si="91"/>
        <v>15.417791666666668</v>
      </c>
      <c r="P1102" s="10">
        <f t="shared" si="91"/>
        <v>15.265608333333335</v>
      </c>
      <c r="Q1102" s="10">
        <f t="shared" si="91"/>
        <v>16.013091666666664</v>
      </c>
      <c r="R1102" s="10">
        <f t="shared" si="91"/>
        <v>16.640125000000001</v>
      </c>
      <c r="S1102" s="10">
        <f t="shared" si="91"/>
        <v>14.970783333333332</v>
      </c>
      <c r="T1102" s="32">
        <f t="shared" ref="T1102:Y1102" si="92">SUM(T541:T552)</f>
        <v>357.24568100000005</v>
      </c>
      <c r="U1102" s="32">
        <f t="shared" si="92"/>
        <v>142.03263249999998</v>
      </c>
      <c r="V1102" s="32">
        <f t="shared" si="92"/>
        <v>50.187500000000007</v>
      </c>
      <c r="W1102" s="32">
        <f t="shared" si="92"/>
        <v>5.0822234999999996</v>
      </c>
      <c r="X1102" s="32">
        <f t="shared" si="92"/>
        <v>20.758966663999999</v>
      </c>
      <c r="Y1102" s="32">
        <f t="shared" si="92"/>
        <v>231.81149999999997</v>
      </c>
      <c r="Z1102" s="32"/>
      <c r="AA1102" s="35"/>
      <c r="AB1102" s="34"/>
      <c r="AC1102" s="33">
        <f>AVERAGE(AC541:AC552)</f>
        <v>15.42715783410201</v>
      </c>
      <c r="AD1102" s="27">
        <f>AVERAGE(AD541:AD552)</f>
        <v>15.302465047961631</v>
      </c>
    </row>
    <row r="1103" spans="1:30" ht="15" x14ac:dyDescent="0.2">
      <c r="A1103" s="11">
        <f t="shared" si="50"/>
        <v>2059</v>
      </c>
      <c r="B1103" s="10">
        <f t="shared" ref="B1103:S1103" si="93">AVERAGE(B553:B564)</f>
        <v>15.789924999999998</v>
      </c>
      <c r="C1103" s="10">
        <f t="shared" si="93"/>
        <v>15.796083333333334</v>
      </c>
      <c r="D1103" s="10">
        <f t="shared" si="93"/>
        <v>15.910191666666668</v>
      </c>
      <c r="E1103" s="10">
        <f t="shared" si="93"/>
        <v>15.942300000000001</v>
      </c>
      <c r="F1103" s="10">
        <f t="shared" si="93"/>
        <v>15.759558333333333</v>
      </c>
      <c r="G1103" s="10">
        <f t="shared" si="93"/>
        <v>15.7766</v>
      </c>
      <c r="H1103" s="10">
        <f t="shared" si="93"/>
        <v>15.931416666666669</v>
      </c>
      <c r="I1103" s="10">
        <f t="shared" si="93"/>
        <v>15.777633333333334</v>
      </c>
      <c r="J1103" s="10">
        <f t="shared" si="93"/>
        <v>15.752558333333333</v>
      </c>
      <c r="K1103" s="10">
        <f t="shared" si="93"/>
        <v>15.469775</v>
      </c>
      <c r="L1103" s="10">
        <f t="shared" si="93"/>
        <v>16.518416666666667</v>
      </c>
      <c r="M1103" s="10">
        <f t="shared" si="93"/>
        <v>15.607433333333335</v>
      </c>
      <c r="N1103" s="10">
        <f t="shared" si="93"/>
        <v>15.624266666666669</v>
      </c>
      <c r="O1103" s="10">
        <f t="shared" si="93"/>
        <v>15.784458333333339</v>
      </c>
      <c r="P1103" s="10">
        <f t="shared" si="93"/>
        <v>15.632266666666668</v>
      </c>
      <c r="Q1103" s="10">
        <f t="shared" si="93"/>
        <v>16.379758333333331</v>
      </c>
      <c r="R1103" s="10">
        <f t="shared" si="93"/>
        <v>17.007691666666663</v>
      </c>
      <c r="S1103" s="10">
        <f t="shared" si="93"/>
        <v>15.330483333333333</v>
      </c>
      <c r="T1103" s="32">
        <f t="shared" ref="T1103:Y1103" si="94">SUM(T553:T564)</f>
        <v>357.24568100000005</v>
      </c>
      <c r="U1103" s="32">
        <f t="shared" si="94"/>
        <v>142.03263249999998</v>
      </c>
      <c r="V1103" s="32">
        <f t="shared" si="94"/>
        <v>50.187500000000007</v>
      </c>
      <c r="W1103" s="32">
        <f t="shared" si="94"/>
        <v>5.0822234999999996</v>
      </c>
      <c r="X1103" s="32">
        <f t="shared" si="94"/>
        <v>20.758966663999999</v>
      </c>
      <c r="Y1103" s="32">
        <f t="shared" si="94"/>
        <v>231.81149999999997</v>
      </c>
      <c r="Z1103" s="32"/>
      <c r="AA1103" s="10"/>
      <c r="AB1103" s="10"/>
      <c r="AC1103" s="33">
        <f>AVERAGE(AC553:AC564)</f>
        <v>15.797545083723977</v>
      </c>
      <c r="AD1103" s="27">
        <f>AVERAGE(AD553:AD564)</f>
        <v>15.669129076738608</v>
      </c>
    </row>
    <row r="1104" spans="1:30" ht="15" x14ac:dyDescent="0.2">
      <c r="A1104" s="11">
        <f t="shared" si="50"/>
        <v>2060</v>
      </c>
      <c r="B1104" s="10">
        <f t="shared" ref="B1104:S1104" si="95">AVERAGE(B565:B576)</f>
        <v>16.169225000000001</v>
      </c>
      <c r="C1104" s="10">
        <f t="shared" si="95"/>
        <v>16.175383333333336</v>
      </c>
      <c r="D1104" s="10">
        <f t="shared" si="95"/>
        <v>16.289491666666667</v>
      </c>
      <c r="E1104" s="10">
        <f t="shared" si="95"/>
        <v>16.321591666666666</v>
      </c>
      <c r="F1104" s="10">
        <f t="shared" si="95"/>
        <v>16.138866666666665</v>
      </c>
      <c r="G1104" s="10">
        <f t="shared" si="95"/>
        <v>16.155866666666665</v>
      </c>
      <c r="H1104" s="10">
        <f t="shared" si="95"/>
        <v>16.310700000000001</v>
      </c>
      <c r="I1104" s="10">
        <f t="shared" si="95"/>
        <v>16.156908333333334</v>
      </c>
      <c r="J1104" s="10">
        <f t="shared" si="95"/>
        <v>16.131866666666664</v>
      </c>
      <c r="K1104" s="10">
        <f t="shared" si="95"/>
        <v>15.838291666666665</v>
      </c>
      <c r="L1104" s="10">
        <f t="shared" si="95"/>
        <v>16.897699999999997</v>
      </c>
      <c r="M1104" s="10">
        <f t="shared" si="95"/>
        <v>15.982883333333332</v>
      </c>
      <c r="N1104" s="10">
        <f t="shared" si="95"/>
        <v>15.999716666666666</v>
      </c>
      <c r="O1104" s="10">
        <f t="shared" si="95"/>
        <v>16.159925000000001</v>
      </c>
      <c r="P1104" s="10">
        <f t="shared" si="95"/>
        <v>16.007716666666671</v>
      </c>
      <c r="Q1104" s="10">
        <f t="shared" si="95"/>
        <v>16.755224999999999</v>
      </c>
      <c r="R1104" s="10">
        <f t="shared" si="95"/>
        <v>17.384116666666667</v>
      </c>
      <c r="S1104" s="10">
        <f t="shared" si="95"/>
        <v>15.69881666666666</v>
      </c>
      <c r="T1104" s="32">
        <f t="shared" ref="T1104:Y1104" si="96">SUM(T565:T576)</f>
        <v>358.17703550000004</v>
      </c>
      <c r="U1104" s="32">
        <f t="shared" si="96"/>
        <v>142.42176299999997</v>
      </c>
      <c r="V1104" s="32">
        <f t="shared" si="96"/>
        <v>50.325000000000003</v>
      </c>
      <c r="W1104" s="32">
        <f t="shared" si="96"/>
        <v>5.0961473999999995</v>
      </c>
      <c r="X1104" s="32">
        <f t="shared" si="96"/>
        <v>20.800615543999996</v>
      </c>
      <c r="Y1104" s="32">
        <f t="shared" si="96"/>
        <v>232.44659999999996</v>
      </c>
      <c r="Z1104" s="32"/>
      <c r="AA1104" s="35"/>
      <c r="AB1104" s="34"/>
      <c r="AC1104" s="33">
        <f>AVERAGE(AC565:AC576)</f>
        <v>16.176840013600309</v>
      </c>
      <c r="AD1104" s="27">
        <f>AVERAGE(AD565:AD576)</f>
        <v>16.044583752997603</v>
      </c>
    </row>
    <row r="1105" spans="1:30" ht="15" x14ac:dyDescent="0.2">
      <c r="A1105" s="11">
        <f t="shared" si="50"/>
        <v>2061</v>
      </c>
      <c r="B1105" s="10">
        <f t="shared" ref="B1105:S1105" si="97">AVERAGE(B577:B588)</f>
        <v>16.557633333333332</v>
      </c>
      <c r="C1105" s="10">
        <f t="shared" si="97"/>
        <v>16.563783333333337</v>
      </c>
      <c r="D1105" s="10">
        <f t="shared" si="97"/>
        <v>16.677908333333331</v>
      </c>
      <c r="E1105" s="10">
        <f t="shared" si="97"/>
        <v>16.709991666666667</v>
      </c>
      <c r="F1105" s="10">
        <f t="shared" si="97"/>
        <v>16.52729166666667</v>
      </c>
      <c r="G1105" s="10">
        <f t="shared" si="97"/>
        <v>16.544275000000003</v>
      </c>
      <c r="H1105" s="10">
        <f t="shared" si="97"/>
        <v>16.699099999999998</v>
      </c>
      <c r="I1105" s="10">
        <f t="shared" si="97"/>
        <v>16.545316666666668</v>
      </c>
      <c r="J1105" s="10">
        <f t="shared" si="97"/>
        <v>16.520291666666669</v>
      </c>
      <c r="K1105" s="10">
        <f t="shared" si="97"/>
        <v>16.215641666666667</v>
      </c>
      <c r="L1105" s="10">
        <f t="shared" si="97"/>
        <v>17.286100000000001</v>
      </c>
      <c r="M1105" s="10">
        <f t="shared" si="97"/>
        <v>16.367374999999999</v>
      </c>
      <c r="N1105" s="10">
        <f t="shared" si="97"/>
        <v>16.384216666666667</v>
      </c>
      <c r="O1105" s="10">
        <f t="shared" si="97"/>
        <v>16.5444</v>
      </c>
      <c r="P1105" s="10">
        <f t="shared" si="97"/>
        <v>16.392208333333329</v>
      </c>
      <c r="Q1105" s="10">
        <f t="shared" si="97"/>
        <v>17.139699999999998</v>
      </c>
      <c r="R1105" s="10">
        <f t="shared" si="97"/>
        <v>17.769566666666666</v>
      </c>
      <c r="S1105" s="10">
        <f t="shared" si="97"/>
        <v>16.075983333333333</v>
      </c>
      <c r="T1105" s="32">
        <f t="shared" ref="T1105:Y1105" si="98">SUM(T577:T588)</f>
        <v>357.24568100000005</v>
      </c>
      <c r="U1105" s="32">
        <f t="shared" si="98"/>
        <v>142.03263249999998</v>
      </c>
      <c r="V1105" s="32">
        <f t="shared" si="98"/>
        <v>50.187500000000007</v>
      </c>
      <c r="W1105" s="32">
        <f t="shared" si="98"/>
        <v>5.0822234999999996</v>
      </c>
      <c r="X1105" s="32">
        <f t="shared" si="98"/>
        <v>20.758966663999999</v>
      </c>
      <c r="Y1105" s="32">
        <f t="shared" si="98"/>
        <v>231.81149999999997</v>
      </c>
      <c r="Z1105" s="32"/>
      <c r="AA1105" s="35"/>
      <c r="AB1105" s="34"/>
      <c r="AC1105" s="33">
        <f>AVERAGE(AC577:AC588)</f>
        <v>16.565251700112025</v>
      </c>
      <c r="AD1105" s="27">
        <f>AVERAGE(AD577:AD588)</f>
        <v>16.429071223021584</v>
      </c>
    </row>
    <row r="1106" spans="1:30" ht="15" x14ac:dyDescent="0.2">
      <c r="A1106" s="11">
        <f t="shared" si="50"/>
        <v>2062</v>
      </c>
      <c r="B1106" s="10">
        <f t="shared" ref="B1106:K1115" ca="1" si="99">AVERAGE(OFFSET(B$589,($A1106-$A$1106)*12,0,12,1))</f>
        <v>16.955349999999999</v>
      </c>
      <c r="C1106" s="10">
        <f t="shared" ca="1" si="99"/>
        <v>16.961516666666665</v>
      </c>
      <c r="D1106" s="10">
        <f t="shared" ca="1" si="99"/>
        <v>17.075624999999999</v>
      </c>
      <c r="E1106" s="10">
        <f t="shared" ca="1" si="99"/>
        <v>17.107724999999999</v>
      </c>
      <c r="F1106" s="10">
        <f t="shared" ca="1" si="99"/>
        <v>16.925000000000001</v>
      </c>
      <c r="G1106" s="10">
        <f t="shared" ca="1" si="99"/>
        <v>16.942033333333331</v>
      </c>
      <c r="H1106" s="10">
        <f t="shared" ca="1" si="99"/>
        <v>17.09685</v>
      </c>
      <c r="I1106" s="10">
        <f t="shared" ca="1" si="99"/>
        <v>16.94305833333333</v>
      </c>
      <c r="J1106" s="10">
        <f t="shared" ca="1" si="99"/>
        <v>16.917999999999996</v>
      </c>
      <c r="K1106" s="10">
        <f t="shared" ca="1" si="99"/>
        <v>16.602083333333333</v>
      </c>
      <c r="L1106" s="10">
        <f t="shared" ref="L1106:S1115" ca="1" si="100">AVERAGE(OFFSET(L$589,($A1106-$A$1106)*12,0,12,1))</f>
        <v>17.683849999999996</v>
      </c>
      <c r="M1106" s="10">
        <f t="shared" ca="1" si="100"/>
        <v>16.761108333333336</v>
      </c>
      <c r="N1106" s="10">
        <f t="shared" ca="1" si="100"/>
        <v>16.777933333333333</v>
      </c>
      <c r="O1106" s="10">
        <f t="shared" ca="1" si="100"/>
        <v>16.938124999999999</v>
      </c>
      <c r="P1106" s="10">
        <f t="shared" ca="1" si="100"/>
        <v>16.785933333333336</v>
      </c>
      <c r="Q1106" s="10">
        <f t="shared" ca="1" si="100"/>
        <v>17.533424999999998</v>
      </c>
      <c r="R1106" s="10">
        <f t="shared" ca="1" si="100"/>
        <v>18.164258333333336</v>
      </c>
      <c r="S1106" s="10">
        <f t="shared" ca="1" si="100"/>
        <v>16.462241666666664</v>
      </c>
      <c r="T1106" s="32">
        <f t="shared" ref="T1106:Y1115" ca="1" si="101">SUM(OFFSET(T$589,($A1106-$A$1106)*12,0,12,1))</f>
        <v>357.24568100000005</v>
      </c>
      <c r="U1106" s="32">
        <f t="shared" ca="1" si="101"/>
        <v>142.03263249999998</v>
      </c>
      <c r="V1106" s="32">
        <f t="shared" ca="1" si="101"/>
        <v>50.187500000000007</v>
      </c>
      <c r="W1106" s="32">
        <f t="shared" ca="1" si="101"/>
        <v>5.0822234999999996</v>
      </c>
      <c r="X1106" s="32">
        <f t="shared" ca="1" si="101"/>
        <v>20.758966663999999</v>
      </c>
      <c r="Y1106" s="32">
        <f t="shared" ca="1" si="101"/>
        <v>231.81149999999997</v>
      </c>
      <c r="Z1106" s="10"/>
      <c r="AA1106" s="10"/>
      <c r="AB1106" s="10"/>
      <c r="AC1106" s="10">
        <f t="shared" ref="AC1106:AD1125" ca="1" si="102">AVERAGE(OFFSET(AC$589,($A1106-$A$1106)*12,0,12,1))</f>
        <v>16.962978736081791</v>
      </c>
      <c r="AD1106" s="10">
        <f t="shared" ca="1" si="102"/>
        <v>16.845879196642688</v>
      </c>
    </row>
    <row r="1107" spans="1:30" ht="15" x14ac:dyDescent="0.2">
      <c r="A1107" s="11">
        <f t="shared" si="50"/>
        <v>2063</v>
      </c>
      <c r="B1107" s="10">
        <f t="shared" ca="1" si="99"/>
        <v>17.362633333333331</v>
      </c>
      <c r="C1107" s="10">
        <f t="shared" ca="1" si="99"/>
        <v>17.368825000000001</v>
      </c>
      <c r="D1107" s="10">
        <f t="shared" ca="1" si="99"/>
        <v>17.482916666666664</v>
      </c>
      <c r="E1107" s="10">
        <f t="shared" ca="1" si="99"/>
        <v>17.515008333333334</v>
      </c>
      <c r="F1107" s="10">
        <f t="shared" ca="1" si="99"/>
        <v>17.332308333333334</v>
      </c>
      <c r="G1107" s="10">
        <f t="shared" ca="1" si="99"/>
        <v>17.34930833333333</v>
      </c>
      <c r="H1107" s="10">
        <f t="shared" ca="1" si="99"/>
        <v>17.504125000000002</v>
      </c>
      <c r="I1107" s="10">
        <f t="shared" ca="1" si="99"/>
        <v>17.350333333333332</v>
      </c>
      <c r="J1107" s="10">
        <f t="shared" ca="1" si="99"/>
        <v>17.325308333333336</v>
      </c>
      <c r="K1107" s="10">
        <f t="shared" ca="1" si="99"/>
        <v>16.997824999999999</v>
      </c>
      <c r="L1107" s="10">
        <f t="shared" ca="1" si="100"/>
        <v>18.091125000000002</v>
      </c>
      <c r="M1107" s="10">
        <f t="shared" ca="1" si="100"/>
        <v>17.164300000000001</v>
      </c>
      <c r="N1107" s="10">
        <f t="shared" ca="1" si="100"/>
        <v>17.181124999999998</v>
      </c>
      <c r="O1107" s="10">
        <f t="shared" ca="1" si="100"/>
        <v>17.341308333333334</v>
      </c>
      <c r="P1107" s="10">
        <f t="shared" ca="1" si="100"/>
        <v>17.189108333333333</v>
      </c>
      <c r="Q1107" s="10">
        <f t="shared" ca="1" si="100"/>
        <v>17.936608333333332</v>
      </c>
      <c r="R1107" s="10">
        <f t="shared" ca="1" si="100"/>
        <v>18.568458333333336</v>
      </c>
      <c r="S1107" s="10">
        <f t="shared" ca="1" si="100"/>
        <v>16.857758333333333</v>
      </c>
      <c r="T1107" s="32">
        <f t="shared" ca="1" si="101"/>
        <v>357.24568100000005</v>
      </c>
      <c r="U1107" s="32">
        <f t="shared" ca="1" si="101"/>
        <v>142.03263249999998</v>
      </c>
      <c r="V1107" s="32">
        <f t="shared" ca="1" si="101"/>
        <v>50.187500000000007</v>
      </c>
      <c r="W1107" s="32">
        <f t="shared" ca="1" si="101"/>
        <v>5.0822234999999996</v>
      </c>
      <c r="X1107" s="32">
        <f t="shared" ca="1" si="101"/>
        <v>20.758966663999999</v>
      </c>
      <c r="Y1107" s="32">
        <f t="shared" ca="1" si="101"/>
        <v>231.81149999999997</v>
      </c>
      <c r="Z1107" s="10"/>
      <c r="AA1107" s="10"/>
      <c r="AB1107" s="10"/>
      <c r="AC1107" s="10">
        <f t="shared" ca="1" si="102"/>
        <v>17.370273518697893</v>
      </c>
      <c r="AD1107" s="10">
        <f t="shared" ca="1" si="102"/>
        <v>17.249064688249398</v>
      </c>
    </row>
    <row r="1108" spans="1:30" ht="15" x14ac:dyDescent="0.2">
      <c r="A1108" s="11">
        <f t="shared" si="50"/>
        <v>2064</v>
      </c>
      <c r="B1108" s="10">
        <f t="shared" ca="1" si="99"/>
        <v>17.779724999999999</v>
      </c>
      <c r="C1108" s="10">
        <f t="shared" ca="1" si="99"/>
        <v>17.785891666666664</v>
      </c>
      <c r="D1108" s="10">
        <f t="shared" ca="1" si="99"/>
        <v>17.900008333333336</v>
      </c>
      <c r="E1108" s="10">
        <f t="shared" ca="1" si="99"/>
        <v>17.932108333333332</v>
      </c>
      <c r="F1108" s="10">
        <f t="shared" ca="1" si="99"/>
        <v>17.749383333333331</v>
      </c>
      <c r="G1108" s="10">
        <f t="shared" ca="1" si="99"/>
        <v>17.766391666666667</v>
      </c>
      <c r="H1108" s="10">
        <f t="shared" ca="1" si="99"/>
        <v>17.92121666666667</v>
      </c>
      <c r="I1108" s="10">
        <f t="shared" ca="1" si="99"/>
        <v>17.767424999999999</v>
      </c>
      <c r="J1108" s="10">
        <f t="shared" ca="1" si="99"/>
        <v>17.742383333333333</v>
      </c>
      <c r="K1108" s="10">
        <f t="shared" ca="1" si="99"/>
        <v>17.403041666666667</v>
      </c>
      <c r="L1108" s="10">
        <f t="shared" ca="1" si="100"/>
        <v>18.508216666666666</v>
      </c>
      <c r="M1108" s="10">
        <f t="shared" ca="1" si="100"/>
        <v>17.577166666666663</v>
      </c>
      <c r="N1108" s="10">
        <f t="shared" ca="1" si="100"/>
        <v>17.59398333333333</v>
      </c>
      <c r="O1108" s="10">
        <f t="shared" ca="1" si="100"/>
        <v>17.754191666666667</v>
      </c>
      <c r="P1108" s="10">
        <f t="shared" ca="1" si="100"/>
        <v>17.601991666666667</v>
      </c>
      <c r="Q1108" s="10">
        <f t="shared" ca="1" si="100"/>
        <v>18.349491666666669</v>
      </c>
      <c r="R1108" s="10">
        <f t="shared" ca="1" si="100"/>
        <v>18.982358333333334</v>
      </c>
      <c r="S1108" s="10">
        <f t="shared" ca="1" si="100"/>
        <v>17.262791666666661</v>
      </c>
      <c r="T1108" s="32">
        <f t="shared" ca="1" si="101"/>
        <v>358.17703550000004</v>
      </c>
      <c r="U1108" s="32">
        <f t="shared" ca="1" si="101"/>
        <v>142.42176299999997</v>
      </c>
      <c r="V1108" s="32">
        <f t="shared" ca="1" si="101"/>
        <v>50.325000000000003</v>
      </c>
      <c r="W1108" s="32">
        <f t="shared" ca="1" si="101"/>
        <v>5.0961473999999995</v>
      </c>
      <c r="X1108" s="32">
        <f t="shared" ca="1" si="101"/>
        <v>20.800615543999996</v>
      </c>
      <c r="Y1108" s="32">
        <f t="shared" ca="1" si="101"/>
        <v>232.44659999999996</v>
      </c>
      <c r="Z1108" s="10"/>
      <c r="AA1108" s="10"/>
      <c r="AB1108" s="10"/>
      <c r="AC1108" s="10">
        <f t="shared" ca="1" si="102"/>
        <v>17.787353374737705</v>
      </c>
      <c r="AD1108" s="10">
        <f t="shared" ca="1" si="102"/>
        <v>17.661940827338132</v>
      </c>
    </row>
    <row r="1109" spans="1:30" ht="15" x14ac:dyDescent="0.2">
      <c r="A1109" s="11">
        <f t="shared" si="50"/>
        <v>2065</v>
      </c>
      <c r="B1109" s="10">
        <f t="shared" ca="1" si="99"/>
        <v>18.206833333333332</v>
      </c>
      <c r="C1109" s="10">
        <f t="shared" ca="1" si="99"/>
        <v>18.212999999999997</v>
      </c>
      <c r="D1109" s="10">
        <f t="shared" ca="1" si="99"/>
        <v>18.327100000000005</v>
      </c>
      <c r="E1109" s="10">
        <f t="shared" ca="1" si="99"/>
        <v>18.359208333333331</v>
      </c>
      <c r="F1109" s="10">
        <f t="shared" ca="1" si="99"/>
        <v>18.176483333333334</v>
      </c>
      <c r="G1109" s="10">
        <f t="shared" ca="1" si="99"/>
        <v>18.193491666666667</v>
      </c>
      <c r="H1109" s="10">
        <f t="shared" ca="1" si="99"/>
        <v>18.348316666666665</v>
      </c>
      <c r="I1109" s="10">
        <f t="shared" ca="1" si="99"/>
        <v>18.194533333333332</v>
      </c>
      <c r="J1109" s="10">
        <f t="shared" ca="1" si="99"/>
        <v>18.169483333333329</v>
      </c>
      <c r="K1109" s="10">
        <f t="shared" ca="1" si="99"/>
        <v>17.818000000000001</v>
      </c>
      <c r="L1109" s="10">
        <f t="shared" ca="1" si="100"/>
        <v>18.935316666666665</v>
      </c>
      <c r="M1109" s="10">
        <f t="shared" ca="1" si="100"/>
        <v>17.999949999999998</v>
      </c>
      <c r="N1109" s="10">
        <f t="shared" ca="1" si="100"/>
        <v>18.016774999999999</v>
      </c>
      <c r="O1109" s="10">
        <f t="shared" ca="1" si="100"/>
        <v>18.176966666666669</v>
      </c>
      <c r="P1109" s="10">
        <f t="shared" ca="1" si="100"/>
        <v>18.024775000000002</v>
      </c>
      <c r="Q1109" s="10">
        <f t="shared" ca="1" si="100"/>
        <v>18.77226666666667</v>
      </c>
      <c r="R1109" s="10">
        <f t="shared" ca="1" si="100"/>
        <v>19.406208333333336</v>
      </c>
      <c r="S1109" s="10">
        <f t="shared" ca="1" si="100"/>
        <v>17.67754166666667</v>
      </c>
      <c r="T1109" s="32">
        <f t="shared" ca="1" si="101"/>
        <v>357.24568100000005</v>
      </c>
      <c r="U1109" s="32">
        <f t="shared" ca="1" si="101"/>
        <v>142.03263249999998</v>
      </c>
      <c r="V1109" s="32">
        <f t="shared" ca="1" si="101"/>
        <v>50.187500000000007</v>
      </c>
      <c r="W1109" s="32">
        <f t="shared" ca="1" si="101"/>
        <v>5.0822234999999996</v>
      </c>
      <c r="X1109" s="32">
        <f t="shared" ca="1" si="101"/>
        <v>20.758966663999999</v>
      </c>
      <c r="Y1109" s="32">
        <f t="shared" ca="1" si="101"/>
        <v>231.81149999999997</v>
      </c>
      <c r="Z1109" s="10"/>
      <c r="AA1109" s="10"/>
      <c r="AB1109" s="10"/>
      <c r="AC1109" s="10">
        <f t="shared" ca="1" si="102"/>
        <v>18.214456576899938</v>
      </c>
      <c r="AD1109" s="10">
        <f t="shared" ca="1" si="102"/>
        <v>18.084720863309354</v>
      </c>
    </row>
    <row r="1110" spans="1:30" ht="15" x14ac:dyDescent="0.2">
      <c r="A1110" s="11">
        <f t="shared" si="50"/>
        <v>2066</v>
      </c>
      <c r="B1110" s="10">
        <f t="shared" ca="1" si="99"/>
        <v>18.644199999999998</v>
      </c>
      <c r="C1110" s="10">
        <f t="shared" ca="1" si="99"/>
        <v>18.65035833333333</v>
      </c>
      <c r="D1110" s="10">
        <f t="shared" ca="1" si="99"/>
        <v>18.764475000000001</v>
      </c>
      <c r="E1110" s="10">
        <f t="shared" ca="1" si="99"/>
        <v>18.796575000000001</v>
      </c>
      <c r="F1110" s="10">
        <f t="shared" ca="1" si="99"/>
        <v>18.613850000000003</v>
      </c>
      <c r="G1110" s="10">
        <f t="shared" ca="1" si="99"/>
        <v>18.630849999999999</v>
      </c>
      <c r="H1110" s="10">
        <f t="shared" ca="1" si="99"/>
        <v>18.785666666666668</v>
      </c>
      <c r="I1110" s="10">
        <f t="shared" ca="1" si="99"/>
        <v>18.631891666666668</v>
      </c>
      <c r="J1110" s="10">
        <f t="shared" ca="1" si="99"/>
        <v>18.606850000000001</v>
      </c>
      <c r="K1110" s="10">
        <f t="shared" ca="1" si="99"/>
        <v>18.242950000000004</v>
      </c>
      <c r="L1110" s="10">
        <f t="shared" ca="1" si="100"/>
        <v>19.372666666666671</v>
      </c>
      <c r="M1110" s="10">
        <f t="shared" ca="1" si="100"/>
        <v>18.432891666666666</v>
      </c>
      <c r="N1110" s="10">
        <f t="shared" ca="1" si="100"/>
        <v>18.449733333333334</v>
      </c>
      <c r="O1110" s="10">
        <f t="shared" ca="1" si="100"/>
        <v>18.60991666666667</v>
      </c>
      <c r="P1110" s="10">
        <f t="shared" ca="1" si="100"/>
        <v>18.457708333333336</v>
      </c>
      <c r="Q1110" s="10">
        <f t="shared" ca="1" si="100"/>
        <v>19.205216666666669</v>
      </c>
      <c r="R1110" s="10">
        <f t="shared" ca="1" si="100"/>
        <v>19.84023333333333</v>
      </c>
      <c r="S1110" s="10">
        <f t="shared" ca="1" si="100"/>
        <v>18.102266666666669</v>
      </c>
      <c r="T1110" s="32">
        <f t="shared" ca="1" si="101"/>
        <v>357.24568100000005</v>
      </c>
      <c r="U1110" s="32">
        <f t="shared" ca="1" si="101"/>
        <v>142.03263249999998</v>
      </c>
      <c r="V1110" s="32">
        <f t="shared" ca="1" si="101"/>
        <v>50.187500000000007</v>
      </c>
      <c r="W1110" s="32">
        <f t="shared" ca="1" si="101"/>
        <v>5.0822234999999996</v>
      </c>
      <c r="X1110" s="32">
        <f t="shared" ca="1" si="101"/>
        <v>20.758966663999999</v>
      </c>
      <c r="Y1110" s="32">
        <f t="shared" ca="1" si="101"/>
        <v>231.81149999999997</v>
      </c>
      <c r="Z1110" s="10"/>
      <c r="AA1110" s="10"/>
      <c r="AB1110" s="10"/>
      <c r="AC1110" s="10">
        <f t="shared" ca="1" si="102"/>
        <v>18.651819982740314</v>
      </c>
      <c r="AD1110" s="10">
        <f t="shared" ca="1" si="102"/>
        <v>18.517666067146283</v>
      </c>
    </row>
    <row r="1111" spans="1:30" ht="15" x14ac:dyDescent="0.2">
      <c r="A1111" s="11">
        <f t="shared" si="50"/>
        <v>2067</v>
      </c>
      <c r="B1111" s="10">
        <f t="shared" ca="1" si="99"/>
        <v>19.09205833333333</v>
      </c>
      <c r="C1111" s="10">
        <f t="shared" ca="1" si="99"/>
        <v>19.098224999999996</v>
      </c>
      <c r="D1111" s="10">
        <f t="shared" ca="1" si="99"/>
        <v>19.212333333333333</v>
      </c>
      <c r="E1111" s="10">
        <f t="shared" ca="1" si="99"/>
        <v>19.244424999999996</v>
      </c>
      <c r="F1111" s="10">
        <f t="shared" ca="1" si="99"/>
        <v>19.061724999999999</v>
      </c>
      <c r="G1111" s="10">
        <f t="shared" ca="1" si="99"/>
        <v>19.078716666666669</v>
      </c>
      <c r="H1111" s="10">
        <f t="shared" ca="1" si="99"/>
        <v>19.233549999999997</v>
      </c>
      <c r="I1111" s="10">
        <f t="shared" ca="1" si="99"/>
        <v>19.079758333333334</v>
      </c>
      <c r="J1111" s="10">
        <f t="shared" ca="1" si="99"/>
        <v>19.054725000000001</v>
      </c>
      <c r="K1111" s="10">
        <f t="shared" ca="1" si="99"/>
        <v>18.678083333333333</v>
      </c>
      <c r="L1111" s="10">
        <f t="shared" ca="1" si="100"/>
        <v>19.820550000000001</v>
      </c>
      <c r="M1111" s="10">
        <f t="shared" ca="1" si="100"/>
        <v>18.876258333333332</v>
      </c>
      <c r="N1111" s="10">
        <f t="shared" ca="1" si="100"/>
        <v>18.893075</v>
      </c>
      <c r="O1111" s="10">
        <f t="shared" ca="1" si="100"/>
        <v>19.053258333333336</v>
      </c>
      <c r="P1111" s="10">
        <f t="shared" ca="1" si="100"/>
        <v>18.901083333333332</v>
      </c>
      <c r="Q1111" s="10">
        <f t="shared" ca="1" si="100"/>
        <v>19.64855833333333</v>
      </c>
      <c r="R1111" s="10">
        <f t="shared" ca="1" si="100"/>
        <v>20.284708333333331</v>
      </c>
      <c r="S1111" s="10">
        <f t="shared" ca="1" si="100"/>
        <v>18.537183333333331</v>
      </c>
      <c r="T1111" s="32">
        <f t="shared" ca="1" si="101"/>
        <v>357.24568100000005</v>
      </c>
      <c r="U1111" s="32">
        <f t="shared" ca="1" si="101"/>
        <v>142.03263249999998</v>
      </c>
      <c r="V1111" s="32">
        <f t="shared" ca="1" si="101"/>
        <v>50.187500000000007</v>
      </c>
      <c r="W1111" s="32">
        <f t="shared" ca="1" si="101"/>
        <v>5.0822234999999996</v>
      </c>
      <c r="X1111" s="32">
        <f t="shared" ca="1" si="101"/>
        <v>20.758966663999999</v>
      </c>
      <c r="Y1111" s="32">
        <f t="shared" ca="1" si="101"/>
        <v>231.81149999999997</v>
      </c>
      <c r="Z1111" s="10"/>
      <c r="AA1111" s="10"/>
      <c r="AB1111" s="10"/>
      <c r="AC1111" s="10">
        <f t="shared" ca="1" si="102"/>
        <v>19.099686940318779</v>
      </c>
      <c r="AD1111" s="10">
        <f t="shared" ca="1" si="102"/>
        <v>18.961021163069542</v>
      </c>
    </row>
    <row r="1112" spans="1:30" ht="15" x14ac:dyDescent="0.2">
      <c r="A1112" s="11">
        <f t="shared" si="50"/>
        <v>2068</v>
      </c>
      <c r="B1112" s="10">
        <f t="shared" ca="1" si="99"/>
        <v>19.550699999999999</v>
      </c>
      <c r="C1112" s="10">
        <f t="shared" ca="1" si="99"/>
        <v>19.556858333333331</v>
      </c>
      <c r="D1112" s="10">
        <f t="shared" ca="1" si="99"/>
        <v>19.670975000000002</v>
      </c>
      <c r="E1112" s="10">
        <f t="shared" ca="1" si="99"/>
        <v>19.703066666666665</v>
      </c>
      <c r="F1112" s="10">
        <f t="shared" ca="1" si="99"/>
        <v>19.520358333333334</v>
      </c>
      <c r="G1112" s="10">
        <f t="shared" ca="1" si="99"/>
        <v>19.537341666666666</v>
      </c>
      <c r="H1112" s="10">
        <f t="shared" ca="1" si="99"/>
        <v>19.692166666666665</v>
      </c>
      <c r="I1112" s="10">
        <f t="shared" ca="1" si="99"/>
        <v>19.538383333333332</v>
      </c>
      <c r="J1112" s="10">
        <f t="shared" ca="1" si="99"/>
        <v>19.513358333333333</v>
      </c>
      <c r="K1112" s="10">
        <f t="shared" ca="1" si="99"/>
        <v>19.123699999999999</v>
      </c>
      <c r="L1112" s="10">
        <f t="shared" ca="1" si="100"/>
        <v>20.279166666666669</v>
      </c>
      <c r="M1112" s="10">
        <f t="shared" ca="1" si="100"/>
        <v>19.330266666666663</v>
      </c>
      <c r="N1112" s="10">
        <f t="shared" ca="1" si="100"/>
        <v>19.347083333333334</v>
      </c>
      <c r="O1112" s="10">
        <f t="shared" ca="1" si="100"/>
        <v>19.507291666666664</v>
      </c>
      <c r="P1112" s="10">
        <f t="shared" ca="1" si="100"/>
        <v>19.355066666666666</v>
      </c>
      <c r="Q1112" s="10">
        <f t="shared" ca="1" si="100"/>
        <v>20.102591666666669</v>
      </c>
      <c r="R1112" s="10">
        <f t="shared" ca="1" si="100"/>
        <v>20.739833333333333</v>
      </c>
      <c r="S1112" s="10">
        <f t="shared" ca="1" si="100"/>
        <v>18.982583333333334</v>
      </c>
      <c r="T1112" s="32">
        <f t="shared" ca="1" si="101"/>
        <v>358.17703550000004</v>
      </c>
      <c r="U1112" s="32">
        <f t="shared" ca="1" si="101"/>
        <v>142.42176299999997</v>
      </c>
      <c r="V1112" s="32">
        <f t="shared" ca="1" si="101"/>
        <v>50.325000000000003</v>
      </c>
      <c r="W1112" s="32">
        <f t="shared" ca="1" si="101"/>
        <v>5.0961473999999995</v>
      </c>
      <c r="X1112" s="32">
        <f t="shared" ca="1" si="101"/>
        <v>20.800615543999996</v>
      </c>
      <c r="Y1112" s="32">
        <f t="shared" ca="1" si="101"/>
        <v>232.44659999999996</v>
      </c>
      <c r="Z1112" s="10"/>
      <c r="AA1112" s="10"/>
      <c r="AB1112" s="10"/>
      <c r="AC1112" s="10">
        <f t="shared" ca="1" si="102"/>
        <v>19.558320044938224</v>
      </c>
      <c r="AD1112" s="10">
        <f t="shared" ca="1" si="102"/>
        <v>19.415037230215827</v>
      </c>
    </row>
    <row r="1113" spans="1:30" ht="15" x14ac:dyDescent="0.2">
      <c r="A1113" s="11">
        <f t="shared" si="50"/>
        <v>2069</v>
      </c>
      <c r="B1113" s="10">
        <f t="shared" ca="1" si="99"/>
        <v>20.020349999999997</v>
      </c>
      <c r="C1113" s="10">
        <f t="shared" ca="1" si="99"/>
        <v>20.026525000000003</v>
      </c>
      <c r="D1113" s="10">
        <f t="shared" ca="1" si="99"/>
        <v>20.140633333333334</v>
      </c>
      <c r="E1113" s="10">
        <f t="shared" ca="1" si="99"/>
        <v>20.172708333333333</v>
      </c>
      <c r="F1113" s="10">
        <f t="shared" ca="1" si="99"/>
        <v>19.989999999999998</v>
      </c>
      <c r="G1113" s="10">
        <f t="shared" ca="1" si="99"/>
        <v>20.006991666666668</v>
      </c>
      <c r="H1113" s="10">
        <f t="shared" ca="1" si="99"/>
        <v>20.161824999999997</v>
      </c>
      <c r="I1113" s="10">
        <f t="shared" ca="1" si="99"/>
        <v>20.008033333333334</v>
      </c>
      <c r="J1113" s="10">
        <f t="shared" ca="1" si="99"/>
        <v>19.983000000000001</v>
      </c>
      <c r="K1113" s="10">
        <f t="shared" ca="1" si="99"/>
        <v>19.580008333333332</v>
      </c>
      <c r="L1113" s="10">
        <f t="shared" ca="1" si="100"/>
        <v>20.748825</v>
      </c>
      <c r="M1113" s="10">
        <f t="shared" ca="1" si="100"/>
        <v>19.79515833333333</v>
      </c>
      <c r="N1113" s="10">
        <f t="shared" ca="1" si="100"/>
        <v>19.812008333333335</v>
      </c>
      <c r="O1113" s="10">
        <f t="shared" ca="1" si="100"/>
        <v>19.972208333333331</v>
      </c>
      <c r="P1113" s="10">
        <f t="shared" ca="1" si="100"/>
        <v>19.819983333333333</v>
      </c>
      <c r="Q1113" s="10">
        <f t="shared" ca="1" si="100"/>
        <v>20.567508333333336</v>
      </c>
      <c r="R1113" s="10">
        <f t="shared" ca="1" si="100"/>
        <v>21.205908333333337</v>
      </c>
      <c r="S1113" s="10">
        <f t="shared" ca="1" si="100"/>
        <v>19.438641666666665</v>
      </c>
      <c r="T1113" s="32">
        <f t="shared" ca="1" si="101"/>
        <v>357.24568100000005</v>
      </c>
      <c r="U1113" s="32">
        <f t="shared" ca="1" si="101"/>
        <v>142.03263249999998</v>
      </c>
      <c r="V1113" s="32">
        <f t="shared" ca="1" si="101"/>
        <v>50.187500000000007</v>
      </c>
      <c r="W1113" s="32">
        <f t="shared" ca="1" si="101"/>
        <v>5.0822234999999996</v>
      </c>
      <c r="X1113" s="32">
        <f t="shared" ca="1" si="101"/>
        <v>20.758966663999999</v>
      </c>
      <c r="Y1113" s="32">
        <f t="shared" ca="1" si="101"/>
        <v>231.81149999999997</v>
      </c>
      <c r="Z1113" s="10"/>
      <c r="AA1113" s="10"/>
      <c r="AB1113" s="10"/>
      <c r="AC1113" s="10">
        <f t="shared" ca="1" si="102"/>
        <v>20.027972606161899</v>
      </c>
      <c r="AD1113" s="10">
        <f t="shared" ca="1" si="102"/>
        <v>19.879945743405276</v>
      </c>
    </row>
    <row r="1114" spans="1:30" ht="15" x14ac:dyDescent="0.2">
      <c r="A1114" s="11">
        <f t="shared" ref="A1114:A1144" si="103">A1113+1</f>
        <v>2070</v>
      </c>
      <c r="B1114" s="10">
        <f t="shared" ca="1" si="99"/>
        <v>20.501283333333333</v>
      </c>
      <c r="C1114" s="10">
        <f t="shared" ca="1" si="99"/>
        <v>20.507441666666669</v>
      </c>
      <c r="D1114" s="10">
        <f t="shared" ca="1" si="99"/>
        <v>20.621575</v>
      </c>
      <c r="E1114" s="10">
        <f t="shared" ca="1" si="99"/>
        <v>20.653649999999995</v>
      </c>
      <c r="F1114" s="10">
        <f t="shared" ca="1" si="99"/>
        <v>20.470950000000006</v>
      </c>
      <c r="G1114" s="10">
        <f t="shared" ca="1" si="99"/>
        <v>20.487933333333334</v>
      </c>
      <c r="H1114" s="10">
        <f t="shared" ca="1" si="99"/>
        <v>20.64276666666667</v>
      </c>
      <c r="I1114" s="10">
        <f t="shared" ca="1" si="99"/>
        <v>20.488975</v>
      </c>
      <c r="J1114" s="10">
        <f t="shared" ca="1" si="99"/>
        <v>20.463950000000001</v>
      </c>
      <c r="K1114" s="10">
        <f t="shared" ca="1" si="99"/>
        <v>20.047266666666665</v>
      </c>
      <c r="L1114" s="10">
        <f t="shared" ca="1" si="100"/>
        <v>21.22976666666667</v>
      </c>
      <c r="M1114" s="10">
        <f t="shared" ca="1" si="100"/>
        <v>20.271258333333332</v>
      </c>
      <c r="N1114" s="10">
        <f t="shared" ca="1" si="100"/>
        <v>20.288083333333333</v>
      </c>
      <c r="O1114" s="10">
        <f t="shared" ca="1" si="100"/>
        <v>20.448274999999999</v>
      </c>
      <c r="P1114" s="10">
        <f t="shared" ca="1" si="100"/>
        <v>20.296075000000005</v>
      </c>
      <c r="Q1114" s="10">
        <f t="shared" ca="1" si="100"/>
        <v>21.043575000000001</v>
      </c>
      <c r="R1114" s="10">
        <f t="shared" ca="1" si="100"/>
        <v>21.683191666666669</v>
      </c>
      <c r="S1114" s="10">
        <f t="shared" ca="1" si="100"/>
        <v>19.905683333333332</v>
      </c>
      <c r="T1114" s="32">
        <f t="shared" ca="1" si="101"/>
        <v>357.24568100000005</v>
      </c>
      <c r="U1114" s="32">
        <f t="shared" ca="1" si="101"/>
        <v>142.03263249999998</v>
      </c>
      <c r="V1114" s="32">
        <f t="shared" ca="1" si="101"/>
        <v>50.187500000000007</v>
      </c>
      <c r="W1114" s="32">
        <f t="shared" ca="1" si="101"/>
        <v>5.0822234999999996</v>
      </c>
      <c r="X1114" s="32">
        <f t="shared" ca="1" si="101"/>
        <v>20.758966663999999</v>
      </c>
      <c r="Y1114" s="32">
        <f t="shared" ca="1" si="101"/>
        <v>231.81149999999997</v>
      </c>
      <c r="Z1114" s="10"/>
      <c r="AA1114" s="10"/>
      <c r="AB1114" s="10"/>
      <c r="AC1114" s="10">
        <f t="shared" ca="1" si="102"/>
        <v>20.508909791394629</v>
      </c>
      <c r="AD1114" s="10">
        <f t="shared" ca="1" si="102"/>
        <v>20.35602799760192</v>
      </c>
    </row>
    <row r="1115" spans="1:30" ht="15" x14ac:dyDescent="0.2">
      <c r="A1115" s="11">
        <f t="shared" si="103"/>
        <v>2071</v>
      </c>
      <c r="B1115" s="10">
        <f t="shared" ca="1" si="99"/>
        <v>20.993775000000003</v>
      </c>
      <c r="C1115" s="10">
        <f t="shared" ca="1" si="99"/>
        <v>20.999941666666668</v>
      </c>
      <c r="D1115" s="10">
        <f t="shared" ca="1" si="99"/>
        <v>21.114050000000002</v>
      </c>
      <c r="E1115" s="10">
        <f t="shared" ca="1" si="99"/>
        <v>21.146141666666665</v>
      </c>
      <c r="F1115" s="10">
        <f t="shared" ca="1" si="99"/>
        <v>20.963449999999998</v>
      </c>
      <c r="G1115" s="10">
        <f t="shared" ca="1" si="99"/>
        <v>20.980441666666668</v>
      </c>
      <c r="H1115" s="10">
        <f t="shared" ca="1" si="99"/>
        <v>21.135258333333333</v>
      </c>
      <c r="I1115" s="10">
        <f t="shared" ca="1" si="99"/>
        <v>20.981466666666666</v>
      </c>
      <c r="J1115" s="10">
        <f t="shared" ca="1" si="99"/>
        <v>20.95645</v>
      </c>
      <c r="K1115" s="10">
        <f t="shared" ca="1" si="99"/>
        <v>20.525783333333333</v>
      </c>
      <c r="L1115" s="10">
        <f t="shared" ca="1" si="100"/>
        <v>21.722258333333333</v>
      </c>
      <c r="M1115" s="10">
        <f t="shared" ca="1" si="100"/>
        <v>20.758791666666667</v>
      </c>
      <c r="N1115" s="10">
        <f t="shared" ca="1" si="100"/>
        <v>20.775600000000001</v>
      </c>
      <c r="O1115" s="10">
        <f t="shared" ca="1" si="100"/>
        <v>20.935791666666667</v>
      </c>
      <c r="P1115" s="10">
        <f t="shared" ca="1" si="100"/>
        <v>20.783583333333329</v>
      </c>
      <c r="Q1115" s="10">
        <f t="shared" ca="1" si="100"/>
        <v>21.531091666666669</v>
      </c>
      <c r="R1115" s="10">
        <f t="shared" ca="1" si="100"/>
        <v>22.171925000000002</v>
      </c>
      <c r="S1115" s="10">
        <f t="shared" ca="1" si="100"/>
        <v>20.383941666666662</v>
      </c>
      <c r="T1115" s="32">
        <f t="shared" ca="1" si="101"/>
        <v>357.24568100000005</v>
      </c>
      <c r="U1115" s="32">
        <f t="shared" ca="1" si="101"/>
        <v>142.03263249999998</v>
      </c>
      <c r="V1115" s="32">
        <f t="shared" ca="1" si="101"/>
        <v>50.187500000000007</v>
      </c>
      <c r="W1115" s="32">
        <f t="shared" ca="1" si="101"/>
        <v>5.0822234999999996</v>
      </c>
      <c r="X1115" s="32">
        <f t="shared" ca="1" si="101"/>
        <v>20.758966663999999</v>
      </c>
      <c r="Y1115" s="32">
        <f t="shared" ca="1" si="101"/>
        <v>231.81149999999997</v>
      </c>
      <c r="Z1115" s="10"/>
      <c r="AA1115" s="10"/>
      <c r="AB1115" s="10"/>
      <c r="AC1115" s="10">
        <f t="shared" ca="1" si="102"/>
        <v>21.001406719728809</v>
      </c>
      <c r="AD1115" s="10">
        <f t="shared" ca="1" si="102"/>
        <v>20.843549220623501</v>
      </c>
    </row>
    <row r="1116" spans="1:30" ht="15" x14ac:dyDescent="0.2">
      <c r="A1116" s="11">
        <f t="shared" si="103"/>
        <v>2072</v>
      </c>
      <c r="B1116" s="10">
        <f t="shared" ref="B1116:K1125" ca="1" si="104">AVERAGE(OFFSET(B$589,($A1116-$A$1106)*12,0,12,1))</f>
        <v>21.498116666666665</v>
      </c>
      <c r="C1116" s="10">
        <f t="shared" ca="1" si="104"/>
        <v>21.504266666666666</v>
      </c>
      <c r="D1116" s="10">
        <f t="shared" ca="1" si="104"/>
        <v>21.618374999999997</v>
      </c>
      <c r="E1116" s="10">
        <f t="shared" ca="1" si="104"/>
        <v>21.65046666666667</v>
      </c>
      <c r="F1116" s="10">
        <f t="shared" ca="1" si="104"/>
        <v>21.467775</v>
      </c>
      <c r="G1116" s="10">
        <f t="shared" ca="1" si="104"/>
        <v>21.484766666666662</v>
      </c>
      <c r="H1116" s="10">
        <f t="shared" ca="1" si="104"/>
        <v>21.639591666666664</v>
      </c>
      <c r="I1116" s="10">
        <f t="shared" ca="1" si="104"/>
        <v>21.485791666666668</v>
      </c>
      <c r="J1116" s="10">
        <f t="shared" ca="1" si="104"/>
        <v>21.460774999999998</v>
      </c>
      <c r="K1116" s="10">
        <f t="shared" ca="1" si="104"/>
        <v>21.015783333333335</v>
      </c>
      <c r="L1116" s="10">
        <f t="shared" ref="L1116:S1125" ca="1" si="105">AVERAGE(OFFSET(L$589,($A1116-$A$1106)*12,0,12,1))</f>
        <v>22.226591666666664</v>
      </c>
      <c r="M1116" s="10">
        <f t="shared" ca="1" si="105"/>
        <v>21.257999999999999</v>
      </c>
      <c r="N1116" s="10">
        <f t="shared" ca="1" si="105"/>
        <v>21.274841666666671</v>
      </c>
      <c r="O1116" s="10">
        <f t="shared" ca="1" si="105"/>
        <v>21.435033333333333</v>
      </c>
      <c r="P1116" s="10">
        <f t="shared" ca="1" si="105"/>
        <v>21.282833333333333</v>
      </c>
      <c r="Q1116" s="10">
        <f t="shared" ca="1" si="105"/>
        <v>22.030333333333335</v>
      </c>
      <c r="R1116" s="10">
        <f t="shared" ca="1" si="105"/>
        <v>22.672408333333333</v>
      </c>
      <c r="S1116" s="10">
        <f t="shared" ca="1" si="105"/>
        <v>20.873716666666667</v>
      </c>
      <c r="T1116" s="32">
        <f t="shared" ref="T1116:Y1125" ca="1" si="106">SUM(OFFSET(T$589,($A1116-$A$1106)*12,0,12,1))</f>
        <v>358.17703550000004</v>
      </c>
      <c r="U1116" s="32">
        <f t="shared" ca="1" si="106"/>
        <v>142.42176299999997</v>
      </c>
      <c r="V1116" s="32">
        <f t="shared" ca="1" si="106"/>
        <v>50.325000000000003</v>
      </c>
      <c r="W1116" s="32">
        <f t="shared" ca="1" si="106"/>
        <v>5.0961473999999995</v>
      </c>
      <c r="X1116" s="32">
        <f t="shared" ca="1" si="106"/>
        <v>20.800615543999996</v>
      </c>
      <c r="Y1116" s="32">
        <f t="shared" ca="1" si="106"/>
        <v>232.44659999999996</v>
      </c>
      <c r="Z1116" s="10"/>
      <c r="AA1116" s="10"/>
      <c r="AB1116" s="10"/>
      <c r="AC1116" s="10">
        <f t="shared" ca="1" si="102"/>
        <v>21.505733634997359</v>
      </c>
      <c r="AD1116" s="10">
        <f t="shared" ca="1" si="102"/>
        <v>21.342780575539567</v>
      </c>
    </row>
    <row r="1117" spans="1:30" ht="15" x14ac:dyDescent="0.2">
      <c r="A1117" s="11">
        <f t="shared" si="103"/>
        <v>2073</v>
      </c>
      <c r="B1117" s="10">
        <f t="shared" ca="1" si="104"/>
        <v>22.01455</v>
      </c>
      <c r="C1117" s="10">
        <f t="shared" ca="1" si="104"/>
        <v>22.020708333333335</v>
      </c>
      <c r="D1117" s="10">
        <f t="shared" ca="1" si="104"/>
        <v>22.134816666666666</v>
      </c>
      <c r="E1117" s="10">
        <f t="shared" ca="1" si="104"/>
        <v>22.166925000000003</v>
      </c>
      <c r="F1117" s="10">
        <f t="shared" ca="1" si="104"/>
        <v>21.984191666666664</v>
      </c>
      <c r="G1117" s="10">
        <f t="shared" ca="1" si="104"/>
        <v>22.001200000000001</v>
      </c>
      <c r="H1117" s="10">
        <f t="shared" ca="1" si="104"/>
        <v>22.156033333333337</v>
      </c>
      <c r="I1117" s="10">
        <f t="shared" ca="1" si="104"/>
        <v>22.002241666666663</v>
      </c>
      <c r="J1117" s="10">
        <f t="shared" ca="1" si="104"/>
        <v>21.977191666666666</v>
      </c>
      <c r="K1117" s="10">
        <f t="shared" ca="1" si="104"/>
        <v>21.517533333333336</v>
      </c>
      <c r="L1117" s="10">
        <f t="shared" ca="1" si="105"/>
        <v>22.743033333333333</v>
      </c>
      <c r="M1117" s="10">
        <f t="shared" ca="1" si="105"/>
        <v>21.76925</v>
      </c>
      <c r="N1117" s="10">
        <f t="shared" ca="1" si="105"/>
        <v>21.786083333333334</v>
      </c>
      <c r="O1117" s="10">
        <f t="shared" ca="1" si="105"/>
        <v>21.946275</v>
      </c>
      <c r="P1117" s="10">
        <f t="shared" ca="1" si="105"/>
        <v>21.794066666666666</v>
      </c>
      <c r="Q1117" s="10">
        <f t="shared" ca="1" si="105"/>
        <v>22.541574999999998</v>
      </c>
      <c r="R1117" s="10">
        <f t="shared" ca="1" si="105"/>
        <v>23.184933333333333</v>
      </c>
      <c r="S1117" s="10">
        <f t="shared" ca="1" si="105"/>
        <v>21.375208333333333</v>
      </c>
      <c r="T1117" s="32">
        <f t="shared" ca="1" si="106"/>
        <v>357.24568100000005</v>
      </c>
      <c r="U1117" s="32">
        <f t="shared" ca="1" si="106"/>
        <v>142.03263249999998</v>
      </c>
      <c r="V1117" s="32">
        <f t="shared" ca="1" si="106"/>
        <v>50.187500000000007</v>
      </c>
      <c r="W1117" s="32">
        <f t="shared" ca="1" si="106"/>
        <v>5.0822234999999996</v>
      </c>
      <c r="X1117" s="32">
        <f t="shared" ca="1" si="106"/>
        <v>20.758966663999999</v>
      </c>
      <c r="Y1117" s="32">
        <f t="shared" ca="1" si="106"/>
        <v>231.81149999999997</v>
      </c>
      <c r="Z1117" s="10"/>
      <c r="AA1117" s="10"/>
      <c r="AB1117" s="10"/>
      <c r="AC1117" s="10">
        <f t="shared" ca="1" si="102"/>
        <v>22.022167644133798</v>
      </c>
      <c r="AD1117" s="10">
        <f t="shared" ca="1" si="102"/>
        <v>21.854023920863312</v>
      </c>
    </row>
    <row r="1118" spans="1:30" ht="15" x14ac:dyDescent="0.2">
      <c r="A1118" s="11">
        <f t="shared" si="103"/>
        <v>2074</v>
      </c>
      <c r="B1118" s="10">
        <f t="shared" ca="1" si="104"/>
        <v>22.543400000000002</v>
      </c>
      <c r="C1118" s="10">
        <f t="shared" ca="1" si="104"/>
        <v>22.549575000000001</v>
      </c>
      <c r="D1118" s="10">
        <f t="shared" ca="1" si="104"/>
        <v>22.663691666666665</v>
      </c>
      <c r="E1118" s="10">
        <f t="shared" ca="1" si="104"/>
        <v>22.695766666666668</v>
      </c>
      <c r="F1118" s="10">
        <f t="shared" ca="1" si="104"/>
        <v>22.513066666666663</v>
      </c>
      <c r="G1118" s="10">
        <f t="shared" ca="1" si="104"/>
        <v>22.53006666666667</v>
      </c>
      <c r="H1118" s="10">
        <f t="shared" ca="1" si="104"/>
        <v>22.684899999999999</v>
      </c>
      <c r="I1118" s="10">
        <f t="shared" ca="1" si="104"/>
        <v>22.531099999999999</v>
      </c>
      <c r="J1118" s="10">
        <f t="shared" ca="1" si="104"/>
        <v>22.506066666666666</v>
      </c>
      <c r="K1118" s="10">
        <f t="shared" ca="1" si="104"/>
        <v>22.031366666666667</v>
      </c>
      <c r="L1118" s="10">
        <f t="shared" ca="1" si="105"/>
        <v>23.271899999999999</v>
      </c>
      <c r="M1118" s="10">
        <f t="shared" ca="1" si="105"/>
        <v>22.292758333333335</v>
      </c>
      <c r="N1118" s="10">
        <f t="shared" ca="1" si="105"/>
        <v>22.309600000000003</v>
      </c>
      <c r="O1118" s="10">
        <f t="shared" ca="1" si="105"/>
        <v>22.469791666666666</v>
      </c>
      <c r="P1118" s="10">
        <f t="shared" ca="1" si="105"/>
        <v>22.317591666666669</v>
      </c>
      <c r="Q1118" s="10">
        <f t="shared" ca="1" si="105"/>
        <v>23.065091666666671</v>
      </c>
      <c r="R1118" s="10">
        <f t="shared" ca="1" si="105"/>
        <v>23.709750000000003</v>
      </c>
      <c r="S1118" s="10">
        <f t="shared" ca="1" si="105"/>
        <v>21.888799999999993</v>
      </c>
      <c r="T1118" s="32">
        <f t="shared" ca="1" si="106"/>
        <v>357.24568100000005</v>
      </c>
      <c r="U1118" s="32">
        <f t="shared" ca="1" si="106"/>
        <v>142.03263249999998</v>
      </c>
      <c r="V1118" s="32">
        <f t="shared" ca="1" si="106"/>
        <v>50.187500000000007</v>
      </c>
      <c r="W1118" s="32">
        <f t="shared" ca="1" si="106"/>
        <v>5.0822234999999996</v>
      </c>
      <c r="X1118" s="32">
        <f t="shared" ca="1" si="106"/>
        <v>20.758966663999999</v>
      </c>
      <c r="Y1118" s="32">
        <f t="shared" ca="1" si="106"/>
        <v>231.81149999999997</v>
      </c>
      <c r="Z1118" s="10"/>
      <c r="AA1118" s="10"/>
      <c r="AB1118" s="10"/>
      <c r="AC1118" s="10">
        <f t="shared" ca="1" si="102"/>
        <v>22.551032939513401</v>
      </c>
      <c r="AD1118" s="10">
        <f t="shared" ca="1" si="102"/>
        <v>22.377538908872896</v>
      </c>
    </row>
    <row r="1119" spans="1:30" ht="15" x14ac:dyDescent="0.2">
      <c r="A1119" s="11">
        <f t="shared" si="103"/>
        <v>2075</v>
      </c>
      <c r="B1119" s="10">
        <f t="shared" ca="1" si="104"/>
        <v>23.084974999999996</v>
      </c>
      <c r="C1119" s="10">
        <f t="shared" ca="1" si="104"/>
        <v>23.091133333333335</v>
      </c>
      <c r="D1119" s="10">
        <f t="shared" ca="1" si="104"/>
        <v>23.205241666666666</v>
      </c>
      <c r="E1119" s="10">
        <f t="shared" ca="1" si="104"/>
        <v>23.237324999999998</v>
      </c>
      <c r="F1119" s="10">
        <f t="shared" ca="1" si="104"/>
        <v>23.054624999999998</v>
      </c>
      <c r="G1119" s="10">
        <f t="shared" ca="1" si="104"/>
        <v>23.071616666666667</v>
      </c>
      <c r="H1119" s="10">
        <f t="shared" ca="1" si="104"/>
        <v>23.22645833333333</v>
      </c>
      <c r="I1119" s="10">
        <f t="shared" ca="1" si="104"/>
        <v>23.072658333333333</v>
      </c>
      <c r="J1119" s="10">
        <f t="shared" ca="1" si="104"/>
        <v>23.047625000000007</v>
      </c>
      <c r="K1119" s="10">
        <f t="shared" ca="1" si="104"/>
        <v>22.557524999999998</v>
      </c>
      <c r="L1119" s="10">
        <f t="shared" ca="1" si="105"/>
        <v>23.813458333333333</v>
      </c>
      <c r="M1119" s="10">
        <f t="shared" ca="1" si="105"/>
        <v>22.828858333333333</v>
      </c>
      <c r="N1119" s="10">
        <f t="shared" ca="1" si="105"/>
        <v>22.84568333333333</v>
      </c>
      <c r="O1119" s="10">
        <f t="shared" ca="1" si="105"/>
        <v>23.005883333333333</v>
      </c>
      <c r="P1119" s="10">
        <f t="shared" ca="1" si="105"/>
        <v>22.853666666666669</v>
      </c>
      <c r="Q1119" s="10">
        <f t="shared" ca="1" si="105"/>
        <v>23.601183333333339</v>
      </c>
      <c r="R1119" s="10">
        <f t="shared" ca="1" si="105"/>
        <v>24.247183333333339</v>
      </c>
      <c r="S1119" s="10">
        <f t="shared" ca="1" si="105"/>
        <v>22.4147</v>
      </c>
      <c r="T1119" s="32">
        <f t="shared" ca="1" si="106"/>
        <v>357.24568100000005</v>
      </c>
      <c r="U1119" s="32">
        <f t="shared" ca="1" si="106"/>
        <v>142.03263249999998</v>
      </c>
      <c r="V1119" s="32">
        <f t="shared" ca="1" si="106"/>
        <v>50.187500000000007</v>
      </c>
      <c r="W1119" s="32">
        <f t="shared" ca="1" si="106"/>
        <v>5.0822234999999996</v>
      </c>
      <c r="X1119" s="32">
        <f t="shared" ca="1" si="106"/>
        <v>20.758966663999999</v>
      </c>
      <c r="Y1119" s="32">
        <f t="shared" ca="1" si="106"/>
        <v>231.81149999999997</v>
      </c>
      <c r="Z1119" s="10"/>
      <c r="AA1119" s="10"/>
      <c r="AB1119" s="10"/>
      <c r="AC1119" s="10">
        <f t="shared" ca="1" si="102"/>
        <v>23.092591936058017</v>
      </c>
      <c r="AD1119" s="10">
        <f t="shared" ca="1" si="102"/>
        <v>22.913630575539571</v>
      </c>
    </row>
    <row r="1120" spans="1:30" ht="15" x14ac:dyDescent="0.2">
      <c r="A1120" s="11">
        <f t="shared" si="103"/>
        <v>2076</v>
      </c>
      <c r="B1120" s="10">
        <f t="shared" ca="1" si="104"/>
        <v>23.63955</v>
      </c>
      <c r="C1120" s="10">
        <f t="shared" ca="1" si="104"/>
        <v>23.645708333333335</v>
      </c>
      <c r="D1120" s="10">
        <f t="shared" ca="1" si="104"/>
        <v>23.759816666666666</v>
      </c>
      <c r="E1120" s="10">
        <f t="shared" ca="1" si="104"/>
        <v>23.791891666666661</v>
      </c>
      <c r="F1120" s="10">
        <f t="shared" ca="1" si="104"/>
        <v>23.609200000000001</v>
      </c>
      <c r="G1120" s="10">
        <f t="shared" ca="1" si="104"/>
        <v>23.626199999999997</v>
      </c>
      <c r="H1120" s="10">
        <f t="shared" ca="1" si="104"/>
        <v>23.781033333333337</v>
      </c>
      <c r="I1120" s="10">
        <f t="shared" ca="1" si="104"/>
        <v>23.627225000000006</v>
      </c>
      <c r="J1120" s="10">
        <f t="shared" ca="1" si="104"/>
        <v>23.6022</v>
      </c>
      <c r="K1120" s="10">
        <f t="shared" ca="1" si="104"/>
        <v>23.096341666666664</v>
      </c>
      <c r="L1120" s="10">
        <f t="shared" ca="1" si="105"/>
        <v>24.368033333333333</v>
      </c>
      <c r="M1120" s="10">
        <f t="shared" ca="1" si="105"/>
        <v>23.377841666666669</v>
      </c>
      <c r="N1120" s="10">
        <f t="shared" ca="1" si="105"/>
        <v>23.394674999999996</v>
      </c>
      <c r="O1120" s="10">
        <f t="shared" ca="1" si="105"/>
        <v>23.554866666666666</v>
      </c>
      <c r="P1120" s="10">
        <f t="shared" ca="1" si="105"/>
        <v>23.402650000000005</v>
      </c>
      <c r="Q1120" s="10">
        <f t="shared" ca="1" si="105"/>
        <v>24.150166666666667</v>
      </c>
      <c r="R1120" s="10">
        <f t="shared" ca="1" si="105"/>
        <v>24.797541666666664</v>
      </c>
      <c r="S1120" s="10">
        <f t="shared" ca="1" si="105"/>
        <v>22.953241666666667</v>
      </c>
      <c r="T1120" s="32">
        <f t="shared" ca="1" si="106"/>
        <v>358.17703550000004</v>
      </c>
      <c r="U1120" s="32">
        <f t="shared" ca="1" si="106"/>
        <v>142.42176299999997</v>
      </c>
      <c r="V1120" s="32">
        <f t="shared" ca="1" si="106"/>
        <v>50.325000000000003</v>
      </c>
      <c r="W1120" s="32">
        <f t="shared" ca="1" si="106"/>
        <v>5.0961473999999995</v>
      </c>
      <c r="X1120" s="32">
        <f t="shared" ca="1" si="106"/>
        <v>20.800615543999996</v>
      </c>
      <c r="Y1120" s="32">
        <f t="shared" ca="1" si="106"/>
        <v>232.44659999999996</v>
      </c>
      <c r="Z1120" s="10"/>
      <c r="AA1120" s="10"/>
      <c r="AB1120" s="10"/>
      <c r="AC1120" s="10">
        <f t="shared" ca="1" si="102"/>
        <v>23.647167078797143</v>
      </c>
      <c r="AD1120" s="10">
        <f t="shared" ca="1" si="102"/>
        <v>23.462614388489211</v>
      </c>
    </row>
    <row r="1121" spans="1:30" ht="15" x14ac:dyDescent="0.2">
      <c r="A1121" s="11">
        <f t="shared" si="103"/>
        <v>2077</v>
      </c>
      <c r="B1121" s="10">
        <f t="shared" ca="1" si="104"/>
        <v>24.207441666666671</v>
      </c>
      <c r="C1121" s="10">
        <f t="shared" ca="1" si="104"/>
        <v>24.21359166666667</v>
      </c>
      <c r="D1121" s="10">
        <f t="shared" ca="1" si="104"/>
        <v>24.327708333333334</v>
      </c>
      <c r="E1121" s="10">
        <f t="shared" ca="1" si="104"/>
        <v>24.359800000000003</v>
      </c>
      <c r="F1121" s="10">
        <f t="shared" ca="1" si="104"/>
        <v>24.177091666666666</v>
      </c>
      <c r="G1121" s="10">
        <f t="shared" ca="1" si="104"/>
        <v>24.194108333333336</v>
      </c>
      <c r="H1121" s="10">
        <f t="shared" ca="1" si="104"/>
        <v>24.348933333333335</v>
      </c>
      <c r="I1121" s="10">
        <f t="shared" ca="1" si="104"/>
        <v>24.195125000000001</v>
      </c>
      <c r="J1121" s="10">
        <f t="shared" ca="1" si="104"/>
        <v>24.170091666666664</v>
      </c>
      <c r="K1121" s="10">
        <f t="shared" ca="1" si="104"/>
        <v>23.648099999999999</v>
      </c>
      <c r="L1121" s="10">
        <f t="shared" ca="1" si="105"/>
        <v>24.935933333333335</v>
      </c>
      <c r="M1121" s="10">
        <f t="shared" ca="1" si="105"/>
        <v>23.939991666666668</v>
      </c>
      <c r="N1121" s="10">
        <f t="shared" ca="1" si="105"/>
        <v>23.956833333333332</v>
      </c>
      <c r="O1121" s="10">
        <f t="shared" ca="1" si="105"/>
        <v>24.117033333333328</v>
      </c>
      <c r="P1121" s="10">
        <f t="shared" ca="1" si="105"/>
        <v>23.964816666666668</v>
      </c>
      <c r="Q1121" s="10">
        <f t="shared" ca="1" si="105"/>
        <v>24.712333333333333</v>
      </c>
      <c r="R1121" s="10">
        <f t="shared" ca="1" si="105"/>
        <v>25.361099999999997</v>
      </c>
      <c r="S1121" s="10">
        <f t="shared" ca="1" si="105"/>
        <v>23.504733333333331</v>
      </c>
      <c r="T1121" s="32">
        <f t="shared" ca="1" si="106"/>
        <v>357.24568100000005</v>
      </c>
      <c r="U1121" s="32">
        <f t="shared" ca="1" si="106"/>
        <v>142.03263249999998</v>
      </c>
      <c r="V1121" s="32">
        <f t="shared" ca="1" si="106"/>
        <v>50.187500000000007</v>
      </c>
      <c r="W1121" s="32">
        <f t="shared" ca="1" si="106"/>
        <v>5.0822234999999996</v>
      </c>
      <c r="X1121" s="32">
        <f t="shared" ca="1" si="106"/>
        <v>20.758966663999999</v>
      </c>
      <c r="Y1121" s="32">
        <f t="shared" ca="1" si="106"/>
        <v>231.81149999999997</v>
      </c>
      <c r="Z1121" s="10"/>
      <c r="AA1121" s="10"/>
      <c r="AB1121" s="10"/>
      <c r="AC1121" s="10">
        <f t="shared" ca="1" si="102"/>
        <v>24.215059712433828</v>
      </c>
      <c r="AD1121" s="10">
        <f t="shared" ca="1" si="102"/>
        <v>24.024774820143886</v>
      </c>
    </row>
    <row r="1122" spans="1:30" ht="15" x14ac:dyDescent="0.2">
      <c r="A1122" s="11">
        <f t="shared" si="103"/>
        <v>2078</v>
      </c>
      <c r="B1122" s="10">
        <f t="shared" ca="1" si="104"/>
        <v>24.788991666666664</v>
      </c>
      <c r="C1122" s="10">
        <f t="shared" ca="1" si="104"/>
        <v>24.795133333333329</v>
      </c>
      <c r="D1122" s="10">
        <f t="shared" ca="1" si="104"/>
        <v>24.909266666666667</v>
      </c>
      <c r="E1122" s="10">
        <f t="shared" ca="1" si="104"/>
        <v>24.941341666666663</v>
      </c>
      <c r="F1122" s="10">
        <f t="shared" ca="1" si="104"/>
        <v>24.758641666666666</v>
      </c>
      <c r="G1122" s="10">
        <f t="shared" ca="1" si="104"/>
        <v>24.775625000000002</v>
      </c>
      <c r="H1122" s="10">
        <f t="shared" ca="1" si="104"/>
        <v>24.930458333333334</v>
      </c>
      <c r="I1122" s="10">
        <f t="shared" ca="1" si="104"/>
        <v>24.776658333333334</v>
      </c>
      <c r="J1122" s="10">
        <f t="shared" ca="1" si="104"/>
        <v>24.751641666666668</v>
      </c>
      <c r="K1122" s="10">
        <f t="shared" ca="1" si="104"/>
        <v>24.213125000000002</v>
      </c>
      <c r="L1122" s="10">
        <f t="shared" ca="1" si="105"/>
        <v>25.517458333333334</v>
      </c>
      <c r="M1122" s="10">
        <f t="shared" ca="1" si="105"/>
        <v>24.515675000000002</v>
      </c>
      <c r="N1122" s="10">
        <f t="shared" ca="1" si="105"/>
        <v>24.532499999999999</v>
      </c>
      <c r="O1122" s="10">
        <f t="shared" ca="1" si="105"/>
        <v>24.692691666666661</v>
      </c>
      <c r="P1122" s="10">
        <f t="shared" ca="1" si="105"/>
        <v>24.540499999999998</v>
      </c>
      <c r="Q1122" s="10">
        <f t="shared" ca="1" si="105"/>
        <v>25.287991666666667</v>
      </c>
      <c r="R1122" s="10">
        <f t="shared" ca="1" si="105"/>
        <v>25.938225000000003</v>
      </c>
      <c r="S1122" s="10">
        <f t="shared" ca="1" si="105"/>
        <v>24.069483333333327</v>
      </c>
      <c r="T1122" s="32">
        <f t="shared" ca="1" si="106"/>
        <v>357.24568100000005</v>
      </c>
      <c r="U1122" s="32">
        <f t="shared" ca="1" si="106"/>
        <v>142.03263249999998</v>
      </c>
      <c r="V1122" s="32">
        <f t="shared" ca="1" si="106"/>
        <v>50.187500000000007</v>
      </c>
      <c r="W1122" s="32">
        <f t="shared" ca="1" si="106"/>
        <v>5.0822234999999996</v>
      </c>
      <c r="X1122" s="32">
        <f t="shared" ca="1" si="106"/>
        <v>20.758966663999999</v>
      </c>
      <c r="Y1122" s="32">
        <f t="shared" ca="1" si="106"/>
        <v>231.81149999999997</v>
      </c>
      <c r="Z1122" s="10"/>
      <c r="AA1122" s="10"/>
      <c r="AB1122" s="10"/>
      <c r="AC1122" s="10">
        <f t="shared" ca="1" si="102"/>
        <v>24.796602025922002</v>
      </c>
      <c r="AD1122" s="10">
        <f t="shared" ca="1" si="102"/>
        <v>24.60044586330935</v>
      </c>
    </row>
    <row r="1123" spans="1:30" ht="15" x14ac:dyDescent="0.2">
      <c r="A1123" s="11">
        <f t="shared" si="103"/>
        <v>2079</v>
      </c>
      <c r="B1123" s="10">
        <f t="shared" ca="1" si="104"/>
        <v>25.38450833333334</v>
      </c>
      <c r="C1123" s="10">
        <f t="shared" ca="1" si="104"/>
        <v>25.390658333333334</v>
      </c>
      <c r="D1123" s="10">
        <f t="shared" ca="1" si="104"/>
        <v>25.504766666666669</v>
      </c>
      <c r="E1123" s="10">
        <f t="shared" ca="1" si="104"/>
        <v>25.536866666666665</v>
      </c>
      <c r="F1123" s="10">
        <f t="shared" ca="1" si="104"/>
        <v>25.354141666666663</v>
      </c>
      <c r="G1123" s="10">
        <f t="shared" ca="1" si="104"/>
        <v>25.37115</v>
      </c>
      <c r="H1123" s="10">
        <f t="shared" ca="1" si="104"/>
        <v>25.525991666666666</v>
      </c>
      <c r="I1123" s="10">
        <f t="shared" ca="1" si="104"/>
        <v>25.372191666666669</v>
      </c>
      <c r="J1123" s="10">
        <f t="shared" ca="1" si="104"/>
        <v>25.347141666666669</v>
      </c>
      <c r="K1123" s="10">
        <f t="shared" ca="1" si="104"/>
        <v>24.791708333333332</v>
      </c>
      <c r="L1123" s="10">
        <f t="shared" ca="1" si="105"/>
        <v>26.112991666666669</v>
      </c>
      <c r="M1123" s="10">
        <f t="shared" ca="1" si="105"/>
        <v>25.105175000000003</v>
      </c>
      <c r="N1123" s="10">
        <f t="shared" ca="1" si="105"/>
        <v>25.122008333333337</v>
      </c>
      <c r="O1123" s="10">
        <f t="shared" ca="1" si="105"/>
        <v>25.282208333333333</v>
      </c>
      <c r="P1123" s="10">
        <f t="shared" ca="1" si="105"/>
        <v>25.129991666666665</v>
      </c>
      <c r="Q1123" s="10">
        <f t="shared" ca="1" si="105"/>
        <v>25.877508333333328</v>
      </c>
      <c r="R1123" s="10">
        <f t="shared" ca="1" si="105"/>
        <v>26.529208333333333</v>
      </c>
      <c r="S1123" s="10">
        <f t="shared" ca="1" si="105"/>
        <v>24.647775000000006</v>
      </c>
      <c r="T1123" s="32">
        <f t="shared" ca="1" si="106"/>
        <v>357.24568100000005</v>
      </c>
      <c r="U1123" s="32">
        <f t="shared" ca="1" si="106"/>
        <v>142.03263249999998</v>
      </c>
      <c r="V1123" s="32">
        <f t="shared" ca="1" si="106"/>
        <v>50.187500000000007</v>
      </c>
      <c r="W1123" s="32">
        <f t="shared" ca="1" si="106"/>
        <v>5.0822234999999996</v>
      </c>
      <c r="X1123" s="32">
        <f t="shared" ca="1" si="106"/>
        <v>20.758966663999999</v>
      </c>
      <c r="Y1123" s="32">
        <f t="shared" ca="1" si="106"/>
        <v>231.81149999999997</v>
      </c>
      <c r="Z1123" s="10"/>
      <c r="AA1123" s="10"/>
      <c r="AB1123" s="10"/>
      <c r="AC1123" s="10">
        <f t="shared" ca="1" si="102"/>
        <v>25.392117886495228</v>
      </c>
      <c r="AD1123" s="10">
        <f t="shared" ca="1" si="102"/>
        <v>25.189952697841729</v>
      </c>
    </row>
    <row r="1124" spans="1:30" ht="15" x14ac:dyDescent="0.2">
      <c r="A1124" s="11">
        <f t="shared" si="103"/>
        <v>2080</v>
      </c>
      <c r="B1124" s="10">
        <f t="shared" ca="1" si="104"/>
        <v>25.994333333333334</v>
      </c>
      <c r="C1124" s="10">
        <f t="shared" ca="1" si="104"/>
        <v>26.000466666666664</v>
      </c>
      <c r="D1124" s="10">
        <f t="shared" ca="1" si="104"/>
        <v>26.114608333333333</v>
      </c>
      <c r="E1124" s="10">
        <f t="shared" ca="1" si="104"/>
        <v>26.146691666666666</v>
      </c>
      <c r="F1124" s="10">
        <f t="shared" ca="1" si="104"/>
        <v>25.963966666666668</v>
      </c>
      <c r="G1124" s="10">
        <f t="shared" ca="1" si="104"/>
        <v>25.980975000000001</v>
      </c>
      <c r="H1124" s="10">
        <f t="shared" ca="1" si="104"/>
        <v>26.1358</v>
      </c>
      <c r="I1124" s="10">
        <f t="shared" ca="1" si="104"/>
        <v>25.982008333333329</v>
      </c>
      <c r="J1124" s="10">
        <f t="shared" ca="1" si="104"/>
        <v>25.956966666666663</v>
      </c>
      <c r="K1124" s="10">
        <f t="shared" ca="1" si="104"/>
        <v>25.384216666666671</v>
      </c>
      <c r="L1124" s="10">
        <f t="shared" ca="1" si="105"/>
        <v>26.722799999999996</v>
      </c>
      <c r="M1124" s="10">
        <f t="shared" ca="1" si="105"/>
        <v>25.708849999999995</v>
      </c>
      <c r="N1124" s="10">
        <f t="shared" ca="1" si="105"/>
        <v>25.725675000000006</v>
      </c>
      <c r="O1124" s="10">
        <f t="shared" ca="1" si="105"/>
        <v>25.885866666666669</v>
      </c>
      <c r="P1124" s="10">
        <f t="shared" ca="1" si="105"/>
        <v>25.733658333333334</v>
      </c>
      <c r="Q1124" s="10">
        <f t="shared" ca="1" si="105"/>
        <v>26.481166666666667</v>
      </c>
      <c r="R1124" s="10">
        <f t="shared" ca="1" si="105"/>
        <v>27.134383333333336</v>
      </c>
      <c r="S1124" s="10">
        <f t="shared" ca="1" si="105"/>
        <v>25.239975000000001</v>
      </c>
      <c r="T1124" s="32">
        <f t="shared" ca="1" si="106"/>
        <v>358.17703550000004</v>
      </c>
      <c r="U1124" s="32">
        <f t="shared" ca="1" si="106"/>
        <v>142.42176299999997</v>
      </c>
      <c r="V1124" s="32">
        <f t="shared" ca="1" si="106"/>
        <v>50.325000000000003</v>
      </c>
      <c r="W1124" s="32">
        <f t="shared" ca="1" si="106"/>
        <v>5.0961473999999995</v>
      </c>
      <c r="X1124" s="32">
        <f t="shared" ca="1" si="106"/>
        <v>20.800615543999996</v>
      </c>
      <c r="Y1124" s="32">
        <f t="shared" ca="1" si="106"/>
        <v>232.44659999999996</v>
      </c>
      <c r="Z1124" s="10"/>
      <c r="AA1124" s="10"/>
      <c r="AB1124" s="10"/>
      <c r="AC1124" s="10">
        <f t="shared" ca="1" si="102"/>
        <v>26.001940276168853</v>
      </c>
      <c r="AD1124" s="10">
        <f t="shared" ca="1" si="102"/>
        <v>25.793618465227819</v>
      </c>
    </row>
    <row r="1125" spans="1:30" ht="15" x14ac:dyDescent="0.2">
      <c r="A1125" s="11">
        <f t="shared" si="103"/>
        <v>2081</v>
      </c>
      <c r="B1125" s="10">
        <f t="shared" ca="1" si="104"/>
        <v>26.618791666666667</v>
      </c>
      <c r="C1125" s="10">
        <f t="shared" ca="1" si="104"/>
        <v>26.624974999999996</v>
      </c>
      <c r="D1125" s="10">
        <f t="shared" ca="1" si="104"/>
        <v>26.739066666666663</v>
      </c>
      <c r="E1125" s="10">
        <f t="shared" ca="1" si="104"/>
        <v>26.771166666666669</v>
      </c>
      <c r="F1125" s="10">
        <f t="shared" ca="1" si="104"/>
        <v>26.588449999999998</v>
      </c>
      <c r="G1125" s="10">
        <f t="shared" ca="1" si="104"/>
        <v>26.605441666666668</v>
      </c>
      <c r="H1125" s="10">
        <f t="shared" ca="1" si="104"/>
        <v>26.760291666666664</v>
      </c>
      <c r="I1125" s="10">
        <f t="shared" ca="1" si="104"/>
        <v>26.606491666666667</v>
      </c>
      <c r="J1125" s="10">
        <f t="shared" ca="1" si="104"/>
        <v>26.58145</v>
      </c>
      <c r="K1125" s="10">
        <f t="shared" ca="1" si="104"/>
        <v>25.990958333333335</v>
      </c>
      <c r="L1125" s="10">
        <f t="shared" ca="1" si="105"/>
        <v>27.347291666666667</v>
      </c>
      <c r="M1125" s="10">
        <f t="shared" ca="1" si="105"/>
        <v>26.327025000000003</v>
      </c>
      <c r="N1125" s="10">
        <f t="shared" ca="1" si="105"/>
        <v>26.34385</v>
      </c>
      <c r="O1125" s="10">
        <f t="shared" ca="1" si="105"/>
        <v>26.504058333333337</v>
      </c>
      <c r="P1125" s="10">
        <f t="shared" ca="1" si="105"/>
        <v>26.351849999999999</v>
      </c>
      <c r="Q1125" s="10">
        <f t="shared" ca="1" si="105"/>
        <v>27.099358333333331</v>
      </c>
      <c r="R1125" s="10">
        <f t="shared" ca="1" si="105"/>
        <v>27.75408333333333</v>
      </c>
      <c r="S1125" s="10">
        <f t="shared" ca="1" si="105"/>
        <v>25.846399999999999</v>
      </c>
      <c r="T1125" s="32">
        <f t="shared" ca="1" si="106"/>
        <v>357.24568100000005</v>
      </c>
      <c r="U1125" s="32">
        <f t="shared" ca="1" si="106"/>
        <v>142.03263249999998</v>
      </c>
      <c r="V1125" s="32">
        <f t="shared" ca="1" si="106"/>
        <v>50.187500000000007</v>
      </c>
      <c r="W1125" s="32">
        <f t="shared" ca="1" si="106"/>
        <v>5.0822234999999996</v>
      </c>
      <c r="X1125" s="32">
        <f t="shared" ca="1" si="106"/>
        <v>20.758966663999999</v>
      </c>
      <c r="Y1125" s="32">
        <f t="shared" ca="1" si="106"/>
        <v>231.81149999999997</v>
      </c>
      <c r="Z1125" s="10"/>
      <c r="AA1125" s="10"/>
      <c r="AB1125" s="10"/>
      <c r="AC1125" s="10">
        <f t="shared" ca="1" si="102"/>
        <v>26.626420891350207</v>
      </c>
      <c r="AD1125" s="10">
        <f t="shared" ca="1" si="102"/>
        <v>26.411803417266182</v>
      </c>
    </row>
    <row r="1126" spans="1:30" ht="15" x14ac:dyDescent="0.2">
      <c r="A1126" s="11">
        <f t="shared" si="103"/>
        <v>2082</v>
      </c>
      <c r="B1126" s="10">
        <f t="shared" ref="B1126:K1135" ca="1" si="107">AVERAGE(OFFSET(B$589,($A1126-$A$1106)*12,0,12,1))</f>
        <v>27.258283333333335</v>
      </c>
      <c r="C1126" s="10">
        <f t="shared" ca="1" si="107"/>
        <v>27.264441666666666</v>
      </c>
      <c r="D1126" s="10">
        <f t="shared" ca="1" si="107"/>
        <v>27.378550000000001</v>
      </c>
      <c r="E1126" s="10">
        <f t="shared" ca="1" si="107"/>
        <v>27.410650000000004</v>
      </c>
      <c r="F1126" s="10">
        <f t="shared" ca="1" si="107"/>
        <v>27.227933333333336</v>
      </c>
      <c r="G1126" s="10">
        <f t="shared" ca="1" si="107"/>
        <v>27.244916666666665</v>
      </c>
      <c r="H1126" s="10">
        <f t="shared" ca="1" si="107"/>
        <v>27.399758333333335</v>
      </c>
      <c r="I1126" s="10">
        <f t="shared" ca="1" si="107"/>
        <v>27.245958333333334</v>
      </c>
      <c r="J1126" s="10">
        <f t="shared" ca="1" si="107"/>
        <v>27.220933333333331</v>
      </c>
      <c r="K1126" s="10">
        <f t="shared" ca="1" si="107"/>
        <v>26.61229166666666</v>
      </c>
      <c r="L1126" s="10">
        <f t="shared" ref="L1126:S1135" ca="1" si="108">AVERAGE(OFFSET(L$589,($A1126-$A$1106)*12,0,12,1))</f>
        <v>27.986758333333331</v>
      </c>
      <c r="M1126" s="10">
        <f t="shared" ca="1" si="108"/>
        <v>26.960058333333336</v>
      </c>
      <c r="N1126" s="10">
        <f t="shared" ca="1" si="108"/>
        <v>26.976900000000001</v>
      </c>
      <c r="O1126" s="10">
        <f t="shared" ca="1" si="108"/>
        <v>27.137074999999999</v>
      </c>
      <c r="P1126" s="10">
        <f t="shared" ca="1" si="108"/>
        <v>26.984874999999999</v>
      </c>
      <c r="Q1126" s="10">
        <f t="shared" ca="1" si="108"/>
        <v>27.732375000000001</v>
      </c>
      <c r="R1126" s="10">
        <f t="shared" ca="1" si="108"/>
        <v>28.388699999999989</v>
      </c>
      <c r="S1126" s="10">
        <f t="shared" ca="1" si="108"/>
        <v>26.467408333333335</v>
      </c>
      <c r="T1126" s="32">
        <f t="shared" ref="T1126:Y1135" ca="1" si="109">SUM(OFFSET(T$589,($A1126-$A$1106)*12,0,12,1))</f>
        <v>357.24568100000005</v>
      </c>
      <c r="U1126" s="32">
        <f t="shared" ca="1" si="109"/>
        <v>142.03263249999998</v>
      </c>
      <c r="V1126" s="32">
        <f t="shared" ca="1" si="109"/>
        <v>50.187500000000007</v>
      </c>
      <c r="W1126" s="32">
        <f t="shared" ca="1" si="109"/>
        <v>5.0822234999999996</v>
      </c>
      <c r="X1126" s="32">
        <f t="shared" ca="1" si="109"/>
        <v>20.758966663999999</v>
      </c>
      <c r="Y1126" s="32">
        <f t="shared" ca="1" si="109"/>
        <v>231.81149999999997</v>
      </c>
      <c r="Z1126" s="10"/>
      <c r="AA1126" s="10"/>
      <c r="AB1126" s="10"/>
      <c r="AC1126" s="10">
        <f t="shared" ref="AC1126:AD1144" ca="1" si="110">AVERAGE(OFFSET(AC$589,($A1126-$A$1106)*12,0,12,1))</f>
        <v>27.265898947190792</v>
      </c>
      <c r="AD1126" s="10">
        <f t="shared" ca="1" si="110"/>
        <v>27.044828956834532</v>
      </c>
    </row>
    <row r="1127" spans="1:30" ht="15" x14ac:dyDescent="0.2">
      <c r="A1127" s="11">
        <f t="shared" si="103"/>
        <v>2083</v>
      </c>
      <c r="B1127" s="10">
        <f t="shared" ca="1" si="107"/>
        <v>27.913116666666671</v>
      </c>
      <c r="C1127" s="10">
        <f t="shared" ca="1" si="107"/>
        <v>27.91928333333334</v>
      </c>
      <c r="D1127" s="10">
        <f t="shared" ca="1" si="107"/>
        <v>28.033383333333333</v>
      </c>
      <c r="E1127" s="10">
        <f t="shared" ca="1" si="107"/>
        <v>28.0655</v>
      </c>
      <c r="F1127" s="10">
        <f t="shared" ca="1" si="107"/>
        <v>27.882783333333325</v>
      </c>
      <c r="G1127" s="10">
        <f t="shared" ca="1" si="107"/>
        <v>27.899783333333332</v>
      </c>
      <c r="H1127" s="10">
        <f t="shared" ca="1" si="107"/>
        <v>28.054616666666664</v>
      </c>
      <c r="I1127" s="10">
        <f t="shared" ca="1" si="107"/>
        <v>27.900816666666667</v>
      </c>
      <c r="J1127" s="10">
        <f t="shared" ca="1" si="107"/>
        <v>27.875783333333334</v>
      </c>
      <c r="K1127" s="10">
        <f t="shared" ca="1" si="107"/>
        <v>27.248499999999996</v>
      </c>
      <c r="L1127" s="10">
        <f t="shared" ca="1" si="108"/>
        <v>28.641616666666664</v>
      </c>
      <c r="M1127" s="10">
        <f t="shared" ca="1" si="108"/>
        <v>27.608275000000003</v>
      </c>
      <c r="N1127" s="10">
        <f t="shared" ca="1" si="108"/>
        <v>27.625116666666667</v>
      </c>
      <c r="O1127" s="10">
        <f t="shared" ca="1" si="108"/>
        <v>27.78531666666667</v>
      </c>
      <c r="P1127" s="10">
        <f t="shared" ca="1" si="108"/>
        <v>27.633116666666666</v>
      </c>
      <c r="Q1127" s="10">
        <f t="shared" ca="1" si="108"/>
        <v>28.380616666666668</v>
      </c>
      <c r="R1127" s="10">
        <f t="shared" ca="1" si="108"/>
        <v>29.038549999999997</v>
      </c>
      <c r="S1127" s="10">
        <f t="shared" ca="1" si="108"/>
        <v>27.103316666666668</v>
      </c>
      <c r="T1127" s="32">
        <f t="shared" ca="1" si="109"/>
        <v>357.24568100000005</v>
      </c>
      <c r="U1127" s="32">
        <f t="shared" ca="1" si="109"/>
        <v>142.03263249999998</v>
      </c>
      <c r="V1127" s="32">
        <f t="shared" ca="1" si="109"/>
        <v>50.187500000000007</v>
      </c>
      <c r="W1127" s="32">
        <f t="shared" ca="1" si="109"/>
        <v>5.0822234999999996</v>
      </c>
      <c r="X1127" s="32">
        <f t="shared" ca="1" si="109"/>
        <v>20.758966663999999</v>
      </c>
      <c r="Y1127" s="32">
        <f t="shared" ca="1" si="109"/>
        <v>231.81149999999997</v>
      </c>
      <c r="Z1127" s="10"/>
      <c r="AA1127" s="10"/>
      <c r="AB1127" s="10"/>
      <c r="AC1127" s="10">
        <f t="shared" ca="1" si="110"/>
        <v>27.920746130857648</v>
      </c>
      <c r="AD1127" s="10">
        <f t="shared" ca="1" si="110"/>
        <v>27.693060551558755</v>
      </c>
    </row>
    <row r="1128" spans="1:30" ht="15" x14ac:dyDescent="0.2">
      <c r="A1128" s="11">
        <f t="shared" si="103"/>
        <v>2084</v>
      </c>
      <c r="B1128" s="10">
        <f t="shared" ca="1" si="107"/>
        <v>28.583691666666667</v>
      </c>
      <c r="C1128" s="10">
        <f t="shared" ca="1" si="107"/>
        <v>28.589866666666666</v>
      </c>
      <c r="D1128" s="10">
        <f t="shared" ca="1" si="107"/>
        <v>28.703958333333333</v>
      </c>
      <c r="E1128" s="10">
        <f t="shared" ca="1" si="107"/>
        <v>28.736075000000003</v>
      </c>
      <c r="F1128" s="10">
        <f t="shared" ca="1" si="107"/>
        <v>28.553358333333332</v>
      </c>
      <c r="G1128" s="10">
        <f t="shared" ca="1" si="107"/>
        <v>28.570358333333335</v>
      </c>
      <c r="H1128" s="10">
        <f t="shared" ca="1" si="107"/>
        <v>28.725191666666664</v>
      </c>
      <c r="I1128" s="10">
        <f t="shared" ca="1" si="107"/>
        <v>28.571391666666667</v>
      </c>
      <c r="J1128" s="10">
        <f t="shared" ca="1" si="107"/>
        <v>28.54635833333333</v>
      </c>
      <c r="K1128" s="10">
        <f t="shared" ca="1" si="107"/>
        <v>27.900025000000003</v>
      </c>
      <c r="L1128" s="10">
        <f t="shared" ca="1" si="108"/>
        <v>29.312191666666667</v>
      </c>
      <c r="M1128" s="10">
        <f t="shared" ca="1" si="108"/>
        <v>28.272124999999999</v>
      </c>
      <c r="N1128" s="10">
        <f t="shared" ca="1" si="108"/>
        <v>28.28894166666667</v>
      </c>
      <c r="O1128" s="10">
        <f t="shared" ca="1" si="108"/>
        <v>28.449124999999999</v>
      </c>
      <c r="P1128" s="10">
        <f t="shared" ca="1" si="108"/>
        <v>28.296933333333339</v>
      </c>
      <c r="Q1128" s="10">
        <f t="shared" ca="1" si="108"/>
        <v>29.044425000000004</v>
      </c>
      <c r="R1128" s="10">
        <f t="shared" ca="1" si="108"/>
        <v>29.704041666666669</v>
      </c>
      <c r="S1128" s="10">
        <f t="shared" ca="1" si="108"/>
        <v>27.754516666666664</v>
      </c>
      <c r="T1128" s="32">
        <f t="shared" ca="1" si="109"/>
        <v>358.17703550000004</v>
      </c>
      <c r="U1128" s="32">
        <f t="shared" ca="1" si="109"/>
        <v>142.42176299999997</v>
      </c>
      <c r="V1128" s="32">
        <f t="shared" ca="1" si="109"/>
        <v>50.325000000000003</v>
      </c>
      <c r="W1128" s="32">
        <f t="shared" ca="1" si="109"/>
        <v>5.0961473999999995</v>
      </c>
      <c r="X1128" s="32">
        <f t="shared" ca="1" si="109"/>
        <v>20.800615543999996</v>
      </c>
      <c r="Y1128" s="32">
        <f t="shared" ca="1" si="109"/>
        <v>232.44659999999996</v>
      </c>
      <c r="Z1128" s="10"/>
      <c r="AA1128" s="10"/>
      <c r="AB1128" s="10"/>
      <c r="AC1128" s="10">
        <f t="shared" ca="1" si="110"/>
        <v>28.591323077101478</v>
      </c>
      <c r="AD1128" s="10">
        <f t="shared" ca="1" si="110"/>
        <v>28.356885431654675</v>
      </c>
    </row>
    <row r="1129" spans="1:30" ht="15" x14ac:dyDescent="0.2">
      <c r="A1129" s="11">
        <f t="shared" si="103"/>
        <v>2085</v>
      </c>
      <c r="B1129" s="10">
        <f t="shared" ca="1" si="107"/>
        <v>29.270399999999999</v>
      </c>
      <c r="C1129" s="10">
        <f t="shared" ca="1" si="107"/>
        <v>29.27655833333333</v>
      </c>
      <c r="D1129" s="10">
        <f t="shared" ca="1" si="107"/>
        <v>29.390675000000005</v>
      </c>
      <c r="E1129" s="10">
        <f t="shared" ca="1" si="107"/>
        <v>29.422766666666671</v>
      </c>
      <c r="F1129" s="10">
        <f t="shared" ca="1" si="107"/>
        <v>29.240058333333334</v>
      </c>
      <c r="G1129" s="10">
        <f t="shared" ca="1" si="107"/>
        <v>29.25705833333333</v>
      </c>
      <c r="H1129" s="10">
        <f t="shared" ca="1" si="107"/>
        <v>29.411874999999998</v>
      </c>
      <c r="I1129" s="10">
        <f t="shared" ca="1" si="107"/>
        <v>29.258083333333332</v>
      </c>
      <c r="J1129" s="10">
        <f t="shared" ca="1" si="107"/>
        <v>29.233058333333332</v>
      </c>
      <c r="K1129" s="10">
        <f t="shared" ca="1" si="107"/>
        <v>28.567208333333337</v>
      </c>
      <c r="L1129" s="10">
        <f t="shared" ca="1" si="108"/>
        <v>29.998874999999998</v>
      </c>
      <c r="M1129" s="10">
        <f t="shared" ca="1" si="108"/>
        <v>28.95185833333333</v>
      </c>
      <c r="N1129" s="10">
        <f t="shared" ca="1" si="108"/>
        <v>28.968699999999998</v>
      </c>
      <c r="O1129" s="10">
        <f t="shared" ca="1" si="108"/>
        <v>29.128900000000002</v>
      </c>
      <c r="P1129" s="10">
        <f t="shared" ca="1" si="108"/>
        <v>28.976699999999997</v>
      </c>
      <c r="Q1129" s="10">
        <f t="shared" ca="1" si="108"/>
        <v>29.7242</v>
      </c>
      <c r="R1129" s="10">
        <f t="shared" ca="1" si="108"/>
        <v>30.385499999999997</v>
      </c>
      <c r="S1129" s="10">
        <f t="shared" ca="1" si="108"/>
        <v>28.421366666666668</v>
      </c>
      <c r="T1129" s="32">
        <f t="shared" ca="1" si="109"/>
        <v>357.24568100000005</v>
      </c>
      <c r="U1129" s="32">
        <f t="shared" ca="1" si="109"/>
        <v>142.03263249999998</v>
      </c>
      <c r="V1129" s="32">
        <f t="shared" ca="1" si="109"/>
        <v>50.187500000000007</v>
      </c>
      <c r="W1129" s="32">
        <f t="shared" ca="1" si="109"/>
        <v>5.0822234999999996</v>
      </c>
      <c r="X1129" s="32">
        <f t="shared" ca="1" si="109"/>
        <v>20.758966663999999</v>
      </c>
      <c r="Y1129" s="32">
        <f t="shared" ca="1" si="109"/>
        <v>231.81149999999997</v>
      </c>
      <c r="Z1129" s="10"/>
      <c r="AA1129" s="10"/>
      <c r="AB1129" s="10"/>
      <c r="AC1129" s="10">
        <f t="shared" ca="1" si="110"/>
        <v>29.278022519514849</v>
      </c>
      <c r="AD1129" s="10">
        <f t="shared" ca="1" si="110"/>
        <v>29.036643884892086</v>
      </c>
    </row>
    <row r="1130" spans="1:30" ht="15" x14ac:dyDescent="0.2">
      <c r="A1130" s="11">
        <f t="shared" si="103"/>
        <v>2086</v>
      </c>
      <c r="B1130" s="10">
        <f t="shared" ca="1" si="107"/>
        <v>29.973600000000001</v>
      </c>
      <c r="C1130" s="10">
        <f t="shared" ca="1" si="107"/>
        <v>29.979749999999996</v>
      </c>
      <c r="D1130" s="10">
        <f t="shared" ca="1" si="107"/>
        <v>30.093858333333333</v>
      </c>
      <c r="E1130" s="10">
        <f t="shared" ca="1" si="107"/>
        <v>30.125958333333333</v>
      </c>
      <c r="F1130" s="10">
        <f t="shared" ca="1" si="107"/>
        <v>29.943249999999995</v>
      </c>
      <c r="G1130" s="10">
        <f t="shared" ca="1" si="107"/>
        <v>29.960241666666665</v>
      </c>
      <c r="H1130" s="10">
        <f t="shared" ca="1" si="107"/>
        <v>30.115083333333335</v>
      </c>
      <c r="I1130" s="10">
        <f t="shared" ca="1" si="107"/>
        <v>29.961275000000004</v>
      </c>
      <c r="J1130" s="10">
        <f t="shared" ca="1" si="107"/>
        <v>29.936250000000001</v>
      </c>
      <c r="K1130" s="10">
        <f t="shared" ca="1" si="107"/>
        <v>29.250408333333329</v>
      </c>
      <c r="L1130" s="10">
        <f t="shared" ca="1" si="108"/>
        <v>30.702083333333331</v>
      </c>
      <c r="M1130" s="10">
        <f t="shared" ca="1" si="108"/>
        <v>29.647966666666662</v>
      </c>
      <c r="N1130" s="10">
        <f t="shared" ca="1" si="108"/>
        <v>29.6648</v>
      </c>
      <c r="O1130" s="10">
        <f t="shared" ca="1" si="108"/>
        <v>29.824983333333332</v>
      </c>
      <c r="P1130" s="10">
        <f t="shared" ca="1" si="108"/>
        <v>29.672799999999999</v>
      </c>
      <c r="Q1130" s="10">
        <f t="shared" ca="1" si="108"/>
        <v>30.420283333333334</v>
      </c>
      <c r="R1130" s="10">
        <f t="shared" ca="1" si="108"/>
        <v>31.083333333333343</v>
      </c>
      <c r="S1130" s="10">
        <f t="shared" ca="1" si="108"/>
        <v>29.104241666666667</v>
      </c>
      <c r="T1130" s="32">
        <f t="shared" ca="1" si="109"/>
        <v>357.24568100000005</v>
      </c>
      <c r="U1130" s="32">
        <f t="shared" ca="1" si="109"/>
        <v>142.03263249999998</v>
      </c>
      <c r="V1130" s="32">
        <f t="shared" ca="1" si="109"/>
        <v>50.187500000000007</v>
      </c>
      <c r="W1130" s="32">
        <f t="shared" ca="1" si="109"/>
        <v>5.0822234999999996</v>
      </c>
      <c r="X1130" s="32">
        <f t="shared" ca="1" si="109"/>
        <v>20.758966663999999</v>
      </c>
      <c r="Y1130" s="32">
        <f t="shared" ca="1" si="109"/>
        <v>231.81149999999997</v>
      </c>
      <c r="Z1130" s="10"/>
      <c r="AA1130" s="10"/>
      <c r="AB1130" s="10"/>
      <c r="AC1130" s="10">
        <f t="shared" ca="1" si="110"/>
        <v>29.981213106782054</v>
      </c>
      <c r="AD1130" s="10">
        <f t="shared" ca="1" si="110"/>
        <v>29.732739208633102</v>
      </c>
    </row>
    <row r="1131" spans="1:30" ht="15" x14ac:dyDescent="0.2">
      <c r="A1131" s="11">
        <f t="shared" si="103"/>
        <v>2087</v>
      </c>
      <c r="B1131" s="10">
        <f t="shared" ca="1" si="107"/>
        <v>30.693674999999999</v>
      </c>
      <c r="C1131" s="10">
        <f t="shared" ca="1" si="107"/>
        <v>30.699833333333331</v>
      </c>
      <c r="D1131" s="10">
        <f t="shared" ca="1" si="107"/>
        <v>30.813941666666665</v>
      </c>
      <c r="E1131" s="10">
        <f t="shared" ca="1" si="107"/>
        <v>30.846050000000002</v>
      </c>
      <c r="F1131" s="10">
        <f t="shared" ca="1" si="107"/>
        <v>30.663325000000004</v>
      </c>
      <c r="G1131" s="10">
        <f t="shared" ca="1" si="107"/>
        <v>30.680333333333333</v>
      </c>
      <c r="H1131" s="10">
        <f t="shared" ca="1" si="107"/>
        <v>30.835166666666669</v>
      </c>
      <c r="I1131" s="10">
        <f t="shared" ca="1" si="107"/>
        <v>30.681375000000003</v>
      </c>
      <c r="J1131" s="10">
        <f t="shared" ca="1" si="107"/>
        <v>30.656325000000006</v>
      </c>
      <c r="K1131" s="10">
        <f t="shared" ca="1" si="107"/>
        <v>29.950050000000001</v>
      </c>
      <c r="L1131" s="10">
        <f t="shared" ca="1" si="108"/>
        <v>31.422166666666669</v>
      </c>
      <c r="M1131" s="10">
        <f t="shared" ca="1" si="108"/>
        <v>30.360808333333338</v>
      </c>
      <c r="N1131" s="10">
        <f t="shared" ca="1" si="108"/>
        <v>30.377625000000005</v>
      </c>
      <c r="O1131" s="10">
        <f t="shared" ca="1" si="108"/>
        <v>30.537783333333337</v>
      </c>
      <c r="P1131" s="10">
        <f t="shared" ca="1" si="108"/>
        <v>30.385608333333334</v>
      </c>
      <c r="Q1131" s="10">
        <f t="shared" ca="1" si="108"/>
        <v>31.133083333333335</v>
      </c>
      <c r="R1131" s="10">
        <f t="shared" ca="1" si="108"/>
        <v>31.797933333333333</v>
      </c>
      <c r="S1131" s="10">
        <f t="shared" ca="1" si="108"/>
        <v>29.803516666666667</v>
      </c>
      <c r="T1131" s="32">
        <f t="shared" ca="1" si="109"/>
        <v>357.24568100000005</v>
      </c>
      <c r="U1131" s="32">
        <f t="shared" ca="1" si="109"/>
        <v>142.03263249999998</v>
      </c>
      <c r="V1131" s="32">
        <f t="shared" ca="1" si="109"/>
        <v>50.187500000000007</v>
      </c>
      <c r="W1131" s="32">
        <f t="shared" ca="1" si="109"/>
        <v>5.0822234999999996</v>
      </c>
      <c r="X1131" s="32">
        <f t="shared" ca="1" si="109"/>
        <v>20.758966663999999</v>
      </c>
      <c r="Y1131" s="32">
        <f t="shared" ca="1" si="109"/>
        <v>231.81149999999997</v>
      </c>
      <c r="Z1131" s="10"/>
      <c r="AA1131" s="10"/>
      <c r="AB1131" s="10"/>
      <c r="AC1131" s="10">
        <f t="shared" ca="1" si="110"/>
        <v>30.701296580501005</v>
      </c>
      <c r="AD1131" s="10">
        <f t="shared" ca="1" si="110"/>
        <v>30.445556235011988</v>
      </c>
    </row>
    <row r="1132" spans="1:30" ht="15" x14ac:dyDescent="0.2">
      <c r="A1132" s="11">
        <f t="shared" si="103"/>
        <v>2088</v>
      </c>
      <c r="B1132" s="10">
        <f t="shared" ca="1" si="107"/>
        <v>31.431083333333333</v>
      </c>
      <c r="C1132" s="10">
        <f t="shared" ca="1" si="107"/>
        <v>31.437225000000009</v>
      </c>
      <c r="D1132" s="10">
        <f t="shared" ca="1" si="107"/>
        <v>31.551358333333329</v>
      </c>
      <c r="E1132" s="10">
        <f t="shared" ca="1" si="107"/>
        <v>31.583433333333335</v>
      </c>
      <c r="F1132" s="10">
        <f t="shared" ca="1" si="107"/>
        <v>31.400725000000005</v>
      </c>
      <c r="G1132" s="10">
        <f t="shared" ca="1" si="107"/>
        <v>31.417716666666674</v>
      </c>
      <c r="H1132" s="10">
        <f t="shared" ca="1" si="107"/>
        <v>31.572541666666666</v>
      </c>
      <c r="I1132" s="10">
        <f t="shared" ca="1" si="107"/>
        <v>31.418758333333333</v>
      </c>
      <c r="J1132" s="10">
        <f t="shared" ca="1" si="107"/>
        <v>31.393725000000003</v>
      </c>
      <c r="K1132" s="10">
        <f t="shared" ca="1" si="107"/>
        <v>30.666483333333336</v>
      </c>
      <c r="L1132" s="10">
        <f t="shared" ca="1" si="108"/>
        <v>32.159541666666669</v>
      </c>
      <c r="M1132" s="10">
        <f t="shared" ca="1" si="108"/>
        <v>31.09074166666667</v>
      </c>
      <c r="N1132" s="10">
        <f t="shared" ca="1" si="108"/>
        <v>31.107566666666667</v>
      </c>
      <c r="O1132" s="10">
        <f t="shared" ca="1" si="108"/>
        <v>31.267758333333337</v>
      </c>
      <c r="P1132" s="10">
        <f t="shared" ca="1" si="108"/>
        <v>31.115549999999999</v>
      </c>
      <c r="Q1132" s="10">
        <f t="shared" ca="1" si="108"/>
        <v>31.863058333333331</v>
      </c>
      <c r="R1132" s="10">
        <f t="shared" ca="1" si="108"/>
        <v>32.529716666666666</v>
      </c>
      <c r="S1132" s="10">
        <f t="shared" ca="1" si="108"/>
        <v>30.519600000000001</v>
      </c>
      <c r="T1132" s="32">
        <f t="shared" ca="1" si="109"/>
        <v>358.17703550000004</v>
      </c>
      <c r="U1132" s="32">
        <f t="shared" ca="1" si="109"/>
        <v>142.42176299999997</v>
      </c>
      <c r="V1132" s="32">
        <f t="shared" ca="1" si="109"/>
        <v>50.325000000000003</v>
      </c>
      <c r="W1132" s="32">
        <f t="shared" ca="1" si="109"/>
        <v>5.0961473999999995</v>
      </c>
      <c r="X1132" s="32">
        <f t="shared" ca="1" si="109"/>
        <v>20.800615543999996</v>
      </c>
      <c r="Y1132" s="32">
        <f t="shared" ca="1" si="109"/>
        <v>232.44659999999996</v>
      </c>
      <c r="Z1132" s="10"/>
      <c r="AA1132" s="10"/>
      <c r="AB1132" s="10"/>
      <c r="AC1132" s="10">
        <f t="shared" ca="1" si="110"/>
        <v>31.438692639334416</v>
      </c>
      <c r="AD1132" s="10">
        <f t="shared" ca="1" si="110"/>
        <v>31.17551013189448</v>
      </c>
    </row>
    <row r="1133" spans="1:30" ht="15" x14ac:dyDescent="0.2">
      <c r="A1133" s="11">
        <f t="shared" si="103"/>
        <v>2089</v>
      </c>
      <c r="B1133" s="10">
        <f t="shared" ca="1" si="107"/>
        <v>32.186183333333325</v>
      </c>
      <c r="C1133" s="10">
        <f t="shared" ca="1" si="107"/>
        <v>32.19233333333333</v>
      </c>
      <c r="D1133" s="10">
        <f t="shared" ca="1" si="107"/>
        <v>32.306458333333332</v>
      </c>
      <c r="E1133" s="10">
        <f t="shared" ca="1" si="107"/>
        <v>32.338541666666664</v>
      </c>
      <c r="F1133" s="10">
        <f t="shared" ca="1" si="107"/>
        <v>32.155833333333341</v>
      </c>
      <c r="G1133" s="10">
        <f t="shared" ca="1" si="107"/>
        <v>32.172825000000003</v>
      </c>
      <c r="H1133" s="10">
        <f t="shared" ca="1" si="107"/>
        <v>32.327641666666665</v>
      </c>
      <c r="I1133" s="10">
        <f t="shared" ca="1" si="107"/>
        <v>32.173858333333328</v>
      </c>
      <c r="J1133" s="10">
        <f t="shared" ca="1" si="107"/>
        <v>32.148833333333336</v>
      </c>
      <c r="K1133" s="10">
        <f t="shared" ca="1" si="107"/>
        <v>31.400141666666666</v>
      </c>
      <c r="L1133" s="10">
        <f t="shared" ca="1" si="108"/>
        <v>32.914641666666668</v>
      </c>
      <c r="M1133" s="10">
        <f t="shared" ca="1" si="108"/>
        <v>31.838208333333331</v>
      </c>
      <c r="N1133" s="10">
        <f t="shared" ca="1" si="108"/>
        <v>31.855058333333329</v>
      </c>
      <c r="O1133" s="10">
        <f t="shared" ca="1" si="108"/>
        <v>32.015241666666661</v>
      </c>
      <c r="P1133" s="10">
        <f t="shared" ca="1" si="108"/>
        <v>31.863058333333342</v>
      </c>
      <c r="Q1133" s="10">
        <f t="shared" ca="1" si="108"/>
        <v>32.61054166666667</v>
      </c>
      <c r="R1133" s="10">
        <f t="shared" ca="1" si="108"/>
        <v>33.279066666666665</v>
      </c>
      <c r="S1133" s="10">
        <f t="shared" ca="1" si="108"/>
        <v>31.252875</v>
      </c>
      <c r="T1133" s="32">
        <f t="shared" ca="1" si="109"/>
        <v>357.24568100000005</v>
      </c>
      <c r="U1133" s="32">
        <f t="shared" ca="1" si="109"/>
        <v>142.03263249999998</v>
      </c>
      <c r="V1133" s="32">
        <f t="shared" ca="1" si="109"/>
        <v>50.187500000000007</v>
      </c>
      <c r="W1133" s="32">
        <f t="shared" ca="1" si="109"/>
        <v>5.0822234999999996</v>
      </c>
      <c r="X1133" s="32">
        <f t="shared" ca="1" si="109"/>
        <v>20.758966663999999</v>
      </c>
      <c r="Y1133" s="32">
        <f t="shared" ca="1" si="109"/>
        <v>231.81149999999997</v>
      </c>
      <c r="Z1133" s="10"/>
      <c r="AA1133" s="10"/>
      <c r="AB1133" s="10"/>
      <c r="AC1133" s="10">
        <f t="shared" ca="1" si="110"/>
        <v>32.193799471011467</v>
      </c>
      <c r="AD1133" s="10">
        <f t="shared" ca="1" si="110"/>
        <v>31.922991786570744</v>
      </c>
    </row>
    <row r="1134" spans="1:30" ht="15" x14ac:dyDescent="0.2">
      <c r="A1134" s="11">
        <f t="shared" si="103"/>
        <v>2090</v>
      </c>
      <c r="B1134" s="10">
        <f t="shared" ca="1" si="107"/>
        <v>32.95944166666667</v>
      </c>
      <c r="C1134" s="10">
        <f t="shared" ca="1" si="107"/>
        <v>32.965583333333335</v>
      </c>
      <c r="D1134" s="10">
        <f t="shared" ca="1" si="107"/>
        <v>33.079708333333336</v>
      </c>
      <c r="E1134" s="10">
        <f t="shared" ca="1" si="107"/>
        <v>33.111783333333328</v>
      </c>
      <c r="F1134" s="10">
        <f t="shared" ca="1" si="107"/>
        <v>32.929091666666665</v>
      </c>
      <c r="G1134" s="10">
        <f t="shared" ca="1" si="107"/>
        <v>32.946100000000008</v>
      </c>
      <c r="H1134" s="10">
        <f t="shared" ca="1" si="107"/>
        <v>33.100908333333329</v>
      </c>
      <c r="I1134" s="10">
        <f t="shared" ca="1" si="107"/>
        <v>32.947124999999993</v>
      </c>
      <c r="J1134" s="10">
        <f t="shared" ca="1" si="107"/>
        <v>32.922091666666667</v>
      </c>
      <c r="K1134" s="10">
        <f t="shared" ca="1" si="107"/>
        <v>32.151424999999996</v>
      </c>
      <c r="L1134" s="10">
        <f t="shared" ca="1" si="108"/>
        <v>33.687908333333333</v>
      </c>
      <c r="M1134" s="10">
        <f t="shared" ca="1" si="108"/>
        <v>32.603666666666669</v>
      </c>
      <c r="N1134" s="10">
        <f t="shared" ca="1" si="108"/>
        <v>32.6205</v>
      </c>
      <c r="O1134" s="10">
        <f t="shared" ca="1" si="108"/>
        <v>32.780691666666662</v>
      </c>
      <c r="P1134" s="10">
        <f t="shared" ca="1" si="108"/>
        <v>32.628491666666669</v>
      </c>
      <c r="Q1134" s="10">
        <f t="shared" ca="1" si="108"/>
        <v>33.375991666666671</v>
      </c>
      <c r="R1134" s="10">
        <f t="shared" ca="1" si="108"/>
        <v>34.046424999999999</v>
      </c>
      <c r="S1134" s="10">
        <f t="shared" ca="1" si="108"/>
        <v>32.003783333333331</v>
      </c>
      <c r="T1134" s="32">
        <f t="shared" ca="1" si="109"/>
        <v>357.24568100000005</v>
      </c>
      <c r="U1134" s="32">
        <f t="shared" ca="1" si="109"/>
        <v>142.03263249999998</v>
      </c>
      <c r="V1134" s="32">
        <f t="shared" ca="1" si="109"/>
        <v>50.187500000000007</v>
      </c>
      <c r="W1134" s="32">
        <f t="shared" ca="1" si="109"/>
        <v>5.0822234999999996</v>
      </c>
      <c r="X1134" s="32">
        <f t="shared" ca="1" si="109"/>
        <v>20.758966663999999</v>
      </c>
      <c r="Y1134" s="32">
        <f t="shared" ca="1" si="109"/>
        <v>231.81149999999997</v>
      </c>
      <c r="Z1134" s="10"/>
      <c r="AA1134" s="10"/>
      <c r="AB1134" s="10"/>
      <c r="AC1134" s="10">
        <f t="shared" ca="1" si="110"/>
        <v>32.96705653736629</v>
      </c>
      <c r="AD1134" s="10">
        <f t="shared" ca="1" si="110"/>
        <v>32.688441786570742</v>
      </c>
    </row>
    <row r="1135" spans="1:30" ht="15" x14ac:dyDescent="0.2">
      <c r="A1135" s="11">
        <f t="shared" si="103"/>
        <v>2091</v>
      </c>
      <c r="B1135" s="10">
        <f t="shared" ca="1" si="107"/>
        <v>33.751266666666673</v>
      </c>
      <c r="C1135" s="10">
        <f t="shared" ca="1" si="107"/>
        <v>33.757416666666664</v>
      </c>
      <c r="D1135" s="10">
        <f t="shared" ca="1" si="107"/>
        <v>33.871541666666666</v>
      </c>
      <c r="E1135" s="10">
        <f t="shared" ca="1" si="107"/>
        <v>33.903624999999998</v>
      </c>
      <c r="F1135" s="10">
        <f t="shared" ca="1" si="107"/>
        <v>33.720908333333334</v>
      </c>
      <c r="G1135" s="10">
        <f t="shared" ca="1" si="107"/>
        <v>33.737908333333337</v>
      </c>
      <c r="H1135" s="10">
        <f t="shared" ca="1" si="107"/>
        <v>33.892741666666666</v>
      </c>
      <c r="I1135" s="10">
        <f t="shared" ca="1" si="107"/>
        <v>33.738958333333336</v>
      </c>
      <c r="J1135" s="10">
        <f t="shared" ca="1" si="107"/>
        <v>33.713908333333329</v>
      </c>
      <c r="K1135" s="10">
        <f t="shared" ca="1" si="107"/>
        <v>32.920741666666665</v>
      </c>
      <c r="L1135" s="10">
        <f t="shared" ca="1" si="108"/>
        <v>34.479741666666662</v>
      </c>
      <c r="M1135" s="10">
        <f t="shared" ca="1" si="108"/>
        <v>33.38751666666667</v>
      </c>
      <c r="N1135" s="10">
        <f t="shared" ca="1" si="108"/>
        <v>33.404325</v>
      </c>
      <c r="O1135" s="10">
        <f t="shared" ca="1" si="108"/>
        <v>33.564533333333337</v>
      </c>
      <c r="P1135" s="10">
        <f t="shared" ca="1" si="108"/>
        <v>33.41234166666667</v>
      </c>
      <c r="Q1135" s="10">
        <f t="shared" ca="1" si="108"/>
        <v>34.159833333333331</v>
      </c>
      <c r="R1135" s="10">
        <f t="shared" ca="1" si="108"/>
        <v>34.832233333333335</v>
      </c>
      <c r="S1135" s="10">
        <f t="shared" ca="1" si="108"/>
        <v>32.772725000000001</v>
      </c>
      <c r="T1135" s="32">
        <f t="shared" ca="1" si="109"/>
        <v>357.24568100000005</v>
      </c>
      <c r="U1135" s="32">
        <f t="shared" ca="1" si="109"/>
        <v>142.03263249999998</v>
      </c>
      <c r="V1135" s="32">
        <f t="shared" ca="1" si="109"/>
        <v>50.187500000000007</v>
      </c>
      <c r="W1135" s="32">
        <f t="shared" ca="1" si="109"/>
        <v>5.0822234999999996</v>
      </c>
      <c r="X1135" s="32">
        <f t="shared" ca="1" si="109"/>
        <v>20.758966663999999</v>
      </c>
      <c r="Y1135" s="32">
        <f t="shared" ca="1" si="109"/>
        <v>231.81149999999997</v>
      </c>
      <c r="Z1135" s="10"/>
      <c r="AA1135" s="10"/>
      <c r="AB1135" s="10"/>
      <c r="AC1135" s="10">
        <f t="shared" ca="1" si="110"/>
        <v>33.758881355690846</v>
      </c>
      <c r="AD1135" s="10">
        <f t="shared" ca="1" si="110"/>
        <v>33.472286570743414</v>
      </c>
    </row>
    <row r="1136" spans="1:30" ht="15" x14ac:dyDescent="0.2">
      <c r="A1136" s="11">
        <f t="shared" si="103"/>
        <v>2092</v>
      </c>
      <c r="B1136" s="10">
        <f t="shared" ref="B1136:K1144" ca="1" si="111">AVERAGE(OFFSET(B$589,($A1136-$A$1106)*12,0,12,1))</f>
        <v>34.562116666666668</v>
      </c>
      <c r="C1136" s="10">
        <f t="shared" ca="1" si="111"/>
        <v>34.568275000000007</v>
      </c>
      <c r="D1136" s="10">
        <f t="shared" ca="1" si="111"/>
        <v>34.682383333333327</v>
      </c>
      <c r="E1136" s="10">
        <f t="shared" ca="1" si="111"/>
        <v>34.714483333333341</v>
      </c>
      <c r="F1136" s="10">
        <f t="shared" ca="1" si="111"/>
        <v>34.531775000000003</v>
      </c>
      <c r="G1136" s="10">
        <f t="shared" ca="1" si="111"/>
        <v>34.548766666666666</v>
      </c>
      <c r="H1136" s="10">
        <f t="shared" ca="1" si="111"/>
        <v>34.703600000000002</v>
      </c>
      <c r="I1136" s="10">
        <f t="shared" ca="1" si="111"/>
        <v>34.549800000000005</v>
      </c>
      <c r="J1136" s="10">
        <f t="shared" ca="1" si="111"/>
        <v>34.524774999999998</v>
      </c>
      <c r="K1136" s="10">
        <f t="shared" ca="1" si="111"/>
        <v>33.708575000000003</v>
      </c>
      <c r="L1136" s="10">
        <f t="shared" ref="L1136:S1144" ca="1" si="112">AVERAGE(OFFSET(L$589,($A1136-$A$1106)*12,0,12,1))</f>
        <v>35.290599999999991</v>
      </c>
      <c r="M1136" s="10">
        <f t="shared" ca="1" si="112"/>
        <v>34.190183333333337</v>
      </c>
      <c r="N1136" s="10">
        <f t="shared" ca="1" si="112"/>
        <v>34.207016666666668</v>
      </c>
      <c r="O1136" s="10">
        <f t="shared" ca="1" si="112"/>
        <v>34.367199999999997</v>
      </c>
      <c r="P1136" s="10">
        <f t="shared" ca="1" si="112"/>
        <v>34.215000000000003</v>
      </c>
      <c r="Q1136" s="10">
        <f t="shared" ca="1" si="112"/>
        <v>34.962499999999999</v>
      </c>
      <c r="R1136" s="10">
        <f t="shared" ca="1" si="112"/>
        <v>35.636916666666671</v>
      </c>
      <c r="S1136" s="10">
        <f t="shared" ca="1" si="112"/>
        <v>33.560158333333327</v>
      </c>
      <c r="T1136" s="32">
        <f t="shared" ref="T1136:Y1144" ca="1" si="113">SUM(OFFSET(T$589,($A1136-$A$1106)*12,0,12,1))</f>
        <v>358.17703550000004</v>
      </c>
      <c r="U1136" s="32">
        <f t="shared" ca="1" si="113"/>
        <v>142.42176299999997</v>
      </c>
      <c r="V1136" s="32">
        <f t="shared" ca="1" si="113"/>
        <v>50.325000000000003</v>
      </c>
      <c r="W1136" s="32">
        <f t="shared" ca="1" si="113"/>
        <v>5.0961473999999995</v>
      </c>
      <c r="X1136" s="32">
        <f t="shared" ca="1" si="113"/>
        <v>20.800615543999996</v>
      </c>
      <c r="Y1136" s="32">
        <f t="shared" ca="1" si="113"/>
        <v>232.44659999999996</v>
      </c>
      <c r="Z1136" s="10"/>
      <c r="AA1136" s="10"/>
      <c r="AB1136" s="10"/>
      <c r="AC1136" s="10">
        <f t="shared" ca="1" si="110"/>
        <v>34.56973631989019</v>
      </c>
      <c r="AD1136" s="10">
        <f t="shared" ca="1" si="110"/>
        <v>34.274953477218226</v>
      </c>
    </row>
    <row r="1137" spans="1:30" ht="15" x14ac:dyDescent="0.2">
      <c r="A1137" s="11">
        <f t="shared" si="103"/>
        <v>2093</v>
      </c>
      <c r="B1137" s="10">
        <f t="shared" ca="1" si="111"/>
        <v>35.39245833333333</v>
      </c>
      <c r="C1137" s="10">
        <f t="shared" ca="1" si="111"/>
        <v>35.398616666666669</v>
      </c>
      <c r="D1137" s="10">
        <f t="shared" ca="1" si="111"/>
        <v>35.51273333333333</v>
      </c>
      <c r="E1137" s="10">
        <f t="shared" ca="1" si="111"/>
        <v>35.544825000000003</v>
      </c>
      <c r="F1137" s="10">
        <f t="shared" ca="1" si="111"/>
        <v>35.362108333333339</v>
      </c>
      <c r="G1137" s="10">
        <f t="shared" ca="1" si="111"/>
        <v>35.379116666666668</v>
      </c>
      <c r="H1137" s="10">
        <f t="shared" ca="1" si="111"/>
        <v>35.533941666666664</v>
      </c>
      <c r="I1137" s="10">
        <f t="shared" ca="1" si="111"/>
        <v>35.38015</v>
      </c>
      <c r="J1137" s="10">
        <f t="shared" ca="1" si="111"/>
        <v>35.355108333333341</v>
      </c>
      <c r="K1137" s="10">
        <f t="shared" ca="1" si="111"/>
        <v>34.515324999999997</v>
      </c>
      <c r="L1137" s="10">
        <f t="shared" ca="1" si="112"/>
        <v>36.120941666666667</v>
      </c>
      <c r="M1137" s="10">
        <f t="shared" ca="1" si="112"/>
        <v>35.012133333333331</v>
      </c>
      <c r="N1137" s="10">
        <f t="shared" ca="1" si="112"/>
        <v>35.028974999999996</v>
      </c>
      <c r="O1137" s="10">
        <f t="shared" ca="1" si="112"/>
        <v>35.189174999999999</v>
      </c>
      <c r="P1137" s="10">
        <f t="shared" ca="1" si="112"/>
        <v>35.036966666666665</v>
      </c>
      <c r="Q1137" s="10">
        <f t="shared" ca="1" si="112"/>
        <v>35.784474999999993</v>
      </c>
      <c r="R1137" s="10">
        <f t="shared" ca="1" si="112"/>
        <v>36.460925000000003</v>
      </c>
      <c r="S1137" s="10">
        <f t="shared" ca="1" si="112"/>
        <v>34.366491666666668</v>
      </c>
      <c r="T1137" s="32">
        <f t="shared" ca="1" si="113"/>
        <v>357.24568100000005</v>
      </c>
      <c r="U1137" s="32">
        <f t="shared" ca="1" si="113"/>
        <v>142.03263249999998</v>
      </c>
      <c r="V1137" s="32">
        <f t="shared" ca="1" si="113"/>
        <v>50.187500000000007</v>
      </c>
      <c r="W1137" s="32">
        <f t="shared" ca="1" si="113"/>
        <v>5.0822234999999996</v>
      </c>
      <c r="X1137" s="32">
        <f t="shared" ca="1" si="113"/>
        <v>20.758966663999999</v>
      </c>
      <c r="Y1137" s="32">
        <f t="shared" ca="1" si="113"/>
        <v>231.81149999999997</v>
      </c>
      <c r="Z1137" s="10"/>
      <c r="AA1137" s="10"/>
      <c r="AB1137" s="10"/>
      <c r="AC1137" s="10">
        <f t="shared" ca="1" si="110"/>
        <v>35.40008014453025</v>
      </c>
      <c r="AD1137" s="10">
        <f t="shared" ca="1" si="110"/>
        <v>35.096917685851317</v>
      </c>
    </row>
    <row r="1138" spans="1:30" ht="15" x14ac:dyDescent="0.2">
      <c r="A1138" s="11">
        <f t="shared" si="103"/>
        <v>2094</v>
      </c>
      <c r="B1138" s="10">
        <f t="shared" ca="1" si="111"/>
        <v>36.242741666666667</v>
      </c>
      <c r="C1138" s="10">
        <f t="shared" ca="1" si="111"/>
        <v>36.248891666666665</v>
      </c>
      <c r="D1138" s="10">
        <f t="shared" ca="1" si="111"/>
        <v>36.363016666666667</v>
      </c>
      <c r="E1138" s="10">
        <f t="shared" ca="1" si="111"/>
        <v>36.395116666666674</v>
      </c>
      <c r="F1138" s="10">
        <f t="shared" ca="1" si="111"/>
        <v>36.212400000000002</v>
      </c>
      <c r="G1138" s="10">
        <f t="shared" ca="1" si="111"/>
        <v>36.229399999999998</v>
      </c>
      <c r="H1138" s="10">
        <f t="shared" ca="1" si="111"/>
        <v>36.384233333333334</v>
      </c>
      <c r="I1138" s="10">
        <f t="shared" ca="1" si="111"/>
        <v>36.230441666666664</v>
      </c>
      <c r="J1138" s="10">
        <f t="shared" ca="1" si="111"/>
        <v>36.20539999999999</v>
      </c>
      <c r="K1138" s="10">
        <f t="shared" ca="1" si="111"/>
        <v>35.341449999999995</v>
      </c>
      <c r="L1138" s="10">
        <f t="shared" ca="1" si="112"/>
        <v>36.971233333333331</v>
      </c>
      <c r="M1138" s="10">
        <f t="shared" ca="1" si="112"/>
        <v>35.853866666666669</v>
      </c>
      <c r="N1138" s="10">
        <f t="shared" ca="1" si="112"/>
        <v>35.870674999999999</v>
      </c>
      <c r="O1138" s="10">
        <f t="shared" ca="1" si="112"/>
        <v>36.030883333333328</v>
      </c>
      <c r="P1138" s="10">
        <f t="shared" ca="1" si="112"/>
        <v>35.878675000000008</v>
      </c>
      <c r="Q1138" s="10">
        <f t="shared" ca="1" si="112"/>
        <v>36.626183333333337</v>
      </c>
      <c r="R1138" s="10">
        <f t="shared" ca="1" si="112"/>
        <v>37.304733333333338</v>
      </c>
      <c r="S1138" s="10">
        <f t="shared" ca="1" si="112"/>
        <v>35.192208333333333</v>
      </c>
      <c r="T1138" s="32">
        <f t="shared" ca="1" si="113"/>
        <v>357.24568100000005</v>
      </c>
      <c r="U1138" s="32">
        <f t="shared" ca="1" si="113"/>
        <v>142.03263249999998</v>
      </c>
      <c r="V1138" s="32">
        <f t="shared" ca="1" si="113"/>
        <v>50.187500000000007</v>
      </c>
      <c r="W1138" s="32">
        <f t="shared" ca="1" si="113"/>
        <v>5.0822234999999996</v>
      </c>
      <c r="X1138" s="32">
        <f t="shared" ca="1" si="113"/>
        <v>20.758966663999999</v>
      </c>
      <c r="Y1138" s="32">
        <f t="shared" ca="1" si="113"/>
        <v>231.81149999999997</v>
      </c>
      <c r="Z1138" s="10"/>
      <c r="AA1138" s="10"/>
      <c r="AB1138" s="10"/>
      <c r="AC1138" s="10">
        <f t="shared" ca="1" si="110"/>
        <v>36.250364494126927</v>
      </c>
      <c r="AD1138" s="10">
        <f t="shared" ca="1" si="110"/>
        <v>35.938634172661871</v>
      </c>
    </row>
    <row r="1139" spans="1:30" ht="15" x14ac:dyDescent="0.2">
      <c r="A1139" s="11">
        <f t="shared" si="103"/>
        <v>2095</v>
      </c>
      <c r="B1139" s="10">
        <f t="shared" ca="1" si="111"/>
        <v>37.113441666666667</v>
      </c>
      <c r="C1139" s="10">
        <f t="shared" ca="1" si="111"/>
        <v>37.119641666666666</v>
      </c>
      <c r="D1139" s="10">
        <f t="shared" ca="1" si="111"/>
        <v>37.233716666666673</v>
      </c>
      <c r="E1139" s="10">
        <f t="shared" ca="1" si="111"/>
        <v>37.265825</v>
      </c>
      <c r="F1139" s="10">
        <f t="shared" ca="1" si="111"/>
        <v>37.083124999999995</v>
      </c>
      <c r="G1139" s="10">
        <f t="shared" ca="1" si="111"/>
        <v>37.100116666666665</v>
      </c>
      <c r="H1139" s="10">
        <f t="shared" ca="1" si="111"/>
        <v>37.254941666666674</v>
      </c>
      <c r="I1139" s="10">
        <f t="shared" ca="1" si="111"/>
        <v>37.10114166666667</v>
      </c>
      <c r="J1139" s="10">
        <f t="shared" ca="1" si="111"/>
        <v>37.076124999999998</v>
      </c>
      <c r="K1139" s="10">
        <f t="shared" ca="1" si="111"/>
        <v>36.187441666666665</v>
      </c>
      <c r="L1139" s="10">
        <f t="shared" ca="1" si="112"/>
        <v>37.841941666666663</v>
      </c>
      <c r="M1139" s="10">
        <f t="shared" ca="1" si="112"/>
        <v>36.715800000000009</v>
      </c>
      <c r="N1139" s="10">
        <f t="shared" ca="1" si="112"/>
        <v>36.732599999999998</v>
      </c>
      <c r="O1139" s="10">
        <f t="shared" ca="1" si="112"/>
        <v>36.89279166666666</v>
      </c>
      <c r="P1139" s="10">
        <f t="shared" ca="1" si="112"/>
        <v>36.740600000000008</v>
      </c>
      <c r="Q1139" s="10">
        <f t="shared" ca="1" si="112"/>
        <v>37.488091666666669</v>
      </c>
      <c r="R1139" s="10">
        <f t="shared" ca="1" si="112"/>
        <v>38.168825000000005</v>
      </c>
      <c r="S1139" s="10">
        <f t="shared" ca="1" si="112"/>
        <v>36.037775000000003</v>
      </c>
      <c r="T1139" s="32">
        <f t="shared" ca="1" si="113"/>
        <v>357.24568100000005</v>
      </c>
      <c r="U1139" s="32">
        <f t="shared" ca="1" si="113"/>
        <v>142.03263249999998</v>
      </c>
      <c r="V1139" s="32">
        <f t="shared" ca="1" si="113"/>
        <v>50.187500000000007</v>
      </c>
      <c r="W1139" s="32">
        <f t="shared" ca="1" si="113"/>
        <v>5.0822234999999996</v>
      </c>
      <c r="X1139" s="32">
        <f t="shared" ca="1" si="113"/>
        <v>20.758966663999999</v>
      </c>
      <c r="Y1139" s="32">
        <f t="shared" ca="1" si="113"/>
        <v>231.81149999999997</v>
      </c>
      <c r="Z1139" s="10"/>
      <c r="AA1139" s="10"/>
      <c r="AB1139" s="10"/>
      <c r="AC1139" s="10">
        <f t="shared" ca="1" si="110"/>
        <v>37.12108548198956</v>
      </c>
      <c r="AD1139" s="10">
        <f t="shared" ca="1" si="110"/>
        <v>36.800554496402881</v>
      </c>
    </row>
    <row r="1140" spans="1:30" ht="15" x14ac:dyDescent="0.2">
      <c r="A1140" s="11">
        <f t="shared" si="103"/>
        <v>2096</v>
      </c>
      <c r="B1140" s="10">
        <f t="shared" ca="1" si="111"/>
        <v>38.005108333333332</v>
      </c>
      <c r="C1140" s="10">
        <f t="shared" ca="1" si="111"/>
        <v>38.011266666666664</v>
      </c>
      <c r="D1140" s="10">
        <f t="shared" ca="1" si="111"/>
        <v>38.125374999999998</v>
      </c>
      <c r="E1140" s="10">
        <f t="shared" ca="1" si="111"/>
        <v>38.157458333333331</v>
      </c>
      <c r="F1140" s="10">
        <f t="shared" ca="1" si="111"/>
        <v>37.974766666666667</v>
      </c>
      <c r="G1140" s="10">
        <f t="shared" ca="1" si="111"/>
        <v>37.99176666666667</v>
      </c>
      <c r="H1140" s="10">
        <f t="shared" ca="1" si="111"/>
        <v>38.146575000000006</v>
      </c>
      <c r="I1140" s="10">
        <f t="shared" ca="1" si="111"/>
        <v>37.992783333333335</v>
      </c>
      <c r="J1140" s="10">
        <f t="shared" ca="1" si="111"/>
        <v>37.967766666666662</v>
      </c>
      <c r="K1140" s="10">
        <f t="shared" ca="1" si="111"/>
        <v>37.053724999999993</v>
      </c>
      <c r="L1140" s="10">
        <f t="shared" ca="1" si="112"/>
        <v>38.733575000000002</v>
      </c>
      <c r="M1140" s="10">
        <f t="shared" ca="1" si="112"/>
        <v>37.598424999999999</v>
      </c>
      <c r="N1140" s="10">
        <f t="shared" ca="1" si="112"/>
        <v>37.615274999999997</v>
      </c>
      <c r="O1140" s="10">
        <f t="shared" ca="1" si="112"/>
        <v>37.775449999999999</v>
      </c>
      <c r="P1140" s="10">
        <f t="shared" ca="1" si="112"/>
        <v>37.623250000000006</v>
      </c>
      <c r="Q1140" s="10">
        <f t="shared" ca="1" si="112"/>
        <v>38.370749999999994</v>
      </c>
      <c r="R1140" s="10">
        <f t="shared" ca="1" si="112"/>
        <v>39.053683333333332</v>
      </c>
      <c r="S1140" s="10">
        <f t="shared" ca="1" si="112"/>
        <v>36.903641666666665</v>
      </c>
      <c r="T1140" s="32">
        <f t="shared" ca="1" si="113"/>
        <v>358.17703550000004</v>
      </c>
      <c r="U1140" s="32">
        <f t="shared" ca="1" si="113"/>
        <v>142.42176299999997</v>
      </c>
      <c r="V1140" s="32">
        <f t="shared" ca="1" si="113"/>
        <v>50.325000000000003</v>
      </c>
      <c r="W1140" s="32">
        <f t="shared" ca="1" si="113"/>
        <v>5.0961473999999995</v>
      </c>
      <c r="X1140" s="32">
        <f t="shared" ca="1" si="113"/>
        <v>20.800615543999996</v>
      </c>
      <c r="Y1140" s="32">
        <f t="shared" ca="1" si="113"/>
        <v>232.44659999999996</v>
      </c>
      <c r="Z1140" s="10"/>
      <c r="AA1140" s="10"/>
      <c r="AB1140" s="10"/>
      <c r="AC1140" s="10">
        <f t="shared" ca="1" si="110"/>
        <v>38.012728856810419</v>
      </c>
      <c r="AD1140" s="10">
        <f t="shared" ca="1" si="110"/>
        <v>37.683201079136687</v>
      </c>
    </row>
    <row r="1141" spans="1:30" ht="15" x14ac:dyDescent="0.2">
      <c r="A1141" s="11">
        <f t="shared" si="103"/>
        <v>2097</v>
      </c>
      <c r="B1141" s="10">
        <f t="shared" ca="1" si="111"/>
        <v>38.918166666666671</v>
      </c>
      <c r="C1141" s="10">
        <f t="shared" ca="1" si="111"/>
        <v>38.92434166666667</v>
      </c>
      <c r="D1141" s="10">
        <f t="shared" ca="1" si="111"/>
        <v>39.03843333333333</v>
      </c>
      <c r="E1141" s="10">
        <f t="shared" ca="1" si="111"/>
        <v>39.070525000000004</v>
      </c>
      <c r="F1141" s="10">
        <f t="shared" ca="1" si="111"/>
        <v>38.887824999999999</v>
      </c>
      <c r="G1141" s="10">
        <f t="shared" ca="1" si="111"/>
        <v>38.904824999999995</v>
      </c>
      <c r="H1141" s="10">
        <f t="shared" ca="1" si="111"/>
        <v>39.059650000000005</v>
      </c>
      <c r="I1141" s="10">
        <f t="shared" ca="1" si="111"/>
        <v>38.905849999999994</v>
      </c>
      <c r="J1141" s="10">
        <f t="shared" ca="1" si="111"/>
        <v>38.880825000000002</v>
      </c>
      <c r="K1141" s="10">
        <f t="shared" ca="1" si="111"/>
        <v>37.940850000000005</v>
      </c>
      <c r="L1141" s="10">
        <f t="shared" ca="1" si="112"/>
        <v>39.646650000000008</v>
      </c>
      <c r="M1141" s="10">
        <f t="shared" ca="1" si="112"/>
        <v>38.502275000000004</v>
      </c>
      <c r="N1141" s="10">
        <f t="shared" ca="1" si="112"/>
        <v>38.519116666666662</v>
      </c>
      <c r="O1141" s="10">
        <f t="shared" ca="1" si="112"/>
        <v>38.679299999999998</v>
      </c>
      <c r="P1141" s="10">
        <f t="shared" ca="1" si="112"/>
        <v>38.527099999999997</v>
      </c>
      <c r="Q1141" s="10">
        <f t="shared" ca="1" si="112"/>
        <v>39.2746</v>
      </c>
      <c r="R1141" s="10">
        <f t="shared" ca="1" si="112"/>
        <v>39.959783333333334</v>
      </c>
      <c r="S1141" s="10">
        <f t="shared" ca="1" si="112"/>
        <v>37.790325000000003</v>
      </c>
      <c r="T1141" s="32">
        <f t="shared" ca="1" si="113"/>
        <v>357.24568100000005</v>
      </c>
      <c r="U1141" s="32">
        <f t="shared" ca="1" si="113"/>
        <v>142.03263249999998</v>
      </c>
      <c r="V1141" s="32">
        <f t="shared" ca="1" si="113"/>
        <v>50.187500000000007</v>
      </c>
      <c r="W1141" s="32">
        <f t="shared" ca="1" si="113"/>
        <v>5.0822234999999996</v>
      </c>
      <c r="X1141" s="32">
        <f t="shared" ca="1" si="113"/>
        <v>20.758966663999999</v>
      </c>
      <c r="Y1141" s="32">
        <f t="shared" ca="1" si="113"/>
        <v>231.81149999999997</v>
      </c>
      <c r="Z1141" s="10"/>
      <c r="AA1141" s="10"/>
      <c r="AB1141" s="10"/>
      <c r="AC1141" s="10">
        <f t="shared" ca="1" si="110"/>
        <v>38.92579294671409</v>
      </c>
      <c r="AD1141" s="10">
        <f t="shared" ca="1" si="110"/>
        <v>38.587050599520381</v>
      </c>
    </row>
    <row r="1142" spans="1:30" ht="15" x14ac:dyDescent="0.2">
      <c r="A1142" s="11">
        <f t="shared" si="103"/>
        <v>2098</v>
      </c>
      <c r="B1142" s="10">
        <f t="shared" ca="1" si="111"/>
        <v>39.853175</v>
      </c>
      <c r="C1142" s="10">
        <f t="shared" ca="1" si="111"/>
        <v>39.859349999999999</v>
      </c>
      <c r="D1142" s="10">
        <f t="shared" ca="1" si="111"/>
        <v>39.973433333333332</v>
      </c>
      <c r="E1142" s="10">
        <f t="shared" ca="1" si="111"/>
        <v>40.005541666666666</v>
      </c>
      <c r="F1142" s="10">
        <f t="shared" ca="1" si="111"/>
        <v>39.822825000000002</v>
      </c>
      <c r="G1142" s="10">
        <f t="shared" ca="1" si="111"/>
        <v>39.839841666666672</v>
      </c>
      <c r="H1142" s="10">
        <f t="shared" ca="1" si="111"/>
        <v>39.994666666666667</v>
      </c>
      <c r="I1142" s="10">
        <f t="shared" ca="1" si="111"/>
        <v>39.840858333333337</v>
      </c>
      <c r="J1142" s="10">
        <f t="shared" ca="1" si="111"/>
        <v>39.815824999999997</v>
      </c>
      <c r="K1142" s="10">
        <f t="shared" ca="1" si="111"/>
        <v>38.849291666666666</v>
      </c>
      <c r="L1142" s="10">
        <f t="shared" ca="1" si="112"/>
        <v>40.581666666666671</v>
      </c>
      <c r="M1142" s="10">
        <f t="shared" ca="1" si="112"/>
        <v>39.427841666666666</v>
      </c>
      <c r="N1142" s="10">
        <f t="shared" ca="1" si="112"/>
        <v>39.444674999999997</v>
      </c>
      <c r="O1142" s="10">
        <f t="shared" ca="1" si="112"/>
        <v>39.604875</v>
      </c>
      <c r="P1142" s="10">
        <f t="shared" ca="1" si="112"/>
        <v>39.452658333333332</v>
      </c>
      <c r="Q1142" s="10">
        <f t="shared" ca="1" si="112"/>
        <v>40.200175000000009</v>
      </c>
      <c r="R1142" s="10">
        <f t="shared" ca="1" si="112"/>
        <v>40.887658333333341</v>
      </c>
      <c r="S1142" s="10">
        <f t="shared" ca="1" si="112"/>
        <v>38.698299999999996</v>
      </c>
      <c r="T1142" s="32">
        <f t="shared" ca="1" si="113"/>
        <v>357.24568100000005</v>
      </c>
      <c r="U1142" s="32">
        <f t="shared" ca="1" si="113"/>
        <v>142.03263249999998</v>
      </c>
      <c r="V1142" s="32">
        <f t="shared" ca="1" si="113"/>
        <v>50.187500000000007</v>
      </c>
      <c r="W1142" s="32">
        <f t="shared" ca="1" si="113"/>
        <v>5.0822234999999996</v>
      </c>
      <c r="X1142" s="32">
        <f t="shared" ca="1" si="113"/>
        <v>20.758966663999999</v>
      </c>
      <c r="Y1142" s="32">
        <f t="shared" ca="1" si="113"/>
        <v>231.81149999999997</v>
      </c>
      <c r="Z1142" s="10"/>
      <c r="AA1142" s="10"/>
      <c r="AB1142" s="10"/>
      <c r="AC1142" s="10">
        <f t="shared" ca="1" si="110"/>
        <v>39.860798815653006</v>
      </c>
      <c r="AD1142" s="10">
        <f t="shared" ca="1" si="110"/>
        <v>39.512619364508396</v>
      </c>
    </row>
    <row r="1143" spans="1:30" ht="15" x14ac:dyDescent="0.2">
      <c r="A1143" s="11">
        <f t="shared" si="103"/>
        <v>2099</v>
      </c>
      <c r="B1143" s="10">
        <f t="shared" ca="1" si="111"/>
        <v>40.810650000000003</v>
      </c>
      <c r="C1143" s="10">
        <f t="shared" ca="1" si="111"/>
        <v>40.816808333333334</v>
      </c>
      <c r="D1143" s="10">
        <f t="shared" ca="1" si="111"/>
        <v>40.930924999999995</v>
      </c>
      <c r="E1143" s="10">
        <f t="shared" ca="1" si="111"/>
        <v>40.963016666666668</v>
      </c>
      <c r="F1143" s="10">
        <f t="shared" ca="1" si="111"/>
        <v>40.78029166666667</v>
      </c>
      <c r="G1143" s="10">
        <f t="shared" ca="1" si="111"/>
        <v>40.797291666666666</v>
      </c>
      <c r="H1143" s="10">
        <f t="shared" ca="1" si="111"/>
        <v>40.952125000000002</v>
      </c>
      <c r="I1143" s="10">
        <f t="shared" ca="1" si="111"/>
        <v>40.798333333333325</v>
      </c>
      <c r="J1143" s="10">
        <f t="shared" ca="1" si="111"/>
        <v>40.773291666666665</v>
      </c>
      <c r="K1143" s="10">
        <f t="shared" ca="1" si="111"/>
        <v>39.779558333333334</v>
      </c>
      <c r="L1143" s="10">
        <f t="shared" ca="1" si="112"/>
        <v>41.539125000000006</v>
      </c>
      <c r="M1143" s="10">
        <f t="shared" ca="1" si="112"/>
        <v>40.37565</v>
      </c>
      <c r="N1143" s="10">
        <f t="shared" ca="1" si="112"/>
        <v>40.392491666666665</v>
      </c>
      <c r="O1143" s="10">
        <f t="shared" ca="1" si="112"/>
        <v>40.552675000000001</v>
      </c>
      <c r="P1143" s="10">
        <f t="shared" ca="1" si="112"/>
        <v>40.400483333333334</v>
      </c>
      <c r="Q1143" s="10">
        <f t="shared" ca="1" si="112"/>
        <v>41.147975000000002</v>
      </c>
      <c r="R1143" s="10">
        <f t="shared" ca="1" si="112"/>
        <v>41.837849999999996</v>
      </c>
      <c r="S1143" s="10">
        <f t="shared" ca="1" si="112"/>
        <v>39.628100000000003</v>
      </c>
      <c r="T1143" s="32">
        <f t="shared" ca="1" si="113"/>
        <v>357.24568100000005</v>
      </c>
      <c r="U1143" s="32">
        <f t="shared" ca="1" si="113"/>
        <v>142.03263249999998</v>
      </c>
      <c r="V1143" s="32">
        <f t="shared" ca="1" si="113"/>
        <v>50.187500000000007</v>
      </c>
      <c r="W1143" s="32">
        <f t="shared" ca="1" si="113"/>
        <v>5.0822234999999996</v>
      </c>
      <c r="X1143" s="32">
        <f t="shared" ca="1" si="113"/>
        <v>20.758966663999999</v>
      </c>
      <c r="Y1143" s="32">
        <f t="shared" ca="1" si="113"/>
        <v>231.81149999999997</v>
      </c>
      <c r="Z1143" s="10"/>
      <c r="AA1143" s="10"/>
      <c r="AB1143" s="10"/>
      <c r="AC1143" s="10">
        <f t="shared" ca="1" si="110"/>
        <v>40.818266101464879</v>
      </c>
      <c r="AD1143" s="10">
        <f t="shared" ca="1" si="110"/>
        <v>40.460426798561151</v>
      </c>
    </row>
    <row r="1144" spans="1:30" ht="15" x14ac:dyDescent="0.2">
      <c r="A1144" s="11">
        <f t="shared" si="103"/>
        <v>2100</v>
      </c>
      <c r="B1144" s="10">
        <f t="shared" ca="1" si="111"/>
        <v>41.791133333333327</v>
      </c>
      <c r="C1144" s="10">
        <f t="shared" ca="1" si="111"/>
        <v>41.797266666666665</v>
      </c>
      <c r="D1144" s="10">
        <f t="shared" ca="1" si="111"/>
        <v>41.9114</v>
      </c>
      <c r="E1144" s="10">
        <f t="shared" ca="1" si="111"/>
        <v>41.943474999999999</v>
      </c>
      <c r="F1144" s="10">
        <f t="shared" ca="1" si="111"/>
        <v>41.760783333333329</v>
      </c>
      <c r="G1144" s="10">
        <f t="shared" ca="1" si="111"/>
        <v>41.777783333333339</v>
      </c>
      <c r="H1144" s="10">
        <f t="shared" ca="1" si="111"/>
        <v>41.932600000000001</v>
      </c>
      <c r="I1144" s="10">
        <f t="shared" ca="1" si="111"/>
        <v>41.778816666666664</v>
      </c>
      <c r="J1144" s="10">
        <f t="shared" ca="1" si="111"/>
        <v>41.753783333333331</v>
      </c>
      <c r="K1144" s="10">
        <f t="shared" ca="1" si="111"/>
        <v>40.732166666666664</v>
      </c>
      <c r="L1144" s="10">
        <f t="shared" ca="1" si="112"/>
        <v>42.519600000000004</v>
      </c>
      <c r="M1144" s="10">
        <f t="shared" ca="1" si="112"/>
        <v>41.346225000000004</v>
      </c>
      <c r="N1144" s="10">
        <f t="shared" ca="1" si="112"/>
        <v>41.363066666666661</v>
      </c>
      <c r="O1144" s="10">
        <f t="shared" ca="1" si="112"/>
        <v>41.52324999999999</v>
      </c>
      <c r="P1144" s="10">
        <f t="shared" ca="1" si="112"/>
        <v>41.37105833333333</v>
      </c>
      <c r="Q1144" s="10">
        <f t="shared" ca="1" si="112"/>
        <v>42.118549999999992</v>
      </c>
      <c r="R1144" s="10">
        <f t="shared" ca="1" si="112"/>
        <v>42.810858333333329</v>
      </c>
      <c r="S1144" s="10">
        <f t="shared" ca="1" si="112"/>
        <v>40.580233333333332</v>
      </c>
      <c r="T1144" s="32">
        <f t="shared" ca="1" si="113"/>
        <v>358.17703550000004</v>
      </c>
      <c r="U1144" s="32">
        <f t="shared" ca="1" si="113"/>
        <v>142.42176299999997</v>
      </c>
      <c r="V1144" s="32">
        <f t="shared" ca="1" si="113"/>
        <v>50.325000000000003</v>
      </c>
      <c r="W1144" s="32">
        <f t="shared" ca="1" si="113"/>
        <v>5.0961473999999995</v>
      </c>
      <c r="X1144" s="32">
        <f t="shared" ca="1" si="113"/>
        <v>20.758966663999999</v>
      </c>
      <c r="Y1144" s="32">
        <f t="shared" ca="1" si="113"/>
        <v>232.44659999999996</v>
      </c>
      <c r="Z1144" s="10"/>
      <c r="AA1144" s="10"/>
      <c r="AB1144" s="10"/>
      <c r="AC1144" s="10">
        <f t="shared" ca="1" si="110"/>
        <v>41.798744578863996</v>
      </c>
      <c r="AD1144" s="10">
        <f t="shared" ca="1" si="110"/>
        <v>41.431001798561148</v>
      </c>
    </row>
    <row r="1145" spans="1:30" ht="15" x14ac:dyDescent="0.2">
      <c r="A1145" s="11"/>
    </row>
    <row r="1146" spans="1:30" ht="15" x14ac:dyDescent="0.2">
      <c r="A1146" s="11"/>
    </row>
    <row r="1147" spans="1:30" ht="15" x14ac:dyDescent="0.2">
      <c r="A1147" s="11"/>
    </row>
    <row r="1148" spans="1:30" ht="15" x14ac:dyDescent="0.2">
      <c r="A1148" s="11"/>
    </row>
    <row r="1149" spans="1:30" ht="15" x14ac:dyDescent="0.2">
      <c r="A1149" s="11"/>
    </row>
    <row r="1150" spans="1:30" ht="15" x14ac:dyDescent="0.2">
      <c r="A1150" s="11"/>
    </row>
    <row r="1151" spans="1:30" ht="15" x14ac:dyDescent="0.2">
      <c r="A1151" s="11"/>
    </row>
    <row r="1152" spans="1:30" ht="15" x14ac:dyDescent="0.2">
      <c r="A1152" s="11"/>
    </row>
    <row r="1153" spans="1:1" ht="15" x14ac:dyDescent="0.2">
      <c r="A1153" s="11"/>
    </row>
    <row r="1154" spans="1:1" ht="15" x14ac:dyDescent="0.2">
      <c r="A1154" s="11"/>
    </row>
    <row r="1155" spans="1:1" ht="15" x14ac:dyDescent="0.2">
      <c r="A1155" s="11"/>
    </row>
    <row r="1156" spans="1:1" ht="15" x14ac:dyDescent="0.2">
      <c r="A1156" s="11"/>
    </row>
    <row r="1157" spans="1:1" ht="15" x14ac:dyDescent="0.2">
      <c r="A1157" s="11"/>
    </row>
    <row r="1158" spans="1:1" ht="15" x14ac:dyDescent="0.2">
      <c r="A1158" s="11"/>
    </row>
    <row r="1159" spans="1:1" ht="15" x14ac:dyDescent="0.2">
      <c r="A1159" s="11"/>
    </row>
  </sheetData>
  <mergeCells count="4">
    <mergeCell ref="AA9:AB9"/>
    <mergeCell ref="T9:Z9"/>
    <mergeCell ref="T10:Z10"/>
    <mergeCell ref="T8:Z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47625</xdr:rowOff>
                  </from>
                  <to>
                    <xdr:col>8</xdr:col>
                    <xdr:colOff>561975</xdr:colOff>
                    <xdr:row>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142875</xdr:rowOff>
                  </from>
                  <to>
                    <xdr:col>12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63"/>
  <sheetViews>
    <sheetView zoomScale="70" zoomScaleNormal="70" workbookViewId="0">
      <pane xSplit="1" ySplit="11" topLeftCell="B12" activePane="bottomRight" state="frozen"/>
      <selection activeCell="H10" sqref="H10"/>
      <selection pane="topRight" activeCell="H10" sqref="H10"/>
      <selection pane="bottomLeft" activeCell="H10" sqref="H10"/>
      <selection pane="bottomRight" activeCell="H10" sqref="H10"/>
    </sheetView>
  </sheetViews>
  <sheetFormatPr defaultColWidth="7.109375" defaultRowHeight="12.75" x14ac:dyDescent="0.2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98" t="s">
        <v>93</v>
      </c>
    </row>
    <row r="2" spans="1:30" ht="15.75" x14ac:dyDescent="0.25">
      <c r="A2" s="98" t="s">
        <v>94</v>
      </c>
    </row>
    <row r="3" spans="1:30" ht="15.75" x14ac:dyDescent="0.25">
      <c r="A3" s="98" t="s">
        <v>95</v>
      </c>
    </row>
    <row r="4" spans="1:30" ht="15.75" x14ac:dyDescent="0.25">
      <c r="A4" s="98" t="s">
        <v>96</v>
      </c>
    </row>
    <row r="5" spans="1:30" ht="15.75" x14ac:dyDescent="0.25">
      <c r="A5" s="98" t="s">
        <v>103</v>
      </c>
    </row>
    <row r="6" spans="1:30" ht="15.75" x14ac:dyDescent="0.25">
      <c r="A6" s="98" t="s">
        <v>101</v>
      </c>
    </row>
    <row r="8" spans="1:30" ht="15.75" x14ac:dyDescent="0.25">
      <c r="A8" s="25" t="s">
        <v>28</v>
      </c>
      <c r="B8" s="25"/>
      <c r="C8" s="79"/>
      <c r="O8" s="51"/>
      <c r="P8" s="51"/>
      <c r="Q8" s="51"/>
      <c r="R8" s="51"/>
      <c r="S8" s="51"/>
    </row>
    <row r="9" spans="1:30" ht="15.75" x14ac:dyDescent="0.25">
      <c r="A9" s="25"/>
      <c r="C9" s="103" t="s">
        <v>83</v>
      </c>
      <c r="D9" s="103"/>
      <c r="E9" s="103"/>
      <c r="F9" s="103"/>
      <c r="G9" s="78"/>
      <c r="H9" s="78"/>
      <c r="I9" s="108" t="s">
        <v>82</v>
      </c>
      <c r="J9" s="109"/>
      <c r="K9" s="109"/>
      <c r="L9" s="77"/>
      <c r="M9" s="53"/>
      <c r="N9" s="76"/>
      <c r="O9" s="107"/>
      <c r="P9" s="107"/>
      <c r="Q9" s="107"/>
      <c r="R9" s="75"/>
      <c r="S9" s="75"/>
    </row>
    <row r="10" spans="1:30" ht="97.9" customHeight="1" x14ac:dyDescent="0.25">
      <c r="A10" s="74"/>
      <c r="B10" s="74"/>
      <c r="C10" s="47" t="s">
        <v>68</v>
      </c>
      <c r="D10" s="50" t="s">
        <v>67</v>
      </c>
      <c r="E10" s="47" t="s">
        <v>66</v>
      </c>
      <c r="F10" s="47" t="s">
        <v>65</v>
      </c>
      <c r="G10" s="50" t="s">
        <v>64</v>
      </c>
      <c r="H10" s="50" t="s">
        <v>63</v>
      </c>
      <c r="I10" s="50" t="s">
        <v>62</v>
      </c>
      <c r="J10" s="50" t="s">
        <v>61</v>
      </c>
      <c r="K10" s="50" t="s">
        <v>60</v>
      </c>
      <c r="L10" s="47" t="s">
        <v>81</v>
      </c>
      <c r="M10" s="73" t="s">
        <v>80</v>
      </c>
      <c r="N10" s="19" t="s">
        <v>58</v>
      </c>
      <c r="O10" s="49" t="s">
        <v>79</v>
      </c>
      <c r="P10" s="49" t="s">
        <v>78</v>
      </c>
      <c r="Q10" s="49" t="s">
        <v>77</v>
      </c>
      <c r="R10" s="49" t="s">
        <v>76</v>
      </c>
      <c r="S10" s="72" t="s">
        <v>75</v>
      </c>
      <c r="T10" s="21" t="s">
        <v>74</v>
      </c>
    </row>
    <row r="11" spans="1:30" ht="15.75" x14ac:dyDescent="0.25">
      <c r="A11" s="20" t="s">
        <v>15</v>
      </c>
      <c r="B11" s="20" t="s">
        <v>73</v>
      </c>
      <c r="C11" s="20" t="s">
        <v>72</v>
      </c>
      <c r="D11" s="20" t="s">
        <v>72</v>
      </c>
      <c r="E11" s="20" t="s">
        <v>72</v>
      </c>
      <c r="F11" s="20" t="s">
        <v>72</v>
      </c>
      <c r="G11" s="20" t="s">
        <v>72</v>
      </c>
      <c r="H11" s="20" t="s">
        <v>72</v>
      </c>
      <c r="I11" s="20" t="s">
        <v>72</v>
      </c>
      <c r="J11" s="20" t="s">
        <v>72</v>
      </c>
      <c r="K11" s="20" t="s">
        <v>72</v>
      </c>
      <c r="L11" s="20" t="s">
        <v>72</v>
      </c>
      <c r="M11" s="71" t="s">
        <v>72</v>
      </c>
      <c r="N11" s="20" t="s">
        <v>72</v>
      </c>
      <c r="O11" s="20" t="s">
        <v>72</v>
      </c>
      <c r="P11" s="20" t="s">
        <v>72</v>
      </c>
      <c r="Q11" s="20" t="s">
        <v>72</v>
      </c>
      <c r="R11" s="20" t="s">
        <v>72</v>
      </c>
      <c r="S11" s="20" t="s">
        <v>72</v>
      </c>
      <c r="T11" s="20" t="s">
        <v>72</v>
      </c>
    </row>
    <row r="12" spans="1:30" ht="15.75" x14ac:dyDescent="0.25">
      <c r="A12" s="16">
        <v>41640</v>
      </c>
      <c r="B12" s="69">
        <v>31</v>
      </c>
      <c r="C12" s="56">
        <v>122.58</v>
      </c>
      <c r="D12" s="56">
        <v>297.94099999999997</v>
      </c>
      <c r="E12" s="64">
        <v>89.177000000000007</v>
      </c>
      <c r="F12" s="56">
        <v>200.30199999999999</v>
      </c>
      <c r="G12" s="59">
        <v>40</v>
      </c>
      <c r="H12" s="56">
        <v>0</v>
      </c>
      <c r="I12" s="56">
        <v>0</v>
      </c>
      <c r="J12" s="59">
        <v>100</v>
      </c>
      <c r="K12" s="59">
        <v>300</v>
      </c>
      <c r="L12" s="56">
        <v>1150</v>
      </c>
      <c r="M12" s="66"/>
      <c r="N12" s="56">
        <v>100</v>
      </c>
      <c r="O12" s="59">
        <v>240</v>
      </c>
      <c r="P12" s="59">
        <v>0</v>
      </c>
      <c r="Q12" s="59">
        <v>355</v>
      </c>
      <c r="R12" s="59">
        <v>100</v>
      </c>
      <c r="S12" s="56">
        <v>695</v>
      </c>
      <c r="T12" s="56">
        <v>50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.75" x14ac:dyDescent="0.25">
      <c r="A13" s="16">
        <v>41671</v>
      </c>
      <c r="B13" s="69">
        <v>30</v>
      </c>
      <c r="C13" s="56">
        <v>122.58</v>
      </c>
      <c r="D13" s="56">
        <v>297.94099999999997</v>
      </c>
      <c r="E13" s="64">
        <v>89.177000000000007</v>
      </c>
      <c r="F13" s="56">
        <v>200.30199999999999</v>
      </c>
      <c r="G13" s="59">
        <v>40</v>
      </c>
      <c r="H13" s="56">
        <v>0</v>
      </c>
      <c r="I13" s="56">
        <v>0</v>
      </c>
      <c r="J13" s="59">
        <v>100</v>
      </c>
      <c r="K13" s="59">
        <v>300</v>
      </c>
      <c r="L13" s="56">
        <v>1150</v>
      </c>
      <c r="M13" s="66"/>
      <c r="N13" s="56">
        <v>100</v>
      </c>
      <c r="O13" s="59">
        <v>240</v>
      </c>
      <c r="P13" s="59">
        <v>0</v>
      </c>
      <c r="Q13" s="59">
        <v>355</v>
      </c>
      <c r="R13" s="59">
        <v>100</v>
      </c>
      <c r="S13" s="56">
        <v>695</v>
      </c>
      <c r="T13" s="56">
        <v>50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.75" x14ac:dyDescent="0.25">
      <c r="A14" s="16">
        <v>41699</v>
      </c>
      <c r="B14" s="69">
        <v>31</v>
      </c>
      <c r="C14" s="56">
        <v>122.58</v>
      </c>
      <c r="D14" s="56">
        <v>297.94099999999997</v>
      </c>
      <c r="E14" s="64">
        <v>89.177000000000007</v>
      </c>
      <c r="F14" s="56">
        <v>200.30199999999999</v>
      </c>
      <c r="G14" s="59">
        <v>40</v>
      </c>
      <c r="H14" s="56">
        <v>0</v>
      </c>
      <c r="I14" s="56">
        <v>0</v>
      </c>
      <c r="J14" s="59">
        <v>100</v>
      </c>
      <c r="K14" s="59">
        <v>300</v>
      </c>
      <c r="L14" s="56">
        <v>1150</v>
      </c>
      <c r="M14" s="66"/>
      <c r="N14" s="56">
        <v>100</v>
      </c>
      <c r="O14" s="59">
        <v>240</v>
      </c>
      <c r="P14" s="59">
        <v>0</v>
      </c>
      <c r="Q14" s="59">
        <v>355</v>
      </c>
      <c r="R14" s="59">
        <v>100</v>
      </c>
      <c r="S14" s="56">
        <v>695</v>
      </c>
      <c r="T14" s="56">
        <v>50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.75" x14ac:dyDescent="0.25">
      <c r="A15" s="16">
        <v>41730</v>
      </c>
      <c r="B15" s="69">
        <v>30</v>
      </c>
      <c r="C15" s="56">
        <f>141.293</f>
        <v>141.29300000000001</v>
      </c>
      <c r="D15" s="56">
        <f>267.993</f>
        <v>267.99299999999999</v>
      </c>
      <c r="E15" s="64">
        <f>115.016</f>
        <v>115.01600000000001</v>
      </c>
      <c r="F15" s="56">
        <f>314.698-40-25</f>
        <v>249.69799999999998</v>
      </c>
      <c r="G15" s="59">
        <v>40</v>
      </c>
      <c r="H15" s="56">
        <v>25</v>
      </c>
      <c r="I15" s="56">
        <v>0</v>
      </c>
      <c r="J15" s="59">
        <v>100</v>
      </c>
      <c r="K15" s="59">
        <v>300</v>
      </c>
      <c r="L15" s="56">
        <f t="shared" ref="L15:L78" si="0">SUM(C15:K15)</f>
        <v>1239</v>
      </c>
      <c r="M15" s="66"/>
      <c r="N15" s="56">
        <f>100</f>
        <v>100</v>
      </c>
      <c r="O15" s="59">
        <v>240</v>
      </c>
      <c r="P15" s="59">
        <f t="shared" ref="P15:P21" si="1">145-H15</f>
        <v>120</v>
      </c>
      <c r="Q15" s="59">
        <f t="shared" ref="Q15:Q78" si="2">695-R15-O15-P15</f>
        <v>235</v>
      </c>
      <c r="R15" s="59">
        <f t="shared" ref="R15:R78" si="3">200-J15</f>
        <v>100</v>
      </c>
      <c r="S15" s="56">
        <f t="shared" ref="S15:S78" si="4">SUM(O15:R15)</f>
        <v>695</v>
      </c>
      <c r="T15" s="56">
        <f>50</f>
        <v>50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.75" x14ac:dyDescent="0.25">
      <c r="A16" s="16">
        <v>41760</v>
      </c>
      <c r="B16" s="69">
        <v>31</v>
      </c>
      <c r="C16" s="56">
        <f>194.205</f>
        <v>194.20500000000001</v>
      </c>
      <c r="D16" s="56">
        <f>267.466</f>
        <v>267.46600000000001</v>
      </c>
      <c r="E16" s="64">
        <f>133.845</f>
        <v>133.845</v>
      </c>
      <c r="F16" s="56">
        <f>278.484-40-25</f>
        <v>213.48399999999998</v>
      </c>
      <c r="G16" s="59">
        <v>40</v>
      </c>
      <c r="H16" s="56">
        <v>25</v>
      </c>
      <c r="I16" s="70">
        <v>50</v>
      </c>
      <c r="J16" s="59">
        <v>100</v>
      </c>
      <c r="K16" s="59">
        <v>300</v>
      </c>
      <c r="L16" s="56">
        <f t="shared" si="0"/>
        <v>1324</v>
      </c>
      <c r="M16" s="66"/>
      <c r="N16" s="56">
        <f>75</f>
        <v>75</v>
      </c>
      <c r="O16" s="59">
        <v>240</v>
      </c>
      <c r="P16" s="59">
        <f t="shared" si="1"/>
        <v>120</v>
      </c>
      <c r="Q16" s="59">
        <f t="shared" si="2"/>
        <v>235</v>
      </c>
      <c r="R16" s="59">
        <f t="shared" si="3"/>
        <v>100</v>
      </c>
      <c r="S16" s="56">
        <f t="shared" si="4"/>
        <v>695</v>
      </c>
      <c r="T16" s="56">
        <f>50</f>
        <v>50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.75" x14ac:dyDescent="0.25">
      <c r="A17" s="16">
        <v>41791</v>
      </c>
      <c r="B17" s="69">
        <v>30</v>
      </c>
      <c r="C17" s="56">
        <f>194.205</f>
        <v>194.20500000000001</v>
      </c>
      <c r="D17" s="56">
        <f>267.466</f>
        <v>267.46600000000001</v>
      </c>
      <c r="E17" s="64">
        <f>133.845</f>
        <v>133.845</v>
      </c>
      <c r="F17" s="56">
        <f>278.484-40-25</f>
        <v>213.48399999999998</v>
      </c>
      <c r="G17" s="59">
        <v>40</v>
      </c>
      <c r="H17" s="56">
        <v>25</v>
      </c>
      <c r="I17" s="70">
        <v>50</v>
      </c>
      <c r="J17" s="59">
        <v>100</v>
      </c>
      <c r="K17" s="59">
        <v>300</v>
      </c>
      <c r="L17" s="56">
        <f t="shared" si="0"/>
        <v>1324</v>
      </c>
      <c r="M17" s="66"/>
      <c r="N17" s="56">
        <f>30</f>
        <v>30</v>
      </c>
      <c r="O17" s="59">
        <v>240</v>
      </c>
      <c r="P17" s="59">
        <f t="shared" si="1"/>
        <v>120</v>
      </c>
      <c r="Q17" s="59">
        <f t="shared" si="2"/>
        <v>235</v>
      </c>
      <c r="R17" s="59">
        <f t="shared" si="3"/>
        <v>100</v>
      </c>
      <c r="S17" s="56">
        <f t="shared" si="4"/>
        <v>695</v>
      </c>
      <c r="T17" s="56">
        <f>50</f>
        <v>50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.75" x14ac:dyDescent="0.25">
      <c r="A18" s="16">
        <v>41821</v>
      </c>
      <c r="B18" s="69">
        <v>31</v>
      </c>
      <c r="C18" s="56">
        <f>194.205</f>
        <v>194.20500000000001</v>
      </c>
      <c r="D18" s="56">
        <f>267.466</f>
        <v>267.46600000000001</v>
      </c>
      <c r="E18" s="64">
        <f>133.845</f>
        <v>133.845</v>
      </c>
      <c r="F18" s="56">
        <f>278.484-40-25</f>
        <v>213.48399999999998</v>
      </c>
      <c r="G18" s="59">
        <v>40</v>
      </c>
      <c r="H18" s="56">
        <v>25</v>
      </c>
      <c r="I18" s="70">
        <v>50</v>
      </c>
      <c r="J18" s="59">
        <v>100</v>
      </c>
      <c r="K18" s="59">
        <v>300</v>
      </c>
      <c r="L18" s="56">
        <f t="shared" si="0"/>
        <v>1324</v>
      </c>
      <c r="M18" s="66"/>
      <c r="N18" s="56">
        <f>30</f>
        <v>30</v>
      </c>
      <c r="O18" s="59">
        <v>240</v>
      </c>
      <c r="P18" s="59">
        <f t="shared" si="1"/>
        <v>120</v>
      </c>
      <c r="Q18" s="59">
        <f t="shared" si="2"/>
        <v>235</v>
      </c>
      <c r="R18" s="59">
        <f t="shared" si="3"/>
        <v>100</v>
      </c>
      <c r="S18" s="56">
        <f t="shared" si="4"/>
        <v>695</v>
      </c>
      <c r="T18" s="56">
        <f>0</f>
        <v>0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.75" x14ac:dyDescent="0.25">
      <c r="A19" s="16">
        <v>41852</v>
      </c>
      <c r="B19" s="69">
        <v>31</v>
      </c>
      <c r="C19" s="56">
        <f>194.205</f>
        <v>194.20500000000001</v>
      </c>
      <c r="D19" s="56">
        <f>267.466</f>
        <v>267.46600000000001</v>
      </c>
      <c r="E19" s="64">
        <f>133.845</f>
        <v>133.845</v>
      </c>
      <c r="F19" s="56">
        <f>278.484-40-25</f>
        <v>213.48399999999998</v>
      </c>
      <c r="G19" s="59">
        <v>40</v>
      </c>
      <c r="H19" s="56">
        <v>25</v>
      </c>
      <c r="I19" s="70">
        <v>50</v>
      </c>
      <c r="J19" s="59">
        <v>100</v>
      </c>
      <c r="K19" s="59">
        <v>300</v>
      </c>
      <c r="L19" s="56">
        <f t="shared" si="0"/>
        <v>1324</v>
      </c>
      <c r="M19" s="66"/>
      <c r="N19" s="56">
        <f>30</f>
        <v>30</v>
      </c>
      <c r="O19" s="59">
        <v>240</v>
      </c>
      <c r="P19" s="59">
        <f t="shared" si="1"/>
        <v>120</v>
      </c>
      <c r="Q19" s="59">
        <f t="shared" si="2"/>
        <v>235</v>
      </c>
      <c r="R19" s="59">
        <f t="shared" si="3"/>
        <v>100</v>
      </c>
      <c r="S19" s="56">
        <f t="shared" si="4"/>
        <v>695</v>
      </c>
      <c r="T19" s="56">
        <f>0</f>
        <v>0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.75" x14ac:dyDescent="0.25">
      <c r="A20" s="16">
        <v>41883</v>
      </c>
      <c r="B20" s="69">
        <v>30</v>
      </c>
      <c r="C20" s="56">
        <f>194.205</f>
        <v>194.20500000000001</v>
      </c>
      <c r="D20" s="56">
        <f>267.466</f>
        <v>267.46600000000001</v>
      </c>
      <c r="E20" s="64">
        <f>133.845</f>
        <v>133.845</v>
      </c>
      <c r="F20" s="56">
        <f>278.484-40-25</f>
        <v>213.48399999999998</v>
      </c>
      <c r="G20" s="59">
        <v>40</v>
      </c>
      <c r="H20" s="56">
        <v>25</v>
      </c>
      <c r="I20" s="70">
        <v>50</v>
      </c>
      <c r="J20" s="59">
        <v>100</v>
      </c>
      <c r="K20" s="59">
        <v>300</v>
      </c>
      <c r="L20" s="56">
        <f t="shared" si="0"/>
        <v>1324</v>
      </c>
      <c r="M20" s="66"/>
      <c r="N20" s="56">
        <f>30</f>
        <v>30</v>
      </c>
      <c r="O20" s="59">
        <v>240</v>
      </c>
      <c r="P20" s="59">
        <f t="shared" si="1"/>
        <v>120</v>
      </c>
      <c r="Q20" s="59">
        <f t="shared" si="2"/>
        <v>235</v>
      </c>
      <c r="R20" s="59">
        <f t="shared" si="3"/>
        <v>100</v>
      </c>
      <c r="S20" s="56">
        <f t="shared" si="4"/>
        <v>695</v>
      </c>
      <c r="T20" s="56">
        <f>0</f>
        <v>0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.75" x14ac:dyDescent="0.25">
      <c r="A21" s="16">
        <v>41913</v>
      </c>
      <c r="B21" s="69">
        <v>31</v>
      </c>
      <c r="C21" s="56">
        <f>131.881</f>
        <v>131.881</v>
      </c>
      <c r="D21" s="56">
        <f>277.167</f>
        <v>277.16699999999997</v>
      </c>
      <c r="E21" s="64">
        <f>79.08</f>
        <v>79.08</v>
      </c>
      <c r="F21" s="56">
        <f>350.872-40-25</f>
        <v>285.87200000000001</v>
      </c>
      <c r="G21" s="59">
        <v>40</v>
      </c>
      <c r="H21" s="56">
        <v>25</v>
      </c>
      <c r="I21" s="56">
        <v>0</v>
      </c>
      <c r="J21" s="59">
        <v>100</v>
      </c>
      <c r="K21" s="59">
        <v>300</v>
      </c>
      <c r="L21" s="56">
        <f t="shared" si="0"/>
        <v>1239</v>
      </c>
      <c r="M21" s="66"/>
      <c r="N21" s="56">
        <f>75</f>
        <v>75</v>
      </c>
      <c r="O21" s="59">
        <v>240</v>
      </c>
      <c r="P21" s="59">
        <f t="shared" si="1"/>
        <v>120</v>
      </c>
      <c r="Q21" s="59">
        <f t="shared" si="2"/>
        <v>235</v>
      </c>
      <c r="R21" s="59">
        <f t="shared" si="3"/>
        <v>100</v>
      </c>
      <c r="S21" s="56">
        <f t="shared" si="4"/>
        <v>695</v>
      </c>
      <c r="T21" s="56">
        <f>0</f>
        <v>0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.75" x14ac:dyDescent="0.25">
      <c r="A22" s="16">
        <v>41944</v>
      </c>
      <c r="B22" s="69">
        <v>30</v>
      </c>
      <c r="C22" s="56">
        <f>122.58</f>
        <v>122.58</v>
      </c>
      <c r="D22" s="56">
        <f>297.941</f>
        <v>297.94099999999997</v>
      </c>
      <c r="E22" s="64">
        <f>89.177</f>
        <v>89.177000000000007</v>
      </c>
      <c r="F22" s="56">
        <f>240.302-40</f>
        <v>200.30199999999999</v>
      </c>
      <c r="G22" s="59">
        <v>40</v>
      </c>
      <c r="H22" s="56">
        <v>0</v>
      </c>
      <c r="I22" s="56">
        <v>0</v>
      </c>
      <c r="J22" s="59">
        <v>100</v>
      </c>
      <c r="K22" s="59">
        <v>300</v>
      </c>
      <c r="L22" s="56">
        <f t="shared" si="0"/>
        <v>1150</v>
      </c>
      <c r="M22" s="66"/>
      <c r="N22" s="56">
        <f>100</f>
        <v>100</v>
      </c>
      <c r="O22" s="59">
        <v>240</v>
      </c>
      <c r="P22" s="59">
        <v>0</v>
      </c>
      <c r="Q22" s="59">
        <f t="shared" si="2"/>
        <v>355</v>
      </c>
      <c r="R22" s="59">
        <f t="shared" si="3"/>
        <v>100</v>
      </c>
      <c r="S22" s="56">
        <f t="shared" si="4"/>
        <v>695</v>
      </c>
      <c r="T22" s="56">
        <f>50</f>
        <v>50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.75" x14ac:dyDescent="0.25">
      <c r="A23" s="16">
        <v>41974</v>
      </c>
      <c r="B23" s="69">
        <v>31</v>
      </c>
      <c r="C23" s="56">
        <f>122.58</f>
        <v>122.58</v>
      </c>
      <c r="D23" s="56">
        <f>297.941</f>
        <v>297.94099999999997</v>
      </c>
      <c r="E23" s="64">
        <f>89.177</f>
        <v>89.177000000000007</v>
      </c>
      <c r="F23" s="56">
        <f>240.302-40</f>
        <v>200.30199999999999</v>
      </c>
      <c r="G23" s="59">
        <v>40</v>
      </c>
      <c r="H23" s="56">
        <v>0</v>
      </c>
      <c r="I23" s="56">
        <v>0</v>
      </c>
      <c r="J23" s="59">
        <v>100</v>
      </c>
      <c r="K23" s="59">
        <v>300</v>
      </c>
      <c r="L23" s="56">
        <f t="shared" si="0"/>
        <v>1150</v>
      </c>
      <c r="M23" s="66"/>
      <c r="N23" s="56">
        <f>100</f>
        <v>100</v>
      </c>
      <c r="O23" s="59">
        <v>240</v>
      </c>
      <c r="P23" s="59">
        <v>0</v>
      </c>
      <c r="Q23" s="59">
        <f t="shared" si="2"/>
        <v>355</v>
      </c>
      <c r="R23" s="59">
        <f t="shared" si="3"/>
        <v>100</v>
      </c>
      <c r="S23" s="56">
        <f t="shared" si="4"/>
        <v>695</v>
      </c>
      <c r="T23" s="56">
        <f>50</f>
        <v>50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.75" x14ac:dyDescent="0.25">
      <c r="A24" s="16">
        <v>42005</v>
      </c>
      <c r="B24" s="69">
        <v>31</v>
      </c>
      <c r="C24" s="56">
        <f>122.58</f>
        <v>122.58</v>
      </c>
      <c r="D24" s="56">
        <f>297.941</f>
        <v>297.94099999999997</v>
      </c>
      <c r="E24" s="64">
        <f>89.177</f>
        <v>89.177000000000007</v>
      </c>
      <c r="F24" s="56">
        <f>240.302-40</f>
        <v>200.30199999999999</v>
      </c>
      <c r="G24" s="59">
        <v>40</v>
      </c>
      <c r="H24" s="56">
        <v>0</v>
      </c>
      <c r="I24" s="56">
        <v>0</v>
      </c>
      <c r="J24" s="59">
        <v>100</v>
      </c>
      <c r="K24" s="59">
        <v>300</v>
      </c>
      <c r="L24" s="56">
        <f t="shared" si="0"/>
        <v>1150</v>
      </c>
      <c r="M24" s="66"/>
      <c r="N24" s="56">
        <f>100</f>
        <v>100</v>
      </c>
      <c r="O24" s="59">
        <v>240</v>
      </c>
      <c r="P24" s="59">
        <v>0</v>
      </c>
      <c r="Q24" s="59">
        <f t="shared" si="2"/>
        <v>355</v>
      </c>
      <c r="R24" s="59">
        <f t="shared" si="3"/>
        <v>100</v>
      </c>
      <c r="S24" s="56">
        <f t="shared" si="4"/>
        <v>695</v>
      </c>
      <c r="T24" s="56">
        <f>50</f>
        <v>50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.75" x14ac:dyDescent="0.25">
      <c r="A25" s="16">
        <v>42036</v>
      </c>
      <c r="B25" s="69">
        <v>28</v>
      </c>
      <c r="C25" s="56">
        <f>122.58</f>
        <v>122.58</v>
      </c>
      <c r="D25" s="56">
        <f>297.941</f>
        <v>297.94099999999997</v>
      </c>
      <c r="E25" s="64">
        <f>89.177</f>
        <v>89.177000000000007</v>
      </c>
      <c r="F25" s="56">
        <f>240.302-40</f>
        <v>200.30199999999999</v>
      </c>
      <c r="G25" s="59">
        <v>40</v>
      </c>
      <c r="H25" s="56">
        <v>0</v>
      </c>
      <c r="I25" s="56">
        <v>0</v>
      </c>
      <c r="J25" s="59">
        <v>100</v>
      </c>
      <c r="K25" s="59">
        <v>300</v>
      </c>
      <c r="L25" s="56">
        <f t="shared" si="0"/>
        <v>1150</v>
      </c>
      <c r="M25" s="66"/>
      <c r="N25" s="56">
        <f>100</f>
        <v>100</v>
      </c>
      <c r="O25" s="59">
        <v>240</v>
      </c>
      <c r="P25" s="59">
        <v>0</v>
      </c>
      <c r="Q25" s="59">
        <f t="shared" si="2"/>
        <v>355</v>
      </c>
      <c r="R25" s="59">
        <f t="shared" si="3"/>
        <v>100</v>
      </c>
      <c r="S25" s="56">
        <f t="shared" si="4"/>
        <v>695</v>
      </c>
      <c r="T25" s="56">
        <f>50</f>
        <v>50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.75" x14ac:dyDescent="0.25">
      <c r="A26" s="16">
        <v>42064</v>
      </c>
      <c r="B26" s="69">
        <v>31</v>
      </c>
      <c r="C26" s="56">
        <f>122.58</f>
        <v>122.58</v>
      </c>
      <c r="D26" s="56">
        <f>297.941</f>
        <v>297.94099999999997</v>
      </c>
      <c r="E26" s="64">
        <f>89.177</f>
        <v>89.177000000000007</v>
      </c>
      <c r="F26" s="56">
        <f>240.302-40</f>
        <v>200.30199999999999</v>
      </c>
      <c r="G26" s="59">
        <v>40</v>
      </c>
      <c r="H26" s="56">
        <v>0</v>
      </c>
      <c r="I26" s="56">
        <v>0</v>
      </c>
      <c r="J26" s="59">
        <v>100</v>
      </c>
      <c r="K26" s="59">
        <v>300</v>
      </c>
      <c r="L26" s="56">
        <f t="shared" si="0"/>
        <v>1150</v>
      </c>
      <c r="M26" s="66"/>
      <c r="N26" s="56">
        <f>100</f>
        <v>100</v>
      </c>
      <c r="O26" s="59">
        <v>240</v>
      </c>
      <c r="P26" s="59">
        <v>0</v>
      </c>
      <c r="Q26" s="59">
        <f t="shared" si="2"/>
        <v>355</v>
      </c>
      <c r="R26" s="59">
        <f t="shared" si="3"/>
        <v>100</v>
      </c>
      <c r="S26" s="56">
        <f t="shared" si="4"/>
        <v>695</v>
      </c>
      <c r="T26" s="56">
        <f>50</f>
        <v>50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.75" x14ac:dyDescent="0.25">
      <c r="A27" s="16">
        <v>42095</v>
      </c>
      <c r="B27" s="69">
        <v>30</v>
      </c>
      <c r="C27" s="56">
        <f>141.293</f>
        <v>141.29300000000001</v>
      </c>
      <c r="D27" s="56">
        <f>267.993</f>
        <v>267.99299999999999</v>
      </c>
      <c r="E27" s="64">
        <f>115.016</f>
        <v>115.01600000000001</v>
      </c>
      <c r="F27" s="56">
        <f>314.698-40-25-60-100</f>
        <v>89.697999999999979</v>
      </c>
      <c r="G27" s="59">
        <v>40</v>
      </c>
      <c r="H27" s="56">
        <f t="shared" ref="H27:H33" si="5">25+60+100</f>
        <v>185</v>
      </c>
      <c r="I27" s="56">
        <v>0</v>
      </c>
      <c r="J27" s="59">
        <v>100</v>
      </c>
      <c r="K27" s="59">
        <v>300</v>
      </c>
      <c r="L27" s="56">
        <f t="shared" si="0"/>
        <v>1239</v>
      </c>
      <c r="M27" s="66"/>
      <c r="N27" s="56">
        <f>100</f>
        <v>100</v>
      </c>
      <c r="O27" s="59">
        <v>240</v>
      </c>
      <c r="P27" s="59">
        <f t="shared" ref="P27:P33" si="6">120+40</f>
        <v>160</v>
      </c>
      <c r="Q27" s="59">
        <f t="shared" si="2"/>
        <v>195</v>
      </c>
      <c r="R27" s="59">
        <f t="shared" si="3"/>
        <v>100</v>
      </c>
      <c r="S27" s="56">
        <f t="shared" si="4"/>
        <v>695</v>
      </c>
      <c r="T27" s="56">
        <f>50</f>
        <v>50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.75" x14ac:dyDescent="0.25">
      <c r="A28" s="16">
        <v>42125</v>
      </c>
      <c r="B28" s="69">
        <v>31</v>
      </c>
      <c r="C28" s="56">
        <f>194.205</f>
        <v>194.20500000000001</v>
      </c>
      <c r="D28" s="56">
        <f>267.466</f>
        <v>267.46600000000001</v>
      </c>
      <c r="E28" s="64">
        <f>133.845</f>
        <v>133.845</v>
      </c>
      <c r="F28" s="56">
        <f>278.484-40-25-60-100</f>
        <v>53.48399999999998</v>
      </c>
      <c r="G28" s="59">
        <v>40</v>
      </c>
      <c r="H28" s="56">
        <f t="shared" si="5"/>
        <v>185</v>
      </c>
      <c r="I28" s="70">
        <v>50</v>
      </c>
      <c r="J28" s="59">
        <v>100</v>
      </c>
      <c r="K28" s="59">
        <v>300</v>
      </c>
      <c r="L28" s="56">
        <f t="shared" si="0"/>
        <v>1324</v>
      </c>
      <c r="M28" s="66"/>
      <c r="N28" s="56">
        <f>75</f>
        <v>75</v>
      </c>
      <c r="O28" s="59">
        <v>240</v>
      </c>
      <c r="P28" s="59">
        <f t="shared" si="6"/>
        <v>160</v>
      </c>
      <c r="Q28" s="59">
        <f t="shared" si="2"/>
        <v>195</v>
      </c>
      <c r="R28" s="59">
        <f t="shared" si="3"/>
        <v>100</v>
      </c>
      <c r="S28" s="56">
        <f t="shared" si="4"/>
        <v>695</v>
      </c>
      <c r="T28" s="56">
        <f>50</f>
        <v>50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x14ac:dyDescent="0.25">
      <c r="A29" s="16">
        <v>42156</v>
      </c>
      <c r="B29" s="69">
        <v>30</v>
      </c>
      <c r="C29" s="56">
        <f>194.205</f>
        <v>194.20500000000001</v>
      </c>
      <c r="D29" s="56">
        <f>267.466</f>
        <v>267.46600000000001</v>
      </c>
      <c r="E29" s="64">
        <f>133.845</f>
        <v>133.845</v>
      </c>
      <c r="F29" s="56">
        <f>278.484-40-25-60-100</f>
        <v>53.48399999999998</v>
      </c>
      <c r="G29" s="59">
        <v>40</v>
      </c>
      <c r="H29" s="56">
        <f t="shared" si="5"/>
        <v>185</v>
      </c>
      <c r="I29" s="70">
        <v>50</v>
      </c>
      <c r="J29" s="59">
        <v>100</v>
      </c>
      <c r="K29" s="59">
        <v>300</v>
      </c>
      <c r="L29" s="56">
        <f t="shared" si="0"/>
        <v>1324</v>
      </c>
      <c r="M29" s="66"/>
      <c r="N29" s="56">
        <f>30</f>
        <v>30</v>
      </c>
      <c r="O29" s="59">
        <v>240</v>
      </c>
      <c r="P29" s="59">
        <f t="shared" si="6"/>
        <v>160</v>
      </c>
      <c r="Q29" s="59">
        <f t="shared" si="2"/>
        <v>195</v>
      </c>
      <c r="R29" s="59">
        <f t="shared" si="3"/>
        <v>100</v>
      </c>
      <c r="S29" s="56">
        <f t="shared" si="4"/>
        <v>695</v>
      </c>
      <c r="T29" s="56">
        <f>50</f>
        <v>50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.75" x14ac:dyDescent="0.25">
      <c r="A30" s="16">
        <v>42186</v>
      </c>
      <c r="B30" s="69">
        <v>31</v>
      </c>
      <c r="C30" s="56">
        <f>194.205</f>
        <v>194.20500000000001</v>
      </c>
      <c r="D30" s="56">
        <f>267.466</f>
        <v>267.46600000000001</v>
      </c>
      <c r="E30" s="64">
        <f>133.845</f>
        <v>133.845</v>
      </c>
      <c r="F30" s="56">
        <f>278.484-40-25-60-100</f>
        <v>53.48399999999998</v>
      </c>
      <c r="G30" s="59">
        <v>40</v>
      </c>
      <c r="H30" s="56">
        <f t="shared" si="5"/>
        <v>185</v>
      </c>
      <c r="I30" s="70">
        <v>50</v>
      </c>
      <c r="J30" s="59">
        <v>100</v>
      </c>
      <c r="K30" s="59">
        <v>300</v>
      </c>
      <c r="L30" s="56">
        <f t="shared" si="0"/>
        <v>1324</v>
      </c>
      <c r="M30" s="66"/>
      <c r="N30" s="56">
        <f>30</f>
        <v>30</v>
      </c>
      <c r="O30" s="59">
        <v>240</v>
      </c>
      <c r="P30" s="59">
        <f t="shared" si="6"/>
        <v>160</v>
      </c>
      <c r="Q30" s="59">
        <f t="shared" si="2"/>
        <v>195</v>
      </c>
      <c r="R30" s="59">
        <f t="shared" si="3"/>
        <v>100</v>
      </c>
      <c r="S30" s="56">
        <f t="shared" si="4"/>
        <v>695</v>
      </c>
      <c r="T30" s="56">
        <f>0</f>
        <v>0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.75" x14ac:dyDescent="0.25">
      <c r="A31" s="16">
        <v>42217</v>
      </c>
      <c r="B31" s="69">
        <v>31</v>
      </c>
      <c r="C31" s="56">
        <f>194.205</f>
        <v>194.20500000000001</v>
      </c>
      <c r="D31" s="56">
        <f>267.466</f>
        <v>267.46600000000001</v>
      </c>
      <c r="E31" s="64">
        <f>133.845</f>
        <v>133.845</v>
      </c>
      <c r="F31" s="56">
        <f>278.484-40-25-60-100</f>
        <v>53.48399999999998</v>
      </c>
      <c r="G31" s="59">
        <v>40</v>
      </c>
      <c r="H31" s="56">
        <f t="shared" si="5"/>
        <v>185</v>
      </c>
      <c r="I31" s="70">
        <v>50</v>
      </c>
      <c r="J31" s="59">
        <v>100</v>
      </c>
      <c r="K31" s="59">
        <v>300</v>
      </c>
      <c r="L31" s="56">
        <f t="shared" si="0"/>
        <v>1324</v>
      </c>
      <c r="M31" s="66"/>
      <c r="N31" s="56">
        <f>30</f>
        <v>30</v>
      </c>
      <c r="O31" s="59">
        <v>240</v>
      </c>
      <c r="P31" s="59">
        <f t="shared" si="6"/>
        <v>160</v>
      </c>
      <c r="Q31" s="59">
        <f t="shared" si="2"/>
        <v>195</v>
      </c>
      <c r="R31" s="59">
        <f t="shared" si="3"/>
        <v>100</v>
      </c>
      <c r="S31" s="56">
        <f t="shared" si="4"/>
        <v>695</v>
      </c>
      <c r="T31" s="56">
        <f>0</f>
        <v>0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.75" x14ac:dyDescent="0.25">
      <c r="A32" s="16">
        <v>42248</v>
      </c>
      <c r="B32" s="69">
        <v>30</v>
      </c>
      <c r="C32" s="56">
        <f>194.205</f>
        <v>194.20500000000001</v>
      </c>
      <c r="D32" s="56">
        <f>267.466</f>
        <v>267.46600000000001</v>
      </c>
      <c r="E32" s="64">
        <f>133.845</f>
        <v>133.845</v>
      </c>
      <c r="F32" s="56">
        <f>278.484-40-25-60-100</f>
        <v>53.48399999999998</v>
      </c>
      <c r="G32" s="59">
        <v>40</v>
      </c>
      <c r="H32" s="56">
        <f t="shared" si="5"/>
        <v>185</v>
      </c>
      <c r="I32" s="70">
        <v>50</v>
      </c>
      <c r="J32" s="59">
        <v>100</v>
      </c>
      <c r="K32" s="59">
        <v>300</v>
      </c>
      <c r="L32" s="56">
        <f t="shared" si="0"/>
        <v>1324</v>
      </c>
      <c r="M32" s="66"/>
      <c r="N32" s="56">
        <f>30</f>
        <v>30</v>
      </c>
      <c r="O32" s="59">
        <v>240</v>
      </c>
      <c r="P32" s="59">
        <f t="shared" si="6"/>
        <v>160</v>
      </c>
      <c r="Q32" s="59">
        <f t="shared" si="2"/>
        <v>195</v>
      </c>
      <c r="R32" s="59">
        <f t="shared" si="3"/>
        <v>100</v>
      </c>
      <c r="S32" s="56">
        <f t="shared" si="4"/>
        <v>695</v>
      </c>
      <c r="T32" s="56">
        <f>0</f>
        <v>0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.75" x14ac:dyDescent="0.25">
      <c r="A33" s="16">
        <v>42278</v>
      </c>
      <c r="B33" s="69">
        <v>31</v>
      </c>
      <c r="C33" s="56">
        <f>131.881</f>
        <v>131.881</v>
      </c>
      <c r="D33" s="56">
        <f>277.167</f>
        <v>277.16699999999997</v>
      </c>
      <c r="E33" s="64">
        <f>79.08</f>
        <v>79.08</v>
      </c>
      <c r="F33" s="56">
        <f>350.872-40-25-60-100</f>
        <v>125.87200000000001</v>
      </c>
      <c r="G33" s="59">
        <v>40</v>
      </c>
      <c r="H33" s="56">
        <f t="shared" si="5"/>
        <v>185</v>
      </c>
      <c r="I33" s="56">
        <v>0</v>
      </c>
      <c r="J33" s="59">
        <v>100</v>
      </c>
      <c r="K33" s="59">
        <v>300</v>
      </c>
      <c r="L33" s="56">
        <f t="shared" si="0"/>
        <v>1239</v>
      </c>
      <c r="M33" s="66"/>
      <c r="N33" s="56">
        <f>75</f>
        <v>75</v>
      </c>
      <c r="O33" s="59">
        <v>240</v>
      </c>
      <c r="P33" s="59">
        <f t="shared" si="6"/>
        <v>160</v>
      </c>
      <c r="Q33" s="59">
        <f t="shared" si="2"/>
        <v>195</v>
      </c>
      <c r="R33" s="59">
        <f t="shared" si="3"/>
        <v>100</v>
      </c>
      <c r="S33" s="56">
        <f t="shared" si="4"/>
        <v>695</v>
      </c>
      <c r="T33" s="56">
        <f>0</f>
        <v>0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.75" x14ac:dyDescent="0.25">
      <c r="A34" s="16">
        <v>42309</v>
      </c>
      <c r="B34" s="69">
        <v>30</v>
      </c>
      <c r="C34" s="56">
        <f>122.58</f>
        <v>122.58</v>
      </c>
      <c r="D34" s="56">
        <f>297.941</f>
        <v>297.94099999999997</v>
      </c>
      <c r="E34" s="64">
        <f>89.177</f>
        <v>89.177000000000007</v>
      </c>
      <c r="F34" s="56">
        <f>240.302-40-60-100</f>
        <v>40.301999999999992</v>
      </c>
      <c r="G34" s="59">
        <v>40</v>
      </c>
      <c r="H34" s="56">
        <f>60+100</f>
        <v>160</v>
      </c>
      <c r="I34" s="56">
        <v>0</v>
      </c>
      <c r="J34" s="59">
        <v>100</v>
      </c>
      <c r="K34" s="59">
        <v>300</v>
      </c>
      <c r="L34" s="56">
        <f t="shared" si="0"/>
        <v>1150</v>
      </c>
      <c r="M34" s="66"/>
      <c r="N34" s="56">
        <f>100</f>
        <v>100</v>
      </c>
      <c r="O34" s="59">
        <v>240</v>
      </c>
      <c r="P34" s="59">
        <v>40</v>
      </c>
      <c r="Q34" s="59">
        <f t="shared" si="2"/>
        <v>315</v>
      </c>
      <c r="R34" s="59">
        <f t="shared" si="3"/>
        <v>100</v>
      </c>
      <c r="S34" s="56">
        <f t="shared" si="4"/>
        <v>695</v>
      </c>
      <c r="T34" s="56">
        <f>50</f>
        <v>50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.75" x14ac:dyDescent="0.25">
      <c r="A35" s="16">
        <v>42339</v>
      </c>
      <c r="B35" s="69">
        <v>31</v>
      </c>
      <c r="C35" s="56">
        <f>122.58</f>
        <v>122.58</v>
      </c>
      <c r="D35" s="56">
        <f>297.941</f>
        <v>297.94099999999997</v>
      </c>
      <c r="E35" s="64">
        <f>89.177</f>
        <v>89.177000000000007</v>
      </c>
      <c r="F35" s="56">
        <f>240.302-40-60-100</f>
        <v>40.301999999999992</v>
      </c>
      <c r="G35" s="59">
        <v>40</v>
      </c>
      <c r="H35" s="56">
        <f>60+100</f>
        <v>160</v>
      </c>
      <c r="I35" s="56">
        <v>0</v>
      </c>
      <c r="J35" s="59">
        <v>100</v>
      </c>
      <c r="K35" s="59">
        <v>300</v>
      </c>
      <c r="L35" s="56">
        <f t="shared" si="0"/>
        <v>1150</v>
      </c>
      <c r="M35" s="66"/>
      <c r="N35" s="56">
        <f>100</f>
        <v>100</v>
      </c>
      <c r="O35" s="59">
        <v>240</v>
      </c>
      <c r="P35" s="59">
        <v>40</v>
      </c>
      <c r="Q35" s="59">
        <f t="shared" si="2"/>
        <v>315</v>
      </c>
      <c r="R35" s="59">
        <f t="shared" si="3"/>
        <v>100</v>
      </c>
      <c r="S35" s="56">
        <f t="shared" si="4"/>
        <v>695</v>
      </c>
      <c r="T35" s="56">
        <f>50</f>
        <v>50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.75" x14ac:dyDescent="0.25">
      <c r="A36" s="16">
        <v>42370</v>
      </c>
      <c r="B36" s="69">
        <v>31</v>
      </c>
      <c r="C36" s="56">
        <f>122.58</f>
        <v>122.58</v>
      </c>
      <c r="D36" s="56">
        <f>297.941</f>
        <v>297.94099999999997</v>
      </c>
      <c r="E36" s="64">
        <f>89.177</f>
        <v>89.177000000000007</v>
      </c>
      <c r="F36" s="56">
        <f>240.302-40-60-100</f>
        <v>40.301999999999992</v>
      </c>
      <c r="G36" s="59">
        <v>40</v>
      </c>
      <c r="H36" s="56">
        <f>60+100</f>
        <v>160</v>
      </c>
      <c r="I36" s="56">
        <v>0</v>
      </c>
      <c r="J36" s="59">
        <v>100</v>
      </c>
      <c r="K36" s="59">
        <v>300</v>
      </c>
      <c r="L36" s="56">
        <f t="shared" si="0"/>
        <v>1150</v>
      </c>
      <c r="M36" s="66"/>
      <c r="N36" s="56">
        <f>100</f>
        <v>100</v>
      </c>
      <c r="O36" s="59">
        <v>240</v>
      </c>
      <c r="P36" s="59">
        <v>40</v>
      </c>
      <c r="Q36" s="59">
        <f t="shared" si="2"/>
        <v>315</v>
      </c>
      <c r="R36" s="59">
        <f t="shared" si="3"/>
        <v>100</v>
      </c>
      <c r="S36" s="56">
        <f t="shared" si="4"/>
        <v>695</v>
      </c>
      <c r="T36" s="56">
        <f>50</f>
        <v>50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.75" x14ac:dyDescent="0.25">
      <c r="A37" s="16">
        <v>42401</v>
      </c>
      <c r="B37" s="69">
        <v>29</v>
      </c>
      <c r="C37" s="56">
        <f>122.58</f>
        <v>122.58</v>
      </c>
      <c r="D37" s="56">
        <f>297.941</f>
        <v>297.94099999999997</v>
      </c>
      <c r="E37" s="64">
        <f>89.177</f>
        <v>89.177000000000007</v>
      </c>
      <c r="F37" s="56">
        <f>240.302-40-60-100</f>
        <v>40.301999999999992</v>
      </c>
      <c r="G37" s="59">
        <v>40</v>
      </c>
      <c r="H37" s="56">
        <f>60+100</f>
        <v>160</v>
      </c>
      <c r="I37" s="56">
        <v>0</v>
      </c>
      <c r="J37" s="59">
        <v>100</v>
      </c>
      <c r="K37" s="59">
        <v>300</v>
      </c>
      <c r="L37" s="56">
        <f t="shared" si="0"/>
        <v>1150</v>
      </c>
      <c r="M37" s="66"/>
      <c r="N37" s="56">
        <f>100</f>
        <v>100</v>
      </c>
      <c r="O37" s="59">
        <v>240</v>
      </c>
      <c r="P37" s="59">
        <v>40</v>
      </c>
      <c r="Q37" s="59">
        <f t="shared" si="2"/>
        <v>315</v>
      </c>
      <c r="R37" s="59">
        <f t="shared" si="3"/>
        <v>100</v>
      </c>
      <c r="S37" s="56">
        <f t="shared" si="4"/>
        <v>695</v>
      </c>
      <c r="T37" s="56">
        <f>50</f>
        <v>50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.75" x14ac:dyDescent="0.25">
      <c r="A38" s="16">
        <v>42430</v>
      </c>
      <c r="B38" s="69">
        <v>31</v>
      </c>
      <c r="C38" s="56">
        <f>122.58</f>
        <v>122.58</v>
      </c>
      <c r="D38" s="56">
        <f>297.941</f>
        <v>297.94099999999997</v>
      </c>
      <c r="E38" s="64">
        <f>89.177</f>
        <v>89.177000000000007</v>
      </c>
      <c r="F38" s="56">
        <f>240.302-40-60-100</f>
        <v>40.301999999999992</v>
      </c>
      <c r="G38" s="59">
        <v>40</v>
      </c>
      <c r="H38" s="56">
        <f>60+100</f>
        <v>160</v>
      </c>
      <c r="I38" s="56">
        <v>0</v>
      </c>
      <c r="J38" s="59">
        <v>100</v>
      </c>
      <c r="K38" s="59">
        <v>300</v>
      </c>
      <c r="L38" s="56">
        <f t="shared" si="0"/>
        <v>1150</v>
      </c>
      <c r="M38" s="66"/>
      <c r="N38" s="56">
        <f>100</f>
        <v>100</v>
      </c>
      <c r="O38" s="59">
        <v>240</v>
      </c>
      <c r="P38" s="59">
        <v>40</v>
      </c>
      <c r="Q38" s="59">
        <f t="shared" si="2"/>
        <v>315</v>
      </c>
      <c r="R38" s="59">
        <f t="shared" si="3"/>
        <v>100</v>
      </c>
      <c r="S38" s="56">
        <f t="shared" si="4"/>
        <v>695</v>
      </c>
      <c r="T38" s="56">
        <f>50</f>
        <v>50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.75" x14ac:dyDescent="0.25">
      <c r="A39" s="16">
        <v>42461</v>
      </c>
      <c r="B39" s="69">
        <v>30</v>
      </c>
      <c r="C39" s="56">
        <f>141.293</f>
        <v>141.29300000000001</v>
      </c>
      <c r="D39" s="56">
        <f>267.993</f>
        <v>267.99299999999999</v>
      </c>
      <c r="E39" s="64">
        <f>115.016</f>
        <v>115.01600000000001</v>
      </c>
      <c r="F39" s="56">
        <f>314.698-40-25-60-100</f>
        <v>89.697999999999979</v>
      </c>
      <c r="G39" s="59">
        <v>40</v>
      </c>
      <c r="H39" s="56">
        <f t="shared" ref="H39:H45" si="7">25+60+100</f>
        <v>185</v>
      </c>
      <c r="I39" s="56">
        <v>0</v>
      </c>
      <c r="J39" s="59">
        <v>100</v>
      </c>
      <c r="K39" s="59">
        <v>300</v>
      </c>
      <c r="L39" s="56">
        <f t="shared" si="0"/>
        <v>1239</v>
      </c>
      <c r="M39" s="66"/>
      <c r="N39" s="56">
        <f>100</f>
        <v>100</v>
      </c>
      <c r="O39" s="59">
        <v>240</v>
      </c>
      <c r="P39" s="59">
        <v>160</v>
      </c>
      <c r="Q39" s="59">
        <f t="shared" si="2"/>
        <v>195</v>
      </c>
      <c r="R39" s="59">
        <f t="shared" si="3"/>
        <v>100</v>
      </c>
      <c r="S39" s="56">
        <f t="shared" si="4"/>
        <v>695</v>
      </c>
      <c r="T39" s="56">
        <f>50</f>
        <v>50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.75" x14ac:dyDescent="0.25">
      <c r="A40" s="16">
        <v>42491</v>
      </c>
      <c r="B40" s="69">
        <v>31</v>
      </c>
      <c r="C40" s="56">
        <f>194.205</f>
        <v>194.20500000000001</v>
      </c>
      <c r="D40" s="56">
        <f>267.466</f>
        <v>267.46600000000001</v>
      </c>
      <c r="E40" s="64">
        <f>133.845</f>
        <v>133.845</v>
      </c>
      <c r="F40" s="56">
        <f>278.484-40-25-60-100</f>
        <v>53.48399999999998</v>
      </c>
      <c r="G40" s="59">
        <v>40</v>
      </c>
      <c r="H40" s="56">
        <f t="shared" si="7"/>
        <v>185</v>
      </c>
      <c r="I40" s="56">
        <f t="shared" ref="I40:I103" si="8">400-J40-K40</f>
        <v>0</v>
      </c>
      <c r="J40" s="59">
        <v>100</v>
      </c>
      <c r="K40" s="59">
        <v>300</v>
      </c>
      <c r="L40" s="56">
        <f t="shared" si="0"/>
        <v>1274</v>
      </c>
      <c r="M40" s="66"/>
      <c r="N40" s="56">
        <f>75</f>
        <v>75</v>
      </c>
      <c r="O40" s="59">
        <v>240</v>
      </c>
      <c r="P40" s="59">
        <v>160</v>
      </c>
      <c r="Q40" s="59">
        <f t="shared" si="2"/>
        <v>195</v>
      </c>
      <c r="R40" s="59">
        <f t="shared" si="3"/>
        <v>100</v>
      </c>
      <c r="S40" s="56">
        <f t="shared" si="4"/>
        <v>695</v>
      </c>
      <c r="T40" s="56">
        <f>50</f>
        <v>50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.75" x14ac:dyDescent="0.25">
      <c r="A41" s="16">
        <v>42522</v>
      </c>
      <c r="B41" s="69">
        <v>30</v>
      </c>
      <c r="C41" s="56">
        <f>194.205</f>
        <v>194.20500000000001</v>
      </c>
      <c r="D41" s="56">
        <f>267.466</f>
        <v>267.46600000000001</v>
      </c>
      <c r="E41" s="64">
        <f>133.845</f>
        <v>133.845</v>
      </c>
      <c r="F41" s="56">
        <f>278.484-40-25-60-100</f>
        <v>53.48399999999998</v>
      </c>
      <c r="G41" s="59">
        <v>40</v>
      </c>
      <c r="H41" s="56">
        <f t="shared" si="7"/>
        <v>185</v>
      </c>
      <c r="I41" s="56">
        <f t="shared" si="8"/>
        <v>0</v>
      </c>
      <c r="J41" s="59">
        <v>100</v>
      </c>
      <c r="K41" s="59">
        <v>300</v>
      </c>
      <c r="L41" s="56">
        <f t="shared" si="0"/>
        <v>1274</v>
      </c>
      <c r="M41" s="66"/>
      <c r="N41" s="56">
        <f>30</f>
        <v>30</v>
      </c>
      <c r="O41" s="59">
        <v>240</v>
      </c>
      <c r="P41" s="59">
        <v>160</v>
      </c>
      <c r="Q41" s="59">
        <f t="shared" si="2"/>
        <v>195</v>
      </c>
      <c r="R41" s="59">
        <f t="shared" si="3"/>
        <v>100</v>
      </c>
      <c r="S41" s="56">
        <f t="shared" si="4"/>
        <v>695</v>
      </c>
      <c r="T41" s="56">
        <f>50</f>
        <v>50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.75" x14ac:dyDescent="0.25">
      <c r="A42" s="16">
        <v>42552</v>
      </c>
      <c r="B42" s="69">
        <v>31</v>
      </c>
      <c r="C42" s="56">
        <f>194.205</f>
        <v>194.20500000000001</v>
      </c>
      <c r="D42" s="56">
        <f>267.466</f>
        <v>267.46600000000001</v>
      </c>
      <c r="E42" s="64">
        <f>133.845</f>
        <v>133.845</v>
      </c>
      <c r="F42" s="56">
        <f>278.484-40-25-60-100</f>
        <v>53.48399999999998</v>
      </c>
      <c r="G42" s="59">
        <v>40</v>
      </c>
      <c r="H42" s="56">
        <f t="shared" si="7"/>
        <v>185</v>
      </c>
      <c r="I42" s="56">
        <f t="shared" si="8"/>
        <v>0</v>
      </c>
      <c r="J42" s="59">
        <v>100</v>
      </c>
      <c r="K42" s="59">
        <v>300</v>
      </c>
      <c r="L42" s="56">
        <f t="shared" si="0"/>
        <v>1274</v>
      </c>
      <c r="M42" s="66"/>
      <c r="N42" s="56">
        <f>30</f>
        <v>30</v>
      </c>
      <c r="O42" s="59">
        <v>240</v>
      </c>
      <c r="P42" s="59">
        <v>160</v>
      </c>
      <c r="Q42" s="59">
        <f t="shared" si="2"/>
        <v>195</v>
      </c>
      <c r="R42" s="59">
        <f t="shared" si="3"/>
        <v>100</v>
      </c>
      <c r="S42" s="56">
        <f t="shared" si="4"/>
        <v>695</v>
      </c>
      <c r="T42" s="56">
        <f>0</f>
        <v>0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.75" x14ac:dyDescent="0.25">
      <c r="A43" s="16">
        <v>42583</v>
      </c>
      <c r="B43" s="69">
        <v>31</v>
      </c>
      <c r="C43" s="56">
        <f>194.205</f>
        <v>194.20500000000001</v>
      </c>
      <c r="D43" s="56">
        <f>267.466</f>
        <v>267.46600000000001</v>
      </c>
      <c r="E43" s="64">
        <f>133.845</f>
        <v>133.845</v>
      </c>
      <c r="F43" s="56">
        <f>278.484-40-25-60-100</f>
        <v>53.48399999999998</v>
      </c>
      <c r="G43" s="59">
        <v>40</v>
      </c>
      <c r="H43" s="56">
        <f t="shared" si="7"/>
        <v>185</v>
      </c>
      <c r="I43" s="56">
        <f t="shared" si="8"/>
        <v>0</v>
      </c>
      <c r="J43" s="59">
        <v>100</v>
      </c>
      <c r="K43" s="59">
        <v>300</v>
      </c>
      <c r="L43" s="56">
        <f t="shared" si="0"/>
        <v>1274</v>
      </c>
      <c r="M43" s="66"/>
      <c r="N43" s="56">
        <f>30</f>
        <v>30</v>
      </c>
      <c r="O43" s="59">
        <v>240</v>
      </c>
      <c r="P43" s="59">
        <v>160</v>
      </c>
      <c r="Q43" s="59">
        <f t="shared" si="2"/>
        <v>195</v>
      </c>
      <c r="R43" s="59">
        <f t="shared" si="3"/>
        <v>100</v>
      </c>
      <c r="S43" s="56">
        <f t="shared" si="4"/>
        <v>695</v>
      </c>
      <c r="T43" s="56">
        <f>0</f>
        <v>0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.75" x14ac:dyDescent="0.25">
      <c r="A44" s="16">
        <v>42614</v>
      </c>
      <c r="B44" s="69">
        <v>30</v>
      </c>
      <c r="C44" s="56">
        <f>194.205</f>
        <v>194.20500000000001</v>
      </c>
      <c r="D44" s="56">
        <f>267.466</f>
        <v>267.46600000000001</v>
      </c>
      <c r="E44" s="64">
        <f>133.845</f>
        <v>133.845</v>
      </c>
      <c r="F44" s="56">
        <f>278.484-40-25-60-100</f>
        <v>53.48399999999998</v>
      </c>
      <c r="G44" s="59">
        <v>40</v>
      </c>
      <c r="H44" s="56">
        <f t="shared" si="7"/>
        <v>185</v>
      </c>
      <c r="I44" s="56">
        <f t="shared" si="8"/>
        <v>0</v>
      </c>
      <c r="J44" s="59">
        <v>100</v>
      </c>
      <c r="K44" s="59">
        <v>300</v>
      </c>
      <c r="L44" s="56">
        <f t="shared" si="0"/>
        <v>1274</v>
      </c>
      <c r="M44" s="66"/>
      <c r="N44" s="56">
        <f>30</f>
        <v>30</v>
      </c>
      <c r="O44" s="59">
        <v>240</v>
      </c>
      <c r="P44" s="59">
        <v>160</v>
      </c>
      <c r="Q44" s="59">
        <f t="shared" si="2"/>
        <v>195</v>
      </c>
      <c r="R44" s="59">
        <f t="shared" si="3"/>
        <v>100</v>
      </c>
      <c r="S44" s="56">
        <f t="shared" si="4"/>
        <v>695</v>
      </c>
      <c r="T44" s="56">
        <f>0</f>
        <v>0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.75" x14ac:dyDescent="0.25">
      <c r="A45" s="16">
        <v>42644</v>
      </c>
      <c r="B45" s="69">
        <v>31</v>
      </c>
      <c r="C45" s="56">
        <f>131.881</f>
        <v>131.881</v>
      </c>
      <c r="D45" s="56">
        <f>277.167</f>
        <v>277.16699999999997</v>
      </c>
      <c r="E45" s="64">
        <f>79.08</f>
        <v>79.08</v>
      </c>
      <c r="F45" s="56">
        <f>350.872-40-25-60-100</f>
        <v>125.87200000000001</v>
      </c>
      <c r="G45" s="59">
        <v>40</v>
      </c>
      <c r="H45" s="56">
        <f t="shared" si="7"/>
        <v>185</v>
      </c>
      <c r="I45" s="56">
        <f t="shared" si="8"/>
        <v>0</v>
      </c>
      <c r="J45" s="59">
        <v>100</v>
      </c>
      <c r="K45" s="59">
        <v>300</v>
      </c>
      <c r="L45" s="56">
        <f t="shared" si="0"/>
        <v>1239</v>
      </c>
      <c r="M45" s="66"/>
      <c r="N45" s="56">
        <f>75</f>
        <v>75</v>
      </c>
      <c r="O45" s="59">
        <v>240</v>
      </c>
      <c r="P45" s="59">
        <v>160</v>
      </c>
      <c r="Q45" s="59">
        <f t="shared" si="2"/>
        <v>195</v>
      </c>
      <c r="R45" s="59">
        <f t="shared" si="3"/>
        <v>100</v>
      </c>
      <c r="S45" s="56">
        <f t="shared" si="4"/>
        <v>695</v>
      </c>
      <c r="T45" s="56">
        <f>0</f>
        <v>0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.75" x14ac:dyDescent="0.25">
      <c r="A46" s="16">
        <v>42675</v>
      </c>
      <c r="B46" s="69">
        <v>30</v>
      </c>
      <c r="C46" s="56">
        <f>122.58</f>
        <v>122.58</v>
      </c>
      <c r="D46" s="56">
        <f>297.941</f>
        <v>297.94099999999997</v>
      </c>
      <c r="E46" s="64">
        <f>89.177</f>
        <v>89.177000000000007</v>
      </c>
      <c r="F46" s="56">
        <f>240.302-40-60-100</f>
        <v>40.301999999999992</v>
      </c>
      <c r="G46" s="59">
        <v>40</v>
      </c>
      <c r="H46" s="56">
        <f>60+100</f>
        <v>160</v>
      </c>
      <c r="I46" s="56">
        <f t="shared" si="8"/>
        <v>0</v>
      </c>
      <c r="J46" s="59">
        <v>100</v>
      </c>
      <c r="K46" s="59">
        <v>300</v>
      </c>
      <c r="L46" s="56">
        <f t="shared" si="0"/>
        <v>1150</v>
      </c>
      <c r="M46" s="66"/>
      <c r="N46" s="56">
        <f>100</f>
        <v>100</v>
      </c>
      <c r="O46" s="59">
        <v>240</v>
      </c>
      <c r="P46" s="59">
        <v>40</v>
      </c>
      <c r="Q46" s="59">
        <f t="shared" si="2"/>
        <v>315</v>
      </c>
      <c r="R46" s="59">
        <f t="shared" si="3"/>
        <v>100</v>
      </c>
      <c r="S46" s="56">
        <f t="shared" si="4"/>
        <v>695</v>
      </c>
      <c r="T46" s="56">
        <f>50</f>
        <v>50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.75" x14ac:dyDescent="0.25">
      <c r="A47" s="16">
        <v>42705</v>
      </c>
      <c r="B47" s="69">
        <v>31</v>
      </c>
      <c r="C47" s="56">
        <f>122.58</f>
        <v>122.58</v>
      </c>
      <c r="D47" s="56">
        <f>297.941</f>
        <v>297.94099999999997</v>
      </c>
      <c r="E47" s="64">
        <f>89.177</f>
        <v>89.177000000000007</v>
      </c>
      <c r="F47" s="56">
        <f>240.302-40-60-100</f>
        <v>40.301999999999992</v>
      </c>
      <c r="G47" s="59">
        <v>40</v>
      </c>
      <c r="H47" s="56">
        <f>60+100</f>
        <v>160</v>
      </c>
      <c r="I47" s="56">
        <f t="shared" si="8"/>
        <v>0</v>
      </c>
      <c r="J47" s="59">
        <v>100</v>
      </c>
      <c r="K47" s="59">
        <v>300</v>
      </c>
      <c r="L47" s="56">
        <f t="shared" si="0"/>
        <v>1150</v>
      </c>
      <c r="M47" s="66"/>
      <c r="N47" s="56">
        <f>100</f>
        <v>100</v>
      </c>
      <c r="O47" s="59">
        <v>240</v>
      </c>
      <c r="P47" s="59">
        <v>40</v>
      </c>
      <c r="Q47" s="59">
        <f t="shared" si="2"/>
        <v>315</v>
      </c>
      <c r="R47" s="59">
        <f t="shared" si="3"/>
        <v>100</v>
      </c>
      <c r="S47" s="56">
        <f t="shared" si="4"/>
        <v>695</v>
      </c>
      <c r="T47" s="56">
        <f>50</f>
        <v>50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.75" x14ac:dyDescent="0.25">
      <c r="A48" s="16">
        <v>42736</v>
      </c>
      <c r="B48" s="69">
        <v>31</v>
      </c>
      <c r="C48" s="56">
        <f>122.58</f>
        <v>122.58</v>
      </c>
      <c r="D48" s="56">
        <f>297.941</f>
        <v>297.94099999999997</v>
      </c>
      <c r="E48" s="64">
        <f>89.177</f>
        <v>89.177000000000007</v>
      </c>
      <c r="F48" s="56">
        <f>240.302-40-60-100</f>
        <v>40.301999999999992</v>
      </c>
      <c r="G48" s="59">
        <v>40</v>
      </c>
      <c r="H48" s="56">
        <f>60+100</f>
        <v>160</v>
      </c>
      <c r="I48" s="56">
        <f t="shared" si="8"/>
        <v>0</v>
      </c>
      <c r="J48" s="59">
        <v>100</v>
      </c>
      <c r="K48" s="59">
        <v>300</v>
      </c>
      <c r="L48" s="56">
        <f t="shared" si="0"/>
        <v>1150</v>
      </c>
      <c r="M48" s="66"/>
      <c r="N48" s="56">
        <f>100</f>
        <v>100</v>
      </c>
      <c r="O48" s="59">
        <v>240</v>
      </c>
      <c r="P48" s="59">
        <v>40</v>
      </c>
      <c r="Q48" s="59">
        <f t="shared" si="2"/>
        <v>315</v>
      </c>
      <c r="R48" s="59">
        <f t="shared" si="3"/>
        <v>100</v>
      </c>
      <c r="S48" s="56">
        <f t="shared" si="4"/>
        <v>695</v>
      </c>
      <c r="T48" s="56">
        <f>50</f>
        <v>50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.75" x14ac:dyDescent="0.25">
      <c r="A49" s="16">
        <v>42767</v>
      </c>
      <c r="B49" s="69">
        <v>28</v>
      </c>
      <c r="C49" s="56">
        <f>122.58</f>
        <v>122.58</v>
      </c>
      <c r="D49" s="56">
        <f>297.941</f>
        <v>297.94099999999997</v>
      </c>
      <c r="E49" s="64">
        <f>89.177</f>
        <v>89.177000000000007</v>
      </c>
      <c r="F49" s="56">
        <f>240.302-40-60-100</f>
        <v>40.301999999999992</v>
      </c>
      <c r="G49" s="59">
        <v>40</v>
      </c>
      <c r="H49" s="56">
        <f>60+100</f>
        <v>160</v>
      </c>
      <c r="I49" s="56">
        <f t="shared" si="8"/>
        <v>0</v>
      </c>
      <c r="J49" s="59">
        <v>100</v>
      </c>
      <c r="K49" s="59">
        <v>300</v>
      </c>
      <c r="L49" s="56">
        <f t="shared" si="0"/>
        <v>1150</v>
      </c>
      <c r="M49" s="66"/>
      <c r="N49" s="56">
        <f>100</f>
        <v>100</v>
      </c>
      <c r="O49" s="59">
        <v>240</v>
      </c>
      <c r="P49" s="59">
        <v>40</v>
      </c>
      <c r="Q49" s="59">
        <f t="shared" si="2"/>
        <v>315</v>
      </c>
      <c r="R49" s="59">
        <f t="shared" si="3"/>
        <v>100</v>
      </c>
      <c r="S49" s="56">
        <f t="shared" si="4"/>
        <v>695</v>
      </c>
      <c r="T49" s="56">
        <f>50</f>
        <v>50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.75" x14ac:dyDescent="0.25">
      <c r="A50" s="16">
        <v>42795</v>
      </c>
      <c r="B50" s="69">
        <v>31</v>
      </c>
      <c r="C50" s="56">
        <f>122.58</f>
        <v>122.58</v>
      </c>
      <c r="D50" s="56">
        <f>297.941</f>
        <v>297.94099999999997</v>
      </c>
      <c r="E50" s="64">
        <f>89.177</f>
        <v>89.177000000000007</v>
      </c>
      <c r="F50" s="56">
        <f>240.302-40-60-100</f>
        <v>40.301999999999992</v>
      </c>
      <c r="G50" s="59">
        <v>40</v>
      </c>
      <c r="H50" s="56">
        <f>60+100</f>
        <v>160</v>
      </c>
      <c r="I50" s="56">
        <f t="shared" si="8"/>
        <v>0</v>
      </c>
      <c r="J50" s="59">
        <v>100</v>
      </c>
      <c r="K50" s="59">
        <v>300</v>
      </c>
      <c r="L50" s="56">
        <f t="shared" si="0"/>
        <v>1150</v>
      </c>
      <c r="M50" s="66"/>
      <c r="N50" s="56">
        <f>100</f>
        <v>100</v>
      </c>
      <c r="O50" s="59">
        <v>240</v>
      </c>
      <c r="P50" s="59">
        <v>40</v>
      </c>
      <c r="Q50" s="59">
        <f t="shared" si="2"/>
        <v>315</v>
      </c>
      <c r="R50" s="59">
        <f t="shared" si="3"/>
        <v>100</v>
      </c>
      <c r="S50" s="56">
        <f t="shared" si="4"/>
        <v>695</v>
      </c>
      <c r="T50" s="56">
        <f>50</f>
        <v>50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.75" x14ac:dyDescent="0.25">
      <c r="A51" s="16">
        <v>42826</v>
      </c>
      <c r="B51" s="69">
        <v>30</v>
      </c>
      <c r="C51" s="56">
        <f>141.293</f>
        <v>141.29300000000001</v>
      </c>
      <c r="D51" s="56">
        <f>267.993</f>
        <v>267.99299999999999</v>
      </c>
      <c r="E51" s="64">
        <f>115.016</f>
        <v>115.01600000000001</v>
      </c>
      <c r="F51" s="56">
        <f>314.698-40-25-60-100</f>
        <v>89.697999999999979</v>
      </c>
      <c r="G51" s="59">
        <v>40</v>
      </c>
      <c r="H51" s="56">
        <f t="shared" ref="H51:H57" si="9">25+60+100</f>
        <v>185</v>
      </c>
      <c r="I51" s="56">
        <f t="shared" si="8"/>
        <v>0</v>
      </c>
      <c r="J51" s="59">
        <v>100</v>
      </c>
      <c r="K51" s="59">
        <v>300</v>
      </c>
      <c r="L51" s="56">
        <f t="shared" si="0"/>
        <v>1239</v>
      </c>
      <c r="M51" s="66"/>
      <c r="N51" s="56">
        <f>100</f>
        <v>100</v>
      </c>
      <c r="O51" s="59">
        <v>240</v>
      </c>
      <c r="P51" s="59">
        <v>160</v>
      </c>
      <c r="Q51" s="59">
        <f t="shared" si="2"/>
        <v>195</v>
      </c>
      <c r="R51" s="59">
        <f t="shared" si="3"/>
        <v>100</v>
      </c>
      <c r="S51" s="56">
        <f t="shared" si="4"/>
        <v>695</v>
      </c>
      <c r="T51" s="56">
        <f>50</f>
        <v>50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.75" x14ac:dyDescent="0.25">
      <c r="A52" s="16">
        <v>42856</v>
      </c>
      <c r="B52" s="69">
        <v>31</v>
      </c>
      <c r="C52" s="56">
        <f>194.205</f>
        <v>194.20500000000001</v>
      </c>
      <c r="D52" s="56">
        <f>267.466</f>
        <v>267.46600000000001</v>
      </c>
      <c r="E52" s="64">
        <f>133.845</f>
        <v>133.845</v>
      </c>
      <c r="F52" s="56">
        <f>278.484-40-25-60-100</f>
        <v>53.48399999999998</v>
      </c>
      <c r="G52" s="59">
        <v>40</v>
      </c>
      <c r="H52" s="56">
        <f t="shared" si="9"/>
        <v>185</v>
      </c>
      <c r="I52" s="56">
        <f t="shared" si="8"/>
        <v>0</v>
      </c>
      <c r="J52" s="59">
        <v>100</v>
      </c>
      <c r="K52" s="59">
        <v>300</v>
      </c>
      <c r="L52" s="56">
        <f t="shared" si="0"/>
        <v>1274</v>
      </c>
      <c r="M52" s="66">
        <v>400</v>
      </c>
      <c r="N52" s="56">
        <f>75</f>
        <v>75</v>
      </c>
      <c r="O52" s="59">
        <v>240</v>
      </c>
      <c r="P52" s="59">
        <v>160</v>
      </c>
      <c r="Q52" s="59">
        <f t="shared" si="2"/>
        <v>195</v>
      </c>
      <c r="R52" s="59">
        <f t="shared" si="3"/>
        <v>100</v>
      </c>
      <c r="S52" s="56">
        <f t="shared" si="4"/>
        <v>695</v>
      </c>
      <c r="T52" s="56">
        <f>50</f>
        <v>50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.75" x14ac:dyDescent="0.25">
      <c r="A53" s="16">
        <v>42887</v>
      </c>
      <c r="B53" s="69">
        <v>30</v>
      </c>
      <c r="C53" s="56">
        <f>194.205</f>
        <v>194.20500000000001</v>
      </c>
      <c r="D53" s="56">
        <f>267.466</f>
        <v>267.46600000000001</v>
      </c>
      <c r="E53" s="64">
        <f>133.845</f>
        <v>133.845</v>
      </c>
      <c r="F53" s="56">
        <f>278.484-40-25-60-100</f>
        <v>53.48399999999998</v>
      </c>
      <c r="G53" s="59">
        <v>40</v>
      </c>
      <c r="H53" s="56">
        <f t="shared" si="9"/>
        <v>185</v>
      </c>
      <c r="I53" s="56">
        <f t="shared" si="8"/>
        <v>0</v>
      </c>
      <c r="J53" s="59">
        <v>100</v>
      </c>
      <c r="K53" s="59">
        <v>300</v>
      </c>
      <c r="L53" s="56">
        <f t="shared" si="0"/>
        <v>1274</v>
      </c>
      <c r="M53" s="66">
        <v>400</v>
      </c>
      <c r="N53" s="56">
        <f>30</f>
        <v>30</v>
      </c>
      <c r="O53" s="59">
        <v>240</v>
      </c>
      <c r="P53" s="59">
        <v>160</v>
      </c>
      <c r="Q53" s="59">
        <f t="shared" si="2"/>
        <v>195</v>
      </c>
      <c r="R53" s="59">
        <f t="shared" si="3"/>
        <v>100</v>
      </c>
      <c r="S53" s="56">
        <f t="shared" si="4"/>
        <v>695</v>
      </c>
      <c r="T53" s="56">
        <f>50</f>
        <v>50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.75" x14ac:dyDescent="0.25">
      <c r="A54" s="16">
        <v>42917</v>
      </c>
      <c r="B54" s="69">
        <v>31</v>
      </c>
      <c r="C54" s="56">
        <f>194.205</f>
        <v>194.20500000000001</v>
      </c>
      <c r="D54" s="56">
        <f>267.466</f>
        <v>267.46600000000001</v>
      </c>
      <c r="E54" s="64">
        <f>133.845</f>
        <v>133.845</v>
      </c>
      <c r="F54" s="56">
        <f>278.484-40-25-60-100</f>
        <v>53.48399999999998</v>
      </c>
      <c r="G54" s="59">
        <v>40</v>
      </c>
      <c r="H54" s="56">
        <f t="shared" si="9"/>
        <v>185</v>
      </c>
      <c r="I54" s="56">
        <f t="shared" si="8"/>
        <v>0</v>
      </c>
      <c r="J54" s="59">
        <v>100</v>
      </c>
      <c r="K54" s="59">
        <v>300</v>
      </c>
      <c r="L54" s="56">
        <f t="shared" si="0"/>
        <v>1274</v>
      </c>
      <c r="M54" s="66">
        <v>400</v>
      </c>
      <c r="N54" s="56">
        <f>30</f>
        <v>30</v>
      </c>
      <c r="O54" s="59">
        <v>240</v>
      </c>
      <c r="P54" s="59">
        <v>160</v>
      </c>
      <c r="Q54" s="59">
        <f t="shared" si="2"/>
        <v>195</v>
      </c>
      <c r="R54" s="59">
        <f t="shared" si="3"/>
        <v>100</v>
      </c>
      <c r="S54" s="56">
        <f t="shared" si="4"/>
        <v>695</v>
      </c>
      <c r="T54" s="56">
        <f>0</f>
        <v>0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.75" x14ac:dyDescent="0.25">
      <c r="A55" s="16">
        <v>42948</v>
      </c>
      <c r="B55" s="69">
        <v>31</v>
      </c>
      <c r="C55" s="56">
        <f>194.205</f>
        <v>194.20500000000001</v>
      </c>
      <c r="D55" s="56">
        <f>267.466</f>
        <v>267.46600000000001</v>
      </c>
      <c r="E55" s="64">
        <f>133.845</f>
        <v>133.845</v>
      </c>
      <c r="F55" s="56">
        <f>278.484-40-25-60-100</f>
        <v>53.48399999999998</v>
      </c>
      <c r="G55" s="59">
        <v>40</v>
      </c>
      <c r="H55" s="56">
        <f t="shared" si="9"/>
        <v>185</v>
      </c>
      <c r="I55" s="56">
        <f t="shared" si="8"/>
        <v>0</v>
      </c>
      <c r="J55" s="59">
        <v>100</v>
      </c>
      <c r="K55" s="59">
        <v>300</v>
      </c>
      <c r="L55" s="56">
        <f t="shared" si="0"/>
        <v>1274</v>
      </c>
      <c r="M55" s="66">
        <v>400</v>
      </c>
      <c r="N55" s="56">
        <f>30</f>
        <v>30</v>
      </c>
      <c r="O55" s="59">
        <v>240</v>
      </c>
      <c r="P55" s="59">
        <v>160</v>
      </c>
      <c r="Q55" s="59">
        <f t="shared" si="2"/>
        <v>195</v>
      </c>
      <c r="R55" s="59">
        <f t="shared" si="3"/>
        <v>100</v>
      </c>
      <c r="S55" s="56">
        <f t="shared" si="4"/>
        <v>695</v>
      </c>
      <c r="T55" s="56">
        <f>0</f>
        <v>0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5.75" x14ac:dyDescent="0.25">
      <c r="A56" s="16">
        <v>42979</v>
      </c>
      <c r="B56" s="69">
        <v>30</v>
      </c>
      <c r="C56" s="56">
        <f>194.205</f>
        <v>194.20500000000001</v>
      </c>
      <c r="D56" s="56">
        <f>267.466</f>
        <v>267.46600000000001</v>
      </c>
      <c r="E56" s="64">
        <f>133.845</f>
        <v>133.845</v>
      </c>
      <c r="F56" s="56">
        <f>278.484-40-25-60-100</f>
        <v>53.48399999999998</v>
      </c>
      <c r="G56" s="59">
        <v>40</v>
      </c>
      <c r="H56" s="56">
        <f t="shared" si="9"/>
        <v>185</v>
      </c>
      <c r="I56" s="56">
        <f t="shared" si="8"/>
        <v>0</v>
      </c>
      <c r="J56" s="59">
        <v>100</v>
      </c>
      <c r="K56" s="59">
        <v>300</v>
      </c>
      <c r="L56" s="56">
        <f t="shared" si="0"/>
        <v>1274</v>
      </c>
      <c r="M56" s="66">
        <v>400</v>
      </c>
      <c r="N56" s="56">
        <f>30</f>
        <v>30</v>
      </c>
      <c r="O56" s="59">
        <v>240</v>
      </c>
      <c r="P56" s="59">
        <v>160</v>
      </c>
      <c r="Q56" s="59">
        <f t="shared" si="2"/>
        <v>195</v>
      </c>
      <c r="R56" s="59">
        <f t="shared" si="3"/>
        <v>100</v>
      </c>
      <c r="S56" s="56">
        <f t="shared" si="4"/>
        <v>695</v>
      </c>
      <c r="T56" s="56">
        <f>0</f>
        <v>0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.75" x14ac:dyDescent="0.25">
      <c r="A57" s="16">
        <v>43009</v>
      </c>
      <c r="B57" s="69">
        <v>31</v>
      </c>
      <c r="C57" s="56">
        <f>131.881</f>
        <v>131.881</v>
      </c>
      <c r="D57" s="56">
        <f>277.167</f>
        <v>277.16699999999997</v>
      </c>
      <c r="E57" s="64">
        <f>79.08</f>
        <v>79.08</v>
      </c>
      <c r="F57" s="56">
        <f>350.872-40-25-60-100</f>
        <v>125.87200000000001</v>
      </c>
      <c r="G57" s="59">
        <v>40</v>
      </c>
      <c r="H57" s="56">
        <f t="shared" si="9"/>
        <v>185</v>
      </c>
      <c r="I57" s="56">
        <f t="shared" si="8"/>
        <v>0</v>
      </c>
      <c r="J57" s="59">
        <v>100</v>
      </c>
      <c r="K57" s="59">
        <v>300</v>
      </c>
      <c r="L57" s="56">
        <f t="shared" si="0"/>
        <v>1239</v>
      </c>
      <c r="M57" s="66">
        <v>400</v>
      </c>
      <c r="N57" s="56">
        <f>75</f>
        <v>75</v>
      </c>
      <c r="O57" s="59">
        <v>240</v>
      </c>
      <c r="P57" s="59">
        <v>160</v>
      </c>
      <c r="Q57" s="59">
        <f t="shared" si="2"/>
        <v>195</v>
      </c>
      <c r="R57" s="59">
        <f t="shared" si="3"/>
        <v>100</v>
      </c>
      <c r="S57" s="56">
        <f t="shared" si="4"/>
        <v>695</v>
      </c>
      <c r="T57" s="56">
        <f>0</f>
        <v>0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.75" x14ac:dyDescent="0.25">
      <c r="A58" s="16">
        <v>43040</v>
      </c>
      <c r="B58" s="69">
        <v>30</v>
      </c>
      <c r="C58" s="56">
        <f>122.58</f>
        <v>122.58</v>
      </c>
      <c r="D58" s="56">
        <f>297.941</f>
        <v>297.94099999999997</v>
      </c>
      <c r="E58" s="64">
        <f>89.177</f>
        <v>89.177000000000007</v>
      </c>
      <c r="F58" s="56">
        <f>240.302-40-60-100</f>
        <v>40.301999999999992</v>
      </c>
      <c r="G58" s="59">
        <v>40</v>
      </c>
      <c r="H58" s="56">
        <f>60+100</f>
        <v>160</v>
      </c>
      <c r="I58" s="56">
        <f t="shared" si="8"/>
        <v>0</v>
      </c>
      <c r="J58" s="59">
        <v>100</v>
      </c>
      <c r="K58" s="59">
        <v>300</v>
      </c>
      <c r="L58" s="56">
        <f t="shared" si="0"/>
        <v>1150</v>
      </c>
      <c r="M58" s="66">
        <v>400</v>
      </c>
      <c r="N58" s="56">
        <f>100</f>
        <v>100</v>
      </c>
      <c r="O58" s="59">
        <v>240</v>
      </c>
      <c r="P58" s="59">
        <v>40</v>
      </c>
      <c r="Q58" s="59">
        <f t="shared" si="2"/>
        <v>315</v>
      </c>
      <c r="R58" s="59">
        <f t="shared" si="3"/>
        <v>100</v>
      </c>
      <c r="S58" s="56">
        <f t="shared" si="4"/>
        <v>695</v>
      </c>
      <c r="T58" s="56">
        <f>50</f>
        <v>50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.75" x14ac:dyDescent="0.25">
      <c r="A59" s="16">
        <v>43070</v>
      </c>
      <c r="B59" s="69">
        <v>31</v>
      </c>
      <c r="C59" s="56">
        <f>122.58</f>
        <v>122.58</v>
      </c>
      <c r="D59" s="56">
        <f>297.941</f>
        <v>297.94099999999997</v>
      </c>
      <c r="E59" s="64">
        <f>89.177</f>
        <v>89.177000000000007</v>
      </c>
      <c r="F59" s="56">
        <f>240.302-40-60-100</f>
        <v>40.301999999999992</v>
      </c>
      <c r="G59" s="59">
        <v>40</v>
      </c>
      <c r="H59" s="56">
        <f>60+100</f>
        <v>160</v>
      </c>
      <c r="I59" s="56">
        <f t="shared" si="8"/>
        <v>0</v>
      </c>
      <c r="J59" s="59">
        <v>100</v>
      </c>
      <c r="K59" s="59">
        <v>300</v>
      </c>
      <c r="L59" s="56">
        <f t="shared" si="0"/>
        <v>1150</v>
      </c>
      <c r="M59" s="66">
        <v>400</v>
      </c>
      <c r="N59" s="56">
        <f>100</f>
        <v>100</v>
      </c>
      <c r="O59" s="59">
        <v>240</v>
      </c>
      <c r="P59" s="59">
        <v>40</v>
      </c>
      <c r="Q59" s="59">
        <f t="shared" si="2"/>
        <v>315</v>
      </c>
      <c r="R59" s="59">
        <f t="shared" si="3"/>
        <v>100</v>
      </c>
      <c r="S59" s="56">
        <f t="shared" si="4"/>
        <v>695</v>
      </c>
      <c r="T59" s="56">
        <f>50</f>
        <v>50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.75" x14ac:dyDescent="0.25">
      <c r="A60" s="16">
        <v>43101</v>
      </c>
      <c r="B60" s="69">
        <v>31</v>
      </c>
      <c r="C60" s="56">
        <f>122.58</f>
        <v>122.58</v>
      </c>
      <c r="D60" s="56">
        <f>297.941</f>
        <v>297.94099999999997</v>
      </c>
      <c r="E60" s="64">
        <f>89.177</f>
        <v>89.177000000000007</v>
      </c>
      <c r="F60" s="56">
        <f>240.302-40-60-100</f>
        <v>40.301999999999992</v>
      </c>
      <c r="G60" s="59">
        <v>40</v>
      </c>
      <c r="H60" s="56">
        <f>60+100</f>
        <v>160</v>
      </c>
      <c r="I60" s="56">
        <f t="shared" si="8"/>
        <v>0</v>
      </c>
      <c r="J60" s="59">
        <v>100</v>
      </c>
      <c r="K60" s="59">
        <v>300</v>
      </c>
      <c r="L60" s="56">
        <f t="shared" si="0"/>
        <v>1150</v>
      </c>
      <c r="M60" s="66">
        <v>400</v>
      </c>
      <c r="N60" s="56">
        <f>100</f>
        <v>100</v>
      </c>
      <c r="O60" s="59">
        <v>240</v>
      </c>
      <c r="P60" s="59">
        <v>40</v>
      </c>
      <c r="Q60" s="59">
        <f t="shared" si="2"/>
        <v>315</v>
      </c>
      <c r="R60" s="59">
        <f t="shared" si="3"/>
        <v>100</v>
      </c>
      <c r="S60" s="56">
        <f t="shared" si="4"/>
        <v>695</v>
      </c>
      <c r="T60" s="56">
        <f>50</f>
        <v>50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.75" x14ac:dyDescent="0.25">
      <c r="A61" s="16">
        <v>43132</v>
      </c>
      <c r="B61" s="69">
        <v>28</v>
      </c>
      <c r="C61" s="56">
        <f>122.58</f>
        <v>122.58</v>
      </c>
      <c r="D61" s="56">
        <f>297.941</f>
        <v>297.94099999999997</v>
      </c>
      <c r="E61" s="64">
        <f>89.177</f>
        <v>89.177000000000007</v>
      </c>
      <c r="F61" s="56">
        <f>240.302-40-60-100</f>
        <v>40.301999999999992</v>
      </c>
      <c r="G61" s="59">
        <v>40</v>
      </c>
      <c r="H61" s="56">
        <f>60+100</f>
        <v>160</v>
      </c>
      <c r="I61" s="56">
        <f t="shared" si="8"/>
        <v>0</v>
      </c>
      <c r="J61" s="59">
        <v>100</v>
      </c>
      <c r="K61" s="59">
        <v>300</v>
      </c>
      <c r="L61" s="56">
        <f t="shared" si="0"/>
        <v>1150</v>
      </c>
      <c r="M61" s="66">
        <v>400</v>
      </c>
      <c r="N61" s="56">
        <f>100</f>
        <v>100</v>
      </c>
      <c r="O61" s="59">
        <v>240</v>
      </c>
      <c r="P61" s="59">
        <v>40</v>
      </c>
      <c r="Q61" s="59">
        <f t="shared" si="2"/>
        <v>315</v>
      </c>
      <c r="R61" s="59">
        <f t="shared" si="3"/>
        <v>100</v>
      </c>
      <c r="S61" s="56">
        <f t="shared" si="4"/>
        <v>695</v>
      </c>
      <c r="T61" s="56">
        <f>50</f>
        <v>50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.75" x14ac:dyDescent="0.25">
      <c r="A62" s="16">
        <v>43160</v>
      </c>
      <c r="B62" s="69">
        <v>31</v>
      </c>
      <c r="C62" s="56">
        <f>122.58</f>
        <v>122.58</v>
      </c>
      <c r="D62" s="56">
        <f>297.941</f>
        <v>297.94099999999997</v>
      </c>
      <c r="E62" s="64">
        <f>89.177</f>
        <v>89.177000000000007</v>
      </c>
      <c r="F62" s="56">
        <f>240.302-40-60-100</f>
        <v>40.301999999999992</v>
      </c>
      <c r="G62" s="59">
        <v>40</v>
      </c>
      <c r="H62" s="56">
        <f>60+100</f>
        <v>160</v>
      </c>
      <c r="I62" s="56">
        <f t="shared" si="8"/>
        <v>0</v>
      </c>
      <c r="J62" s="59">
        <v>100</v>
      </c>
      <c r="K62" s="59">
        <v>300</v>
      </c>
      <c r="L62" s="56">
        <f t="shared" si="0"/>
        <v>1150</v>
      </c>
      <c r="M62" s="66">
        <v>400</v>
      </c>
      <c r="N62" s="56">
        <f>100</f>
        <v>100</v>
      </c>
      <c r="O62" s="59">
        <v>240</v>
      </c>
      <c r="P62" s="59">
        <v>40</v>
      </c>
      <c r="Q62" s="59">
        <f t="shared" si="2"/>
        <v>315</v>
      </c>
      <c r="R62" s="59">
        <f t="shared" si="3"/>
        <v>100</v>
      </c>
      <c r="S62" s="56">
        <f t="shared" si="4"/>
        <v>695</v>
      </c>
      <c r="T62" s="56">
        <f>50</f>
        <v>50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.75" x14ac:dyDescent="0.25">
      <c r="A63" s="16">
        <v>43191</v>
      </c>
      <c r="B63" s="69">
        <v>30</v>
      </c>
      <c r="C63" s="56">
        <f>141.293</f>
        <v>141.29300000000001</v>
      </c>
      <c r="D63" s="56">
        <f>267.993</f>
        <v>267.99299999999999</v>
      </c>
      <c r="E63" s="64">
        <f>115.016</f>
        <v>115.01600000000001</v>
      </c>
      <c r="F63" s="56">
        <f>314.698-40-25-60-100</f>
        <v>89.697999999999979</v>
      </c>
      <c r="G63" s="59">
        <v>40</v>
      </c>
      <c r="H63" s="56">
        <f t="shared" ref="H63:H69" si="10">25+60+100</f>
        <v>185</v>
      </c>
      <c r="I63" s="56">
        <f t="shared" si="8"/>
        <v>0</v>
      </c>
      <c r="J63" s="59">
        <v>100</v>
      </c>
      <c r="K63" s="59">
        <v>300</v>
      </c>
      <c r="L63" s="56">
        <f t="shared" si="0"/>
        <v>1239</v>
      </c>
      <c r="M63" s="66">
        <v>400</v>
      </c>
      <c r="N63" s="56">
        <f>100</f>
        <v>100</v>
      </c>
      <c r="O63" s="59">
        <v>240</v>
      </c>
      <c r="P63" s="59">
        <v>160</v>
      </c>
      <c r="Q63" s="59">
        <f t="shared" si="2"/>
        <v>195</v>
      </c>
      <c r="R63" s="59">
        <f t="shared" si="3"/>
        <v>100</v>
      </c>
      <c r="S63" s="56">
        <f t="shared" si="4"/>
        <v>695</v>
      </c>
      <c r="T63" s="56">
        <f>50</f>
        <v>50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.75" x14ac:dyDescent="0.25">
      <c r="A64" s="16">
        <v>43221</v>
      </c>
      <c r="B64" s="69">
        <v>31</v>
      </c>
      <c r="C64" s="56">
        <f>194.205</f>
        <v>194.20500000000001</v>
      </c>
      <c r="D64" s="56">
        <f>267.466</f>
        <v>267.46600000000001</v>
      </c>
      <c r="E64" s="64">
        <f>133.845</f>
        <v>133.845</v>
      </c>
      <c r="F64" s="56">
        <f>278.484-40-25-60-100</f>
        <v>53.48399999999998</v>
      </c>
      <c r="G64" s="59">
        <v>40</v>
      </c>
      <c r="H64" s="56">
        <f t="shared" si="10"/>
        <v>185</v>
      </c>
      <c r="I64" s="56">
        <f t="shared" si="8"/>
        <v>0</v>
      </c>
      <c r="J64" s="59">
        <v>100</v>
      </c>
      <c r="K64" s="59">
        <v>300</v>
      </c>
      <c r="L64" s="56">
        <f t="shared" si="0"/>
        <v>1274</v>
      </c>
      <c r="M64" s="66">
        <v>400</v>
      </c>
      <c r="N64" s="56">
        <f>75</f>
        <v>75</v>
      </c>
      <c r="O64" s="59">
        <v>240</v>
      </c>
      <c r="P64" s="59">
        <v>160</v>
      </c>
      <c r="Q64" s="59">
        <f t="shared" si="2"/>
        <v>195</v>
      </c>
      <c r="R64" s="59">
        <f t="shared" si="3"/>
        <v>100</v>
      </c>
      <c r="S64" s="56">
        <f t="shared" si="4"/>
        <v>695</v>
      </c>
      <c r="T64" s="56">
        <f>50</f>
        <v>50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.75" x14ac:dyDescent="0.25">
      <c r="A65" s="16">
        <v>43252</v>
      </c>
      <c r="B65" s="69">
        <v>30</v>
      </c>
      <c r="C65" s="56">
        <f>194.205</f>
        <v>194.20500000000001</v>
      </c>
      <c r="D65" s="56">
        <f>267.466</f>
        <v>267.46600000000001</v>
      </c>
      <c r="E65" s="64">
        <f>133.845</f>
        <v>133.845</v>
      </c>
      <c r="F65" s="56">
        <f>278.484-40-25-60-100</f>
        <v>53.48399999999998</v>
      </c>
      <c r="G65" s="59">
        <v>40</v>
      </c>
      <c r="H65" s="56">
        <f t="shared" si="10"/>
        <v>185</v>
      </c>
      <c r="I65" s="56">
        <f t="shared" si="8"/>
        <v>0</v>
      </c>
      <c r="J65" s="59">
        <v>100</v>
      </c>
      <c r="K65" s="59">
        <v>300</v>
      </c>
      <c r="L65" s="56">
        <f t="shared" si="0"/>
        <v>1274</v>
      </c>
      <c r="M65" s="66">
        <v>400</v>
      </c>
      <c r="N65" s="56">
        <f>30</f>
        <v>30</v>
      </c>
      <c r="O65" s="59">
        <v>240</v>
      </c>
      <c r="P65" s="59">
        <v>160</v>
      </c>
      <c r="Q65" s="59">
        <f t="shared" si="2"/>
        <v>195</v>
      </c>
      <c r="R65" s="59">
        <f t="shared" si="3"/>
        <v>100</v>
      </c>
      <c r="S65" s="56">
        <f t="shared" si="4"/>
        <v>695</v>
      </c>
      <c r="T65" s="56">
        <f>50</f>
        <v>50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.75" x14ac:dyDescent="0.25">
      <c r="A66" s="16">
        <v>43282</v>
      </c>
      <c r="B66" s="69">
        <v>31</v>
      </c>
      <c r="C66" s="56">
        <f>194.205</f>
        <v>194.20500000000001</v>
      </c>
      <c r="D66" s="56">
        <f>267.466</f>
        <v>267.46600000000001</v>
      </c>
      <c r="E66" s="64">
        <f>133.845</f>
        <v>133.845</v>
      </c>
      <c r="F66" s="56">
        <f>278.484-40-25-60-100</f>
        <v>53.48399999999998</v>
      </c>
      <c r="G66" s="59">
        <v>40</v>
      </c>
      <c r="H66" s="56">
        <f t="shared" si="10"/>
        <v>185</v>
      </c>
      <c r="I66" s="56">
        <f t="shared" si="8"/>
        <v>0</v>
      </c>
      <c r="J66" s="59">
        <v>100</v>
      </c>
      <c r="K66" s="59">
        <v>300</v>
      </c>
      <c r="L66" s="56">
        <f t="shared" si="0"/>
        <v>1274</v>
      </c>
      <c r="M66" s="66">
        <v>400</v>
      </c>
      <c r="N66" s="56">
        <f>30</f>
        <v>30</v>
      </c>
      <c r="O66" s="59">
        <v>240</v>
      </c>
      <c r="P66" s="59">
        <v>160</v>
      </c>
      <c r="Q66" s="59">
        <f t="shared" si="2"/>
        <v>195</v>
      </c>
      <c r="R66" s="59">
        <f t="shared" si="3"/>
        <v>100</v>
      </c>
      <c r="S66" s="56">
        <f t="shared" si="4"/>
        <v>695</v>
      </c>
      <c r="T66" s="56">
        <f>0</f>
        <v>0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.75" x14ac:dyDescent="0.25">
      <c r="A67" s="16">
        <v>43313</v>
      </c>
      <c r="B67" s="69">
        <v>31</v>
      </c>
      <c r="C67" s="56">
        <f>194.205</f>
        <v>194.20500000000001</v>
      </c>
      <c r="D67" s="56">
        <f>267.466</f>
        <v>267.46600000000001</v>
      </c>
      <c r="E67" s="64">
        <f>133.845</f>
        <v>133.845</v>
      </c>
      <c r="F67" s="56">
        <f>278.484-40-25-60-100</f>
        <v>53.48399999999998</v>
      </c>
      <c r="G67" s="59">
        <v>40</v>
      </c>
      <c r="H67" s="56">
        <f t="shared" si="10"/>
        <v>185</v>
      </c>
      <c r="I67" s="56">
        <f t="shared" si="8"/>
        <v>0</v>
      </c>
      <c r="J67" s="59">
        <v>100</v>
      </c>
      <c r="K67" s="59">
        <v>300</v>
      </c>
      <c r="L67" s="56">
        <f t="shared" si="0"/>
        <v>1274</v>
      </c>
      <c r="M67" s="66">
        <v>400</v>
      </c>
      <c r="N67" s="56">
        <f>30</f>
        <v>30</v>
      </c>
      <c r="O67" s="59">
        <v>240</v>
      </c>
      <c r="P67" s="59">
        <v>160</v>
      </c>
      <c r="Q67" s="59">
        <f t="shared" si="2"/>
        <v>195</v>
      </c>
      <c r="R67" s="59">
        <f t="shared" si="3"/>
        <v>100</v>
      </c>
      <c r="S67" s="56">
        <f t="shared" si="4"/>
        <v>695</v>
      </c>
      <c r="T67" s="56">
        <f>0</f>
        <v>0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.75" x14ac:dyDescent="0.25">
      <c r="A68" s="16">
        <v>43344</v>
      </c>
      <c r="B68" s="69">
        <v>30</v>
      </c>
      <c r="C68" s="56">
        <f>194.205</f>
        <v>194.20500000000001</v>
      </c>
      <c r="D68" s="56">
        <f>267.466</f>
        <v>267.46600000000001</v>
      </c>
      <c r="E68" s="64">
        <f>133.845</f>
        <v>133.845</v>
      </c>
      <c r="F68" s="56">
        <f>278.484-40-25-60-100</f>
        <v>53.48399999999998</v>
      </c>
      <c r="G68" s="59">
        <v>40</v>
      </c>
      <c r="H68" s="56">
        <f t="shared" si="10"/>
        <v>185</v>
      </c>
      <c r="I68" s="56">
        <f t="shared" si="8"/>
        <v>0</v>
      </c>
      <c r="J68" s="59">
        <v>100</v>
      </c>
      <c r="K68" s="59">
        <v>300</v>
      </c>
      <c r="L68" s="56">
        <f t="shared" si="0"/>
        <v>1274</v>
      </c>
      <c r="M68" s="66">
        <v>400</v>
      </c>
      <c r="N68" s="56">
        <f>30</f>
        <v>30</v>
      </c>
      <c r="O68" s="59">
        <v>240</v>
      </c>
      <c r="P68" s="59">
        <v>160</v>
      </c>
      <c r="Q68" s="59">
        <f t="shared" si="2"/>
        <v>195</v>
      </c>
      <c r="R68" s="59">
        <f t="shared" si="3"/>
        <v>100</v>
      </c>
      <c r="S68" s="56">
        <f t="shared" si="4"/>
        <v>695</v>
      </c>
      <c r="T68" s="56">
        <f>0</f>
        <v>0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.75" x14ac:dyDescent="0.25">
      <c r="A69" s="16">
        <v>43374</v>
      </c>
      <c r="B69" s="69">
        <v>31</v>
      </c>
      <c r="C69" s="56">
        <f>131.881</f>
        <v>131.881</v>
      </c>
      <c r="D69" s="56">
        <f>277.167</f>
        <v>277.16699999999997</v>
      </c>
      <c r="E69" s="64">
        <f>79.08</f>
        <v>79.08</v>
      </c>
      <c r="F69" s="56">
        <f>350.872-40-25-60-100</f>
        <v>125.87200000000001</v>
      </c>
      <c r="G69" s="59">
        <v>40</v>
      </c>
      <c r="H69" s="56">
        <f t="shared" si="10"/>
        <v>185</v>
      </c>
      <c r="I69" s="56">
        <f t="shared" si="8"/>
        <v>0</v>
      </c>
      <c r="J69" s="59">
        <v>100</v>
      </c>
      <c r="K69" s="59">
        <v>300</v>
      </c>
      <c r="L69" s="56">
        <f t="shared" si="0"/>
        <v>1239</v>
      </c>
      <c r="M69" s="66">
        <v>400</v>
      </c>
      <c r="N69" s="56">
        <f>75</f>
        <v>75</v>
      </c>
      <c r="O69" s="59">
        <v>240</v>
      </c>
      <c r="P69" s="59">
        <v>160</v>
      </c>
      <c r="Q69" s="59">
        <f t="shared" si="2"/>
        <v>195</v>
      </c>
      <c r="R69" s="59">
        <f t="shared" si="3"/>
        <v>100</v>
      </c>
      <c r="S69" s="56">
        <f t="shared" si="4"/>
        <v>695</v>
      </c>
      <c r="T69" s="56">
        <f>0</f>
        <v>0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.75" x14ac:dyDescent="0.25">
      <c r="A70" s="16">
        <v>43405</v>
      </c>
      <c r="B70" s="69">
        <v>30</v>
      </c>
      <c r="C70" s="56">
        <f>122.58</f>
        <v>122.58</v>
      </c>
      <c r="D70" s="56">
        <f>297.941</f>
        <v>297.94099999999997</v>
      </c>
      <c r="E70" s="64">
        <f>89.177</f>
        <v>89.177000000000007</v>
      </c>
      <c r="F70" s="56">
        <f>240.302-40-60-100</f>
        <v>40.301999999999992</v>
      </c>
      <c r="G70" s="59">
        <v>40</v>
      </c>
      <c r="H70" s="56">
        <f>60+100</f>
        <v>160</v>
      </c>
      <c r="I70" s="56">
        <f t="shared" si="8"/>
        <v>0</v>
      </c>
      <c r="J70" s="59">
        <v>100</v>
      </c>
      <c r="K70" s="59">
        <v>300</v>
      </c>
      <c r="L70" s="56">
        <f t="shared" si="0"/>
        <v>1150</v>
      </c>
      <c r="M70" s="66">
        <v>400</v>
      </c>
      <c r="N70" s="56">
        <f>100</f>
        <v>100</v>
      </c>
      <c r="O70" s="59">
        <v>240</v>
      </c>
      <c r="P70" s="59">
        <v>40</v>
      </c>
      <c r="Q70" s="59">
        <f t="shared" si="2"/>
        <v>315</v>
      </c>
      <c r="R70" s="59">
        <f t="shared" si="3"/>
        <v>100</v>
      </c>
      <c r="S70" s="56">
        <f t="shared" si="4"/>
        <v>695</v>
      </c>
      <c r="T70" s="56">
        <f>50</f>
        <v>50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.75" x14ac:dyDescent="0.25">
      <c r="A71" s="16">
        <v>43435</v>
      </c>
      <c r="B71" s="69">
        <v>31</v>
      </c>
      <c r="C71" s="56">
        <f>122.58</f>
        <v>122.58</v>
      </c>
      <c r="D71" s="56">
        <f>297.941</f>
        <v>297.94099999999997</v>
      </c>
      <c r="E71" s="64">
        <f>89.177</f>
        <v>89.177000000000007</v>
      </c>
      <c r="F71" s="56">
        <f>240.302-40-60-100</f>
        <v>40.301999999999992</v>
      </c>
      <c r="G71" s="59">
        <v>40</v>
      </c>
      <c r="H71" s="56">
        <f>60+100</f>
        <v>160</v>
      </c>
      <c r="I71" s="56">
        <f t="shared" si="8"/>
        <v>0</v>
      </c>
      <c r="J71" s="59">
        <v>100</v>
      </c>
      <c r="K71" s="59">
        <v>300</v>
      </c>
      <c r="L71" s="56">
        <f t="shared" si="0"/>
        <v>1150</v>
      </c>
      <c r="M71" s="66">
        <v>400</v>
      </c>
      <c r="N71" s="56">
        <f>100</f>
        <v>100</v>
      </c>
      <c r="O71" s="59">
        <v>240</v>
      </c>
      <c r="P71" s="59">
        <v>40</v>
      </c>
      <c r="Q71" s="59">
        <f t="shared" si="2"/>
        <v>315</v>
      </c>
      <c r="R71" s="59">
        <f t="shared" si="3"/>
        <v>100</v>
      </c>
      <c r="S71" s="56">
        <f t="shared" si="4"/>
        <v>695</v>
      </c>
      <c r="T71" s="56">
        <f>50</f>
        <v>50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.75" x14ac:dyDescent="0.25">
      <c r="A72" s="16">
        <v>43466</v>
      </c>
      <c r="B72" s="69">
        <v>31</v>
      </c>
      <c r="C72" s="56">
        <f>122.58</f>
        <v>122.58</v>
      </c>
      <c r="D72" s="56">
        <f>297.941</f>
        <v>297.94099999999997</v>
      </c>
      <c r="E72" s="64">
        <f>89.177</f>
        <v>89.177000000000007</v>
      </c>
      <c r="F72" s="56">
        <f>240.302-40-60-100</f>
        <v>40.301999999999992</v>
      </c>
      <c r="G72" s="59">
        <v>40</v>
      </c>
      <c r="H72" s="56">
        <f>60+100</f>
        <v>160</v>
      </c>
      <c r="I72" s="56">
        <f t="shared" si="8"/>
        <v>0</v>
      </c>
      <c r="J72" s="59">
        <v>100</v>
      </c>
      <c r="K72" s="59">
        <v>300</v>
      </c>
      <c r="L72" s="56">
        <f t="shared" si="0"/>
        <v>1150</v>
      </c>
      <c r="M72" s="66">
        <v>400</v>
      </c>
      <c r="N72" s="56">
        <f>100</f>
        <v>100</v>
      </c>
      <c r="O72" s="59">
        <v>240</v>
      </c>
      <c r="P72" s="59">
        <v>40</v>
      </c>
      <c r="Q72" s="59">
        <f t="shared" si="2"/>
        <v>315</v>
      </c>
      <c r="R72" s="59">
        <f t="shared" si="3"/>
        <v>100</v>
      </c>
      <c r="S72" s="56">
        <f t="shared" si="4"/>
        <v>695</v>
      </c>
      <c r="T72" s="56">
        <f>50</f>
        <v>50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.75" x14ac:dyDescent="0.25">
      <c r="A73" s="16">
        <v>43497</v>
      </c>
      <c r="B73" s="69">
        <v>28</v>
      </c>
      <c r="C73" s="56">
        <f>122.58</f>
        <v>122.58</v>
      </c>
      <c r="D73" s="56">
        <f>297.941</f>
        <v>297.94099999999997</v>
      </c>
      <c r="E73" s="64">
        <f>89.177</f>
        <v>89.177000000000007</v>
      </c>
      <c r="F73" s="56">
        <f>240.302-40-60-100</f>
        <v>40.301999999999992</v>
      </c>
      <c r="G73" s="59">
        <v>40</v>
      </c>
      <c r="H73" s="56">
        <f>60+100</f>
        <v>160</v>
      </c>
      <c r="I73" s="56">
        <f t="shared" si="8"/>
        <v>0</v>
      </c>
      <c r="J73" s="59">
        <v>100</v>
      </c>
      <c r="K73" s="59">
        <v>300</v>
      </c>
      <c r="L73" s="56">
        <f t="shared" si="0"/>
        <v>1150</v>
      </c>
      <c r="M73" s="66">
        <v>400</v>
      </c>
      <c r="N73" s="56">
        <f>100</f>
        <v>100</v>
      </c>
      <c r="O73" s="59">
        <v>240</v>
      </c>
      <c r="P73" s="59">
        <v>40</v>
      </c>
      <c r="Q73" s="59">
        <f t="shared" si="2"/>
        <v>315</v>
      </c>
      <c r="R73" s="59">
        <f t="shared" si="3"/>
        <v>100</v>
      </c>
      <c r="S73" s="56">
        <f t="shared" si="4"/>
        <v>695</v>
      </c>
      <c r="T73" s="56">
        <f>50</f>
        <v>50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.75" x14ac:dyDescent="0.25">
      <c r="A74" s="16">
        <v>43525</v>
      </c>
      <c r="B74" s="69">
        <v>31</v>
      </c>
      <c r="C74" s="56">
        <f>122.58</f>
        <v>122.58</v>
      </c>
      <c r="D74" s="56">
        <f>297.941</f>
        <v>297.94099999999997</v>
      </c>
      <c r="E74" s="64">
        <f>89.177</f>
        <v>89.177000000000007</v>
      </c>
      <c r="F74" s="56">
        <f>240.302-40-60-100</f>
        <v>40.301999999999992</v>
      </c>
      <c r="G74" s="59">
        <v>40</v>
      </c>
      <c r="H74" s="56">
        <f>60+100</f>
        <v>160</v>
      </c>
      <c r="I74" s="56">
        <f t="shared" si="8"/>
        <v>0</v>
      </c>
      <c r="J74" s="59">
        <v>100</v>
      </c>
      <c r="K74" s="59">
        <v>300</v>
      </c>
      <c r="L74" s="56">
        <f t="shared" si="0"/>
        <v>1150</v>
      </c>
      <c r="M74" s="66">
        <v>400</v>
      </c>
      <c r="N74" s="56">
        <f>100</f>
        <v>100</v>
      </c>
      <c r="O74" s="59">
        <v>240</v>
      </c>
      <c r="P74" s="59">
        <v>40</v>
      </c>
      <c r="Q74" s="59">
        <f t="shared" si="2"/>
        <v>315</v>
      </c>
      <c r="R74" s="59">
        <f t="shared" si="3"/>
        <v>100</v>
      </c>
      <c r="S74" s="56">
        <f t="shared" si="4"/>
        <v>695</v>
      </c>
      <c r="T74" s="56">
        <f>50</f>
        <v>50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.75" x14ac:dyDescent="0.25">
      <c r="A75" s="16">
        <v>43556</v>
      </c>
      <c r="B75" s="69">
        <v>30</v>
      </c>
      <c r="C75" s="56">
        <f>141.293</f>
        <v>141.29300000000001</v>
      </c>
      <c r="D75" s="56">
        <f>267.993</f>
        <v>267.99299999999999</v>
      </c>
      <c r="E75" s="64">
        <f>115.016</f>
        <v>115.01600000000001</v>
      </c>
      <c r="F75" s="56">
        <f>314.698-40-25-60-100</f>
        <v>89.697999999999979</v>
      </c>
      <c r="G75" s="59">
        <v>40</v>
      </c>
      <c r="H75" s="56">
        <f t="shared" ref="H75:H81" si="11">25+60+100</f>
        <v>185</v>
      </c>
      <c r="I75" s="56">
        <f t="shared" si="8"/>
        <v>0</v>
      </c>
      <c r="J75" s="59">
        <v>100</v>
      </c>
      <c r="K75" s="59">
        <v>300</v>
      </c>
      <c r="L75" s="56">
        <f t="shared" si="0"/>
        <v>1239</v>
      </c>
      <c r="M75" s="66">
        <v>400</v>
      </c>
      <c r="N75" s="56">
        <f>100</f>
        <v>100</v>
      </c>
      <c r="O75" s="59">
        <v>240</v>
      </c>
      <c r="P75" s="59">
        <v>160</v>
      </c>
      <c r="Q75" s="59">
        <f t="shared" si="2"/>
        <v>195</v>
      </c>
      <c r="R75" s="59">
        <f t="shared" si="3"/>
        <v>100</v>
      </c>
      <c r="S75" s="56">
        <f t="shared" si="4"/>
        <v>695</v>
      </c>
      <c r="T75" s="56">
        <f>50</f>
        <v>50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.75" x14ac:dyDescent="0.25">
      <c r="A76" s="16">
        <v>43586</v>
      </c>
      <c r="B76" s="69">
        <v>31</v>
      </c>
      <c r="C76" s="56">
        <f>194.205</f>
        <v>194.20500000000001</v>
      </c>
      <c r="D76" s="56">
        <f>267.466</f>
        <v>267.46600000000001</v>
      </c>
      <c r="E76" s="64">
        <f>133.845</f>
        <v>133.845</v>
      </c>
      <c r="F76" s="56">
        <f>278.484-40-25-60-100</f>
        <v>53.48399999999998</v>
      </c>
      <c r="G76" s="59">
        <v>40</v>
      </c>
      <c r="H76" s="56">
        <f t="shared" si="11"/>
        <v>185</v>
      </c>
      <c r="I76" s="56">
        <f t="shared" si="8"/>
        <v>0</v>
      </c>
      <c r="J76" s="59">
        <v>100</v>
      </c>
      <c r="K76" s="59">
        <v>300</v>
      </c>
      <c r="L76" s="56">
        <f t="shared" si="0"/>
        <v>1274</v>
      </c>
      <c r="M76" s="66">
        <v>400</v>
      </c>
      <c r="N76" s="56">
        <f>75</f>
        <v>75</v>
      </c>
      <c r="O76" s="59">
        <v>240</v>
      </c>
      <c r="P76" s="59">
        <v>160</v>
      </c>
      <c r="Q76" s="59">
        <f t="shared" si="2"/>
        <v>195</v>
      </c>
      <c r="R76" s="59">
        <f t="shared" si="3"/>
        <v>100</v>
      </c>
      <c r="S76" s="56">
        <f t="shared" si="4"/>
        <v>695</v>
      </c>
      <c r="T76" s="56">
        <f>50</f>
        <v>50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.75" x14ac:dyDescent="0.25">
      <c r="A77" s="16">
        <v>43617</v>
      </c>
      <c r="B77" s="69">
        <v>30</v>
      </c>
      <c r="C77" s="56">
        <f>194.205</f>
        <v>194.20500000000001</v>
      </c>
      <c r="D77" s="56">
        <f>267.466</f>
        <v>267.46600000000001</v>
      </c>
      <c r="E77" s="64">
        <f>133.845</f>
        <v>133.845</v>
      </c>
      <c r="F77" s="56">
        <f>278.484-40-25-60-100</f>
        <v>53.48399999999998</v>
      </c>
      <c r="G77" s="59">
        <v>40</v>
      </c>
      <c r="H77" s="56">
        <f t="shared" si="11"/>
        <v>185</v>
      </c>
      <c r="I77" s="56">
        <f t="shared" si="8"/>
        <v>0</v>
      </c>
      <c r="J77" s="59">
        <v>100</v>
      </c>
      <c r="K77" s="59">
        <v>300</v>
      </c>
      <c r="L77" s="56">
        <f t="shared" si="0"/>
        <v>1274</v>
      </c>
      <c r="M77" s="66">
        <v>400</v>
      </c>
      <c r="N77" s="56">
        <f>30</f>
        <v>30</v>
      </c>
      <c r="O77" s="59">
        <v>240</v>
      </c>
      <c r="P77" s="59">
        <v>160</v>
      </c>
      <c r="Q77" s="59">
        <f t="shared" si="2"/>
        <v>195</v>
      </c>
      <c r="R77" s="59">
        <f t="shared" si="3"/>
        <v>100</v>
      </c>
      <c r="S77" s="56">
        <f t="shared" si="4"/>
        <v>695</v>
      </c>
      <c r="T77" s="56">
        <f>50</f>
        <v>50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.75" x14ac:dyDescent="0.25">
      <c r="A78" s="16">
        <v>43647</v>
      </c>
      <c r="B78" s="69">
        <v>31</v>
      </c>
      <c r="C78" s="56">
        <f>194.205</f>
        <v>194.20500000000001</v>
      </c>
      <c r="D78" s="56">
        <f>267.466</f>
        <v>267.46600000000001</v>
      </c>
      <c r="E78" s="64">
        <f>133.845</f>
        <v>133.845</v>
      </c>
      <c r="F78" s="56">
        <f>278.484-40-25-60-100</f>
        <v>53.48399999999998</v>
      </c>
      <c r="G78" s="59">
        <v>40</v>
      </c>
      <c r="H78" s="56">
        <f t="shared" si="11"/>
        <v>185</v>
      </c>
      <c r="I78" s="56">
        <f t="shared" si="8"/>
        <v>0</v>
      </c>
      <c r="J78" s="59">
        <v>100</v>
      </c>
      <c r="K78" s="59">
        <v>300</v>
      </c>
      <c r="L78" s="56">
        <f t="shared" si="0"/>
        <v>1274</v>
      </c>
      <c r="M78" s="66">
        <v>400</v>
      </c>
      <c r="N78" s="56">
        <f>30</f>
        <v>30</v>
      </c>
      <c r="O78" s="59">
        <v>240</v>
      </c>
      <c r="P78" s="59">
        <v>160</v>
      </c>
      <c r="Q78" s="59">
        <f t="shared" si="2"/>
        <v>195</v>
      </c>
      <c r="R78" s="59">
        <f t="shared" si="3"/>
        <v>100</v>
      </c>
      <c r="S78" s="56">
        <f t="shared" si="4"/>
        <v>695</v>
      </c>
      <c r="T78" s="56">
        <f>0</f>
        <v>0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.75" x14ac:dyDescent="0.25">
      <c r="A79" s="16">
        <v>43678</v>
      </c>
      <c r="B79" s="69">
        <v>31</v>
      </c>
      <c r="C79" s="56">
        <f>194.205</f>
        <v>194.20500000000001</v>
      </c>
      <c r="D79" s="56">
        <f>267.466</f>
        <v>267.46600000000001</v>
      </c>
      <c r="E79" s="64">
        <f>133.845</f>
        <v>133.845</v>
      </c>
      <c r="F79" s="56">
        <f>278.484-40-25-60-100</f>
        <v>53.48399999999998</v>
      </c>
      <c r="G79" s="59">
        <v>40</v>
      </c>
      <c r="H79" s="56">
        <f t="shared" si="11"/>
        <v>185</v>
      </c>
      <c r="I79" s="56">
        <f t="shared" si="8"/>
        <v>0</v>
      </c>
      <c r="J79" s="59">
        <v>100</v>
      </c>
      <c r="K79" s="59">
        <v>300</v>
      </c>
      <c r="L79" s="56">
        <f t="shared" ref="L79:L142" si="12">SUM(C79:K79)</f>
        <v>1274</v>
      </c>
      <c r="M79" s="66">
        <v>400</v>
      </c>
      <c r="N79" s="56">
        <f>30</f>
        <v>30</v>
      </c>
      <c r="O79" s="59">
        <v>240</v>
      </c>
      <c r="P79" s="59">
        <v>160</v>
      </c>
      <c r="Q79" s="59">
        <f t="shared" ref="Q79:Q142" si="13">695-R79-O79-P79</f>
        <v>195</v>
      </c>
      <c r="R79" s="59">
        <f t="shared" ref="R79:R142" si="14">200-J79</f>
        <v>100</v>
      </c>
      <c r="S79" s="56">
        <f t="shared" ref="S79:S142" si="15">SUM(O79:R79)</f>
        <v>695</v>
      </c>
      <c r="T79" s="56">
        <f>0</f>
        <v>0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 x14ac:dyDescent="0.25">
      <c r="A80" s="16">
        <v>43709</v>
      </c>
      <c r="B80" s="69">
        <v>30</v>
      </c>
      <c r="C80" s="56">
        <f>194.205</f>
        <v>194.20500000000001</v>
      </c>
      <c r="D80" s="56">
        <f>267.466</f>
        <v>267.46600000000001</v>
      </c>
      <c r="E80" s="64">
        <f>133.845</f>
        <v>133.845</v>
      </c>
      <c r="F80" s="56">
        <f>278.484-40-25-60-100</f>
        <v>53.48399999999998</v>
      </c>
      <c r="G80" s="59">
        <v>40</v>
      </c>
      <c r="H80" s="56">
        <f t="shared" si="11"/>
        <v>185</v>
      </c>
      <c r="I80" s="56">
        <f t="shared" si="8"/>
        <v>0</v>
      </c>
      <c r="J80" s="59">
        <v>100</v>
      </c>
      <c r="K80" s="59">
        <v>300</v>
      </c>
      <c r="L80" s="56">
        <f t="shared" si="12"/>
        <v>1274</v>
      </c>
      <c r="M80" s="66">
        <v>400</v>
      </c>
      <c r="N80" s="56">
        <f>30</f>
        <v>30</v>
      </c>
      <c r="O80" s="59">
        <v>240</v>
      </c>
      <c r="P80" s="59">
        <v>160</v>
      </c>
      <c r="Q80" s="59">
        <f t="shared" si="13"/>
        <v>195</v>
      </c>
      <c r="R80" s="59">
        <f t="shared" si="14"/>
        <v>100</v>
      </c>
      <c r="S80" s="56">
        <f t="shared" si="15"/>
        <v>695</v>
      </c>
      <c r="T80" s="56">
        <f>0</f>
        <v>0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.75" x14ac:dyDescent="0.25">
      <c r="A81" s="16">
        <v>43739</v>
      </c>
      <c r="B81" s="69">
        <v>31</v>
      </c>
      <c r="C81" s="56">
        <f>131.881</f>
        <v>131.881</v>
      </c>
      <c r="D81" s="56">
        <f>277.167</f>
        <v>277.16699999999997</v>
      </c>
      <c r="E81" s="64">
        <f>79.08</f>
        <v>79.08</v>
      </c>
      <c r="F81" s="56">
        <f>350.872-40-25-60-100</f>
        <v>125.87200000000001</v>
      </c>
      <c r="G81" s="59">
        <v>40</v>
      </c>
      <c r="H81" s="56">
        <f t="shared" si="11"/>
        <v>185</v>
      </c>
      <c r="I81" s="56">
        <f t="shared" si="8"/>
        <v>0</v>
      </c>
      <c r="J81" s="59">
        <v>100</v>
      </c>
      <c r="K81" s="59">
        <v>300</v>
      </c>
      <c r="L81" s="56">
        <f t="shared" si="12"/>
        <v>1239</v>
      </c>
      <c r="M81" s="66">
        <v>400</v>
      </c>
      <c r="N81" s="56">
        <f>75</f>
        <v>75</v>
      </c>
      <c r="O81" s="59">
        <v>240</v>
      </c>
      <c r="P81" s="59">
        <v>160</v>
      </c>
      <c r="Q81" s="59">
        <f t="shared" si="13"/>
        <v>195</v>
      </c>
      <c r="R81" s="59">
        <f t="shared" si="14"/>
        <v>100</v>
      </c>
      <c r="S81" s="56">
        <f t="shared" si="15"/>
        <v>695</v>
      </c>
      <c r="T81" s="56">
        <f>0</f>
        <v>0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.75" x14ac:dyDescent="0.25">
      <c r="A82" s="16">
        <v>43770</v>
      </c>
      <c r="B82" s="69">
        <v>30</v>
      </c>
      <c r="C82" s="56">
        <f>122.58</f>
        <v>122.58</v>
      </c>
      <c r="D82" s="56">
        <f>297.941</f>
        <v>297.94099999999997</v>
      </c>
      <c r="E82" s="64">
        <f>89.177</f>
        <v>89.177000000000007</v>
      </c>
      <c r="F82" s="56">
        <f>240.302-40-60-100</f>
        <v>40.301999999999992</v>
      </c>
      <c r="G82" s="59">
        <v>40</v>
      </c>
      <c r="H82" s="56">
        <f>60+100</f>
        <v>160</v>
      </c>
      <c r="I82" s="56">
        <f t="shared" si="8"/>
        <v>0</v>
      </c>
      <c r="J82" s="59">
        <v>100</v>
      </c>
      <c r="K82" s="59">
        <v>300</v>
      </c>
      <c r="L82" s="56">
        <f t="shared" si="12"/>
        <v>1150</v>
      </c>
      <c r="M82" s="66">
        <v>400</v>
      </c>
      <c r="N82" s="56">
        <f>100</f>
        <v>100</v>
      </c>
      <c r="O82" s="59">
        <v>240</v>
      </c>
      <c r="P82" s="59">
        <v>40</v>
      </c>
      <c r="Q82" s="59">
        <f t="shared" si="13"/>
        <v>315</v>
      </c>
      <c r="R82" s="59">
        <f t="shared" si="14"/>
        <v>100</v>
      </c>
      <c r="S82" s="56">
        <f t="shared" si="15"/>
        <v>695</v>
      </c>
      <c r="T82" s="56">
        <f>50</f>
        <v>50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.75" x14ac:dyDescent="0.25">
      <c r="A83" s="16">
        <v>43800</v>
      </c>
      <c r="B83" s="69">
        <v>31</v>
      </c>
      <c r="C83" s="56">
        <f>122.58</f>
        <v>122.58</v>
      </c>
      <c r="D83" s="56">
        <f>297.941</f>
        <v>297.94099999999997</v>
      </c>
      <c r="E83" s="64">
        <f>89.177</f>
        <v>89.177000000000007</v>
      </c>
      <c r="F83" s="56">
        <f>240.302-40-60-100</f>
        <v>40.301999999999992</v>
      </c>
      <c r="G83" s="59">
        <v>40</v>
      </c>
      <c r="H83" s="56">
        <f>60+100</f>
        <v>160</v>
      </c>
      <c r="I83" s="56">
        <f t="shared" si="8"/>
        <v>0</v>
      </c>
      <c r="J83" s="59">
        <v>100</v>
      </c>
      <c r="K83" s="59">
        <v>300</v>
      </c>
      <c r="L83" s="56">
        <f t="shared" si="12"/>
        <v>1150</v>
      </c>
      <c r="M83" s="66">
        <v>400</v>
      </c>
      <c r="N83" s="56">
        <f>100</f>
        <v>100</v>
      </c>
      <c r="O83" s="59">
        <v>240</v>
      </c>
      <c r="P83" s="59">
        <v>40</v>
      </c>
      <c r="Q83" s="59">
        <f t="shared" si="13"/>
        <v>315</v>
      </c>
      <c r="R83" s="59">
        <f t="shared" si="14"/>
        <v>100</v>
      </c>
      <c r="S83" s="56">
        <f t="shared" si="15"/>
        <v>695</v>
      </c>
      <c r="T83" s="56">
        <f>50</f>
        <v>50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.75" x14ac:dyDescent="0.25">
      <c r="A84" s="16">
        <v>43831</v>
      </c>
      <c r="B84" s="69">
        <v>31</v>
      </c>
      <c r="C84" s="56">
        <f>122.58</f>
        <v>122.58</v>
      </c>
      <c r="D84" s="56">
        <f>297.941</f>
        <v>297.94099999999997</v>
      </c>
      <c r="E84" s="64">
        <f>89.177</f>
        <v>89.177000000000007</v>
      </c>
      <c r="F84" s="56">
        <f>240.302-40-60-100</f>
        <v>40.301999999999992</v>
      </c>
      <c r="G84" s="59">
        <v>40</v>
      </c>
      <c r="H84" s="56">
        <f>60+100</f>
        <v>160</v>
      </c>
      <c r="I84" s="56">
        <f t="shared" si="8"/>
        <v>0</v>
      </c>
      <c r="J84" s="59">
        <v>100</v>
      </c>
      <c r="K84" s="59">
        <v>300</v>
      </c>
      <c r="L84" s="56">
        <f t="shared" si="12"/>
        <v>1150</v>
      </c>
      <c r="M84" s="66">
        <v>400</v>
      </c>
      <c r="N84" s="56">
        <f>100</f>
        <v>100</v>
      </c>
      <c r="O84" s="59">
        <v>240</v>
      </c>
      <c r="P84" s="59">
        <v>40</v>
      </c>
      <c r="Q84" s="59">
        <f t="shared" si="13"/>
        <v>315</v>
      </c>
      <c r="R84" s="59">
        <f t="shared" si="14"/>
        <v>100</v>
      </c>
      <c r="S84" s="56">
        <f t="shared" si="15"/>
        <v>695</v>
      </c>
      <c r="T84" s="56">
        <f>50</f>
        <v>50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.75" x14ac:dyDescent="0.25">
      <c r="A85" s="16">
        <v>43862</v>
      </c>
      <c r="B85" s="69">
        <v>29</v>
      </c>
      <c r="C85" s="56">
        <f>122.58</f>
        <v>122.58</v>
      </c>
      <c r="D85" s="56">
        <f>297.941</f>
        <v>297.94099999999997</v>
      </c>
      <c r="E85" s="64">
        <f>89.177</f>
        <v>89.177000000000007</v>
      </c>
      <c r="F85" s="56">
        <f>240.302-40-60-100</f>
        <v>40.301999999999992</v>
      </c>
      <c r="G85" s="59">
        <v>40</v>
      </c>
      <c r="H85" s="56">
        <f>60+100</f>
        <v>160</v>
      </c>
      <c r="I85" s="56">
        <f t="shared" si="8"/>
        <v>0</v>
      </c>
      <c r="J85" s="59">
        <v>100</v>
      </c>
      <c r="K85" s="59">
        <v>300</v>
      </c>
      <c r="L85" s="56">
        <f t="shared" si="12"/>
        <v>1150</v>
      </c>
      <c r="M85" s="66">
        <v>400</v>
      </c>
      <c r="N85" s="56">
        <f>100</f>
        <v>100</v>
      </c>
      <c r="O85" s="59">
        <v>240</v>
      </c>
      <c r="P85" s="59">
        <v>40</v>
      </c>
      <c r="Q85" s="59">
        <f t="shared" si="13"/>
        <v>315</v>
      </c>
      <c r="R85" s="59">
        <f t="shared" si="14"/>
        <v>100</v>
      </c>
      <c r="S85" s="56">
        <f t="shared" si="15"/>
        <v>695</v>
      </c>
      <c r="T85" s="56">
        <f>50</f>
        <v>50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.75" x14ac:dyDescent="0.25">
      <c r="A86" s="16">
        <v>43891</v>
      </c>
      <c r="B86" s="69">
        <v>31</v>
      </c>
      <c r="C86" s="56">
        <f>122.58</f>
        <v>122.58</v>
      </c>
      <c r="D86" s="56">
        <f>297.941</f>
        <v>297.94099999999997</v>
      </c>
      <c r="E86" s="64">
        <f>89.177</f>
        <v>89.177000000000007</v>
      </c>
      <c r="F86" s="56">
        <f>240.302-40-60-100</f>
        <v>40.301999999999992</v>
      </c>
      <c r="G86" s="59">
        <v>40</v>
      </c>
      <c r="H86" s="56">
        <f>60+100</f>
        <v>160</v>
      </c>
      <c r="I86" s="56">
        <f t="shared" si="8"/>
        <v>0</v>
      </c>
      <c r="J86" s="59">
        <v>100</v>
      </c>
      <c r="K86" s="59">
        <v>300</v>
      </c>
      <c r="L86" s="56">
        <f t="shared" si="12"/>
        <v>1150</v>
      </c>
      <c r="M86" s="66">
        <v>400</v>
      </c>
      <c r="N86" s="56">
        <f>100</f>
        <v>100</v>
      </c>
      <c r="O86" s="59">
        <v>240</v>
      </c>
      <c r="P86" s="59">
        <v>40</v>
      </c>
      <c r="Q86" s="59">
        <f t="shared" si="13"/>
        <v>315</v>
      </c>
      <c r="R86" s="59">
        <f t="shared" si="14"/>
        <v>100</v>
      </c>
      <c r="S86" s="56">
        <f t="shared" si="15"/>
        <v>695</v>
      </c>
      <c r="T86" s="56">
        <f>50</f>
        <v>50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.75" x14ac:dyDescent="0.25">
      <c r="A87" s="16">
        <v>43922</v>
      </c>
      <c r="B87" s="69">
        <v>30</v>
      </c>
      <c r="C87" s="56">
        <f>141.293</f>
        <v>141.29300000000001</v>
      </c>
      <c r="D87" s="56">
        <f>267.993</f>
        <v>267.99299999999999</v>
      </c>
      <c r="E87" s="64">
        <f>115.016</f>
        <v>115.01600000000001</v>
      </c>
      <c r="F87" s="56">
        <f>314.698-40-25-60-100</f>
        <v>89.697999999999979</v>
      </c>
      <c r="G87" s="59">
        <v>40</v>
      </c>
      <c r="H87" s="56">
        <f t="shared" ref="H87:H93" si="16">25+60+100</f>
        <v>185</v>
      </c>
      <c r="I87" s="56">
        <f t="shared" si="8"/>
        <v>0</v>
      </c>
      <c r="J87" s="59">
        <v>100</v>
      </c>
      <c r="K87" s="59">
        <v>300</v>
      </c>
      <c r="L87" s="56">
        <f t="shared" si="12"/>
        <v>1239</v>
      </c>
      <c r="M87" s="66">
        <v>400</v>
      </c>
      <c r="N87" s="56">
        <f>100</f>
        <v>100</v>
      </c>
      <c r="O87" s="59">
        <v>240</v>
      </c>
      <c r="P87" s="59">
        <v>160</v>
      </c>
      <c r="Q87" s="59">
        <f t="shared" si="13"/>
        <v>195</v>
      </c>
      <c r="R87" s="59">
        <f t="shared" si="14"/>
        <v>100</v>
      </c>
      <c r="S87" s="56">
        <f t="shared" si="15"/>
        <v>695</v>
      </c>
      <c r="T87" s="56">
        <f>50</f>
        <v>50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.75" x14ac:dyDescent="0.25">
      <c r="A88" s="16">
        <v>43952</v>
      </c>
      <c r="B88" s="69">
        <v>31</v>
      </c>
      <c r="C88" s="56">
        <f>194.205</f>
        <v>194.20500000000001</v>
      </c>
      <c r="D88" s="56">
        <f>267.466</f>
        <v>267.46600000000001</v>
      </c>
      <c r="E88" s="64">
        <f>133.845</f>
        <v>133.845</v>
      </c>
      <c r="F88" s="56">
        <f>278.484-40-25-60-100</f>
        <v>53.48399999999998</v>
      </c>
      <c r="G88" s="59">
        <v>40</v>
      </c>
      <c r="H88" s="56">
        <f t="shared" si="16"/>
        <v>185</v>
      </c>
      <c r="I88" s="56">
        <f t="shared" si="8"/>
        <v>0</v>
      </c>
      <c r="J88" s="59">
        <v>100</v>
      </c>
      <c r="K88" s="59">
        <v>300</v>
      </c>
      <c r="L88" s="56">
        <f t="shared" si="12"/>
        <v>1274</v>
      </c>
      <c r="M88" s="66">
        <v>600</v>
      </c>
      <c r="N88" s="56">
        <f>75</f>
        <v>75</v>
      </c>
      <c r="O88" s="59">
        <v>240</v>
      </c>
      <c r="P88" s="59">
        <v>160</v>
      </c>
      <c r="Q88" s="59">
        <f t="shared" si="13"/>
        <v>195</v>
      </c>
      <c r="R88" s="59">
        <f t="shared" si="14"/>
        <v>100</v>
      </c>
      <c r="S88" s="56">
        <f t="shared" si="15"/>
        <v>695</v>
      </c>
      <c r="T88" s="56">
        <f>50</f>
        <v>50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.75" x14ac:dyDescent="0.25">
      <c r="A89" s="16">
        <v>43983</v>
      </c>
      <c r="B89" s="69">
        <v>30</v>
      </c>
      <c r="C89" s="56">
        <f>194.205</f>
        <v>194.20500000000001</v>
      </c>
      <c r="D89" s="56">
        <f>267.466</f>
        <v>267.46600000000001</v>
      </c>
      <c r="E89" s="64">
        <f>133.845</f>
        <v>133.845</v>
      </c>
      <c r="F89" s="56">
        <f>278.484-40-25-60-100</f>
        <v>53.48399999999998</v>
      </c>
      <c r="G89" s="59">
        <v>40</v>
      </c>
      <c r="H89" s="56">
        <f t="shared" si="16"/>
        <v>185</v>
      </c>
      <c r="I89" s="56">
        <f t="shared" si="8"/>
        <v>0</v>
      </c>
      <c r="J89" s="59">
        <v>100</v>
      </c>
      <c r="K89" s="59">
        <v>300</v>
      </c>
      <c r="L89" s="56">
        <f t="shared" si="12"/>
        <v>1274</v>
      </c>
      <c r="M89" s="66">
        <v>600</v>
      </c>
      <c r="N89" s="56">
        <f>30</f>
        <v>30</v>
      </c>
      <c r="O89" s="59">
        <v>240</v>
      </c>
      <c r="P89" s="59">
        <v>160</v>
      </c>
      <c r="Q89" s="59">
        <f t="shared" si="13"/>
        <v>195</v>
      </c>
      <c r="R89" s="59">
        <f t="shared" si="14"/>
        <v>100</v>
      </c>
      <c r="S89" s="56">
        <f t="shared" si="15"/>
        <v>695</v>
      </c>
      <c r="T89" s="56">
        <f>50</f>
        <v>50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.75" x14ac:dyDescent="0.25">
      <c r="A90" s="16">
        <v>44013</v>
      </c>
      <c r="B90" s="69">
        <v>31</v>
      </c>
      <c r="C90" s="56">
        <f>194.205</f>
        <v>194.20500000000001</v>
      </c>
      <c r="D90" s="56">
        <f>267.466</f>
        <v>267.46600000000001</v>
      </c>
      <c r="E90" s="64">
        <f>133.845</f>
        <v>133.845</v>
      </c>
      <c r="F90" s="56">
        <f>278.484-40-25-60-100</f>
        <v>53.48399999999998</v>
      </c>
      <c r="G90" s="59">
        <v>40</v>
      </c>
      <c r="H90" s="56">
        <f t="shared" si="16"/>
        <v>185</v>
      </c>
      <c r="I90" s="56">
        <f t="shared" si="8"/>
        <v>0</v>
      </c>
      <c r="J90" s="59">
        <v>100</v>
      </c>
      <c r="K90" s="59">
        <v>300</v>
      </c>
      <c r="L90" s="56">
        <f t="shared" si="12"/>
        <v>1274</v>
      </c>
      <c r="M90" s="66">
        <v>600</v>
      </c>
      <c r="N90" s="56">
        <f>30</f>
        <v>30</v>
      </c>
      <c r="O90" s="59">
        <v>240</v>
      </c>
      <c r="P90" s="59">
        <v>160</v>
      </c>
      <c r="Q90" s="59">
        <f t="shared" si="13"/>
        <v>195</v>
      </c>
      <c r="R90" s="59">
        <f t="shared" si="14"/>
        <v>100</v>
      </c>
      <c r="S90" s="56">
        <f t="shared" si="15"/>
        <v>695</v>
      </c>
      <c r="T90" s="56">
        <f>0</f>
        <v>0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.75" x14ac:dyDescent="0.25">
      <c r="A91" s="16">
        <v>44044</v>
      </c>
      <c r="B91" s="69">
        <v>31</v>
      </c>
      <c r="C91" s="56">
        <f>194.205</f>
        <v>194.20500000000001</v>
      </c>
      <c r="D91" s="56">
        <f>267.466</f>
        <v>267.46600000000001</v>
      </c>
      <c r="E91" s="64">
        <f>133.845</f>
        <v>133.845</v>
      </c>
      <c r="F91" s="56">
        <f>278.484-40-25-60-100</f>
        <v>53.48399999999998</v>
      </c>
      <c r="G91" s="59">
        <v>40</v>
      </c>
      <c r="H91" s="56">
        <f t="shared" si="16"/>
        <v>185</v>
      </c>
      <c r="I91" s="56">
        <f t="shared" si="8"/>
        <v>0</v>
      </c>
      <c r="J91" s="59">
        <v>100</v>
      </c>
      <c r="K91" s="59">
        <v>300</v>
      </c>
      <c r="L91" s="56">
        <f t="shared" si="12"/>
        <v>1274</v>
      </c>
      <c r="M91" s="66">
        <v>600</v>
      </c>
      <c r="N91" s="56">
        <f>30</f>
        <v>30</v>
      </c>
      <c r="O91" s="59">
        <v>240</v>
      </c>
      <c r="P91" s="59">
        <v>160</v>
      </c>
      <c r="Q91" s="59">
        <f t="shared" si="13"/>
        <v>195</v>
      </c>
      <c r="R91" s="59">
        <f t="shared" si="14"/>
        <v>100</v>
      </c>
      <c r="S91" s="56">
        <f t="shared" si="15"/>
        <v>695</v>
      </c>
      <c r="T91" s="56">
        <f>0</f>
        <v>0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.75" x14ac:dyDescent="0.25">
      <c r="A92" s="16">
        <v>44075</v>
      </c>
      <c r="B92" s="69">
        <v>30</v>
      </c>
      <c r="C92" s="56">
        <f>194.205</f>
        <v>194.20500000000001</v>
      </c>
      <c r="D92" s="56">
        <f>267.466</f>
        <v>267.46600000000001</v>
      </c>
      <c r="E92" s="64">
        <f>133.845</f>
        <v>133.845</v>
      </c>
      <c r="F92" s="56">
        <f>278.484-40-25-60-100</f>
        <v>53.48399999999998</v>
      </c>
      <c r="G92" s="59">
        <v>40</v>
      </c>
      <c r="H92" s="56">
        <f t="shared" si="16"/>
        <v>185</v>
      </c>
      <c r="I92" s="56">
        <f t="shared" si="8"/>
        <v>0</v>
      </c>
      <c r="J92" s="59">
        <v>100</v>
      </c>
      <c r="K92" s="59">
        <v>300</v>
      </c>
      <c r="L92" s="56">
        <f t="shared" si="12"/>
        <v>1274</v>
      </c>
      <c r="M92" s="66">
        <v>600</v>
      </c>
      <c r="N92" s="56">
        <f>30</f>
        <v>30</v>
      </c>
      <c r="O92" s="59">
        <v>240</v>
      </c>
      <c r="P92" s="59">
        <v>160</v>
      </c>
      <c r="Q92" s="59">
        <f t="shared" si="13"/>
        <v>195</v>
      </c>
      <c r="R92" s="59">
        <f t="shared" si="14"/>
        <v>100</v>
      </c>
      <c r="S92" s="56">
        <f t="shared" si="15"/>
        <v>695</v>
      </c>
      <c r="T92" s="56">
        <f>0</f>
        <v>0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.75" x14ac:dyDescent="0.25">
      <c r="A93" s="16">
        <v>44105</v>
      </c>
      <c r="B93" s="69">
        <v>31</v>
      </c>
      <c r="C93" s="56">
        <f>131.881</f>
        <v>131.881</v>
      </c>
      <c r="D93" s="56">
        <f>277.167</f>
        <v>277.16699999999997</v>
      </c>
      <c r="E93" s="64">
        <f>79.08</f>
        <v>79.08</v>
      </c>
      <c r="F93" s="56">
        <f>350.872-40-25-60-100</f>
        <v>125.87200000000001</v>
      </c>
      <c r="G93" s="59">
        <v>40</v>
      </c>
      <c r="H93" s="56">
        <f t="shared" si="16"/>
        <v>185</v>
      </c>
      <c r="I93" s="56">
        <f t="shared" si="8"/>
        <v>0</v>
      </c>
      <c r="J93" s="59">
        <v>100</v>
      </c>
      <c r="K93" s="59">
        <v>300</v>
      </c>
      <c r="L93" s="56">
        <f t="shared" si="12"/>
        <v>1239</v>
      </c>
      <c r="M93" s="66">
        <v>600</v>
      </c>
      <c r="N93" s="56">
        <f>75</f>
        <v>75</v>
      </c>
      <c r="O93" s="59">
        <v>240</v>
      </c>
      <c r="P93" s="59">
        <v>160</v>
      </c>
      <c r="Q93" s="59">
        <f t="shared" si="13"/>
        <v>195</v>
      </c>
      <c r="R93" s="59">
        <f t="shared" si="14"/>
        <v>100</v>
      </c>
      <c r="S93" s="56">
        <f t="shared" si="15"/>
        <v>695</v>
      </c>
      <c r="T93" s="56">
        <f>0</f>
        <v>0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.75" x14ac:dyDescent="0.25">
      <c r="A94" s="16">
        <v>44136</v>
      </c>
      <c r="B94" s="69">
        <v>30</v>
      </c>
      <c r="C94" s="56">
        <f>122.58</f>
        <v>122.58</v>
      </c>
      <c r="D94" s="56">
        <f>297.941</f>
        <v>297.94099999999997</v>
      </c>
      <c r="E94" s="64">
        <f>89.177</f>
        <v>89.177000000000007</v>
      </c>
      <c r="F94" s="56">
        <f>240.302-40-60-100</f>
        <v>40.301999999999992</v>
      </c>
      <c r="G94" s="59">
        <v>40</v>
      </c>
      <c r="H94" s="56">
        <f>60+100</f>
        <v>160</v>
      </c>
      <c r="I94" s="56">
        <f t="shared" si="8"/>
        <v>0</v>
      </c>
      <c r="J94" s="59">
        <v>100</v>
      </c>
      <c r="K94" s="59">
        <v>300</v>
      </c>
      <c r="L94" s="56">
        <f t="shared" si="12"/>
        <v>1150</v>
      </c>
      <c r="M94" s="66">
        <v>600</v>
      </c>
      <c r="N94" s="56">
        <f>100</f>
        <v>100</v>
      </c>
      <c r="O94" s="59">
        <v>240</v>
      </c>
      <c r="P94" s="59">
        <v>40</v>
      </c>
      <c r="Q94" s="59">
        <f t="shared" si="13"/>
        <v>315</v>
      </c>
      <c r="R94" s="59">
        <f t="shared" si="14"/>
        <v>100</v>
      </c>
      <c r="S94" s="56">
        <f t="shared" si="15"/>
        <v>695</v>
      </c>
      <c r="T94" s="56">
        <f>50</f>
        <v>50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.75" x14ac:dyDescent="0.25">
      <c r="A95" s="16">
        <v>44166</v>
      </c>
      <c r="B95" s="69">
        <v>31</v>
      </c>
      <c r="C95" s="56">
        <f>122.58</f>
        <v>122.58</v>
      </c>
      <c r="D95" s="56">
        <f>297.941</f>
        <v>297.94099999999997</v>
      </c>
      <c r="E95" s="64">
        <f>89.177</f>
        <v>89.177000000000007</v>
      </c>
      <c r="F95" s="56">
        <f>240.302-40-60-100</f>
        <v>40.301999999999992</v>
      </c>
      <c r="G95" s="59">
        <v>40</v>
      </c>
      <c r="H95" s="56">
        <f>60+100</f>
        <v>160</v>
      </c>
      <c r="I95" s="56">
        <f t="shared" si="8"/>
        <v>0</v>
      </c>
      <c r="J95" s="59">
        <v>100</v>
      </c>
      <c r="K95" s="59">
        <v>300</v>
      </c>
      <c r="L95" s="56">
        <f t="shared" si="12"/>
        <v>1150</v>
      </c>
      <c r="M95" s="66">
        <v>600</v>
      </c>
      <c r="N95" s="56">
        <f>100</f>
        <v>100</v>
      </c>
      <c r="O95" s="59">
        <v>240</v>
      </c>
      <c r="P95" s="59">
        <v>40</v>
      </c>
      <c r="Q95" s="59">
        <f t="shared" si="13"/>
        <v>315</v>
      </c>
      <c r="R95" s="59">
        <f t="shared" si="14"/>
        <v>100</v>
      </c>
      <c r="S95" s="56">
        <f t="shared" si="15"/>
        <v>695</v>
      </c>
      <c r="T95" s="56">
        <f>50</f>
        <v>50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.75" x14ac:dyDescent="0.25">
      <c r="A96" s="16">
        <v>44197</v>
      </c>
      <c r="B96" s="69">
        <v>31</v>
      </c>
      <c r="C96" s="56">
        <f>122.58</f>
        <v>122.58</v>
      </c>
      <c r="D96" s="56">
        <f>297.941</f>
        <v>297.94099999999997</v>
      </c>
      <c r="E96" s="64">
        <f>89.177</f>
        <v>89.177000000000007</v>
      </c>
      <c r="F96" s="56">
        <f>240.302-40-60-100</f>
        <v>40.301999999999992</v>
      </c>
      <c r="G96" s="59">
        <v>40</v>
      </c>
      <c r="H96" s="56">
        <f>60+100</f>
        <v>160</v>
      </c>
      <c r="I96" s="56">
        <f t="shared" si="8"/>
        <v>0</v>
      </c>
      <c r="J96" s="59">
        <v>100</v>
      </c>
      <c r="K96" s="59">
        <v>300</v>
      </c>
      <c r="L96" s="56">
        <f t="shared" si="12"/>
        <v>1150</v>
      </c>
      <c r="M96" s="66">
        <v>600</v>
      </c>
      <c r="N96" s="56">
        <f>100</f>
        <v>100</v>
      </c>
      <c r="O96" s="59">
        <v>240</v>
      </c>
      <c r="P96" s="59">
        <v>40</v>
      </c>
      <c r="Q96" s="59">
        <f t="shared" si="13"/>
        <v>315</v>
      </c>
      <c r="R96" s="59">
        <f t="shared" si="14"/>
        <v>100</v>
      </c>
      <c r="S96" s="56">
        <f t="shared" si="15"/>
        <v>695</v>
      </c>
      <c r="T96" s="56">
        <f>50</f>
        <v>50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.75" x14ac:dyDescent="0.25">
      <c r="A97" s="16">
        <v>44228</v>
      </c>
      <c r="B97" s="69">
        <v>28</v>
      </c>
      <c r="C97" s="56">
        <f>122.58</f>
        <v>122.58</v>
      </c>
      <c r="D97" s="56">
        <f>297.941</f>
        <v>297.94099999999997</v>
      </c>
      <c r="E97" s="64">
        <f>89.177</f>
        <v>89.177000000000007</v>
      </c>
      <c r="F97" s="56">
        <f>240.302-40-60-100</f>
        <v>40.301999999999992</v>
      </c>
      <c r="G97" s="59">
        <v>40</v>
      </c>
      <c r="H97" s="56">
        <f>60+100</f>
        <v>160</v>
      </c>
      <c r="I97" s="56">
        <f t="shared" si="8"/>
        <v>0</v>
      </c>
      <c r="J97" s="59">
        <v>100</v>
      </c>
      <c r="K97" s="59">
        <v>300</v>
      </c>
      <c r="L97" s="56">
        <f t="shared" si="12"/>
        <v>1150</v>
      </c>
      <c r="M97" s="66">
        <v>600</v>
      </c>
      <c r="N97" s="56">
        <f>100</f>
        <v>100</v>
      </c>
      <c r="O97" s="59">
        <v>240</v>
      </c>
      <c r="P97" s="59">
        <v>40</v>
      </c>
      <c r="Q97" s="59">
        <f t="shared" si="13"/>
        <v>315</v>
      </c>
      <c r="R97" s="59">
        <f t="shared" si="14"/>
        <v>100</v>
      </c>
      <c r="S97" s="56">
        <f t="shared" si="15"/>
        <v>695</v>
      </c>
      <c r="T97" s="56">
        <f>50</f>
        <v>50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.75" x14ac:dyDescent="0.25">
      <c r="A98" s="16">
        <v>44256</v>
      </c>
      <c r="B98" s="69">
        <v>31</v>
      </c>
      <c r="C98" s="56">
        <f>122.58</f>
        <v>122.58</v>
      </c>
      <c r="D98" s="56">
        <f>297.941</f>
        <v>297.94099999999997</v>
      </c>
      <c r="E98" s="64">
        <f>89.177</f>
        <v>89.177000000000007</v>
      </c>
      <c r="F98" s="56">
        <f>240.302-40-60-100</f>
        <v>40.301999999999992</v>
      </c>
      <c r="G98" s="59">
        <v>40</v>
      </c>
      <c r="H98" s="56">
        <f>60+100</f>
        <v>160</v>
      </c>
      <c r="I98" s="56">
        <f t="shared" si="8"/>
        <v>0</v>
      </c>
      <c r="J98" s="59">
        <v>100</v>
      </c>
      <c r="K98" s="59">
        <v>300</v>
      </c>
      <c r="L98" s="56">
        <f t="shared" si="12"/>
        <v>1150</v>
      </c>
      <c r="M98" s="66">
        <v>600</v>
      </c>
      <c r="N98" s="56">
        <f>100</f>
        <v>100</v>
      </c>
      <c r="O98" s="59">
        <v>240</v>
      </c>
      <c r="P98" s="59">
        <v>40</v>
      </c>
      <c r="Q98" s="59">
        <f t="shared" si="13"/>
        <v>315</v>
      </c>
      <c r="R98" s="59">
        <f t="shared" si="14"/>
        <v>100</v>
      </c>
      <c r="S98" s="56">
        <f t="shared" si="15"/>
        <v>695</v>
      </c>
      <c r="T98" s="56">
        <f>50</f>
        <v>50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.75" x14ac:dyDescent="0.25">
      <c r="A99" s="16">
        <v>44287</v>
      </c>
      <c r="B99" s="69">
        <v>30</v>
      </c>
      <c r="C99" s="56">
        <f>141.293</f>
        <v>141.29300000000001</v>
      </c>
      <c r="D99" s="56">
        <f>267.993</f>
        <v>267.99299999999999</v>
      </c>
      <c r="E99" s="64">
        <f>115.016</f>
        <v>115.01600000000001</v>
      </c>
      <c r="F99" s="56">
        <f>314.698-40-25-60-100</f>
        <v>89.697999999999979</v>
      </c>
      <c r="G99" s="59">
        <v>40</v>
      </c>
      <c r="H99" s="56">
        <f t="shared" ref="H99:H105" si="17">25+60+100</f>
        <v>185</v>
      </c>
      <c r="I99" s="56">
        <f t="shared" si="8"/>
        <v>0</v>
      </c>
      <c r="J99" s="59">
        <v>100</v>
      </c>
      <c r="K99" s="59">
        <v>300</v>
      </c>
      <c r="L99" s="56">
        <f t="shared" si="12"/>
        <v>1239</v>
      </c>
      <c r="M99" s="66">
        <v>600</v>
      </c>
      <c r="N99" s="56">
        <f>100</f>
        <v>100</v>
      </c>
      <c r="O99" s="59">
        <v>240</v>
      </c>
      <c r="P99" s="59">
        <v>160</v>
      </c>
      <c r="Q99" s="59">
        <f t="shared" si="13"/>
        <v>195</v>
      </c>
      <c r="R99" s="59">
        <f t="shared" si="14"/>
        <v>100</v>
      </c>
      <c r="S99" s="56">
        <f t="shared" si="15"/>
        <v>695</v>
      </c>
      <c r="T99" s="56">
        <f>50</f>
        <v>50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.75" x14ac:dyDescent="0.25">
      <c r="A100" s="16">
        <v>44317</v>
      </c>
      <c r="B100" s="69">
        <v>31</v>
      </c>
      <c r="C100" s="56">
        <f>194.205</f>
        <v>194.20500000000001</v>
      </c>
      <c r="D100" s="56">
        <f>267.466</f>
        <v>267.46600000000001</v>
      </c>
      <c r="E100" s="64">
        <f>133.845</f>
        <v>133.845</v>
      </c>
      <c r="F100" s="56">
        <f>278.484-40-25-60-100</f>
        <v>53.48399999999998</v>
      </c>
      <c r="G100" s="59">
        <v>40</v>
      </c>
      <c r="H100" s="56">
        <f t="shared" si="17"/>
        <v>185</v>
      </c>
      <c r="I100" s="56">
        <f t="shared" si="8"/>
        <v>0</v>
      </c>
      <c r="J100" s="59">
        <v>100</v>
      </c>
      <c r="K100" s="59">
        <v>300</v>
      </c>
      <c r="L100" s="56">
        <f t="shared" si="12"/>
        <v>1274</v>
      </c>
      <c r="M100" s="66">
        <v>600</v>
      </c>
      <c r="N100" s="56">
        <f>75</f>
        <v>75</v>
      </c>
      <c r="O100" s="59">
        <v>240</v>
      </c>
      <c r="P100" s="59">
        <v>160</v>
      </c>
      <c r="Q100" s="59">
        <f t="shared" si="13"/>
        <v>195</v>
      </c>
      <c r="R100" s="59">
        <f t="shared" si="14"/>
        <v>100</v>
      </c>
      <c r="S100" s="56">
        <f t="shared" si="15"/>
        <v>695</v>
      </c>
      <c r="T100" s="56">
        <f>50</f>
        <v>50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.75" x14ac:dyDescent="0.25">
      <c r="A101" s="16">
        <v>44348</v>
      </c>
      <c r="B101" s="69">
        <v>30</v>
      </c>
      <c r="C101" s="56">
        <f>194.205</f>
        <v>194.20500000000001</v>
      </c>
      <c r="D101" s="56">
        <f>267.466</f>
        <v>267.46600000000001</v>
      </c>
      <c r="E101" s="64">
        <f>133.845</f>
        <v>133.845</v>
      </c>
      <c r="F101" s="56">
        <f>278.484-40-25-60-100</f>
        <v>53.48399999999998</v>
      </c>
      <c r="G101" s="59">
        <v>40</v>
      </c>
      <c r="H101" s="56">
        <f t="shared" si="17"/>
        <v>185</v>
      </c>
      <c r="I101" s="56">
        <f t="shared" si="8"/>
        <v>0</v>
      </c>
      <c r="J101" s="59">
        <v>100</v>
      </c>
      <c r="K101" s="59">
        <v>300</v>
      </c>
      <c r="L101" s="56">
        <f t="shared" si="12"/>
        <v>1274</v>
      </c>
      <c r="M101" s="66">
        <v>600</v>
      </c>
      <c r="N101" s="56">
        <f>30</f>
        <v>30</v>
      </c>
      <c r="O101" s="59">
        <v>240</v>
      </c>
      <c r="P101" s="59">
        <v>160</v>
      </c>
      <c r="Q101" s="59">
        <f t="shared" si="13"/>
        <v>195</v>
      </c>
      <c r="R101" s="59">
        <f t="shared" si="14"/>
        <v>100</v>
      </c>
      <c r="S101" s="56">
        <f t="shared" si="15"/>
        <v>695</v>
      </c>
      <c r="T101" s="56">
        <f>50</f>
        <v>50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.75" x14ac:dyDescent="0.25">
      <c r="A102" s="16">
        <v>44378</v>
      </c>
      <c r="B102" s="69">
        <v>31</v>
      </c>
      <c r="C102" s="56">
        <f>194.205</f>
        <v>194.20500000000001</v>
      </c>
      <c r="D102" s="56">
        <f>267.466</f>
        <v>267.46600000000001</v>
      </c>
      <c r="E102" s="64">
        <f>133.845</f>
        <v>133.845</v>
      </c>
      <c r="F102" s="56">
        <f>278.484-40-25-60-100</f>
        <v>53.48399999999998</v>
      </c>
      <c r="G102" s="59">
        <v>40</v>
      </c>
      <c r="H102" s="56">
        <f t="shared" si="17"/>
        <v>185</v>
      </c>
      <c r="I102" s="56">
        <f t="shared" si="8"/>
        <v>0</v>
      </c>
      <c r="J102" s="59">
        <v>100</v>
      </c>
      <c r="K102" s="59">
        <v>300</v>
      </c>
      <c r="L102" s="56">
        <f t="shared" si="12"/>
        <v>1274</v>
      </c>
      <c r="M102" s="66">
        <v>600</v>
      </c>
      <c r="N102" s="56">
        <f>30</f>
        <v>30</v>
      </c>
      <c r="O102" s="59">
        <v>240</v>
      </c>
      <c r="P102" s="59">
        <v>160</v>
      </c>
      <c r="Q102" s="59">
        <f t="shared" si="13"/>
        <v>195</v>
      </c>
      <c r="R102" s="59">
        <f t="shared" si="14"/>
        <v>100</v>
      </c>
      <c r="S102" s="56">
        <f t="shared" si="15"/>
        <v>695</v>
      </c>
      <c r="T102" s="56">
        <f>0</f>
        <v>0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.75" x14ac:dyDescent="0.25">
      <c r="A103" s="16">
        <v>44409</v>
      </c>
      <c r="B103" s="69">
        <v>31</v>
      </c>
      <c r="C103" s="56">
        <f>194.205</f>
        <v>194.20500000000001</v>
      </c>
      <c r="D103" s="56">
        <f>267.466</f>
        <v>267.46600000000001</v>
      </c>
      <c r="E103" s="64">
        <f>133.845</f>
        <v>133.845</v>
      </c>
      <c r="F103" s="56">
        <f>278.484-40-25-60-100</f>
        <v>53.48399999999998</v>
      </c>
      <c r="G103" s="59">
        <v>40</v>
      </c>
      <c r="H103" s="56">
        <f t="shared" si="17"/>
        <v>185</v>
      </c>
      <c r="I103" s="56">
        <f t="shared" si="8"/>
        <v>0</v>
      </c>
      <c r="J103" s="59">
        <v>100</v>
      </c>
      <c r="K103" s="59">
        <v>300</v>
      </c>
      <c r="L103" s="56">
        <f t="shared" si="12"/>
        <v>1274</v>
      </c>
      <c r="M103" s="66">
        <v>600</v>
      </c>
      <c r="N103" s="56">
        <f>30</f>
        <v>30</v>
      </c>
      <c r="O103" s="59">
        <v>240</v>
      </c>
      <c r="P103" s="59">
        <v>160</v>
      </c>
      <c r="Q103" s="59">
        <f t="shared" si="13"/>
        <v>195</v>
      </c>
      <c r="R103" s="59">
        <f t="shared" si="14"/>
        <v>100</v>
      </c>
      <c r="S103" s="56">
        <f t="shared" si="15"/>
        <v>695</v>
      </c>
      <c r="T103" s="56">
        <f>0</f>
        <v>0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.75" x14ac:dyDescent="0.25">
      <c r="A104" s="16">
        <v>44440</v>
      </c>
      <c r="B104" s="69">
        <v>30</v>
      </c>
      <c r="C104" s="56">
        <f>194.205</f>
        <v>194.20500000000001</v>
      </c>
      <c r="D104" s="56">
        <f>267.466</f>
        <v>267.46600000000001</v>
      </c>
      <c r="E104" s="64">
        <f>133.845</f>
        <v>133.845</v>
      </c>
      <c r="F104" s="56">
        <f>278.484-40-25-60-100</f>
        <v>53.48399999999998</v>
      </c>
      <c r="G104" s="59">
        <v>40</v>
      </c>
      <c r="H104" s="56">
        <f t="shared" si="17"/>
        <v>185</v>
      </c>
      <c r="I104" s="56">
        <f t="shared" ref="I104:I167" si="18">400-J104-K104</f>
        <v>0</v>
      </c>
      <c r="J104" s="59">
        <v>100</v>
      </c>
      <c r="K104" s="59">
        <v>300</v>
      </c>
      <c r="L104" s="56">
        <f t="shared" si="12"/>
        <v>1274</v>
      </c>
      <c r="M104" s="66">
        <v>600</v>
      </c>
      <c r="N104" s="56">
        <f>30</f>
        <v>30</v>
      </c>
      <c r="O104" s="59">
        <v>240</v>
      </c>
      <c r="P104" s="59">
        <v>160</v>
      </c>
      <c r="Q104" s="59">
        <f t="shared" si="13"/>
        <v>195</v>
      </c>
      <c r="R104" s="59">
        <f t="shared" si="14"/>
        <v>100</v>
      </c>
      <c r="S104" s="56">
        <f t="shared" si="15"/>
        <v>695</v>
      </c>
      <c r="T104" s="56">
        <f>0</f>
        <v>0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.75" x14ac:dyDescent="0.25">
      <c r="A105" s="16">
        <v>44470</v>
      </c>
      <c r="B105" s="69">
        <v>31</v>
      </c>
      <c r="C105" s="56">
        <f>131.881</f>
        <v>131.881</v>
      </c>
      <c r="D105" s="56">
        <f>277.167</f>
        <v>277.16699999999997</v>
      </c>
      <c r="E105" s="64">
        <f>79.08</f>
        <v>79.08</v>
      </c>
      <c r="F105" s="56">
        <f>350.872-40-25-60-100</f>
        <v>125.87200000000001</v>
      </c>
      <c r="G105" s="59">
        <v>40</v>
      </c>
      <c r="H105" s="56">
        <f t="shared" si="17"/>
        <v>185</v>
      </c>
      <c r="I105" s="56">
        <f t="shared" si="18"/>
        <v>0</v>
      </c>
      <c r="J105" s="59">
        <v>100</v>
      </c>
      <c r="K105" s="59">
        <v>300</v>
      </c>
      <c r="L105" s="56">
        <f t="shared" si="12"/>
        <v>1239</v>
      </c>
      <c r="M105" s="66">
        <v>600</v>
      </c>
      <c r="N105" s="56">
        <f>75</f>
        <v>75</v>
      </c>
      <c r="O105" s="59">
        <v>240</v>
      </c>
      <c r="P105" s="59">
        <v>160</v>
      </c>
      <c r="Q105" s="59">
        <f t="shared" si="13"/>
        <v>195</v>
      </c>
      <c r="R105" s="59">
        <f t="shared" si="14"/>
        <v>100</v>
      </c>
      <c r="S105" s="56">
        <f t="shared" si="15"/>
        <v>695</v>
      </c>
      <c r="T105" s="56">
        <f>0</f>
        <v>0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.75" x14ac:dyDescent="0.25">
      <c r="A106" s="16">
        <v>44501</v>
      </c>
      <c r="B106" s="69">
        <v>30</v>
      </c>
      <c r="C106" s="56">
        <f>122.58</f>
        <v>122.58</v>
      </c>
      <c r="D106" s="56">
        <f>297.941</f>
        <v>297.94099999999997</v>
      </c>
      <c r="E106" s="64">
        <f>89.177</f>
        <v>89.177000000000007</v>
      </c>
      <c r="F106" s="56">
        <f>240.302-40-60-100</f>
        <v>40.301999999999992</v>
      </c>
      <c r="G106" s="59">
        <v>40</v>
      </c>
      <c r="H106" s="56">
        <f>60+100</f>
        <v>160</v>
      </c>
      <c r="I106" s="56">
        <f t="shared" si="18"/>
        <v>0</v>
      </c>
      <c r="J106" s="59">
        <v>100</v>
      </c>
      <c r="K106" s="59">
        <v>300</v>
      </c>
      <c r="L106" s="56">
        <f t="shared" si="12"/>
        <v>1150</v>
      </c>
      <c r="M106" s="66">
        <v>600</v>
      </c>
      <c r="N106" s="56">
        <f>100</f>
        <v>100</v>
      </c>
      <c r="O106" s="59">
        <v>240</v>
      </c>
      <c r="P106" s="59">
        <v>40</v>
      </c>
      <c r="Q106" s="59">
        <f t="shared" si="13"/>
        <v>315</v>
      </c>
      <c r="R106" s="59">
        <f t="shared" si="14"/>
        <v>100</v>
      </c>
      <c r="S106" s="56">
        <f t="shared" si="15"/>
        <v>695</v>
      </c>
      <c r="T106" s="56">
        <f>50</f>
        <v>50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.75" x14ac:dyDescent="0.25">
      <c r="A107" s="16">
        <v>44531</v>
      </c>
      <c r="B107" s="69">
        <v>31</v>
      </c>
      <c r="C107" s="56">
        <f>122.58</f>
        <v>122.58</v>
      </c>
      <c r="D107" s="56">
        <f>297.941</f>
        <v>297.94099999999997</v>
      </c>
      <c r="E107" s="64">
        <f>89.177</f>
        <v>89.177000000000007</v>
      </c>
      <c r="F107" s="56">
        <f>240.302-40-60-100</f>
        <v>40.301999999999992</v>
      </c>
      <c r="G107" s="59">
        <v>40</v>
      </c>
      <c r="H107" s="56">
        <f>60+100</f>
        <v>160</v>
      </c>
      <c r="I107" s="56">
        <f t="shared" si="18"/>
        <v>0</v>
      </c>
      <c r="J107" s="59">
        <v>100</v>
      </c>
      <c r="K107" s="59">
        <v>300</v>
      </c>
      <c r="L107" s="56">
        <f t="shared" si="12"/>
        <v>1150</v>
      </c>
      <c r="M107" s="66">
        <v>600</v>
      </c>
      <c r="N107" s="56">
        <f>100</f>
        <v>100</v>
      </c>
      <c r="O107" s="59">
        <v>240</v>
      </c>
      <c r="P107" s="59">
        <v>40</v>
      </c>
      <c r="Q107" s="59">
        <f t="shared" si="13"/>
        <v>315</v>
      </c>
      <c r="R107" s="59">
        <f t="shared" si="14"/>
        <v>100</v>
      </c>
      <c r="S107" s="56">
        <f t="shared" si="15"/>
        <v>695</v>
      </c>
      <c r="T107" s="56">
        <f>50</f>
        <v>50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 x14ac:dyDescent="0.25">
      <c r="A108" s="16">
        <v>44562</v>
      </c>
      <c r="B108" s="69">
        <v>31</v>
      </c>
      <c r="C108" s="56">
        <f>122.58</f>
        <v>122.58</v>
      </c>
      <c r="D108" s="56">
        <f>297.941</f>
        <v>297.94099999999997</v>
      </c>
      <c r="E108" s="64">
        <f>89.177</f>
        <v>89.177000000000007</v>
      </c>
      <c r="F108" s="56">
        <f>240.302-40-60-100</f>
        <v>40.301999999999992</v>
      </c>
      <c r="G108" s="59">
        <v>40</v>
      </c>
      <c r="H108" s="56">
        <f>60+100</f>
        <v>160</v>
      </c>
      <c r="I108" s="56">
        <f t="shared" si="18"/>
        <v>0</v>
      </c>
      <c r="J108" s="59">
        <v>100</v>
      </c>
      <c r="K108" s="59">
        <v>300</v>
      </c>
      <c r="L108" s="56">
        <f t="shared" si="12"/>
        <v>1150</v>
      </c>
      <c r="M108" s="66">
        <v>600</v>
      </c>
      <c r="N108" s="56">
        <f>100</f>
        <v>100</v>
      </c>
      <c r="O108" s="59">
        <v>240</v>
      </c>
      <c r="P108" s="59">
        <v>40</v>
      </c>
      <c r="Q108" s="59">
        <f t="shared" si="13"/>
        <v>315</v>
      </c>
      <c r="R108" s="59">
        <f t="shared" si="14"/>
        <v>100</v>
      </c>
      <c r="S108" s="56">
        <f t="shared" si="15"/>
        <v>695</v>
      </c>
      <c r="T108" s="56">
        <f>50</f>
        <v>50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.75" x14ac:dyDescent="0.25">
      <c r="A109" s="16">
        <v>44593</v>
      </c>
      <c r="B109" s="69">
        <v>28</v>
      </c>
      <c r="C109" s="56">
        <f>122.58</f>
        <v>122.58</v>
      </c>
      <c r="D109" s="56">
        <f>297.941</f>
        <v>297.94099999999997</v>
      </c>
      <c r="E109" s="64">
        <f>89.177</f>
        <v>89.177000000000007</v>
      </c>
      <c r="F109" s="56">
        <f>240.302-40-60-100</f>
        <v>40.301999999999992</v>
      </c>
      <c r="G109" s="59">
        <v>40</v>
      </c>
      <c r="H109" s="56">
        <f>60+100</f>
        <v>160</v>
      </c>
      <c r="I109" s="56">
        <f t="shared" si="18"/>
        <v>0</v>
      </c>
      <c r="J109" s="59">
        <v>100</v>
      </c>
      <c r="K109" s="59">
        <v>300</v>
      </c>
      <c r="L109" s="56">
        <f t="shared" si="12"/>
        <v>1150</v>
      </c>
      <c r="M109" s="66">
        <v>600</v>
      </c>
      <c r="N109" s="56">
        <f>100</f>
        <v>100</v>
      </c>
      <c r="O109" s="59">
        <v>240</v>
      </c>
      <c r="P109" s="59">
        <v>40</v>
      </c>
      <c r="Q109" s="59">
        <f t="shared" si="13"/>
        <v>315</v>
      </c>
      <c r="R109" s="59">
        <f t="shared" si="14"/>
        <v>100</v>
      </c>
      <c r="S109" s="56">
        <f t="shared" si="15"/>
        <v>695</v>
      </c>
      <c r="T109" s="56">
        <f>50</f>
        <v>50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.75" x14ac:dyDescent="0.25">
      <c r="A110" s="16">
        <v>44621</v>
      </c>
      <c r="B110" s="69">
        <v>31</v>
      </c>
      <c r="C110" s="56">
        <f>122.58</f>
        <v>122.58</v>
      </c>
      <c r="D110" s="56">
        <f>297.941</f>
        <v>297.94099999999997</v>
      </c>
      <c r="E110" s="64">
        <f>89.177</f>
        <v>89.177000000000007</v>
      </c>
      <c r="F110" s="56">
        <f>240.302-40-60-100</f>
        <v>40.301999999999992</v>
      </c>
      <c r="G110" s="59">
        <v>40</v>
      </c>
      <c r="H110" s="56">
        <f>60+100</f>
        <v>160</v>
      </c>
      <c r="I110" s="56">
        <f t="shared" si="18"/>
        <v>0</v>
      </c>
      <c r="J110" s="59">
        <v>100</v>
      </c>
      <c r="K110" s="59">
        <v>300</v>
      </c>
      <c r="L110" s="56">
        <f t="shared" si="12"/>
        <v>1150</v>
      </c>
      <c r="M110" s="66">
        <v>600</v>
      </c>
      <c r="N110" s="56">
        <f>100</f>
        <v>100</v>
      </c>
      <c r="O110" s="59">
        <v>240</v>
      </c>
      <c r="P110" s="59">
        <v>40</v>
      </c>
      <c r="Q110" s="59">
        <f t="shared" si="13"/>
        <v>315</v>
      </c>
      <c r="R110" s="59">
        <f t="shared" si="14"/>
        <v>100</v>
      </c>
      <c r="S110" s="56">
        <f t="shared" si="15"/>
        <v>695</v>
      </c>
      <c r="T110" s="56">
        <f>50</f>
        <v>50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.75" x14ac:dyDescent="0.25">
      <c r="A111" s="16">
        <v>44652</v>
      </c>
      <c r="B111" s="69">
        <v>30</v>
      </c>
      <c r="C111" s="56">
        <f>141.293</f>
        <v>141.29300000000001</v>
      </c>
      <c r="D111" s="56">
        <f>267.993</f>
        <v>267.99299999999999</v>
      </c>
      <c r="E111" s="64">
        <f>115.016</f>
        <v>115.01600000000001</v>
      </c>
      <c r="F111" s="56">
        <f>314.698-40-25-60-100</f>
        <v>89.697999999999979</v>
      </c>
      <c r="G111" s="59">
        <v>40</v>
      </c>
      <c r="H111" s="56">
        <f t="shared" ref="H111:H117" si="19">25+60+100</f>
        <v>185</v>
      </c>
      <c r="I111" s="56">
        <f t="shared" si="18"/>
        <v>0</v>
      </c>
      <c r="J111" s="59">
        <v>100</v>
      </c>
      <c r="K111" s="59">
        <v>300</v>
      </c>
      <c r="L111" s="56">
        <f t="shared" si="12"/>
        <v>1239</v>
      </c>
      <c r="M111" s="66">
        <v>600</v>
      </c>
      <c r="N111" s="56">
        <f>100</f>
        <v>100</v>
      </c>
      <c r="O111" s="59">
        <v>240</v>
      </c>
      <c r="P111" s="59">
        <v>160</v>
      </c>
      <c r="Q111" s="59">
        <f t="shared" si="13"/>
        <v>195</v>
      </c>
      <c r="R111" s="59">
        <f t="shared" si="14"/>
        <v>100</v>
      </c>
      <c r="S111" s="56">
        <f t="shared" si="15"/>
        <v>695</v>
      </c>
      <c r="T111" s="56">
        <f>50</f>
        <v>50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.75" x14ac:dyDescent="0.25">
      <c r="A112" s="16">
        <v>44682</v>
      </c>
      <c r="B112" s="69">
        <v>31</v>
      </c>
      <c r="C112" s="56">
        <f>194.205</f>
        <v>194.20500000000001</v>
      </c>
      <c r="D112" s="56">
        <f>267.466</f>
        <v>267.46600000000001</v>
      </c>
      <c r="E112" s="64">
        <f>133.845</f>
        <v>133.845</v>
      </c>
      <c r="F112" s="56">
        <f>278.484-40-25-60-100</f>
        <v>53.48399999999998</v>
      </c>
      <c r="G112" s="59">
        <v>40</v>
      </c>
      <c r="H112" s="56">
        <f t="shared" si="19"/>
        <v>185</v>
      </c>
      <c r="I112" s="56">
        <f t="shared" si="18"/>
        <v>0</v>
      </c>
      <c r="J112" s="59">
        <v>100</v>
      </c>
      <c r="K112" s="59">
        <v>300</v>
      </c>
      <c r="L112" s="56">
        <f t="shared" si="12"/>
        <v>1274</v>
      </c>
      <c r="M112" s="66">
        <v>600</v>
      </c>
      <c r="N112" s="56">
        <f>75</f>
        <v>75</v>
      </c>
      <c r="O112" s="59">
        <v>240</v>
      </c>
      <c r="P112" s="59">
        <v>160</v>
      </c>
      <c r="Q112" s="59">
        <f t="shared" si="13"/>
        <v>195</v>
      </c>
      <c r="R112" s="59">
        <f t="shared" si="14"/>
        <v>100</v>
      </c>
      <c r="S112" s="56">
        <f t="shared" si="15"/>
        <v>695</v>
      </c>
      <c r="T112" s="56">
        <f>50</f>
        <v>50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.75" x14ac:dyDescent="0.25">
      <c r="A113" s="16">
        <v>44713</v>
      </c>
      <c r="B113" s="69">
        <v>30</v>
      </c>
      <c r="C113" s="56">
        <f>194.205</f>
        <v>194.20500000000001</v>
      </c>
      <c r="D113" s="56">
        <f>267.466</f>
        <v>267.46600000000001</v>
      </c>
      <c r="E113" s="64">
        <f>133.845</f>
        <v>133.845</v>
      </c>
      <c r="F113" s="56">
        <f>278.484-40-25-60-100</f>
        <v>53.48399999999998</v>
      </c>
      <c r="G113" s="59">
        <v>40</v>
      </c>
      <c r="H113" s="56">
        <f t="shared" si="19"/>
        <v>185</v>
      </c>
      <c r="I113" s="56">
        <f t="shared" si="18"/>
        <v>0</v>
      </c>
      <c r="J113" s="59">
        <v>100</v>
      </c>
      <c r="K113" s="59">
        <v>300</v>
      </c>
      <c r="L113" s="56">
        <f t="shared" si="12"/>
        <v>1274</v>
      </c>
      <c r="M113" s="66">
        <v>600</v>
      </c>
      <c r="N113" s="56">
        <f>30</f>
        <v>30</v>
      </c>
      <c r="O113" s="59">
        <v>240</v>
      </c>
      <c r="P113" s="59">
        <v>160</v>
      </c>
      <c r="Q113" s="59">
        <f t="shared" si="13"/>
        <v>195</v>
      </c>
      <c r="R113" s="59">
        <f t="shared" si="14"/>
        <v>100</v>
      </c>
      <c r="S113" s="56">
        <f t="shared" si="15"/>
        <v>695</v>
      </c>
      <c r="T113" s="56">
        <f>50</f>
        <v>50</v>
      </c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.75" x14ac:dyDescent="0.25">
      <c r="A114" s="16">
        <v>44743</v>
      </c>
      <c r="B114" s="69">
        <v>31</v>
      </c>
      <c r="C114" s="56">
        <f>194.205</f>
        <v>194.20500000000001</v>
      </c>
      <c r="D114" s="56">
        <f>267.466</f>
        <v>267.46600000000001</v>
      </c>
      <c r="E114" s="64">
        <f>133.845</f>
        <v>133.845</v>
      </c>
      <c r="F114" s="56">
        <f>278.484-40-25-60-100</f>
        <v>53.48399999999998</v>
      </c>
      <c r="G114" s="59">
        <v>40</v>
      </c>
      <c r="H114" s="56">
        <f t="shared" si="19"/>
        <v>185</v>
      </c>
      <c r="I114" s="56">
        <f t="shared" si="18"/>
        <v>0</v>
      </c>
      <c r="J114" s="59">
        <v>100</v>
      </c>
      <c r="K114" s="59">
        <v>300</v>
      </c>
      <c r="L114" s="56">
        <f t="shared" si="12"/>
        <v>1274</v>
      </c>
      <c r="M114" s="66">
        <v>600</v>
      </c>
      <c r="N114" s="56">
        <f>30</f>
        <v>30</v>
      </c>
      <c r="O114" s="59">
        <v>240</v>
      </c>
      <c r="P114" s="59">
        <v>160</v>
      </c>
      <c r="Q114" s="59">
        <f t="shared" si="13"/>
        <v>195</v>
      </c>
      <c r="R114" s="59">
        <f t="shared" si="14"/>
        <v>100</v>
      </c>
      <c r="S114" s="56">
        <f t="shared" si="15"/>
        <v>695</v>
      </c>
      <c r="T114" s="56">
        <f>0</f>
        <v>0</v>
      </c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.75" x14ac:dyDescent="0.25">
      <c r="A115" s="16">
        <v>44774</v>
      </c>
      <c r="B115" s="69">
        <v>31</v>
      </c>
      <c r="C115" s="56">
        <f>194.205</f>
        <v>194.20500000000001</v>
      </c>
      <c r="D115" s="56">
        <f>267.466</f>
        <v>267.46600000000001</v>
      </c>
      <c r="E115" s="64">
        <f>133.845</f>
        <v>133.845</v>
      </c>
      <c r="F115" s="56">
        <f>278.484-40-25-60-100</f>
        <v>53.48399999999998</v>
      </c>
      <c r="G115" s="59">
        <v>40</v>
      </c>
      <c r="H115" s="56">
        <f t="shared" si="19"/>
        <v>185</v>
      </c>
      <c r="I115" s="56">
        <f t="shared" si="18"/>
        <v>0</v>
      </c>
      <c r="J115" s="59">
        <v>100</v>
      </c>
      <c r="K115" s="59">
        <v>300</v>
      </c>
      <c r="L115" s="56">
        <f t="shared" si="12"/>
        <v>1274</v>
      </c>
      <c r="M115" s="66">
        <v>600</v>
      </c>
      <c r="N115" s="56">
        <f>30</f>
        <v>30</v>
      </c>
      <c r="O115" s="59">
        <v>240</v>
      </c>
      <c r="P115" s="59">
        <v>160</v>
      </c>
      <c r="Q115" s="59">
        <f t="shared" si="13"/>
        <v>195</v>
      </c>
      <c r="R115" s="59">
        <f t="shared" si="14"/>
        <v>100</v>
      </c>
      <c r="S115" s="56">
        <f t="shared" si="15"/>
        <v>695</v>
      </c>
      <c r="T115" s="56">
        <f>0</f>
        <v>0</v>
      </c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.75" x14ac:dyDescent="0.25">
      <c r="A116" s="16">
        <v>44805</v>
      </c>
      <c r="B116" s="69">
        <v>30</v>
      </c>
      <c r="C116" s="56">
        <f>194.205</f>
        <v>194.20500000000001</v>
      </c>
      <c r="D116" s="56">
        <f>267.466</f>
        <v>267.46600000000001</v>
      </c>
      <c r="E116" s="64">
        <f>133.845</f>
        <v>133.845</v>
      </c>
      <c r="F116" s="56">
        <f>278.484-40-25-60-100</f>
        <v>53.48399999999998</v>
      </c>
      <c r="G116" s="59">
        <v>40</v>
      </c>
      <c r="H116" s="56">
        <f t="shared" si="19"/>
        <v>185</v>
      </c>
      <c r="I116" s="56">
        <f t="shared" si="18"/>
        <v>0</v>
      </c>
      <c r="J116" s="59">
        <v>100</v>
      </c>
      <c r="K116" s="59">
        <v>300</v>
      </c>
      <c r="L116" s="56">
        <f t="shared" si="12"/>
        <v>1274</v>
      </c>
      <c r="M116" s="66">
        <v>600</v>
      </c>
      <c r="N116" s="56">
        <f>30</f>
        <v>30</v>
      </c>
      <c r="O116" s="59">
        <v>240</v>
      </c>
      <c r="P116" s="59">
        <v>160</v>
      </c>
      <c r="Q116" s="59">
        <f t="shared" si="13"/>
        <v>195</v>
      </c>
      <c r="R116" s="59">
        <f t="shared" si="14"/>
        <v>100</v>
      </c>
      <c r="S116" s="56">
        <f t="shared" si="15"/>
        <v>695</v>
      </c>
      <c r="T116" s="56">
        <f>0</f>
        <v>0</v>
      </c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.75" x14ac:dyDescent="0.25">
      <c r="A117" s="16">
        <v>44835</v>
      </c>
      <c r="B117" s="69">
        <v>31</v>
      </c>
      <c r="C117" s="56">
        <f>131.881</f>
        <v>131.881</v>
      </c>
      <c r="D117" s="56">
        <f>277.167</f>
        <v>277.16699999999997</v>
      </c>
      <c r="E117" s="64">
        <f>79.08</f>
        <v>79.08</v>
      </c>
      <c r="F117" s="56">
        <f>350.872-40-25-60-100</f>
        <v>125.87200000000001</v>
      </c>
      <c r="G117" s="59">
        <v>40</v>
      </c>
      <c r="H117" s="56">
        <f t="shared" si="19"/>
        <v>185</v>
      </c>
      <c r="I117" s="56">
        <f t="shared" si="18"/>
        <v>0</v>
      </c>
      <c r="J117" s="59">
        <v>100</v>
      </c>
      <c r="K117" s="59">
        <v>300</v>
      </c>
      <c r="L117" s="56">
        <f t="shared" si="12"/>
        <v>1239</v>
      </c>
      <c r="M117" s="66">
        <v>600</v>
      </c>
      <c r="N117" s="56">
        <f>75</f>
        <v>75</v>
      </c>
      <c r="O117" s="59">
        <v>240</v>
      </c>
      <c r="P117" s="59">
        <v>160</v>
      </c>
      <c r="Q117" s="59">
        <f t="shared" si="13"/>
        <v>195</v>
      </c>
      <c r="R117" s="59">
        <f t="shared" si="14"/>
        <v>100</v>
      </c>
      <c r="S117" s="56">
        <f t="shared" si="15"/>
        <v>695</v>
      </c>
      <c r="T117" s="56">
        <f>0</f>
        <v>0</v>
      </c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.75" x14ac:dyDescent="0.25">
      <c r="A118" s="16">
        <v>44866</v>
      </c>
      <c r="B118" s="69">
        <v>30</v>
      </c>
      <c r="C118" s="56">
        <f>122.58</f>
        <v>122.58</v>
      </c>
      <c r="D118" s="56">
        <f>297.941</f>
        <v>297.94099999999997</v>
      </c>
      <c r="E118" s="64">
        <f>89.177</f>
        <v>89.177000000000007</v>
      </c>
      <c r="F118" s="56">
        <f>240.302-40-60-100</f>
        <v>40.301999999999992</v>
      </c>
      <c r="G118" s="59">
        <v>40</v>
      </c>
      <c r="H118" s="56">
        <f>60+100</f>
        <v>160</v>
      </c>
      <c r="I118" s="56">
        <f t="shared" si="18"/>
        <v>0</v>
      </c>
      <c r="J118" s="59">
        <v>100</v>
      </c>
      <c r="K118" s="59">
        <v>300</v>
      </c>
      <c r="L118" s="56">
        <f t="shared" si="12"/>
        <v>1150</v>
      </c>
      <c r="M118" s="66">
        <v>600</v>
      </c>
      <c r="N118" s="56">
        <f>100</f>
        <v>100</v>
      </c>
      <c r="O118" s="59">
        <v>240</v>
      </c>
      <c r="P118" s="59">
        <v>40</v>
      </c>
      <c r="Q118" s="59">
        <f t="shared" si="13"/>
        <v>315</v>
      </c>
      <c r="R118" s="59">
        <f t="shared" si="14"/>
        <v>100</v>
      </c>
      <c r="S118" s="56">
        <f t="shared" si="15"/>
        <v>695</v>
      </c>
      <c r="T118" s="56">
        <f>50</f>
        <v>50</v>
      </c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.75" x14ac:dyDescent="0.25">
      <c r="A119" s="16">
        <v>44896</v>
      </c>
      <c r="B119" s="69">
        <v>31</v>
      </c>
      <c r="C119" s="56">
        <f>122.58</f>
        <v>122.58</v>
      </c>
      <c r="D119" s="56">
        <f>297.941</f>
        <v>297.94099999999997</v>
      </c>
      <c r="E119" s="64">
        <f>89.177</f>
        <v>89.177000000000007</v>
      </c>
      <c r="F119" s="56">
        <f>240.302-40-60-100</f>
        <v>40.301999999999992</v>
      </c>
      <c r="G119" s="59">
        <v>40</v>
      </c>
      <c r="H119" s="56">
        <f>60+100</f>
        <v>160</v>
      </c>
      <c r="I119" s="56">
        <f t="shared" si="18"/>
        <v>0</v>
      </c>
      <c r="J119" s="59">
        <v>100</v>
      </c>
      <c r="K119" s="59">
        <v>300</v>
      </c>
      <c r="L119" s="56">
        <f t="shared" si="12"/>
        <v>1150</v>
      </c>
      <c r="M119" s="66">
        <v>600</v>
      </c>
      <c r="N119" s="56">
        <f>100</f>
        <v>100</v>
      </c>
      <c r="O119" s="59">
        <v>240</v>
      </c>
      <c r="P119" s="59">
        <v>40</v>
      </c>
      <c r="Q119" s="59">
        <f t="shared" si="13"/>
        <v>315</v>
      </c>
      <c r="R119" s="59">
        <f t="shared" si="14"/>
        <v>100</v>
      </c>
      <c r="S119" s="56">
        <f t="shared" si="15"/>
        <v>695</v>
      </c>
      <c r="T119" s="56">
        <f>50</f>
        <v>50</v>
      </c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.75" x14ac:dyDescent="0.25">
      <c r="A120" s="16">
        <v>44927</v>
      </c>
      <c r="B120" s="69">
        <v>31</v>
      </c>
      <c r="C120" s="56">
        <f>122.58</f>
        <v>122.58</v>
      </c>
      <c r="D120" s="56">
        <f>297.941</f>
        <v>297.94099999999997</v>
      </c>
      <c r="E120" s="64">
        <f>89.177</f>
        <v>89.177000000000007</v>
      </c>
      <c r="F120" s="56">
        <f>240.302-40-60-100</f>
        <v>40.301999999999992</v>
      </c>
      <c r="G120" s="59">
        <v>40</v>
      </c>
      <c r="H120" s="56">
        <f>60+100</f>
        <v>160</v>
      </c>
      <c r="I120" s="56">
        <f t="shared" si="18"/>
        <v>0</v>
      </c>
      <c r="J120" s="59">
        <v>100</v>
      </c>
      <c r="K120" s="59">
        <v>300</v>
      </c>
      <c r="L120" s="56">
        <f t="shared" si="12"/>
        <v>1150</v>
      </c>
      <c r="M120" s="66">
        <v>600</v>
      </c>
      <c r="N120" s="56">
        <f>100</f>
        <v>100</v>
      </c>
      <c r="O120" s="59">
        <v>240</v>
      </c>
      <c r="P120" s="59">
        <v>40</v>
      </c>
      <c r="Q120" s="59">
        <f t="shared" si="13"/>
        <v>315</v>
      </c>
      <c r="R120" s="59">
        <f t="shared" si="14"/>
        <v>100</v>
      </c>
      <c r="S120" s="56">
        <f t="shared" si="15"/>
        <v>695</v>
      </c>
      <c r="T120" s="56">
        <f>50</f>
        <v>50</v>
      </c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.75" x14ac:dyDescent="0.25">
      <c r="A121" s="16">
        <v>44958</v>
      </c>
      <c r="B121" s="69">
        <v>28</v>
      </c>
      <c r="C121" s="56">
        <f>122.58</f>
        <v>122.58</v>
      </c>
      <c r="D121" s="56">
        <f>297.941</f>
        <v>297.94099999999997</v>
      </c>
      <c r="E121" s="64">
        <f>89.177</f>
        <v>89.177000000000007</v>
      </c>
      <c r="F121" s="56">
        <f>240.302-40-60-100</f>
        <v>40.301999999999992</v>
      </c>
      <c r="G121" s="59">
        <v>40</v>
      </c>
      <c r="H121" s="56">
        <f>60+100</f>
        <v>160</v>
      </c>
      <c r="I121" s="56">
        <f t="shared" si="18"/>
        <v>0</v>
      </c>
      <c r="J121" s="59">
        <v>100</v>
      </c>
      <c r="K121" s="59">
        <v>300</v>
      </c>
      <c r="L121" s="56">
        <f t="shared" si="12"/>
        <v>1150</v>
      </c>
      <c r="M121" s="66">
        <v>600</v>
      </c>
      <c r="N121" s="56">
        <f>100</f>
        <v>100</v>
      </c>
      <c r="O121" s="59">
        <v>240</v>
      </c>
      <c r="P121" s="59">
        <v>40</v>
      </c>
      <c r="Q121" s="59">
        <f t="shared" si="13"/>
        <v>315</v>
      </c>
      <c r="R121" s="59">
        <f t="shared" si="14"/>
        <v>100</v>
      </c>
      <c r="S121" s="56">
        <f t="shared" si="15"/>
        <v>695</v>
      </c>
      <c r="T121" s="56">
        <f>50</f>
        <v>50</v>
      </c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.75" x14ac:dyDescent="0.25">
      <c r="A122" s="16">
        <v>44986</v>
      </c>
      <c r="B122" s="69">
        <v>31</v>
      </c>
      <c r="C122" s="56">
        <f>122.58</f>
        <v>122.58</v>
      </c>
      <c r="D122" s="56">
        <f>297.941</f>
        <v>297.94099999999997</v>
      </c>
      <c r="E122" s="64">
        <f>89.177</f>
        <v>89.177000000000007</v>
      </c>
      <c r="F122" s="56">
        <f>240.302-40-60-100</f>
        <v>40.301999999999992</v>
      </c>
      <c r="G122" s="59">
        <v>40</v>
      </c>
      <c r="H122" s="56">
        <f>60+100</f>
        <v>160</v>
      </c>
      <c r="I122" s="56">
        <f t="shared" si="18"/>
        <v>0</v>
      </c>
      <c r="J122" s="59">
        <v>100</v>
      </c>
      <c r="K122" s="59">
        <v>300</v>
      </c>
      <c r="L122" s="56">
        <f t="shared" si="12"/>
        <v>1150</v>
      </c>
      <c r="M122" s="66">
        <v>600</v>
      </c>
      <c r="N122" s="56">
        <f>100</f>
        <v>100</v>
      </c>
      <c r="O122" s="59">
        <v>240</v>
      </c>
      <c r="P122" s="59">
        <v>40</v>
      </c>
      <c r="Q122" s="59">
        <f t="shared" si="13"/>
        <v>315</v>
      </c>
      <c r="R122" s="59">
        <f t="shared" si="14"/>
        <v>100</v>
      </c>
      <c r="S122" s="56">
        <f t="shared" si="15"/>
        <v>695</v>
      </c>
      <c r="T122" s="56">
        <f>50</f>
        <v>50</v>
      </c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.75" x14ac:dyDescent="0.25">
      <c r="A123" s="16">
        <v>45017</v>
      </c>
      <c r="B123" s="69">
        <v>30</v>
      </c>
      <c r="C123" s="56">
        <f>141.293</f>
        <v>141.29300000000001</v>
      </c>
      <c r="D123" s="56">
        <f>267.993</f>
        <v>267.99299999999999</v>
      </c>
      <c r="E123" s="64">
        <f>115.016</f>
        <v>115.01600000000001</v>
      </c>
      <c r="F123" s="56">
        <f>314.698-40-25-60-100</f>
        <v>89.697999999999979</v>
      </c>
      <c r="G123" s="59">
        <v>40</v>
      </c>
      <c r="H123" s="56">
        <f t="shared" ref="H123:H129" si="20">25+60+100</f>
        <v>185</v>
      </c>
      <c r="I123" s="56">
        <f t="shared" si="18"/>
        <v>0</v>
      </c>
      <c r="J123" s="59">
        <v>100</v>
      </c>
      <c r="K123" s="59">
        <v>300</v>
      </c>
      <c r="L123" s="56">
        <f t="shared" si="12"/>
        <v>1239</v>
      </c>
      <c r="M123" s="66">
        <v>600</v>
      </c>
      <c r="N123" s="56">
        <f>100</f>
        <v>100</v>
      </c>
      <c r="O123" s="59">
        <v>240</v>
      </c>
      <c r="P123" s="59">
        <v>160</v>
      </c>
      <c r="Q123" s="59">
        <f t="shared" si="13"/>
        <v>195</v>
      </c>
      <c r="R123" s="59">
        <f t="shared" si="14"/>
        <v>100</v>
      </c>
      <c r="S123" s="56">
        <f t="shared" si="15"/>
        <v>695</v>
      </c>
      <c r="T123" s="56">
        <f>50</f>
        <v>50</v>
      </c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.75" x14ac:dyDescent="0.25">
      <c r="A124" s="16">
        <v>45047</v>
      </c>
      <c r="B124" s="69">
        <v>31</v>
      </c>
      <c r="C124" s="56">
        <f>194.205</f>
        <v>194.20500000000001</v>
      </c>
      <c r="D124" s="56">
        <f>267.466</f>
        <v>267.46600000000001</v>
      </c>
      <c r="E124" s="64">
        <f>133.845</f>
        <v>133.845</v>
      </c>
      <c r="F124" s="56">
        <f>278.484-40-25-60-100</f>
        <v>53.48399999999998</v>
      </c>
      <c r="G124" s="59">
        <v>40</v>
      </c>
      <c r="H124" s="56">
        <f t="shared" si="20"/>
        <v>185</v>
      </c>
      <c r="I124" s="56">
        <f t="shared" si="18"/>
        <v>0</v>
      </c>
      <c r="J124" s="59">
        <v>100</v>
      </c>
      <c r="K124" s="59">
        <v>300</v>
      </c>
      <c r="L124" s="56">
        <f t="shared" si="12"/>
        <v>1274</v>
      </c>
      <c r="M124" s="66">
        <v>600</v>
      </c>
      <c r="N124" s="56">
        <f>75</f>
        <v>75</v>
      </c>
      <c r="O124" s="59">
        <v>240</v>
      </c>
      <c r="P124" s="59">
        <v>160</v>
      </c>
      <c r="Q124" s="59">
        <f t="shared" si="13"/>
        <v>195</v>
      </c>
      <c r="R124" s="59">
        <f t="shared" si="14"/>
        <v>100</v>
      </c>
      <c r="S124" s="56">
        <f t="shared" si="15"/>
        <v>695</v>
      </c>
      <c r="T124" s="56">
        <f>50</f>
        <v>50</v>
      </c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.75" x14ac:dyDescent="0.25">
      <c r="A125" s="16">
        <v>45078</v>
      </c>
      <c r="B125" s="69">
        <v>30</v>
      </c>
      <c r="C125" s="56">
        <f>194.205</f>
        <v>194.20500000000001</v>
      </c>
      <c r="D125" s="56">
        <f>267.466</f>
        <v>267.46600000000001</v>
      </c>
      <c r="E125" s="64">
        <f>133.845</f>
        <v>133.845</v>
      </c>
      <c r="F125" s="56">
        <f>278.484-40-25-60-100</f>
        <v>53.48399999999998</v>
      </c>
      <c r="G125" s="59">
        <v>40</v>
      </c>
      <c r="H125" s="56">
        <f t="shared" si="20"/>
        <v>185</v>
      </c>
      <c r="I125" s="56">
        <f t="shared" si="18"/>
        <v>0</v>
      </c>
      <c r="J125" s="59">
        <v>100</v>
      </c>
      <c r="K125" s="59">
        <v>300</v>
      </c>
      <c r="L125" s="56">
        <f t="shared" si="12"/>
        <v>1274</v>
      </c>
      <c r="M125" s="66">
        <v>600</v>
      </c>
      <c r="N125" s="56">
        <f>30</f>
        <v>30</v>
      </c>
      <c r="O125" s="59">
        <v>240</v>
      </c>
      <c r="P125" s="59">
        <v>160</v>
      </c>
      <c r="Q125" s="59">
        <f t="shared" si="13"/>
        <v>195</v>
      </c>
      <c r="R125" s="59">
        <f t="shared" si="14"/>
        <v>100</v>
      </c>
      <c r="S125" s="56">
        <f t="shared" si="15"/>
        <v>695</v>
      </c>
      <c r="T125" s="56">
        <f>50</f>
        <v>50</v>
      </c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.75" x14ac:dyDescent="0.25">
      <c r="A126" s="16">
        <v>45108</v>
      </c>
      <c r="B126" s="69">
        <v>31</v>
      </c>
      <c r="C126" s="56">
        <f>194.205</f>
        <v>194.20500000000001</v>
      </c>
      <c r="D126" s="56">
        <f>267.466</f>
        <v>267.46600000000001</v>
      </c>
      <c r="E126" s="64">
        <f>133.845</f>
        <v>133.845</v>
      </c>
      <c r="F126" s="56">
        <f>278.484-40-25-60-100</f>
        <v>53.48399999999998</v>
      </c>
      <c r="G126" s="59">
        <v>40</v>
      </c>
      <c r="H126" s="56">
        <f t="shared" si="20"/>
        <v>185</v>
      </c>
      <c r="I126" s="56">
        <f t="shared" si="18"/>
        <v>0</v>
      </c>
      <c r="J126" s="59">
        <v>100</v>
      </c>
      <c r="K126" s="59">
        <v>300</v>
      </c>
      <c r="L126" s="56">
        <f t="shared" si="12"/>
        <v>1274</v>
      </c>
      <c r="M126" s="66">
        <v>600</v>
      </c>
      <c r="N126" s="56">
        <f>30</f>
        <v>30</v>
      </c>
      <c r="O126" s="59">
        <v>240</v>
      </c>
      <c r="P126" s="59">
        <v>160</v>
      </c>
      <c r="Q126" s="59">
        <f t="shared" si="13"/>
        <v>195</v>
      </c>
      <c r="R126" s="59">
        <f t="shared" si="14"/>
        <v>100</v>
      </c>
      <c r="S126" s="56">
        <f t="shared" si="15"/>
        <v>695</v>
      </c>
      <c r="T126" s="56">
        <f>0</f>
        <v>0</v>
      </c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.75" x14ac:dyDescent="0.25">
      <c r="A127" s="16">
        <v>45139</v>
      </c>
      <c r="B127" s="69">
        <v>31</v>
      </c>
      <c r="C127" s="56">
        <f>194.205</f>
        <v>194.20500000000001</v>
      </c>
      <c r="D127" s="56">
        <f>267.466</f>
        <v>267.46600000000001</v>
      </c>
      <c r="E127" s="64">
        <f>133.845</f>
        <v>133.845</v>
      </c>
      <c r="F127" s="56">
        <f>278.484-40-25-60-100</f>
        <v>53.48399999999998</v>
      </c>
      <c r="G127" s="59">
        <v>40</v>
      </c>
      <c r="H127" s="56">
        <f t="shared" si="20"/>
        <v>185</v>
      </c>
      <c r="I127" s="56">
        <f t="shared" si="18"/>
        <v>0</v>
      </c>
      <c r="J127" s="59">
        <v>100</v>
      </c>
      <c r="K127" s="59">
        <v>300</v>
      </c>
      <c r="L127" s="56">
        <f t="shared" si="12"/>
        <v>1274</v>
      </c>
      <c r="M127" s="66">
        <v>600</v>
      </c>
      <c r="N127" s="56">
        <f>30</f>
        <v>30</v>
      </c>
      <c r="O127" s="59">
        <v>240</v>
      </c>
      <c r="P127" s="59">
        <v>160</v>
      </c>
      <c r="Q127" s="59">
        <f t="shared" si="13"/>
        <v>195</v>
      </c>
      <c r="R127" s="59">
        <f t="shared" si="14"/>
        <v>100</v>
      </c>
      <c r="S127" s="56">
        <f t="shared" si="15"/>
        <v>695</v>
      </c>
      <c r="T127" s="56">
        <f>0</f>
        <v>0</v>
      </c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.75" x14ac:dyDescent="0.25">
      <c r="A128" s="16">
        <v>45170</v>
      </c>
      <c r="B128" s="69">
        <v>30</v>
      </c>
      <c r="C128" s="56">
        <f>194.205</f>
        <v>194.20500000000001</v>
      </c>
      <c r="D128" s="56">
        <f>267.466</f>
        <v>267.46600000000001</v>
      </c>
      <c r="E128" s="64">
        <f>133.845</f>
        <v>133.845</v>
      </c>
      <c r="F128" s="56">
        <f>278.484-40-25-60-100</f>
        <v>53.48399999999998</v>
      </c>
      <c r="G128" s="59">
        <v>40</v>
      </c>
      <c r="H128" s="56">
        <f t="shared" si="20"/>
        <v>185</v>
      </c>
      <c r="I128" s="56">
        <f t="shared" si="18"/>
        <v>0</v>
      </c>
      <c r="J128" s="59">
        <v>100</v>
      </c>
      <c r="K128" s="59">
        <v>300</v>
      </c>
      <c r="L128" s="56">
        <f t="shared" si="12"/>
        <v>1274</v>
      </c>
      <c r="M128" s="66">
        <v>600</v>
      </c>
      <c r="N128" s="56">
        <f>30</f>
        <v>30</v>
      </c>
      <c r="O128" s="59">
        <v>240</v>
      </c>
      <c r="P128" s="59">
        <v>160</v>
      </c>
      <c r="Q128" s="59">
        <f t="shared" si="13"/>
        <v>195</v>
      </c>
      <c r="R128" s="59">
        <f t="shared" si="14"/>
        <v>100</v>
      </c>
      <c r="S128" s="56">
        <f t="shared" si="15"/>
        <v>695</v>
      </c>
      <c r="T128" s="56">
        <f>0</f>
        <v>0</v>
      </c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.75" x14ac:dyDescent="0.25">
      <c r="A129" s="16">
        <v>45200</v>
      </c>
      <c r="B129" s="69">
        <v>31</v>
      </c>
      <c r="C129" s="56">
        <f>131.881</f>
        <v>131.881</v>
      </c>
      <c r="D129" s="56">
        <f>277.167</f>
        <v>277.16699999999997</v>
      </c>
      <c r="E129" s="64">
        <f>79.08</f>
        <v>79.08</v>
      </c>
      <c r="F129" s="56">
        <f>350.872-40-25-60-100</f>
        <v>125.87200000000001</v>
      </c>
      <c r="G129" s="59">
        <v>40</v>
      </c>
      <c r="H129" s="56">
        <f t="shared" si="20"/>
        <v>185</v>
      </c>
      <c r="I129" s="56">
        <f t="shared" si="18"/>
        <v>0</v>
      </c>
      <c r="J129" s="59">
        <v>100</v>
      </c>
      <c r="K129" s="59">
        <v>300</v>
      </c>
      <c r="L129" s="56">
        <f t="shared" si="12"/>
        <v>1239</v>
      </c>
      <c r="M129" s="66">
        <v>600</v>
      </c>
      <c r="N129" s="56">
        <f>75</f>
        <v>75</v>
      </c>
      <c r="O129" s="59">
        <v>240</v>
      </c>
      <c r="P129" s="59">
        <v>160</v>
      </c>
      <c r="Q129" s="59">
        <f t="shared" si="13"/>
        <v>195</v>
      </c>
      <c r="R129" s="59">
        <f t="shared" si="14"/>
        <v>100</v>
      </c>
      <c r="S129" s="56">
        <f t="shared" si="15"/>
        <v>695</v>
      </c>
      <c r="T129" s="56">
        <f>0</f>
        <v>0</v>
      </c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.75" x14ac:dyDescent="0.25">
      <c r="A130" s="16">
        <v>45231</v>
      </c>
      <c r="B130" s="69">
        <v>30</v>
      </c>
      <c r="C130" s="56">
        <f>122.58</f>
        <v>122.58</v>
      </c>
      <c r="D130" s="56">
        <f>297.941</f>
        <v>297.94099999999997</v>
      </c>
      <c r="E130" s="64">
        <f>89.177</f>
        <v>89.177000000000007</v>
      </c>
      <c r="F130" s="56">
        <f>240.302-40-60-100</f>
        <v>40.301999999999992</v>
      </c>
      <c r="G130" s="59">
        <v>40</v>
      </c>
      <c r="H130" s="56">
        <f>60+100</f>
        <v>160</v>
      </c>
      <c r="I130" s="56">
        <f t="shared" si="18"/>
        <v>0</v>
      </c>
      <c r="J130" s="59">
        <v>100</v>
      </c>
      <c r="K130" s="59">
        <v>300</v>
      </c>
      <c r="L130" s="56">
        <f t="shared" si="12"/>
        <v>1150</v>
      </c>
      <c r="M130" s="66">
        <v>600</v>
      </c>
      <c r="N130" s="56">
        <f>100</f>
        <v>100</v>
      </c>
      <c r="O130" s="59">
        <v>240</v>
      </c>
      <c r="P130" s="59">
        <v>40</v>
      </c>
      <c r="Q130" s="59">
        <f t="shared" si="13"/>
        <v>315</v>
      </c>
      <c r="R130" s="59">
        <f t="shared" si="14"/>
        <v>100</v>
      </c>
      <c r="S130" s="56">
        <f t="shared" si="15"/>
        <v>695</v>
      </c>
      <c r="T130" s="56">
        <f>50</f>
        <v>50</v>
      </c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.75" x14ac:dyDescent="0.25">
      <c r="A131" s="16">
        <v>45261</v>
      </c>
      <c r="B131" s="69">
        <v>31</v>
      </c>
      <c r="C131" s="56">
        <f>122.58</f>
        <v>122.58</v>
      </c>
      <c r="D131" s="56">
        <f>297.941</f>
        <v>297.94099999999997</v>
      </c>
      <c r="E131" s="64">
        <f>89.177</f>
        <v>89.177000000000007</v>
      </c>
      <c r="F131" s="56">
        <f>240.302-40-60-100</f>
        <v>40.301999999999992</v>
      </c>
      <c r="G131" s="59">
        <v>40</v>
      </c>
      <c r="H131" s="56">
        <f>60+100</f>
        <v>160</v>
      </c>
      <c r="I131" s="56">
        <f t="shared" si="18"/>
        <v>0</v>
      </c>
      <c r="J131" s="59">
        <v>100</v>
      </c>
      <c r="K131" s="59">
        <v>300</v>
      </c>
      <c r="L131" s="56">
        <f t="shared" si="12"/>
        <v>1150</v>
      </c>
      <c r="M131" s="66">
        <v>600</v>
      </c>
      <c r="N131" s="56">
        <f>100</f>
        <v>100</v>
      </c>
      <c r="O131" s="59">
        <v>240</v>
      </c>
      <c r="P131" s="59">
        <v>40</v>
      </c>
      <c r="Q131" s="59">
        <f t="shared" si="13"/>
        <v>315</v>
      </c>
      <c r="R131" s="59">
        <f t="shared" si="14"/>
        <v>100</v>
      </c>
      <c r="S131" s="56">
        <f t="shared" si="15"/>
        <v>695</v>
      </c>
      <c r="T131" s="56">
        <f>50</f>
        <v>50</v>
      </c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.75" x14ac:dyDescent="0.25">
      <c r="A132" s="16">
        <v>45292</v>
      </c>
      <c r="B132" s="69">
        <v>31</v>
      </c>
      <c r="C132" s="56">
        <f>122.58</f>
        <v>122.58</v>
      </c>
      <c r="D132" s="56">
        <f>297.941</f>
        <v>297.94099999999997</v>
      </c>
      <c r="E132" s="64">
        <f>89.177</f>
        <v>89.177000000000007</v>
      </c>
      <c r="F132" s="56">
        <f>240.302-40-60-100</f>
        <v>40.301999999999992</v>
      </c>
      <c r="G132" s="59">
        <v>40</v>
      </c>
      <c r="H132" s="56">
        <f>60+100</f>
        <v>160</v>
      </c>
      <c r="I132" s="56">
        <f t="shared" si="18"/>
        <v>0</v>
      </c>
      <c r="J132" s="59">
        <v>100</v>
      </c>
      <c r="K132" s="59">
        <v>300</v>
      </c>
      <c r="L132" s="56">
        <f t="shared" si="12"/>
        <v>1150</v>
      </c>
      <c r="M132" s="66">
        <v>600</v>
      </c>
      <c r="N132" s="56">
        <f>100</f>
        <v>100</v>
      </c>
      <c r="O132" s="59">
        <v>240</v>
      </c>
      <c r="P132" s="59">
        <v>40</v>
      </c>
      <c r="Q132" s="59">
        <f t="shared" si="13"/>
        <v>315</v>
      </c>
      <c r="R132" s="59">
        <f t="shared" si="14"/>
        <v>100</v>
      </c>
      <c r="S132" s="56">
        <f t="shared" si="15"/>
        <v>695</v>
      </c>
      <c r="T132" s="56">
        <f>50</f>
        <v>50</v>
      </c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.75" x14ac:dyDescent="0.25">
      <c r="A133" s="16">
        <v>45323</v>
      </c>
      <c r="B133" s="69">
        <v>29</v>
      </c>
      <c r="C133" s="56">
        <f>122.58</f>
        <v>122.58</v>
      </c>
      <c r="D133" s="56">
        <f>297.941</f>
        <v>297.94099999999997</v>
      </c>
      <c r="E133" s="64">
        <f>89.177</f>
        <v>89.177000000000007</v>
      </c>
      <c r="F133" s="56">
        <f>240.302-40-60-100</f>
        <v>40.301999999999992</v>
      </c>
      <c r="G133" s="59">
        <v>40</v>
      </c>
      <c r="H133" s="56">
        <f>60+100</f>
        <v>160</v>
      </c>
      <c r="I133" s="56">
        <f t="shared" si="18"/>
        <v>0</v>
      </c>
      <c r="J133" s="59">
        <v>100</v>
      </c>
      <c r="K133" s="59">
        <v>300</v>
      </c>
      <c r="L133" s="56">
        <f t="shared" si="12"/>
        <v>1150</v>
      </c>
      <c r="M133" s="66">
        <v>600</v>
      </c>
      <c r="N133" s="56">
        <f>100</f>
        <v>100</v>
      </c>
      <c r="O133" s="59">
        <v>240</v>
      </c>
      <c r="P133" s="59">
        <v>40</v>
      </c>
      <c r="Q133" s="59">
        <f t="shared" si="13"/>
        <v>315</v>
      </c>
      <c r="R133" s="59">
        <f t="shared" si="14"/>
        <v>100</v>
      </c>
      <c r="S133" s="56">
        <f t="shared" si="15"/>
        <v>695</v>
      </c>
      <c r="T133" s="56">
        <f>50</f>
        <v>50</v>
      </c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.75" x14ac:dyDescent="0.25">
      <c r="A134" s="16">
        <v>45352</v>
      </c>
      <c r="B134" s="69">
        <v>31</v>
      </c>
      <c r="C134" s="56">
        <f>122.58</f>
        <v>122.58</v>
      </c>
      <c r="D134" s="56">
        <f>297.941</f>
        <v>297.94099999999997</v>
      </c>
      <c r="E134" s="64">
        <f>89.177</f>
        <v>89.177000000000007</v>
      </c>
      <c r="F134" s="56">
        <f>240.302-40-60-100</f>
        <v>40.301999999999992</v>
      </c>
      <c r="G134" s="59">
        <v>40</v>
      </c>
      <c r="H134" s="56">
        <f>60+100</f>
        <v>160</v>
      </c>
      <c r="I134" s="56">
        <f t="shared" si="18"/>
        <v>0</v>
      </c>
      <c r="J134" s="59">
        <v>100</v>
      </c>
      <c r="K134" s="59">
        <v>300</v>
      </c>
      <c r="L134" s="56">
        <f t="shared" si="12"/>
        <v>1150</v>
      </c>
      <c r="M134" s="66">
        <v>600</v>
      </c>
      <c r="N134" s="56">
        <f>100</f>
        <v>100</v>
      </c>
      <c r="O134" s="59">
        <v>240</v>
      </c>
      <c r="P134" s="59">
        <v>40</v>
      </c>
      <c r="Q134" s="59">
        <f t="shared" si="13"/>
        <v>315</v>
      </c>
      <c r="R134" s="59">
        <f t="shared" si="14"/>
        <v>100</v>
      </c>
      <c r="S134" s="56">
        <f t="shared" si="15"/>
        <v>695</v>
      </c>
      <c r="T134" s="56">
        <f>50</f>
        <v>50</v>
      </c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5.75" x14ac:dyDescent="0.25">
      <c r="A135" s="16">
        <v>45383</v>
      </c>
      <c r="B135" s="69">
        <v>30</v>
      </c>
      <c r="C135" s="56">
        <f>141.293</f>
        <v>141.29300000000001</v>
      </c>
      <c r="D135" s="56">
        <f>267.993</f>
        <v>267.99299999999999</v>
      </c>
      <c r="E135" s="64">
        <f>115.016</f>
        <v>115.01600000000001</v>
      </c>
      <c r="F135" s="56">
        <f>314.698-40-25-60-100</f>
        <v>89.697999999999979</v>
      </c>
      <c r="G135" s="59">
        <v>40</v>
      </c>
      <c r="H135" s="56">
        <f t="shared" ref="H135:H141" si="21">25+60+100</f>
        <v>185</v>
      </c>
      <c r="I135" s="56">
        <f t="shared" si="18"/>
        <v>0</v>
      </c>
      <c r="J135" s="59">
        <v>100</v>
      </c>
      <c r="K135" s="59">
        <v>300</v>
      </c>
      <c r="L135" s="56">
        <f t="shared" si="12"/>
        <v>1239</v>
      </c>
      <c r="M135" s="66">
        <v>600</v>
      </c>
      <c r="N135" s="56">
        <f>100</f>
        <v>100</v>
      </c>
      <c r="O135" s="59">
        <v>240</v>
      </c>
      <c r="P135" s="59">
        <v>160</v>
      </c>
      <c r="Q135" s="59">
        <f t="shared" si="13"/>
        <v>195</v>
      </c>
      <c r="R135" s="59">
        <f t="shared" si="14"/>
        <v>100</v>
      </c>
      <c r="S135" s="56">
        <f t="shared" si="15"/>
        <v>695</v>
      </c>
      <c r="T135" s="56">
        <f>50</f>
        <v>50</v>
      </c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.75" x14ac:dyDescent="0.25">
      <c r="A136" s="16">
        <v>45413</v>
      </c>
      <c r="B136" s="69">
        <v>31</v>
      </c>
      <c r="C136" s="56">
        <f>194.205</f>
        <v>194.20500000000001</v>
      </c>
      <c r="D136" s="56">
        <f>267.466</f>
        <v>267.46600000000001</v>
      </c>
      <c r="E136" s="64">
        <f>133.845</f>
        <v>133.845</v>
      </c>
      <c r="F136" s="56">
        <f>278.484-40-25-60-100</f>
        <v>53.48399999999998</v>
      </c>
      <c r="G136" s="59">
        <v>40</v>
      </c>
      <c r="H136" s="56">
        <f t="shared" si="21"/>
        <v>185</v>
      </c>
      <c r="I136" s="56">
        <f t="shared" si="18"/>
        <v>0</v>
      </c>
      <c r="J136" s="59">
        <v>100</v>
      </c>
      <c r="K136" s="59">
        <v>300</v>
      </c>
      <c r="L136" s="56">
        <f t="shared" si="12"/>
        <v>1274</v>
      </c>
      <c r="M136" s="66">
        <v>600</v>
      </c>
      <c r="N136" s="56">
        <f>75</f>
        <v>75</v>
      </c>
      <c r="O136" s="59">
        <v>240</v>
      </c>
      <c r="P136" s="59">
        <v>160</v>
      </c>
      <c r="Q136" s="59">
        <f t="shared" si="13"/>
        <v>195</v>
      </c>
      <c r="R136" s="59">
        <f t="shared" si="14"/>
        <v>100</v>
      </c>
      <c r="S136" s="56">
        <f t="shared" si="15"/>
        <v>695</v>
      </c>
      <c r="T136" s="56">
        <f>50</f>
        <v>50</v>
      </c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5.75" x14ac:dyDescent="0.25">
      <c r="A137" s="16">
        <v>45444</v>
      </c>
      <c r="B137" s="69">
        <v>30</v>
      </c>
      <c r="C137" s="56">
        <f>194.205</f>
        <v>194.20500000000001</v>
      </c>
      <c r="D137" s="56">
        <f>267.466</f>
        <v>267.46600000000001</v>
      </c>
      <c r="E137" s="64">
        <f>133.845</f>
        <v>133.845</v>
      </c>
      <c r="F137" s="56">
        <f>278.484-40-25-60-100</f>
        <v>53.48399999999998</v>
      </c>
      <c r="G137" s="59">
        <v>40</v>
      </c>
      <c r="H137" s="56">
        <f t="shared" si="21"/>
        <v>185</v>
      </c>
      <c r="I137" s="56">
        <f t="shared" si="18"/>
        <v>0</v>
      </c>
      <c r="J137" s="59">
        <v>100</v>
      </c>
      <c r="K137" s="59">
        <v>300</v>
      </c>
      <c r="L137" s="56">
        <f t="shared" si="12"/>
        <v>1274</v>
      </c>
      <c r="M137" s="66">
        <v>600</v>
      </c>
      <c r="N137" s="56">
        <f>30</f>
        <v>30</v>
      </c>
      <c r="O137" s="59">
        <v>240</v>
      </c>
      <c r="P137" s="59">
        <v>160</v>
      </c>
      <c r="Q137" s="59">
        <f t="shared" si="13"/>
        <v>195</v>
      </c>
      <c r="R137" s="59">
        <f t="shared" si="14"/>
        <v>100</v>
      </c>
      <c r="S137" s="56">
        <f t="shared" si="15"/>
        <v>695</v>
      </c>
      <c r="T137" s="56">
        <f>50</f>
        <v>50</v>
      </c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5.75" x14ac:dyDescent="0.25">
      <c r="A138" s="16">
        <v>45474</v>
      </c>
      <c r="B138" s="69">
        <v>31</v>
      </c>
      <c r="C138" s="56">
        <f>194.205</f>
        <v>194.20500000000001</v>
      </c>
      <c r="D138" s="56">
        <f>267.466</f>
        <v>267.46600000000001</v>
      </c>
      <c r="E138" s="64">
        <f>133.845</f>
        <v>133.845</v>
      </c>
      <c r="F138" s="56">
        <f>278.484-40-25-60-100</f>
        <v>53.48399999999998</v>
      </c>
      <c r="G138" s="59">
        <v>40</v>
      </c>
      <c r="H138" s="56">
        <f t="shared" si="21"/>
        <v>185</v>
      </c>
      <c r="I138" s="56">
        <f t="shared" si="18"/>
        <v>0</v>
      </c>
      <c r="J138" s="59">
        <v>100</v>
      </c>
      <c r="K138" s="59">
        <v>300</v>
      </c>
      <c r="L138" s="56">
        <f t="shared" si="12"/>
        <v>1274</v>
      </c>
      <c r="M138" s="66">
        <v>600</v>
      </c>
      <c r="N138" s="56">
        <f>30</f>
        <v>30</v>
      </c>
      <c r="O138" s="59">
        <v>240</v>
      </c>
      <c r="P138" s="59">
        <v>160</v>
      </c>
      <c r="Q138" s="59">
        <f t="shared" si="13"/>
        <v>195</v>
      </c>
      <c r="R138" s="59">
        <f t="shared" si="14"/>
        <v>100</v>
      </c>
      <c r="S138" s="56">
        <f t="shared" si="15"/>
        <v>695</v>
      </c>
      <c r="T138" s="56">
        <f>0</f>
        <v>0</v>
      </c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  <row r="139" spans="1:30" ht="15.75" x14ac:dyDescent="0.25">
      <c r="A139" s="16">
        <v>45505</v>
      </c>
      <c r="B139" s="69">
        <v>31</v>
      </c>
      <c r="C139" s="56">
        <f>194.205</f>
        <v>194.20500000000001</v>
      </c>
      <c r="D139" s="56">
        <f>267.466</f>
        <v>267.46600000000001</v>
      </c>
      <c r="E139" s="64">
        <f>133.845</f>
        <v>133.845</v>
      </c>
      <c r="F139" s="56">
        <f>278.484-40-25-60-100</f>
        <v>53.48399999999998</v>
      </c>
      <c r="G139" s="59">
        <v>40</v>
      </c>
      <c r="H139" s="56">
        <f t="shared" si="21"/>
        <v>185</v>
      </c>
      <c r="I139" s="56">
        <f t="shared" si="18"/>
        <v>0</v>
      </c>
      <c r="J139" s="59">
        <v>100</v>
      </c>
      <c r="K139" s="59">
        <v>300</v>
      </c>
      <c r="L139" s="56">
        <f t="shared" si="12"/>
        <v>1274</v>
      </c>
      <c r="M139" s="66">
        <v>600</v>
      </c>
      <c r="N139" s="56">
        <f>30</f>
        <v>30</v>
      </c>
      <c r="O139" s="59">
        <v>240</v>
      </c>
      <c r="P139" s="59">
        <v>160</v>
      </c>
      <c r="Q139" s="59">
        <f t="shared" si="13"/>
        <v>195</v>
      </c>
      <c r="R139" s="59">
        <f t="shared" si="14"/>
        <v>100</v>
      </c>
      <c r="S139" s="56">
        <f t="shared" si="15"/>
        <v>695</v>
      </c>
      <c r="T139" s="56">
        <f>0</f>
        <v>0</v>
      </c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</row>
    <row r="140" spans="1:30" ht="15.75" x14ac:dyDescent="0.25">
      <c r="A140" s="16">
        <v>45536</v>
      </c>
      <c r="B140" s="69">
        <v>30</v>
      </c>
      <c r="C140" s="56">
        <f>194.205</f>
        <v>194.20500000000001</v>
      </c>
      <c r="D140" s="56">
        <f>267.466</f>
        <v>267.46600000000001</v>
      </c>
      <c r="E140" s="64">
        <f>133.845</f>
        <v>133.845</v>
      </c>
      <c r="F140" s="56">
        <f>278.484-40-25-60-100</f>
        <v>53.48399999999998</v>
      </c>
      <c r="G140" s="59">
        <v>40</v>
      </c>
      <c r="H140" s="56">
        <f t="shared" si="21"/>
        <v>185</v>
      </c>
      <c r="I140" s="56">
        <f t="shared" si="18"/>
        <v>0</v>
      </c>
      <c r="J140" s="59">
        <v>100</v>
      </c>
      <c r="K140" s="59">
        <v>300</v>
      </c>
      <c r="L140" s="56">
        <f t="shared" si="12"/>
        <v>1274</v>
      </c>
      <c r="M140" s="66">
        <v>600</v>
      </c>
      <c r="N140" s="56">
        <f>30</f>
        <v>30</v>
      </c>
      <c r="O140" s="59">
        <v>240</v>
      </c>
      <c r="P140" s="59">
        <v>160</v>
      </c>
      <c r="Q140" s="59">
        <f t="shared" si="13"/>
        <v>195</v>
      </c>
      <c r="R140" s="59">
        <f t="shared" si="14"/>
        <v>100</v>
      </c>
      <c r="S140" s="56">
        <f t="shared" si="15"/>
        <v>695</v>
      </c>
      <c r="T140" s="56">
        <f>0</f>
        <v>0</v>
      </c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</row>
    <row r="141" spans="1:30" ht="15.75" x14ac:dyDescent="0.25">
      <c r="A141" s="16">
        <v>45566</v>
      </c>
      <c r="B141" s="69">
        <v>31</v>
      </c>
      <c r="C141" s="56">
        <f>131.881</f>
        <v>131.881</v>
      </c>
      <c r="D141" s="56">
        <f>277.167</f>
        <v>277.16699999999997</v>
      </c>
      <c r="E141" s="64">
        <f>79.08</f>
        <v>79.08</v>
      </c>
      <c r="F141" s="56">
        <f>350.872-40-25-60-100</f>
        <v>125.87200000000001</v>
      </c>
      <c r="G141" s="59">
        <v>40</v>
      </c>
      <c r="H141" s="56">
        <f t="shared" si="21"/>
        <v>185</v>
      </c>
      <c r="I141" s="56">
        <f t="shared" si="18"/>
        <v>0</v>
      </c>
      <c r="J141" s="59">
        <v>100</v>
      </c>
      <c r="K141" s="59">
        <v>300</v>
      </c>
      <c r="L141" s="56">
        <f t="shared" si="12"/>
        <v>1239</v>
      </c>
      <c r="M141" s="66">
        <v>600</v>
      </c>
      <c r="N141" s="56">
        <f>75</f>
        <v>75</v>
      </c>
      <c r="O141" s="59">
        <v>240</v>
      </c>
      <c r="P141" s="59">
        <v>160</v>
      </c>
      <c r="Q141" s="59">
        <f t="shared" si="13"/>
        <v>195</v>
      </c>
      <c r="R141" s="59">
        <f t="shared" si="14"/>
        <v>100</v>
      </c>
      <c r="S141" s="56">
        <f t="shared" si="15"/>
        <v>695</v>
      </c>
      <c r="T141" s="56">
        <f>0</f>
        <v>0</v>
      </c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</row>
    <row r="142" spans="1:30" ht="15.75" x14ac:dyDescent="0.25">
      <c r="A142" s="16">
        <v>45597</v>
      </c>
      <c r="B142" s="69">
        <v>30</v>
      </c>
      <c r="C142" s="56">
        <f>122.58</f>
        <v>122.58</v>
      </c>
      <c r="D142" s="56">
        <f>297.941</f>
        <v>297.94099999999997</v>
      </c>
      <c r="E142" s="64">
        <f>89.177</f>
        <v>89.177000000000007</v>
      </c>
      <c r="F142" s="56">
        <f>240.302-40-60-100</f>
        <v>40.301999999999992</v>
      </c>
      <c r="G142" s="59">
        <v>40</v>
      </c>
      <c r="H142" s="56">
        <f>60+100</f>
        <v>160</v>
      </c>
      <c r="I142" s="56">
        <f t="shared" si="18"/>
        <v>0</v>
      </c>
      <c r="J142" s="59">
        <v>100</v>
      </c>
      <c r="K142" s="59">
        <v>300</v>
      </c>
      <c r="L142" s="56">
        <f t="shared" si="12"/>
        <v>1150</v>
      </c>
      <c r="M142" s="66">
        <v>600</v>
      </c>
      <c r="N142" s="56">
        <f>100</f>
        <v>100</v>
      </c>
      <c r="O142" s="59">
        <v>240</v>
      </c>
      <c r="P142" s="59">
        <v>40</v>
      </c>
      <c r="Q142" s="59">
        <f t="shared" si="13"/>
        <v>315</v>
      </c>
      <c r="R142" s="59">
        <f t="shared" si="14"/>
        <v>100</v>
      </c>
      <c r="S142" s="56">
        <f t="shared" si="15"/>
        <v>695</v>
      </c>
      <c r="T142" s="56">
        <f>50</f>
        <v>50</v>
      </c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</row>
    <row r="143" spans="1:30" ht="15.75" x14ac:dyDescent="0.25">
      <c r="A143" s="16">
        <v>45627</v>
      </c>
      <c r="B143" s="69">
        <v>31</v>
      </c>
      <c r="C143" s="56">
        <f>122.58</f>
        <v>122.58</v>
      </c>
      <c r="D143" s="56">
        <f>297.941</f>
        <v>297.94099999999997</v>
      </c>
      <c r="E143" s="64">
        <f>89.177</f>
        <v>89.177000000000007</v>
      </c>
      <c r="F143" s="56">
        <f>240.302-40-60-100</f>
        <v>40.301999999999992</v>
      </c>
      <c r="G143" s="59">
        <v>40</v>
      </c>
      <c r="H143" s="56">
        <f>60+100</f>
        <v>160</v>
      </c>
      <c r="I143" s="56">
        <f t="shared" si="18"/>
        <v>0</v>
      </c>
      <c r="J143" s="59">
        <v>100</v>
      </c>
      <c r="K143" s="59">
        <v>300</v>
      </c>
      <c r="L143" s="56">
        <f t="shared" ref="L143:L206" si="22">SUM(C143:K143)</f>
        <v>1150</v>
      </c>
      <c r="M143" s="66">
        <v>600</v>
      </c>
      <c r="N143" s="56">
        <f>100</f>
        <v>100</v>
      </c>
      <c r="O143" s="59">
        <v>240</v>
      </c>
      <c r="P143" s="59">
        <v>40</v>
      </c>
      <c r="Q143" s="59">
        <f t="shared" ref="Q143:Q206" si="23">695-R143-O143-P143</f>
        <v>315</v>
      </c>
      <c r="R143" s="59">
        <f t="shared" ref="R143:R206" si="24">200-J143</f>
        <v>100</v>
      </c>
      <c r="S143" s="56">
        <f t="shared" ref="S143:S206" si="25">SUM(O143:R143)</f>
        <v>695</v>
      </c>
      <c r="T143" s="56">
        <f>50</f>
        <v>50</v>
      </c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</row>
    <row r="144" spans="1:30" ht="15.75" x14ac:dyDescent="0.25">
      <c r="A144" s="16">
        <v>45658</v>
      </c>
      <c r="B144" s="69">
        <v>31</v>
      </c>
      <c r="C144" s="56">
        <f>122.58</f>
        <v>122.58</v>
      </c>
      <c r="D144" s="56">
        <f>297.941</f>
        <v>297.94099999999997</v>
      </c>
      <c r="E144" s="64">
        <f>89.177</f>
        <v>89.177000000000007</v>
      </c>
      <c r="F144" s="56">
        <f>240.302-40-60-100</f>
        <v>40.301999999999992</v>
      </c>
      <c r="G144" s="59">
        <v>40</v>
      </c>
      <c r="H144" s="56">
        <f>60+100</f>
        <v>160</v>
      </c>
      <c r="I144" s="56">
        <f t="shared" si="18"/>
        <v>0</v>
      </c>
      <c r="J144" s="59">
        <v>100</v>
      </c>
      <c r="K144" s="59">
        <v>300</v>
      </c>
      <c r="L144" s="56">
        <f t="shared" si="22"/>
        <v>1150</v>
      </c>
      <c r="M144" s="66">
        <v>600</v>
      </c>
      <c r="N144" s="56">
        <f>100</f>
        <v>100</v>
      </c>
      <c r="O144" s="59">
        <v>240</v>
      </c>
      <c r="P144" s="59">
        <v>40</v>
      </c>
      <c r="Q144" s="59">
        <f t="shared" si="23"/>
        <v>315</v>
      </c>
      <c r="R144" s="59">
        <f t="shared" si="24"/>
        <v>100</v>
      </c>
      <c r="S144" s="56">
        <f t="shared" si="25"/>
        <v>695</v>
      </c>
      <c r="T144" s="56">
        <f>50</f>
        <v>50</v>
      </c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</row>
    <row r="145" spans="1:30" ht="15.75" x14ac:dyDescent="0.25">
      <c r="A145" s="16">
        <v>45689</v>
      </c>
      <c r="B145" s="69">
        <v>28</v>
      </c>
      <c r="C145" s="56">
        <f>122.58</f>
        <v>122.58</v>
      </c>
      <c r="D145" s="56">
        <f>297.941</f>
        <v>297.94099999999997</v>
      </c>
      <c r="E145" s="64">
        <f>89.177</f>
        <v>89.177000000000007</v>
      </c>
      <c r="F145" s="56">
        <f>240.302-40-60-100</f>
        <v>40.301999999999992</v>
      </c>
      <c r="G145" s="59">
        <v>40</v>
      </c>
      <c r="H145" s="56">
        <f>60+100</f>
        <v>160</v>
      </c>
      <c r="I145" s="56">
        <f t="shared" si="18"/>
        <v>0</v>
      </c>
      <c r="J145" s="59">
        <v>100</v>
      </c>
      <c r="K145" s="59">
        <v>300</v>
      </c>
      <c r="L145" s="56">
        <f t="shared" si="22"/>
        <v>1150</v>
      </c>
      <c r="M145" s="66">
        <v>600</v>
      </c>
      <c r="N145" s="56">
        <f>100</f>
        <v>100</v>
      </c>
      <c r="O145" s="59">
        <v>240</v>
      </c>
      <c r="P145" s="59">
        <v>40</v>
      </c>
      <c r="Q145" s="59">
        <f t="shared" si="23"/>
        <v>315</v>
      </c>
      <c r="R145" s="59">
        <f t="shared" si="24"/>
        <v>100</v>
      </c>
      <c r="S145" s="56">
        <f t="shared" si="25"/>
        <v>695</v>
      </c>
      <c r="T145" s="56">
        <f>50</f>
        <v>50</v>
      </c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</row>
    <row r="146" spans="1:30" ht="15.75" x14ac:dyDescent="0.25">
      <c r="A146" s="16">
        <v>45717</v>
      </c>
      <c r="B146" s="69">
        <v>31</v>
      </c>
      <c r="C146" s="56">
        <f>122.58</f>
        <v>122.58</v>
      </c>
      <c r="D146" s="56">
        <f>297.941</f>
        <v>297.94099999999997</v>
      </c>
      <c r="E146" s="64">
        <f>89.177</f>
        <v>89.177000000000007</v>
      </c>
      <c r="F146" s="56">
        <f>240.302-40-60-100</f>
        <v>40.301999999999992</v>
      </c>
      <c r="G146" s="59">
        <v>40</v>
      </c>
      <c r="H146" s="56">
        <f>60+100</f>
        <v>160</v>
      </c>
      <c r="I146" s="56">
        <f t="shared" si="18"/>
        <v>0</v>
      </c>
      <c r="J146" s="59">
        <v>100</v>
      </c>
      <c r="K146" s="59">
        <v>300</v>
      </c>
      <c r="L146" s="56">
        <f t="shared" si="22"/>
        <v>1150</v>
      </c>
      <c r="M146" s="66">
        <v>600</v>
      </c>
      <c r="N146" s="56">
        <f>100</f>
        <v>100</v>
      </c>
      <c r="O146" s="59">
        <v>240</v>
      </c>
      <c r="P146" s="59">
        <v>40</v>
      </c>
      <c r="Q146" s="59">
        <f t="shared" si="23"/>
        <v>315</v>
      </c>
      <c r="R146" s="59">
        <f t="shared" si="24"/>
        <v>100</v>
      </c>
      <c r="S146" s="56">
        <f t="shared" si="25"/>
        <v>695</v>
      </c>
      <c r="T146" s="56">
        <f>50</f>
        <v>50</v>
      </c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</row>
    <row r="147" spans="1:30" ht="15.75" x14ac:dyDescent="0.25">
      <c r="A147" s="16">
        <v>45748</v>
      </c>
      <c r="B147" s="69">
        <v>30</v>
      </c>
      <c r="C147" s="56">
        <f>141.293</f>
        <v>141.29300000000001</v>
      </c>
      <c r="D147" s="56">
        <f>267.993</f>
        <v>267.99299999999999</v>
      </c>
      <c r="E147" s="64">
        <f>115.016</f>
        <v>115.01600000000001</v>
      </c>
      <c r="F147" s="56">
        <f>314.698-40-25-60-100</f>
        <v>89.697999999999979</v>
      </c>
      <c r="G147" s="59">
        <v>40</v>
      </c>
      <c r="H147" s="56">
        <f t="shared" ref="H147:H153" si="26">25+60+100</f>
        <v>185</v>
      </c>
      <c r="I147" s="56">
        <f t="shared" si="18"/>
        <v>0</v>
      </c>
      <c r="J147" s="59">
        <v>100</v>
      </c>
      <c r="K147" s="59">
        <v>300</v>
      </c>
      <c r="L147" s="56">
        <f t="shared" si="22"/>
        <v>1239</v>
      </c>
      <c r="M147" s="66">
        <v>600</v>
      </c>
      <c r="N147" s="56">
        <f>100</f>
        <v>100</v>
      </c>
      <c r="O147" s="59">
        <v>240</v>
      </c>
      <c r="P147" s="59">
        <v>160</v>
      </c>
      <c r="Q147" s="59">
        <f t="shared" si="23"/>
        <v>195</v>
      </c>
      <c r="R147" s="59">
        <f t="shared" si="24"/>
        <v>100</v>
      </c>
      <c r="S147" s="56">
        <f t="shared" si="25"/>
        <v>695</v>
      </c>
      <c r="T147" s="56">
        <f>50</f>
        <v>50</v>
      </c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</row>
    <row r="148" spans="1:30" ht="15.75" x14ac:dyDescent="0.25">
      <c r="A148" s="16">
        <v>45778</v>
      </c>
      <c r="B148" s="69">
        <v>31</v>
      </c>
      <c r="C148" s="56">
        <f>194.205</f>
        <v>194.20500000000001</v>
      </c>
      <c r="D148" s="56">
        <f>267.466</f>
        <v>267.46600000000001</v>
      </c>
      <c r="E148" s="64">
        <f>133.845</f>
        <v>133.845</v>
      </c>
      <c r="F148" s="56">
        <f>278.484-40-25-60-100</f>
        <v>53.48399999999998</v>
      </c>
      <c r="G148" s="59">
        <v>40</v>
      </c>
      <c r="H148" s="56">
        <f t="shared" si="26"/>
        <v>185</v>
      </c>
      <c r="I148" s="56">
        <f t="shared" si="18"/>
        <v>0</v>
      </c>
      <c r="J148" s="59">
        <v>100</v>
      </c>
      <c r="K148" s="59">
        <v>300</v>
      </c>
      <c r="L148" s="56">
        <f t="shared" si="22"/>
        <v>1274</v>
      </c>
      <c r="M148" s="66">
        <v>600</v>
      </c>
      <c r="N148" s="56">
        <f>75</f>
        <v>75</v>
      </c>
      <c r="O148" s="59">
        <v>240</v>
      </c>
      <c r="P148" s="59">
        <v>160</v>
      </c>
      <c r="Q148" s="59">
        <f t="shared" si="23"/>
        <v>195</v>
      </c>
      <c r="R148" s="59">
        <f t="shared" si="24"/>
        <v>100</v>
      </c>
      <c r="S148" s="56">
        <f t="shared" si="25"/>
        <v>695</v>
      </c>
      <c r="T148" s="56">
        <f>50</f>
        <v>50</v>
      </c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</row>
    <row r="149" spans="1:30" ht="15.75" x14ac:dyDescent="0.25">
      <c r="A149" s="16">
        <v>45809</v>
      </c>
      <c r="B149" s="69">
        <v>30</v>
      </c>
      <c r="C149" s="56">
        <f>194.205</f>
        <v>194.20500000000001</v>
      </c>
      <c r="D149" s="56">
        <f>267.466</f>
        <v>267.46600000000001</v>
      </c>
      <c r="E149" s="64">
        <f>133.845</f>
        <v>133.845</v>
      </c>
      <c r="F149" s="56">
        <f>278.484-40-25-60-100</f>
        <v>53.48399999999998</v>
      </c>
      <c r="G149" s="59">
        <v>40</v>
      </c>
      <c r="H149" s="56">
        <f t="shared" si="26"/>
        <v>185</v>
      </c>
      <c r="I149" s="56">
        <f t="shared" si="18"/>
        <v>0</v>
      </c>
      <c r="J149" s="59">
        <v>100</v>
      </c>
      <c r="K149" s="59">
        <v>300</v>
      </c>
      <c r="L149" s="56">
        <f t="shared" si="22"/>
        <v>1274</v>
      </c>
      <c r="M149" s="66">
        <v>600</v>
      </c>
      <c r="N149" s="56">
        <f>30</f>
        <v>30</v>
      </c>
      <c r="O149" s="59">
        <v>240</v>
      </c>
      <c r="P149" s="59">
        <v>160</v>
      </c>
      <c r="Q149" s="59">
        <f t="shared" si="23"/>
        <v>195</v>
      </c>
      <c r="R149" s="59">
        <f t="shared" si="24"/>
        <v>100</v>
      </c>
      <c r="S149" s="56">
        <f t="shared" si="25"/>
        <v>695</v>
      </c>
      <c r="T149" s="56">
        <f>50</f>
        <v>50</v>
      </c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</row>
    <row r="150" spans="1:30" ht="15.75" x14ac:dyDescent="0.25">
      <c r="A150" s="16">
        <v>45839</v>
      </c>
      <c r="B150" s="69">
        <v>31</v>
      </c>
      <c r="C150" s="56">
        <f>194.205</f>
        <v>194.20500000000001</v>
      </c>
      <c r="D150" s="56">
        <f>267.466</f>
        <v>267.46600000000001</v>
      </c>
      <c r="E150" s="64">
        <f>133.845</f>
        <v>133.845</v>
      </c>
      <c r="F150" s="56">
        <f>278.484-40-25-60-100</f>
        <v>53.48399999999998</v>
      </c>
      <c r="G150" s="59">
        <v>40</v>
      </c>
      <c r="H150" s="56">
        <f t="shared" si="26"/>
        <v>185</v>
      </c>
      <c r="I150" s="56">
        <f t="shared" si="18"/>
        <v>0</v>
      </c>
      <c r="J150" s="59">
        <v>100</v>
      </c>
      <c r="K150" s="59">
        <v>300</v>
      </c>
      <c r="L150" s="56">
        <f t="shared" si="22"/>
        <v>1274</v>
      </c>
      <c r="M150" s="66">
        <v>600</v>
      </c>
      <c r="N150" s="56">
        <f>30</f>
        <v>30</v>
      </c>
      <c r="O150" s="59">
        <v>240</v>
      </c>
      <c r="P150" s="59">
        <v>160</v>
      </c>
      <c r="Q150" s="59">
        <f t="shared" si="23"/>
        <v>195</v>
      </c>
      <c r="R150" s="59">
        <f t="shared" si="24"/>
        <v>100</v>
      </c>
      <c r="S150" s="56">
        <f t="shared" si="25"/>
        <v>695</v>
      </c>
      <c r="T150" s="56">
        <f>0</f>
        <v>0</v>
      </c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</row>
    <row r="151" spans="1:30" ht="15.75" x14ac:dyDescent="0.25">
      <c r="A151" s="16">
        <v>45870</v>
      </c>
      <c r="B151" s="69">
        <v>31</v>
      </c>
      <c r="C151" s="56">
        <f>194.205</f>
        <v>194.20500000000001</v>
      </c>
      <c r="D151" s="56">
        <f>267.466</f>
        <v>267.46600000000001</v>
      </c>
      <c r="E151" s="64">
        <f>133.845</f>
        <v>133.845</v>
      </c>
      <c r="F151" s="56">
        <f>278.484-40-25-60-100</f>
        <v>53.48399999999998</v>
      </c>
      <c r="G151" s="59">
        <v>40</v>
      </c>
      <c r="H151" s="56">
        <f t="shared" si="26"/>
        <v>185</v>
      </c>
      <c r="I151" s="56">
        <f t="shared" si="18"/>
        <v>0</v>
      </c>
      <c r="J151" s="59">
        <v>100</v>
      </c>
      <c r="K151" s="59">
        <v>300</v>
      </c>
      <c r="L151" s="56">
        <f t="shared" si="22"/>
        <v>1274</v>
      </c>
      <c r="M151" s="66">
        <v>600</v>
      </c>
      <c r="N151" s="56">
        <f>30</f>
        <v>30</v>
      </c>
      <c r="O151" s="59">
        <v>240</v>
      </c>
      <c r="P151" s="59">
        <v>160</v>
      </c>
      <c r="Q151" s="59">
        <f t="shared" si="23"/>
        <v>195</v>
      </c>
      <c r="R151" s="59">
        <f t="shared" si="24"/>
        <v>100</v>
      </c>
      <c r="S151" s="56">
        <f t="shared" si="25"/>
        <v>695</v>
      </c>
      <c r="T151" s="56">
        <f>0</f>
        <v>0</v>
      </c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</row>
    <row r="152" spans="1:30" ht="15.75" x14ac:dyDescent="0.25">
      <c r="A152" s="16">
        <v>45901</v>
      </c>
      <c r="B152" s="69">
        <v>30</v>
      </c>
      <c r="C152" s="56">
        <f>194.205</f>
        <v>194.20500000000001</v>
      </c>
      <c r="D152" s="56">
        <f>267.466</f>
        <v>267.46600000000001</v>
      </c>
      <c r="E152" s="64">
        <f>133.845</f>
        <v>133.845</v>
      </c>
      <c r="F152" s="56">
        <f>278.484-40-25-60-100</f>
        <v>53.48399999999998</v>
      </c>
      <c r="G152" s="59">
        <v>40</v>
      </c>
      <c r="H152" s="56">
        <f t="shared" si="26"/>
        <v>185</v>
      </c>
      <c r="I152" s="56">
        <f t="shared" si="18"/>
        <v>0</v>
      </c>
      <c r="J152" s="59">
        <v>100</v>
      </c>
      <c r="K152" s="59">
        <v>300</v>
      </c>
      <c r="L152" s="56">
        <f t="shared" si="22"/>
        <v>1274</v>
      </c>
      <c r="M152" s="66">
        <v>600</v>
      </c>
      <c r="N152" s="56">
        <f>30</f>
        <v>30</v>
      </c>
      <c r="O152" s="59">
        <v>240</v>
      </c>
      <c r="P152" s="59">
        <v>160</v>
      </c>
      <c r="Q152" s="59">
        <f t="shared" si="23"/>
        <v>195</v>
      </c>
      <c r="R152" s="59">
        <f t="shared" si="24"/>
        <v>100</v>
      </c>
      <c r="S152" s="56">
        <f t="shared" si="25"/>
        <v>695</v>
      </c>
      <c r="T152" s="56">
        <f>0</f>
        <v>0</v>
      </c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</row>
    <row r="153" spans="1:30" ht="15.75" x14ac:dyDescent="0.25">
      <c r="A153" s="16">
        <v>45931</v>
      </c>
      <c r="B153" s="69">
        <v>31</v>
      </c>
      <c r="C153" s="56">
        <f>131.881</f>
        <v>131.881</v>
      </c>
      <c r="D153" s="56">
        <f>277.167</f>
        <v>277.16699999999997</v>
      </c>
      <c r="E153" s="64">
        <f>79.08</f>
        <v>79.08</v>
      </c>
      <c r="F153" s="56">
        <f>350.872-40-25-60-100</f>
        <v>125.87200000000001</v>
      </c>
      <c r="G153" s="59">
        <v>40</v>
      </c>
      <c r="H153" s="56">
        <f t="shared" si="26"/>
        <v>185</v>
      </c>
      <c r="I153" s="56">
        <f t="shared" si="18"/>
        <v>0</v>
      </c>
      <c r="J153" s="59">
        <v>100</v>
      </c>
      <c r="K153" s="59">
        <v>300</v>
      </c>
      <c r="L153" s="56">
        <f t="shared" si="22"/>
        <v>1239</v>
      </c>
      <c r="M153" s="66">
        <v>600</v>
      </c>
      <c r="N153" s="56">
        <f>75</f>
        <v>75</v>
      </c>
      <c r="O153" s="59">
        <v>240</v>
      </c>
      <c r="P153" s="59">
        <v>160</v>
      </c>
      <c r="Q153" s="59">
        <f t="shared" si="23"/>
        <v>195</v>
      </c>
      <c r="R153" s="59">
        <f t="shared" si="24"/>
        <v>100</v>
      </c>
      <c r="S153" s="56">
        <f t="shared" si="25"/>
        <v>695</v>
      </c>
      <c r="T153" s="56">
        <f>0</f>
        <v>0</v>
      </c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</row>
    <row r="154" spans="1:30" ht="15.75" x14ac:dyDescent="0.25">
      <c r="A154" s="16">
        <v>45962</v>
      </c>
      <c r="B154" s="69">
        <v>30</v>
      </c>
      <c r="C154" s="56">
        <f>122.58</f>
        <v>122.58</v>
      </c>
      <c r="D154" s="56">
        <f>297.941</f>
        <v>297.94099999999997</v>
      </c>
      <c r="E154" s="64">
        <f>89.177</f>
        <v>89.177000000000007</v>
      </c>
      <c r="F154" s="56">
        <f>240.302-40-60-100</f>
        <v>40.301999999999992</v>
      </c>
      <c r="G154" s="59">
        <v>40</v>
      </c>
      <c r="H154" s="56">
        <f>60+100</f>
        <v>160</v>
      </c>
      <c r="I154" s="56">
        <f t="shared" si="18"/>
        <v>0</v>
      </c>
      <c r="J154" s="59">
        <v>100</v>
      </c>
      <c r="K154" s="59">
        <v>300</v>
      </c>
      <c r="L154" s="56">
        <f t="shared" si="22"/>
        <v>1150</v>
      </c>
      <c r="M154" s="66">
        <v>600</v>
      </c>
      <c r="N154" s="56">
        <f>100</f>
        <v>100</v>
      </c>
      <c r="O154" s="59">
        <v>240</v>
      </c>
      <c r="P154" s="59">
        <v>40</v>
      </c>
      <c r="Q154" s="59">
        <f t="shared" si="23"/>
        <v>315</v>
      </c>
      <c r="R154" s="59">
        <f t="shared" si="24"/>
        <v>100</v>
      </c>
      <c r="S154" s="56">
        <f t="shared" si="25"/>
        <v>695</v>
      </c>
      <c r="T154" s="56">
        <f>50</f>
        <v>50</v>
      </c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</row>
    <row r="155" spans="1:30" ht="15.75" x14ac:dyDescent="0.25">
      <c r="A155" s="16">
        <v>45992</v>
      </c>
      <c r="B155" s="69">
        <v>31</v>
      </c>
      <c r="C155" s="56">
        <f>122.58</f>
        <v>122.58</v>
      </c>
      <c r="D155" s="56">
        <f>297.941</f>
        <v>297.94099999999997</v>
      </c>
      <c r="E155" s="64">
        <f>89.177</f>
        <v>89.177000000000007</v>
      </c>
      <c r="F155" s="56">
        <f>240.302-40-60-100</f>
        <v>40.301999999999992</v>
      </c>
      <c r="G155" s="59">
        <v>40</v>
      </c>
      <c r="H155" s="56">
        <f>60+100</f>
        <v>160</v>
      </c>
      <c r="I155" s="56">
        <f t="shared" si="18"/>
        <v>0</v>
      </c>
      <c r="J155" s="59">
        <v>100</v>
      </c>
      <c r="K155" s="59">
        <v>300</v>
      </c>
      <c r="L155" s="56">
        <f t="shared" si="22"/>
        <v>1150</v>
      </c>
      <c r="M155" s="66">
        <v>600</v>
      </c>
      <c r="N155" s="56">
        <f>100</f>
        <v>100</v>
      </c>
      <c r="O155" s="59">
        <v>240</v>
      </c>
      <c r="P155" s="59">
        <v>40</v>
      </c>
      <c r="Q155" s="59">
        <f t="shared" si="23"/>
        <v>315</v>
      </c>
      <c r="R155" s="59">
        <f t="shared" si="24"/>
        <v>100</v>
      </c>
      <c r="S155" s="56">
        <f t="shared" si="25"/>
        <v>695</v>
      </c>
      <c r="T155" s="56">
        <f>50</f>
        <v>50</v>
      </c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</row>
    <row r="156" spans="1:30" ht="15.75" x14ac:dyDescent="0.25">
      <c r="A156" s="16">
        <v>46023</v>
      </c>
      <c r="B156" s="69">
        <v>31</v>
      </c>
      <c r="C156" s="56">
        <f>122.58</f>
        <v>122.58</v>
      </c>
      <c r="D156" s="56">
        <f>297.941</f>
        <v>297.94099999999997</v>
      </c>
      <c r="E156" s="64">
        <f>89.177</f>
        <v>89.177000000000007</v>
      </c>
      <c r="F156" s="56">
        <f>240.302-40-60-100</f>
        <v>40.301999999999992</v>
      </c>
      <c r="G156" s="59">
        <v>40</v>
      </c>
      <c r="H156" s="56">
        <f>60+100</f>
        <v>160</v>
      </c>
      <c r="I156" s="56">
        <f t="shared" si="18"/>
        <v>0</v>
      </c>
      <c r="J156" s="59">
        <v>100</v>
      </c>
      <c r="K156" s="59">
        <v>300</v>
      </c>
      <c r="L156" s="56">
        <f t="shared" si="22"/>
        <v>1150</v>
      </c>
      <c r="M156" s="66">
        <v>600</v>
      </c>
      <c r="N156" s="56">
        <f>100</f>
        <v>100</v>
      </c>
      <c r="O156" s="59">
        <v>240</v>
      </c>
      <c r="P156" s="59">
        <v>40</v>
      </c>
      <c r="Q156" s="59">
        <f t="shared" si="23"/>
        <v>315</v>
      </c>
      <c r="R156" s="59">
        <f t="shared" si="24"/>
        <v>100</v>
      </c>
      <c r="S156" s="56">
        <f t="shared" si="25"/>
        <v>695</v>
      </c>
      <c r="T156" s="56">
        <f>50</f>
        <v>50</v>
      </c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</row>
    <row r="157" spans="1:30" ht="15.75" x14ac:dyDescent="0.25">
      <c r="A157" s="16">
        <v>46054</v>
      </c>
      <c r="B157" s="69">
        <v>28</v>
      </c>
      <c r="C157" s="56">
        <f>122.58</f>
        <v>122.58</v>
      </c>
      <c r="D157" s="56">
        <f>297.941</f>
        <v>297.94099999999997</v>
      </c>
      <c r="E157" s="64">
        <f>89.177</f>
        <v>89.177000000000007</v>
      </c>
      <c r="F157" s="56">
        <f>240.302-40-60-100</f>
        <v>40.301999999999992</v>
      </c>
      <c r="G157" s="59">
        <v>40</v>
      </c>
      <c r="H157" s="56">
        <f>60+100</f>
        <v>160</v>
      </c>
      <c r="I157" s="56">
        <f t="shared" si="18"/>
        <v>0</v>
      </c>
      <c r="J157" s="59">
        <v>100</v>
      </c>
      <c r="K157" s="59">
        <v>300</v>
      </c>
      <c r="L157" s="56">
        <f t="shared" si="22"/>
        <v>1150</v>
      </c>
      <c r="M157" s="66">
        <v>600</v>
      </c>
      <c r="N157" s="56">
        <f>100</f>
        <v>100</v>
      </c>
      <c r="O157" s="59">
        <v>240</v>
      </c>
      <c r="P157" s="59">
        <v>40</v>
      </c>
      <c r="Q157" s="59">
        <f t="shared" si="23"/>
        <v>315</v>
      </c>
      <c r="R157" s="59">
        <f t="shared" si="24"/>
        <v>100</v>
      </c>
      <c r="S157" s="56">
        <f t="shared" si="25"/>
        <v>695</v>
      </c>
      <c r="T157" s="56">
        <f>50</f>
        <v>50</v>
      </c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</row>
    <row r="158" spans="1:30" ht="15.75" x14ac:dyDescent="0.25">
      <c r="A158" s="16">
        <v>46082</v>
      </c>
      <c r="B158" s="69">
        <v>31</v>
      </c>
      <c r="C158" s="56">
        <f>122.58</f>
        <v>122.58</v>
      </c>
      <c r="D158" s="56">
        <f>297.941</f>
        <v>297.94099999999997</v>
      </c>
      <c r="E158" s="64">
        <f>89.177</f>
        <v>89.177000000000007</v>
      </c>
      <c r="F158" s="56">
        <f>240.302-40-60-100</f>
        <v>40.301999999999992</v>
      </c>
      <c r="G158" s="59">
        <v>40</v>
      </c>
      <c r="H158" s="56">
        <f>60+100</f>
        <v>160</v>
      </c>
      <c r="I158" s="56">
        <f t="shared" si="18"/>
        <v>0</v>
      </c>
      <c r="J158" s="59">
        <v>100</v>
      </c>
      <c r="K158" s="59">
        <v>300</v>
      </c>
      <c r="L158" s="56">
        <f t="shared" si="22"/>
        <v>1150</v>
      </c>
      <c r="M158" s="66">
        <v>600</v>
      </c>
      <c r="N158" s="56">
        <f>100</f>
        <v>100</v>
      </c>
      <c r="O158" s="59">
        <v>240</v>
      </c>
      <c r="P158" s="59">
        <v>40</v>
      </c>
      <c r="Q158" s="59">
        <f t="shared" si="23"/>
        <v>315</v>
      </c>
      <c r="R158" s="59">
        <f t="shared" si="24"/>
        <v>100</v>
      </c>
      <c r="S158" s="56">
        <f t="shared" si="25"/>
        <v>695</v>
      </c>
      <c r="T158" s="56">
        <f>50</f>
        <v>50</v>
      </c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</row>
    <row r="159" spans="1:30" ht="15.75" x14ac:dyDescent="0.25">
      <c r="A159" s="16">
        <v>46113</v>
      </c>
      <c r="B159" s="69">
        <v>30</v>
      </c>
      <c r="C159" s="56">
        <f>141.293</f>
        <v>141.29300000000001</v>
      </c>
      <c r="D159" s="56">
        <f>267.993</f>
        <v>267.99299999999999</v>
      </c>
      <c r="E159" s="64">
        <f>115.016</f>
        <v>115.01600000000001</v>
      </c>
      <c r="F159" s="56">
        <f>314.698-40-25-60-100</f>
        <v>89.697999999999979</v>
      </c>
      <c r="G159" s="59">
        <v>40</v>
      </c>
      <c r="H159" s="56">
        <f t="shared" ref="H159:H165" si="27">25+60+100</f>
        <v>185</v>
      </c>
      <c r="I159" s="56">
        <f t="shared" si="18"/>
        <v>0</v>
      </c>
      <c r="J159" s="59">
        <v>100</v>
      </c>
      <c r="K159" s="59">
        <v>300</v>
      </c>
      <c r="L159" s="56">
        <f t="shared" si="22"/>
        <v>1239</v>
      </c>
      <c r="M159" s="66">
        <v>600</v>
      </c>
      <c r="N159" s="56">
        <f>100</f>
        <v>100</v>
      </c>
      <c r="O159" s="59">
        <v>240</v>
      </c>
      <c r="P159" s="59">
        <v>160</v>
      </c>
      <c r="Q159" s="59">
        <f t="shared" si="23"/>
        <v>195</v>
      </c>
      <c r="R159" s="59">
        <f t="shared" si="24"/>
        <v>100</v>
      </c>
      <c r="S159" s="56">
        <f t="shared" si="25"/>
        <v>695</v>
      </c>
      <c r="T159" s="56">
        <f>50</f>
        <v>50</v>
      </c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</row>
    <row r="160" spans="1:30" ht="15.75" x14ac:dyDescent="0.25">
      <c r="A160" s="16">
        <v>46143</v>
      </c>
      <c r="B160" s="69">
        <v>31</v>
      </c>
      <c r="C160" s="56">
        <f>194.205</f>
        <v>194.20500000000001</v>
      </c>
      <c r="D160" s="56">
        <f>267.466</f>
        <v>267.46600000000001</v>
      </c>
      <c r="E160" s="64">
        <f>133.845</f>
        <v>133.845</v>
      </c>
      <c r="F160" s="56">
        <f>278.484-40-25-60-100</f>
        <v>53.48399999999998</v>
      </c>
      <c r="G160" s="59">
        <v>40</v>
      </c>
      <c r="H160" s="56">
        <f t="shared" si="27"/>
        <v>185</v>
      </c>
      <c r="I160" s="56">
        <f t="shared" si="18"/>
        <v>0</v>
      </c>
      <c r="J160" s="59">
        <v>100</v>
      </c>
      <c r="K160" s="59">
        <v>300</v>
      </c>
      <c r="L160" s="56">
        <f t="shared" si="22"/>
        <v>1274</v>
      </c>
      <c r="M160" s="66">
        <v>600</v>
      </c>
      <c r="N160" s="56">
        <f>75</f>
        <v>75</v>
      </c>
      <c r="O160" s="59">
        <v>240</v>
      </c>
      <c r="P160" s="59">
        <v>160</v>
      </c>
      <c r="Q160" s="59">
        <f t="shared" si="23"/>
        <v>195</v>
      </c>
      <c r="R160" s="59">
        <f t="shared" si="24"/>
        <v>100</v>
      </c>
      <c r="S160" s="56">
        <f t="shared" si="25"/>
        <v>695</v>
      </c>
      <c r="T160" s="56">
        <f>50</f>
        <v>50</v>
      </c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</row>
    <row r="161" spans="1:30" ht="15.75" x14ac:dyDescent="0.25">
      <c r="A161" s="16">
        <v>46174</v>
      </c>
      <c r="B161" s="69">
        <v>30</v>
      </c>
      <c r="C161" s="56">
        <f>194.205</f>
        <v>194.20500000000001</v>
      </c>
      <c r="D161" s="56">
        <f>267.466</f>
        <v>267.46600000000001</v>
      </c>
      <c r="E161" s="64">
        <f>133.845</f>
        <v>133.845</v>
      </c>
      <c r="F161" s="56">
        <f>278.484-40-25-60-100</f>
        <v>53.48399999999998</v>
      </c>
      <c r="G161" s="59">
        <v>40</v>
      </c>
      <c r="H161" s="56">
        <f t="shared" si="27"/>
        <v>185</v>
      </c>
      <c r="I161" s="56">
        <f t="shared" si="18"/>
        <v>0</v>
      </c>
      <c r="J161" s="59">
        <v>100</v>
      </c>
      <c r="K161" s="59">
        <v>300</v>
      </c>
      <c r="L161" s="56">
        <f t="shared" si="22"/>
        <v>1274</v>
      </c>
      <c r="M161" s="66">
        <v>600</v>
      </c>
      <c r="N161" s="56">
        <f>30</f>
        <v>30</v>
      </c>
      <c r="O161" s="59">
        <v>240</v>
      </c>
      <c r="P161" s="59">
        <v>160</v>
      </c>
      <c r="Q161" s="59">
        <f t="shared" si="23"/>
        <v>195</v>
      </c>
      <c r="R161" s="59">
        <f t="shared" si="24"/>
        <v>100</v>
      </c>
      <c r="S161" s="56">
        <f t="shared" si="25"/>
        <v>695</v>
      </c>
      <c r="T161" s="56">
        <f>50</f>
        <v>50</v>
      </c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</row>
    <row r="162" spans="1:30" ht="15.75" x14ac:dyDescent="0.25">
      <c r="A162" s="16">
        <v>46204</v>
      </c>
      <c r="B162" s="69">
        <v>31</v>
      </c>
      <c r="C162" s="56">
        <f>194.205</f>
        <v>194.20500000000001</v>
      </c>
      <c r="D162" s="56">
        <f>267.466</f>
        <v>267.46600000000001</v>
      </c>
      <c r="E162" s="64">
        <f>133.845</f>
        <v>133.845</v>
      </c>
      <c r="F162" s="56">
        <f>278.484-40-25-60-100</f>
        <v>53.48399999999998</v>
      </c>
      <c r="G162" s="59">
        <v>40</v>
      </c>
      <c r="H162" s="56">
        <f t="shared" si="27"/>
        <v>185</v>
      </c>
      <c r="I162" s="56">
        <f t="shared" si="18"/>
        <v>0</v>
      </c>
      <c r="J162" s="59">
        <v>100</v>
      </c>
      <c r="K162" s="59">
        <v>300</v>
      </c>
      <c r="L162" s="56">
        <f t="shared" si="22"/>
        <v>1274</v>
      </c>
      <c r="M162" s="66">
        <v>600</v>
      </c>
      <c r="N162" s="56">
        <f>30</f>
        <v>30</v>
      </c>
      <c r="O162" s="59">
        <v>240</v>
      </c>
      <c r="P162" s="59">
        <v>160</v>
      </c>
      <c r="Q162" s="59">
        <f t="shared" si="23"/>
        <v>195</v>
      </c>
      <c r="R162" s="59">
        <f t="shared" si="24"/>
        <v>100</v>
      </c>
      <c r="S162" s="56">
        <f t="shared" si="25"/>
        <v>695</v>
      </c>
      <c r="T162" s="56">
        <f>0</f>
        <v>0</v>
      </c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</row>
    <row r="163" spans="1:30" ht="15.75" x14ac:dyDescent="0.25">
      <c r="A163" s="16">
        <v>46235</v>
      </c>
      <c r="B163" s="69">
        <v>31</v>
      </c>
      <c r="C163" s="56">
        <f>194.205</f>
        <v>194.20500000000001</v>
      </c>
      <c r="D163" s="56">
        <f>267.466</f>
        <v>267.46600000000001</v>
      </c>
      <c r="E163" s="64">
        <f>133.845</f>
        <v>133.845</v>
      </c>
      <c r="F163" s="56">
        <f>278.484-40-25-60-100</f>
        <v>53.48399999999998</v>
      </c>
      <c r="G163" s="59">
        <v>40</v>
      </c>
      <c r="H163" s="56">
        <f t="shared" si="27"/>
        <v>185</v>
      </c>
      <c r="I163" s="56">
        <f t="shared" si="18"/>
        <v>0</v>
      </c>
      <c r="J163" s="59">
        <v>100</v>
      </c>
      <c r="K163" s="59">
        <v>300</v>
      </c>
      <c r="L163" s="56">
        <f t="shared" si="22"/>
        <v>1274</v>
      </c>
      <c r="M163" s="66">
        <v>600</v>
      </c>
      <c r="N163" s="56">
        <f>30</f>
        <v>30</v>
      </c>
      <c r="O163" s="59">
        <v>240</v>
      </c>
      <c r="P163" s="59">
        <v>160</v>
      </c>
      <c r="Q163" s="59">
        <f t="shared" si="23"/>
        <v>195</v>
      </c>
      <c r="R163" s="59">
        <f t="shared" si="24"/>
        <v>100</v>
      </c>
      <c r="S163" s="56">
        <f t="shared" si="25"/>
        <v>695</v>
      </c>
      <c r="T163" s="56">
        <f>0</f>
        <v>0</v>
      </c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</row>
    <row r="164" spans="1:30" ht="15.75" x14ac:dyDescent="0.25">
      <c r="A164" s="16">
        <v>46266</v>
      </c>
      <c r="B164" s="69">
        <v>30</v>
      </c>
      <c r="C164" s="56">
        <f>194.205</f>
        <v>194.20500000000001</v>
      </c>
      <c r="D164" s="56">
        <f>267.466</f>
        <v>267.46600000000001</v>
      </c>
      <c r="E164" s="64">
        <f>133.845</f>
        <v>133.845</v>
      </c>
      <c r="F164" s="56">
        <f>278.484-40-25-60-100</f>
        <v>53.48399999999998</v>
      </c>
      <c r="G164" s="59">
        <v>40</v>
      </c>
      <c r="H164" s="56">
        <f t="shared" si="27"/>
        <v>185</v>
      </c>
      <c r="I164" s="56">
        <f t="shared" si="18"/>
        <v>0</v>
      </c>
      <c r="J164" s="59">
        <v>100</v>
      </c>
      <c r="K164" s="59">
        <v>300</v>
      </c>
      <c r="L164" s="56">
        <f t="shared" si="22"/>
        <v>1274</v>
      </c>
      <c r="M164" s="66">
        <v>600</v>
      </c>
      <c r="N164" s="56">
        <f>30</f>
        <v>30</v>
      </c>
      <c r="O164" s="59">
        <v>240</v>
      </c>
      <c r="P164" s="59">
        <v>160</v>
      </c>
      <c r="Q164" s="59">
        <f t="shared" si="23"/>
        <v>195</v>
      </c>
      <c r="R164" s="59">
        <f t="shared" si="24"/>
        <v>100</v>
      </c>
      <c r="S164" s="56">
        <f t="shared" si="25"/>
        <v>695</v>
      </c>
      <c r="T164" s="56">
        <f>0</f>
        <v>0</v>
      </c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</row>
    <row r="165" spans="1:30" ht="15.75" x14ac:dyDescent="0.25">
      <c r="A165" s="16">
        <v>46296</v>
      </c>
      <c r="B165" s="69">
        <v>31</v>
      </c>
      <c r="C165" s="56">
        <f>131.881</f>
        <v>131.881</v>
      </c>
      <c r="D165" s="56">
        <f>277.167</f>
        <v>277.16699999999997</v>
      </c>
      <c r="E165" s="64">
        <f>79.08</f>
        <v>79.08</v>
      </c>
      <c r="F165" s="56">
        <f>350.872-40-25-60-100</f>
        <v>125.87200000000001</v>
      </c>
      <c r="G165" s="59">
        <v>40</v>
      </c>
      <c r="H165" s="56">
        <f t="shared" si="27"/>
        <v>185</v>
      </c>
      <c r="I165" s="56">
        <f t="shared" si="18"/>
        <v>0</v>
      </c>
      <c r="J165" s="59">
        <v>100</v>
      </c>
      <c r="K165" s="59">
        <v>300</v>
      </c>
      <c r="L165" s="56">
        <f t="shared" si="22"/>
        <v>1239</v>
      </c>
      <c r="M165" s="66">
        <v>600</v>
      </c>
      <c r="N165" s="56">
        <f>75</f>
        <v>75</v>
      </c>
      <c r="O165" s="59">
        <v>240</v>
      </c>
      <c r="P165" s="59">
        <v>160</v>
      </c>
      <c r="Q165" s="59">
        <f t="shared" si="23"/>
        <v>195</v>
      </c>
      <c r="R165" s="59">
        <f t="shared" si="24"/>
        <v>100</v>
      </c>
      <c r="S165" s="56">
        <f t="shared" si="25"/>
        <v>695</v>
      </c>
      <c r="T165" s="56">
        <f>0</f>
        <v>0</v>
      </c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</row>
    <row r="166" spans="1:30" ht="15.75" x14ac:dyDescent="0.25">
      <c r="A166" s="16">
        <v>46327</v>
      </c>
      <c r="B166" s="69">
        <v>30</v>
      </c>
      <c r="C166" s="56">
        <f>122.58</f>
        <v>122.58</v>
      </c>
      <c r="D166" s="56">
        <f>297.941</f>
        <v>297.94099999999997</v>
      </c>
      <c r="E166" s="64">
        <f>89.177</f>
        <v>89.177000000000007</v>
      </c>
      <c r="F166" s="56">
        <f>240.302-40-60-100</f>
        <v>40.301999999999992</v>
      </c>
      <c r="G166" s="59">
        <v>40</v>
      </c>
      <c r="H166" s="56">
        <f>60+100</f>
        <v>160</v>
      </c>
      <c r="I166" s="56">
        <f t="shared" si="18"/>
        <v>0</v>
      </c>
      <c r="J166" s="59">
        <v>100</v>
      </c>
      <c r="K166" s="59">
        <v>300</v>
      </c>
      <c r="L166" s="56">
        <f t="shared" si="22"/>
        <v>1150</v>
      </c>
      <c r="M166" s="66">
        <v>600</v>
      </c>
      <c r="N166" s="56">
        <f>100</f>
        <v>100</v>
      </c>
      <c r="O166" s="59">
        <v>240</v>
      </c>
      <c r="P166" s="59">
        <v>40</v>
      </c>
      <c r="Q166" s="59">
        <f t="shared" si="23"/>
        <v>315</v>
      </c>
      <c r="R166" s="59">
        <f t="shared" si="24"/>
        <v>100</v>
      </c>
      <c r="S166" s="56">
        <f t="shared" si="25"/>
        <v>695</v>
      </c>
      <c r="T166" s="56">
        <f>50</f>
        <v>50</v>
      </c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</row>
    <row r="167" spans="1:30" ht="15.75" x14ac:dyDescent="0.25">
      <c r="A167" s="16">
        <v>46357</v>
      </c>
      <c r="B167" s="69">
        <v>31</v>
      </c>
      <c r="C167" s="56">
        <f>122.58</f>
        <v>122.58</v>
      </c>
      <c r="D167" s="56">
        <f>297.941</f>
        <v>297.94099999999997</v>
      </c>
      <c r="E167" s="64">
        <f>89.177</f>
        <v>89.177000000000007</v>
      </c>
      <c r="F167" s="56">
        <f>240.302-40-60-100</f>
        <v>40.301999999999992</v>
      </c>
      <c r="G167" s="59">
        <v>40</v>
      </c>
      <c r="H167" s="56">
        <f>60+100</f>
        <v>160</v>
      </c>
      <c r="I167" s="56">
        <f t="shared" si="18"/>
        <v>0</v>
      </c>
      <c r="J167" s="59">
        <v>100</v>
      </c>
      <c r="K167" s="59">
        <v>300</v>
      </c>
      <c r="L167" s="56">
        <f t="shared" si="22"/>
        <v>1150</v>
      </c>
      <c r="M167" s="66">
        <v>600</v>
      </c>
      <c r="N167" s="56">
        <f>100</f>
        <v>100</v>
      </c>
      <c r="O167" s="59">
        <v>240</v>
      </c>
      <c r="P167" s="59">
        <v>40</v>
      </c>
      <c r="Q167" s="59">
        <f t="shared" si="23"/>
        <v>315</v>
      </c>
      <c r="R167" s="59">
        <f t="shared" si="24"/>
        <v>100</v>
      </c>
      <c r="S167" s="56">
        <f t="shared" si="25"/>
        <v>695</v>
      </c>
      <c r="T167" s="56">
        <f>50</f>
        <v>50</v>
      </c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</row>
    <row r="168" spans="1:30" ht="15.75" x14ac:dyDescent="0.25">
      <c r="A168" s="16">
        <v>46388</v>
      </c>
      <c r="B168" s="69">
        <v>31</v>
      </c>
      <c r="C168" s="56">
        <f>122.58</f>
        <v>122.58</v>
      </c>
      <c r="D168" s="56">
        <f>297.941</f>
        <v>297.94099999999997</v>
      </c>
      <c r="E168" s="64">
        <f>89.177</f>
        <v>89.177000000000007</v>
      </c>
      <c r="F168" s="56">
        <f>240.302-40-60-100</f>
        <v>40.301999999999992</v>
      </c>
      <c r="G168" s="59">
        <v>40</v>
      </c>
      <c r="H168" s="56">
        <f>60+100</f>
        <v>160</v>
      </c>
      <c r="I168" s="56">
        <f t="shared" ref="I168:I231" si="28">400-J168-K168</f>
        <v>0</v>
      </c>
      <c r="J168" s="59">
        <v>100</v>
      </c>
      <c r="K168" s="59">
        <v>300</v>
      </c>
      <c r="L168" s="56">
        <f t="shared" si="22"/>
        <v>1150</v>
      </c>
      <c r="M168" s="66">
        <v>600</v>
      </c>
      <c r="N168" s="56">
        <f>100</f>
        <v>100</v>
      </c>
      <c r="O168" s="59">
        <v>240</v>
      </c>
      <c r="P168" s="59">
        <v>40</v>
      </c>
      <c r="Q168" s="59">
        <f t="shared" si="23"/>
        <v>315</v>
      </c>
      <c r="R168" s="59">
        <f t="shared" si="24"/>
        <v>100</v>
      </c>
      <c r="S168" s="56">
        <f t="shared" si="25"/>
        <v>695</v>
      </c>
      <c r="T168" s="56">
        <f>50</f>
        <v>50</v>
      </c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</row>
    <row r="169" spans="1:30" ht="15.75" x14ac:dyDescent="0.25">
      <c r="A169" s="16">
        <v>46419</v>
      </c>
      <c r="B169" s="69">
        <v>28</v>
      </c>
      <c r="C169" s="56">
        <f>122.58</f>
        <v>122.58</v>
      </c>
      <c r="D169" s="56">
        <f>297.941</f>
        <v>297.94099999999997</v>
      </c>
      <c r="E169" s="64">
        <f>89.177</f>
        <v>89.177000000000007</v>
      </c>
      <c r="F169" s="56">
        <f>240.302-40-60-100</f>
        <v>40.301999999999992</v>
      </c>
      <c r="G169" s="59">
        <v>40</v>
      </c>
      <c r="H169" s="56">
        <f>60+100</f>
        <v>160</v>
      </c>
      <c r="I169" s="56">
        <f t="shared" si="28"/>
        <v>0</v>
      </c>
      <c r="J169" s="59">
        <v>100</v>
      </c>
      <c r="K169" s="59">
        <v>300</v>
      </c>
      <c r="L169" s="56">
        <f t="shared" si="22"/>
        <v>1150</v>
      </c>
      <c r="M169" s="66">
        <v>600</v>
      </c>
      <c r="N169" s="56">
        <f>100</f>
        <v>100</v>
      </c>
      <c r="O169" s="59">
        <v>240</v>
      </c>
      <c r="P169" s="59">
        <v>40</v>
      </c>
      <c r="Q169" s="59">
        <f t="shared" si="23"/>
        <v>315</v>
      </c>
      <c r="R169" s="59">
        <f t="shared" si="24"/>
        <v>100</v>
      </c>
      <c r="S169" s="56">
        <f t="shared" si="25"/>
        <v>695</v>
      </c>
      <c r="T169" s="56">
        <f>50</f>
        <v>50</v>
      </c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</row>
    <row r="170" spans="1:30" ht="15.75" x14ac:dyDescent="0.25">
      <c r="A170" s="16">
        <v>46447</v>
      </c>
      <c r="B170" s="69">
        <v>31</v>
      </c>
      <c r="C170" s="56">
        <f>122.58</f>
        <v>122.58</v>
      </c>
      <c r="D170" s="56">
        <f>297.941</f>
        <v>297.94099999999997</v>
      </c>
      <c r="E170" s="64">
        <f>89.177</f>
        <v>89.177000000000007</v>
      </c>
      <c r="F170" s="56">
        <f>240.302-40-60-100</f>
        <v>40.301999999999992</v>
      </c>
      <c r="G170" s="59">
        <v>40</v>
      </c>
      <c r="H170" s="56">
        <f>60+100</f>
        <v>160</v>
      </c>
      <c r="I170" s="56">
        <f t="shared" si="28"/>
        <v>0</v>
      </c>
      <c r="J170" s="59">
        <v>100</v>
      </c>
      <c r="K170" s="59">
        <v>300</v>
      </c>
      <c r="L170" s="56">
        <f t="shared" si="22"/>
        <v>1150</v>
      </c>
      <c r="M170" s="66">
        <v>600</v>
      </c>
      <c r="N170" s="56">
        <f>100</f>
        <v>100</v>
      </c>
      <c r="O170" s="59">
        <v>240</v>
      </c>
      <c r="P170" s="59">
        <v>40</v>
      </c>
      <c r="Q170" s="59">
        <f t="shared" si="23"/>
        <v>315</v>
      </c>
      <c r="R170" s="59">
        <f t="shared" si="24"/>
        <v>100</v>
      </c>
      <c r="S170" s="56">
        <f t="shared" si="25"/>
        <v>695</v>
      </c>
      <c r="T170" s="56">
        <f>50</f>
        <v>50</v>
      </c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</row>
    <row r="171" spans="1:30" ht="15.75" x14ac:dyDescent="0.25">
      <c r="A171" s="16">
        <v>46478</v>
      </c>
      <c r="B171" s="69">
        <v>30</v>
      </c>
      <c r="C171" s="56">
        <f>141.293</f>
        <v>141.29300000000001</v>
      </c>
      <c r="D171" s="56">
        <f>267.993</f>
        <v>267.99299999999999</v>
      </c>
      <c r="E171" s="64">
        <f>115.016</f>
        <v>115.01600000000001</v>
      </c>
      <c r="F171" s="56">
        <f>314.698-40-25-60-100</f>
        <v>89.697999999999979</v>
      </c>
      <c r="G171" s="59">
        <v>40</v>
      </c>
      <c r="H171" s="56">
        <f t="shared" ref="H171:H177" si="29">25+60+100</f>
        <v>185</v>
      </c>
      <c r="I171" s="56">
        <f t="shared" si="28"/>
        <v>0</v>
      </c>
      <c r="J171" s="59">
        <v>100</v>
      </c>
      <c r="K171" s="59">
        <v>300</v>
      </c>
      <c r="L171" s="56">
        <f t="shared" si="22"/>
        <v>1239</v>
      </c>
      <c r="M171" s="66">
        <v>600</v>
      </c>
      <c r="N171" s="56">
        <f>100</f>
        <v>100</v>
      </c>
      <c r="O171" s="59">
        <v>240</v>
      </c>
      <c r="P171" s="59">
        <v>160</v>
      </c>
      <c r="Q171" s="59">
        <f t="shared" si="23"/>
        <v>195</v>
      </c>
      <c r="R171" s="59">
        <f t="shared" si="24"/>
        <v>100</v>
      </c>
      <c r="S171" s="56">
        <f t="shared" si="25"/>
        <v>695</v>
      </c>
      <c r="T171" s="56">
        <f>50</f>
        <v>50</v>
      </c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</row>
    <row r="172" spans="1:30" ht="15.75" x14ac:dyDescent="0.25">
      <c r="A172" s="16">
        <v>46508</v>
      </c>
      <c r="B172" s="69">
        <v>31</v>
      </c>
      <c r="C172" s="56">
        <f>194.205</f>
        <v>194.20500000000001</v>
      </c>
      <c r="D172" s="56">
        <f>267.466</f>
        <v>267.46600000000001</v>
      </c>
      <c r="E172" s="64">
        <f>133.845</f>
        <v>133.845</v>
      </c>
      <c r="F172" s="56">
        <f>278.484-40-25-60-100</f>
        <v>53.48399999999998</v>
      </c>
      <c r="G172" s="59">
        <v>40</v>
      </c>
      <c r="H172" s="56">
        <f t="shared" si="29"/>
        <v>185</v>
      </c>
      <c r="I172" s="56">
        <f t="shared" si="28"/>
        <v>0</v>
      </c>
      <c r="J172" s="59">
        <v>100</v>
      </c>
      <c r="K172" s="59">
        <v>300</v>
      </c>
      <c r="L172" s="56">
        <f t="shared" si="22"/>
        <v>1274</v>
      </c>
      <c r="M172" s="66">
        <v>600</v>
      </c>
      <c r="N172" s="56">
        <f>75</f>
        <v>75</v>
      </c>
      <c r="O172" s="59">
        <v>240</v>
      </c>
      <c r="P172" s="59">
        <v>160</v>
      </c>
      <c r="Q172" s="59">
        <f t="shared" si="23"/>
        <v>195</v>
      </c>
      <c r="R172" s="59">
        <f t="shared" si="24"/>
        <v>100</v>
      </c>
      <c r="S172" s="56">
        <f t="shared" si="25"/>
        <v>695</v>
      </c>
      <c r="T172" s="56">
        <f>50</f>
        <v>50</v>
      </c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</row>
    <row r="173" spans="1:30" ht="15.75" x14ac:dyDescent="0.25">
      <c r="A173" s="16">
        <v>46539</v>
      </c>
      <c r="B173" s="69">
        <v>30</v>
      </c>
      <c r="C173" s="56">
        <f>194.205</f>
        <v>194.20500000000001</v>
      </c>
      <c r="D173" s="56">
        <f>267.466</f>
        <v>267.46600000000001</v>
      </c>
      <c r="E173" s="64">
        <f>133.845</f>
        <v>133.845</v>
      </c>
      <c r="F173" s="56">
        <f>278.484-40-25-60-100</f>
        <v>53.48399999999998</v>
      </c>
      <c r="G173" s="59">
        <v>40</v>
      </c>
      <c r="H173" s="56">
        <f t="shared" si="29"/>
        <v>185</v>
      </c>
      <c r="I173" s="56">
        <f t="shared" si="28"/>
        <v>0</v>
      </c>
      <c r="J173" s="59">
        <v>100</v>
      </c>
      <c r="K173" s="59">
        <v>300</v>
      </c>
      <c r="L173" s="56">
        <f t="shared" si="22"/>
        <v>1274</v>
      </c>
      <c r="M173" s="66">
        <v>600</v>
      </c>
      <c r="N173" s="56">
        <f>30</f>
        <v>30</v>
      </c>
      <c r="O173" s="59">
        <v>240</v>
      </c>
      <c r="P173" s="59">
        <v>160</v>
      </c>
      <c r="Q173" s="59">
        <f t="shared" si="23"/>
        <v>195</v>
      </c>
      <c r="R173" s="59">
        <f t="shared" si="24"/>
        <v>100</v>
      </c>
      <c r="S173" s="56">
        <f t="shared" si="25"/>
        <v>695</v>
      </c>
      <c r="T173" s="56">
        <f>50</f>
        <v>50</v>
      </c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</row>
    <row r="174" spans="1:30" ht="15.75" x14ac:dyDescent="0.25">
      <c r="A174" s="16">
        <v>46569</v>
      </c>
      <c r="B174" s="69">
        <v>31</v>
      </c>
      <c r="C174" s="56">
        <f>194.205</f>
        <v>194.20500000000001</v>
      </c>
      <c r="D174" s="56">
        <f>267.466</f>
        <v>267.46600000000001</v>
      </c>
      <c r="E174" s="64">
        <f>133.845</f>
        <v>133.845</v>
      </c>
      <c r="F174" s="56">
        <f>278.484-40-25-60-100</f>
        <v>53.48399999999998</v>
      </c>
      <c r="G174" s="59">
        <v>40</v>
      </c>
      <c r="H174" s="56">
        <f t="shared" si="29"/>
        <v>185</v>
      </c>
      <c r="I174" s="56">
        <f t="shared" si="28"/>
        <v>0</v>
      </c>
      <c r="J174" s="59">
        <v>100</v>
      </c>
      <c r="K174" s="59">
        <v>300</v>
      </c>
      <c r="L174" s="56">
        <f t="shared" si="22"/>
        <v>1274</v>
      </c>
      <c r="M174" s="66">
        <v>600</v>
      </c>
      <c r="N174" s="56">
        <f>30</f>
        <v>30</v>
      </c>
      <c r="O174" s="59">
        <v>240</v>
      </c>
      <c r="P174" s="59">
        <v>160</v>
      </c>
      <c r="Q174" s="59">
        <f t="shared" si="23"/>
        <v>195</v>
      </c>
      <c r="R174" s="59">
        <f t="shared" si="24"/>
        <v>100</v>
      </c>
      <c r="S174" s="56">
        <f t="shared" si="25"/>
        <v>695</v>
      </c>
      <c r="T174" s="56">
        <f>0</f>
        <v>0</v>
      </c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</row>
    <row r="175" spans="1:30" ht="15.75" x14ac:dyDescent="0.25">
      <c r="A175" s="16">
        <v>46600</v>
      </c>
      <c r="B175" s="69">
        <v>31</v>
      </c>
      <c r="C175" s="56">
        <f>194.205</f>
        <v>194.20500000000001</v>
      </c>
      <c r="D175" s="56">
        <f>267.466</f>
        <v>267.46600000000001</v>
      </c>
      <c r="E175" s="64">
        <f>133.845</f>
        <v>133.845</v>
      </c>
      <c r="F175" s="56">
        <f>278.484-40-25-60-100</f>
        <v>53.48399999999998</v>
      </c>
      <c r="G175" s="59">
        <v>40</v>
      </c>
      <c r="H175" s="56">
        <f t="shared" si="29"/>
        <v>185</v>
      </c>
      <c r="I175" s="56">
        <f t="shared" si="28"/>
        <v>0</v>
      </c>
      <c r="J175" s="59">
        <v>100</v>
      </c>
      <c r="K175" s="59">
        <v>300</v>
      </c>
      <c r="L175" s="56">
        <f t="shared" si="22"/>
        <v>1274</v>
      </c>
      <c r="M175" s="66">
        <v>600</v>
      </c>
      <c r="N175" s="56">
        <f>30</f>
        <v>30</v>
      </c>
      <c r="O175" s="59">
        <v>240</v>
      </c>
      <c r="P175" s="59">
        <v>160</v>
      </c>
      <c r="Q175" s="59">
        <f t="shared" si="23"/>
        <v>195</v>
      </c>
      <c r="R175" s="59">
        <f t="shared" si="24"/>
        <v>100</v>
      </c>
      <c r="S175" s="56">
        <f t="shared" si="25"/>
        <v>695</v>
      </c>
      <c r="T175" s="56">
        <f>0</f>
        <v>0</v>
      </c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</row>
    <row r="176" spans="1:30" ht="15.75" x14ac:dyDescent="0.25">
      <c r="A176" s="16">
        <v>46631</v>
      </c>
      <c r="B176" s="69">
        <v>30</v>
      </c>
      <c r="C176" s="56">
        <f>194.205</f>
        <v>194.20500000000001</v>
      </c>
      <c r="D176" s="56">
        <f>267.466</f>
        <v>267.46600000000001</v>
      </c>
      <c r="E176" s="64">
        <f>133.845</f>
        <v>133.845</v>
      </c>
      <c r="F176" s="56">
        <f>278.484-40-25-60-100</f>
        <v>53.48399999999998</v>
      </c>
      <c r="G176" s="59">
        <v>40</v>
      </c>
      <c r="H176" s="56">
        <f t="shared" si="29"/>
        <v>185</v>
      </c>
      <c r="I176" s="56">
        <f t="shared" si="28"/>
        <v>0</v>
      </c>
      <c r="J176" s="59">
        <v>100</v>
      </c>
      <c r="K176" s="59">
        <v>300</v>
      </c>
      <c r="L176" s="56">
        <f t="shared" si="22"/>
        <v>1274</v>
      </c>
      <c r="M176" s="66">
        <v>600</v>
      </c>
      <c r="N176" s="56">
        <f>30</f>
        <v>30</v>
      </c>
      <c r="O176" s="59">
        <v>240</v>
      </c>
      <c r="P176" s="59">
        <v>160</v>
      </c>
      <c r="Q176" s="59">
        <f t="shared" si="23"/>
        <v>195</v>
      </c>
      <c r="R176" s="59">
        <f t="shared" si="24"/>
        <v>100</v>
      </c>
      <c r="S176" s="56">
        <f t="shared" si="25"/>
        <v>695</v>
      </c>
      <c r="T176" s="56">
        <f>0</f>
        <v>0</v>
      </c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</row>
    <row r="177" spans="1:30" ht="15.75" x14ac:dyDescent="0.25">
      <c r="A177" s="16">
        <v>46661</v>
      </c>
      <c r="B177" s="69">
        <v>31</v>
      </c>
      <c r="C177" s="56">
        <f>131.881</f>
        <v>131.881</v>
      </c>
      <c r="D177" s="56">
        <f>277.167</f>
        <v>277.16699999999997</v>
      </c>
      <c r="E177" s="64">
        <f>79.08</f>
        <v>79.08</v>
      </c>
      <c r="F177" s="56">
        <f>350.872-40-25-60-100</f>
        <v>125.87200000000001</v>
      </c>
      <c r="G177" s="59">
        <v>40</v>
      </c>
      <c r="H177" s="56">
        <f t="shared" si="29"/>
        <v>185</v>
      </c>
      <c r="I177" s="56">
        <f t="shared" si="28"/>
        <v>0</v>
      </c>
      <c r="J177" s="59">
        <v>100</v>
      </c>
      <c r="K177" s="59">
        <v>300</v>
      </c>
      <c r="L177" s="56">
        <f t="shared" si="22"/>
        <v>1239</v>
      </c>
      <c r="M177" s="66">
        <v>600</v>
      </c>
      <c r="N177" s="56">
        <f>75</f>
        <v>75</v>
      </c>
      <c r="O177" s="59">
        <v>240</v>
      </c>
      <c r="P177" s="59">
        <v>160</v>
      </c>
      <c r="Q177" s="59">
        <f t="shared" si="23"/>
        <v>195</v>
      </c>
      <c r="R177" s="59">
        <f t="shared" si="24"/>
        <v>100</v>
      </c>
      <c r="S177" s="56">
        <f t="shared" si="25"/>
        <v>695</v>
      </c>
      <c r="T177" s="56">
        <f>0</f>
        <v>0</v>
      </c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</row>
    <row r="178" spans="1:30" ht="15.75" x14ac:dyDescent="0.25">
      <c r="A178" s="16">
        <v>46692</v>
      </c>
      <c r="B178" s="69">
        <v>30</v>
      </c>
      <c r="C178" s="56">
        <f>122.58</f>
        <v>122.58</v>
      </c>
      <c r="D178" s="56">
        <f>297.941</f>
        <v>297.94099999999997</v>
      </c>
      <c r="E178" s="64">
        <f>89.177</f>
        <v>89.177000000000007</v>
      </c>
      <c r="F178" s="56">
        <f>240.302-40-60-100</f>
        <v>40.301999999999992</v>
      </c>
      <c r="G178" s="59">
        <v>40</v>
      </c>
      <c r="H178" s="56">
        <f>60+100</f>
        <v>160</v>
      </c>
      <c r="I178" s="56">
        <f t="shared" si="28"/>
        <v>0</v>
      </c>
      <c r="J178" s="59">
        <v>100</v>
      </c>
      <c r="K178" s="59">
        <v>300</v>
      </c>
      <c r="L178" s="56">
        <f t="shared" si="22"/>
        <v>1150</v>
      </c>
      <c r="M178" s="66">
        <v>600</v>
      </c>
      <c r="N178" s="56">
        <f>100</f>
        <v>100</v>
      </c>
      <c r="O178" s="59">
        <v>240</v>
      </c>
      <c r="P178" s="59">
        <v>40</v>
      </c>
      <c r="Q178" s="59">
        <f t="shared" si="23"/>
        <v>315</v>
      </c>
      <c r="R178" s="59">
        <f t="shared" si="24"/>
        <v>100</v>
      </c>
      <c r="S178" s="56">
        <f t="shared" si="25"/>
        <v>695</v>
      </c>
      <c r="T178" s="56">
        <f>50</f>
        <v>50</v>
      </c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</row>
    <row r="179" spans="1:30" ht="15.75" x14ac:dyDescent="0.25">
      <c r="A179" s="16">
        <v>46722</v>
      </c>
      <c r="B179" s="69">
        <v>31</v>
      </c>
      <c r="C179" s="56">
        <f>122.58</f>
        <v>122.58</v>
      </c>
      <c r="D179" s="56">
        <f>297.941</f>
        <v>297.94099999999997</v>
      </c>
      <c r="E179" s="64">
        <f>89.177</f>
        <v>89.177000000000007</v>
      </c>
      <c r="F179" s="56">
        <f>240.302-40-60-100</f>
        <v>40.301999999999992</v>
      </c>
      <c r="G179" s="59">
        <v>40</v>
      </c>
      <c r="H179" s="56">
        <f>60+100</f>
        <v>160</v>
      </c>
      <c r="I179" s="56">
        <f t="shared" si="28"/>
        <v>0</v>
      </c>
      <c r="J179" s="59">
        <v>100</v>
      </c>
      <c r="K179" s="59">
        <v>300</v>
      </c>
      <c r="L179" s="56">
        <f t="shared" si="22"/>
        <v>1150</v>
      </c>
      <c r="M179" s="66">
        <v>600</v>
      </c>
      <c r="N179" s="56">
        <f>100</f>
        <v>100</v>
      </c>
      <c r="O179" s="59">
        <v>240</v>
      </c>
      <c r="P179" s="59">
        <v>40</v>
      </c>
      <c r="Q179" s="59">
        <f t="shared" si="23"/>
        <v>315</v>
      </c>
      <c r="R179" s="59">
        <f t="shared" si="24"/>
        <v>100</v>
      </c>
      <c r="S179" s="56">
        <f t="shared" si="25"/>
        <v>695</v>
      </c>
      <c r="T179" s="56">
        <f>50</f>
        <v>50</v>
      </c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</row>
    <row r="180" spans="1:30" ht="15.75" x14ac:dyDescent="0.25">
      <c r="A180" s="16">
        <v>46753</v>
      </c>
      <c r="B180" s="69">
        <v>31</v>
      </c>
      <c r="C180" s="56">
        <f>122.58</f>
        <v>122.58</v>
      </c>
      <c r="D180" s="56">
        <f>297.941</f>
        <v>297.94099999999997</v>
      </c>
      <c r="E180" s="64">
        <f>89.177</f>
        <v>89.177000000000007</v>
      </c>
      <c r="F180" s="56">
        <f>240.302-40-60-100</f>
        <v>40.301999999999992</v>
      </c>
      <c r="G180" s="59">
        <v>40</v>
      </c>
      <c r="H180" s="56">
        <f>60+100</f>
        <v>160</v>
      </c>
      <c r="I180" s="56">
        <f t="shared" si="28"/>
        <v>0</v>
      </c>
      <c r="J180" s="59">
        <v>100</v>
      </c>
      <c r="K180" s="59">
        <v>300</v>
      </c>
      <c r="L180" s="56">
        <f t="shared" si="22"/>
        <v>1150</v>
      </c>
      <c r="M180" s="66">
        <v>600</v>
      </c>
      <c r="N180" s="56">
        <f>100</f>
        <v>100</v>
      </c>
      <c r="O180" s="59">
        <v>240</v>
      </c>
      <c r="P180" s="59">
        <v>40</v>
      </c>
      <c r="Q180" s="59">
        <f t="shared" si="23"/>
        <v>315</v>
      </c>
      <c r="R180" s="59">
        <f t="shared" si="24"/>
        <v>100</v>
      </c>
      <c r="S180" s="56">
        <f t="shared" si="25"/>
        <v>695</v>
      </c>
      <c r="T180" s="56">
        <f>50</f>
        <v>50</v>
      </c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</row>
    <row r="181" spans="1:30" ht="15.75" x14ac:dyDescent="0.25">
      <c r="A181" s="16">
        <v>46784</v>
      </c>
      <c r="B181" s="69">
        <v>29</v>
      </c>
      <c r="C181" s="56">
        <f>122.58</f>
        <v>122.58</v>
      </c>
      <c r="D181" s="56">
        <f>297.941</f>
        <v>297.94099999999997</v>
      </c>
      <c r="E181" s="64">
        <f>89.177</f>
        <v>89.177000000000007</v>
      </c>
      <c r="F181" s="56">
        <f>240.302-40-60-100</f>
        <v>40.301999999999992</v>
      </c>
      <c r="G181" s="59">
        <v>40</v>
      </c>
      <c r="H181" s="56">
        <f>60+100</f>
        <v>160</v>
      </c>
      <c r="I181" s="56">
        <f t="shared" si="28"/>
        <v>0</v>
      </c>
      <c r="J181" s="59">
        <v>100</v>
      </c>
      <c r="K181" s="59">
        <v>300</v>
      </c>
      <c r="L181" s="56">
        <f t="shared" si="22"/>
        <v>1150</v>
      </c>
      <c r="M181" s="66">
        <v>600</v>
      </c>
      <c r="N181" s="56">
        <f>100</f>
        <v>100</v>
      </c>
      <c r="O181" s="59">
        <v>240</v>
      </c>
      <c r="P181" s="59">
        <v>40</v>
      </c>
      <c r="Q181" s="59">
        <f t="shared" si="23"/>
        <v>315</v>
      </c>
      <c r="R181" s="59">
        <f t="shared" si="24"/>
        <v>100</v>
      </c>
      <c r="S181" s="56">
        <f t="shared" si="25"/>
        <v>695</v>
      </c>
      <c r="T181" s="56">
        <f>50</f>
        <v>50</v>
      </c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</row>
    <row r="182" spans="1:30" ht="15.75" x14ac:dyDescent="0.25">
      <c r="A182" s="16">
        <v>46813</v>
      </c>
      <c r="B182" s="69">
        <v>31</v>
      </c>
      <c r="C182" s="56">
        <f>122.58</f>
        <v>122.58</v>
      </c>
      <c r="D182" s="56">
        <f>297.941</f>
        <v>297.94099999999997</v>
      </c>
      <c r="E182" s="64">
        <f>89.177</f>
        <v>89.177000000000007</v>
      </c>
      <c r="F182" s="56">
        <f>240.302-40-60-100</f>
        <v>40.301999999999992</v>
      </c>
      <c r="G182" s="59">
        <v>40</v>
      </c>
      <c r="H182" s="56">
        <f>60+100</f>
        <v>160</v>
      </c>
      <c r="I182" s="56">
        <f t="shared" si="28"/>
        <v>0</v>
      </c>
      <c r="J182" s="59">
        <v>100</v>
      </c>
      <c r="K182" s="59">
        <v>300</v>
      </c>
      <c r="L182" s="56">
        <f t="shared" si="22"/>
        <v>1150</v>
      </c>
      <c r="M182" s="66">
        <v>600</v>
      </c>
      <c r="N182" s="56">
        <f>100</f>
        <v>100</v>
      </c>
      <c r="O182" s="59">
        <v>240</v>
      </c>
      <c r="P182" s="59">
        <v>40</v>
      </c>
      <c r="Q182" s="59">
        <f t="shared" si="23"/>
        <v>315</v>
      </c>
      <c r="R182" s="59">
        <f t="shared" si="24"/>
        <v>100</v>
      </c>
      <c r="S182" s="56">
        <f t="shared" si="25"/>
        <v>695</v>
      </c>
      <c r="T182" s="56">
        <f>50</f>
        <v>50</v>
      </c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</row>
    <row r="183" spans="1:30" ht="15.75" x14ac:dyDescent="0.25">
      <c r="A183" s="16">
        <v>46844</v>
      </c>
      <c r="B183" s="69">
        <v>30</v>
      </c>
      <c r="C183" s="56">
        <f>141.293</f>
        <v>141.29300000000001</v>
      </c>
      <c r="D183" s="56">
        <f>267.993</f>
        <v>267.99299999999999</v>
      </c>
      <c r="E183" s="64">
        <f>115.016</f>
        <v>115.01600000000001</v>
      </c>
      <c r="F183" s="56">
        <f>314.698-40-25-60-100</f>
        <v>89.697999999999979</v>
      </c>
      <c r="G183" s="59">
        <v>40</v>
      </c>
      <c r="H183" s="56">
        <f t="shared" ref="H183:H189" si="30">25+60+100</f>
        <v>185</v>
      </c>
      <c r="I183" s="56">
        <f t="shared" si="28"/>
        <v>0</v>
      </c>
      <c r="J183" s="59">
        <v>100</v>
      </c>
      <c r="K183" s="59">
        <v>300</v>
      </c>
      <c r="L183" s="56">
        <f t="shared" si="22"/>
        <v>1239</v>
      </c>
      <c r="M183" s="66">
        <v>600</v>
      </c>
      <c r="N183" s="56">
        <f>100</f>
        <v>100</v>
      </c>
      <c r="O183" s="59">
        <v>240</v>
      </c>
      <c r="P183" s="59">
        <v>160</v>
      </c>
      <c r="Q183" s="59">
        <f t="shared" si="23"/>
        <v>195</v>
      </c>
      <c r="R183" s="59">
        <f t="shared" si="24"/>
        <v>100</v>
      </c>
      <c r="S183" s="56">
        <f t="shared" si="25"/>
        <v>695</v>
      </c>
      <c r="T183" s="56">
        <f>50</f>
        <v>50</v>
      </c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</row>
    <row r="184" spans="1:30" ht="15.75" x14ac:dyDescent="0.25">
      <c r="A184" s="16">
        <v>46874</v>
      </c>
      <c r="B184" s="69">
        <v>31</v>
      </c>
      <c r="C184" s="56">
        <f>194.205</f>
        <v>194.20500000000001</v>
      </c>
      <c r="D184" s="56">
        <f>267.466</f>
        <v>267.46600000000001</v>
      </c>
      <c r="E184" s="64">
        <f>133.845</f>
        <v>133.845</v>
      </c>
      <c r="F184" s="56">
        <f>278.484-40-25-60-100</f>
        <v>53.48399999999998</v>
      </c>
      <c r="G184" s="59">
        <v>40</v>
      </c>
      <c r="H184" s="56">
        <f t="shared" si="30"/>
        <v>185</v>
      </c>
      <c r="I184" s="56">
        <f t="shared" si="28"/>
        <v>0</v>
      </c>
      <c r="J184" s="59">
        <v>100</v>
      </c>
      <c r="K184" s="59">
        <v>300</v>
      </c>
      <c r="L184" s="56">
        <f t="shared" si="22"/>
        <v>1274</v>
      </c>
      <c r="M184" s="66">
        <v>600</v>
      </c>
      <c r="N184" s="56">
        <f>75</f>
        <v>75</v>
      </c>
      <c r="O184" s="59">
        <v>240</v>
      </c>
      <c r="P184" s="59">
        <v>160</v>
      </c>
      <c r="Q184" s="59">
        <f t="shared" si="23"/>
        <v>195</v>
      </c>
      <c r="R184" s="59">
        <f t="shared" si="24"/>
        <v>100</v>
      </c>
      <c r="S184" s="56">
        <f t="shared" si="25"/>
        <v>695</v>
      </c>
      <c r="T184" s="56">
        <f>50</f>
        <v>50</v>
      </c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</row>
    <row r="185" spans="1:30" ht="15.75" x14ac:dyDescent="0.25">
      <c r="A185" s="16">
        <v>46905</v>
      </c>
      <c r="B185" s="69">
        <v>30</v>
      </c>
      <c r="C185" s="56">
        <f>194.205</f>
        <v>194.20500000000001</v>
      </c>
      <c r="D185" s="56">
        <f>267.466</f>
        <v>267.46600000000001</v>
      </c>
      <c r="E185" s="64">
        <f>133.845</f>
        <v>133.845</v>
      </c>
      <c r="F185" s="56">
        <f>278.484-40-25-60-100</f>
        <v>53.48399999999998</v>
      </c>
      <c r="G185" s="59">
        <v>40</v>
      </c>
      <c r="H185" s="56">
        <f t="shared" si="30"/>
        <v>185</v>
      </c>
      <c r="I185" s="56">
        <f t="shared" si="28"/>
        <v>0</v>
      </c>
      <c r="J185" s="59">
        <v>100</v>
      </c>
      <c r="K185" s="59">
        <v>300</v>
      </c>
      <c r="L185" s="56">
        <f t="shared" si="22"/>
        <v>1274</v>
      </c>
      <c r="M185" s="66">
        <v>600</v>
      </c>
      <c r="N185" s="56">
        <f>30</f>
        <v>30</v>
      </c>
      <c r="O185" s="59">
        <v>240</v>
      </c>
      <c r="P185" s="59">
        <v>160</v>
      </c>
      <c r="Q185" s="59">
        <f t="shared" si="23"/>
        <v>195</v>
      </c>
      <c r="R185" s="59">
        <f t="shared" si="24"/>
        <v>100</v>
      </c>
      <c r="S185" s="56">
        <f t="shared" si="25"/>
        <v>695</v>
      </c>
      <c r="T185" s="56">
        <f>50</f>
        <v>50</v>
      </c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</row>
    <row r="186" spans="1:30" ht="15.75" x14ac:dyDescent="0.25">
      <c r="A186" s="16">
        <v>46935</v>
      </c>
      <c r="B186" s="69">
        <v>31</v>
      </c>
      <c r="C186" s="56">
        <f>194.205</f>
        <v>194.20500000000001</v>
      </c>
      <c r="D186" s="56">
        <f>267.466</f>
        <v>267.46600000000001</v>
      </c>
      <c r="E186" s="64">
        <f>133.845</f>
        <v>133.845</v>
      </c>
      <c r="F186" s="56">
        <f>278.484-40-25-60-100</f>
        <v>53.48399999999998</v>
      </c>
      <c r="G186" s="59">
        <v>40</v>
      </c>
      <c r="H186" s="56">
        <f t="shared" si="30"/>
        <v>185</v>
      </c>
      <c r="I186" s="56">
        <f t="shared" si="28"/>
        <v>0</v>
      </c>
      <c r="J186" s="59">
        <v>100</v>
      </c>
      <c r="K186" s="59">
        <v>300</v>
      </c>
      <c r="L186" s="56">
        <f t="shared" si="22"/>
        <v>1274</v>
      </c>
      <c r="M186" s="66">
        <v>600</v>
      </c>
      <c r="N186" s="56">
        <f>30</f>
        <v>30</v>
      </c>
      <c r="O186" s="59">
        <v>240</v>
      </c>
      <c r="P186" s="59">
        <v>160</v>
      </c>
      <c r="Q186" s="59">
        <f t="shared" si="23"/>
        <v>195</v>
      </c>
      <c r="R186" s="59">
        <f t="shared" si="24"/>
        <v>100</v>
      </c>
      <c r="S186" s="56">
        <f t="shared" si="25"/>
        <v>695</v>
      </c>
      <c r="T186" s="56">
        <f>0</f>
        <v>0</v>
      </c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</row>
    <row r="187" spans="1:30" ht="15.75" x14ac:dyDescent="0.25">
      <c r="A187" s="16">
        <v>46966</v>
      </c>
      <c r="B187" s="69">
        <v>31</v>
      </c>
      <c r="C187" s="56">
        <f>194.205</f>
        <v>194.20500000000001</v>
      </c>
      <c r="D187" s="56">
        <f>267.466</f>
        <v>267.46600000000001</v>
      </c>
      <c r="E187" s="64">
        <f>133.845</f>
        <v>133.845</v>
      </c>
      <c r="F187" s="56">
        <f>278.484-40-25-60-100</f>
        <v>53.48399999999998</v>
      </c>
      <c r="G187" s="59">
        <v>40</v>
      </c>
      <c r="H187" s="56">
        <f t="shared" si="30"/>
        <v>185</v>
      </c>
      <c r="I187" s="56">
        <f t="shared" si="28"/>
        <v>0</v>
      </c>
      <c r="J187" s="59">
        <v>100</v>
      </c>
      <c r="K187" s="59">
        <v>300</v>
      </c>
      <c r="L187" s="56">
        <f t="shared" si="22"/>
        <v>1274</v>
      </c>
      <c r="M187" s="66">
        <v>600</v>
      </c>
      <c r="N187" s="56">
        <f>30</f>
        <v>30</v>
      </c>
      <c r="O187" s="59">
        <v>240</v>
      </c>
      <c r="P187" s="59">
        <v>160</v>
      </c>
      <c r="Q187" s="59">
        <f t="shared" si="23"/>
        <v>195</v>
      </c>
      <c r="R187" s="59">
        <f t="shared" si="24"/>
        <v>100</v>
      </c>
      <c r="S187" s="56">
        <f t="shared" si="25"/>
        <v>695</v>
      </c>
      <c r="T187" s="56">
        <f>0</f>
        <v>0</v>
      </c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</row>
    <row r="188" spans="1:30" ht="15.75" x14ac:dyDescent="0.25">
      <c r="A188" s="16">
        <v>46997</v>
      </c>
      <c r="B188" s="69">
        <v>30</v>
      </c>
      <c r="C188" s="56">
        <f>194.205</f>
        <v>194.20500000000001</v>
      </c>
      <c r="D188" s="56">
        <f>267.466</f>
        <v>267.46600000000001</v>
      </c>
      <c r="E188" s="64">
        <f>133.845</f>
        <v>133.845</v>
      </c>
      <c r="F188" s="56">
        <f>278.484-40-25-60-100</f>
        <v>53.48399999999998</v>
      </c>
      <c r="G188" s="59">
        <v>40</v>
      </c>
      <c r="H188" s="56">
        <f t="shared" si="30"/>
        <v>185</v>
      </c>
      <c r="I188" s="56">
        <f t="shared" si="28"/>
        <v>0</v>
      </c>
      <c r="J188" s="59">
        <v>100</v>
      </c>
      <c r="K188" s="59">
        <v>300</v>
      </c>
      <c r="L188" s="56">
        <f t="shared" si="22"/>
        <v>1274</v>
      </c>
      <c r="M188" s="66">
        <v>600</v>
      </c>
      <c r="N188" s="56">
        <f>30</f>
        <v>30</v>
      </c>
      <c r="O188" s="59">
        <v>240</v>
      </c>
      <c r="P188" s="59">
        <v>160</v>
      </c>
      <c r="Q188" s="59">
        <f t="shared" si="23"/>
        <v>195</v>
      </c>
      <c r="R188" s="59">
        <f t="shared" si="24"/>
        <v>100</v>
      </c>
      <c r="S188" s="56">
        <f t="shared" si="25"/>
        <v>695</v>
      </c>
      <c r="T188" s="56">
        <f>0</f>
        <v>0</v>
      </c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</row>
    <row r="189" spans="1:30" ht="15.75" x14ac:dyDescent="0.25">
      <c r="A189" s="16">
        <v>47027</v>
      </c>
      <c r="B189" s="69">
        <v>31</v>
      </c>
      <c r="C189" s="56">
        <f>131.881</f>
        <v>131.881</v>
      </c>
      <c r="D189" s="56">
        <f>277.167</f>
        <v>277.16699999999997</v>
      </c>
      <c r="E189" s="64">
        <f>79.08</f>
        <v>79.08</v>
      </c>
      <c r="F189" s="56">
        <f>350.872-40-25-60-100</f>
        <v>125.87200000000001</v>
      </c>
      <c r="G189" s="59">
        <v>40</v>
      </c>
      <c r="H189" s="56">
        <f t="shared" si="30"/>
        <v>185</v>
      </c>
      <c r="I189" s="56">
        <f t="shared" si="28"/>
        <v>0</v>
      </c>
      <c r="J189" s="59">
        <v>100</v>
      </c>
      <c r="K189" s="59">
        <v>300</v>
      </c>
      <c r="L189" s="56">
        <f t="shared" si="22"/>
        <v>1239</v>
      </c>
      <c r="M189" s="66">
        <v>600</v>
      </c>
      <c r="N189" s="56">
        <f>75</f>
        <v>75</v>
      </c>
      <c r="O189" s="59">
        <v>240</v>
      </c>
      <c r="P189" s="59">
        <v>160</v>
      </c>
      <c r="Q189" s="59">
        <f t="shared" si="23"/>
        <v>195</v>
      </c>
      <c r="R189" s="59">
        <f t="shared" si="24"/>
        <v>100</v>
      </c>
      <c r="S189" s="56">
        <f t="shared" si="25"/>
        <v>695</v>
      </c>
      <c r="T189" s="56">
        <f>0</f>
        <v>0</v>
      </c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</row>
    <row r="190" spans="1:30" ht="15.75" x14ac:dyDescent="0.25">
      <c r="A190" s="16">
        <v>47058</v>
      </c>
      <c r="B190" s="69">
        <v>30</v>
      </c>
      <c r="C190" s="56">
        <f>122.58</f>
        <v>122.58</v>
      </c>
      <c r="D190" s="56">
        <f>297.941</f>
        <v>297.94099999999997</v>
      </c>
      <c r="E190" s="64">
        <f>89.177</f>
        <v>89.177000000000007</v>
      </c>
      <c r="F190" s="56">
        <f>240.302-40-60-100</f>
        <v>40.301999999999992</v>
      </c>
      <c r="G190" s="59">
        <v>40</v>
      </c>
      <c r="H190" s="56">
        <f>60+100</f>
        <v>160</v>
      </c>
      <c r="I190" s="56">
        <f t="shared" si="28"/>
        <v>0</v>
      </c>
      <c r="J190" s="59">
        <v>100</v>
      </c>
      <c r="K190" s="59">
        <v>300</v>
      </c>
      <c r="L190" s="56">
        <f t="shared" si="22"/>
        <v>1150</v>
      </c>
      <c r="M190" s="66">
        <v>600</v>
      </c>
      <c r="N190" s="56">
        <f>100</f>
        <v>100</v>
      </c>
      <c r="O190" s="59">
        <v>240</v>
      </c>
      <c r="P190" s="59">
        <v>40</v>
      </c>
      <c r="Q190" s="59">
        <f t="shared" si="23"/>
        <v>315</v>
      </c>
      <c r="R190" s="59">
        <f t="shared" si="24"/>
        <v>100</v>
      </c>
      <c r="S190" s="56">
        <f t="shared" si="25"/>
        <v>695</v>
      </c>
      <c r="T190" s="56">
        <f>50</f>
        <v>50</v>
      </c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</row>
    <row r="191" spans="1:30" ht="15.75" x14ac:dyDescent="0.25">
      <c r="A191" s="16">
        <v>47088</v>
      </c>
      <c r="B191" s="69">
        <v>31</v>
      </c>
      <c r="C191" s="56">
        <f>122.58</f>
        <v>122.58</v>
      </c>
      <c r="D191" s="56">
        <f>297.941</f>
        <v>297.94099999999997</v>
      </c>
      <c r="E191" s="64">
        <f>89.177</f>
        <v>89.177000000000007</v>
      </c>
      <c r="F191" s="56">
        <f>240.302-40-60-100</f>
        <v>40.301999999999992</v>
      </c>
      <c r="G191" s="59">
        <v>40</v>
      </c>
      <c r="H191" s="56">
        <f>60+100</f>
        <v>160</v>
      </c>
      <c r="I191" s="56">
        <f t="shared" si="28"/>
        <v>0</v>
      </c>
      <c r="J191" s="59">
        <v>100</v>
      </c>
      <c r="K191" s="59">
        <v>300</v>
      </c>
      <c r="L191" s="56">
        <f t="shared" si="22"/>
        <v>1150</v>
      </c>
      <c r="M191" s="66">
        <v>600</v>
      </c>
      <c r="N191" s="56">
        <f>100</f>
        <v>100</v>
      </c>
      <c r="O191" s="59">
        <v>240</v>
      </c>
      <c r="P191" s="59">
        <v>40</v>
      </c>
      <c r="Q191" s="59">
        <f t="shared" si="23"/>
        <v>315</v>
      </c>
      <c r="R191" s="59">
        <f t="shared" si="24"/>
        <v>100</v>
      </c>
      <c r="S191" s="56">
        <f t="shared" si="25"/>
        <v>695</v>
      </c>
      <c r="T191" s="56">
        <f>50</f>
        <v>50</v>
      </c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</row>
    <row r="192" spans="1:30" ht="15.75" x14ac:dyDescent="0.25">
      <c r="A192" s="16">
        <v>47119</v>
      </c>
      <c r="B192" s="69">
        <v>31</v>
      </c>
      <c r="C192" s="56">
        <f>122.58</f>
        <v>122.58</v>
      </c>
      <c r="D192" s="56">
        <f>297.941</f>
        <v>297.94099999999997</v>
      </c>
      <c r="E192" s="64">
        <f>89.177</f>
        <v>89.177000000000007</v>
      </c>
      <c r="F192" s="56">
        <f>240.302-40-60-100</f>
        <v>40.301999999999992</v>
      </c>
      <c r="G192" s="59">
        <v>40</v>
      </c>
      <c r="H192" s="56">
        <f>60+100</f>
        <v>160</v>
      </c>
      <c r="I192" s="56">
        <f t="shared" si="28"/>
        <v>0</v>
      </c>
      <c r="J192" s="59">
        <v>100</v>
      </c>
      <c r="K192" s="59">
        <v>300</v>
      </c>
      <c r="L192" s="56">
        <f t="shared" si="22"/>
        <v>1150</v>
      </c>
      <c r="M192" s="66">
        <v>600</v>
      </c>
      <c r="N192" s="56">
        <f>100</f>
        <v>100</v>
      </c>
      <c r="O192" s="59">
        <v>240</v>
      </c>
      <c r="P192" s="59">
        <v>40</v>
      </c>
      <c r="Q192" s="59">
        <f t="shared" si="23"/>
        <v>315</v>
      </c>
      <c r="R192" s="59">
        <f t="shared" si="24"/>
        <v>100</v>
      </c>
      <c r="S192" s="56">
        <f t="shared" si="25"/>
        <v>695</v>
      </c>
      <c r="T192" s="56">
        <f>50</f>
        <v>50</v>
      </c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</row>
    <row r="193" spans="1:30" ht="15.75" x14ac:dyDescent="0.25">
      <c r="A193" s="16">
        <v>47150</v>
      </c>
      <c r="B193" s="69">
        <v>28</v>
      </c>
      <c r="C193" s="56">
        <f>122.58</f>
        <v>122.58</v>
      </c>
      <c r="D193" s="56">
        <f>297.941</f>
        <v>297.94099999999997</v>
      </c>
      <c r="E193" s="64">
        <f>89.177</f>
        <v>89.177000000000007</v>
      </c>
      <c r="F193" s="56">
        <f>240.302-40-60-100</f>
        <v>40.301999999999992</v>
      </c>
      <c r="G193" s="59">
        <v>40</v>
      </c>
      <c r="H193" s="56">
        <f>60+100</f>
        <v>160</v>
      </c>
      <c r="I193" s="56">
        <f t="shared" si="28"/>
        <v>0</v>
      </c>
      <c r="J193" s="59">
        <v>100</v>
      </c>
      <c r="K193" s="59">
        <v>300</v>
      </c>
      <c r="L193" s="56">
        <f t="shared" si="22"/>
        <v>1150</v>
      </c>
      <c r="M193" s="66">
        <v>600</v>
      </c>
      <c r="N193" s="56">
        <f>100</f>
        <v>100</v>
      </c>
      <c r="O193" s="59">
        <v>240</v>
      </c>
      <c r="P193" s="59">
        <v>40</v>
      </c>
      <c r="Q193" s="59">
        <f t="shared" si="23"/>
        <v>315</v>
      </c>
      <c r="R193" s="59">
        <f t="shared" si="24"/>
        <v>100</v>
      </c>
      <c r="S193" s="56">
        <f t="shared" si="25"/>
        <v>695</v>
      </c>
      <c r="T193" s="56">
        <f>50</f>
        <v>50</v>
      </c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</row>
    <row r="194" spans="1:30" ht="15.75" x14ac:dyDescent="0.25">
      <c r="A194" s="16">
        <v>47178</v>
      </c>
      <c r="B194" s="69">
        <v>31</v>
      </c>
      <c r="C194" s="56">
        <f>122.58</f>
        <v>122.58</v>
      </c>
      <c r="D194" s="56">
        <f>297.941</f>
        <v>297.94099999999997</v>
      </c>
      <c r="E194" s="64">
        <f>89.177</f>
        <v>89.177000000000007</v>
      </c>
      <c r="F194" s="56">
        <f>240.302-40-60-100</f>
        <v>40.301999999999992</v>
      </c>
      <c r="G194" s="59">
        <v>40</v>
      </c>
      <c r="H194" s="56">
        <f>60+100</f>
        <v>160</v>
      </c>
      <c r="I194" s="56">
        <f t="shared" si="28"/>
        <v>0</v>
      </c>
      <c r="J194" s="59">
        <v>100</v>
      </c>
      <c r="K194" s="59">
        <v>300</v>
      </c>
      <c r="L194" s="56">
        <f t="shared" si="22"/>
        <v>1150</v>
      </c>
      <c r="M194" s="66">
        <v>600</v>
      </c>
      <c r="N194" s="56">
        <f>100</f>
        <v>100</v>
      </c>
      <c r="O194" s="59">
        <v>240</v>
      </c>
      <c r="P194" s="59">
        <v>40</v>
      </c>
      <c r="Q194" s="59">
        <f t="shared" si="23"/>
        <v>315</v>
      </c>
      <c r="R194" s="59">
        <f t="shared" si="24"/>
        <v>100</v>
      </c>
      <c r="S194" s="56">
        <f t="shared" si="25"/>
        <v>695</v>
      </c>
      <c r="T194" s="56">
        <f>50</f>
        <v>50</v>
      </c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</row>
    <row r="195" spans="1:30" ht="15.75" x14ac:dyDescent="0.25">
      <c r="A195" s="16">
        <v>47209</v>
      </c>
      <c r="B195" s="69">
        <v>30</v>
      </c>
      <c r="C195" s="56">
        <f>141.293</f>
        <v>141.29300000000001</v>
      </c>
      <c r="D195" s="56">
        <f>267.993</f>
        <v>267.99299999999999</v>
      </c>
      <c r="E195" s="64">
        <f>115.016</f>
        <v>115.01600000000001</v>
      </c>
      <c r="F195" s="56">
        <f>314.698-40-25-60-100</f>
        <v>89.697999999999979</v>
      </c>
      <c r="G195" s="59">
        <v>40</v>
      </c>
      <c r="H195" s="56">
        <f t="shared" ref="H195:H201" si="31">25+60+100</f>
        <v>185</v>
      </c>
      <c r="I195" s="56">
        <f t="shared" si="28"/>
        <v>0</v>
      </c>
      <c r="J195" s="59">
        <v>100</v>
      </c>
      <c r="K195" s="59">
        <v>300</v>
      </c>
      <c r="L195" s="56">
        <f t="shared" si="22"/>
        <v>1239</v>
      </c>
      <c r="M195" s="66">
        <v>600</v>
      </c>
      <c r="N195" s="56">
        <f>100</f>
        <v>100</v>
      </c>
      <c r="O195" s="59">
        <v>240</v>
      </c>
      <c r="P195" s="59">
        <v>160</v>
      </c>
      <c r="Q195" s="59">
        <f t="shared" si="23"/>
        <v>195</v>
      </c>
      <c r="R195" s="59">
        <f t="shared" si="24"/>
        <v>100</v>
      </c>
      <c r="S195" s="56">
        <f t="shared" si="25"/>
        <v>695</v>
      </c>
      <c r="T195" s="56">
        <f>50</f>
        <v>50</v>
      </c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</row>
    <row r="196" spans="1:30" ht="15.75" x14ac:dyDescent="0.25">
      <c r="A196" s="16">
        <v>47239</v>
      </c>
      <c r="B196" s="69">
        <v>31</v>
      </c>
      <c r="C196" s="56">
        <f>194.205</f>
        <v>194.20500000000001</v>
      </c>
      <c r="D196" s="56">
        <f>267.466</f>
        <v>267.46600000000001</v>
      </c>
      <c r="E196" s="64">
        <f>133.845</f>
        <v>133.845</v>
      </c>
      <c r="F196" s="56">
        <f>278.484-40-25-60-100</f>
        <v>53.48399999999998</v>
      </c>
      <c r="G196" s="59">
        <v>40</v>
      </c>
      <c r="H196" s="56">
        <f t="shared" si="31"/>
        <v>185</v>
      </c>
      <c r="I196" s="56">
        <f t="shared" si="28"/>
        <v>0</v>
      </c>
      <c r="J196" s="59">
        <v>100</v>
      </c>
      <c r="K196" s="59">
        <v>300</v>
      </c>
      <c r="L196" s="56">
        <f t="shared" si="22"/>
        <v>1274</v>
      </c>
      <c r="M196" s="66">
        <v>600</v>
      </c>
      <c r="N196" s="56">
        <f>75</f>
        <v>75</v>
      </c>
      <c r="O196" s="59">
        <v>240</v>
      </c>
      <c r="P196" s="59">
        <v>160</v>
      </c>
      <c r="Q196" s="59">
        <f t="shared" si="23"/>
        <v>195</v>
      </c>
      <c r="R196" s="59">
        <f t="shared" si="24"/>
        <v>100</v>
      </c>
      <c r="S196" s="56">
        <f t="shared" si="25"/>
        <v>695</v>
      </c>
      <c r="T196" s="56">
        <f>50</f>
        <v>50</v>
      </c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</row>
    <row r="197" spans="1:30" ht="15.75" x14ac:dyDescent="0.25">
      <c r="A197" s="16">
        <v>47270</v>
      </c>
      <c r="B197" s="69">
        <v>30</v>
      </c>
      <c r="C197" s="56">
        <f>194.205</f>
        <v>194.20500000000001</v>
      </c>
      <c r="D197" s="56">
        <f>267.466</f>
        <v>267.46600000000001</v>
      </c>
      <c r="E197" s="64">
        <f>133.845</f>
        <v>133.845</v>
      </c>
      <c r="F197" s="56">
        <f>278.484-40-25-60-100</f>
        <v>53.48399999999998</v>
      </c>
      <c r="G197" s="59">
        <v>40</v>
      </c>
      <c r="H197" s="56">
        <f t="shared" si="31"/>
        <v>185</v>
      </c>
      <c r="I197" s="56">
        <f t="shared" si="28"/>
        <v>0</v>
      </c>
      <c r="J197" s="59">
        <v>100</v>
      </c>
      <c r="K197" s="59">
        <v>300</v>
      </c>
      <c r="L197" s="56">
        <f t="shared" si="22"/>
        <v>1274</v>
      </c>
      <c r="M197" s="66">
        <v>600</v>
      </c>
      <c r="N197" s="56">
        <f>30</f>
        <v>30</v>
      </c>
      <c r="O197" s="59">
        <v>240</v>
      </c>
      <c r="P197" s="59">
        <v>160</v>
      </c>
      <c r="Q197" s="59">
        <f t="shared" si="23"/>
        <v>195</v>
      </c>
      <c r="R197" s="59">
        <f t="shared" si="24"/>
        <v>100</v>
      </c>
      <c r="S197" s="56">
        <f t="shared" si="25"/>
        <v>695</v>
      </c>
      <c r="T197" s="56">
        <f>50</f>
        <v>50</v>
      </c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</row>
    <row r="198" spans="1:30" ht="15.75" x14ac:dyDescent="0.25">
      <c r="A198" s="16">
        <v>47300</v>
      </c>
      <c r="B198" s="69">
        <v>31</v>
      </c>
      <c r="C198" s="56">
        <f>194.205</f>
        <v>194.20500000000001</v>
      </c>
      <c r="D198" s="56">
        <f>267.466</f>
        <v>267.46600000000001</v>
      </c>
      <c r="E198" s="64">
        <f>133.845</f>
        <v>133.845</v>
      </c>
      <c r="F198" s="56">
        <f>278.484-40-25-60-100</f>
        <v>53.48399999999998</v>
      </c>
      <c r="G198" s="59">
        <v>40</v>
      </c>
      <c r="H198" s="56">
        <f t="shared" si="31"/>
        <v>185</v>
      </c>
      <c r="I198" s="56">
        <f t="shared" si="28"/>
        <v>0</v>
      </c>
      <c r="J198" s="59">
        <v>100</v>
      </c>
      <c r="K198" s="59">
        <v>300</v>
      </c>
      <c r="L198" s="56">
        <f t="shared" si="22"/>
        <v>1274</v>
      </c>
      <c r="M198" s="66">
        <v>600</v>
      </c>
      <c r="N198" s="56">
        <f>30</f>
        <v>30</v>
      </c>
      <c r="O198" s="59">
        <v>240</v>
      </c>
      <c r="P198" s="59">
        <v>160</v>
      </c>
      <c r="Q198" s="59">
        <f t="shared" si="23"/>
        <v>195</v>
      </c>
      <c r="R198" s="59">
        <f t="shared" si="24"/>
        <v>100</v>
      </c>
      <c r="S198" s="56">
        <f t="shared" si="25"/>
        <v>695</v>
      </c>
      <c r="T198" s="56">
        <f>0</f>
        <v>0</v>
      </c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</row>
    <row r="199" spans="1:30" ht="15.75" x14ac:dyDescent="0.25">
      <c r="A199" s="16">
        <v>47331</v>
      </c>
      <c r="B199" s="69">
        <v>31</v>
      </c>
      <c r="C199" s="56">
        <f>194.205</f>
        <v>194.20500000000001</v>
      </c>
      <c r="D199" s="56">
        <f>267.466</f>
        <v>267.46600000000001</v>
      </c>
      <c r="E199" s="64">
        <f>133.845</f>
        <v>133.845</v>
      </c>
      <c r="F199" s="56">
        <f>278.484-40-25-60-100</f>
        <v>53.48399999999998</v>
      </c>
      <c r="G199" s="59">
        <v>40</v>
      </c>
      <c r="H199" s="56">
        <f t="shared" si="31"/>
        <v>185</v>
      </c>
      <c r="I199" s="56">
        <f t="shared" si="28"/>
        <v>0</v>
      </c>
      <c r="J199" s="59">
        <v>100</v>
      </c>
      <c r="K199" s="59">
        <v>300</v>
      </c>
      <c r="L199" s="56">
        <f t="shared" si="22"/>
        <v>1274</v>
      </c>
      <c r="M199" s="66">
        <v>600</v>
      </c>
      <c r="N199" s="56">
        <f>30</f>
        <v>30</v>
      </c>
      <c r="O199" s="59">
        <v>240</v>
      </c>
      <c r="P199" s="59">
        <v>160</v>
      </c>
      <c r="Q199" s="59">
        <f t="shared" si="23"/>
        <v>195</v>
      </c>
      <c r="R199" s="59">
        <f t="shared" si="24"/>
        <v>100</v>
      </c>
      <c r="S199" s="56">
        <f t="shared" si="25"/>
        <v>695</v>
      </c>
      <c r="T199" s="56">
        <f>0</f>
        <v>0</v>
      </c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</row>
    <row r="200" spans="1:30" ht="15.75" x14ac:dyDescent="0.25">
      <c r="A200" s="16">
        <v>47362</v>
      </c>
      <c r="B200" s="69">
        <v>30</v>
      </c>
      <c r="C200" s="56">
        <f>194.205</f>
        <v>194.20500000000001</v>
      </c>
      <c r="D200" s="56">
        <f>267.466</f>
        <v>267.46600000000001</v>
      </c>
      <c r="E200" s="64">
        <f>133.845</f>
        <v>133.845</v>
      </c>
      <c r="F200" s="56">
        <f>278.484-40-25-60-100</f>
        <v>53.48399999999998</v>
      </c>
      <c r="G200" s="59">
        <v>40</v>
      </c>
      <c r="H200" s="56">
        <f t="shared" si="31"/>
        <v>185</v>
      </c>
      <c r="I200" s="56">
        <f t="shared" si="28"/>
        <v>0</v>
      </c>
      <c r="J200" s="59">
        <v>100</v>
      </c>
      <c r="K200" s="59">
        <v>300</v>
      </c>
      <c r="L200" s="56">
        <f t="shared" si="22"/>
        <v>1274</v>
      </c>
      <c r="M200" s="66">
        <v>600</v>
      </c>
      <c r="N200" s="56">
        <f>30</f>
        <v>30</v>
      </c>
      <c r="O200" s="59">
        <v>240</v>
      </c>
      <c r="P200" s="59">
        <v>160</v>
      </c>
      <c r="Q200" s="59">
        <f t="shared" si="23"/>
        <v>195</v>
      </c>
      <c r="R200" s="59">
        <f t="shared" si="24"/>
        <v>100</v>
      </c>
      <c r="S200" s="56">
        <f t="shared" si="25"/>
        <v>695</v>
      </c>
      <c r="T200" s="56">
        <f>0</f>
        <v>0</v>
      </c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</row>
    <row r="201" spans="1:30" ht="15.75" x14ac:dyDescent="0.25">
      <c r="A201" s="16">
        <v>47392</v>
      </c>
      <c r="B201" s="69">
        <v>31</v>
      </c>
      <c r="C201" s="56">
        <f>131.881</f>
        <v>131.881</v>
      </c>
      <c r="D201" s="56">
        <f>277.167</f>
        <v>277.16699999999997</v>
      </c>
      <c r="E201" s="64">
        <f>79.08</f>
        <v>79.08</v>
      </c>
      <c r="F201" s="56">
        <f>350.872-40-25-60-100</f>
        <v>125.87200000000001</v>
      </c>
      <c r="G201" s="59">
        <v>40</v>
      </c>
      <c r="H201" s="56">
        <f t="shared" si="31"/>
        <v>185</v>
      </c>
      <c r="I201" s="56">
        <f t="shared" si="28"/>
        <v>0</v>
      </c>
      <c r="J201" s="59">
        <v>100</v>
      </c>
      <c r="K201" s="59">
        <v>300</v>
      </c>
      <c r="L201" s="56">
        <f t="shared" si="22"/>
        <v>1239</v>
      </c>
      <c r="M201" s="66">
        <v>600</v>
      </c>
      <c r="N201" s="56">
        <f>75</f>
        <v>75</v>
      </c>
      <c r="O201" s="59">
        <v>240</v>
      </c>
      <c r="P201" s="59">
        <v>160</v>
      </c>
      <c r="Q201" s="59">
        <f t="shared" si="23"/>
        <v>195</v>
      </c>
      <c r="R201" s="59">
        <f t="shared" si="24"/>
        <v>100</v>
      </c>
      <c r="S201" s="56">
        <f t="shared" si="25"/>
        <v>695</v>
      </c>
      <c r="T201" s="56">
        <f>0</f>
        <v>0</v>
      </c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</row>
    <row r="202" spans="1:30" ht="15.75" x14ac:dyDescent="0.25">
      <c r="A202" s="16">
        <v>47423</v>
      </c>
      <c r="B202" s="69">
        <v>30</v>
      </c>
      <c r="C202" s="56">
        <f>122.58</f>
        <v>122.58</v>
      </c>
      <c r="D202" s="56">
        <f>297.941</f>
        <v>297.94099999999997</v>
      </c>
      <c r="E202" s="64">
        <f>89.177</f>
        <v>89.177000000000007</v>
      </c>
      <c r="F202" s="56">
        <f>240.302-40-60-100</f>
        <v>40.301999999999992</v>
      </c>
      <c r="G202" s="59">
        <v>40</v>
      </c>
      <c r="H202" s="56">
        <f>60+100</f>
        <v>160</v>
      </c>
      <c r="I202" s="56">
        <f t="shared" si="28"/>
        <v>0</v>
      </c>
      <c r="J202" s="59">
        <v>100</v>
      </c>
      <c r="K202" s="59">
        <v>300</v>
      </c>
      <c r="L202" s="56">
        <f t="shared" si="22"/>
        <v>1150</v>
      </c>
      <c r="M202" s="66">
        <v>600</v>
      </c>
      <c r="N202" s="56">
        <f>100</f>
        <v>100</v>
      </c>
      <c r="O202" s="59">
        <v>240</v>
      </c>
      <c r="P202" s="59">
        <v>40</v>
      </c>
      <c r="Q202" s="59">
        <f t="shared" si="23"/>
        <v>315</v>
      </c>
      <c r="R202" s="59">
        <f t="shared" si="24"/>
        <v>100</v>
      </c>
      <c r="S202" s="56">
        <f t="shared" si="25"/>
        <v>695</v>
      </c>
      <c r="T202" s="56">
        <f>50</f>
        <v>50</v>
      </c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</row>
    <row r="203" spans="1:30" ht="15.75" x14ac:dyDescent="0.25">
      <c r="A203" s="16">
        <v>47453</v>
      </c>
      <c r="B203" s="69">
        <v>31</v>
      </c>
      <c r="C203" s="56">
        <f>122.58</f>
        <v>122.58</v>
      </c>
      <c r="D203" s="56">
        <f>297.941</f>
        <v>297.94099999999997</v>
      </c>
      <c r="E203" s="64">
        <f>89.177</f>
        <v>89.177000000000007</v>
      </c>
      <c r="F203" s="56">
        <f>240.302-40-60-100</f>
        <v>40.301999999999992</v>
      </c>
      <c r="G203" s="59">
        <v>40</v>
      </c>
      <c r="H203" s="56">
        <f>60+100</f>
        <v>160</v>
      </c>
      <c r="I203" s="56">
        <f t="shared" si="28"/>
        <v>0</v>
      </c>
      <c r="J203" s="59">
        <v>100</v>
      </c>
      <c r="K203" s="59">
        <v>300</v>
      </c>
      <c r="L203" s="56">
        <f t="shared" si="22"/>
        <v>1150</v>
      </c>
      <c r="M203" s="66">
        <v>600</v>
      </c>
      <c r="N203" s="56">
        <f>100</f>
        <v>100</v>
      </c>
      <c r="O203" s="59">
        <v>240</v>
      </c>
      <c r="P203" s="59">
        <v>40</v>
      </c>
      <c r="Q203" s="59">
        <f t="shared" si="23"/>
        <v>315</v>
      </c>
      <c r="R203" s="59">
        <f t="shared" si="24"/>
        <v>100</v>
      </c>
      <c r="S203" s="56">
        <f t="shared" si="25"/>
        <v>695</v>
      </c>
      <c r="T203" s="56">
        <f>50</f>
        <v>50</v>
      </c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</row>
    <row r="204" spans="1:30" ht="15.75" x14ac:dyDescent="0.25">
      <c r="A204" s="16">
        <v>47484</v>
      </c>
      <c r="B204" s="69">
        <v>31</v>
      </c>
      <c r="C204" s="56">
        <f>122.58</f>
        <v>122.58</v>
      </c>
      <c r="D204" s="56">
        <f>297.941</f>
        <v>297.94099999999997</v>
      </c>
      <c r="E204" s="64">
        <f>89.177</f>
        <v>89.177000000000007</v>
      </c>
      <c r="F204" s="56">
        <f>240.302-40-60-100</f>
        <v>40.301999999999992</v>
      </c>
      <c r="G204" s="59">
        <v>40</v>
      </c>
      <c r="H204" s="56">
        <f>60+100</f>
        <v>160</v>
      </c>
      <c r="I204" s="56">
        <f t="shared" si="28"/>
        <v>0</v>
      </c>
      <c r="J204" s="59">
        <v>100</v>
      </c>
      <c r="K204" s="59">
        <v>300</v>
      </c>
      <c r="L204" s="56">
        <f t="shared" si="22"/>
        <v>1150</v>
      </c>
      <c r="M204" s="66">
        <v>600</v>
      </c>
      <c r="N204" s="56">
        <f>100</f>
        <v>100</v>
      </c>
      <c r="O204" s="59">
        <v>240</v>
      </c>
      <c r="P204" s="59">
        <v>40</v>
      </c>
      <c r="Q204" s="59">
        <f t="shared" si="23"/>
        <v>315</v>
      </c>
      <c r="R204" s="59">
        <f t="shared" si="24"/>
        <v>100</v>
      </c>
      <c r="S204" s="56">
        <f t="shared" si="25"/>
        <v>695</v>
      </c>
      <c r="T204" s="56">
        <f>50</f>
        <v>50</v>
      </c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</row>
    <row r="205" spans="1:30" ht="15.75" x14ac:dyDescent="0.25">
      <c r="A205" s="16">
        <v>47515</v>
      </c>
      <c r="B205" s="69">
        <v>28</v>
      </c>
      <c r="C205" s="56">
        <f>122.58</f>
        <v>122.58</v>
      </c>
      <c r="D205" s="56">
        <f>297.941</f>
        <v>297.94099999999997</v>
      </c>
      <c r="E205" s="64">
        <f>89.177</f>
        <v>89.177000000000007</v>
      </c>
      <c r="F205" s="56">
        <f>240.302-40-60-100</f>
        <v>40.301999999999992</v>
      </c>
      <c r="G205" s="59">
        <v>40</v>
      </c>
      <c r="H205" s="56">
        <f>60+100</f>
        <v>160</v>
      </c>
      <c r="I205" s="56">
        <f t="shared" si="28"/>
        <v>0</v>
      </c>
      <c r="J205" s="59">
        <v>100</v>
      </c>
      <c r="K205" s="59">
        <v>300</v>
      </c>
      <c r="L205" s="56">
        <f t="shared" si="22"/>
        <v>1150</v>
      </c>
      <c r="M205" s="66">
        <v>600</v>
      </c>
      <c r="N205" s="56">
        <f>100</f>
        <v>100</v>
      </c>
      <c r="O205" s="59">
        <v>240</v>
      </c>
      <c r="P205" s="59">
        <v>40</v>
      </c>
      <c r="Q205" s="59">
        <f t="shared" si="23"/>
        <v>315</v>
      </c>
      <c r="R205" s="59">
        <f t="shared" si="24"/>
        <v>100</v>
      </c>
      <c r="S205" s="56">
        <f t="shared" si="25"/>
        <v>695</v>
      </c>
      <c r="T205" s="56">
        <f>50</f>
        <v>50</v>
      </c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</row>
    <row r="206" spans="1:30" ht="15.75" x14ac:dyDescent="0.25">
      <c r="A206" s="16">
        <v>47543</v>
      </c>
      <c r="B206" s="69">
        <v>31</v>
      </c>
      <c r="C206" s="56">
        <f>122.58</f>
        <v>122.58</v>
      </c>
      <c r="D206" s="56">
        <f>297.941</f>
        <v>297.94099999999997</v>
      </c>
      <c r="E206" s="64">
        <f>89.177</f>
        <v>89.177000000000007</v>
      </c>
      <c r="F206" s="56">
        <f>240.302-40-60-100</f>
        <v>40.301999999999992</v>
      </c>
      <c r="G206" s="59">
        <v>40</v>
      </c>
      <c r="H206" s="56">
        <f>60+100</f>
        <v>160</v>
      </c>
      <c r="I206" s="56">
        <f t="shared" si="28"/>
        <v>0</v>
      </c>
      <c r="J206" s="59">
        <v>100</v>
      </c>
      <c r="K206" s="59">
        <v>300</v>
      </c>
      <c r="L206" s="56">
        <f t="shared" si="22"/>
        <v>1150</v>
      </c>
      <c r="M206" s="66">
        <v>600</v>
      </c>
      <c r="N206" s="56">
        <f>100</f>
        <v>100</v>
      </c>
      <c r="O206" s="59">
        <v>240</v>
      </c>
      <c r="P206" s="59">
        <v>40</v>
      </c>
      <c r="Q206" s="59">
        <f t="shared" si="23"/>
        <v>315</v>
      </c>
      <c r="R206" s="59">
        <f t="shared" si="24"/>
        <v>100</v>
      </c>
      <c r="S206" s="56">
        <f t="shared" si="25"/>
        <v>695</v>
      </c>
      <c r="T206" s="56">
        <f>50</f>
        <v>50</v>
      </c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</row>
    <row r="207" spans="1:30" ht="15.75" x14ac:dyDescent="0.25">
      <c r="A207" s="16">
        <v>47574</v>
      </c>
      <c r="B207" s="69">
        <v>30</v>
      </c>
      <c r="C207" s="56">
        <f>141.293</f>
        <v>141.29300000000001</v>
      </c>
      <c r="D207" s="56">
        <f>267.993</f>
        <v>267.99299999999999</v>
      </c>
      <c r="E207" s="64">
        <f>115.016</f>
        <v>115.01600000000001</v>
      </c>
      <c r="F207" s="56">
        <f>314.698-40-25-60-100</f>
        <v>89.697999999999979</v>
      </c>
      <c r="G207" s="59">
        <v>40</v>
      </c>
      <c r="H207" s="56">
        <f t="shared" ref="H207:H213" si="32">25+60+100</f>
        <v>185</v>
      </c>
      <c r="I207" s="56">
        <f t="shared" si="28"/>
        <v>0</v>
      </c>
      <c r="J207" s="59">
        <v>100</v>
      </c>
      <c r="K207" s="59">
        <v>300</v>
      </c>
      <c r="L207" s="56">
        <f t="shared" ref="L207:L270" si="33">SUM(C207:K207)</f>
        <v>1239</v>
      </c>
      <c r="M207" s="66">
        <v>600</v>
      </c>
      <c r="N207" s="56">
        <f>100</f>
        <v>100</v>
      </c>
      <c r="O207" s="59">
        <v>240</v>
      </c>
      <c r="P207" s="59">
        <v>160</v>
      </c>
      <c r="Q207" s="59">
        <f t="shared" ref="Q207:Q270" si="34">695-R207-O207-P207</f>
        <v>195</v>
      </c>
      <c r="R207" s="59">
        <f t="shared" ref="R207:R270" si="35">200-J207</f>
        <v>100</v>
      </c>
      <c r="S207" s="56">
        <f t="shared" ref="S207:S270" si="36">SUM(O207:R207)</f>
        <v>695</v>
      </c>
      <c r="T207" s="56">
        <f>50</f>
        <v>50</v>
      </c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</row>
    <row r="208" spans="1:30" ht="15.75" x14ac:dyDescent="0.25">
      <c r="A208" s="16">
        <v>47604</v>
      </c>
      <c r="B208" s="69">
        <v>31</v>
      </c>
      <c r="C208" s="56">
        <f>194.205</f>
        <v>194.20500000000001</v>
      </c>
      <c r="D208" s="56">
        <f>267.466</f>
        <v>267.46600000000001</v>
      </c>
      <c r="E208" s="64">
        <f>133.845</f>
        <v>133.845</v>
      </c>
      <c r="F208" s="56">
        <f>278.484-40-25-60-100</f>
        <v>53.48399999999998</v>
      </c>
      <c r="G208" s="59">
        <v>40</v>
      </c>
      <c r="H208" s="56">
        <f t="shared" si="32"/>
        <v>185</v>
      </c>
      <c r="I208" s="56">
        <f t="shared" si="28"/>
        <v>0</v>
      </c>
      <c r="J208" s="59">
        <v>100</v>
      </c>
      <c r="K208" s="59">
        <v>300</v>
      </c>
      <c r="L208" s="56">
        <f t="shared" si="33"/>
        <v>1274</v>
      </c>
      <c r="M208" s="66">
        <v>600</v>
      </c>
      <c r="N208" s="56">
        <f>75</f>
        <v>75</v>
      </c>
      <c r="O208" s="59">
        <v>240</v>
      </c>
      <c r="P208" s="59">
        <v>160</v>
      </c>
      <c r="Q208" s="59">
        <f t="shared" si="34"/>
        <v>195</v>
      </c>
      <c r="R208" s="59">
        <f t="shared" si="35"/>
        <v>100</v>
      </c>
      <c r="S208" s="56">
        <f t="shared" si="36"/>
        <v>695</v>
      </c>
      <c r="T208" s="56">
        <f>50</f>
        <v>50</v>
      </c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</row>
    <row r="209" spans="1:30" ht="15.75" x14ac:dyDescent="0.25">
      <c r="A209" s="16">
        <v>47635</v>
      </c>
      <c r="B209" s="69">
        <v>30</v>
      </c>
      <c r="C209" s="56">
        <f>194.205</f>
        <v>194.20500000000001</v>
      </c>
      <c r="D209" s="56">
        <f>267.466</f>
        <v>267.46600000000001</v>
      </c>
      <c r="E209" s="64">
        <f>133.845</f>
        <v>133.845</v>
      </c>
      <c r="F209" s="56">
        <f>278.484-40-25-60-100</f>
        <v>53.48399999999998</v>
      </c>
      <c r="G209" s="59">
        <v>40</v>
      </c>
      <c r="H209" s="56">
        <f t="shared" si="32"/>
        <v>185</v>
      </c>
      <c r="I209" s="56">
        <f t="shared" si="28"/>
        <v>0</v>
      </c>
      <c r="J209" s="59">
        <v>100</v>
      </c>
      <c r="K209" s="59">
        <v>300</v>
      </c>
      <c r="L209" s="56">
        <f t="shared" si="33"/>
        <v>1274</v>
      </c>
      <c r="M209" s="66">
        <v>600</v>
      </c>
      <c r="N209" s="56">
        <f>30</f>
        <v>30</v>
      </c>
      <c r="O209" s="59">
        <v>240</v>
      </c>
      <c r="P209" s="59">
        <v>160</v>
      </c>
      <c r="Q209" s="59">
        <f t="shared" si="34"/>
        <v>195</v>
      </c>
      <c r="R209" s="59">
        <f t="shared" si="35"/>
        <v>100</v>
      </c>
      <c r="S209" s="56">
        <f t="shared" si="36"/>
        <v>695</v>
      </c>
      <c r="T209" s="56">
        <f>50</f>
        <v>50</v>
      </c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</row>
    <row r="210" spans="1:30" ht="15.75" x14ac:dyDescent="0.25">
      <c r="A210" s="16">
        <v>47665</v>
      </c>
      <c r="B210" s="69">
        <v>31</v>
      </c>
      <c r="C210" s="56">
        <f>194.205</f>
        <v>194.20500000000001</v>
      </c>
      <c r="D210" s="56">
        <f>267.466</f>
        <v>267.46600000000001</v>
      </c>
      <c r="E210" s="64">
        <f>133.845</f>
        <v>133.845</v>
      </c>
      <c r="F210" s="56">
        <f>278.484-40-25-60-100</f>
        <v>53.48399999999998</v>
      </c>
      <c r="G210" s="59">
        <v>40</v>
      </c>
      <c r="H210" s="56">
        <f t="shared" si="32"/>
        <v>185</v>
      </c>
      <c r="I210" s="56">
        <f t="shared" si="28"/>
        <v>0</v>
      </c>
      <c r="J210" s="59">
        <v>100</v>
      </c>
      <c r="K210" s="59">
        <v>300</v>
      </c>
      <c r="L210" s="56">
        <f t="shared" si="33"/>
        <v>1274</v>
      </c>
      <c r="M210" s="66">
        <v>600</v>
      </c>
      <c r="N210" s="56">
        <f>30</f>
        <v>30</v>
      </c>
      <c r="O210" s="59">
        <v>240</v>
      </c>
      <c r="P210" s="59">
        <v>160</v>
      </c>
      <c r="Q210" s="59">
        <f t="shared" si="34"/>
        <v>195</v>
      </c>
      <c r="R210" s="59">
        <f t="shared" si="35"/>
        <v>100</v>
      </c>
      <c r="S210" s="56">
        <f t="shared" si="36"/>
        <v>695</v>
      </c>
      <c r="T210" s="56">
        <f>0</f>
        <v>0</v>
      </c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</row>
    <row r="211" spans="1:30" ht="15.75" x14ac:dyDescent="0.25">
      <c r="A211" s="16">
        <v>47696</v>
      </c>
      <c r="B211" s="69">
        <v>31</v>
      </c>
      <c r="C211" s="56">
        <f>194.205</f>
        <v>194.20500000000001</v>
      </c>
      <c r="D211" s="56">
        <f>267.466</f>
        <v>267.46600000000001</v>
      </c>
      <c r="E211" s="64">
        <f>133.845</f>
        <v>133.845</v>
      </c>
      <c r="F211" s="56">
        <f>278.484-40-25-60-100</f>
        <v>53.48399999999998</v>
      </c>
      <c r="G211" s="59">
        <v>40</v>
      </c>
      <c r="H211" s="56">
        <f t="shared" si="32"/>
        <v>185</v>
      </c>
      <c r="I211" s="56">
        <f t="shared" si="28"/>
        <v>0</v>
      </c>
      <c r="J211" s="59">
        <v>100</v>
      </c>
      <c r="K211" s="59">
        <v>300</v>
      </c>
      <c r="L211" s="56">
        <f t="shared" si="33"/>
        <v>1274</v>
      </c>
      <c r="M211" s="66">
        <v>600</v>
      </c>
      <c r="N211" s="56">
        <f>30</f>
        <v>30</v>
      </c>
      <c r="O211" s="59">
        <v>240</v>
      </c>
      <c r="P211" s="59">
        <v>160</v>
      </c>
      <c r="Q211" s="59">
        <f t="shared" si="34"/>
        <v>195</v>
      </c>
      <c r="R211" s="59">
        <f t="shared" si="35"/>
        <v>100</v>
      </c>
      <c r="S211" s="56">
        <f t="shared" si="36"/>
        <v>695</v>
      </c>
      <c r="T211" s="56">
        <f>0</f>
        <v>0</v>
      </c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</row>
    <row r="212" spans="1:30" ht="15.75" x14ac:dyDescent="0.25">
      <c r="A212" s="16">
        <v>47727</v>
      </c>
      <c r="B212" s="69">
        <v>30</v>
      </c>
      <c r="C212" s="56">
        <f>194.205</f>
        <v>194.20500000000001</v>
      </c>
      <c r="D212" s="56">
        <f>267.466</f>
        <v>267.46600000000001</v>
      </c>
      <c r="E212" s="64">
        <f>133.845</f>
        <v>133.845</v>
      </c>
      <c r="F212" s="56">
        <f>278.484-40-25-60-100</f>
        <v>53.48399999999998</v>
      </c>
      <c r="G212" s="59">
        <v>40</v>
      </c>
      <c r="H212" s="56">
        <f t="shared" si="32"/>
        <v>185</v>
      </c>
      <c r="I212" s="56">
        <f t="shared" si="28"/>
        <v>0</v>
      </c>
      <c r="J212" s="59">
        <v>100</v>
      </c>
      <c r="K212" s="59">
        <v>300</v>
      </c>
      <c r="L212" s="56">
        <f t="shared" si="33"/>
        <v>1274</v>
      </c>
      <c r="M212" s="66">
        <v>600</v>
      </c>
      <c r="N212" s="56">
        <f>30</f>
        <v>30</v>
      </c>
      <c r="O212" s="59">
        <v>240</v>
      </c>
      <c r="P212" s="59">
        <v>160</v>
      </c>
      <c r="Q212" s="59">
        <f t="shared" si="34"/>
        <v>195</v>
      </c>
      <c r="R212" s="59">
        <f t="shared" si="35"/>
        <v>100</v>
      </c>
      <c r="S212" s="56">
        <f t="shared" si="36"/>
        <v>695</v>
      </c>
      <c r="T212" s="56">
        <f>0</f>
        <v>0</v>
      </c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</row>
    <row r="213" spans="1:30" ht="15.75" x14ac:dyDescent="0.25">
      <c r="A213" s="16">
        <v>47757</v>
      </c>
      <c r="B213" s="69">
        <v>31</v>
      </c>
      <c r="C213" s="56">
        <f>131.881</f>
        <v>131.881</v>
      </c>
      <c r="D213" s="56">
        <f>277.167</f>
        <v>277.16699999999997</v>
      </c>
      <c r="E213" s="64">
        <f>79.08</f>
        <v>79.08</v>
      </c>
      <c r="F213" s="56">
        <f>350.872-40-25-60-100</f>
        <v>125.87200000000001</v>
      </c>
      <c r="G213" s="59">
        <v>40</v>
      </c>
      <c r="H213" s="56">
        <f t="shared" si="32"/>
        <v>185</v>
      </c>
      <c r="I213" s="56">
        <f t="shared" si="28"/>
        <v>0</v>
      </c>
      <c r="J213" s="59">
        <v>100</v>
      </c>
      <c r="K213" s="59">
        <v>300</v>
      </c>
      <c r="L213" s="56">
        <f t="shared" si="33"/>
        <v>1239</v>
      </c>
      <c r="M213" s="66">
        <v>600</v>
      </c>
      <c r="N213" s="56">
        <f>75</f>
        <v>75</v>
      </c>
      <c r="O213" s="59">
        <v>240</v>
      </c>
      <c r="P213" s="59">
        <v>160</v>
      </c>
      <c r="Q213" s="59">
        <f t="shared" si="34"/>
        <v>195</v>
      </c>
      <c r="R213" s="59">
        <f t="shared" si="35"/>
        <v>100</v>
      </c>
      <c r="S213" s="56">
        <f t="shared" si="36"/>
        <v>695</v>
      </c>
      <c r="T213" s="56">
        <f>0</f>
        <v>0</v>
      </c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</row>
    <row r="214" spans="1:30" ht="15.75" x14ac:dyDescent="0.25">
      <c r="A214" s="16">
        <v>47788</v>
      </c>
      <c r="B214" s="69">
        <v>30</v>
      </c>
      <c r="C214" s="56">
        <f>122.58</f>
        <v>122.58</v>
      </c>
      <c r="D214" s="56">
        <f>297.941</f>
        <v>297.94099999999997</v>
      </c>
      <c r="E214" s="64">
        <f>89.177</f>
        <v>89.177000000000007</v>
      </c>
      <c r="F214" s="56">
        <f>240.302-40-60-100</f>
        <v>40.301999999999992</v>
      </c>
      <c r="G214" s="59">
        <v>40</v>
      </c>
      <c r="H214" s="56">
        <f>60+100</f>
        <v>160</v>
      </c>
      <c r="I214" s="56">
        <f t="shared" si="28"/>
        <v>0</v>
      </c>
      <c r="J214" s="59">
        <v>100</v>
      </c>
      <c r="K214" s="59">
        <v>300</v>
      </c>
      <c r="L214" s="56">
        <f t="shared" si="33"/>
        <v>1150</v>
      </c>
      <c r="M214" s="66">
        <v>600</v>
      </c>
      <c r="N214" s="56">
        <f>100</f>
        <v>100</v>
      </c>
      <c r="O214" s="59">
        <v>240</v>
      </c>
      <c r="P214" s="59">
        <v>40</v>
      </c>
      <c r="Q214" s="59">
        <f t="shared" si="34"/>
        <v>315</v>
      </c>
      <c r="R214" s="59">
        <f t="shared" si="35"/>
        <v>100</v>
      </c>
      <c r="S214" s="56">
        <f t="shared" si="36"/>
        <v>695</v>
      </c>
      <c r="T214" s="56">
        <f>50</f>
        <v>50</v>
      </c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</row>
    <row r="215" spans="1:30" ht="15.75" x14ac:dyDescent="0.25">
      <c r="A215" s="16">
        <v>47818</v>
      </c>
      <c r="B215" s="69">
        <v>31</v>
      </c>
      <c r="C215" s="56">
        <f>122.58</f>
        <v>122.58</v>
      </c>
      <c r="D215" s="56">
        <f>297.941</f>
        <v>297.94099999999997</v>
      </c>
      <c r="E215" s="64">
        <f>89.177</f>
        <v>89.177000000000007</v>
      </c>
      <c r="F215" s="56">
        <f>240.302-40-60-100</f>
        <v>40.301999999999992</v>
      </c>
      <c r="G215" s="59">
        <v>40</v>
      </c>
      <c r="H215" s="56">
        <f>60+100</f>
        <v>160</v>
      </c>
      <c r="I215" s="56">
        <f t="shared" si="28"/>
        <v>0</v>
      </c>
      <c r="J215" s="59">
        <v>100</v>
      </c>
      <c r="K215" s="59">
        <v>300</v>
      </c>
      <c r="L215" s="56">
        <f t="shared" si="33"/>
        <v>1150</v>
      </c>
      <c r="M215" s="66">
        <v>600</v>
      </c>
      <c r="N215" s="56">
        <f>100</f>
        <v>100</v>
      </c>
      <c r="O215" s="59">
        <v>240</v>
      </c>
      <c r="P215" s="59">
        <v>40</v>
      </c>
      <c r="Q215" s="59">
        <f t="shared" si="34"/>
        <v>315</v>
      </c>
      <c r="R215" s="59">
        <f t="shared" si="35"/>
        <v>100</v>
      </c>
      <c r="S215" s="56">
        <f t="shared" si="36"/>
        <v>695</v>
      </c>
      <c r="T215" s="56">
        <f>50</f>
        <v>50</v>
      </c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</row>
    <row r="216" spans="1:30" ht="15.75" x14ac:dyDescent="0.25">
      <c r="A216" s="16">
        <v>47849</v>
      </c>
      <c r="B216" s="69">
        <v>31</v>
      </c>
      <c r="C216" s="56">
        <f>122.58</f>
        <v>122.58</v>
      </c>
      <c r="D216" s="56">
        <f>297.941</f>
        <v>297.94099999999997</v>
      </c>
      <c r="E216" s="64">
        <f>89.177</f>
        <v>89.177000000000007</v>
      </c>
      <c r="F216" s="56">
        <f>240.302-40-60-100</f>
        <v>40.301999999999992</v>
      </c>
      <c r="G216" s="59">
        <v>40</v>
      </c>
      <c r="H216" s="56">
        <f>60+100</f>
        <v>160</v>
      </c>
      <c r="I216" s="56">
        <f t="shared" si="28"/>
        <v>0</v>
      </c>
      <c r="J216" s="59">
        <v>100</v>
      </c>
      <c r="K216" s="59">
        <v>300</v>
      </c>
      <c r="L216" s="56">
        <f t="shared" si="33"/>
        <v>1150</v>
      </c>
      <c r="M216" s="66">
        <v>600</v>
      </c>
      <c r="N216" s="56">
        <f>100</f>
        <v>100</v>
      </c>
      <c r="O216" s="59">
        <v>240</v>
      </c>
      <c r="P216" s="59">
        <v>40</v>
      </c>
      <c r="Q216" s="59">
        <f t="shared" si="34"/>
        <v>315</v>
      </c>
      <c r="R216" s="59">
        <f t="shared" si="35"/>
        <v>100</v>
      </c>
      <c r="S216" s="56">
        <f t="shared" si="36"/>
        <v>695</v>
      </c>
      <c r="T216" s="56">
        <f>50</f>
        <v>50</v>
      </c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</row>
    <row r="217" spans="1:30" ht="15.75" x14ac:dyDescent="0.25">
      <c r="A217" s="16">
        <v>47880</v>
      </c>
      <c r="B217" s="69">
        <v>28</v>
      </c>
      <c r="C217" s="56">
        <f>122.58</f>
        <v>122.58</v>
      </c>
      <c r="D217" s="56">
        <f>297.941</f>
        <v>297.94099999999997</v>
      </c>
      <c r="E217" s="64">
        <f>89.177</f>
        <v>89.177000000000007</v>
      </c>
      <c r="F217" s="56">
        <f>240.302-40-60-100</f>
        <v>40.301999999999992</v>
      </c>
      <c r="G217" s="59">
        <v>40</v>
      </c>
      <c r="H217" s="56">
        <f>60+100</f>
        <v>160</v>
      </c>
      <c r="I217" s="56">
        <f t="shared" si="28"/>
        <v>0</v>
      </c>
      <c r="J217" s="59">
        <v>100</v>
      </c>
      <c r="K217" s="59">
        <v>300</v>
      </c>
      <c r="L217" s="56">
        <f t="shared" si="33"/>
        <v>1150</v>
      </c>
      <c r="M217" s="66">
        <v>600</v>
      </c>
      <c r="N217" s="56">
        <f>100</f>
        <v>100</v>
      </c>
      <c r="O217" s="59">
        <v>240</v>
      </c>
      <c r="P217" s="59">
        <v>40</v>
      </c>
      <c r="Q217" s="59">
        <f t="shared" si="34"/>
        <v>315</v>
      </c>
      <c r="R217" s="59">
        <f t="shared" si="35"/>
        <v>100</v>
      </c>
      <c r="S217" s="56">
        <f t="shared" si="36"/>
        <v>695</v>
      </c>
      <c r="T217" s="56">
        <f>50</f>
        <v>50</v>
      </c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</row>
    <row r="218" spans="1:30" ht="15.75" x14ac:dyDescent="0.25">
      <c r="A218" s="16">
        <v>47908</v>
      </c>
      <c r="B218" s="69">
        <v>31</v>
      </c>
      <c r="C218" s="56">
        <f>122.58</f>
        <v>122.58</v>
      </c>
      <c r="D218" s="56">
        <f>297.941</f>
        <v>297.94099999999997</v>
      </c>
      <c r="E218" s="64">
        <f>89.177</f>
        <v>89.177000000000007</v>
      </c>
      <c r="F218" s="56">
        <f>240.302-40-60-100</f>
        <v>40.301999999999992</v>
      </c>
      <c r="G218" s="59">
        <v>40</v>
      </c>
      <c r="H218" s="56">
        <f>60+100</f>
        <v>160</v>
      </c>
      <c r="I218" s="56">
        <f t="shared" si="28"/>
        <v>0</v>
      </c>
      <c r="J218" s="59">
        <v>100</v>
      </c>
      <c r="K218" s="59">
        <v>300</v>
      </c>
      <c r="L218" s="56">
        <f t="shared" si="33"/>
        <v>1150</v>
      </c>
      <c r="M218" s="66">
        <v>600</v>
      </c>
      <c r="N218" s="56">
        <f>100</f>
        <v>100</v>
      </c>
      <c r="O218" s="59">
        <v>240</v>
      </c>
      <c r="P218" s="59">
        <v>40</v>
      </c>
      <c r="Q218" s="59">
        <f t="shared" si="34"/>
        <v>315</v>
      </c>
      <c r="R218" s="59">
        <f t="shared" si="35"/>
        <v>100</v>
      </c>
      <c r="S218" s="56">
        <f t="shared" si="36"/>
        <v>695</v>
      </c>
      <c r="T218" s="56">
        <f>50</f>
        <v>50</v>
      </c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</row>
    <row r="219" spans="1:30" ht="15.75" x14ac:dyDescent="0.25">
      <c r="A219" s="16">
        <v>47939</v>
      </c>
      <c r="B219" s="69">
        <v>30</v>
      </c>
      <c r="C219" s="56">
        <f>141.293</f>
        <v>141.29300000000001</v>
      </c>
      <c r="D219" s="56">
        <f>267.993</f>
        <v>267.99299999999999</v>
      </c>
      <c r="E219" s="64">
        <f>115.016</f>
        <v>115.01600000000001</v>
      </c>
      <c r="F219" s="56">
        <f>314.698-40-25-60-100</f>
        <v>89.697999999999979</v>
      </c>
      <c r="G219" s="59">
        <v>40</v>
      </c>
      <c r="H219" s="56">
        <f t="shared" ref="H219:H225" si="37">25+60+100</f>
        <v>185</v>
      </c>
      <c r="I219" s="56">
        <f t="shared" si="28"/>
        <v>0</v>
      </c>
      <c r="J219" s="59">
        <v>100</v>
      </c>
      <c r="K219" s="59">
        <v>300</v>
      </c>
      <c r="L219" s="56">
        <f t="shared" si="33"/>
        <v>1239</v>
      </c>
      <c r="M219" s="66">
        <v>600</v>
      </c>
      <c r="N219" s="56">
        <f>100</f>
        <v>100</v>
      </c>
      <c r="O219" s="59">
        <v>240</v>
      </c>
      <c r="P219" s="59">
        <v>160</v>
      </c>
      <c r="Q219" s="59">
        <f t="shared" si="34"/>
        <v>195</v>
      </c>
      <c r="R219" s="59">
        <f t="shared" si="35"/>
        <v>100</v>
      </c>
      <c r="S219" s="56">
        <f t="shared" si="36"/>
        <v>695</v>
      </c>
      <c r="T219" s="56">
        <f>50</f>
        <v>50</v>
      </c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</row>
    <row r="220" spans="1:30" ht="15.75" x14ac:dyDescent="0.25">
      <c r="A220" s="16">
        <v>47969</v>
      </c>
      <c r="B220" s="69">
        <v>31</v>
      </c>
      <c r="C220" s="56">
        <f>194.205</f>
        <v>194.20500000000001</v>
      </c>
      <c r="D220" s="56">
        <f>267.466</f>
        <v>267.46600000000001</v>
      </c>
      <c r="E220" s="64">
        <f>133.845</f>
        <v>133.845</v>
      </c>
      <c r="F220" s="56">
        <f>278.484-40-25-60-100</f>
        <v>53.48399999999998</v>
      </c>
      <c r="G220" s="59">
        <v>40</v>
      </c>
      <c r="H220" s="56">
        <f t="shared" si="37"/>
        <v>185</v>
      </c>
      <c r="I220" s="56">
        <f t="shared" si="28"/>
        <v>0</v>
      </c>
      <c r="J220" s="59">
        <v>100</v>
      </c>
      <c r="K220" s="59">
        <v>300</v>
      </c>
      <c r="L220" s="56">
        <f t="shared" si="33"/>
        <v>1274</v>
      </c>
      <c r="M220" s="66">
        <v>600</v>
      </c>
      <c r="N220" s="56">
        <f>75</f>
        <v>75</v>
      </c>
      <c r="O220" s="59">
        <v>240</v>
      </c>
      <c r="P220" s="59">
        <v>160</v>
      </c>
      <c r="Q220" s="59">
        <f t="shared" si="34"/>
        <v>195</v>
      </c>
      <c r="R220" s="59">
        <f t="shared" si="35"/>
        <v>100</v>
      </c>
      <c r="S220" s="56">
        <f t="shared" si="36"/>
        <v>695</v>
      </c>
      <c r="T220" s="56">
        <f>50</f>
        <v>50</v>
      </c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</row>
    <row r="221" spans="1:30" ht="15.75" x14ac:dyDescent="0.25">
      <c r="A221" s="16">
        <v>48000</v>
      </c>
      <c r="B221" s="69">
        <v>30</v>
      </c>
      <c r="C221" s="56">
        <f>194.205</f>
        <v>194.20500000000001</v>
      </c>
      <c r="D221" s="56">
        <f>267.466</f>
        <v>267.46600000000001</v>
      </c>
      <c r="E221" s="64">
        <f>133.845</f>
        <v>133.845</v>
      </c>
      <c r="F221" s="56">
        <f>278.484-40-25-60-100</f>
        <v>53.48399999999998</v>
      </c>
      <c r="G221" s="59">
        <v>40</v>
      </c>
      <c r="H221" s="56">
        <f t="shared" si="37"/>
        <v>185</v>
      </c>
      <c r="I221" s="56">
        <f t="shared" si="28"/>
        <v>0</v>
      </c>
      <c r="J221" s="59">
        <v>100</v>
      </c>
      <c r="K221" s="59">
        <v>300</v>
      </c>
      <c r="L221" s="56">
        <f t="shared" si="33"/>
        <v>1274</v>
      </c>
      <c r="M221" s="66">
        <v>600</v>
      </c>
      <c r="N221" s="56">
        <f>30</f>
        <v>30</v>
      </c>
      <c r="O221" s="59">
        <v>240</v>
      </c>
      <c r="P221" s="59">
        <v>160</v>
      </c>
      <c r="Q221" s="59">
        <f t="shared" si="34"/>
        <v>195</v>
      </c>
      <c r="R221" s="59">
        <f t="shared" si="35"/>
        <v>100</v>
      </c>
      <c r="S221" s="56">
        <f t="shared" si="36"/>
        <v>695</v>
      </c>
      <c r="T221" s="56">
        <f>50</f>
        <v>50</v>
      </c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</row>
    <row r="222" spans="1:30" ht="15.75" x14ac:dyDescent="0.25">
      <c r="A222" s="16">
        <v>48030</v>
      </c>
      <c r="B222" s="69">
        <v>31</v>
      </c>
      <c r="C222" s="56">
        <f>194.205</f>
        <v>194.20500000000001</v>
      </c>
      <c r="D222" s="56">
        <f>267.466</f>
        <v>267.46600000000001</v>
      </c>
      <c r="E222" s="64">
        <f>133.845</f>
        <v>133.845</v>
      </c>
      <c r="F222" s="56">
        <f>278.484-40-25-60-100</f>
        <v>53.48399999999998</v>
      </c>
      <c r="G222" s="59">
        <v>40</v>
      </c>
      <c r="H222" s="56">
        <f t="shared" si="37"/>
        <v>185</v>
      </c>
      <c r="I222" s="56">
        <f t="shared" si="28"/>
        <v>0</v>
      </c>
      <c r="J222" s="59">
        <v>100</v>
      </c>
      <c r="K222" s="59">
        <v>300</v>
      </c>
      <c r="L222" s="56">
        <f t="shared" si="33"/>
        <v>1274</v>
      </c>
      <c r="M222" s="66">
        <v>600</v>
      </c>
      <c r="N222" s="56">
        <f>30</f>
        <v>30</v>
      </c>
      <c r="O222" s="59">
        <v>240</v>
      </c>
      <c r="P222" s="59">
        <v>160</v>
      </c>
      <c r="Q222" s="59">
        <f t="shared" si="34"/>
        <v>195</v>
      </c>
      <c r="R222" s="59">
        <f t="shared" si="35"/>
        <v>100</v>
      </c>
      <c r="S222" s="56">
        <f t="shared" si="36"/>
        <v>695</v>
      </c>
      <c r="T222" s="56">
        <f>0</f>
        <v>0</v>
      </c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</row>
    <row r="223" spans="1:30" ht="15.75" x14ac:dyDescent="0.25">
      <c r="A223" s="16">
        <v>48061</v>
      </c>
      <c r="B223" s="69">
        <v>31</v>
      </c>
      <c r="C223" s="56">
        <f>194.205</f>
        <v>194.20500000000001</v>
      </c>
      <c r="D223" s="56">
        <f>267.466</f>
        <v>267.46600000000001</v>
      </c>
      <c r="E223" s="64">
        <f>133.845</f>
        <v>133.845</v>
      </c>
      <c r="F223" s="56">
        <f>278.484-40-25-60-100</f>
        <v>53.48399999999998</v>
      </c>
      <c r="G223" s="59">
        <v>40</v>
      </c>
      <c r="H223" s="56">
        <f t="shared" si="37"/>
        <v>185</v>
      </c>
      <c r="I223" s="56">
        <f t="shared" si="28"/>
        <v>0</v>
      </c>
      <c r="J223" s="59">
        <v>100</v>
      </c>
      <c r="K223" s="59">
        <v>300</v>
      </c>
      <c r="L223" s="56">
        <f t="shared" si="33"/>
        <v>1274</v>
      </c>
      <c r="M223" s="66">
        <v>600</v>
      </c>
      <c r="N223" s="56">
        <f>30</f>
        <v>30</v>
      </c>
      <c r="O223" s="59">
        <v>240</v>
      </c>
      <c r="P223" s="59">
        <v>160</v>
      </c>
      <c r="Q223" s="59">
        <f t="shared" si="34"/>
        <v>195</v>
      </c>
      <c r="R223" s="59">
        <f t="shared" si="35"/>
        <v>100</v>
      </c>
      <c r="S223" s="56">
        <f t="shared" si="36"/>
        <v>695</v>
      </c>
      <c r="T223" s="56">
        <f>0</f>
        <v>0</v>
      </c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</row>
    <row r="224" spans="1:30" ht="15.75" x14ac:dyDescent="0.25">
      <c r="A224" s="16">
        <v>48092</v>
      </c>
      <c r="B224" s="69">
        <v>30</v>
      </c>
      <c r="C224" s="56">
        <f>194.205</f>
        <v>194.20500000000001</v>
      </c>
      <c r="D224" s="56">
        <f>267.466</f>
        <v>267.46600000000001</v>
      </c>
      <c r="E224" s="64">
        <f>133.845</f>
        <v>133.845</v>
      </c>
      <c r="F224" s="56">
        <f>278.484-40-25-60-100</f>
        <v>53.48399999999998</v>
      </c>
      <c r="G224" s="59">
        <v>40</v>
      </c>
      <c r="H224" s="56">
        <f t="shared" si="37"/>
        <v>185</v>
      </c>
      <c r="I224" s="56">
        <f t="shared" si="28"/>
        <v>0</v>
      </c>
      <c r="J224" s="59">
        <v>100</v>
      </c>
      <c r="K224" s="59">
        <v>300</v>
      </c>
      <c r="L224" s="56">
        <f t="shared" si="33"/>
        <v>1274</v>
      </c>
      <c r="M224" s="66">
        <v>600</v>
      </c>
      <c r="N224" s="56">
        <f>30</f>
        <v>30</v>
      </c>
      <c r="O224" s="59">
        <v>240</v>
      </c>
      <c r="P224" s="59">
        <v>160</v>
      </c>
      <c r="Q224" s="59">
        <f t="shared" si="34"/>
        <v>195</v>
      </c>
      <c r="R224" s="59">
        <f t="shared" si="35"/>
        <v>100</v>
      </c>
      <c r="S224" s="56">
        <f t="shared" si="36"/>
        <v>695</v>
      </c>
      <c r="T224" s="56">
        <f>0</f>
        <v>0</v>
      </c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</row>
    <row r="225" spans="1:30" ht="15.75" x14ac:dyDescent="0.25">
      <c r="A225" s="16">
        <v>48122</v>
      </c>
      <c r="B225" s="69">
        <v>31</v>
      </c>
      <c r="C225" s="56">
        <f>131.881</f>
        <v>131.881</v>
      </c>
      <c r="D225" s="56">
        <f>277.167</f>
        <v>277.16699999999997</v>
      </c>
      <c r="E225" s="64">
        <f>79.08</f>
        <v>79.08</v>
      </c>
      <c r="F225" s="56">
        <f>350.872-40-25-60-100</f>
        <v>125.87200000000001</v>
      </c>
      <c r="G225" s="59">
        <v>40</v>
      </c>
      <c r="H225" s="56">
        <f t="shared" si="37"/>
        <v>185</v>
      </c>
      <c r="I225" s="56">
        <f t="shared" si="28"/>
        <v>0</v>
      </c>
      <c r="J225" s="59">
        <v>100</v>
      </c>
      <c r="K225" s="59">
        <v>300</v>
      </c>
      <c r="L225" s="56">
        <f t="shared" si="33"/>
        <v>1239</v>
      </c>
      <c r="M225" s="66">
        <v>600</v>
      </c>
      <c r="N225" s="56">
        <f>75</f>
        <v>75</v>
      </c>
      <c r="O225" s="59">
        <v>240</v>
      </c>
      <c r="P225" s="59">
        <v>160</v>
      </c>
      <c r="Q225" s="59">
        <f t="shared" si="34"/>
        <v>195</v>
      </c>
      <c r="R225" s="59">
        <f t="shared" si="35"/>
        <v>100</v>
      </c>
      <c r="S225" s="56">
        <f t="shared" si="36"/>
        <v>695</v>
      </c>
      <c r="T225" s="56">
        <f>0</f>
        <v>0</v>
      </c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</row>
    <row r="226" spans="1:30" ht="15.75" x14ac:dyDescent="0.25">
      <c r="A226" s="16">
        <v>48153</v>
      </c>
      <c r="B226" s="69">
        <v>30</v>
      </c>
      <c r="C226" s="56">
        <f>122.58</f>
        <v>122.58</v>
      </c>
      <c r="D226" s="56">
        <f>297.941</f>
        <v>297.94099999999997</v>
      </c>
      <c r="E226" s="64">
        <f>89.177</f>
        <v>89.177000000000007</v>
      </c>
      <c r="F226" s="56">
        <f>240.302-40-60-100</f>
        <v>40.301999999999992</v>
      </c>
      <c r="G226" s="59">
        <v>40</v>
      </c>
      <c r="H226" s="56">
        <f>60+100</f>
        <v>160</v>
      </c>
      <c r="I226" s="56">
        <f t="shared" si="28"/>
        <v>0</v>
      </c>
      <c r="J226" s="59">
        <v>100</v>
      </c>
      <c r="K226" s="59">
        <v>300</v>
      </c>
      <c r="L226" s="56">
        <f t="shared" si="33"/>
        <v>1150</v>
      </c>
      <c r="M226" s="66">
        <v>600</v>
      </c>
      <c r="N226" s="56">
        <f>100</f>
        <v>100</v>
      </c>
      <c r="O226" s="59">
        <v>240</v>
      </c>
      <c r="P226" s="59">
        <v>40</v>
      </c>
      <c r="Q226" s="59">
        <f t="shared" si="34"/>
        <v>315</v>
      </c>
      <c r="R226" s="59">
        <f t="shared" si="35"/>
        <v>100</v>
      </c>
      <c r="S226" s="56">
        <f t="shared" si="36"/>
        <v>695</v>
      </c>
      <c r="T226" s="56">
        <f>50</f>
        <v>50</v>
      </c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</row>
    <row r="227" spans="1:30" ht="15.75" x14ac:dyDescent="0.25">
      <c r="A227" s="16">
        <v>48183</v>
      </c>
      <c r="B227" s="69">
        <v>31</v>
      </c>
      <c r="C227" s="56">
        <f>122.58</f>
        <v>122.58</v>
      </c>
      <c r="D227" s="56">
        <f>297.941</f>
        <v>297.94099999999997</v>
      </c>
      <c r="E227" s="64">
        <f>89.177</f>
        <v>89.177000000000007</v>
      </c>
      <c r="F227" s="56">
        <f>240.302-40-60-100</f>
        <v>40.301999999999992</v>
      </c>
      <c r="G227" s="59">
        <v>40</v>
      </c>
      <c r="H227" s="56">
        <f>60+100</f>
        <v>160</v>
      </c>
      <c r="I227" s="56">
        <f t="shared" si="28"/>
        <v>0</v>
      </c>
      <c r="J227" s="59">
        <v>100</v>
      </c>
      <c r="K227" s="59">
        <v>300</v>
      </c>
      <c r="L227" s="56">
        <f t="shared" si="33"/>
        <v>1150</v>
      </c>
      <c r="M227" s="66">
        <v>600</v>
      </c>
      <c r="N227" s="56">
        <f>100</f>
        <v>100</v>
      </c>
      <c r="O227" s="59">
        <v>240</v>
      </c>
      <c r="P227" s="59">
        <v>40</v>
      </c>
      <c r="Q227" s="59">
        <f t="shared" si="34"/>
        <v>315</v>
      </c>
      <c r="R227" s="59">
        <f t="shared" si="35"/>
        <v>100</v>
      </c>
      <c r="S227" s="56">
        <f t="shared" si="36"/>
        <v>695</v>
      </c>
      <c r="T227" s="56">
        <f>50</f>
        <v>50</v>
      </c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</row>
    <row r="228" spans="1:30" ht="15.75" x14ac:dyDescent="0.25">
      <c r="A228" s="16">
        <v>48214</v>
      </c>
      <c r="B228" s="69">
        <v>31</v>
      </c>
      <c r="C228" s="56">
        <f>122.58</f>
        <v>122.58</v>
      </c>
      <c r="D228" s="56">
        <f>297.941</f>
        <v>297.94099999999997</v>
      </c>
      <c r="E228" s="64">
        <f>89.177</f>
        <v>89.177000000000007</v>
      </c>
      <c r="F228" s="56">
        <f>240.302-40-60-100</f>
        <v>40.301999999999992</v>
      </c>
      <c r="G228" s="59">
        <v>40</v>
      </c>
      <c r="H228" s="56">
        <f>60+100</f>
        <v>160</v>
      </c>
      <c r="I228" s="56">
        <f t="shared" si="28"/>
        <v>0</v>
      </c>
      <c r="J228" s="59">
        <v>100</v>
      </c>
      <c r="K228" s="59">
        <v>300</v>
      </c>
      <c r="L228" s="56">
        <f t="shared" si="33"/>
        <v>1150</v>
      </c>
      <c r="M228" s="66">
        <v>600</v>
      </c>
      <c r="N228" s="56">
        <f>100</f>
        <v>100</v>
      </c>
      <c r="O228" s="59">
        <v>240</v>
      </c>
      <c r="P228" s="59">
        <v>40</v>
      </c>
      <c r="Q228" s="59">
        <f t="shared" si="34"/>
        <v>315</v>
      </c>
      <c r="R228" s="59">
        <f t="shared" si="35"/>
        <v>100</v>
      </c>
      <c r="S228" s="56">
        <f t="shared" si="36"/>
        <v>695</v>
      </c>
      <c r="T228" s="56">
        <f>50</f>
        <v>50</v>
      </c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</row>
    <row r="229" spans="1:30" ht="15.75" x14ac:dyDescent="0.25">
      <c r="A229" s="16">
        <v>48245</v>
      </c>
      <c r="B229" s="69">
        <v>29</v>
      </c>
      <c r="C229" s="56">
        <f>122.58</f>
        <v>122.58</v>
      </c>
      <c r="D229" s="56">
        <f>297.941</f>
        <v>297.94099999999997</v>
      </c>
      <c r="E229" s="64">
        <f>89.177</f>
        <v>89.177000000000007</v>
      </c>
      <c r="F229" s="56">
        <f>240.302-40-60-100</f>
        <v>40.301999999999992</v>
      </c>
      <c r="G229" s="59">
        <v>40</v>
      </c>
      <c r="H229" s="56">
        <f>60+100</f>
        <v>160</v>
      </c>
      <c r="I229" s="56">
        <f t="shared" si="28"/>
        <v>0</v>
      </c>
      <c r="J229" s="59">
        <v>100</v>
      </c>
      <c r="K229" s="59">
        <v>300</v>
      </c>
      <c r="L229" s="56">
        <f t="shared" si="33"/>
        <v>1150</v>
      </c>
      <c r="M229" s="66">
        <v>600</v>
      </c>
      <c r="N229" s="56">
        <f>100</f>
        <v>100</v>
      </c>
      <c r="O229" s="59">
        <v>240</v>
      </c>
      <c r="P229" s="59">
        <v>40</v>
      </c>
      <c r="Q229" s="59">
        <f t="shared" si="34"/>
        <v>315</v>
      </c>
      <c r="R229" s="59">
        <f t="shared" si="35"/>
        <v>100</v>
      </c>
      <c r="S229" s="56">
        <f t="shared" si="36"/>
        <v>695</v>
      </c>
      <c r="T229" s="56">
        <f>50</f>
        <v>50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</row>
    <row r="230" spans="1:30" ht="15.75" x14ac:dyDescent="0.25">
      <c r="A230" s="16">
        <v>48274</v>
      </c>
      <c r="B230" s="69">
        <v>31</v>
      </c>
      <c r="C230" s="56">
        <f>122.58</f>
        <v>122.58</v>
      </c>
      <c r="D230" s="56">
        <f>297.941</f>
        <v>297.94099999999997</v>
      </c>
      <c r="E230" s="64">
        <f>89.177</f>
        <v>89.177000000000007</v>
      </c>
      <c r="F230" s="56">
        <f>240.302-40-60-100</f>
        <v>40.301999999999992</v>
      </c>
      <c r="G230" s="59">
        <v>40</v>
      </c>
      <c r="H230" s="56">
        <f>60+100</f>
        <v>160</v>
      </c>
      <c r="I230" s="56">
        <f t="shared" si="28"/>
        <v>0</v>
      </c>
      <c r="J230" s="59">
        <v>100</v>
      </c>
      <c r="K230" s="59">
        <v>300</v>
      </c>
      <c r="L230" s="56">
        <f t="shared" si="33"/>
        <v>1150</v>
      </c>
      <c r="M230" s="66">
        <v>600</v>
      </c>
      <c r="N230" s="56">
        <f>100</f>
        <v>100</v>
      </c>
      <c r="O230" s="59">
        <v>240</v>
      </c>
      <c r="P230" s="59">
        <v>40</v>
      </c>
      <c r="Q230" s="59">
        <f t="shared" si="34"/>
        <v>315</v>
      </c>
      <c r="R230" s="59">
        <f t="shared" si="35"/>
        <v>100</v>
      </c>
      <c r="S230" s="56">
        <f t="shared" si="36"/>
        <v>695</v>
      </c>
      <c r="T230" s="56">
        <f>50</f>
        <v>50</v>
      </c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</row>
    <row r="231" spans="1:30" ht="15.75" x14ac:dyDescent="0.25">
      <c r="A231" s="16">
        <v>48305</v>
      </c>
      <c r="B231" s="69">
        <v>30</v>
      </c>
      <c r="C231" s="56">
        <f>141.293</f>
        <v>141.29300000000001</v>
      </c>
      <c r="D231" s="56">
        <f>267.993</f>
        <v>267.99299999999999</v>
      </c>
      <c r="E231" s="64">
        <f>115.016</f>
        <v>115.01600000000001</v>
      </c>
      <c r="F231" s="56">
        <f>314.698-40-25-60-100</f>
        <v>89.697999999999979</v>
      </c>
      <c r="G231" s="59">
        <v>40</v>
      </c>
      <c r="H231" s="56">
        <f t="shared" ref="H231:H237" si="38">25+60+100</f>
        <v>185</v>
      </c>
      <c r="I231" s="56">
        <f t="shared" si="28"/>
        <v>0</v>
      </c>
      <c r="J231" s="59">
        <v>100</v>
      </c>
      <c r="K231" s="59">
        <v>300</v>
      </c>
      <c r="L231" s="56">
        <f t="shared" si="33"/>
        <v>1239</v>
      </c>
      <c r="M231" s="66">
        <v>600</v>
      </c>
      <c r="N231" s="56">
        <f>100</f>
        <v>100</v>
      </c>
      <c r="O231" s="59">
        <v>240</v>
      </c>
      <c r="P231" s="59">
        <v>160</v>
      </c>
      <c r="Q231" s="59">
        <f t="shared" si="34"/>
        <v>195</v>
      </c>
      <c r="R231" s="59">
        <f t="shared" si="35"/>
        <v>100</v>
      </c>
      <c r="S231" s="56">
        <f t="shared" si="36"/>
        <v>695</v>
      </c>
      <c r="T231" s="56">
        <f>50</f>
        <v>50</v>
      </c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</row>
    <row r="232" spans="1:30" ht="15.75" x14ac:dyDescent="0.25">
      <c r="A232" s="16">
        <v>48335</v>
      </c>
      <c r="B232" s="69">
        <v>31</v>
      </c>
      <c r="C232" s="56">
        <f>194.205</f>
        <v>194.20500000000001</v>
      </c>
      <c r="D232" s="56">
        <f>267.466</f>
        <v>267.46600000000001</v>
      </c>
      <c r="E232" s="64">
        <f>133.845</f>
        <v>133.845</v>
      </c>
      <c r="F232" s="56">
        <f>278.484-40-25-60-100</f>
        <v>53.48399999999998</v>
      </c>
      <c r="G232" s="59">
        <v>40</v>
      </c>
      <c r="H232" s="56">
        <f t="shared" si="38"/>
        <v>185</v>
      </c>
      <c r="I232" s="56">
        <f t="shared" ref="I232:I295" si="39">400-J232-K232</f>
        <v>0</v>
      </c>
      <c r="J232" s="59">
        <v>100</v>
      </c>
      <c r="K232" s="59">
        <v>300</v>
      </c>
      <c r="L232" s="56">
        <f t="shared" si="33"/>
        <v>1274</v>
      </c>
      <c r="M232" s="66">
        <v>600</v>
      </c>
      <c r="N232" s="56">
        <f>75</f>
        <v>75</v>
      </c>
      <c r="O232" s="59">
        <v>240</v>
      </c>
      <c r="P232" s="59">
        <v>160</v>
      </c>
      <c r="Q232" s="59">
        <f t="shared" si="34"/>
        <v>195</v>
      </c>
      <c r="R232" s="59">
        <f t="shared" si="35"/>
        <v>100</v>
      </c>
      <c r="S232" s="56">
        <f t="shared" si="36"/>
        <v>695</v>
      </c>
      <c r="T232" s="56">
        <f>50</f>
        <v>50</v>
      </c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</row>
    <row r="233" spans="1:30" ht="15.75" x14ac:dyDescent="0.25">
      <c r="A233" s="16">
        <v>48366</v>
      </c>
      <c r="B233" s="69">
        <v>30</v>
      </c>
      <c r="C233" s="56">
        <f>194.205</f>
        <v>194.20500000000001</v>
      </c>
      <c r="D233" s="56">
        <f>267.466</f>
        <v>267.46600000000001</v>
      </c>
      <c r="E233" s="64">
        <f>133.845</f>
        <v>133.845</v>
      </c>
      <c r="F233" s="56">
        <f>278.484-40-25-60-100</f>
        <v>53.48399999999998</v>
      </c>
      <c r="G233" s="59">
        <v>40</v>
      </c>
      <c r="H233" s="56">
        <f t="shared" si="38"/>
        <v>185</v>
      </c>
      <c r="I233" s="56">
        <f t="shared" si="39"/>
        <v>0</v>
      </c>
      <c r="J233" s="59">
        <v>100</v>
      </c>
      <c r="K233" s="59">
        <v>300</v>
      </c>
      <c r="L233" s="56">
        <f t="shared" si="33"/>
        <v>1274</v>
      </c>
      <c r="M233" s="66">
        <v>600</v>
      </c>
      <c r="N233" s="56">
        <f>30</f>
        <v>30</v>
      </c>
      <c r="O233" s="59">
        <v>240</v>
      </c>
      <c r="P233" s="59">
        <v>160</v>
      </c>
      <c r="Q233" s="59">
        <f t="shared" si="34"/>
        <v>195</v>
      </c>
      <c r="R233" s="59">
        <f t="shared" si="35"/>
        <v>100</v>
      </c>
      <c r="S233" s="56">
        <f t="shared" si="36"/>
        <v>695</v>
      </c>
      <c r="T233" s="56">
        <f>50</f>
        <v>50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</row>
    <row r="234" spans="1:30" ht="15.75" x14ac:dyDescent="0.25">
      <c r="A234" s="16">
        <v>48396</v>
      </c>
      <c r="B234" s="69">
        <v>31</v>
      </c>
      <c r="C234" s="56">
        <f>194.205</f>
        <v>194.20500000000001</v>
      </c>
      <c r="D234" s="56">
        <f>267.466</f>
        <v>267.46600000000001</v>
      </c>
      <c r="E234" s="64">
        <f>133.845</f>
        <v>133.845</v>
      </c>
      <c r="F234" s="56">
        <f>278.484-40-25-60-100</f>
        <v>53.48399999999998</v>
      </c>
      <c r="G234" s="59">
        <v>40</v>
      </c>
      <c r="H234" s="56">
        <f t="shared" si="38"/>
        <v>185</v>
      </c>
      <c r="I234" s="56">
        <f t="shared" si="39"/>
        <v>0</v>
      </c>
      <c r="J234" s="59">
        <v>100</v>
      </c>
      <c r="K234" s="59">
        <v>300</v>
      </c>
      <c r="L234" s="56">
        <f t="shared" si="33"/>
        <v>1274</v>
      </c>
      <c r="M234" s="66">
        <v>600</v>
      </c>
      <c r="N234" s="56">
        <f>30</f>
        <v>30</v>
      </c>
      <c r="O234" s="59">
        <v>240</v>
      </c>
      <c r="P234" s="59">
        <v>160</v>
      </c>
      <c r="Q234" s="59">
        <f t="shared" si="34"/>
        <v>195</v>
      </c>
      <c r="R234" s="59">
        <f t="shared" si="35"/>
        <v>100</v>
      </c>
      <c r="S234" s="56">
        <f t="shared" si="36"/>
        <v>695</v>
      </c>
      <c r="T234" s="56">
        <f>0</f>
        <v>0</v>
      </c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</row>
    <row r="235" spans="1:30" ht="15.75" x14ac:dyDescent="0.25">
      <c r="A235" s="16">
        <v>48427</v>
      </c>
      <c r="B235" s="69">
        <v>31</v>
      </c>
      <c r="C235" s="56">
        <f>194.205</f>
        <v>194.20500000000001</v>
      </c>
      <c r="D235" s="56">
        <f>267.466</f>
        <v>267.46600000000001</v>
      </c>
      <c r="E235" s="64">
        <f>133.845</f>
        <v>133.845</v>
      </c>
      <c r="F235" s="56">
        <f>278.484-40-25-60-100</f>
        <v>53.48399999999998</v>
      </c>
      <c r="G235" s="59">
        <v>40</v>
      </c>
      <c r="H235" s="56">
        <f t="shared" si="38"/>
        <v>185</v>
      </c>
      <c r="I235" s="56">
        <f t="shared" si="39"/>
        <v>0</v>
      </c>
      <c r="J235" s="59">
        <v>100</v>
      </c>
      <c r="K235" s="59">
        <v>300</v>
      </c>
      <c r="L235" s="56">
        <f t="shared" si="33"/>
        <v>1274</v>
      </c>
      <c r="M235" s="66">
        <v>600</v>
      </c>
      <c r="N235" s="56">
        <f>30</f>
        <v>30</v>
      </c>
      <c r="O235" s="59">
        <v>240</v>
      </c>
      <c r="P235" s="59">
        <v>160</v>
      </c>
      <c r="Q235" s="59">
        <f t="shared" si="34"/>
        <v>195</v>
      </c>
      <c r="R235" s="59">
        <f t="shared" si="35"/>
        <v>100</v>
      </c>
      <c r="S235" s="56">
        <f t="shared" si="36"/>
        <v>695</v>
      </c>
      <c r="T235" s="56">
        <f>0</f>
        <v>0</v>
      </c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</row>
    <row r="236" spans="1:30" ht="15.75" x14ac:dyDescent="0.25">
      <c r="A236" s="16">
        <v>48458</v>
      </c>
      <c r="B236" s="69">
        <v>30</v>
      </c>
      <c r="C236" s="56">
        <f>194.205</f>
        <v>194.20500000000001</v>
      </c>
      <c r="D236" s="56">
        <f>267.466</f>
        <v>267.46600000000001</v>
      </c>
      <c r="E236" s="64">
        <f>133.845</f>
        <v>133.845</v>
      </c>
      <c r="F236" s="56">
        <f>278.484-40-25-60-100</f>
        <v>53.48399999999998</v>
      </c>
      <c r="G236" s="59">
        <v>40</v>
      </c>
      <c r="H236" s="56">
        <f t="shared" si="38"/>
        <v>185</v>
      </c>
      <c r="I236" s="56">
        <f t="shared" si="39"/>
        <v>0</v>
      </c>
      <c r="J236" s="59">
        <v>100</v>
      </c>
      <c r="K236" s="59">
        <v>300</v>
      </c>
      <c r="L236" s="56">
        <f t="shared" si="33"/>
        <v>1274</v>
      </c>
      <c r="M236" s="66">
        <v>600</v>
      </c>
      <c r="N236" s="56">
        <f>30</f>
        <v>30</v>
      </c>
      <c r="O236" s="59">
        <v>240</v>
      </c>
      <c r="P236" s="59">
        <v>160</v>
      </c>
      <c r="Q236" s="59">
        <f t="shared" si="34"/>
        <v>195</v>
      </c>
      <c r="R236" s="59">
        <f t="shared" si="35"/>
        <v>100</v>
      </c>
      <c r="S236" s="56">
        <f t="shared" si="36"/>
        <v>695</v>
      </c>
      <c r="T236" s="56">
        <f>0</f>
        <v>0</v>
      </c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</row>
    <row r="237" spans="1:30" ht="15.75" x14ac:dyDescent="0.25">
      <c r="A237" s="16">
        <v>48488</v>
      </c>
      <c r="B237" s="69">
        <v>31</v>
      </c>
      <c r="C237" s="56">
        <f>131.881</f>
        <v>131.881</v>
      </c>
      <c r="D237" s="56">
        <f>277.167</f>
        <v>277.16699999999997</v>
      </c>
      <c r="E237" s="64">
        <f>79.08</f>
        <v>79.08</v>
      </c>
      <c r="F237" s="56">
        <f>350.872-40-25-60-100</f>
        <v>125.87200000000001</v>
      </c>
      <c r="G237" s="59">
        <v>40</v>
      </c>
      <c r="H237" s="56">
        <f t="shared" si="38"/>
        <v>185</v>
      </c>
      <c r="I237" s="56">
        <f t="shared" si="39"/>
        <v>0</v>
      </c>
      <c r="J237" s="59">
        <v>100</v>
      </c>
      <c r="K237" s="59">
        <v>300</v>
      </c>
      <c r="L237" s="56">
        <f t="shared" si="33"/>
        <v>1239</v>
      </c>
      <c r="M237" s="66">
        <v>600</v>
      </c>
      <c r="N237" s="56">
        <f>75</f>
        <v>75</v>
      </c>
      <c r="O237" s="59">
        <v>240</v>
      </c>
      <c r="P237" s="59">
        <v>160</v>
      </c>
      <c r="Q237" s="59">
        <f t="shared" si="34"/>
        <v>195</v>
      </c>
      <c r="R237" s="59">
        <f t="shared" si="35"/>
        <v>100</v>
      </c>
      <c r="S237" s="56">
        <f t="shared" si="36"/>
        <v>695</v>
      </c>
      <c r="T237" s="56">
        <f>0</f>
        <v>0</v>
      </c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</row>
    <row r="238" spans="1:30" ht="15.75" x14ac:dyDescent="0.25">
      <c r="A238" s="16">
        <v>48519</v>
      </c>
      <c r="B238" s="69">
        <v>30</v>
      </c>
      <c r="C238" s="56">
        <f>122.58</f>
        <v>122.58</v>
      </c>
      <c r="D238" s="56">
        <f>297.941</f>
        <v>297.94099999999997</v>
      </c>
      <c r="E238" s="64">
        <f>89.177</f>
        <v>89.177000000000007</v>
      </c>
      <c r="F238" s="56">
        <f>240.302-40-60-100</f>
        <v>40.301999999999992</v>
      </c>
      <c r="G238" s="59">
        <v>40</v>
      </c>
      <c r="H238" s="56">
        <f>60+100</f>
        <v>160</v>
      </c>
      <c r="I238" s="56">
        <f t="shared" si="39"/>
        <v>0</v>
      </c>
      <c r="J238" s="59">
        <v>100</v>
      </c>
      <c r="K238" s="59">
        <v>300</v>
      </c>
      <c r="L238" s="56">
        <f t="shared" si="33"/>
        <v>1150</v>
      </c>
      <c r="M238" s="66">
        <v>600</v>
      </c>
      <c r="N238" s="56">
        <f>100</f>
        <v>100</v>
      </c>
      <c r="O238" s="59">
        <v>240</v>
      </c>
      <c r="P238" s="59">
        <v>40</v>
      </c>
      <c r="Q238" s="59">
        <f t="shared" si="34"/>
        <v>315</v>
      </c>
      <c r="R238" s="59">
        <f t="shared" si="35"/>
        <v>100</v>
      </c>
      <c r="S238" s="56">
        <f t="shared" si="36"/>
        <v>695</v>
      </c>
      <c r="T238" s="56">
        <f>50</f>
        <v>50</v>
      </c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</row>
    <row r="239" spans="1:30" ht="15.75" x14ac:dyDescent="0.25">
      <c r="A239" s="16">
        <v>48549</v>
      </c>
      <c r="B239" s="69">
        <v>31</v>
      </c>
      <c r="C239" s="56">
        <f>122.58</f>
        <v>122.58</v>
      </c>
      <c r="D239" s="56">
        <f>297.941</f>
        <v>297.94099999999997</v>
      </c>
      <c r="E239" s="64">
        <f>89.177</f>
        <v>89.177000000000007</v>
      </c>
      <c r="F239" s="56">
        <f>240.302-40-60-100</f>
        <v>40.301999999999992</v>
      </c>
      <c r="G239" s="59">
        <v>40</v>
      </c>
      <c r="H239" s="56">
        <f>60+100</f>
        <v>160</v>
      </c>
      <c r="I239" s="56">
        <f t="shared" si="39"/>
        <v>0</v>
      </c>
      <c r="J239" s="59">
        <v>100</v>
      </c>
      <c r="K239" s="59">
        <v>300</v>
      </c>
      <c r="L239" s="56">
        <f t="shared" si="33"/>
        <v>1150</v>
      </c>
      <c r="M239" s="66">
        <v>600</v>
      </c>
      <c r="N239" s="56">
        <f>100</f>
        <v>100</v>
      </c>
      <c r="O239" s="59">
        <v>240</v>
      </c>
      <c r="P239" s="59">
        <v>40</v>
      </c>
      <c r="Q239" s="59">
        <f t="shared" si="34"/>
        <v>315</v>
      </c>
      <c r="R239" s="59">
        <f t="shared" si="35"/>
        <v>100</v>
      </c>
      <c r="S239" s="56">
        <f t="shared" si="36"/>
        <v>695</v>
      </c>
      <c r="T239" s="56">
        <f>50</f>
        <v>50</v>
      </c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</row>
    <row r="240" spans="1:30" ht="15.75" x14ac:dyDescent="0.25">
      <c r="A240" s="16">
        <v>48580</v>
      </c>
      <c r="B240" s="69">
        <v>31</v>
      </c>
      <c r="C240" s="56">
        <f>122.58</f>
        <v>122.58</v>
      </c>
      <c r="D240" s="56">
        <f>297.941</f>
        <v>297.94099999999997</v>
      </c>
      <c r="E240" s="64">
        <f>89.177</f>
        <v>89.177000000000007</v>
      </c>
      <c r="F240" s="56">
        <f>240.302-40-60-100</f>
        <v>40.301999999999992</v>
      </c>
      <c r="G240" s="59">
        <v>40</v>
      </c>
      <c r="H240" s="56">
        <f>60+100</f>
        <v>160</v>
      </c>
      <c r="I240" s="56">
        <f t="shared" si="39"/>
        <v>0</v>
      </c>
      <c r="J240" s="59">
        <v>100</v>
      </c>
      <c r="K240" s="59">
        <v>300</v>
      </c>
      <c r="L240" s="56">
        <f t="shared" si="33"/>
        <v>1150</v>
      </c>
      <c r="M240" s="66">
        <v>600</v>
      </c>
      <c r="N240" s="56">
        <f>100</f>
        <v>100</v>
      </c>
      <c r="O240" s="59">
        <v>240</v>
      </c>
      <c r="P240" s="59">
        <v>40</v>
      </c>
      <c r="Q240" s="59">
        <f t="shared" si="34"/>
        <v>315</v>
      </c>
      <c r="R240" s="59">
        <f t="shared" si="35"/>
        <v>100</v>
      </c>
      <c r="S240" s="56">
        <f t="shared" si="36"/>
        <v>695</v>
      </c>
      <c r="T240" s="56">
        <f>50</f>
        <v>50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</row>
    <row r="241" spans="1:30" ht="15.75" x14ac:dyDescent="0.25">
      <c r="A241" s="16">
        <v>48611</v>
      </c>
      <c r="B241" s="69">
        <v>28</v>
      </c>
      <c r="C241" s="56">
        <f>122.58</f>
        <v>122.58</v>
      </c>
      <c r="D241" s="56">
        <f>297.941</f>
        <v>297.94099999999997</v>
      </c>
      <c r="E241" s="64">
        <f>89.177</f>
        <v>89.177000000000007</v>
      </c>
      <c r="F241" s="56">
        <f>240.302-40-60-100</f>
        <v>40.301999999999992</v>
      </c>
      <c r="G241" s="59">
        <v>40</v>
      </c>
      <c r="H241" s="56">
        <f>60+100</f>
        <v>160</v>
      </c>
      <c r="I241" s="56">
        <f t="shared" si="39"/>
        <v>0</v>
      </c>
      <c r="J241" s="59">
        <v>100</v>
      </c>
      <c r="K241" s="59">
        <v>300</v>
      </c>
      <c r="L241" s="56">
        <f t="shared" si="33"/>
        <v>1150</v>
      </c>
      <c r="M241" s="66">
        <v>600</v>
      </c>
      <c r="N241" s="56">
        <f>100</f>
        <v>100</v>
      </c>
      <c r="O241" s="59">
        <v>240</v>
      </c>
      <c r="P241" s="59">
        <v>40</v>
      </c>
      <c r="Q241" s="59">
        <f t="shared" si="34"/>
        <v>315</v>
      </c>
      <c r="R241" s="59">
        <f t="shared" si="35"/>
        <v>100</v>
      </c>
      <c r="S241" s="56">
        <f t="shared" si="36"/>
        <v>695</v>
      </c>
      <c r="T241" s="56">
        <f>50</f>
        <v>50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</row>
    <row r="242" spans="1:30" ht="15.75" x14ac:dyDescent="0.25">
      <c r="A242" s="16">
        <v>48639</v>
      </c>
      <c r="B242" s="69">
        <v>31</v>
      </c>
      <c r="C242" s="56">
        <f>122.58</f>
        <v>122.58</v>
      </c>
      <c r="D242" s="56">
        <f>297.941</f>
        <v>297.94099999999997</v>
      </c>
      <c r="E242" s="64">
        <f>89.177</f>
        <v>89.177000000000007</v>
      </c>
      <c r="F242" s="56">
        <f>240.302-40-60-100</f>
        <v>40.301999999999992</v>
      </c>
      <c r="G242" s="59">
        <v>40</v>
      </c>
      <c r="H242" s="56">
        <f>60+100</f>
        <v>160</v>
      </c>
      <c r="I242" s="56">
        <f t="shared" si="39"/>
        <v>0</v>
      </c>
      <c r="J242" s="59">
        <v>100</v>
      </c>
      <c r="K242" s="59">
        <v>300</v>
      </c>
      <c r="L242" s="56">
        <f t="shared" si="33"/>
        <v>1150</v>
      </c>
      <c r="M242" s="66">
        <v>600</v>
      </c>
      <c r="N242" s="56">
        <f>100</f>
        <v>100</v>
      </c>
      <c r="O242" s="59">
        <v>240</v>
      </c>
      <c r="P242" s="59">
        <v>40</v>
      </c>
      <c r="Q242" s="59">
        <f t="shared" si="34"/>
        <v>315</v>
      </c>
      <c r="R242" s="59">
        <f t="shared" si="35"/>
        <v>100</v>
      </c>
      <c r="S242" s="56">
        <f t="shared" si="36"/>
        <v>695</v>
      </c>
      <c r="T242" s="56">
        <f>50</f>
        <v>50</v>
      </c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</row>
    <row r="243" spans="1:30" ht="15.75" x14ac:dyDescent="0.25">
      <c r="A243" s="16">
        <v>48670</v>
      </c>
      <c r="B243" s="69">
        <v>30</v>
      </c>
      <c r="C243" s="56">
        <f>141.293</f>
        <v>141.29300000000001</v>
      </c>
      <c r="D243" s="56">
        <f>267.993</f>
        <v>267.99299999999999</v>
      </c>
      <c r="E243" s="64">
        <f>115.016</f>
        <v>115.01600000000001</v>
      </c>
      <c r="F243" s="56">
        <f>314.698-40-25-60-100</f>
        <v>89.697999999999979</v>
      </c>
      <c r="G243" s="59">
        <v>40</v>
      </c>
      <c r="H243" s="56">
        <f t="shared" ref="H243:H249" si="40">25+60+100</f>
        <v>185</v>
      </c>
      <c r="I243" s="56">
        <f t="shared" si="39"/>
        <v>0</v>
      </c>
      <c r="J243" s="59">
        <v>100</v>
      </c>
      <c r="K243" s="59">
        <v>300</v>
      </c>
      <c r="L243" s="56">
        <f t="shared" si="33"/>
        <v>1239</v>
      </c>
      <c r="M243" s="66">
        <v>600</v>
      </c>
      <c r="N243" s="56">
        <f>100</f>
        <v>100</v>
      </c>
      <c r="O243" s="59">
        <v>240</v>
      </c>
      <c r="P243" s="59">
        <v>160</v>
      </c>
      <c r="Q243" s="59">
        <f t="shared" si="34"/>
        <v>195</v>
      </c>
      <c r="R243" s="59">
        <f t="shared" si="35"/>
        <v>100</v>
      </c>
      <c r="S243" s="56">
        <f t="shared" si="36"/>
        <v>695</v>
      </c>
      <c r="T243" s="56">
        <f>50</f>
        <v>50</v>
      </c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</row>
    <row r="244" spans="1:30" ht="15.75" x14ac:dyDescent="0.25">
      <c r="A244" s="16">
        <v>48700</v>
      </c>
      <c r="B244" s="69">
        <v>31</v>
      </c>
      <c r="C244" s="56">
        <f>194.205</f>
        <v>194.20500000000001</v>
      </c>
      <c r="D244" s="56">
        <f>267.466</f>
        <v>267.46600000000001</v>
      </c>
      <c r="E244" s="64">
        <f>133.845</f>
        <v>133.845</v>
      </c>
      <c r="F244" s="56">
        <f>278.484-40-25-60-100</f>
        <v>53.48399999999998</v>
      </c>
      <c r="G244" s="59">
        <v>40</v>
      </c>
      <c r="H244" s="56">
        <f t="shared" si="40"/>
        <v>185</v>
      </c>
      <c r="I244" s="56">
        <f t="shared" si="39"/>
        <v>0</v>
      </c>
      <c r="J244" s="59">
        <v>100</v>
      </c>
      <c r="K244" s="59">
        <v>300</v>
      </c>
      <c r="L244" s="56">
        <f t="shared" si="33"/>
        <v>1274</v>
      </c>
      <c r="M244" s="66">
        <v>600</v>
      </c>
      <c r="N244" s="56">
        <f>75</f>
        <v>75</v>
      </c>
      <c r="O244" s="59">
        <v>240</v>
      </c>
      <c r="P244" s="59">
        <v>160</v>
      </c>
      <c r="Q244" s="59">
        <f t="shared" si="34"/>
        <v>195</v>
      </c>
      <c r="R244" s="59">
        <f t="shared" si="35"/>
        <v>100</v>
      </c>
      <c r="S244" s="56">
        <f t="shared" si="36"/>
        <v>695</v>
      </c>
      <c r="T244" s="56">
        <f>50</f>
        <v>50</v>
      </c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</row>
    <row r="245" spans="1:30" ht="15.75" x14ac:dyDescent="0.25">
      <c r="A245" s="16">
        <v>48731</v>
      </c>
      <c r="B245" s="69">
        <v>30</v>
      </c>
      <c r="C245" s="56">
        <f>194.205</f>
        <v>194.20500000000001</v>
      </c>
      <c r="D245" s="56">
        <f>267.466</f>
        <v>267.46600000000001</v>
      </c>
      <c r="E245" s="64">
        <f>133.845</f>
        <v>133.845</v>
      </c>
      <c r="F245" s="56">
        <f>278.484-40-25-60-100</f>
        <v>53.48399999999998</v>
      </c>
      <c r="G245" s="59">
        <v>40</v>
      </c>
      <c r="H245" s="56">
        <f t="shared" si="40"/>
        <v>185</v>
      </c>
      <c r="I245" s="56">
        <f t="shared" si="39"/>
        <v>0</v>
      </c>
      <c r="J245" s="59">
        <v>100</v>
      </c>
      <c r="K245" s="59">
        <v>300</v>
      </c>
      <c r="L245" s="56">
        <f t="shared" si="33"/>
        <v>1274</v>
      </c>
      <c r="M245" s="66">
        <v>600</v>
      </c>
      <c r="N245" s="56">
        <f>30</f>
        <v>30</v>
      </c>
      <c r="O245" s="59">
        <v>240</v>
      </c>
      <c r="P245" s="59">
        <v>160</v>
      </c>
      <c r="Q245" s="59">
        <f t="shared" si="34"/>
        <v>195</v>
      </c>
      <c r="R245" s="59">
        <f t="shared" si="35"/>
        <v>100</v>
      </c>
      <c r="S245" s="56">
        <f t="shared" si="36"/>
        <v>695</v>
      </c>
      <c r="T245" s="56">
        <f>50</f>
        <v>50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</row>
    <row r="246" spans="1:30" ht="15.75" x14ac:dyDescent="0.25">
      <c r="A246" s="16">
        <v>48761</v>
      </c>
      <c r="B246" s="69">
        <v>31</v>
      </c>
      <c r="C246" s="56">
        <f>194.205</f>
        <v>194.20500000000001</v>
      </c>
      <c r="D246" s="56">
        <f>267.466</f>
        <v>267.46600000000001</v>
      </c>
      <c r="E246" s="64">
        <f>133.845</f>
        <v>133.845</v>
      </c>
      <c r="F246" s="56">
        <f>278.484-40-25-60-100</f>
        <v>53.48399999999998</v>
      </c>
      <c r="G246" s="59">
        <v>40</v>
      </c>
      <c r="H246" s="56">
        <f t="shared" si="40"/>
        <v>185</v>
      </c>
      <c r="I246" s="56">
        <f t="shared" si="39"/>
        <v>0</v>
      </c>
      <c r="J246" s="59">
        <v>100</v>
      </c>
      <c r="K246" s="59">
        <v>300</v>
      </c>
      <c r="L246" s="56">
        <f t="shared" si="33"/>
        <v>1274</v>
      </c>
      <c r="M246" s="66">
        <v>600</v>
      </c>
      <c r="N246" s="56">
        <f>30</f>
        <v>30</v>
      </c>
      <c r="O246" s="59">
        <v>240</v>
      </c>
      <c r="P246" s="59">
        <v>160</v>
      </c>
      <c r="Q246" s="59">
        <f t="shared" si="34"/>
        <v>195</v>
      </c>
      <c r="R246" s="59">
        <f t="shared" si="35"/>
        <v>100</v>
      </c>
      <c r="S246" s="56">
        <f t="shared" si="36"/>
        <v>695</v>
      </c>
      <c r="T246" s="56">
        <f>0</f>
        <v>0</v>
      </c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</row>
    <row r="247" spans="1:30" ht="15.75" x14ac:dyDescent="0.25">
      <c r="A247" s="16">
        <v>48792</v>
      </c>
      <c r="B247" s="69">
        <v>31</v>
      </c>
      <c r="C247" s="56">
        <f>194.205</f>
        <v>194.20500000000001</v>
      </c>
      <c r="D247" s="56">
        <f>267.466</f>
        <v>267.46600000000001</v>
      </c>
      <c r="E247" s="64">
        <f>133.845</f>
        <v>133.845</v>
      </c>
      <c r="F247" s="56">
        <f>278.484-40-25-60-100</f>
        <v>53.48399999999998</v>
      </c>
      <c r="G247" s="59">
        <v>40</v>
      </c>
      <c r="H247" s="56">
        <f t="shared" si="40"/>
        <v>185</v>
      </c>
      <c r="I247" s="56">
        <f t="shared" si="39"/>
        <v>0</v>
      </c>
      <c r="J247" s="59">
        <v>100</v>
      </c>
      <c r="K247" s="59">
        <v>300</v>
      </c>
      <c r="L247" s="56">
        <f t="shared" si="33"/>
        <v>1274</v>
      </c>
      <c r="M247" s="66">
        <v>600</v>
      </c>
      <c r="N247" s="56">
        <f>30</f>
        <v>30</v>
      </c>
      <c r="O247" s="59">
        <v>240</v>
      </c>
      <c r="P247" s="59">
        <v>160</v>
      </c>
      <c r="Q247" s="59">
        <f t="shared" si="34"/>
        <v>195</v>
      </c>
      <c r="R247" s="59">
        <f t="shared" si="35"/>
        <v>100</v>
      </c>
      <c r="S247" s="56">
        <f t="shared" si="36"/>
        <v>695</v>
      </c>
      <c r="T247" s="56">
        <f>0</f>
        <v>0</v>
      </c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</row>
    <row r="248" spans="1:30" ht="15.75" x14ac:dyDescent="0.25">
      <c r="A248" s="16">
        <v>48823</v>
      </c>
      <c r="B248" s="69">
        <v>30</v>
      </c>
      <c r="C248" s="56">
        <f>194.205</f>
        <v>194.20500000000001</v>
      </c>
      <c r="D248" s="56">
        <f>267.466</f>
        <v>267.46600000000001</v>
      </c>
      <c r="E248" s="64">
        <f>133.845</f>
        <v>133.845</v>
      </c>
      <c r="F248" s="56">
        <f>278.484-40-25-60-100</f>
        <v>53.48399999999998</v>
      </c>
      <c r="G248" s="59">
        <v>40</v>
      </c>
      <c r="H248" s="56">
        <f t="shared" si="40"/>
        <v>185</v>
      </c>
      <c r="I248" s="56">
        <f t="shared" si="39"/>
        <v>0</v>
      </c>
      <c r="J248" s="59">
        <v>100</v>
      </c>
      <c r="K248" s="59">
        <v>300</v>
      </c>
      <c r="L248" s="56">
        <f t="shared" si="33"/>
        <v>1274</v>
      </c>
      <c r="M248" s="66">
        <v>600</v>
      </c>
      <c r="N248" s="56">
        <f>30</f>
        <v>30</v>
      </c>
      <c r="O248" s="59">
        <v>240</v>
      </c>
      <c r="P248" s="59">
        <v>160</v>
      </c>
      <c r="Q248" s="59">
        <f t="shared" si="34"/>
        <v>195</v>
      </c>
      <c r="R248" s="59">
        <f t="shared" si="35"/>
        <v>100</v>
      </c>
      <c r="S248" s="56">
        <f t="shared" si="36"/>
        <v>695</v>
      </c>
      <c r="T248" s="56">
        <f>0</f>
        <v>0</v>
      </c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</row>
    <row r="249" spans="1:30" ht="15.75" x14ac:dyDescent="0.25">
      <c r="A249" s="16">
        <v>48853</v>
      </c>
      <c r="B249" s="69">
        <v>31</v>
      </c>
      <c r="C249" s="56">
        <f>131.881</f>
        <v>131.881</v>
      </c>
      <c r="D249" s="56">
        <f>277.167</f>
        <v>277.16699999999997</v>
      </c>
      <c r="E249" s="64">
        <f>79.08</f>
        <v>79.08</v>
      </c>
      <c r="F249" s="56">
        <f>350.872-40-25-60-100</f>
        <v>125.87200000000001</v>
      </c>
      <c r="G249" s="59">
        <v>40</v>
      </c>
      <c r="H249" s="56">
        <f t="shared" si="40"/>
        <v>185</v>
      </c>
      <c r="I249" s="56">
        <f t="shared" si="39"/>
        <v>0</v>
      </c>
      <c r="J249" s="59">
        <v>100</v>
      </c>
      <c r="K249" s="59">
        <v>300</v>
      </c>
      <c r="L249" s="56">
        <f t="shared" si="33"/>
        <v>1239</v>
      </c>
      <c r="M249" s="66">
        <v>600</v>
      </c>
      <c r="N249" s="56">
        <f>75</f>
        <v>75</v>
      </c>
      <c r="O249" s="59">
        <v>240</v>
      </c>
      <c r="P249" s="59">
        <v>160</v>
      </c>
      <c r="Q249" s="59">
        <f t="shared" si="34"/>
        <v>195</v>
      </c>
      <c r="R249" s="59">
        <f t="shared" si="35"/>
        <v>100</v>
      </c>
      <c r="S249" s="56">
        <f t="shared" si="36"/>
        <v>695</v>
      </c>
      <c r="T249" s="56">
        <f>0</f>
        <v>0</v>
      </c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</row>
    <row r="250" spans="1:30" ht="15.75" x14ac:dyDescent="0.25">
      <c r="A250" s="16">
        <v>48884</v>
      </c>
      <c r="B250" s="69">
        <v>30</v>
      </c>
      <c r="C250" s="56">
        <f>122.58</f>
        <v>122.58</v>
      </c>
      <c r="D250" s="56">
        <f>297.941</f>
        <v>297.94099999999997</v>
      </c>
      <c r="E250" s="64">
        <f>89.177</f>
        <v>89.177000000000007</v>
      </c>
      <c r="F250" s="56">
        <f>240.302-40-60-100</f>
        <v>40.301999999999992</v>
      </c>
      <c r="G250" s="59">
        <v>40</v>
      </c>
      <c r="H250" s="56">
        <f>60+100</f>
        <v>160</v>
      </c>
      <c r="I250" s="56">
        <f t="shared" si="39"/>
        <v>0</v>
      </c>
      <c r="J250" s="59">
        <v>100</v>
      </c>
      <c r="K250" s="59">
        <v>300</v>
      </c>
      <c r="L250" s="56">
        <f t="shared" si="33"/>
        <v>1150</v>
      </c>
      <c r="M250" s="66">
        <v>600</v>
      </c>
      <c r="N250" s="56">
        <f>100</f>
        <v>100</v>
      </c>
      <c r="O250" s="59">
        <v>240</v>
      </c>
      <c r="P250" s="59">
        <v>40</v>
      </c>
      <c r="Q250" s="59">
        <f t="shared" si="34"/>
        <v>315</v>
      </c>
      <c r="R250" s="59">
        <f t="shared" si="35"/>
        <v>100</v>
      </c>
      <c r="S250" s="56">
        <f t="shared" si="36"/>
        <v>695</v>
      </c>
      <c r="T250" s="56">
        <f>50</f>
        <v>50</v>
      </c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</row>
    <row r="251" spans="1:30" ht="15.75" x14ac:dyDescent="0.25">
      <c r="A251" s="16">
        <v>48914</v>
      </c>
      <c r="B251" s="69">
        <v>31</v>
      </c>
      <c r="C251" s="56">
        <f>122.58</f>
        <v>122.58</v>
      </c>
      <c r="D251" s="56">
        <f>297.941</f>
        <v>297.94099999999997</v>
      </c>
      <c r="E251" s="64">
        <f>89.177</f>
        <v>89.177000000000007</v>
      </c>
      <c r="F251" s="56">
        <f>240.302-40-60-100</f>
        <v>40.301999999999992</v>
      </c>
      <c r="G251" s="59">
        <v>40</v>
      </c>
      <c r="H251" s="56">
        <f>60+100</f>
        <v>160</v>
      </c>
      <c r="I251" s="56">
        <f t="shared" si="39"/>
        <v>0</v>
      </c>
      <c r="J251" s="59">
        <v>100</v>
      </c>
      <c r="K251" s="59">
        <v>300</v>
      </c>
      <c r="L251" s="56">
        <f t="shared" si="33"/>
        <v>1150</v>
      </c>
      <c r="M251" s="66">
        <v>600</v>
      </c>
      <c r="N251" s="56">
        <f>100</f>
        <v>100</v>
      </c>
      <c r="O251" s="59">
        <v>240</v>
      </c>
      <c r="P251" s="59">
        <v>40</v>
      </c>
      <c r="Q251" s="59">
        <f t="shared" si="34"/>
        <v>315</v>
      </c>
      <c r="R251" s="59">
        <f t="shared" si="35"/>
        <v>100</v>
      </c>
      <c r="S251" s="56">
        <f t="shared" si="36"/>
        <v>695</v>
      </c>
      <c r="T251" s="56">
        <f>50</f>
        <v>50</v>
      </c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</row>
    <row r="252" spans="1:30" ht="15.75" x14ac:dyDescent="0.25">
      <c r="A252" s="16">
        <v>48945</v>
      </c>
      <c r="B252" s="69">
        <v>31</v>
      </c>
      <c r="C252" s="56">
        <f>122.58</f>
        <v>122.58</v>
      </c>
      <c r="D252" s="56">
        <f>297.941</f>
        <v>297.94099999999997</v>
      </c>
      <c r="E252" s="64">
        <f>89.177</f>
        <v>89.177000000000007</v>
      </c>
      <c r="F252" s="56">
        <f>240.302-40-60-100</f>
        <v>40.301999999999992</v>
      </c>
      <c r="G252" s="59">
        <v>40</v>
      </c>
      <c r="H252" s="56">
        <f>60+100</f>
        <v>160</v>
      </c>
      <c r="I252" s="56">
        <f t="shared" si="39"/>
        <v>0</v>
      </c>
      <c r="J252" s="59">
        <v>100</v>
      </c>
      <c r="K252" s="59">
        <v>300</v>
      </c>
      <c r="L252" s="56">
        <f t="shared" si="33"/>
        <v>1150</v>
      </c>
      <c r="M252" s="66">
        <v>600</v>
      </c>
      <c r="N252" s="56">
        <f>100</f>
        <v>100</v>
      </c>
      <c r="O252" s="59">
        <v>240</v>
      </c>
      <c r="P252" s="59">
        <v>40</v>
      </c>
      <c r="Q252" s="59">
        <f t="shared" si="34"/>
        <v>315</v>
      </c>
      <c r="R252" s="59">
        <f t="shared" si="35"/>
        <v>100</v>
      </c>
      <c r="S252" s="56">
        <f t="shared" si="36"/>
        <v>695</v>
      </c>
      <c r="T252" s="56">
        <f>50</f>
        <v>50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</row>
    <row r="253" spans="1:30" ht="15.75" x14ac:dyDescent="0.25">
      <c r="A253" s="16">
        <v>48976</v>
      </c>
      <c r="B253" s="69">
        <v>28</v>
      </c>
      <c r="C253" s="56">
        <f>122.58</f>
        <v>122.58</v>
      </c>
      <c r="D253" s="56">
        <f>297.941</f>
        <v>297.94099999999997</v>
      </c>
      <c r="E253" s="64">
        <f>89.177</f>
        <v>89.177000000000007</v>
      </c>
      <c r="F253" s="56">
        <f>240.302-40-60-100</f>
        <v>40.301999999999992</v>
      </c>
      <c r="G253" s="59">
        <v>40</v>
      </c>
      <c r="H253" s="56">
        <f>60+100</f>
        <v>160</v>
      </c>
      <c r="I253" s="56">
        <f t="shared" si="39"/>
        <v>0</v>
      </c>
      <c r="J253" s="59">
        <v>100</v>
      </c>
      <c r="K253" s="59">
        <v>300</v>
      </c>
      <c r="L253" s="56">
        <f t="shared" si="33"/>
        <v>1150</v>
      </c>
      <c r="M253" s="66">
        <v>600</v>
      </c>
      <c r="N253" s="56">
        <f>100</f>
        <v>100</v>
      </c>
      <c r="O253" s="59">
        <v>240</v>
      </c>
      <c r="P253" s="59">
        <v>40</v>
      </c>
      <c r="Q253" s="59">
        <f t="shared" si="34"/>
        <v>315</v>
      </c>
      <c r="R253" s="59">
        <f t="shared" si="35"/>
        <v>100</v>
      </c>
      <c r="S253" s="56">
        <f t="shared" si="36"/>
        <v>695</v>
      </c>
      <c r="T253" s="56">
        <f>50</f>
        <v>50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</row>
    <row r="254" spans="1:30" ht="15.75" x14ac:dyDescent="0.25">
      <c r="A254" s="16">
        <v>49004</v>
      </c>
      <c r="B254" s="69">
        <v>31</v>
      </c>
      <c r="C254" s="56">
        <f>122.58</f>
        <v>122.58</v>
      </c>
      <c r="D254" s="56">
        <f>297.941</f>
        <v>297.94099999999997</v>
      </c>
      <c r="E254" s="64">
        <f>89.177</f>
        <v>89.177000000000007</v>
      </c>
      <c r="F254" s="56">
        <f>240.302-40-60-100</f>
        <v>40.301999999999992</v>
      </c>
      <c r="G254" s="59">
        <v>40</v>
      </c>
      <c r="H254" s="56">
        <f>60+100</f>
        <v>160</v>
      </c>
      <c r="I254" s="56">
        <f t="shared" si="39"/>
        <v>0</v>
      </c>
      <c r="J254" s="59">
        <v>100</v>
      </c>
      <c r="K254" s="59">
        <v>300</v>
      </c>
      <c r="L254" s="56">
        <f t="shared" si="33"/>
        <v>1150</v>
      </c>
      <c r="M254" s="66">
        <v>600</v>
      </c>
      <c r="N254" s="56">
        <f>100</f>
        <v>100</v>
      </c>
      <c r="O254" s="59">
        <v>240</v>
      </c>
      <c r="P254" s="59">
        <v>40</v>
      </c>
      <c r="Q254" s="59">
        <f t="shared" si="34"/>
        <v>315</v>
      </c>
      <c r="R254" s="59">
        <f t="shared" si="35"/>
        <v>100</v>
      </c>
      <c r="S254" s="56">
        <f t="shared" si="36"/>
        <v>695</v>
      </c>
      <c r="T254" s="56">
        <f>50</f>
        <v>50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</row>
    <row r="255" spans="1:30" ht="15.75" x14ac:dyDescent="0.25">
      <c r="A255" s="16">
        <v>49035</v>
      </c>
      <c r="B255" s="69">
        <v>30</v>
      </c>
      <c r="C255" s="56">
        <f>141.293</f>
        <v>141.29300000000001</v>
      </c>
      <c r="D255" s="56">
        <f>267.993</f>
        <v>267.99299999999999</v>
      </c>
      <c r="E255" s="64">
        <f>115.016</f>
        <v>115.01600000000001</v>
      </c>
      <c r="F255" s="56">
        <f>314.698-40-25-60-100</f>
        <v>89.697999999999979</v>
      </c>
      <c r="G255" s="59">
        <v>40</v>
      </c>
      <c r="H255" s="56">
        <f t="shared" ref="H255:H261" si="41">25+60+100</f>
        <v>185</v>
      </c>
      <c r="I255" s="56">
        <f t="shared" si="39"/>
        <v>0</v>
      </c>
      <c r="J255" s="59">
        <v>100</v>
      </c>
      <c r="K255" s="59">
        <v>300</v>
      </c>
      <c r="L255" s="56">
        <f t="shared" si="33"/>
        <v>1239</v>
      </c>
      <c r="M255" s="66">
        <v>600</v>
      </c>
      <c r="N255" s="56">
        <f>100</f>
        <v>100</v>
      </c>
      <c r="O255" s="59">
        <v>240</v>
      </c>
      <c r="P255" s="59">
        <v>160</v>
      </c>
      <c r="Q255" s="59">
        <f t="shared" si="34"/>
        <v>195</v>
      </c>
      <c r="R255" s="59">
        <f t="shared" si="35"/>
        <v>100</v>
      </c>
      <c r="S255" s="56">
        <f t="shared" si="36"/>
        <v>695</v>
      </c>
      <c r="T255" s="56">
        <f>50</f>
        <v>50</v>
      </c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</row>
    <row r="256" spans="1:30" ht="15.75" x14ac:dyDescent="0.25">
      <c r="A256" s="16">
        <v>49065</v>
      </c>
      <c r="B256" s="69">
        <v>31</v>
      </c>
      <c r="C256" s="56">
        <f>194.205</f>
        <v>194.20500000000001</v>
      </c>
      <c r="D256" s="56">
        <f>267.466</f>
        <v>267.46600000000001</v>
      </c>
      <c r="E256" s="64">
        <f>133.845</f>
        <v>133.845</v>
      </c>
      <c r="F256" s="56">
        <f>278.484-40-25-60-100</f>
        <v>53.48399999999998</v>
      </c>
      <c r="G256" s="59">
        <v>40</v>
      </c>
      <c r="H256" s="56">
        <f t="shared" si="41"/>
        <v>185</v>
      </c>
      <c r="I256" s="56">
        <f t="shared" si="39"/>
        <v>0</v>
      </c>
      <c r="J256" s="59">
        <v>100</v>
      </c>
      <c r="K256" s="59">
        <v>300</v>
      </c>
      <c r="L256" s="56">
        <f t="shared" si="33"/>
        <v>1274</v>
      </c>
      <c r="M256" s="66">
        <v>600</v>
      </c>
      <c r="N256" s="56">
        <f>75</f>
        <v>75</v>
      </c>
      <c r="O256" s="59">
        <v>240</v>
      </c>
      <c r="P256" s="59">
        <v>160</v>
      </c>
      <c r="Q256" s="59">
        <f t="shared" si="34"/>
        <v>195</v>
      </c>
      <c r="R256" s="59">
        <f t="shared" si="35"/>
        <v>100</v>
      </c>
      <c r="S256" s="56">
        <f t="shared" si="36"/>
        <v>695</v>
      </c>
      <c r="T256" s="56">
        <f>50</f>
        <v>50</v>
      </c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</row>
    <row r="257" spans="1:30" ht="15.75" x14ac:dyDescent="0.25">
      <c r="A257" s="16">
        <v>49096</v>
      </c>
      <c r="B257" s="69">
        <v>30</v>
      </c>
      <c r="C257" s="56">
        <f>194.205</f>
        <v>194.20500000000001</v>
      </c>
      <c r="D257" s="56">
        <f>267.466</f>
        <v>267.46600000000001</v>
      </c>
      <c r="E257" s="64">
        <f>133.845</f>
        <v>133.845</v>
      </c>
      <c r="F257" s="56">
        <f>278.484-40-25-60-100</f>
        <v>53.48399999999998</v>
      </c>
      <c r="G257" s="59">
        <v>40</v>
      </c>
      <c r="H257" s="56">
        <f t="shared" si="41"/>
        <v>185</v>
      </c>
      <c r="I257" s="56">
        <f t="shared" si="39"/>
        <v>0</v>
      </c>
      <c r="J257" s="59">
        <v>100</v>
      </c>
      <c r="K257" s="59">
        <v>300</v>
      </c>
      <c r="L257" s="56">
        <f t="shared" si="33"/>
        <v>1274</v>
      </c>
      <c r="M257" s="66">
        <v>600</v>
      </c>
      <c r="N257" s="56">
        <f>30</f>
        <v>30</v>
      </c>
      <c r="O257" s="59">
        <v>240</v>
      </c>
      <c r="P257" s="59">
        <v>160</v>
      </c>
      <c r="Q257" s="59">
        <f t="shared" si="34"/>
        <v>195</v>
      </c>
      <c r="R257" s="59">
        <f t="shared" si="35"/>
        <v>100</v>
      </c>
      <c r="S257" s="56">
        <f t="shared" si="36"/>
        <v>695</v>
      </c>
      <c r="T257" s="56">
        <f>50</f>
        <v>50</v>
      </c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</row>
    <row r="258" spans="1:30" ht="15.75" x14ac:dyDescent="0.25">
      <c r="A258" s="16">
        <v>49126</v>
      </c>
      <c r="B258" s="69">
        <v>31</v>
      </c>
      <c r="C258" s="56">
        <f>194.205</f>
        <v>194.20500000000001</v>
      </c>
      <c r="D258" s="56">
        <f>267.466</f>
        <v>267.46600000000001</v>
      </c>
      <c r="E258" s="64">
        <f>133.845</f>
        <v>133.845</v>
      </c>
      <c r="F258" s="56">
        <f>278.484-40-25-60-100</f>
        <v>53.48399999999998</v>
      </c>
      <c r="G258" s="59">
        <v>40</v>
      </c>
      <c r="H258" s="56">
        <f t="shared" si="41"/>
        <v>185</v>
      </c>
      <c r="I258" s="56">
        <f t="shared" si="39"/>
        <v>0</v>
      </c>
      <c r="J258" s="59">
        <v>100</v>
      </c>
      <c r="K258" s="59">
        <v>300</v>
      </c>
      <c r="L258" s="56">
        <f t="shared" si="33"/>
        <v>1274</v>
      </c>
      <c r="M258" s="66">
        <v>600</v>
      </c>
      <c r="N258" s="56">
        <f>30</f>
        <v>30</v>
      </c>
      <c r="O258" s="59">
        <v>240</v>
      </c>
      <c r="P258" s="59">
        <v>160</v>
      </c>
      <c r="Q258" s="59">
        <f t="shared" si="34"/>
        <v>195</v>
      </c>
      <c r="R258" s="59">
        <f t="shared" si="35"/>
        <v>100</v>
      </c>
      <c r="S258" s="56">
        <f t="shared" si="36"/>
        <v>695</v>
      </c>
      <c r="T258" s="56">
        <f>0</f>
        <v>0</v>
      </c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</row>
    <row r="259" spans="1:30" ht="15.75" x14ac:dyDescent="0.25">
      <c r="A259" s="16">
        <v>49157</v>
      </c>
      <c r="B259" s="69">
        <v>31</v>
      </c>
      <c r="C259" s="56">
        <f>194.205</f>
        <v>194.20500000000001</v>
      </c>
      <c r="D259" s="56">
        <f>267.466</f>
        <v>267.46600000000001</v>
      </c>
      <c r="E259" s="64">
        <f>133.845</f>
        <v>133.845</v>
      </c>
      <c r="F259" s="56">
        <f>278.484-40-25-60-100</f>
        <v>53.48399999999998</v>
      </c>
      <c r="G259" s="59">
        <v>40</v>
      </c>
      <c r="H259" s="56">
        <f t="shared" si="41"/>
        <v>185</v>
      </c>
      <c r="I259" s="56">
        <f t="shared" si="39"/>
        <v>0</v>
      </c>
      <c r="J259" s="59">
        <v>100</v>
      </c>
      <c r="K259" s="59">
        <v>300</v>
      </c>
      <c r="L259" s="56">
        <f t="shared" si="33"/>
        <v>1274</v>
      </c>
      <c r="M259" s="66">
        <v>600</v>
      </c>
      <c r="N259" s="56">
        <f>30</f>
        <v>30</v>
      </c>
      <c r="O259" s="59">
        <v>240</v>
      </c>
      <c r="P259" s="59">
        <v>160</v>
      </c>
      <c r="Q259" s="59">
        <f t="shared" si="34"/>
        <v>195</v>
      </c>
      <c r="R259" s="59">
        <f t="shared" si="35"/>
        <v>100</v>
      </c>
      <c r="S259" s="56">
        <f t="shared" si="36"/>
        <v>695</v>
      </c>
      <c r="T259" s="56">
        <f>0</f>
        <v>0</v>
      </c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</row>
    <row r="260" spans="1:30" ht="15.75" x14ac:dyDescent="0.25">
      <c r="A260" s="16">
        <v>49188</v>
      </c>
      <c r="B260" s="69">
        <v>30</v>
      </c>
      <c r="C260" s="56">
        <f>194.205</f>
        <v>194.20500000000001</v>
      </c>
      <c r="D260" s="56">
        <f>267.466</f>
        <v>267.46600000000001</v>
      </c>
      <c r="E260" s="64">
        <f>133.845</f>
        <v>133.845</v>
      </c>
      <c r="F260" s="56">
        <f>278.484-40-25-60-100</f>
        <v>53.48399999999998</v>
      </c>
      <c r="G260" s="59">
        <v>40</v>
      </c>
      <c r="H260" s="56">
        <f t="shared" si="41"/>
        <v>185</v>
      </c>
      <c r="I260" s="56">
        <f t="shared" si="39"/>
        <v>0</v>
      </c>
      <c r="J260" s="59">
        <v>100</v>
      </c>
      <c r="K260" s="59">
        <v>300</v>
      </c>
      <c r="L260" s="56">
        <f t="shared" si="33"/>
        <v>1274</v>
      </c>
      <c r="M260" s="66">
        <v>600</v>
      </c>
      <c r="N260" s="56">
        <f>30</f>
        <v>30</v>
      </c>
      <c r="O260" s="59">
        <v>240</v>
      </c>
      <c r="P260" s="59">
        <v>160</v>
      </c>
      <c r="Q260" s="59">
        <f t="shared" si="34"/>
        <v>195</v>
      </c>
      <c r="R260" s="59">
        <f t="shared" si="35"/>
        <v>100</v>
      </c>
      <c r="S260" s="56">
        <f t="shared" si="36"/>
        <v>695</v>
      </c>
      <c r="T260" s="56">
        <f>0</f>
        <v>0</v>
      </c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</row>
    <row r="261" spans="1:30" ht="15.75" x14ac:dyDescent="0.25">
      <c r="A261" s="16">
        <v>49218</v>
      </c>
      <c r="B261" s="69">
        <v>31</v>
      </c>
      <c r="C261" s="56">
        <f>131.881</f>
        <v>131.881</v>
      </c>
      <c r="D261" s="56">
        <f>277.167</f>
        <v>277.16699999999997</v>
      </c>
      <c r="E261" s="64">
        <f>79.08</f>
        <v>79.08</v>
      </c>
      <c r="F261" s="56">
        <f>350.872-40-25-60-100</f>
        <v>125.87200000000001</v>
      </c>
      <c r="G261" s="59">
        <v>40</v>
      </c>
      <c r="H261" s="56">
        <f t="shared" si="41"/>
        <v>185</v>
      </c>
      <c r="I261" s="56">
        <f t="shared" si="39"/>
        <v>0</v>
      </c>
      <c r="J261" s="59">
        <v>100</v>
      </c>
      <c r="K261" s="59">
        <v>300</v>
      </c>
      <c r="L261" s="56">
        <f t="shared" si="33"/>
        <v>1239</v>
      </c>
      <c r="M261" s="66">
        <v>600</v>
      </c>
      <c r="N261" s="56">
        <f>75</f>
        <v>75</v>
      </c>
      <c r="O261" s="59">
        <v>240</v>
      </c>
      <c r="P261" s="59">
        <v>160</v>
      </c>
      <c r="Q261" s="59">
        <f t="shared" si="34"/>
        <v>195</v>
      </c>
      <c r="R261" s="59">
        <f t="shared" si="35"/>
        <v>100</v>
      </c>
      <c r="S261" s="56">
        <f t="shared" si="36"/>
        <v>695</v>
      </c>
      <c r="T261" s="56">
        <f>0</f>
        <v>0</v>
      </c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</row>
    <row r="262" spans="1:30" ht="15.75" x14ac:dyDescent="0.25">
      <c r="A262" s="16">
        <v>49249</v>
      </c>
      <c r="B262" s="69">
        <v>30</v>
      </c>
      <c r="C262" s="56">
        <f>122.58</f>
        <v>122.58</v>
      </c>
      <c r="D262" s="56">
        <f>297.941</f>
        <v>297.94099999999997</v>
      </c>
      <c r="E262" s="64">
        <f>89.177</f>
        <v>89.177000000000007</v>
      </c>
      <c r="F262" s="56">
        <f>240.302-40-60-100</f>
        <v>40.301999999999992</v>
      </c>
      <c r="G262" s="59">
        <v>40</v>
      </c>
      <c r="H262" s="56">
        <f>60+100</f>
        <v>160</v>
      </c>
      <c r="I262" s="56">
        <f t="shared" si="39"/>
        <v>0</v>
      </c>
      <c r="J262" s="59">
        <v>100</v>
      </c>
      <c r="K262" s="59">
        <v>300</v>
      </c>
      <c r="L262" s="56">
        <f t="shared" si="33"/>
        <v>1150</v>
      </c>
      <c r="M262" s="66">
        <v>600</v>
      </c>
      <c r="N262" s="56">
        <f>100</f>
        <v>100</v>
      </c>
      <c r="O262" s="59">
        <v>240</v>
      </c>
      <c r="P262" s="59">
        <v>40</v>
      </c>
      <c r="Q262" s="59">
        <f t="shared" si="34"/>
        <v>315</v>
      </c>
      <c r="R262" s="59">
        <f t="shared" si="35"/>
        <v>100</v>
      </c>
      <c r="S262" s="56">
        <f t="shared" si="36"/>
        <v>695</v>
      </c>
      <c r="T262" s="56">
        <f>50</f>
        <v>50</v>
      </c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</row>
    <row r="263" spans="1:30" ht="15.75" x14ac:dyDescent="0.25">
      <c r="A263" s="16">
        <v>49279</v>
      </c>
      <c r="B263" s="69">
        <v>31</v>
      </c>
      <c r="C263" s="56">
        <f>122.58</f>
        <v>122.58</v>
      </c>
      <c r="D263" s="56">
        <f>297.941</f>
        <v>297.94099999999997</v>
      </c>
      <c r="E263" s="64">
        <f>89.177</f>
        <v>89.177000000000007</v>
      </c>
      <c r="F263" s="56">
        <f>240.302-40-60-100</f>
        <v>40.301999999999992</v>
      </c>
      <c r="G263" s="59">
        <v>40</v>
      </c>
      <c r="H263" s="56">
        <f>60+100</f>
        <v>160</v>
      </c>
      <c r="I263" s="56">
        <f t="shared" si="39"/>
        <v>0</v>
      </c>
      <c r="J263" s="59">
        <v>100</v>
      </c>
      <c r="K263" s="59">
        <v>300</v>
      </c>
      <c r="L263" s="56">
        <f t="shared" si="33"/>
        <v>1150</v>
      </c>
      <c r="M263" s="66">
        <v>600</v>
      </c>
      <c r="N263" s="56">
        <f>100</f>
        <v>100</v>
      </c>
      <c r="O263" s="59">
        <v>240</v>
      </c>
      <c r="P263" s="59">
        <v>40</v>
      </c>
      <c r="Q263" s="59">
        <f t="shared" si="34"/>
        <v>315</v>
      </c>
      <c r="R263" s="59">
        <f t="shared" si="35"/>
        <v>100</v>
      </c>
      <c r="S263" s="56">
        <f t="shared" si="36"/>
        <v>695</v>
      </c>
      <c r="T263" s="56">
        <f>50</f>
        <v>50</v>
      </c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</row>
    <row r="264" spans="1:30" ht="15.75" x14ac:dyDescent="0.25">
      <c r="A264" s="16">
        <v>49310</v>
      </c>
      <c r="B264" s="69">
        <v>31</v>
      </c>
      <c r="C264" s="56">
        <f>122.58</f>
        <v>122.58</v>
      </c>
      <c r="D264" s="56">
        <f>297.941</f>
        <v>297.94099999999997</v>
      </c>
      <c r="E264" s="64">
        <f>89.177</f>
        <v>89.177000000000007</v>
      </c>
      <c r="F264" s="56">
        <f>240.302-40-60-100</f>
        <v>40.301999999999992</v>
      </c>
      <c r="G264" s="59">
        <v>40</v>
      </c>
      <c r="H264" s="56">
        <f>60+100</f>
        <v>160</v>
      </c>
      <c r="I264" s="56">
        <f t="shared" si="39"/>
        <v>0</v>
      </c>
      <c r="J264" s="59">
        <v>100</v>
      </c>
      <c r="K264" s="59">
        <v>300</v>
      </c>
      <c r="L264" s="56">
        <f t="shared" si="33"/>
        <v>1150</v>
      </c>
      <c r="M264" s="66">
        <v>600</v>
      </c>
      <c r="N264" s="56">
        <f>100</f>
        <v>100</v>
      </c>
      <c r="O264" s="59">
        <v>240</v>
      </c>
      <c r="P264" s="59">
        <v>40</v>
      </c>
      <c r="Q264" s="59">
        <f t="shared" si="34"/>
        <v>315</v>
      </c>
      <c r="R264" s="59">
        <f t="shared" si="35"/>
        <v>100</v>
      </c>
      <c r="S264" s="56">
        <f t="shared" si="36"/>
        <v>695</v>
      </c>
      <c r="T264" s="56">
        <f>50</f>
        <v>50</v>
      </c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</row>
    <row r="265" spans="1:30" ht="15.75" x14ac:dyDescent="0.25">
      <c r="A265" s="16">
        <v>49341</v>
      </c>
      <c r="B265" s="69">
        <v>28</v>
      </c>
      <c r="C265" s="56">
        <f>122.58</f>
        <v>122.58</v>
      </c>
      <c r="D265" s="56">
        <f>297.941</f>
        <v>297.94099999999997</v>
      </c>
      <c r="E265" s="64">
        <f>89.177</f>
        <v>89.177000000000007</v>
      </c>
      <c r="F265" s="56">
        <f>240.302-40-60-100</f>
        <v>40.301999999999992</v>
      </c>
      <c r="G265" s="59">
        <v>40</v>
      </c>
      <c r="H265" s="56">
        <f>60+100</f>
        <v>160</v>
      </c>
      <c r="I265" s="56">
        <f t="shared" si="39"/>
        <v>0</v>
      </c>
      <c r="J265" s="59">
        <v>100</v>
      </c>
      <c r="K265" s="59">
        <v>300</v>
      </c>
      <c r="L265" s="56">
        <f t="shared" si="33"/>
        <v>1150</v>
      </c>
      <c r="M265" s="66">
        <v>600</v>
      </c>
      <c r="N265" s="56">
        <f>100</f>
        <v>100</v>
      </c>
      <c r="O265" s="59">
        <v>240</v>
      </c>
      <c r="P265" s="59">
        <v>40</v>
      </c>
      <c r="Q265" s="59">
        <f t="shared" si="34"/>
        <v>315</v>
      </c>
      <c r="R265" s="59">
        <f t="shared" si="35"/>
        <v>100</v>
      </c>
      <c r="S265" s="56">
        <f t="shared" si="36"/>
        <v>695</v>
      </c>
      <c r="T265" s="56">
        <f>50</f>
        <v>50</v>
      </c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</row>
    <row r="266" spans="1:30" ht="15.75" x14ac:dyDescent="0.25">
      <c r="A266" s="16">
        <v>49369</v>
      </c>
      <c r="B266" s="69">
        <v>31</v>
      </c>
      <c r="C266" s="56">
        <f>122.58</f>
        <v>122.58</v>
      </c>
      <c r="D266" s="56">
        <f>297.941</f>
        <v>297.94099999999997</v>
      </c>
      <c r="E266" s="64">
        <f>89.177</f>
        <v>89.177000000000007</v>
      </c>
      <c r="F266" s="56">
        <f>240.302-40-60-100</f>
        <v>40.301999999999992</v>
      </c>
      <c r="G266" s="59">
        <v>40</v>
      </c>
      <c r="H266" s="56">
        <f>60+100</f>
        <v>160</v>
      </c>
      <c r="I266" s="56">
        <f t="shared" si="39"/>
        <v>0</v>
      </c>
      <c r="J266" s="59">
        <v>100</v>
      </c>
      <c r="K266" s="59">
        <v>300</v>
      </c>
      <c r="L266" s="56">
        <f t="shared" si="33"/>
        <v>1150</v>
      </c>
      <c r="M266" s="66">
        <v>600</v>
      </c>
      <c r="N266" s="56">
        <f>100</f>
        <v>100</v>
      </c>
      <c r="O266" s="59">
        <v>240</v>
      </c>
      <c r="P266" s="59">
        <v>40</v>
      </c>
      <c r="Q266" s="59">
        <f t="shared" si="34"/>
        <v>315</v>
      </c>
      <c r="R266" s="59">
        <f t="shared" si="35"/>
        <v>100</v>
      </c>
      <c r="S266" s="56">
        <f t="shared" si="36"/>
        <v>695</v>
      </c>
      <c r="T266" s="56">
        <f>50</f>
        <v>50</v>
      </c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</row>
    <row r="267" spans="1:30" ht="15.75" x14ac:dyDescent="0.25">
      <c r="A267" s="16">
        <v>49400</v>
      </c>
      <c r="B267" s="69">
        <v>30</v>
      </c>
      <c r="C267" s="56">
        <f>141.293</f>
        <v>141.29300000000001</v>
      </c>
      <c r="D267" s="56">
        <f>267.993</f>
        <v>267.99299999999999</v>
      </c>
      <c r="E267" s="64">
        <f>115.016</f>
        <v>115.01600000000001</v>
      </c>
      <c r="F267" s="56">
        <f>314.698-40-25-60-100</f>
        <v>89.697999999999979</v>
      </c>
      <c r="G267" s="59">
        <v>40</v>
      </c>
      <c r="H267" s="56">
        <f t="shared" ref="H267:H273" si="42">25+60+100</f>
        <v>185</v>
      </c>
      <c r="I267" s="56">
        <f t="shared" si="39"/>
        <v>0</v>
      </c>
      <c r="J267" s="59">
        <v>100</v>
      </c>
      <c r="K267" s="59">
        <v>300</v>
      </c>
      <c r="L267" s="56">
        <f t="shared" si="33"/>
        <v>1239</v>
      </c>
      <c r="M267" s="66">
        <v>600</v>
      </c>
      <c r="N267" s="56">
        <f>100</f>
        <v>100</v>
      </c>
      <c r="O267" s="59">
        <v>240</v>
      </c>
      <c r="P267" s="59">
        <v>160</v>
      </c>
      <c r="Q267" s="59">
        <f t="shared" si="34"/>
        <v>195</v>
      </c>
      <c r="R267" s="59">
        <f t="shared" si="35"/>
        <v>100</v>
      </c>
      <c r="S267" s="56">
        <f t="shared" si="36"/>
        <v>695</v>
      </c>
      <c r="T267" s="56">
        <f>50</f>
        <v>50</v>
      </c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</row>
    <row r="268" spans="1:30" ht="15.75" x14ac:dyDescent="0.25">
      <c r="A268" s="16">
        <v>49430</v>
      </c>
      <c r="B268" s="69">
        <v>31</v>
      </c>
      <c r="C268" s="56">
        <f>194.205</f>
        <v>194.20500000000001</v>
      </c>
      <c r="D268" s="56">
        <f>267.466</f>
        <v>267.46600000000001</v>
      </c>
      <c r="E268" s="64">
        <f>133.845</f>
        <v>133.845</v>
      </c>
      <c r="F268" s="56">
        <f>278.484-40-25-60-100</f>
        <v>53.48399999999998</v>
      </c>
      <c r="G268" s="59">
        <v>40</v>
      </c>
      <c r="H268" s="56">
        <f t="shared" si="42"/>
        <v>185</v>
      </c>
      <c r="I268" s="56">
        <f t="shared" si="39"/>
        <v>0</v>
      </c>
      <c r="J268" s="59">
        <v>100</v>
      </c>
      <c r="K268" s="59">
        <v>300</v>
      </c>
      <c r="L268" s="56">
        <f t="shared" si="33"/>
        <v>1274</v>
      </c>
      <c r="M268" s="66">
        <v>600</v>
      </c>
      <c r="N268" s="56">
        <f>75</f>
        <v>75</v>
      </c>
      <c r="O268" s="59">
        <v>240</v>
      </c>
      <c r="P268" s="59">
        <v>160</v>
      </c>
      <c r="Q268" s="59">
        <f t="shared" si="34"/>
        <v>195</v>
      </c>
      <c r="R268" s="59">
        <f t="shared" si="35"/>
        <v>100</v>
      </c>
      <c r="S268" s="56">
        <f t="shared" si="36"/>
        <v>695</v>
      </c>
      <c r="T268" s="56">
        <f>50</f>
        <v>50</v>
      </c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</row>
    <row r="269" spans="1:30" ht="15.75" x14ac:dyDescent="0.25">
      <c r="A269" s="15">
        <v>49461</v>
      </c>
      <c r="B269" s="69">
        <v>30</v>
      </c>
      <c r="C269" s="56">
        <f>194.205</f>
        <v>194.20500000000001</v>
      </c>
      <c r="D269" s="56">
        <f>267.466</f>
        <v>267.46600000000001</v>
      </c>
      <c r="E269" s="64">
        <f>133.845</f>
        <v>133.845</v>
      </c>
      <c r="F269" s="56">
        <f>278.484-40-25-60-100</f>
        <v>53.48399999999998</v>
      </c>
      <c r="G269" s="59">
        <v>40</v>
      </c>
      <c r="H269" s="56">
        <f t="shared" si="42"/>
        <v>185</v>
      </c>
      <c r="I269" s="56">
        <f t="shared" si="39"/>
        <v>0</v>
      </c>
      <c r="J269" s="59">
        <v>100</v>
      </c>
      <c r="K269" s="59">
        <v>300</v>
      </c>
      <c r="L269" s="56">
        <f t="shared" si="33"/>
        <v>1274</v>
      </c>
      <c r="M269" s="66">
        <v>600</v>
      </c>
      <c r="N269" s="56">
        <f>30</f>
        <v>30</v>
      </c>
      <c r="O269" s="59">
        <v>240</v>
      </c>
      <c r="P269" s="59">
        <v>160</v>
      </c>
      <c r="Q269" s="59">
        <f t="shared" si="34"/>
        <v>195</v>
      </c>
      <c r="R269" s="59">
        <f t="shared" si="35"/>
        <v>100</v>
      </c>
      <c r="S269" s="56">
        <f t="shared" si="36"/>
        <v>695</v>
      </c>
      <c r="T269" s="56">
        <f>50</f>
        <v>50</v>
      </c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</row>
    <row r="270" spans="1:30" ht="15.75" x14ac:dyDescent="0.25">
      <c r="A270" s="15">
        <v>49491</v>
      </c>
      <c r="B270" s="69">
        <v>31</v>
      </c>
      <c r="C270" s="56">
        <f>194.205</f>
        <v>194.20500000000001</v>
      </c>
      <c r="D270" s="56">
        <f>267.466</f>
        <v>267.46600000000001</v>
      </c>
      <c r="E270" s="64">
        <f>133.845</f>
        <v>133.845</v>
      </c>
      <c r="F270" s="56">
        <f>278.484-40-25-60-100</f>
        <v>53.48399999999998</v>
      </c>
      <c r="G270" s="59">
        <v>40</v>
      </c>
      <c r="H270" s="56">
        <f t="shared" si="42"/>
        <v>185</v>
      </c>
      <c r="I270" s="56">
        <f t="shared" si="39"/>
        <v>0</v>
      </c>
      <c r="J270" s="59">
        <v>100</v>
      </c>
      <c r="K270" s="59">
        <v>300</v>
      </c>
      <c r="L270" s="56">
        <f t="shared" si="33"/>
        <v>1274</v>
      </c>
      <c r="M270" s="66">
        <v>600</v>
      </c>
      <c r="N270" s="56">
        <f>30</f>
        <v>30</v>
      </c>
      <c r="O270" s="59">
        <v>240</v>
      </c>
      <c r="P270" s="59">
        <v>160</v>
      </c>
      <c r="Q270" s="59">
        <f t="shared" si="34"/>
        <v>195</v>
      </c>
      <c r="R270" s="59">
        <f t="shared" si="35"/>
        <v>100</v>
      </c>
      <c r="S270" s="56">
        <f t="shared" si="36"/>
        <v>695</v>
      </c>
      <c r="T270" s="56">
        <f>0</f>
        <v>0</v>
      </c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</row>
    <row r="271" spans="1:30" ht="15.75" x14ac:dyDescent="0.25">
      <c r="A271" s="15">
        <v>49522</v>
      </c>
      <c r="B271" s="69">
        <v>31</v>
      </c>
      <c r="C271" s="56">
        <f>194.205</f>
        <v>194.20500000000001</v>
      </c>
      <c r="D271" s="56">
        <f>267.466</f>
        <v>267.46600000000001</v>
      </c>
      <c r="E271" s="64">
        <f>133.845</f>
        <v>133.845</v>
      </c>
      <c r="F271" s="56">
        <f>278.484-40-25-60-100</f>
        <v>53.48399999999998</v>
      </c>
      <c r="G271" s="59">
        <v>40</v>
      </c>
      <c r="H271" s="56">
        <f t="shared" si="42"/>
        <v>185</v>
      </c>
      <c r="I271" s="56">
        <f t="shared" si="39"/>
        <v>0</v>
      </c>
      <c r="J271" s="59">
        <v>100</v>
      </c>
      <c r="K271" s="59">
        <v>300</v>
      </c>
      <c r="L271" s="56">
        <f t="shared" ref="L271:L334" si="43">SUM(C271:K271)</f>
        <v>1274</v>
      </c>
      <c r="M271" s="66">
        <v>600</v>
      </c>
      <c r="N271" s="56">
        <f>30</f>
        <v>30</v>
      </c>
      <c r="O271" s="59">
        <v>240</v>
      </c>
      <c r="P271" s="59">
        <v>160</v>
      </c>
      <c r="Q271" s="59">
        <f t="shared" ref="Q271:Q334" si="44">695-R271-O271-P271</f>
        <v>195</v>
      </c>
      <c r="R271" s="59">
        <f t="shared" ref="R271:R334" si="45">200-J271</f>
        <v>100</v>
      </c>
      <c r="S271" s="56">
        <f t="shared" ref="S271:S334" si="46">SUM(O271:R271)</f>
        <v>695</v>
      </c>
      <c r="T271" s="56">
        <f>0</f>
        <v>0</v>
      </c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</row>
    <row r="272" spans="1:30" ht="15.75" x14ac:dyDescent="0.25">
      <c r="A272" s="15">
        <v>49553</v>
      </c>
      <c r="B272" s="69">
        <v>30</v>
      </c>
      <c r="C272" s="56">
        <f>194.205</f>
        <v>194.20500000000001</v>
      </c>
      <c r="D272" s="56">
        <f>267.466</f>
        <v>267.46600000000001</v>
      </c>
      <c r="E272" s="64">
        <f>133.845</f>
        <v>133.845</v>
      </c>
      <c r="F272" s="56">
        <f>278.484-40-25-60-100</f>
        <v>53.48399999999998</v>
      </c>
      <c r="G272" s="59">
        <v>40</v>
      </c>
      <c r="H272" s="56">
        <f t="shared" si="42"/>
        <v>185</v>
      </c>
      <c r="I272" s="56">
        <f t="shared" si="39"/>
        <v>0</v>
      </c>
      <c r="J272" s="59">
        <v>100</v>
      </c>
      <c r="K272" s="59">
        <v>300</v>
      </c>
      <c r="L272" s="56">
        <f t="shared" si="43"/>
        <v>1274</v>
      </c>
      <c r="M272" s="66">
        <v>600</v>
      </c>
      <c r="N272" s="56">
        <f>30</f>
        <v>30</v>
      </c>
      <c r="O272" s="59">
        <v>240</v>
      </c>
      <c r="P272" s="59">
        <v>160</v>
      </c>
      <c r="Q272" s="59">
        <f t="shared" si="44"/>
        <v>195</v>
      </c>
      <c r="R272" s="59">
        <f t="shared" si="45"/>
        <v>100</v>
      </c>
      <c r="S272" s="56">
        <f t="shared" si="46"/>
        <v>695</v>
      </c>
      <c r="T272" s="56">
        <f>0</f>
        <v>0</v>
      </c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</row>
    <row r="273" spans="1:30" ht="15.75" x14ac:dyDescent="0.25">
      <c r="A273" s="15">
        <v>49583</v>
      </c>
      <c r="B273" s="69">
        <v>31</v>
      </c>
      <c r="C273" s="56">
        <f>131.881</f>
        <v>131.881</v>
      </c>
      <c r="D273" s="56">
        <f>277.167</f>
        <v>277.16699999999997</v>
      </c>
      <c r="E273" s="64">
        <f>79.08</f>
        <v>79.08</v>
      </c>
      <c r="F273" s="56">
        <f>350.872-40-25-60-100</f>
        <v>125.87200000000001</v>
      </c>
      <c r="G273" s="59">
        <v>40</v>
      </c>
      <c r="H273" s="56">
        <f t="shared" si="42"/>
        <v>185</v>
      </c>
      <c r="I273" s="56">
        <f t="shared" si="39"/>
        <v>0</v>
      </c>
      <c r="J273" s="59">
        <v>100</v>
      </c>
      <c r="K273" s="59">
        <v>300</v>
      </c>
      <c r="L273" s="56">
        <f t="shared" si="43"/>
        <v>1239</v>
      </c>
      <c r="M273" s="66">
        <v>600</v>
      </c>
      <c r="N273" s="56">
        <f>75</f>
        <v>75</v>
      </c>
      <c r="O273" s="59">
        <v>240</v>
      </c>
      <c r="P273" s="59">
        <v>160</v>
      </c>
      <c r="Q273" s="59">
        <f t="shared" si="44"/>
        <v>195</v>
      </c>
      <c r="R273" s="59">
        <f t="shared" si="45"/>
        <v>100</v>
      </c>
      <c r="S273" s="56">
        <f t="shared" si="46"/>
        <v>695</v>
      </c>
      <c r="T273" s="56">
        <f>0</f>
        <v>0</v>
      </c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</row>
    <row r="274" spans="1:30" ht="15.75" x14ac:dyDescent="0.25">
      <c r="A274" s="15">
        <v>49614</v>
      </c>
      <c r="B274" s="69">
        <v>30</v>
      </c>
      <c r="C274" s="56">
        <f>122.58</f>
        <v>122.58</v>
      </c>
      <c r="D274" s="56">
        <f>297.941</f>
        <v>297.94099999999997</v>
      </c>
      <c r="E274" s="64">
        <f>89.177</f>
        <v>89.177000000000007</v>
      </c>
      <c r="F274" s="56">
        <f>240.302-40-60-100</f>
        <v>40.301999999999992</v>
      </c>
      <c r="G274" s="59">
        <v>40</v>
      </c>
      <c r="H274" s="56">
        <f>60+100</f>
        <v>160</v>
      </c>
      <c r="I274" s="56">
        <f t="shared" si="39"/>
        <v>0</v>
      </c>
      <c r="J274" s="59">
        <v>100</v>
      </c>
      <c r="K274" s="59">
        <v>300</v>
      </c>
      <c r="L274" s="56">
        <f t="shared" si="43"/>
        <v>1150</v>
      </c>
      <c r="M274" s="66">
        <v>600</v>
      </c>
      <c r="N274" s="56">
        <f>100</f>
        <v>100</v>
      </c>
      <c r="O274" s="59">
        <v>240</v>
      </c>
      <c r="P274" s="59">
        <v>40</v>
      </c>
      <c r="Q274" s="59">
        <f t="shared" si="44"/>
        <v>315</v>
      </c>
      <c r="R274" s="59">
        <f t="shared" si="45"/>
        <v>100</v>
      </c>
      <c r="S274" s="56">
        <f t="shared" si="46"/>
        <v>695</v>
      </c>
      <c r="T274" s="56">
        <f>50</f>
        <v>50</v>
      </c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</row>
    <row r="275" spans="1:30" ht="15.75" x14ac:dyDescent="0.25">
      <c r="A275" s="15">
        <v>49644</v>
      </c>
      <c r="B275" s="69">
        <v>31</v>
      </c>
      <c r="C275" s="56">
        <f>122.58</f>
        <v>122.58</v>
      </c>
      <c r="D275" s="56">
        <f>297.941</f>
        <v>297.94099999999997</v>
      </c>
      <c r="E275" s="64">
        <f>89.177</f>
        <v>89.177000000000007</v>
      </c>
      <c r="F275" s="56">
        <f>240.302-40-60-100</f>
        <v>40.301999999999992</v>
      </c>
      <c r="G275" s="59">
        <v>40</v>
      </c>
      <c r="H275" s="56">
        <f>60+100</f>
        <v>160</v>
      </c>
      <c r="I275" s="56">
        <f t="shared" si="39"/>
        <v>0</v>
      </c>
      <c r="J275" s="59">
        <v>100</v>
      </c>
      <c r="K275" s="59">
        <v>300</v>
      </c>
      <c r="L275" s="56">
        <f t="shared" si="43"/>
        <v>1150</v>
      </c>
      <c r="M275" s="66">
        <v>600</v>
      </c>
      <c r="N275" s="56">
        <f>100</f>
        <v>100</v>
      </c>
      <c r="O275" s="59">
        <v>240</v>
      </c>
      <c r="P275" s="59">
        <v>40</v>
      </c>
      <c r="Q275" s="59">
        <f t="shared" si="44"/>
        <v>315</v>
      </c>
      <c r="R275" s="59">
        <f t="shared" si="45"/>
        <v>100</v>
      </c>
      <c r="S275" s="56">
        <f t="shared" si="46"/>
        <v>695</v>
      </c>
      <c r="T275" s="56">
        <f>50</f>
        <v>50</v>
      </c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</row>
    <row r="276" spans="1:30" ht="15.75" x14ac:dyDescent="0.25">
      <c r="A276" s="15">
        <v>49675</v>
      </c>
      <c r="B276" s="69">
        <v>31</v>
      </c>
      <c r="C276" s="56">
        <f>122.58</f>
        <v>122.58</v>
      </c>
      <c r="D276" s="56">
        <f>297.941</f>
        <v>297.94099999999997</v>
      </c>
      <c r="E276" s="64">
        <f>89.177</f>
        <v>89.177000000000007</v>
      </c>
      <c r="F276" s="56">
        <f>240.302-40-60-100</f>
        <v>40.301999999999992</v>
      </c>
      <c r="G276" s="59">
        <v>40</v>
      </c>
      <c r="H276" s="56">
        <f>60+100</f>
        <v>160</v>
      </c>
      <c r="I276" s="56">
        <f t="shared" si="39"/>
        <v>0</v>
      </c>
      <c r="J276" s="59">
        <v>100</v>
      </c>
      <c r="K276" s="59">
        <v>300</v>
      </c>
      <c r="L276" s="56">
        <f t="shared" si="43"/>
        <v>1150</v>
      </c>
      <c r="M276" s="66">
        <v>600</v>
      </c>
      <c r="N276" s="56">
        <f>100</f>
        <v>100</v>
      </c>
      <c r="O276" s="59">
        <v>240</v>
      </c>
      <c r="P276" s="59">
        <v>40</v>
      </c>
      <c r="Q276" s="59">
        <f t="shared" si="44"/>
        <v>315</v>
      </c>
      <c r="R276" s="59">
        <f t="shared" si="45"/>
        <v>100</v>
      </c>
      <c r="S276" s="56">
        <f t="shared" si="46"/>
        <v>695</v>
      </c>
      <c r="T276" s="56">
        <f>50</f>
        <v>50</v>
      </c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</row>
    <row r="277" spans="1:30" ht="15.75" x14ac:dyDescent="0.25">
      <c r="A277" s="15">
        <v>49706</v>
      </c>
      <c r="B277" s="69">
        <v>29</v>
      </c>
      <c r="C277" s="56">
        <f>122.58</f>
        <v>122.58</v>
      </c>
      <c r="D277" s="56">
        <f>297.941</f>
        <v>297.94099999999997</v>
      </c>
      <c r="E277" s="64">
        <f>89.177</f>
        <v>89.177000000000007</v>
      </c>
      <c r="F277" s="56">
        <f>240.302-40-60-100</f>
        <v>40.301999999999992</v>
      </c>
      <c r="G277" s="59">
        <v>40</v>
      </c>
      <c r="H277" s="56">
        <f>60+100</f>
        <v>160</v>
      </c>
      <c r="I277" s="56">
        <f t="shared" si="39"/>
        <v>0</v>
      </c>
      <c r="J277" s="59">
        <v>100</v>
      </c>
      <c r="K277" s="59">
        <v>300</v>
      </c>
      <c r="L277" s="56">
        <f t="shared" si="43"/>
        <v>1150</v>
      </c>
      <c r="M277" s="66">
        <v>600</v>
      </c>
      <c r="N277" s="56">
        <f>100</f>
        <v>100</v>
      </c>
      <c r="O277" s="59">
        <v>240</v>
      </c>
      <c r="P277" s="59">
        <v>40</v>
      </c>
      <c r="Q277" s="59">
        <f t="shared" si="44"/>
        <v>315</v>
      </c>
      <c r="R277" s="59">
        <f t="shared" si="45"/>
        <v>100</v>
      </c>
      <c r="S277" s="56">
        <f t="shared" si="46"/>
        <v>695</v>
      </c>
      <c r="T277" s="56">
        <f>50</f>
        <v>50</v>
      </c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</row>
    <row r="278" spans="1:30" ht="15.75" x14ac:dyDescent="0.25">
      <c r="A278" s="15">
        <v>49735</v>
      </c>
      <c r="B278" s="69">
        <v>31</v>
      </c>
      <c r="C278" s="56">
        <f>122.58</f>
        <v>122.58</v>
      </c>
      <c r="D278" s="56">
        <f>297.941</f>
        <v>297.94099999999997</v>
      </c>
      <c r="E278" s="64">
        <f>89.177</f>
        <v>89.177000000000007</v>
      </c>
      <c r="F278" s="56">
        <f>240.302-40-60-100</f>
        <v>40.301999999999992</v>
      </c>
      <c r="G278" s="59">
        <v>40</v>
      </c>
      <c r="H278" s="56">
        <f>60+100</f>
        <v>160</v>
      </c>
      <c r="I278" s="56">
        <f t="shared" si="39"/>
        <v>0</v>
      </c>
      <c r="J278" s="59">
        <v>100</v>
      </c>
      <c r="K278" s="59">
        <v>300</v>
      </c>
      <c r="L278" s="56">
        <f t="shared" si="43"/>
        <v>1150</v>
      </c>
      <c r="M278" s="66">
        <v>600</v>
      </c>
      <c r="N278" s="56">
        <f>100</f>
        <v>100</v>
      </c>
      <c r="O278" s="59">
        <v>240</v>
      </c>
      <c r="P278" s="59">
        <v>40</v>
      </c>
      <c r="Q278" s="59">
        <f t="shared" si="44"/>
        <v>315</v>
      </c>
      <c r="R278" s="59">
        <f t="shared" si="45"/>
        <v>100</v>
      </c>
      <c r="S278" s="56">
        <f t="shared" si="46"/>
        <v>695</v>
      </c>
      <c r="T278" s="56">
        <f>50</f>
        <v>50</v>
      </c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</row>
    <row r="279" spans="1:30" ht="15.75" x14ac:dyDescent="0.25">
      <c r="A279" s="15">
        <v>49766</v>
      </c>
      <c r="B279" s="69">
        <v>30</v>
      </c>
      <c r="C279" s="56">
        <f>141.293</f>
        <v>141.29300000000001</v>
      </c>
      <c r="D279" s="56">
        <f>267.993</f>
        <v>267.99299999999999</v>
      </c>
      <c r="E279" s="64">
        <f>115.016</f>
        <v>115.01600000000001</v>
      </c>
      <c r="F279" s="56">
        <f>314.698-40-25-60-100</f>
        <v>89.697999999999979</v>
      </c>
      <c r="G279" s="59">
        <v>40</v>
      </c>
      <c r="H279" s="56">
        <f t="shared" ref="H279:H285" si="47">25+60+100</f>
        <v>185</v>
      </c>
      <c r="I279" s="56">
        <f t="shared" si="39"/>
        <v>0</v>
      </c>
      <c r="J279" s="59">
        <v>100</v>
      </c>
      <c r="K279" s="59">
        <v>300</v>
      </c>
      <c r="L279" s="56">
        <f t="shared" si="43"/>
        <v>1239</v>
      </c>
      <c r="M279" s="66">
        <v>600</v>
      </c>
      <c r="N279" s="56">
        <f>100</f>
        <v>100</v>
      </c>
      <c r="O279" s="59">
        <v>240</v>
      </c>
      <c r="P279" s="59">
        <v>160</v>
      </c>
      <c r="Q279" s="59">
        <f t="shared" si="44"/>
        <v>195</v>
      </c>
      <c r="R279" s="59">
        <f t="shared" si="45"/>
        <v>100</v>
      </c>
      <c r="S279" s="56">
        <f t="shared" si="46"/>
        <v>695</v>
      </c>
      <c r="T279" s="56">
        <f>50</f>
        <v>50</v>
      </c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</row>
    <row r="280" spans="1:30" ht="15.75" x14ac:dyDescent="0.25">
      <c r="A280" s="15">
        <v>49796</v>
      </c>
      <c r="B280" s="69">
        <v>31</v>
      </c>
      <c r="C280" s="56">
        <f>194.205</f>
        <v>194.20500000000001</v>
      </c>
      <c r="D280" s="56">
        <f>267.466</f>
        <v>267.46600000000001</v>
      </c>
      <c r="E280" s="64">
        <f>133.845</f>
        <v>133.845</v>
      </c>
      <c r="F280" s="56">
        <f>278.484-40-25-60-100</f>
        <v>53.48399999999998</v>
      </c>
      <c r="G280" s="59">
        <v>40</v>
      </c>
      <c r="H280" s="56">
        <f t="shared" si="47"/>
        <v>185</v>
      </c>
      <c r="I280" s="56">
        <f t="shared" si="39"/>
        <v>0</v>
      </c>
      <c r="J280" s="59">
        <v>100</v>
      </c>
      <c r="K280" s="59">
        <v>300</v>
      </c>
      <c r="L280" s="56">
        <f t="shared" si="43"/>
        <v>1274</v>
      </c>
      <c r="M280" s="66">
        <v>600</v>
      </c>
      <c r="N280" s="56">
        <f>75</f>
        <v>75</v>
      </c>
      <c r="O280" s="59">
        <v>240</v>
      </c>
      <c r="P280" s="59">
        <v>160</v>
      </c>
      <c r="Q280" s="59">
        <f t="shared" si="44"/>
        <v>195</v>
      </c>
      <c r="R280" s="59">
        <f t="shared" si="45"/>
        <v>100</v>
      </c>
      <c r="S280" s="56">
        <f t="shared" si="46"/>
        <v>695</v>
      </c>
      <c r="T280" s="56">
        <f>50</f>
        <v>50</v>
      </c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</row>
    <row r="281" spans="1:30" ht="15.75" x14ac:dyDescent="0.25">
      <c r="A281" s="15">
        <v>49827</v>
      </c>
      <c r="B281" s="69">
        <v>30</v>
      </c>
      <c r="C281" s="56">
        <f>194.205</f>
        <v>194.20500000000001</v>
      </c>
      <c r="D281" s="56">
        <f>267.466</f>
        <v>267.46600000000001</v>
      </c>
      <c r="E281" s="64">
        <f>133.845</f>
        <v>133.845</v>
      </c>
      <c r="F281" s="56">
        <f>278.484-40-25-60-100</f>
        <v>53.48399999999998</v>
      </c>
      <c r="G281" s="59">
        <v>40</v>
      </c>
      <c r="H281" s="56">
        <f t="shared" si="47"/>
        <v>185</v>
      </c>
      <c r="I281" s="56">
        <f t="shared" si="39"/>
        <v>0</v>
      </c>
      <c r="J281" s="59">
        <v>100</v>
      </c>
      <c r="K281" s="59">
        <v>300</v>
      </c>
      <c r="L281" s="56">
        <f t="shared" si="43"/>
        <v>1274</v>
      </c>
      <c r="M281" s="66">
        <v>600</v>
      </c>
      <c r="N281" s="56">
        <f>30</f>
        <v>30</v>
      </c>
      <c r="O281" s="59">
        <v>240</v>
      </c>
      <c r="P281" s="59">
        <v>160</v>
      </c>
      <c r="Q281" s="59">
        <f t="shared" si="44"/>
        <v>195</v>
      </c>
      <c r="R281" s="59">
        <f t="shared" si="45"/>
        <v>100</v>
      </c>
      <c r="S281" s="56">
        <f t="shared" si="46"/>
        <v>695</v>
      </c>
      <c r="T281" s="56">
        <f>50</f>
        <v>50</v>
      </c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</row>
    <row r="282" spans="1:30" ht="15.75" x14ac:dyDescent="0.25">
      <c r="A282" s="15">
        <v>49857</v>
      </c>
      <c r="B282" s="69">
        <v>31</v>
      </c>
      <c r="C282" s="56">
        <f>194.205</f>
        <v>194.20500000000001</v>
      </c>
      <c r="D282" s="56">
        <f>267.466</f>
        <v>267.46600000000001</v>
      </c>
      <c r="E282" s="64">
        <f>133.845</f>
        <v>133.845</v>
      </c>
      <c r="F282" s="56">
        <f>278.484-40-25-60-100</f>
        <v>53.48399999999998</v>
      </c>
      <c r="G282" s="59">
        <v>40</v>
      </c>
      <c r="H282" s="56">
        <f t="shared" si="47"/>
        <v>185</v>
      </c>
      <c r="I282" s="56">
        <f t="shared" si="39"/>
        <v>0</v>
      </c>
      <c r="J282" s="59">
        <v>100</v>
      </c>
      <c r="K282" s="59">
        <v>300</v>
      </c>
      <c r="L282" s="56">
        <f t="shared" si="43"/>
        <v>1274</v>
      </c>
      <c r="M282" s="66">
        <v>600</v>
      </c>
      <c r="N282" s="56">
        <f>30</f>
        <v>30</v>
      </c>
      <c r="O282" s="59">
        <v>240</v>
      </c>
      <c r="P282" s="59">
        <v>160</v>
      </c>
      <c r="Q282" s="59">
        <f t="shared" si="44"/>
        <v>195</v>
      </c>
      <c r="R282" s="59">
        <f t="shared" si="45"/>
        <v>100</v>
      </c>
      <c r="S282" s="56">
        <f t="shared" si="46"/>
        <v>695</v>
      </c>
      <c r="T282" s="56">
        <f>0</f>
        <v>0</v>
      </c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</row>
    <row r="283" spans="1:30" ht="15.75" x14ac:dyDescent="0.25">
      <c r="A283" s="15">
        <v>49888</v>
      </c>
      <c r="B283" s="69">
        <v>31</v>
      </c>
      <c r="C283" s="56">
        <f>194.205</f>
        <v>194.20500000000001</v>
      </c>
      <c r="D283" s="56">
        <f>267.466</f>
        <v>267.46600000000001</v>
      </c>
      <c r="E283" s="64">
        <f>133.845</f>
        <v>133.845</v>
      </c>
      <c r="F283" s="56">
        <f>278.484-40-25-60-100</f>
        <v>53.48399999999998</v>
      </c>
      <c r="G283" s="59">
        <v>40</v>
      </c>
      <c r="H283" s="56">
        <f t="shared" si="47"/>
        <v>185</v>
      </c>
      <c r="I283" s="56">
        <f t="shared" si="39"/>
        <v>0</v>
      </c>
      <c r="J283" s="59">
        <v>100</v>
      </c>
      <c r="K283" s="59">
        <v>300</v>
      </c>
      <c r="L283" s="56">
        <f t="shared" si="43"/>
        <v>1274</v>
      </c>
      <c r="M283" s="66">
        <v>600</v>
      </c>
      <c r="N283" s="56">
        <f>30</f>
        <v>30</v>
      </c>
      <c r="O283" s="59">
        <v>240</v>
      </c>
      <c r="P283" s="59">
        <v>160</v>
      </c>
      <c r="Q283" s="59">
        <f t="shared" si="44"/>
        <v>195</v>
      </c>
      <c r="R283" s="59">
        <f t="shared" si="45"/>
        <v>100</v>
      </c>
      <c r="S283" s="56">
        <f t="shared" si="46"/>
        <v>695</v>
      </c>
      <c r="T283" s="56">
        <f>0</f>
        <v>0</v>
      </c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</row>
    <row r="284" spans="1:30" ht="15.75" x14ac:dyDescent="0.25">
      <c r="A284" s="15">
        <v>49919</v>
      </c>
      <c r="B284" s="69">
        <v>30</v>
      </c>
      <c r="C284" s="56">
        <f>194.205</f>
        <v>194.20500000000001</v>
      </c>
      <c r="D284" s="56">
        <f>267.466</f>
        <v>267.46600000000001</v>
      </c>
      <c r="E284" s="64">
        <f>133.845</f>
        <v>133.845</v>
      </c>
      <c r="F284" s="56">
        <f>278.484-40-25-60-100</f>
        <v>53.48399999999998</v>
      </c>
      <c r="G284" s="59">
        <v>40</v>
      </c>
      <c r="H284" s="56">
        <f t="shared" si="47"/>
        <v>185</v>
      </c>
      <c r="I284" s="56">
        <f t="shared" si="39"/>
        <v>0</v>
      </c>
      <c r="J284" s="59">
        <v>100</v>
      </c>
      <c r="K284" s="59">
        <v>300</v>
      </c>
      <c r="L284" s="56">
        <f t="shared" si="43"/>
        <v>1274</v>
      </c>
      <c r="M284" s="66">
        <v>600</v>
      </c>
      <c r="N284" s="56">
        <f>30</f>
        <v>30</v>
      </c>
      <c r="O284" s="59">
        <v>240</v>
      </c>
      <c r="P284" s="59">
        <v>160</v>
      </c>
      <c r="Q284" s="59">
        <f t="shared" si="44"/>
        <v>195</v>
      </c>
      <c r="R284" s="59">
        <f t="shared" si="45"/>
        <v>100</v>
      </c>
      <c r="S284" s="56">
        <f t="shared" si="46"/>
        <v>695</v>
      </c>
      <c r="T284" s="56">
        <f>0</f>
        <v>0</v>
      </c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</row>
    <row r="285" spans="1:30" ht="15.75" x14ac:dyDescent="0.25">
      <c r="A285" s="15">
        <v>49949</v>
      </c>
      <c r="B285" s="69">
        <v>31</v>
      </c>
      <c r="C285" s="56">
        <f>131.881</f>
        <v>131.881</v>
      </c>
      <c r="D285" s="56">
        <f>277.167</f>
        <v>277.16699999999997</v>
      </c>
      <c r="E285" s="64">
        <f>79.08</f>
        <v>79.08</v>
      </c>
      <c r="F285" s="56">
        <f>350.872-40-25-60-100</f>
        <v>125.87200000000001</v>
      </c>
      <c r="G285" s="59">
        <v>40</v>
      </c>
      <c r="H285" s="56">
        <f t="shared" si="47"/>
        <v>185</v>
      </c>
      <c r="I285" s="56">
        <f t="shared" si="39"/>
        <v>0</v>
      </c>
      <c r="J285" s="59">
        <v>100</v>
      </c>
      <c r="K285" s="59">
        <v>300</v>
      </c>
      <c r="L285" s="56">
        <f t="shared" si="43"/>
        <v>1239</v>
      </c>
      <c r="M285" s="66">
        <v>600</v>
      </c>
      <c r="N285" s="56">
        <f>75</f>
        <v>75</v>
      </c>
      <c r="O285" s="59">
        <v>240</v>
      </c>
      <c r="P285" s="59">
        <v>160</v>
      </c>
      <c r="Q285" s="59">
        <f t="shared" si="44"/>
        <v>195</v>
      </c>
      <c r="R285" s="59">
        <f t="shared" si="45"/>
        <v>100</v>
      </c>
      <c r="S285" s="56">
        <f t="shared" si="46"/>
        <v>695</v>
      </c>
      <c r="T285" s="56">
        <f>0</f>
        <v>0</v>
      </c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</row>
    <row r="286" spans="1:30" ht="15.75" x14ac:dyDescent="0.25">
      <c r="A286" s="15">
        <v>49980</v>
      </c>
      <c r="B286" s="69">
        <v>30</v>
      </c>
      <c r="C286" s="56">
        <f>122.58</f>
        <v>122.58</v>
      </c>
      <c r="D286" s="56">
        <f>297.941</f>
        <v>297.94099999999997</v>
      </c>
      <c r="E286" s="64">
        <f>89.177</f>
        <v>89.177000000000007</v>
      </c>
      <c r="F286" s="56">
        <f>240.302-40-60-100</f>
        <v>40.301999999999992</v>
      </c>
      <c r="G286" s="59">
        <v>40</v>
      </c>
      <c r="H286" s="56">
        <f>60+100</f>
        <v>160</v>
      </c>
      <c r="I286" s="56">
        <f t="shared" si="39"/>
        <v>0</v>
      </c>
      <c r="J286" s="59">
        <v>100</v>
      </c>
      <c r="K286" s="59">
        <v>300</v>
      </c>
      <c r="L286" s="56">
        <f t="shared" si="43"/>
        <v>1150</v>
      </c>
      <c r="M286" s="66">
        <v>600</v>
      </c>
      <c r="N286" s="56">
        <f>100</f>
        <v>100</v>
      </c>
      <c r="O286" s="59">
        <v>240</v>
      </c>
      <c r="P286" s="59">
        <v>40</v>
      </c>
      <c r="Q286" s="59">
        <f t="shared" si="44"/>
        <v>315</v>
      </c>
      <c r="R286" s="59">
        <f t="shared" si="45"/>
        <v>100</v>
      </c>
      <c r="S286" s="56">
        <f t="shared" si="46"/>
        <v>695</v>
      </c>
      <c r="T286" s="56">
        <f>50</f>
        <v>50</v>
      </c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</row>
    <row r="287" spans="1:30" ht="15.75" x14ac:dyDescent="0.25">
      <c r="A287" s="15">
        <v>50010</v>
      </c>
      <c r="B287" s="69">
        <v>31</v>
      </c>
      <c r="C287" s="56">
        <f>122.58</f>
        <v>122.58</v>
      </c>
      <c r="D287" s="56">
        <f>297.941</f>
        <v>297.94099999999997</v>
      </c>
      <c r="E287" s="64">
        <f>89.177</f>
        <v>89.177000000000007</v>
      </c>
      <c r="F287" s="56">
        <f>240.302-40-60-100</f>
        <v>40.301999999999992</v>
      </c>
      <c r="G287" s="59">
        <v>40</v>
      </c>
      <c r="H287" s="56">
        <f>60+100</f>
        <v>160</v>
      </c>
      <c r="I287" s="56">
        <f t="shared" si="39"/>
        <v>0</v>
      </c>
      <c r="J287" s="59">
        <v>100</v>
      </c>
      <c r="K287" s="59">
        <v>300</v>
      </c>
      <c r="L287" s="56">
        <f t="shared" si="43"/>
        <v>1150</v>
      </c>
      <c r="M287" s="66">
        <v>600</v>
      </c>
      <c r="N287" s="56">
        <f>100</f>
        <v>100</v>
      </c>
      <c r="O287" s="59">
        <v>240</v>
      </c>
      <c r="P287" s="59">
        <v>40</v>
      </c>
      <c r="Q287" s="59">
        <f t="shared" si="44"/>
        <v>315</v>
      </c>
      <c r="R287" s="59">
        <f t="shared" si="45"/>
        <v>100</v>
      </c>
      <c r="S287" s="56">
        <f t="shared" si="46"/>
        <v>695</v>
      </c>
      <c r="T287" s="56">
        <f>50</f>
        <v>50</v>
      </c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</row>
    <row r="288" spans="1:30" ht="15.75" x14ac:dyDescent="0.25">
      <c r="A288" s="15">
        <v>50041</v>
      </c>
      <c r="B288" s="69">
        <v>31</v>
      </c>
      <c r="C288" s="56">
        <f>122.58</f>
        <v>122.58</v>
      </c>
      <c r="D288" s="56">
        <f>297.941</f>
        <v>297.94099999999997</v>
      </c>
      <c r="E288" s="64">
        <f>89.177</f>
        <v>89.177000000000007</v>
      </c>
      <c r="F288" s="56">
        <f>240.302-40-60-100</f>
        <v>40.301999999999992</v>
      </c>
      <c r="G288" s="59">
        <v>40</v>
      </c>
      <c r="H288" s="56">
        <f>60+100</f>
        <v>160</v>
      </c>
      <c r="I288" s="56">
        <f t="shared" si="39"/>
        <v>0</v>
      </c>
      <c r="J288" s="59">
        <v>100</v>
      </c>
      <c r="K288" s="59">
        <v>300</v>
      </c>
      <c r="L288" s="56">
        <f t="shared" si="43"/>
        <v>1150</v>
      </c>
      <c r="M288" s="66">
        <v>600</v>
      </c>
      <c r="N288" s="56">
        <f>100</f>
        <v>100</v>
      </c>
      <c r="O288" s="59">
        <v>240</v>
      </c>
      <c r="P288" s="59">
        <v>40</v>
      </c>
      <c r="Q288" s="59">
        <f t="shared" si="44"/>
        <v>315</v>
      </c>
      <c r="R288" s="59">
        <f t="shared" si="45"/>
        <v>100</v>
      </c>
      <c r="S288" s="56">
        <f t="shared" si="46"/>
        <v>695</v>
      </c>
      <c r="T288" s="56">
        <f>50</f>
        <v>50</v>
      </c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</row>
    <row r="289" spans="1:30" ht="15.75" x14ac:dyDescent="0.25">
      <c r="A289" s="15">
        <v>50072</v>
      </c>
      <c r="B289" s="69">
        <v>28</v>
      </c>
      <c r="C289" s="56">
        <f>122.58</f>
        <v>122.58</v>
      </c>
      <c r="D289" s="56">
        <f>297.941</f>
        <v>297.94099999999997</v>
      </c>
      <c r="E289" s="64">
        <f>89.177</f>
        <v>89.177000000000007</v>
      </c>
      <c r="F289" s="56">
        <f>240.302-40-60-100</f>
        <v>40.301999999999992</v>
      </c>
      <c r="G289" s="59">
        <v>40</v>
      </c>
      <c r="H289" s="56">
        <f>60+100</f>
        <v>160</v>
      </c>
      <c r="I289" s="56">
        <f t="shared" si="39"/>
        <v>0</v>
      </c>
      <c r="J289" s="59">
        <v>100</v>
      </c>
      <c r="K289" s="59">
        <v>300</v>
      </c>
      <c r="L289" s="56">
        <f t="shared" si="43"/>
        <v>1150</v>
      </c>
      <c r="M289" s="66">
        <v>600</v>
      </c>
      <c r="N289" s="56">
        <f>100</f>
        <v>100</v>
      </c>
      <c r="O289" s="59">
        <v>240</v>
      </c>
      <c r="P289" s="59">
        <v>40</v>
      </c>
      <c r="Q289" s="59">
        <f t="shared" si="44"/>
        <v>315</v>
      </c>
      <c r="R289" s="59">
        <f t="shared" si="45"/>
        <v>100</v>
      </c>
      <c r="S289" s="56">
        <f t="shared" si="46"/>
        <v>695</v>
      </c>
      <c r="T289" s="56">
        <f>50</f>
        <v>50</v>
      </c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</row>
    <row r="290" spans="1:30" ht="15.75" x14ac:dyDescent="0.25">
      <c r="A290" s="15">
        <v>50100</v>
      </c>
      <c r="B290" s="69">
        <v>31</v>
      </c>
      <c r="C290" s="56">
        <f>122.58</f>
        <v>122.58</v>
      </c>
      <c r="D290" s="56">
        <f>297.941</f>
        <v>297.94099999999997</v>
      </c>
      <c r="E290" s="64">
        <f>89.177</f>
        <v>89.177000000000007</v>
      </c>
      <c r="F290" s="56">
        <f>240.302-40-60-100</f>
        <v>40.301999999999992</v>
      </c>
      <c r="G290" s="59">
        <v>40</v>
      </c>
      <c r="H290" s="56">
        <f>60+100</f>
        <v>160</v>
      </c>
      <c r="I290" s="56">
        <f t="shared" si="39"/>
        <v>0</v>
      </c>
      <c r="J290" s="59">
        <v>100</v>
      </c>
      <c r="K290" s="59">
        <v>300</v>
      </c>
      <c r="L290" s="56">
        <f t="shared" si="43"/>
        <v>1150</v>
      </c>
      <c r="M290" s="66">
        <v>600</v>
      </c>
      <c r="N290" s="56">
        <f>100</f>
        <v>100</v>
      </c>
      <c r="O290" s="59">
        <v>240</v>
      </c>
      <c r="P290" s="59">
        <v>40</v>
      </c>
      <c r="Q290" s="59">
        <f t="shared" si="44"/>
        <v>315</v>
      </c>
      <c r="R290" s="59">
        <f t="shared" si="45"/>
        <v>100</v>
      </c>
      <c r="S290" s="56">
        <f t="shared" si="46"/>
        <v>695</v>
      </c>
      <c r="T290" s="56">
        <f>50</f>
        <v>50</v>
      </c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</row>
    <row r="291" spans="1:30" ht="15.75" x14ac:dyDescent="0.25">
      <c r="A291" s="15">
        <v>50131</v>
      </c>
      <c r="B291" s="69">
        <v>30</v>
      </c>
      <c r="C291" s="56">
        <f>141.293</f>
        <v>141.29300000000001</v>
      </c>
      <c r="D291" s="56">
        <f>267.993</f>
        <v>267.99299999999999</v>
      </c>
      <c r="E291" s="64">
        <f>115.016</f>
        <v>115.01600000000001</v>
      </c>
      <c r="F291" s="56">
        <f>314.698-40-25-60-100</f>
        <v>89.697999999999979</v>
      </c>
      <c r="G291" s="59">
        <v>40</v>
      </c>
      <c r="H291" s="56">
        <f t="shared" ref="H291:H297" si="48">25+60+100</f>
        <v>185</v>
      </c>
      <c r="I291" s="56">
        <f t="shared" si="39"/>
        <v>0</v>
      </c>
      <c r="J291" s="59">
        <v>100</v>
      </c>
      <c r="K291" s="59">
        <v>300</v>
      </c>
      <c r="L291" s="56">
        <f t="shared" si="43"/>
        <v>1239</v>
      </c>
      <c r="M291" s="66">
        <v>600</v>
      </c>
      <c r="N291" s="56">
        <f>100</f>
        <v>100</v>
      </c>
      <c r="O291" s="59">
        <v>240</v>
      </c>
      <c r="P291" s="59">
        <v>160</v>
      </c>
      <c r="Q291" s="59">
        <f t="shared" si="44"/>
        <v>195</v>
      </c>
      <c r="R291" s="59">
        <f t="shared" si="45"/>
        <v>100</v>
      </c>
      <c r="S291" s="56">
        <f t="shared" si="46"/>
        <v>695</v>
      </c>
      <c r="T291" s="56">
        <f>50</f>
        <v>50</v>
      </c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</row>
    <row r="292" spans="1:30" ht="15.75" x14ac:dyDescent="0.25">
      <c r="A292" s="15">
        <v>50161</v>
      </c>
      <c r="B292" s="69">
        <v>31</v>
      </c>
      <c r="C292" s="56">
        <f>194.205</f>
        <v>194.20500000000001</v>
      </c>
      <c r="D292" s="56">
        <f>267.466</f>
        <v>267.46600000000001</v>
      </c>
      <c r="E292" s="64">
        <f>133.845</f>
        <v>133.845</v>
      </c>
      <c r="F292" s="56">
        <f>278.484-40-25-60-100</f>
        <v>53.48399999999998</v>
      </c>
      <c r="G292" s="59">
        <v>40</v>
      </c>
      <c r="H292" s="56">
        <f t="shared" si="48"/>
        <v>185</v>
      </c>
      <c r="I292" s="56">
        <f t="shared" si="39"/>
        <v>0</v>
      </c>
      <c r="J292" s="59">
        <v>100</v>
      </c>
      <c r="K292" s="59">
        <v>300</v>
      </c>
      <c r="L292" s="56">
        <f t="shared" si="43"/>
        <v>1274</v>
      </c>
      <c r="M292" s="66">
        <v>600</v>
      </c>
      <c r="N292" s="56">
        <f>75</f>
        <v>75</v>
      </c>
      <c r="O292" s="59">
        <v>240</v>
      </c>
      <c r="P292" s="59">
        <v>160</v>
      </c>
      <c r="Q292" s="59">
        <f t="shared" si="44"/>
        <v>195</v>
      </c>
      <c r="R292" s="59">
        <f t="shared" si="45"/>
        <v>100</v>
      </c>
      <c r="S292" s="56">
        <f t="shared" si="46"/>
        <v>695</v>
      </c>
      <c r="T292" s="56">
        <f>50</f>
        <v>50</v>
      </c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</row>
    <row r="293" spans="1:30" ht="15.75" x14ac:dyDescent="0.25">
      <c r="A293" s="15">
        <v>50192</v>
      </c>
      <c r="B293" s="69">
        <v>30</v>
      </c>
      <c r="C293" s="56">
        <f>194.205</f>
        <v>194.20500000000001</v>
      </c>
      <c r="D293" s="56">
        <f>267.466</f>
        <v>267.46600000000001</v>
      </c>
      <c r="E293" s="64">
        <f>133.845</f>
        <v>133.845</v>
      </c>
      <c r="F293" s="56">
        <f>278.484-40-25-60-100</f>
        <v>53.48399999999998</v>
      </c>
      <c r="G293" s="59">
        <v>40</v>
      </c>
      <c r="H293" s="56">
        <f t="shared" si="48"/>
        <v>185</v>
      </c>
      <c r="I293" s="56">
        <f t="shared" si="39"/>
        <v>0</v>
      </c>
      <c r="J293" s="59">
        <v>100</v>
      </c>
      <c r="K293" s="59">
        <v>300</v>
      </c>
      <c r="L293" s="56">
        <f t="shared" si="43"/>
        <v>1274</v>
      </c>
      <c r="M293" s="66">
        <v>600</v>
      </c>
      <c r="N293" s="56">
        <f>30</f>
        <v>30</v>
      </c>
      <c r="O293" s="59">
        <v>240</v>
      </c>
      <c r="P293" s="59">
        <v>160</v>
      </c>
      <c r="Q293" s="59">
        <f t="shared" si="44"/>
        <v>195</v>
      </c>
      <c r="R293" s="59">
        <f t="shared" si="45"/>
        <v>100</v>
      </c>
      <c r="S293" s="56">
        <f t="shared" si="46"/>
        <v>695</v>
      </c>
      <c r="T293" s="56">
        <f>50</f>
        <v>50</v>
      </c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</row>
    <row r="294" spans="1:30" ht="15.75" x14ac:dyDescent="0.25">
      <c r="A294" s="15">
        <v>50222</v>
      </c>
      <c r="B294" s="69">
        <v>31</v>
      </c>
      <c r="C294" s="56">
        <f>194.205</f>
        <v>194.20500000000001</v>
      </c>
      <c r="D294" s="56">
        <f>267.466</f>
        <v>267.46600000000001</v>
      </c>
      <c r="E294" s="64">
        <f>133.845</f>
        <v>133.845</v>
      </c>
      <c r="F294" s="56">
        <f>278.484-40-25-60-100</f>
        <v>53.48399999999998</v>
      </c>
      <c r="G294" s="59">
        <v>40</v>
      </c>
      <c r="H294" s="56">
        <f t="shared" si="48"/>
        <v>185</v>
      </c>
      <c r="I294" s="56">
        <f t="shared" si="39"/>
        <v>0</v>
      </c>
      <c r="J294" s="59">
        <v>100</v>
      </c>
      <c r="K294" s="59">
        <v>300</v>
      </c>
      <c r="L294" s="56">
        <f t="shared" si="43"/>
        <v>1274</v>
      </c>
      <c r="M294" s="66">
        <v>600</v>
      </c>
      <c r="N294" s="56">
        <f>30</f>
        <v>30</v>
      </c>
      <c r="O294" s="59">
        <v>240</v>
      </c>
      <c r="P294" s="59">
        <v>160</v>
      </c>
      <c r="Q294" s="59">
        <f t="shared" si="44"/>
        <v>195</v>
      </c>
      <c r="R294" s="59">
        <f t="shared" si="45"/>
        <v>100</v>
      </c>
      <c r="S294" s="56">
        <f t="shared" si="46"/>
        <v>695</v>
      </c>
      <c r="T294" s="56">
        <f>0</f>
        <v>0</v>
      </c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</row>
    <row r="295" spans="1:30" ht="15.75" x14ac:dyDescent="0.25">
      <c r="A295" s="15">
        <v>50253</v>
      </c>
      <c r="B295" s="69">
        <v>31</v>
      </c>
      <c r="C295" s="56">
        <f>194.205</f>
        <v>194.20500000000001</v>
      </c>
      <c r="D295" s="56">
        <f>267.466</f>
        <v>267.46600000000001</v>
      </c>
      <c r="E295" s="64">
        <f>133.845</f>
        <v>133.845</v>
      </c>
      <c r="F295" s="56">
        <f>278.484-40-25-60-100</f>
        <v>53.48399999999998</v>
      </c>
      <c r="G295" s="59">
        <v>40</v>
      </c>
      <c r="H295" s="56">
        <f t="shared" si="48"/>
        <v>185</v>
      </c>
      <c r="I295" s="56">
        <f t="shared" si="39"/>
        <v>0</v>
      </c>
      <c r="J295" s="59">
        <v>100</v>
      </c>
      <c r="K295" s="59">
        <v>300</v>
      </c>
      <c r="L295" s="56">
        <f t="shared" si="43"/>
        <v>1274</v>
      </c>
      <c r="M295" s="66">
        <v>600</v>
      </c>
      <c r="N295" s="56">
        <f>30</f>
        <v>30</v>
      </c>
      <c r="O295" s="59">
        <v>240</v>
      </c>
      <c r="P295" s="59">
        <v>160</v>
      </c>
      <c r="Q295" s="59">
        <f t="shared" si="44"/>
        <v>195</v>
      </c>
      <c r="R295" s="59">
        <f t="shared" si="45"/>
        <v>100</v>
      </c>
      <c r="S295" s="56">
        <f t="shared" si="46"/>
        <v>695</v>
      </c>
      <c r="T295" s="56">
        <f>0</f>
        <v>0</v>
      </c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</row>
    <row r="296" spans="1:30" ht="15.75" x14ac:dyDescent="0.25">
      <c r="A296" s="15">
        <v>50284</v>
      </c>
      <c r="B296" s="69">
        <v>30</v>
      </c>
      <c r="C296" s="56">
        <f>194.205</f>
        <v>194.20500000000001</v>
      </c>
      <c r="D296" s="56">
        <f>267.466</f>
        <v>267.46600000000001</v>
      </c>
      <c r="E296" s="64">
        <f>133.845</f>
        <v>133.845</v>
      </c>
      <c r="F296" s="56">
        <f>278.484-40-25-60-100</f>
        <v>53.48399999999998</v>
      </c>
      <c r="G296" s="59">
        <v>40</v>
      </c>
      <c r="H296" s="56">
        <f t="shared" si="48"/>
        <v>185</v>
      </c>
      <c r="I296" s="56">
        <f t="shared" ref="I296:I359" si="49">400-J296-K296</f>
        <v>0</v>
      </c>
      <c r="J296" s="59">
        <v>100</v>
      </c>
      <c r="K296" s="59">
        <v>300</v>
      </c>
      <c r="L296" s="56">
        <f t="shared" si="43"/>
        <v>1274</v>
      </c>
      <c r="M296" s="66">
        <v>600</v>
      </c>
      <c r="N296" s="56">
        <f>30</f>
        <v>30</v>
      </c>
      <c r="O296" s="59">
        <v>240</v>
      </c>
      <c r="P296" s="59">
        <v>160</v>
      </c>
      <c r="Q296" s="59">
        <f t="shared" si="44"/>
        <v>195</v>
      </c>
      <c r="R296" s="59">
        <f t="shared" si="45"/>
        <v>100</v>
      </c>
      <c r="S296" s="56">
        <f t="shared" si="46"/>
        <v>695</v>
      </c>
      <c r="T296" s="56">
        <f>0</f>
        <v>0</v>
      </c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</row>
    <row r="297" spans="1:30" ht="15.75" x14ac:dyDescent="0.25">
      <c r="A297" s="15">
        <v>50314</v>
      </c>
      <c r="B297" s="69">
        <v>31</v>
      </c>
      <c r="C297" s="56">
        <f>131.881</f>
        <v>131.881</v>
      </c>
      <c r="D297" s="56">
        <f>277.167</f>
        <v>277.16699999999997</v>
      </c>
      <c r="E297" s="64">
        <f>79.08</f>
        <v>79.08</v>
      </c>
      <c r="F297" s="56">
        <f>350.872-40-25-60-100</f>
        <v>125.87200000000001</v>
      </c>
      <c r="G297" s="59">
        <v>40</v>
      </c>
      <c r="H297" s="56">
        <f t="shared" si="48"/>
        <v>185</v>
      </c>
      <c r="I297" s="56">
        <f t="shared" si="49"/>
        <v>0</v>
      </c>
      <c r="J297" s="59">
        <v>100</v>
      </c>
      <c r="K297" s="59">
        <v>300</v>
      </c>
      <c r="L297" s="56">
        <f t="shared" si="43"/>
        <v>1239</v>
      </c>
      <c r="M297" s="66">
        <v>600</v>
      </c>
      <c r="N297" s="56">
        <f>75</f>
        <v>75</v>
      </c>
      <c r="O297" s="59">
        <v>240</v>
      </c>
      <c r="P297" s="59">
        <v>160</v>
      </c>
      <c r="Q297" s="59">
        <f t="shared" si="44"/>
        <v>195</v>
      </c>
      <c r="R297" s="59">
        <f t="shared" si="45"/>
        <v>100</v>
      </c>
      <c r="S297" s="56">
        <f t="shared" si="46"/>
        <v>695</v>
      </c>
      <c r="T297" s="56">
        <f>0</f>
        <v>0</v>
      </c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</row>
    <row r="298" spans="1:30" ht="15.75" x14ac:dyDescent="0.25">
      <c r="A298" s="15">
        <v>50345</v>
      </c>
      <c r="B298" s="69">
        <v>30</v>
      </c>
      <c r="C298" s="56">
        <f>122.58</f>
        <v>122.58</v>
      </c>
      <c r="D298" s="56">
        <f>297.941</f>
        <v>297.94099999999997</v>
      </c>
      <c r="E298" s="64">
        <f>89.177</f>
        <v>89.177000000000007</v>
      </c>
      <c r="F298" s="56">
        <f>240.302-40-60-100</f>
        <v>40.301999999999992</v>
      </c>
      <c r="G298" s="59">
        <v>40</v>
      </c>
      <c r="H298" s="56">
        <f>60+100</f>
        <v>160</v>
      </c>
      <c r="I298" s="56">
        <f t="shared" si="49"/>
        <v>0</v>
      </c>
      <c r="J298" s="59">
        <v>100</v>
      </c>
      <c r="K298" s="59">
        <v>300</v>
      </c>
      <c r="L298" s="56">
        <f t="shared" si="43"/>
        <v>1150</v>
      </c>
      <c r="M298" s="66">
        <v>600</v>
      </c>
      <c r="N298" s="56">
        <f>100</f>
        <v>100</v>
      </c>
      <c r="O298" s="59">
        <v>240</v>
      </c>
      <c r="P298" s="59">
        <v>40</v>
      </c>
      <c r="Q298" s="59">
        <f t="shared" si="44"/>
        <v>315</v>
      </c>
      <c r="R298" s="59">
        <f t="shared" si="45"/>
        <v>100</v>
      </c>
      <c r="S298" s="56">
        <f t="shared" si="46"/>
        <v>695</v>
      </c>
      <c r="T298" s="56">
        <f>50</f>
        <v>50</v>
      </c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</row>
    <row r="299" spans="1:30" ht="15.75" x14ac:dyDescent="0.25">
      <c r="A299" s="15">
        <v>50375</v>
      </c>
      <c r="B299" s="69">
        <v>31</v>
      </c>
      <c r="C299" s="56">
        <f>122.58</f>
        <v>122.58</v>
      </c>
      <c r="D299" s="56">
        <f>297.941</f>
        <v>297.94099999999997</v>
      </c>
      <c r="E299" s="64">
        <f>89.177</f>
        <v>89.177000000000007</v>
      </c>
      <c r="F299" s="56">
        <f>240.302-40-60-100</f>
        <v>40.301999999999992</v>
      </c>
      <c r="G299" s="59">
        <v>40</v>
      </c>
      <c r="H299" s="56">
        <f>60+100</f>
        <v>160</v>
      </c>
      <c r="I299" s="56">
        <f t="shared" si="49"/>
        <v>0</v>
      </c>
      <c r="J299" s="59">
        <v>100</v>
      </c>
      <c r="K299" s="59">
        <v>300</v>
      </c>
      <c r="L299" s="56">
        <f t="shared" si="43"/>
        <v>1150</v>
      </c>
      <c r="M299" s="66">
        <v>600</v>
      </c>
      <c r="N299" s="56">
        <f>100</f>
        <v>100</v>
      </c>
      <c r="O299" s="59">
        <v>240</v>
      </c>
      <c r="P299" s="59">
        <v>40</v>
      </c>
      <c r="Q299" s="59">
        <f t="shared" si="44"/>
        <v>315</v>
      </c>
      <c r="R299" s="59">
        <f t="shared" si="45"/>
        <v>100</v>
      </c>
      <c r="S299" s="56">
        <f t="shared" si="46"/>
        <v>695</v>
      </c>
      <c r="T299" s="56">
        <f>50</f>
        <v>50</v>
      </c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</row>
    <row r="300" spans="1:30" ht="15.75" x14ac:dyDescent="0.25">
      <c r="A300" s="14">
        <v>50436</v>
      </c>
      <c r="B300" s="68">
        <v>31</v>
      </c>
      <c r="C300" s="56">
        <f>122.58</f>
        <v>122.58</v>
      </c>
      <c r="D300" s="56">
        <f>297.941</f>
        <v>297.94099999999997</v>
      </c>
      <c r="E300" s="64">
        <f>89.177</f>
        <v>89.177000000000007</v>
      </c>
      <c r="F300" s="56">
        <f>240.302-40-60-100</f>
        <v>40.301999999999992</v>
      </c>
      <c r="G300" s="59">
        <v>40</v>
      </c>
      <c r="H300" s="56">
        <f>60+100</f>
        <v>160</v>
      </c>
      <c r="I300" s="56">
        <f t="shared" si="49"/>
        <v>0</v>
      </c>
      <c r="J300" s="59">
        <v>100</v>
      </c>
      <c r="K300" s="59">
        <v>300</v>
      </c>
      <c r="L300" s="56">
        <f t="shared" si="43"/>
        <v>1150</v>
      </c>
      <c r="M300" s="66">
        <v>600</v>
      </c>
      <c r="N300" s="56">
        <f>100</f>
        <v>100</v>
      </c>
      <c r="O300" s="59">
        <v>240</v>
      </c>
      <c r="P300" s="59">
        <v>40</v>
      </c>
      <c r="Q300" s="59">
        <f t="shared" si="44"/>
        <v>315</v>
      </c>
      <c r="R300" s="59">
        <f t="shared" si="45"/>
        <v>100</v>
      </c>
      <c r="S300" s="56">
        <f t="shared" si="46"/>
        <v>695</v>
      </c>
      <c r="T300" s="56">
        <f>50</f>
        <v>50</v>
      </c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</row>
    <row r="301" spans="1:30" ht="15.75" x14ac:dyDescent="0.25">
      <c r="A301" s="14">
        <v>50464</v>
      </c>
      <c r="B301" s="68">
        <v>28</v>
      </c>
      <c r="C301" s="56">
        <f>122.58</f>
        <v>122.58</v>
      </c>
      <c r="D301" s="56">
        <f>297.941</f>
        <v>297.94099999999997</v>
      </c>
      <c r="E301" s="64">
        <f>89.177</f>
        <v>89.177000000000007</v>
      </c>
      <c r="F301" s="56">
        <f>240.302-40-60-100</f>
        <v>40.301999999999992</v>
      </c>
      <c r="G301" s="59">
        <v>40</v>
      </c>
      <c r="H301" s="56">
        <f>60+100</f>
        <v>160</v>
      </c>
      <c r="I301" s="56">
        <f t="shared" si="49"/>
        <v>0</v>
      </c>
      <c r="J301" s="59">
        <v>100</v>
      </c>
      <c r="K301" s="59">
        <v>300</v>
      </c>
      <c r="L301" s="56">
        <f t="shared" si="43"/>
        <v>1150</v>
      </c>
      <c r="M301" s="66">
        <v>600</v>
      </c>
      <c r="N301" s="56">
        <f>100</f>
        <v>100</v>
      </c>
      <c r="O301" s="59">
        <v>240</v>
      </c>
      <c r="P301" s="59">
        <v>40</v>
      </c>
      <c r="Q301" s="59">
        <f t="shared" si="44"/>
        <v>315</v>
      </c>
      <c r="R301" s="59">
        <f t="shared" si="45"/>
        <v>100</v>
      </c>
      <c r="S301" s="56">
        <f t="shared" si="46"/>
        <v>695</v>
      </c>
      <c r="T301" s="56">
        <f>50</f>
        <v>50</v>
      </c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</row>
    <row r="302" spans="1:30" ht="15.75" x14ac:dyDescent="0.25">
      <c r="A302" s="14">
        <v>50495</v>
      </c>
      <c r="B302" s="68">
        <v>31</v>
      </c>
      <c r="C302" s="56">
        <f>122.58</f>
        <v>122.58</v>
      </c>
      <c r="D302" s="56">
        <f>297.941</f>
        <v>297.94099999999997</v>
      </c>
      <c r="E302" s="64">
        <f>89.177</f>
        <v>89.177000000000007</v>
      </c>
      <c r="F302" s="56">
        <f>240.302-40-60-100</f>
        <v>40.301999999999992</v>
      </c>
      <c r="G302" s="59">
        <v>40</v>
      </c>
      <c r="H302" s="56">
        <f>60+100</f>
        <v>160</v>
      </c>
      <c r="I302" s="56">
        <f t="shared" si="49"/>
        <v>0</v>
      </c>
      <c r="J302" s="59">
        <v>100</v>
      </c>
      <c r="K302" s="59">
        <v>300</v>
      </c>
      <c r="L302" s="56">
        <f t="shared" si="43"/>
        <v>1150</v>
      </c>
      <c r="M302" s="66">
        <v>600</v>
      </c>
      <c r="N302" s="56">
        <f>100</f>
        <v>100</v>
      </c>
      <c r="O302" s="59">
        <v>240</v>
      </c>
      <c r="P302" s="59">
        <v>40</v>
      </c>
      <c r="Q302" s="59">
        <f t="shared" si="44"/>
        <v>315</v>
      </c>
      <c r="R302" s="59">
        <f t="shared" si="45"/>
        <v>100</v>
      </c>
      <c r="S302" s="56">
        <f t="shared" si="46"/>
        <v>695</v>
      </c>
      <c r="T302" s="56">
        <f>50</f>
        <v>50</v>
      </c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</row>
    <row r="303" spans="1:30" ht="15.75" x14ac:dyDescent="0.25">
      <c r="A303" s="14">
        <v>50525</v>
      </c>
      <c r="B303" s="68">
        <v>30</v>
      </c>
      <c r="C303" s="56">
        <f>141.293</f>
        <v>141.29300000000001</v>
      </c>
      <c r="D303" s="56">
        <f>267.993</f>
        <v>267.99299999999999</v>
      </c>
      <c r="E303" s="64">
        <f>115.016</f>
        <v>115.01600000000001</v>
      </c>
      <c r="F303" s="56">
        <f>314.698-40-25-60-100</f>
        <v>89.697999999999979</v>
      </c>
      <c r="G303" s="59">
        <v>40</v>
      </c>
      <c r="H303" s="56">
        <f t="shared" ref="H303:H309" si="50">25+60+100</f>
        <v>185</v>
      </c>
      <c r="I303" s="56">
        <f t="shared" si="49"/>
        <v>0</v>
      </c>
      <c r="J303" s="59">
        <v>100</v>
      </c>
      <c r="K303" s="59">
        <v>300</v>
      </c>
      <c r="L303" s="56">
        <f t="shared" si="43"/>
        <v>1239</v>
      </c>
      <c r="M303" s="66">
        <v>600</v>
      </c>
      <c r="N303" s="56">
        <f>100</f>
        <v>100</v>
      </c>
      <c r="O303" s="59">
        <v>240</v>
      </c>
      <c r="P303" s="59">
        <v>160</v>
      </c>
      <c r="Q303" s="59">
        <f t="shared" si="44"/>
        <v>195</v>
      </c>
      <c r="R303" s="59">
        <f t="shared" si="45"/>
        <v>100</v>
      </c>
      <c r="S303" s="56">
        <f t="shared" si="46"/>
        <v>695</v>
      </c>
      <c r="T303" s="56">
        <f>50</f>
        <v>50</v>
      </c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</row>
    <row r="304" spans="1:30" ht="15.75" x14ac:dyDescent="0.25">
      <c r="A304" s="14">
        <v>50556</v>
      </c>
      <c r="B304" s="68">
        <v>31</v>
      </c>
      <c r="C304" s="56">
        <f>194.205</f>
        <v>194.20500000000001</v>
      </c>
      <c r="D304" s="56">
        <f>267.466</f>
        <v>267.46600000000001</v>
      </c>
      <c r="E304" s="64">
        <f>133.845</f>
        <v>133.845</v>
      </c>
      <c r="F304" s="56">
        <f>278.484-40-25-60-100</f>
        <v>53.48399999999998</v>
      </c>
      <c r="G304" s="59">
        <v>40</v>
      </c>
      <c r="H304" s="56">
        <f t="shared" si="50"/>
        <v>185</v>
      </c>
      <c r="I304" s="56">
        <f t="shared" si="49"/>
        <v>0</v>
      </c>
      <c r="J304" s="59">
        <v>100</v>
      </c>
      <c r="K304" s="59">
        <v>300</v>
      </c>
      <c r="L304" s="56">
        <f t="shared" si="43"/>
        <v>1274</v>
      </c>
      <c r="M304" s="66">
        <v>600</v>
      </c>
      <c r="N304" s="56">
        <f>75</f>
        <v>75</v>
      </c>
      <c r="O304" s="59">
        <v>240</v>
      </c>
      <c r="P304" s="59">
        <v>160</v>
      </c>
      <c r="Q304" s="59">
        <f t="shared" si="44"/>
        <v>195</v>
      </c>
      <c r="R304" s="59">
        <f t="shared" si="45"/>
        <v>100</v>
      </c>
      <c r="S304" s="56">
        <f t="shared" si="46"/>
        <v>695</v>
      </c>
      <c r="T304" s="56">
        <f>50</f>
        <v>50</v>
      </c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</row>
    <row r="305" spans="1:30" ht="15.75" x14ac:dyDescent="0.25">
      <c r="A305" s="14">
        <v>50586</v>
      </c>
      <c r="B305" s="68">
        <v>30</v>
      </c>
      <c r="C305" s="56">
        <f>194.205</f>
        <v>194.20500000000001</v>
      </c>
      <c r="D305" s="56">
        <f>267.466</f>
        <v>267.46600000000001</v>
      </c>
      <c r="E305" s="64">
        <f>133.845</f>
        <v>133.845</v>
      </c>
      <c r="F305" s="56">
        <f>278.484-40-25-60-100</f>
        <v>53.48399999999998</v>
      </c>
      <c r="G305" s="59">
        <v>40</v>
      </c>
      <c r="H305" s="56">
        <f t="shared" si="50"/>
        <v>185</v>
      </c>
      <c r="I305" s="56">
        <f t="shared" si="49"/>
        <v>0</v>
      </c>
      <c r="J305" s="59">
        <v>100</v>
      </c>
      <c r="K305" s="59">
        <v>300</v>
      </c>
      <c r="L305" s="56">
        <f t="shared" si="43"/>
        <v>1274</v>
      </c>
      <c r="M305" s="66">
        <v>600</v>
      </c>
      <c r="N305" s="56">
        <f>30</f>
        <v>30</v>
      </c>
      <c r="O305" s="59">
        <v>240</v>
      </c>
      <c r="P305" s="59">
        <v>160</v>
      </c>
      <c r="Q305" s="59">
        <f t="shared" si="44"/>
        <v>195</v>
      </c>
      <c r="R305" s="59">
        <f t="shared" si="45"/>
        <v>100</v>
      </c>
      <c r="S305" s="56">
        <f t="shared" si="46"/>
        <v>695</v>
      </c>
      <c r="T305" s="56">
        <f>50</f>
        <v>50</v>
      </c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</row>
    <row r="306" spans="1:30" ht="15.75" x14ac:dyDescent="0.25">
      <c r="A306" s="14">
        <v>50617</v>
      </c>
      <c r="B306" s="68">
        <v>31</v>
      </c>
      <c r="C306" s="56">
        <f>194.205</f>
        <v>194.20500000000001</v>
      </c>
      <c r="D306" s="56">
        <f>267.466</f>
        <v>267.46600000000001</v>
      </c>
      <c r="E306" s="64">
        <f>133.845</f>
        <v>133.845</v>
      </c>
      <c r="F306" s="56">
        <f>278.484-40-25-60-100</f>
        <v>53.48399999999998</v>
      </c>
      <c r="G306" s="59">
        <v>40</v>
      </c>
      <c r="H306" s="56">
        <f t="shared" si="50"/>
        <v>185</v>
      </c>
      <c r="I306" s="56">
        <f t="shared" si="49"/>
        <v>0</v>
      </c>
      <c r="J306" s="59">
        <v>100</v>
      </c>
      <c r="K306" s="59">
        <v>300</v>
      </c>
      <c r="L306" s="56">
        <f t="shared" si="43"/>
        <v>1274</v>
      </c>
      <c r="M306" s="66">
        <v>600</v>
      </c>
      <c r="N306" s="56">
        <f>30</f>
        <v>30</v>
      </c>
      <c r="O306" s="59">
        <v>240</v>
      </c>
      <c r="P306" s="59">
        <v>160</v>
      </c>
      <c r="Q306" s="59">
        <f t="shared" si="44"/>
        <v>195</v>
      </c>
      <c r="R306" s="59">
        <f t="shared" si="45"/>
        <v>100</v>
      </c>
      <c r="S306" s="56">
        <f t="shared" si="46"/>
        <v>695</v>
      </c>
      <c r="T306" s="56">
        <f>0</f>
        <v>0</v>
      </c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</row>
    <row r="307" spans="1:30" ht="15.75" x14ac:dyDescent="0.25">
      <c r="A307" s="14">
        <v>50648</v>
      </c>
      <c r="B307" s="68">
        <v>31</v>
      </c>
      <c r="C307" s="56">
        <f>194.205</f>
        <v>194.20500000000001</v>
      </c>
      <c r="D307" s="56">
        <f>267.466</f>
        <v>267.46600000000001</v>
      </c>
      <c r="E307" s="64">
        <f>133.845</f>
        <v>133.845</v>
      </c>
      <c r="F307" s="56">
        <f>278.484-40-25-60-100</f>
        <v>53.48399999999998</v>
      </c>
      <c r="G307" s="59">
        <v>40</v>
      </c>
      <c r="H307" s="56">
        <f t="shared" si="50"/>
        <v>185</v>
      </c>
      <c r="I307" s="56">
        <f t="shared" si="49"/>
        <v>0</v>
      </c>
      <c r="J307" s="59">
        <v>100</v>
      </c>
      <c r="K307" s="59">
        <v>300</v>
      </c>
      <c r="L307" s="56">
        <f t="shared" si="43"/>
        <v>1274</v>
      </c>
      <c r="M307" s="66">
        <v>600</v>
      </c>
      <c r="N307" s="56">
        <f>30</f>
        <v>30</v>
      </c>
      <c r="O307" s="59">
        <v>240</v>
      </c>
      <c r="P307" s="59">
        <v>160</v>
      </c>
      <c r="Q307" s="59">
        <f t="shared" si="44"/>
        <v>195</v>
      </c>
      <c r="R307" s="59">
        <f t="shared" si="45"/>
        <v>100</v>
      </c>
      <c r="S307" s="56">
        <f t="shared" si="46"/>
        <v>695</v>
      </c>
      <c r="T307" s="56">
        <f>0</f>
        <v>0</v>
      </c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</row>
    <row r="308" spans="1:30" ht="15.75" x14ac:dyDescent="0.25">
      <c r="A308" s="14">
        <v>50678</v>
      </c>
      <c r="B308" s="68">
        <v>30</v>
      </c>
      <c r="C308" s="56">
        <f>194.205</f>
        <v>194.20500000000001</v>
      </c>
      <c r="D308" s="56">
        <f>267.466</f>
        <v>267.46600000000001</v>
      </c>
      <c r="E308" s="64">
        <f>133.845</f>
        <v>133.845</v>
      </c>
      <c r="F308" s="56">
        <f>278.484-40-25-60-100</f>
        <v>53.48399999999998</v>
      </c>
      <c r="G308" s="59">
        <v>40</v>
      </c>
      <c r="H308" s="56">
        <f t="shared" si="50"/>
        <v>185</v>
      </c>
      <c r="I308" s="56">
        <f t="shared" si="49"/>
        <v>0</v>
      </c>
      <c r="J308" s="59">
        <v>100</v>
      </c>
      <c r="K308" s="59">
        <v>300</v>
      </c>
      <c r="L308" s="56">
        <f t="shared" si="43"/>
        <v>1274</v>
      </c>
      <c r="M308" s="66">
        <v>600</v>
      </c>
      <c r="N308" s="56">
        <f>30</f>
        <v>30</v>
      </c>
      <c r="O308" s="59">
        <v>240</v>
      </c>
      <c r="P308" s="59">
        <v>160</v>
      </c>
      <c r="Q308" s="59">
        <f t="shared" si="44"/>
        <v>195</v>
      </c>
      <c r="R308" s="59">
        <f t="shared" si="45"/>
        <v>100</v>
      </c>
      <c r="S308" s="56">
        <f t="shared" si="46"/>
        <v>695</v>
      </c>
      <c r="T308" s="56">
        <f>0</f>
        <v>0</v>
      </c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</row>
    <row r="309" spans="1:30" ht="15.75" x14ac:dyDescent="0.25">
      <c r="A309" s="14">
        <v>50709</v>
      </c>
      <c r="B309" s="68">
        <v>31</v>
      </c>
      <c r="C309" s="56">
        <f>131.881</f>
        <v>131.881</v>
      </c>
      <c r="D309" s="56">
        <f>277.167</f>
        <v>277.16699999999997</v>
      </c>
      <c r="E309" s="64">
        <f>79.08</f>
        <v>79.08</v>
      </c>
      <c r="F309" s="56">
        <f>350.872-40-25-60-100</f>
        <v>125.87200000000001</v>
      </c>
      <c r="G309" s="59">
        <v>40</v>
      </c>
      <c r="H309" s="56">
        <f t="shared" si="50"/>
        <v>185</v>
      </c>
      <c r="I309" s="56">
        <f t="shared" si="49"/>
        <v>0</v>
      </c>
      <c r="J309" s="59">
        <v>100</v>
      </c>
      <c r="K309" s="59">
        <v>300</v>
      </c>
      <c r="L309" s="56">
        <f t="shared" si="43"/>
        <v>1239</v>
      </c>
      <c r="M309" s="66">
        <v>600</v>
      </c>
      <c r="N309" s="56">
        <f>75</f>
        <v>75</v>
      </c>
      <c r="O309" s="59">
        <v>240</v>
      </c>
      <c r="P309" s="59">
        <v>160</v>
      </c>
      <c r="Q309" s="59">
        <f t="shared" si="44"/>
        <v>195</v>
      </c>
      <c r="R309" s="59">
        <f t="shared" si="45"/>
        <v>100</v>
      </c>
      <c r="S309" s="56">
        <f t="shared" si="46"/>
        <v>695</v>
      </c>
      <c r="T309" s="56">
        <f>0</f>
        <v>0</v>
      </c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</row>
    <row r="310" spans="1:30" ht="15.75" x14ac:dyDescent="0.25">
      <c r="A310" s="14">
        <v>50739</v>
      </c>
      <c r="B310" s="68">
        <v>30</v>
      </c>
      <c r="C310" s="56">
        <f>122.58</f>
        <v>122.58</v>
      </c>
      <c r="D310" s="56">
        <f>297.941</f>
        <v>297.94099999999997</v>
      </c>
      <c r="E310" s="64">
        <f>89.177</f>
        <v>89.177000000000007</v>
      </c>
      <c r="F310" s="56">
        <f>240.302-40-60-100</f>
        <v>40.301999999999992</v>
      </c>
      <c r="G310" s="59">
        <v>40</v>
      </c>
      <c r="H310" s="56">
        <f>60+100</f>
        <v>160</v>
      </c>
      <c r="I310" s="56">
        <f t="shared" si="49"/>
        <v>0</v>
      </c>
      <c r="J310" s="59">
        <v>100</v>
      </c>
      <c r="K310" s="59">
        <v>300</v>
      </c>
      <c r="L310" s="56">
        <f t="shared" si="43"/>
        <v>1150</v>
      </c>
      <c r="M310" s="66">
        <v>600</v>
      </c>
      <c r="N310" s="56">
        <f>100</f>
        <v>100</v>
      </c>
      <c r="O310" s="59">
        <v>240</v>
      </c>
      <c r="P310" s="59">
        <v>40</v>
      </c>
      <c r="Q310" s="59">
        <f t="shared" si="44"/>
        <v>315</v>
      </c>
      <c r="R310" s="59">
        <f t="shared" si="45"/>
        <v>100</v>
      </c>
      <c r="S310" s="56">
        <f t="shared" si="46"/>
        <v>695</v>
      </c>
      <c r="T310" s="56">
        <f>50</f>
        <v>50</v>
      </c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</row>
    <row r="311" spans="1:30" ht="15.75" x14ac:dyDescent="0.25">
      <c r="A311" s="14">
        <v>50770</v>
      </c>
      <c r="B311" s="68">
        <v>31</v>
      </c>
      <c r="C311" s="56">
        <f>122.58</f>
        <v>122.58</v>
      </c>
      <c r="D311" s="56">
        <f>297.941</f>
        <v>297.94099999999997</v>
      </c>
      <c r="E311" s="64">
        <f>89.177</f>
        <v>89.177000000000007</v>
      </c>
      <c r="F311" s="56">
        <f>240.302-40-60-100</f>
        <v>40.301999999999992</v>
      </c>
      <c r="G311" s="59">
        <v>40</v>
      </c>
      <c r="H311" s="56">
        <f>60+100</f>
        <v>160</v>
      </c>
      <c r="I311" s="56">
        <f t="shared" si="49"/>
        <v>0</v>
      </c>
      <c r="J311" s="59">
        <v>100</v>
      </c>
      <c r="K311" s="59">
        <v>300</v>
      </c>
      <c r="L311" s="56">
        <f t="shared" si="43"/>
        <v>1150</v>
      </c>
      <c r="M311" s="66">
        <v>600</v>
      </c>
      <c r="N311" s="56">
        <f>100</f>
        <v>100</v>
      </c>
      <c r="O311" s="59">
        <v>240</v>
      </c>
      <c r="P311" s="59">
        <v>40</v>
      </c>
      <c r="Q311" s="59">
        <f t="shared" si="44"/>
        <v>315</v>
      </c>
      <c r="R311" s="59">
        <f t="shared" si="45"/>
        <v>100</v>
      </c>
      <c r="S311" s="56">
        <f t="shared" si="46"/>
        <v>695</v>
      </c>
      <c r="T311" s="56">
        <f>50</f>
        <v>50</v>
      </c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</row>
    <row r="312" spans="1:30" ht="15.75" x14ac:dyDescent="0.25">
      <c r="A312" s="14">
        <v>50801</v>
      </c>
      <c r="B312" s="68">
        <v>31</v>
      </c>
      <c r="C312" s="56">
        <f>122.58</f>
        <v>122.58</v>
      </c>
      <c r="D312" s="56">
        <f>297.941</f>
        <v>297.94099999999997</v>
      </c>
      <c r="E312" s="64">
        <f>89.177</f>
        <v>89.177000000000007</v>
      </c>
      <c r="F312" s="56">
        <f>240.302-40-60-100</f>
        <v>40.301999999999992</v>
      </c>
      <c r="G312" s="59">
        <v>40</v>
      </c>
      <c r="H312" s="56">
        <f>60+100</f>
        <v>160</v>
      </c>
      <c r="I312" s="56">
        <f t="shared" si="49"/>
        <v>0</v>
      </c>
      <c r="J312" s="59">
        <v>100</v>
      </c>
      <c r="K312" s="59">
        <v>300</v>
      </c>
      <c r="L312" s="56">
        <f t="shared" si="43"/>
        <v>1150</v>
      </c>
      <c r="M312" s="66">
        <v>600</v>
      </c>
      <c r="N312" s="56">
        <f>100</f>
        <v>100</v>
      </c>
      <c r="O312" s="59">
        <v>240</v>
      </c>
      <c r="P312" s="59">
        <v>40</v>
      </c>
      <c r="Q312" s="59">
        <f t="shared" si="44"/>
        <v>315</v>
      </c>
      <c r="R312" s="59">
        <f t="shared" si="45"/>
        <v>100</v>
      </c>
      <c r="S312" s="56">
        <f t="shared" si="46"/>
        <v>695</v>
      </c>
      <c r="T312" s="56">
        <f>50</f>
        <v>50</v>
      </c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</row>
    <row r="313" spans="1:30" ht="15.75" x14ac:dyDescent="0.25">
      <c r="A313" s="14">
        <v>50829</v>
      </c>
      <c r="B313" s="68">
        <v>28</v>
      </c>
      <c r="C313" s="56">
        <f>122.58</f>
        <v>122.58</v>
      </c>
      <c r="D313" s="56">
        <f>297.941</f>
        <v>297.94099999999997</v>
      </c>
      <c r="E313" s="64">
        <f>89.177</f>
        <v>89.177000000000007</v>
      </c>
      <c r="F313" s="56">
        <f>240.302-40-60-100</f>
        <v>40.301999999999992</v>
      </c>
      <c r="G313" s="59">
        <v>40</v>
      </c>
      <c r="H313" s="56">
        <f>60+100</f>
        <v>160</v>
      </c>
      <c r="I313" s="56">
        <f t="shared" si="49"/>
        <v>0</v>
      </c>
      <c r="J313" s="59">
        <v>100</v>
      </c>
      <c r="K313" s="59">
        <v>300</v>
      </c>
      <c r="L313" s="56">
        <f t="shared" si="43"/>
        <v>1150</v>
      </c>
      <c r="M313" s="66">
        <v>600</v>
      </c>
      <c r="N313" s="56">
        <f>100</f>
        <v>100</v>
      </c>
      <c r="O313" s="59">
        <v>240</v>
      </c>
      <c r="P313" s="59">
        <v>40</v>
      </c>
      <c r="Q313" s="59">
        <f t="shared" si="44"/>
        <v>315</v>
      </c>
      <c r="R313" s="59">
        <f t="shared" si="45"/>
        <v>100</v>
      </c>
      <c r="S313" s="56">
        <f t="shared" si="46"/>
        <v>695</v>
      </c>
      <c r="T313" s="56">
        <f>50</f>
        <v>50</v>
      </c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</row>
    <row r="314" spans="1:30" ht="15.75" x14ac:dyDescent="0.25">
      <c r="A314" s="14">
        <v>50860</v>
      </c>
      <c r="B314" s="68">
        <v>31</v>
      </c>
      <c r="C314" s="56">
        <f>122.58</f>
        <v>122.58</v>
      </c>
      <c r="D314" s="56">
        <f>297.941</f>
        <v>297.94099999999997</v>
      </c>
      <c r="E314" s="64">
        <f>89.177</f>
        <v>89.177000000000007</v>
      </c>
      <c r="F314" s="56">
        <f>240.302-40-60-100</f>
        <v>40.301999999999992</v>
      </c>
      <c r="G314" s="59">
        <v>40</v>
      </c>
      <c r="H314" s="56">
        <f>60+100</f>
        <v>160</v>
      </c>
      <c r="I314" s="56">
        <f t="shared" si="49"/>
        <v>0</v>
      </c>
      <c r="J314" s="59">
        <v>100</v>
      </c>
      <c r="K314" s="59">
        <v>300</v>
      </c>
      <c r="L314" s="56">
        <f t="shared" si="43"/>
        <v>1150</v>
      </c>
      <c r="M314" s="66">
        <v>600</v>
      </c>
      <c r="N314" s="56">
        <f>100</f>
        <v>100</v>
      </c>
      <c r="O314" s="59">
        <v>240</v>
      </c>
      <c r="P314" s="59">
        <v>40</v>
      </c>
      <c r="Q314" s="59">
        <f t="shared" si="44"/>
        <v>315</v>
      </c>
      <c r="R314" s="59">
        <f t="shared" si="45"/>
        <v>100</v>
      </c>
      <c r="S314" s="56">
        <f t="shared" si="46"/>
        <v>695</v>
      </c>
      <c r="T314" s="56">
        <f>50</f>
        <v>50</v>
      </c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</row>
    <row r="315" spans="1:30" ht="15.75" x14ac:dyDescent="0.25">
      <c r="A315" s="14">
        <v>50890</v>
      </c>
      <c r="B315" s="68">
        <v>30</v>
      </c>
      <c r="C315" s="56">
        <f>141.293</f>
        <v>141.29300000000001</v>
      </c>
      <c r="D315" s="56">
        <f>267.993</f>
        <v>267.99299999999999</v>
      </c>
      <c r="E315" s="64">
        <f>115.016</f>
        <v>115.01600000000001</v>
      </c>
      <c r="F315" s="56">
        <f>314.698-40-25-60-100</f>
        <v>89.697999999999979</v>
      </c>
      <c r="G315" s="59">
        <v>40</v>
      </c>
      <c r="H315" s="56">
        <f t="shared" ref="H315:H321" si="51">25+60+100</f>
        <v>185</v>
      </c>
      <c r="I315" s="56">
        <f t="shared" si="49"/>
        <v>0</v>
      </c>
      <c r="J315" s="59">
        <v>100</v>
      </c>
      <c r="K315" s="59">
        <v>300</v>
      </c>
      <c r="L315" s="56">
        <f t="shared" si="43"/>
        <v>1239</v>
      </c>
      <c r="M315" s="66">
        <v>600</v>
      </c>
      <c r="N315" s="56">
        <f>100</f>
        <v>100</v>
      </c>
      <c r="O315" s="59">
        <v>240</v>
      </c>
      <c r="P315" s="59">
        <v>160</v>
      </c>
      <c r="Q315" s="59">
        <f t="shared" si="44"/>
        <v>195</v>
      </c>
      <c r="R315" s="59">
        <f t="shared" si="45"/>
        <v>100</v>
      </c>
      <c r="S315" s="56">
        <f t="shared" si="46"/>
        <v>695</v>
      </c>
      <c r="T315" s="56">
        <f>50</f>
        <v>50</v>
      </c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</row>
    <row r="316" spans="1:30" ht="15.75" x14ac:dyDescent="0.25">
      <c r="A316" s="14">
        <v>50921</v>
      </c>
      <c r="B316" s="68">
        <v>31</v>
      </c>
      <c r="C316" s="56">
        <f>194.205</f>
        <v>194.20500000000001</v>
      </c>
      <c r="D316" s="56">
        <f>267.466</f>
        <v>267.46600000000001</v>
      </c>
      <c r="E316" s="64">
        <f>133.845</f>
        <v>133.845</v>
      </c>
      <c r="F316" s="56">
        <f>278.484-40-25-60-100</f>
        <v>53.48399999999998</v>
      </c>
      <c r="G316" s="59">
        <v>40</v>
      </c>
      <c r="H316" s="56">
        <f t="shared" si="51"/>
        <v>185</v>
      </c>
      <c r="I316" s="56">
        <f t="shared" si="49"/>
        <v>0</v>
      </c>
      <c r="J316" s="59">
        <v>100</v>
      </c>
      <c r="K316" s="59">
        <v>300</v>
      </c>
      <c r="L316" s="56">
        <f t="shared" si="43"/>
        <v>1274</v>
      </c>
      <c r="M316" s="66">
        <v>600</v>
      </c>
      <c r="N316" s="56">
        <f>75</f>
        <v>75</v>
      </c>
      <c r="O316" s="59">
        <v>240</v>
      </c>
      <c r="P316" s="59">
        <v>160</v>
      </c>
      <c r="Q316" s="59">
        <f t="shared" si="44"/>
        <v>195</v>
      </c>
      <c r="R316" s="59">
        <f t="shared" si="45"/>
        <v>100</v>
      </c>
      <c r="S316" s="56">
        <f t="shared" si="46"/>
        <v>695</v>
      </c>
      <c r="T316" s="56">
        <f>50</f>
        <v>50</v>
      </c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</row>
    <row r="317" spans="1:30" ht="15.75" x14ac:dyDescent="0.25">
      <c r="A317" s="14">
        <v>50951</v>
      </c>
      <c r="B317" s="68">
        <v>30</v>
      </c>
      <c r="C317" s="56">
        <f>194.205</f>
        <v>194.20500000000001</v>
      </c>
      <c r="D317" s="56">
        <f>267.466</f>
        <v>267.46600000000001</v>
      </c>
      <c r="E317" s="64">
        <f>133.845</f>
        <v>133.845</v>
      </c>
      <c r="F317" s="56">
        <f>278.484-40-25-60-100</f>
        <v>53.48399999999998</v>
      </c>
      <c r="G317" s="59">
        <v>40</v>
      </c>
      <c r="H317" s="56">
        <f t="shared" si="51"/>
        <v>185</v>
      </c>
      <c r="I317" s="56">
        <f t="shared" si="49"/>
        <v>0</v>
      </c>
      <c r="J317" s="59">
        <v>100</v>
      </c>
      <c r="K317" s="59">
        <v>300</v>
      </c>
      <c r="L317" s="56">
        <f t="shared" si="43"/>
        <v>1274</v>
      </c>
      <c r="M317" s="66">
        <v>600</v>
      </c>
      <c r="N317" s="56">
        <f>30</f>
        <v>30</v>
      </c>
      <c r="O317" s="59">
        <v>240</v>
      </c>
      <c r="P317" s="59">
        <v>160</v>
      </c>
      <c r="Q317" s="59">
        <f t="shared" si="44"/>
        <v>195</v>
      </c>
      <c r="R317" s="59">
        <f t="shared" si="45"/>
        <v>100</v>
      </c>
      <c r="S317" s="56">
        <f t="shared" si="46"/>
        <v>695</v>
      </c>
      <c r="T317" s="56">
        <f>50</f>
        <v>50</v>
      </c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</row>
    <row r="318" spans="1:30" ht="15.75" x14ac:dyDescent="0.25">
      <c r="A318" s="14">
        <v>50982</v>
      </c>
      <c r="B318" s="68">
        <v>31</v>
      </c>
      <c r="C318" s="56">
        <f>194.205</f>
        <v>194.20500000000001</v>
      </c>
      <c r="D318" s="56">
        <f>267.466</f>
        <v>267.46600000000001</v>
      </c>
      <c r="E318" s="64">
        <f>133.845</f>
        <v>133.845</v>
      </c>
      <c r="F318" s="56">
        <f>278.484-40-25-60-100</f>
        <v>53.48399999999998</v>
      </c>
      <c r="G318" s="59">
        <v>40</v>
      </c>
      <c r="H318" s="56">
        <f t="shared" si="51"/>
        <v>185</v>
      </c>
      <c r="I318" s="56">
        <f t="shared" si="49"/>
        <v>0</v>
      </c>
      <c r="J318" s="59">
        <v>100</v>
      </c>
      <c r="K318" s="59">
        <v>300</v>
      </c>
      <c r="L318" s="56">
        <f t="shared" si="43"/>
        <v>1274</v>
      </c>
      <c r="M318" s="66">
        <v>600</v>
      </c>
      <c r="N318" s="56">
        <f>30</f>
        <v>30</v>
      </c>
      <c r="O318" s="59">
        <v>240</v>
      </c>
      <c r="P318" s="59">
        <v>160</v>
      </c>
      <c r="Q318" s="59">
        <f t="shared" si="44"/>
        <v>195</v>
      </c>
      <c r="R318" s="59">
        <f t="shared" si="45"/>
        <v>100</v>
      </c>
      <c r="S318" s="56">
        <f t="shared" si="46"/>
        <v>695</v>
      </c>
      <c r="T318" s="56">
        <f>0</f>
        <v>0</v>
      </c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</row>
    <row r="319" spans="1:30" ht="15.75" x14ac:dyDescent="0.25">
      <c r="A319" s="14">
        <v>51013</v>
      </c>
      <c r="B319" s="68">
        <v>31</v>
      </c>
      <c r="C319" s="56">
        <f>194.205</f>
        <v>194.20500000000001</v>
      </c>
      <c r="D319" s="56">
        <f>267.466</f>
        <v>267.46600000000001</v>
      </c>
      <c r="E319" s="64">
        <f>133.845</f>
        <v>133.845</v>
      </c>
      <c r="F319" s="56">
        <f>278.484-40-25-60-100</f>
        <v>53.48399999999998</v>
      </c>
      <c r="G319" s="59">
        <v>40</v>
      </c>
      <c r="H319" s="56">
        <f t="shared" si="51"/>
        <v>185</v>
      </c>
      <c r="I319" s="56">
        <f t="shared" si="49"/>
        <v>0</v>
      </c>
      <c r="J319" s="59">
        <v>100</v>
      </c>
      <c r="K319" s="59">
        <v>300</v>
      </c>
      <c r="L319" s="56">
        <f t="shared" si="43"/>
        <v>1274</v>
      </c>
      <c r="M319" s="66">
        <v>600</v>
      </c>
      <c r="N319" s="56">
        <f>30</f>
        <v>30</v>
      </c>
      <c r="O319" s="59">
        <v>240</v>
      </c>
      <c r="P319" s="59">
        <v>160</v>
      </c>
      <c r="Q319" s="59">
        <f t="shared" si="44"/>
        <v>195</v>
      </c>
      <c r="R319" s="59">
        <f t="shared" si="45"/>
        <v>100</v>
      </c>
      <c r="S319" s="56">
        <f t="shared" si="46"/>
        <v>695</v>
      </c>
      <c r="T319" s="56">
        <f>0</f>
        <v>0</v>
      </c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</row>
    <row r="320" spans="1:30" ht="15.75" x14ac:dyDescent="0.25">
      <c r="A320" s="14">
        <v>51043</v>
      </c>
      <c r="B320" s="68">
        <v>30</v>
      </c>
      <c r="C320" s="56">
        <f>194.205</f>
        <v>194.20500000000001</v>
      </c>
      <c r="D320" s="56">
        <f>267.466</f>
        <v>267.46600000000001</v>
      </c>
      <c r="E320" s="64">
        <f>133.845</f>
        <v>133.845</v>
      </c>
      <c r="F320" s="56">
        <f>278.484-40-25-60-100</f>
        <v>53.48399999999998</v>
      </c>
      <c r="G320" s="59">
        <v>40</v>
      </c>
      <c r="H320" s="56">
        <f t="shared" si="51"/>
        <v>185</v>
      </c>
      <c r="I320" s="56">
        <f t="shared" si="49"/>
        <v>0</v>
      </c>
      <c r="J320" s="59">
        <v>100</v>
      </c>
      <c r="K320" s="59">
        <v>300</v>
      </c>
      <c r="L320" s="56">
        <f t="shared" si="43"/>
        <v>1274</v>
      </c>
      <c r="M320" s="66">
        <v>600</v>
      </c>
      <c r="N320" s="56">
        <f>30</f>
        <v>30</v>
      </c>
      <c r="O320" s="59">
        <v>240</v>
      </c>
      <c r="P320" s="59">
        <v>160</v>
      </c>
      <c r="Q320" s="59">
        <f t="shared" si="44"/>
        <v>195</v>
      </c>
      <c r="R320" s="59">
        <f t="shared" si="45"/>
        <v>100</v>
      </c>
      <c r="S320" s="56">
        <f t="shared" si="46"/>
        <v>695</v>
      </c>
      <c r="T320" s="56">
        <f>0</f>
        <v>0</v>
      </c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</row>
    <row r="321" spans="1:30" ht="15.75" x14ac:dyDescent="0.25">
      <c r="A321" s="14">
        <v>51074</v>
      </c>
      <c r="B321" s="68">
        <v>31</v>
      </c>
      <c r="C321" s="56">
        <f>131.881</f>
        <v>131.881</v>
      </c>
      <c r="D321" s="56">
        <f>277.167</f>
        <v>277.16699999999997</v>
      </c>
      <c r="E321" s="64">
        <f>79.08</f>
        <v>79.08</v>
      </c>
      <c r="F321" s="56">
        <f>350.872-40-25-60-100</f>
        <v>125.87200000000001</v>
      </c>
      <c r="G321" s="59">
        <v>40</v>
      </c>
      <c r="H321" s="56">
        <f t="shared" si="51"/>
        <v>185</v>
      </c>
      <c r="I321" s="56">
        <f t="shared" si="49"/>
        <v>0</v>
      </c>
      <c r="J321" s="59">
        <v>100</v>
      </c>
      <c r="K321" s="59">
        <v>300</v>
      </c>
      <c r="L321" s="56">
        <f t="shared" si="43"/>
        <v>1239</v>
      </c>
      <c r="M321" s="66">
        <v>600</v>
      </c>
      <c r="N321" s="56">
        <f>75</f>
        <v>75</v>
      </c>
      <c r="O321" s="59">
        <v>240</v>
      </c>
      <c r="P321" s="59">
        <v>160</v>
      </c>
      <c r="Q321" s="59">
        <f t="shared" si="44"/>
        <v>195</v>
      </c>
      <c r="R321" s="59">
        <f t="shared" si="45"/>
        <v>100</v>
      </c>
      <c r="S321" s="56">
        <f t="shared" si="46"/>
        <v>695</v>
      </c>
      <c r="T321" s="56">
        <f>0</f>
        <v>0</v>
      </c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</row>
    <row r="322" spans="1:30" ht="15.75" x14ac:dyDescent="0.25">
      <c r="A322" s="14">
        <v>51104</v>
      </c>
      <c r="B322" s="68">
        <v>30</v>
      </c>
      <c r="C322" s="56">
        <f>122.58</f>
        <v>122.58</v>
      </c>
      <c r="D322" s="56">
        <f>297.941</f>
        <v>297.94099999999997</v>
      </c>
      <c r="E322" s="64">
        <f>89.177</f>
        <v>89.177000000000007</v>
      </c>
      <c r="F322" s="56">
        <f>240.302-40-60-100</f>
        <v>40.301999999999992</v>
      </c>
      <c r="G322" s="59">
        <v>40</v>
      </c>
      <c r="H322" s="56">
        <f>60+100</f>
        <v>160</v>
      </c>
      <c r="I322" s="56">
        <f t="shared" si="49"/>
        <v>0</v>
      </c>
      <c r="J322" s="59">
        <v>100</v>
      </c>
      <c r="K322" s="59">
        <v>300</v>
      </c>
      <c r="L322" s="56">
        <f t="shared" si="43"/>
        <v>1150</v>
      </c>
      <c r="M322" s="66">
        <v>600</v>
      </c>
      <c r="N322" s="56">
        <f>100</f>
        <v>100</v>
      </c>
      <c r="O322" s="59">
        <v>240</v>
      </c>
      <c r="P322" s="59">
        <v>40</v>
      </c>
      <c r="Q322" s="59">
        <f t="shared" si="44"/>
        <v>315</v>
      </c>
      <c r="R322" s="59">
        <f t="shared" si="45"/>
        <v>100</v>
      </c>
      <c r="S322" s="56">
        <f t="shared" si="46"/>
        <v>695</v>
      </c>
      <c r="T322" s="56">
        <f>50</f>
        <v>50</v>
      </c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</row>
    <row r="323" spans="1:30" ht="15.75" x14ac:dyDescent="0.25">
      <c r="A323" s="14">
        <v>51135</v>
      </c>
      <c r="B323" s="68">
        <v>31</v>
      </c>
      <c r="C323" s="56">
        <f>122.58</f>
        <v>122.58</v>
      </c>
      <c r="D323" s="56">
        <f>297.941</f>
        <v>297.94099999999997</v>
      </c>
      <c r="E323" s="64">
        <f>89.177</f>
        <v>89.177000000000007</v>
      </c>
      <c r="F323" s="56">
        <f>240.302-40-60-100</f>
        <v>40.301999999999992</v>
      </c>
      <c r="G323" s="59">
        <v>40</v>
      </c>
      <c r="H323" s="56">
        <f>60+100</f>
        <v>160</v>
      </c>
      <c r="I323" s="56">
        <f t="shared" si="49"/>
        <v>0</v>
      </c>
      <c r="J323" s="59">
        <v>100</v>
      </c>
      <c r="K323" s="59">
        <v>300</v>
      </c>
      <c r="L323" s="56">
        <f t="shared" si="43"/>
        <v>1150</v>
      </c>
      <c r="M323" s="66">
        <v>600</v>
      </c>
      <c r="N323" s="56">
        <f>100</f>
        <v>100</v>
      </c>
      <c r="O323" s="59">
        <v>240</v>
      </c>
      <c r="P323" s="59">
        <v>40</v>
      </c>
      <c r="Q323" s="59">
        <f t="shared" si="44"/>
        <v>315</v>
      </c>
      <c r="R323" s="59">
        <f t="shared" si="45"/>
        <v>100</v>
      </c>
      <c r="S323" s="56">
        <f t="shared" si="46"/>
        <v>695</v>
      </c>
      <c r="T323" s="56">
        <f>50</f>
        <v>50</v>
      </c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</row>
    <row r="324" spans="1:30" ht="15.75" x14ac:dyDescent="0.25">
      <c r="A324" s="14">
        <v>51166</v>
      </c>
      <c r="B324" s="68">
        <v>31</v>
      </c>
      <c r="C324" s="56">
        <f>122.58</f>
        <v>122.58</v>
      </c>
      <c r="D324" s="56">
        <f>297.941</f>
        <v>297.94099999999997</v>
      </c>
      <c r="E324" s="64">
        <f>89.177</f>
        <v>89.177000000000007</v>
      </c>
      <c r="F324" s="56">
        <f>240.302-40-60-100</f>
        <v>40.301999999999992</v>
      </c>
      <c r="G324" s="59">
        <v>40</v>
      </c>
      <c r="H324" s="56">
        <f>60+100</f>
        <v>160</v>
      </c>
      <c r="I324" s="56">
        <f t="shared" si="49"/>
        <v>0</v>
      </c>
      <c r="J324" s="59">
        <v>100</v>
      </c>
      <c r="K324" s="59">
        <v>300</v>
      </c>
      <c r="L324" s="56">
        <f t="shared" si="43"/>
        <v>1150</v>
      </c>
      <c r="M324" s="66">
        <v>600</v>
      </c>
      <c r="N324" s="56">
        <f>100</f>
        <v>100</v>
      </c>
      <c r="O324" s="59">
        <v>240</v>
      </c>
      <c r="P324" s="59">
        <v>40</v>
      </c>
      <c r="Q324" s="59">
        <f t="shared" si="44"/>
        <v>315</v>
      </c>
      <c r="R324" s="59">
        <f t="shared" si="45"/>
        <v>100</v>
      </c>
      <c r="S324" s="56">
        <f t="shared" si="46"/>
        <v>695</v>
      </c>
      <c r="T324" s="56">
        <f>50</f>
        <v>50</v>
      </c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</row>
    <row r="325" spans="1:30" ht="15.75" x14ac:dyDescent="0.25">
      <c r="A325" s="14">
        <v>51194</v>
      </c>
      <c r="B325" s="68">
        <v>29</v>
      </c>
      <c r="C325" s="56">
        <f>122.58</f>
        <v>122.58</v>
      </c>
      <c r="D325" s="56">
        <f>297.941</f>
        <v>297.94099999999997</v>
      </c>
      <c r="E325" s="64">
        <f>89.177</f>
        <v>89.177000000000007</v>
      </c>
      <c r="F325" s="56">
        <f>240.302-40-60-100</f>
        <v>40.301999999999992</v>
      </c>
      <c r="G325" s="59">
        <v>40</v>
      </c>
      <c r="H325" s="56">
        <f>60+100</f>
        <v>160</v>
      </c>
      <c r="I325" s="56">
        <f t="shared" si="49"/>
        <v>0</v>
      </c>
      <c r="J325" s="59">
        <v>100</v>
      </c>
      <c r="K325" s="59">
        <v>300</v>
      </c>
      <c r="L325" s="56">
        <f t="shared" si="43"/>
        <v>1150</v>
      </c>
      <c r="M325" s="66">
        <v>600</v>
      </c>
      <c r="N325" s="56">
        <f>100</f>
        <v>100</v>
      </c>
      <c r="O325" s="59">
        <v>240</v>
      </c>
      <c r="P325" s="59">
        <v>40</v>
      </c>
      <c r="Q325" s="59">
        <f t="shared" si="44"/>
        <v>315</v>
      </c>
      <c r="R325" s="59">
        <f t="shared" si="45"/>
        <v>100</v>
      </c>
      <c r="S325" s="56">
        <f t="shared" si="46"/>
        <v>695</v>
      </c>
      <c r="T325" s="56">
        <f>50</f>
        <v>50</v>
      </c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</row>
    <row r="326" spans="1:30" ht="15.75" x14ac:dyDescent="0.25">
      <c r="A326" s="14">
        <v>51226</v>
      </c>
      <c r="B326" s="68">
        <v>31</v>
      </c>
      <c r="C326" s="56">
        <f>122.58</f>
        <v>122.58</v>
      </c>
      <c r="D326" s="56">
        <f>297.941</f>
        <v>297.94099999999997</v>
      </c>
      <c r="E326" s="64">
        <f>89.177</f>
        <v>89.177000000000007</v>
      </c>
      <c r="F326" s="56">
        <f>240.302-40-60-100</f>
        <v>40.301999999999992</v>
      </c>
      <c r="G326" s="59">
        <v>40</v>
      </c>
      <c r="H326" s="56">
        <f>60+100</f>
        <v>160</v>
      </c>
      <c r="I326" s="56">
        <f t="shared" si="49"/>
        <v>0</v>
      </c>
      <c r="J326" s="59">
        <v>100</v>
      </c>
      <c r="K326" s="59">
        <v>300</v>
      </c>
      <c r="L326" s="56">
        <f t="shared" si="43"/>
        <v>1150</v>
      </c>
      <c r="M326" s="66">
        <v>600</v>
      </c>
      <c r="N326" s="56">
        <f>100</f>
        <v>100</v>
      </c>
      <c r="O326" s="59">
        <v>240</v>
      </c>
      <c r="P326" s="59">
        <v>40</v>
      </c>
      <c r="Q326" s="59">
        <f t="shared" si="44"/>
        <v>315</v>
      </c>
      <c r="R326" s="59">
        <f t="shared" si="45"/>
        <v>100</v>
      </c>
      <c r="S326" s="56">
        <f t="shared" si="46"/>
        <v>695</v>
      </c>
      <c r="T326" s="56">
        <f>50</f>
        <v>50</v>
      </c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</row>
    <row r="327" spans="1:30" ht="15.75" x14ac:dyDescent="0.25">
      <c r="A327" s="14">
        <v>51256</v>
      </c>
      <c r="B327" s="68">
        <v>30</v>
      </c>
      <c r="C327" s="56">
        <f>141.293</f>
        <v>141.29300000000001</v>
      </c>
      <c r="D327" s="56">
        <f>267.993</f>
        <v>267.99299999999999</v>
      </c>
      <c r="E327" s="64">
        <f>115.016</f>
        <v>115.01600000000001</v>
      </c>
      <c r="F327" s="56">
        <f>314.698-40-25-60-100</f>
        <v>89.697999999999979</v>
      </c>
      <c r="G327" s="59">
        <v>40</v>
      </c>
      <c r="H327" s="56">
        <f t="shared" ref="H327:H333" si="52">25+60+100</f>
        <v>185</v>
      </c>
      <c r="I327" s="56">
        <f t="shared" si="49"/>
        <v>0</v>
      </c>
      <c r="J327" s="59">
        <v>100</v>
      </c>
      <c r="K327" s="59">
        <v>300</v>
      </c>
      <c r="L327" s="56">
        <f t="shared" si="43"/>
        <v>1239</v>
      </c>
      <c r="M327" s="66">
        <v>600</v>
      </c>
      <c r="N327" s="56">
        <f>100</f>
        <v>100</v>
      </c>
      <c r="O327" s="59">
        <v>240</v>
      </c>
      <c r="P327" s="59">
        <v>160</v>
      </c>
      <c r="Q327" s="59">
        <f t="shared" si="44"/>
        <v>195</v>
      </c>
      <c r="R327" s="59">
        <f t="shared" si="45"/>
        <v>100</v>
      </c>
      <c r="S327" s="56">
        <f t="shared" si="46"/>
        <v>695</v>
      </c>
      <c r="T327" s="56">
        <f>50</f>
        <v>50</v>
      </c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</row>
    <row r="328" spans="1:30" ht="15.75" x14ac:dyDescent="0.25">
      <c r="A328" s="14">
        <v>51287</v>
      </c>
      <c r="B328" s="68">
        <v>31</v>
      </c>
      <c r="C328" s="56">
        <f>194.205</f>
        <v>194.20500000000001</v>
      </c>
      <c r="D328" s="56">
        <f>267.466</f>
        <v>267.46600000000001</v>
      </c>
      <c r="E328" s="64">
        <f>133.845</f>
        <v>133.845</v>
      </c>
      <c r="F328" s="56">
        <f>278.484-40-25-60-100</f>
        <v>53.48399999999998</v>
      </c>
      <c r="G328" s="59">
        <v>40</v>
      </c>
      <c r="H328" s="56">
        <f t="shared" si="52"/>
        <v>185</v>
      </c>
      <c r="I328" s="56">
        <f t="shared" si="49"/>
        <v>0</v>
      </c>
      <c r="J328" s="59">
        <v>100</v>
      </c>
      <c r="K328" s="59">
        <v>300</v>
      </c>
      <c r="L328" s="56">
        <f t="shared" si="43"/>
        <v>1274</v>
      </c>
      <c r="M328" s="66">
        <v>600</v>
      </c>
      <c r="N328" s="56">
        <f>75</f>
        <v>75</v>
      </c>
      <c r="O328" s="59">
        <v>240</v>
      </c>
      <c r="P328" s="59">
        <v>160</v>
      </c>
      <c r="Q328" s="59">
        <f t="shared" si="44"/>
        <v>195</v>
      </c>
      <c r="R328" s="59">
        <f t="shared" si="45"/>
        <v>100</v>
      </c>
      <c r="S328" s="56">
        <f t="shared" si="46"/>
        <v>695</v>
      </c>
      <c r="T328" s="56">
        <f>50</f>
        <v>50</v>
      </c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</row>
    <row r="329" spans="1:30" ht="15.75" x14ac:dyDescent="0.25">
      <c r="A329" s="14">
        <v>51317</v>
      </c>
      <c r="B329" s="68">
        <v>30</v>
      </c>
      <c r="C329" s="56">
        <f>194.205</f>
        <v>194.20500000000001</v>
      </c>
      <c r="D329" s="56">
        <f>267.466</f>
        <v>267.46600000000001</v>
      </c>
      <c r="E329" s="64">
        <f>133.845</f>
        <v>133.845</v>
      </c>
      <c r="F329" s="56">
        <f>278.484-40-25-60-100</f>
        <v>53.48399999999998</v>
      </c>
      <c r="G329" s="59">
        <v>40</v>
      </c>
      <c r="H329" s="56">
        <f t="shared" si="52"/>
        <v>185</v>
      </c>
      <c r="I329" s="56">
        <f t="shared" si="49"/>
        <v>0</v>
      </c>
      <c r="J329" s="59">
        <v>100</v>
      </c>
      <c r="K329" s="59">
        <v>300</v>
      </c>
      <c r="L329" s="56">
        <f t="shared" si="43"/>
        <v>1274</v>
      </c>
      <c r="M329" s="66">
        <v>600</v>
      </c>
      <c r="N329" s="56">
        <f>30</f>
        <v>30</v>
      </c>
      <c r="O329" s="59">
        <v>240</v>
      </c>
      <c r="P329" s="59">
        <v>160</v>
      </c>
      <c r="Q329" s="59">
        <f t="shared" si="44"/>
        <v>195</v>
      </c>
      <c r="R329" s="59">
        <f t="shared" si="45"/>
        <v>100</v>
      </c>
      <c r="S329" s="56">
        <f t="shared" si="46"/>
        <v>695</v>
      </c>
      <c r="T329" s="56">
        <f>50</f>
        <v>50</v>
      </c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</row>
    <row r="330" spans="1:30" ht="15.75" x14ac:dyDescent="0.25">
      <c r="A330" s="14">
        <v>51348</v>
      </c>
      <c r="B330" s="68">
        <v>31</v>
      </c>
      <c r="C330" s="56">
        <f>194.205</f>
        <v>194.20500000000001</v>
      </c>
      <c r="D330" s="56">
        <f>267.466</f>
        <v>267.46600000000001</v>
      </c>
      <c r="E330" s="64">
        <f>133.845</f>
        <v>133.845</v>
      </c>
      <c r="F330" s="56">
        <f>278.484-40-25-60-100</f>
        <v>53.48399999999998</v>
      </c>
      <c r="G330" s="59">
        <v>40</v>
      </c>
      <c r="H330" s="56">
        <f t="shared" si="52"/>
        <v>185</v>
      </c>
      <c r="I330" s="56">
        <f t="shared" si="49"/>
        <v>0</v>
      </c>
      <c r="J330" s="59">
        <v>100</v>
      </c>
      <c r="K330" s="59">
        <v>300</v>
      </c>
      <c r="L330" s="56">
        <f t="shared" si="43"/>
        <v>1274</v>
      </c>
      <c r="M330" s="66">
        <v>600</v>
      </c>
      <c r="N330" s="56">
        <f>30</f>
        <v>30</v>
      </c>
      <c r="O330" s="59">
        <v>240</v>
      </c>
      <c r="P330" s="59">
        <v>160</v>
      </c>
      <c r="Q330" s="59">
        <f t="shared" si="44"/>
        <v>195</v>
      </c>
      <c r="R330" s="59">
        <f t="shared" si="45"/>
        <v>100</v>
      </c>
      <c r="S330" s="56">
        <f t="shared" si="46"/>
        <v>695</v>
      </c>
      <c r="T330" s="56">
        <f>0</f>
        <v>0</v>
      </c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</row>
    <row r="331" spans="1:30" ht="15.75" x14ac:dyDescent="0.25">
      <c r="A331" s="14">
        <v>51379</v>
      </c>
      <c r="B331" s="68">
        <v>31</v>
      </c>
      <c r="C331" s="56">
        <f>194.205</f>
        <v>194.20500000000001</v>
      </c>
      <c r="D331" s="56">
        <f>267.466</f>
        <v>267.46600000000001</v>
      </c>
      <c r="E331" s="64">
        <f>133.845</f>
        <v>133.845</v>
      </c>
      <c r="F331" s="56">
        <f>278.484-40-25-60-100</f>
        <v>53.48399999999998</v>
      </c>
      <c r="G331" s="59">
        <v>40</v>
      </c>
      <c r="H331" s="56">
        <f t="shared" si="52"/>
        <v>185</v>
      </c>
      <c r="I331" s="56">
        <f t="shared" si="49"/>
        <v>0</v>
      </c>
      <c r="J331" s="59">
        <v>100</v>
      </c>
      <c r="K331" s="59">
        <v>300</v>
      </c>
      <c r="L331" s="56">
        <f t="shared" si="43"/>
        <v>1274</v>
      </c>
      <c r="M331" s="66">
        <v>600</v>
      </c>
      <c r="N331" s="56">
        <f>30</f>
        <v>30</v>
      </c>
      <c r="O331" s="59">
        <v>240</v>
      </c>
      <c r="P331" s="59">
        <v>160</v>
      </c>
      <c r="Q331" s="59">
        <f t="shared" si="44"/>
        <v>195</v>
      </c>
      <c r="R331" s="59">
        <f t="shared" si="45"/>
        <v>100</v>
      </c>
      <c r="S331" s="56">
        <f t="shared" si="46"/>
        <v>695</v>
      </c>
      <c r="T331" s="56">
        <f>0</f>
        <v>0</v>
      </c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</row>
    <row r="332" spans="1:30" ht="15.75" x14ac:dyDescent="0.25">
      <c r="A332" s="14">
        <v>51409</v>
      </c>
      <c r="B332" s="68">
        <v>30</v>
      </c>
      <c r="C332" s="56">
        <f>194.205</f>
        <v>194.20500000000001</v>
      </c>
      <c r="D332" s="56">
        <f>267.466</f>
        <v>267.46600000000001</v>
      </c>
      <c r="E332" s="64">
        <f>133.845</f>
        <v>133.845</v>
      </c>
      <c r="F332" s="56">
        <f>278.484-40-25-60-100</f>
        <v>53.48399999999998</v>
      </c>
      <c r="G332" s="59">
        <v>40</v>
      </c>
      <c r="H332" s="56">
        <f t="shared" si="52"/>
        <v>185</v>
      </c>
      <c r="I332" s="56">
        <f t="shared" si="49"/>
        <v>0</v>
      </c>
      <c r="J332" s="59">
        <v>100</v>
      </c>
      <c r="K332" s="59">
        <v>300</v>
      </c>
      <c r="L332" s="56">
        <f t="shared" si="43"/>
        <v>1274</v>
      </c>
      <c r="M332" s="66">
        <v>600</v>
      </c>
      <c r="N332" s="56">
        <f>30</f>
        <v>30</v>
      </c>
      <c r="O332" s="59">
        <v>240</v>
      </c>
      <c r="P332" s="59">
        <v>160</v>
      </c>
      <c r="Q332" s="59">
        <f t="shared" si="44"/>
        <v>195</v>
      </c>
      <c r="R332" s="59">
        <f t="shared" si="45"/>
        <v>100</v>
      </c>
      <c r="S332" s="56">
        <f t="shared" si="46"/>
        <v>695</v>
      </c>
      <c r="T332" s="56">
        <f>0</f>
        <v>0</v>
      </c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</row>
    <row r="333" spans="1:30" ht="15.75" x14ac:dyDescent="0.25">
      <c r="A333" s="14">
        <v>51440</v>
      </c>
      <c r="B333" s="68">
        <v>31</v>
      </c>
      <c r="C333" s="56">
        <f>131.881</f>
        <v>131.881</v>
      </c>
      <c r="D333" s="56">
        <f>277.167</f>
        <v>277.16699999999997</v>
      </c>
      <c r="E333" s="64">
        <f>79.08</f>
        <v>79.08</v>
      </c>
      <c r="F333" s="56">
        <f>350.872-40-25-60-100</f>
        <v>125.87200000000001</v>
      </c>
      <c r="G333" s="59">
        <v>40</v>
      </c>
      <c r="H333" s="56">
        <f t="shared" si="52"/>
        <v>185</v>
      </c>
      <c r="I333" s="56">
        <f t="shared" si="49"/>
        <v>0</v>
      </c>
      <c r="J333" s="59">
        <v>100</v>
      </c>
      <c r="K333" s="59">
        <v>300</v>
      </c>
      <c r="L333" s="56">
        <f t="shared" si="43"/>
        <v>1239</v>
      </c>
      <c r="M333" s="66">
        <v>600</v>
      </c>
      <c r="N333" s="56">
        <f>75</f>
        <v>75</v>
      </c>
      <c r="O333" s="59">
        <v>240</v>
      </c>
      <c r="P333" s="59">
        <v>160</v>
      </c>
      <c r="Q333" s="59">
        <f t="shared" si="44"/>
        <v>195</v>
      </c>
      <c r="R333" s="59">
        <f t="shared" si="45"/>
        <v>100</v>
      </c>
      <c r="S333" s="56">
        <f t="shared" si="46"/>
        <v>695</v>
      </c>
      <c r="T333" s="56">
        <f>0</f>
        <v>0</v>
      </c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</row>
    <row r="334" spans="1:30" ht="15.75" x14ac:dyDescent="0.25">
      <c r="A334" s="14">
        <v>51470</v>
      </c>
      <c r="B334" s="68">
        <v>30</v>
      </c>
      <c r="C334" s="56">
        <f>122.58</f>
        <v>122.58</v>
      </c>
      <c r="D334" s="56">
        <f>297.941</f>
        <v>297.94099999999997</v>
      </c>
      <c r="E334" s="64">
        <f>89.177</f>
        <v>89.177000000000007</v>
      </c>
      <c r="F334" s="56">
        <f>240.302-40-60-100</f>
        <v>40.301999999999992</v>
      </c>
      <c r="G334" s="59">
        <v>40</v>
      </c>
      <c r="H334" s="56">
        <f>60+100</f>
        <v>160</v>
      </c>
      <c r="I334" s="56">
        <f t="shared" si="49"/>
        <v>0</v>
      </c>
      <c r="J334" s="59">
        <v>100</v>
      </c>
      <c r="K334" s="59">
        <v>300</v>
      </c>
      <c r="L334" s="56">
        <f t="shared" si="43"/>
        <v>1150</v>
      </c>
      <c r="M334" s="66">
        <v>600</v>
      </c>
      <c r="N334" s="56">
        <f>100</f>
        <v>100</v>
      </c>
      <c r="O334" s="59">
        <v>240</v>
      </c>
      <c r="P334" s="59">
        <v>40</v>
      </c>
      <c r="Q334" s="59">
        <f t="shared" si="44"/>
        <v>315</v>
      </c>
      <c r="R334" s="59">
        <f t="shared" si="45"/>
        <v>100</v>
      </c>
      <c r="S334" s="56">
        <f t="shared" si="46"/>
        <v>695</v>
      </c>
      <c r="T334" s="56">
        <f>50</f>
        <v>50</v>
      </c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</row>
    <row r="335" spans="1:30" ht="15.75" x14ac:dyDescent="0.25">
      <c r="A335" s="14">
        <v>51501</v>
      </c>
      <c r="B335" s="68">
        <v>31</v>
      </c>
      <c r="C335" s="56">
        <f>122.58</f>
        <v>122.58</v>
      </c>
      <c r="D335" s="56">
        <f>297.941</f>
        <v>297.94099999999997</v>
      </c>
      <c r="E335" s="64">
        <f>89.177</f>
        <v>89.177000000000007</v>
      </c>
      <c r="F335" s="56">
        <f>240.302-40-60-100</f>
        <v>40.301999999999992</v>
      </c>
      <c r="G335" s="59">
        <v>40</v>
      </c>
      <c r="H335" s="56">
        <f>60+100</f>
        <v>160</v>
      </c>
      <c r="I335" s="56">
        <f t="shared" si="49"/>
        <v>0</v>
      </c>
      <c r="J335" s="59">
        <v>100</v>
      </c>
      <c r="K335" s="59">
        <v>300</v>
      </c>
      <c r="L335" s="56">
        <f t="shared" ref="L335:L398" si="53">SUM(C335:K335)</f>
        <v>1150</v>
      </c>
      <c r="M335" s="66">
        <v>600</v>
      </c>
      <c r="N335" s="56">
        <f>100</f>
        <v>100</v>
      </c>
      <c r="O335" s="59">
        <v>240</v>
      </c>
      <c r="P335" s="59">
        <v>40</v>
      </c>
      <c r="Q335" s="59">
        <f t="shared" ref="Q335:Q398" si="54">695-R335-O335-P335</f>
        <v>315</v>
      </c>
      <c r="R335" s="59">
        <f t="shared" ref="R335:R398" si="55">200-J335</f>
        <v>100</v>
      </c>
      <c r="S335" s="56">
        <f t="shared" ref="S335:S398" si="56">SUM(O335:R335)</f>
        <v>695</v>
      </c>
      <c r="T335" s="56">
        <f>50</f>
        <v>50</v>
      </c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</row>
    <row r="336" spans="1:30" ht="15.75" x14ac:dyDescent="0.25">
      <c r="A336" s="14">
        <v>51532</v>
      </c>
      <c r="B336" s="68">
        <v>31</v>
      </c>
      <c r="C336" s="56">
        <f>122.58</f>
        <v>122.58</v>
      </c>
      <c r="D336" s="56">
        <f>297.941</f>
        <v>297.94099999999997</v>
      </c>
      <c r="E336" s="64">
        <f>89.177</f>
        <v>89.177000000000007</v>
      </c>
      <c r="F336" s="56">
        <f>240.302-40-60-100</f>
        <v>40.301999999999992</v>
      </c>
      <c r="G336" s="59">
        <v>40</v>
      </c>
      <c r="H336" s="56">
        <f>60+100</f>
        <v>160</v>
      </c>
      <c r="I336" s="56">
        <f t="shared" si="49"/>
        <v>0</v>
      </c>
      <c r="J336" s="59">
        <v>100</v>
      </c>
      <c r="K336" s="59">
        <v>300</v>
      </c>
      <c r="L336" s="56">
        <f t="shared" si="53"/>
        <v>1150</v>
      </c>
      <c r="M336" s="66">
        <v>600</v>
      </c>
      <c r="N336" s="56">
        <f>100</f>
        <v>100</v>
      </c>
      <c r="O336" s="59">
        <v>240</v>
      </c>
      <c r="P336" s="59">
        <v>40</v>
      </c>
      <c r="Q336" s="59">
        <f t="shared" si="54"/>
        <v>315</v>
      </c>
      <c r="R336" s="59">
        <f t="shared" si="55"/>
        <v>100</v>
      </c>
      <c r="S336" s="56">
        <f t="shared" si="56"/>
        <v>695</v>
      </c>
      <c r="T336" s="56">
        <f>50</f>
        <v>50</v>
      </c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</row>
    <row r="337" spans="1:30" ht="15.75" x14ac:dyDescent="0.25">
      <c r="A337" s="14">
        <v>51560</v>
      </c>
      <c r="B337" s="68">
        <v>28</v>
      </c>
      <c r="C337" s="56">
        <f>122.58</f>
        <v>122.58</v>
      </c>
      <c r="D337" s="56">
        <f>297.941</f>
        <v>297.94099999999997</v>
      </c>
      <c r="E337" s="64">
        <f>89.177</f>
        <v>89.177000000000007</v>
      </c>
      <c r="F337" s="56">
        <f>240.302-40-60-100</f>
        <v>40.301999999999992</v>
      </c>
      <c r="G337" s="59">
        <v>40</v>
      </c>
      <c r="H337" s="56">
        <f>60+100</f>
        <v>160</v>
      </c>
      <c r="I337" s="56">
        <f t="shared" si="49"/>
        <v>0</v>
      </c>
      <c r="J337" s="59">
        <v>100</v>
      </c>
      <c r="K337" s="59">
        <v>300</v>
      </c>
      <c r="L337" s="56">
        <f t="shared" si="53"/>
        <v>1150</v>
      </c>
      <c r="M337" s="66">
        <v>600</v>
      </c>
      <c r="N337" s="56">
        <f>100</f>
        <v>100</v>
      </c>
      <c r="O337" s="59">
        <v>240</v>
      </c>
      <c r="P337" s="59">
        <v>40</v>
      </c>
      <c r="Q337" s="59">
        <f t="shared" si="54"/>
        <v>315</v>
      </c>
      <c r="R337" s="59">
        <f t="shared" si="55"/>
        <v>100</v>
      </c>
      <c r="S337" s="56">
        <f t="shared" si="56"/>
        <v>695</v>
      </c>
      <c r="T337" s="56">
        <f>50</f>
        <v>50</v>
      </c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</row>
    <row r="338" spans="1:30" ht="15.75" x14ac:dyDescent="0.25">
      <c r="A338" s="14">
        <v>51591</v>
      </c>
      <c r="B338" s="68">
        <v>31</v>
      </c>
      <c r="C338" s="56">
        <f>122.58</f>
        <v>122.58</v>
      </c>
      <c r="D338" s="56">
        <f>297.941</f>
        <v>297.94099999999997</v>
      </c>
      <c r="E338" s="64">
        <f>89.177</f>
        <v>89.177000000000007</v>
      </c>
      <c r="F338" s="56">
        <f>240.302-40-60-100</f>
        <v>40.301999999999992</v>
      </c>
      <c r="G338" s="59">
        <v>40</v>
      </c>
      <c r="H338" s="56">
        <f>60+100</f>
        <v>160</v>
      </c>
      <c r="I338" s="56">
        <f t="shared" si="49"/>
        <v>0</v>
      </c>
      <c r="J338" s="59">
        <v>100</v>
      </c>
      <c r="K338" s="59">
        <v>300</v>
      </c>
      <c r="L338" s="56">
        <f t="shared" si="53"/>
        <v>1150</v>
      </c>
      <c r="M338" s="66">
        <v>600</v>
      </c>
      <c r="N338" s="56">
        <f>100</f>
        <v>100</v>
      </c>
      <c r="O338" s="59">
        <v>240</v>
      </c>
      <c r="P338" s="59">
        <v>40</v>
      </c>
      <c r="Q338" s="59">
        <f t="shared" si="54"/>
        <v>315</v>
      </c>
      <c r="R338" s="59">
        <f t="shared" si="55"/>
        <v>100</v>
      </c>
      <c r="S338" s="56">
        <f t="shared" si="56"/>
        <v>695</v>
      </c>
      <c r="T338" s="56">
        <f>50</f>
        <v>50</v>
      </c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</row>
    <row r="339" spans="1:30" ht="15.75" x14ac:dyDescent="0.25">
      <c r="A339" s="14">
        <v>51621</v>
      </c>
      <c r="B339" s="68">
        <v>30</v>
      </c>
      <c r="C339" s="56">
        <f>141.293</f>
        <v>141.29300000000001</v>
      </c>
      <c r="D339" s="56">
        <f>267.993</f>
        <v>267.99299999999999</v>
      </c>
      <c r="E339" s="64">
        <f>115.016</f>
        <v>115.01600000000001</v>
      </c>
      <c r="F339" s="56">
        <f>314.698-40-25-60-100</f>
        <v>89.697999999999979</v>
      </c>
      <c r="G339" s="59">
        <v>40</v>
      </c>
      <c r="H339" s="56">
        <f t="shared" ref="H339:H345" si="57">25+60+100</f>
        <v>185</v>
      </c>
      <c r="I339" s="56">
        <f t="shared" si="49"/>
        <v>0</v>
      </c>
      <c r="J339" s="59">
        <v>100</v>
      </c>
      <c r="K339" s="59">
        <v>300</v>
      </c>
      <c r="L339" s="56">
        <f t="shared" si="53"/>
        <v>1239</v>
      </c>
      <c r="M339" s="66">
        <v>600</v>
      </c>
      <c r="N339" s="56">
        <f>100</f>
        <v>100</v>
      </c>
      <c r="O339" s="59">
        <v>240</v>
      </c>
      <c r="P339" s="59">
        <v>160</v>
      </c>
      <c r="Q339" s="59">
        <f t="shared" si="54"/>
        <v>195</v>
      </c>
      <c r="R339" s="59">
        <f t="shared" si="55"/>
        <v>100</v>
      </c>
      <c r="S339" s="56">
        <f t="shared" si="56"/>
        <v>695</v>
      </c>
      <c r="T339" s="56">
        <f>50</f>
        <v>50</v>
      </c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</row>
    <row r="340" spans="1:30" ht="15.75" x14ac:dyDescent="0.25">
      <c r="A340" s="14">
        <v>51652</v>
      </c>
      <c r="B340" s="68">
        <v>31</v>
      </c>
      <c r="C340" s="56">
        <f>194.205</f>
        <v>194.20500000000001</v>
      </c>
      <c r="D340" s="56">
        <f>267.466</f>
        <v>267.46600000000001</v>
      </c>
      <c r="E340" s="64">
        <f>133.845</f>
        <v>133.845</v>
      </c>
      <c r="F340" s="56">
        <f>278.484-40-25-60-100</f>
        <v>53.48399999999998</v>
      </c>
      <c r="G340" s="59">
        <v>40</v>
      </c>
      <c r="H340" s="56">
        <f t="shared" si="57"/>
        <v>185</v>
      </c>
      <c r="I340" s="56">
        <f t="shared" si="49"/>
        <v>0</v>
      </c>
      <c r="J340" s="59">
        <v>100</v>
      </c>
      <c r="K340" s="59">
        <v>300</v>
      </c>
      <c r="L340" s="56">
        <f t="shared" si="53"/>
        <v>1274</v>
      </c>
      <c r="M340" s="66">
        <v>600</v>
      </c>
      <c r="N340" s="56">
        <f>75</f>
        <v>75</v>
      </c>
      <c r="O340" s="59">
        <v>240</v>
      </c>
      <c r="P340" s="59">
        <v>160</v>
      </c>
      <c r="Q340" s="59">
        <f t="shared" si="54"/>
        <v>195</v>
      </c>
      <c r="R340" s="59">
        <f t="shared" si="55"/>
        <v>100</v>
      </c>
      <c r="S340" s="56">
        <f t="shared" si="56"/>
        <v>695</v>
      </c>
      <c r="T340" s="56">
        <f>50</f>
        <v>50</v>
      </c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</row>
    <row r="341" spans="1:30" ht="15.75" x14ac:dyDescent="0.25">
      <c r="A341" s="14">
        <v>51682</v>
      </c>
      <c r="B341" s="68">
        <v>30</v>
      </c>
      <c r="C341" s="56">
        <f>194.205</f>
        <v>194.20500000000001</v>
      </c>
      <c r="D341" s="56">
        <f>267.466</f>
        <v>267.46600000000001</v>
      </c>
      <c r="E341" s="64">
        <f>133.845</f>
        <v>133.845</v>
      </c>
      <c r="F341" s="56">
        <f>278.484-40-25-60-100</f>
        <v>53.48399999999998</v>
      </c>
      <c r="G341" s="59">
        <v>40</v>
      </c>
      <c r="H341" s="56">
        <f t="shared" si="57"/>
        <v>185</v>
      </c>
      <c r="I341" s="56">
        <f t="shared" si="49"/>
        <v>0</v>
      </c>
      <c r="J341" s="59">
        <v>100</v>
      </c>
      <c r="K341" s="59">
        <v>300</v>
      </c>
      <c r="L341" s="56">
        <f t="shared" si="53"/>
        <v>1274</v>
      </c>
      <c r="M341" s="66">
        <v>600</v>
      </c>
      <c r="N341" s="56">
        <f>30</f>
        <v>30</v>
      </c>
      <c r="O341" s="59">
        <v>240</v>
      </c>
      <c r="P341" s="59">
        <v>160</v>
      </c>
      <c r="Q341" s="59">
        <f t="shared" si="54"/>
        <v>195</v>
      </c>
      <c r="R341" s="59">
        <f t="shared" si="55"/>
        <v>100</v>
      </c>
      <c r="S341" s="56">
        <f t="shared" si="56"/>
        <v>695</v>
      </c>
      <c r="T341" s="56">
        <f>50</f>
        <v>50</v>
      </c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</row>
    <row r="342" spans="1:30" ht="15.75" x14ac:dyDescent="0.25">
      <c r="A342" s="14">
        <v>51713</v>
      </c>
      <c r="B342" s="68">
        <v>31</v>
      </c>
      <c r="C342" s="56">
        <f>194.205</f>
        <v>194.20500000000001</v>
      </c>
      <c r="D342" s="56">
        <f>267.466</f>
        <v>267.46600000000001</v>
      </c>
      <c r="E342" s="64">
        <f>133.845</f>
        <v>133.845</v>
      </c>
      <c r="F342" s="56">
        <f>278.484-40-25-60-100</f>
        <v>53.48399999999998</v>
      </c>
      <c r="G342" s="59">
        <v>40</v>
      </c>
      <c r="H342" s="56">
        <f t="shared" si="57"/>
        <v>185</v>
      </c>
      <c r="I342" s="56">
        <f t="shared" si="49"/>
        <v>0</v>
      </c>
      <c r="J342" s="59">
        <v>100</v>
      </c>
      <c r="K342" s="59">
        <v>300</v>
      </c>
      <c r="L342" s="56">
        <f t="shared" si="53"/>
        <v>1274</v>
      </c>
      <c r="M342" s="66">
        <v>600</v>
      </c>
      <c r="N342" s="56">
        <f>30</f>
        <v>30</v>
      </c>
      <c r="O342" s="59">
        <v>240</v>
      </c>
      <c r="P342" s="59">
        <v>160</v>
      </c>
      <c r="Q342" s="59">
        <f t="shared" si="54"/>
        <v>195</v>
      </c>
      <c r="R342" s="59">
        <f t="shared" si="55"/>
        <v>100</v>
      </c>
      <c r="S342" s="56">
        <f t="shared" si="56"/>
        <v>695</v>
      </c>
      <c r="T342" s="56">
        <f>0</f>
        <v>0</v>
      </c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</row>
    <row r="343" spans="1:30" ht="15.75" x14ac:dyDescent="0.25">
      <c r="A343" s="14">
        <v>51744</v>
      </c>
      <c r="B343" s="68">
        <v>31</v>
      </c>
      <c r="C343" s="56">
        <f>194.205</f>
        <v>194.20500000000001</v>
      </c>
      <c r="D343" s="56">
        <f>267.466</f>
        <v>267.46600000000001</v>
      </c>
      <c r="E343" s="64">
        <f>133.845</f>
        <v>133.845</v>
      </c>
      <c r="F343" s="56">
        <f>278.484-40-25-60-100</f>
        <v>53.48399999999998</v>
      </c>
      <c r="G343" s="59">
        <v>40</v>
      </c>
      <c r="H343" s="56">
        <f t="shared" si="57"/>
        <v>185</v>
      </c>
      <c r="I343" s="56">
        <f t="shared" si="49"/>
        <v>0</v>
      </c>
      <c r="J343" s="59">
        <v>100</v>
      </c>
      <c r="K343" s="59">
        <v>300</v>
      </c>
      <c r="L343" s="56">
        <f t="shared" si="53"/>
        <v>1274</v>
      </c>
      <c r="M343" s="66">
        <v>600</v>
      </c>
      <c r="N343" s="56">
        <f>30</f>
        <v>30</v>
      </c>
      <c r="O343" s="59">
        <v>240</v>
      </c>
      <c r="P343" s="59">
        <v>160</v>
      </c>
      <c r="Q343" s="59">
        <f t="shared" si="54"/>
        <v>195</v>
      </c>
      <c r="R343" s="59">
        <f t="shared" si="55"/>
        <v>100</v>
      </c>
      <c r="S343" s="56">
        <f t="shared" si="56"/>
        <v>695</v>
      </c>
      <c r="T343" s="56">
        <f>0</f>
        <v>0</v>
      </c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</row>
    <row r="344" spans="1:30" ht="15.75" x14ac:dyDescent="0.25">
      <c r="A344" s="14">
        <v>51774</v>
      </c>
      <c r="B344" s="68">
        <v>30</v>
      </c>
      <c r="C344" s="56">
        <f>194.205</f>
        <v>194.20500000000001</v>
      </c>
      <c r="D344" s="56">
        <f>267.466</f>
        <v>267.46600000000001</v>
      </c>
      <c r="E344" s="64">
        <f>133.845</f>
        <v>133.845</v>
      </c>
      <c r="F344" s="56">
        <f>278.484-40-25-60-100</f>
        <v>53.48399999999998</v>
      </c>
      <c r="G344" s="59">
        <v>40</v>
      </c>
      <c r="H344" s="56">
        <f t="shared" si="57"/>
        <v>185</v>
      </c>
      <c r="I344" s="56">
        <f t="shared" si="49"/>
        <v>0</v>
      </c>
      <c r="J344" s="59">
        <v>100</v>
      </c>
      <c r="K344" s="59">
        <v>300</v>
      </c>
      <c r="L344" s="56">
        <f t="shared" si="53"/>
        <v>1274</v>
      </c>
      <c r="M344" s="66">
        <v>600</v>
      </c>
      <c r="N344" s="56">
        <f>30</f>
        <v>30</v>
      </c>
      <c r="O344" s="59">
        <v>240</v>
      </c>
      <c r="P344" s="59">
        <v>160</v>
      </c>
      <c r="Q344" s="59">
        <f t="shared" si="54"/>
        <v>195</v>
      </c>
      <c r="R344" s="59">
        <f t="shared" si="55"/>
        <v>100</v>
      </c>
      <c r="S344" s="56">
        <f t="shared" si="56"/>
        <v>695</v>
      </c>
      <c r="T344" s="56">
        <f>0</f>
        <v>0</v>
      </c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</row>
    <row r="345" spans="1:30" ht="15.75" x14ac:dyDescent="0.25">
      <c r="A345" s="14">
        <v>51805</v>
      </c>
      <c r="B345" s="68">
        <v>31</v>
      </c>
      <c r="C345" s="56">
        <f>131.881</f>
        <v>131.881</v>
      </c>
      <c r="D345" s="56">
        <f>277.167</f>
        <v>277.16699999999997</v>
      </c>
      <c r="E345" s="64">
        <f>79.08</f>
        <v>79.08</v>
      </c>
      <c r="F345" s="56">
        <f>350.872-40-25-60-100</f>
        <v>125.87200000000001</v>
      </c>
      <c r="G345" s="59">
        <v>40</v>
      </c>
      <c r="H345" s="56">
        <f t="shared" si="57"/>
        <v>185</v>
      </c>
      <c r="I345" s="56">
        <f t="shared" si="49"/>
        <v>0</v>
      </c>
      <c r="J345" s="59">
        <v>100</v>
      </c>
      <c r="K345" s="59">
        <v>300</v>
      </c>
      <c r="L345" s="56">
        <f t="shared" si="53"/>
        <v>1239</v>
      </c>
      <c r="M345" s="66">
        <v>600</v>
      </c>
      <c r="N345" s="56">
        <f>75</f>
        <v>75</v>
      </c>
      <c r="O345" s="59">
        <v>240</v>
      </c>
      <c r="P345" s="59">
        <v>160</v>
      </c>
      <c r="Q345" s="59">
        <f t="shared" si="54"/>
        <v>195</v>
      </c>
      <c r="R345" s="59">
        <f t="shared" si="55"/>
        <v>100</v>
      </c>
      <c r="S345" s="56">
        <f t="shared" si="56"/>
        <v>695</v>
      </c>
      <c r="T345" s="56">
        <f>0</f>
        <v>0</v>
      </c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</row>
    <row r="346" spans="1:30" ht="15.75" x14ac:dyDescent="0.25">
      <c r="A346" s="14">
        <v>51835</v>
      </c>
      <c r="B346" s="68">
        <v>30</v>
      </c>
      <c r="C346" s="56">
        <f>122.58</f>
        <v>122.58</v>
      </c>
      <c r="D346" s="56">
        <f>297.941</f>
        <v>297.94099999999997</v>
      </c>
      <c r="E346" s="64">
        <f>89.177</f>
        <v>89.177000000000007</v>
      </c>
      <c r="F346" s="56">
        <f>240.302-40-60-100</f>
        <v>40.301999999999992</v>
      </c>
      <c r="G346" s="59">
        <v>40</v>
      </c>
      <c r="H346" s="56">
        <f>60+100</f>
        <v>160</v>
      </c>
      <c r="I346" s="56">
        <f t="shared" si="49"/>
        <v>0</v>
      </c>
      <c r="J346" s="59">
        <v>100</v>
      </c>
      <c r="K346" s="59">
        <v>300</v>
      </c>
      <c r="L346" s="56">
        <f t="shared" si="53"/>
        <v>1150</v>
      </c>
      <c r="M346" s="66">
        <v>600</v>
      </c>
      <c r="N346" s="56">
        <f>100</f>
        <v>100</v>
      </c>
      <c r="O346" s="59">
        <v>240</v>
      </c>
      <c r="P346" s="59">
        <v>40</v>
      </c>
      <c r="Q346" s="59">
        <f t="shared" si="54"/>
        <v>315</v>
      </c>
      <c r="R346" s="59">
        <f t="shared" si="55"/>
        <v>100</v>
      </c>
      <c r="S346" s="56">
        <f t="shared" si="56"/>
        <v>695</v>
      </c>
      <c r="T346" s="56">
        <f>50</f>
        <v>50</v>
      </c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</row>
    <row r="347" spans="1:30" ht="15.75" x14ac:dyDescent="0.25">
      <c r="A347" s="14">
        <v>51866</v>
      </c>
      <c r="B347" s="68">
        <v>31</v>
      </c>
      <c r="C347" s="56">
        <f>122.58</f>
        <v>122.58</v>
      </c>
      <c r="D347" s="56">
        <f>297.941</f>
        <v>297.94099999999997</v>
      </c>
      <c r="E347" s="64">
        <f>89.177</f>
        <v>89.177000000000007</v>
      </c>
      <c r="F347" s="56">
        <f>240.302-40-60-100</f>
        <v>40.301999999999992</v>
      </c>
      <c r="G347" s="59">
        <v>40</v>
      </c>
      <c r="H347" s="56">
        <f>60+100</f>
        <v>160</v>
      </c>
      <c r="I347" s="56">
        <f t="shared" si="49"/>
        <v>0</v>
      </c>
      <c r="J347" s="59">
        <v>100</v>
      </c>
      <c r="K347" s="59">
        <v>300</v>
      </c>
      <c r="L347" s="56">
        <f t="shared" si="53"/>
        <v>1150</v>
      </c>
      <c r="M347" s="66">
        <v>600</v>
      </c>
      <c r="N347" s="56">
        <f>100</f>
        <v>100</v>
      </c>
      <c r="O347" s="59">
        <v>240</v>
      </c>
      <c r="P347" s="59">
        <v>40</v>
      </c>
      <c r="Q347" s="59">
        <f t="shared" si="54"/>
        <v>315</v>
      </c>
      <c r="R347" s="59">
        <f t="shared" si="55"/>
        <v>100</v>
      </c>
      <c r="S347" s="56">
        <f t="shared" si="56"/>
        <v>695</v>
      </c>
      <c r="T347" s="56">
        <f>50</f>
        <v>50</v>
      </c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</row>
    <row r="348" spans="1:30" ht="15.75" x14ac:dyDescent="0.25">
      <c r="A348" s="14">
        <v>51897</v>
      </c>
      <c r="B348" s="68">
        <v>31</v>
      </c>
      <c r="C348" s="56">
        <f>122.58</f>
        <v>122.58</v>
      </c>
      <c r="D348" s="56">
        <f>297.941</f>
        <v>297.94099999999997</v>
      </c>
      <c r="E348" s="64">
        <f>89.177</f>
        <v>89.177000000000007</v>
      </c>
      <c r="F348" s="56">
        <f>240.302-40-60-100</f>
        <v>40.301999999999992</v>
      </c>
      <c r="G348" s="59">
        <v>40</v>
      </c>
      <c r="H348" s="56">
        <f>60+100</f>
        <v>160</v>
      </c>
      <c r="I348" s="56">
        <f t="shared" si="49"/>
        <v>0</v>
      </c>
      <c r="J348" s="59">
        <v>100</v>
      </c>
      <c r="K348" s="59">
        <v>300</v>
      </c>
      <c r="L348" s="56">
        <f t="shared" si="53"/>
        <v>1150</v>
      </c>
      <c r="M348" s="66">
        <v>600</v>
      </c>
      <c r="N348" s="56">
        <f>100</f>
        <v>100</v>
      </c>
      <c r="O348" s="59">
        <v>240</v>
      </c>
      <c r="P348" s="59">
        <v>40</v>
      </c>
      <c r="Q348" s="59">
        <f t="shared" si="54"/>
        <v>315</v>
      </c>
      <c r="R348" s="59">
        <f t="shared" si="55"/>
        <v>100</v>
      </c>
      <c r="S348" s="56">
        <f t="shared" si="56"/>
        <v>695</v>
      </c>
      <c r="T348" s="56">
        <f>50</f>
        <v>50</v>
      </c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</row>
    <row r="349" spans="1:30" ht="15.75" x14ac:dyDescent="0.25">
      <c r="A349" s="14">
        <v>51925</v>
      </c>
      <c r="B349" s="68">
        <v>28</v>
      </c>
      <c r="C349" s="56">
        <f>122.58</f>
        <v>122.58</v>
      </c>
      <c r="D349" s="56">
        <f>297.941</f>
        <v>297.94099999999997</v>
      </c>
      <c r="E349" s="64">
        <f>89.177</f>
        <v>89.177000000000007</v>
      </c>
      <c r="F349" s="56">
        <f>240.302-40-60-100</f>
        <v>40.301999999999992</v>
      </c>
      <c r="G349" s="59">
        <v>40</v>
      </c>
      <c r="H349" s="56">
        <f>60+100</f>
        <v>160</v>
      </c>
      <c r="I349" s="56">
        <f t="shared" si="49"/>
        <v>0</v>
      </c>
      <c r="J349" s="59">
        <v>100</v>
      </c>
      <c r="K349" s="59">
        <v>300</v>
      </c>
      <c r="L349" s="56">
        <f t="shared" si="53"/>
        <v>1150</v>
      </c>
      <c r="M349" s="66">
        <v>600</v>
      </c>
      <c r="N349" s="56">
        <f>100</f>
        <v>100</v>
      </c>
      <c r="O349" s="59">
        <v>240</v>
      </c>
      <c r="P349" s="59">
        <v>40</v>
      </c>
      <c r="Q349" s="59">
        <f t="shared" si="54"/>
        <v>315</v>
      </c>
      <c r="R349" s="59">
        <f t="shared" si="55"/>
        <v>100</v>
      </c>
      <c r="S349" s="56">
        <f t="shared" si="56"/>
        <v>695</v>
      </c>
      <c r="T349" s="56">
        <f>50</f>
        <v>50</v>
      </c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</row>
    <row r="350" spans="1:30" ht="15.75" x14ac:dyDescent="0.25">
      <c r="A350" s="14">
        <v>51956</v>
      </c>
      <c r="B350" s="68">
        <v>31</v>
      </c>
      <c r="C350" s="56">
        <f>122.58</f>
        <v>122.58</v>
      </c>
      <c r="D350" s="56">
        <f>297.941</f>
        <v>297.94099999999997</v>
      </c>
      <c r="E350" s="64">
        <f>89.177</f>
        <v>89.177000000000007</v>
      </c>
      <c r="F350" s="56">
        <f>240.302-40-60-100</f>
        <v>40.301999999999992</v>
      </c>
      <c r="G350" s="59">
        <v>40</v>
      </c>
      <c r="H350" s="56">
        <f>60+100</f>
        <v>160</v>
      </c>
      <c r="I350" s="56">
        <f t="shared" si="49"/>
        <v>0</v>
      </c>
      <c r="J350" s="59">
        <v>100</v>
      </c>
      <c r="K350" s="59">
        <v>300</v>
      </c>
      <c r="L350" s="56">
        <f t="shared" si="53"/>
        <v>1150</v>
      </c>
      <c r="M350" s="66">
        <v>600</v>
      </c>
      <c r="N350" s="56">
        <f>100</f>
        <v>100</v>
      </c>
      <c r="O350" s="59">
        <v>240</v>
      </c>
      <c r="P350" s="59">
        <v>40</v>
      </c>
      <c r="Q350" s="59">
        <f t="shared" si="54"/>
        <v>315</v>
      </c>
      <c r="R350" s="59">
        <f t="shared" si="55"/>
        <v>100</v>
      </c>
      <c r="S350" s="56">
        <f t="shared" si="56"/>
        <v>695</v>
      </c>
      <c r="T350" s="56">
        <f>50</f>
        <v>50</v>
      </c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</row>
    <row r="351" spans="1:30" ht="15.75" x14ac:dyDescent="0.25">
      <c r="A351" s="14">
        <v>51986</v>
      </c>
      <c r="B351" s="68">
        <v>30</v>
      </c>
      <c r="C351" s="56">
        <f>141.293</f>
        <v>141.29300000000001</v>
      </c>
      <c r="D351" s="56">
        <f>267.993</f>
        <v>267.99299999999999</v>
      </c>
      <c r="E351" s="64">
        <f>115.016</f>
        <v>115.01600000000001</v>
      </c>
      <c r="F351" s="56">
        <f>314.698-40-25-60-100</f>
        <v>89.697999999999979</v>
      </c>
      <c r="G351" s="59">
        <v>40</v>
      </c>
      <c r="H351" s="56">
        <f t="shared" ref="H351:H357" si="58">25+60+100</f>
        <v>185</v>
      </c>
      <c r="I351" s="56">
        <f t="shared" si="49"/>
        <v>0</v>
      </c>
      <c r="J351" s="59">
        <v>100</v>
      </c>
      <c r="K351" s="59">
        <v>300</v>
      </c>
      <c r="L351" s="56">
        <f t="shared" si="53"/>
        <v>1239</v>
      </c>
      <c r="M351" s="66">
        <v>600</v>
      </c>
      <c r="N351" s="56">
        <f>100</f>
        <v>100</v>
      </c>
      <c r="O351" s="59">
        <v>240</v>
      </c>
      <c r="P351" s="59">
        <v>160</v>
      </c>
      <c r="Q351" s="59">
        <f t="shared" si="54"/>
        <v>195</v>
      </c>
      <c r="R351" s="59">
        <f t="shared" si="55"/>
        <v>100</v>
      </c>
      <c r="S351" s="56">
        <f t="shared" si="56"/>
        <v>695</v>
      </c>
      <c r="T351" s="56">
        <f>50</f>
        <v>50</v>
      </c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</row>
    <row r="352" spans="1:30" ht="15.75" x14ac:dyDescent="0.25">
      <c r="A352" s="14">
        <v>52017</v>
      </c>
      <c r="B352" s="68">
        <v>31</v>
      </c>
      <c r="C352" s="56">
        <f>194.205</f>
        <v>194.20500000000001</v>
      </c>
      <c r="D352" s="56">
        <f>267.466</f>
        <v>267.46600000000001</v>
      </c>
      <c r="E352" s="64">
        <f>133.845</f>
        <v>133.845</v>
      </c>
      <c r="F352" s="56">
        <f>278.484-40-25-60-100</f>
        <v>53.48399999999998</v>
      </c>
      <c r="G352" s="59">
        <v>40</v>
      </c>
      <c r="H352" s="56">
        <f t="shared" si="58"/>
        <v>185</v>
      </c>
      <c r="I352" s="56">
        <f t="shared" si="49"/>
        <v>0</v>
      </c>
      <c r="J352" s="59">
        <v>100</v>
      </c>
      <c r="K352" s="59">
        <v>300</v>
      </c>
      <c r="L352" s="56">
        <f t="shared" si="53"/>
        <v>1274</v>
      </c>
      <c r="M352" s="66">
        <v>600</v>
      </c>
      <c r="N352" s="56">
        <f>75</f>
        <v>75</v>
      </c>
      <c r="O352" s="59">
        <v>240</v>
      </c>
      <c r="P352" s="59">
        <v>160</v>
      </c>
      <c r="Q352" s="59">
        <f t="shared" si="54"/>
        <v>195</v>
      </c>
      <c r="R352" s="59">
        <f t="shared" si="55"/>
        <v>100</v>
      </c>
      <c r="S352" s="56">
        <f t="shared" si="56"/>
        <v>695</v>
      </c>
      <c r="T352" s="56">
        <f>50</f>
        <v>50</v>
      </c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</row>
    <row r="353" spans="1:30" ht="15.75" x14ac:dyDescent="0.25">
      <c r="A353" s="14">
        <v>52047</v>
      </c>
      <c r="B353" s="68">
        <v>30</v>
      </c>
      <c r="C353" s="56">
        <f>194.205</f>
        <v>194.20500000000001</v>
      </c>
      <c r="D353" s="56">
        <f>267.466</f>
        <v>267.46600000000001</v>
      </c>
      <c r="E353" s="64">
        <f>133.845</f>
        <v>133.845</v>
      </c>
      <c r="F353" s="56">
        <f>278.484-40-25-60-100</f>
        <v>53.48399999999998</v>
      </c>
      <c r="G353" s="59">
        <v>40</v>
      </c>
      <c r="H353" s="56">
        <f t="shared" si="58"/>
        <v>185</v>
      </c>
      <c r="I353" s="56">
        <f t="shared" si="49"/>
        <v>0</v>
      </c>
      <c r="J353" s="59">
        <v>100</v>
      </c>
      <c r="K353" s="59">
        <v>300</v>
      </c>
      <c r="L353" s="56">
        <f t="shared" si="53"/>
        <v>1274</v>
      </c>
      <c r="M353" s="66">
        <v>600</v>
      </c>
      <c r="N353" s="56">
        <f>30</f>
        <v>30</v>
      </c>
      <c r="O353" s="59">
        <v>240</v>
      </c>
      <c r="P353" s="59">
        <v>160</v>
      </c>
      <c r="Q353" s="59">
        <f t="shared" si="54"/>
        <v>195</v>
      </c>
      <c r="R353" s="59">
        <f t="shared" si="55"/>
        <v>100</v>
      </c>
      <c r="S353" s="56">
        <f t="shared" si="56"/>
        <v>695</v>
      </c>
      <c r="T353" s="56">
        <f>50</f>
        <v>50</v>
      </c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</row>
    <row r="354" spans="1:30" ht="15.75" x14ac:dyDescent="0.25">
      <c r="A354" s="14">
        <v>52078</v>
      </c>
      <c r="B354" s="68">
        <v>31</v>
      </c>
      <c r="C354" s="56">
        <f>194.205</f>
        <v>194.20500000000001</v>
      </c>
      <c r="D354" s="56">
        <f>267.466</f>
        <v>267.46600000000001</v>
      </c>
      <c r="E354" s="64">
        <f>133.845</f>
        <v>133.845</v>
      </c>
      <c r="F354" s="56">
        <f>278.484-40-25-60-100</f>
        <v>53.48399999999998</v>
      </c>
      <c r="G354" s="59">
        <v>40</v>
      </c>
      <c r="H354" s="56">
        <f t="shared" si="58"/>
        <v>185</v>
      </c>
      <c r="I354" s="56">
        <f t="shared" si="49"/>
        <v>0</v>
      </c>
      <c r="J354" s="59">
        <v>100</v>
      </c>
      <c r="K354" s="59">
        <v>300</v>
      </c>
      <c r="L354" s="56">
        <f t="shared" si="53"/>
        <v>1274</v>
      </c>
      <c r="M354" s="66">
        <v>600</v>
      </c>
      <c r="N354" s="56">
        <f>30</f>
        <v>30</v>
      </c>
      <c r="O354" s="59">
        <v>240</v>
      </c>
      <c r="P354" s="59">
        <v>160</v>
      </c>
      <c r="Q354" s="59">
        <f t="shared" si="54"/>
        <v>195</v>
      </c>
      <c r="R354" s="59">
        <f t="shared" si="55"/>
        <v>100</v>
      </c>
      <c r="S354" s="56">
        <f t="shared" si="56"/>
        <v>695</v>
      </c>
      <c r="T354" s="56">
        <f>0</f>
        <v>0</v>
      </c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</row>
    <row r="355" spans="1:30" ht="15.75" x14ac:dyDescent="0.25">
      <c r="A355" s="14">
        <v>52109</v>
      </c>
      <c r="B355" s="68">
        <v>31</v>
      </c>
      <c r="C355" s="56">
        <f>194.205</f>
        <v>194.20500000000001</v>
      </c>
      <c r="D355" s="56">
        <f>267.466</f>
        <v>267.46600000000001</v>
      </c>
      <c r="E355" s="64">
        <f>133.845</f>
        <v>133.845</v>
      </c>
      <c r="F355" s="56">
        <f>278.484-40-25-60-100</f>
        <v>53.48399999999998</v>
      </c>
      <c r="G355" s="59">
        <v>40</v>
      </c>
      <c r="H355" s="56">
        <f t="shared" si="58"/>
        <v>185</v>
      </c>
      <c r="I355" s="56">
        <f t="shared" si="49"/>
        <v>0</v>
      </c>
      <c r="J355" s="59">
        <v>100</v>
      </c>
      <c r="K355" s="59">
        <v>300</v>
      </c>
      <c r="L355" s="56">
        <f t="shared" si="53"/>
        <v>1274</v>
      </c>
      <c r="M355" s="66">
        <v>600</v>
      </c>
      <c r="N355" s="56">
        <f>30</f>
        <v>30</v>
      </c>
      <c r="O355" s="59">
        <v>240</v>
      </c>
      <c r="P355" s="59">
        <v>160</v>
      </c>
      <c r="Q355" s="59">
        <f t="shared" si="54"/>
        <v>195</v>
      </c>
      <c r="R355" s="59">
        <f t="shared" si="55"/>
        <v>100</v>
      </c>
      <c r="S355" s="56">
        <f t="shared" si="56"/>
        <v>695</v>
      </c>
      <c r="T355" s="56">
        <f>0</f>
        <v>0</v>
      </c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</row>
    <row r="356" spans="1:30" ht="15.75" x14ac:dyDescent="0.25">
      <c r="A356" s="14">
        <v>52139</v>
      </c>
      <c r="B356" s="68">
        <v>30</v>
      </c>
      <c r="C356" s="56">
        <f>194.205</f>
        <v>194.20500000000001</v>
      </c>
      <c r="D356" s="56">
        <f>267.466</f>
        <v>267.46600000000001</v>
      </c>
      <c r="E356" s="64">
        <f>133.845</f>
        <v>133.845</v>
      </c>
      <c r="F356" s="56">
        <f>278.484-40-25-60-100</f>
        <v>53.48399999999998</v>
      </c>
      <c r="G356" s="59">
        <v>40</v>
      </c>
      <c r="H356" s="56">
        <f t="shared" si="58"/>
        <v>185</v>
      </c>
      <c r="I356" s="56">
        <f t="shared" si="49"/>
        <v>0</v>
      </c>
      <c r="J356" s="59">
        <v>100</v>
      </c>
      <c r="K356" s="59">
        <v>300</v>
      </c>
      <c r="L356" s="56">
        <f t="shared" si="53"/>
        <v>1274</v>
      </c>
      <c r="M356" s="66">
        <v>600</v>
      </c>
      <c r="N356" s="56">
        <f>30</f>
        <v>30</v>
      </c>
      <c r="O356" s="59">
        <v>240</v>
      </c>
      <c r="P356" s="59">
        <v>160</v>
      </c>
      <c r="Q356" s="59">
        <f t="shared" si="54"/>
        <v>195</v>
      </c>
      <c r="R356" s="59">
        <f t="shared" si="55"/>
        <v>100</v>
      </c>
      <c r="S356" s="56">
        <f t="shared" si="56"/>
        <v>695</v>
      </c>
      <c r="T356" s="56">
        <f>0</f>
        <v>0</v>
      </c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</row>
    <row r="357" spans="1:30" ht="15.75" x14ac:dyDescent="0.25">
      <c r="A357" s="14">
        <v>52170</v>
      </c>
      <c r="B357" s="68">
        <v>31</v>
      </c>
      <c r="C357" s="56">
        <f>131.881</f>
        <v>131.881</v>
      </c>
      <c r="D357" s="56">
        <f>277.167</f>
        <v>277.16699999999997</v>
      </c>
      <c r="E357" s="64">
        <f>79.08</f>
        <v>79.08</v>
      </c>
      <c r="F357" s="56">
        <f>350.872-40-25-60-100</f>
        <v>125.87200000000001</v>
      </c>
      <c r="G357" s="59">
        <v>40</v>
      </c>
      <c r="H357" s="56">
        <f t="shared" si="58"/>
        <v>185</v>
      </c>
      <c r="I357" s="56">
        <f t="shared" si="49"/>
        <v>0</v>
      </c>
      <c r="J357" s="59">
        <v>100</v>
      </c>
      <c r="K357" s="59">
        <v>300</v>
      </c>
      <c r="L357" s="56">
        <f t="shared" si="53"/>
        <v>1239</v>
      </c>
      <c r="M357" s="66">
        <v>600</v>
      </c>
      <c r="N357" s="56">
        <f>75</f>
        <v>75</v>
      </c>
      <c r="O357" s="59">
        <v>240</v>
      </c>
      <c r="P357" s="59">
        <v>160</v>
      </c>
      <c r="Q357" s="59">
        <f t="shared" si="54"/>
        <v>195</v>
      </c>
      <c r="R357" s="59">
        <f t="shared" si="55"/>
        <v>100</v>
      </c>
      <c r="S357" s="56">
        <f t="shared" si="56"/>
        <v>695</v>
      </c>
      <c r="T357" s="56">
        <f>0</f>
        <v>0</v>
      </c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</row>
    <row r="358" spans="1:30" ht="15.75" x14ac:dyDescent="0.25">
      <c r="A358" s="14">
        <v>52200</v>
      </c>
      <c r="B358" s="68">
        <v>30</v>
      </c>
      <c r="C358" s="56">
        <f>122.58</f>
        <v>122.58</v>
      </c>
      <c r="D358" s="56">
        <f>297.941</f>
        <v>297.94099999999997</v>
      </c>
      <c r="E358" s="64">
        <f>89.177</f>
        <v>89.177000000000007</v>
      </c>
      <c r="F358" s="56">
        <f>240.302-40-60-100</f>
        <v>40.301999999999992</v>
      </c>
      <c r="G358" s="59">
        <v>40</v>
      </c>
      <c r="H358" s="56">
        <f>60+100</f>
        <v>160</v>
      </c>
      <c r="I358" s="56">
        <f t="shared" si="49"/>
        <v>0</v>
      </c>
      <c r="J358" s="59">
        <v>100</v>
      </c>
      <c r="K358" s="59">
        <v>300</v>
      </c>
      <c r="L358" s="56">
        <f t="shared" si="53"/>
        <v>1150</v>
      </c>
      <c r="M358" s="66">
        <v>600</v>
      </c>
      <c r="N358" s="56">
        <f>100</f>
        <v>100</v>
      </c>
      <c r="O358" s="59">
        <v>240</v>
      </c>
      <c r="P358" s="59">
        <v>40</v>
      </c>
      <c r="Q358" s="59">
        <f t="shared" si="54"/>
        <v>315</v>
      </c>
      <c r="R358" s="59">
        <f t="shared" si="55"/>
        <v>100</v>
      </c>
      <c r="S358" s="56">
        <f t="shared" si="56"/>
        <v>695</v>
      </c>
      <c r="T358" s="56">
        <f>50</f>
        <v>50</v>
      </c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</row>
    <row r="359" spans="1:30" ht="15.75" x14ac:dyDescent="0.25">
      <c r="A359" s="14">
        <v>52231</v>
      </c>
      <c r="B359" s="68">
        <v>31</v>
      </c>
      <c r="C359" s="56">
        <f>122.58</f>
        <v>122.58</v>
      </c>
      <c r="D359" s="56">
        <f>297.941</f>
        <v>297.94099999999997</v>
      </c>
      <c r="E359" s="64">
        <f>89.177</f>
        <v>89.177000000000007</v>
      </c>
      <c r="F359" s="56">
        <f>240.302-40-60-100</f>
        <v>40.301999999999992</v>
      </c>
      <c r="G359" s="59">
        <v>40</v>
      </c>
      <c r="H359" s="56">
        <f>60+100</f>
        <v>160</v>
      </c>
      <c r="I359" s="56">
        <f t="shared" si="49"/>
        <v>0</v>
      </c>
      <c r="J359" s="59">
        <v>100</v>
      </c>
      <c r="K359" s="59">
        <v>300</v>
      </c>
      <c r="L359" s="56">
        <f t="shared" si="53"/>
        <v>1150</v>
      </c>
      <c r="M359" s="66">
        <v>600</v>
      </c>
      <c r="N359" s="56">
        <f>100</f>
        <v>100</v>
      </c>
      <c r="O359" s="59">
        <v>240</v>
      </c>
      <c r="P359" s="59">
        <v>40</v>
      </c>
      <c r="Q359" s="59">
        <f t="shared" si="54"/>
        <v>315</v>
      </c>
      <c r="R359" s="59">
        <f t="shared" si="55"/>
        <v>100</v>
      </c>
      <c r="S359" s="56">
        <f t="shared" si="56"/>
        <v>695</v>
      </c>
      <c r="T359" s="56">
        <f>50</f>
        <v>50</v>
      </c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</row>
    <row r="360" spans="1:30" ht="15.75" x14ac:dyDescent="0.25">
      <c r="A360" s="14">
        <v>52262</v>
      </c>
      <c r="B360" s="68">
        <v>31</v>
      </c>
      <c r="C360" s="56">
        <f>122.58</f>
        <v>122.58</v>
      </c>
      <c r="D360" s="56">
        <f>297.941</f>
        <v>297.94099999999997</v>
      </c>
      <c r="E360" s="64">
        <f>89.177</f>
        <v>89.177000000000007</v>
      </c>
      <c r="F360" s="56">
        <f>240.302-40-60-100</f>
        <v>40.301999999999992</v>
      </c>
      <c r="G360" s="59">
        <v>40</v>
      </c>
      <c r="H360" s="56">
        <f>60+100</f>
        <v>160</v>
      </c>
      <c r="I360" s="56">
        <f t="shared" ref="I360:I423" si="59">400-J360-K360</f>
        <v>0</v>
      </c>
      <c r="J360" s="59">
        <v>100</v>
      </c>
      <c r="K360" s="59">
        <v>300</v>
      </c>
      <c r="L360" s="56">
        <f t="shared" si="53"/>
        <v>1150</v>
      </c>
      <c r="M360" s="66">
        <v>600</v>
      </c>
      <c r="N360" s="56">
        <f>100</f>
        <v>100</v>
      </c>
      <c r="O360" s="59">
        <v>240</v>
      </c>
      <c r="P360" s="59">
        <v>40</v>
      </c>
      <c r="Q360" s="59">
        <f t="shared" si="54"/>
        <v>315</v>
      </c>
      <c r="R360" s="59">
        <f t="shared" si="55"/>
        <v>100</v>
      </c>
      <c r="S360" s="56">
        <f t="shared" si="56"/>
        <v>695</v>
      </c>
      <c r="T360" s="56">
        <f>50</f>
        <v>50</v>
      </c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</row>
    <row r="361" spans="1:30" ht="15.75" x14ac:dyDescent="0.25">
      <c r="A361" s="14">
        <v>52290</v>
      </c>
      <c r="B361" s="68">
        <v>28</v>
      </c>
      <c r="C361" s="56">
        <f>122.58</f>
        <v>122.58</v>
      </c>
      <c r="D361" s="56">
        <f>297.941</f>
        <v>297.94099999999997</v>
      </c>
      <c r="E361" s="64">
        <f>89.177</f>
        <v>89.177000000000007</v>
      </c>
      <c r="F361" s="56">
        <f>240.302-40-60-100</f>
        <v>40.301999999999992</v>
      </c>
      <c r="G361" s="59">
        <v>40</v>
      </c>
      <c r="H361" s="56">
        <f>60+100</f>
        <v>160</v>
      </c>
      <c r="I361" s="56">
        <f t="shared" si="59"/>
        <v>0</v>
      </c>
      <c r="J361" s="59">
        <v>100</v>
      </c>
      <c r="K361" s="59">
        <v>300</v>
      </c>
      <c r="L361" s="56">
        <f t="shared" si="53"/>
        <v>1150</v>
      </c>
      <c r="M361" s="66">
        <v>600</v>
      </c>
      <c r="N361" s="56">
        <f>100</f>
        <v>100</v>
      </c>
      <c r="O361" s="59">
        <v>240</v>
      </c>
      <c r="P361" s="59">
        <v>40</v>
      </c>
      <c r="Q361" s="59">
        <f t="shared" si="54"/>
        <v>315</v>
      </c>
      <c r="R361" s="59">
        <f t="shared" si="55"/>
        <v>100</v>
      </c>
      <c r="S361" s="56">
        <f t="shared" si="56"/>
        <v>695</v>
      </c>
      <c r="T361" s="56">
        <f>50</f>
        <v>50</v>
      </c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</row>
    <row r="362" spans="1:30" ht="15.75" x14ac:dyDescent="0.25">
      <c r="A362" s="14">
        <v>52321</v>
      </c>
      <c r="B362" s="68">
        <v>31</v>
      </c>
      <c r="C362" s="56">
        <f>122.58</f>
        <v>122.58</v>
      </c>
      <c r="D362" s="56">
        <f>297.941</f>
        <v>297.94099999999997</v>
      </c>
      <c r="E362" s="64">
        <f>89.177</f>
        <v>89.177000000000007</v>
      </c>
      <c r="F362" s="56">
        <f>240.302-40-60-100</f>
        <v>40.301999999999992</v>
      </c>
      <c r="G362" s="59">
        <v>40</v>
      </c>
      <c r="H362" s="56">
        <f>60+100</f>
        <v>160</v>
      </c>
      <c r="I362" s="56">
        <f t="shared" si="59"/>
        <v>0</v>
      </c>
      <c r="J362" s="59">
        <v>100</v>
      </c>
      <c r="K362" s="59">
        <v>300</v>
      </c>
      <c r="L362" s="56">
        <f t="shared" si="53"/>
        <v>1150</v>
      </c>
      <c r="M362" s="66">
        <v>600</v>
      </c>
      <c r="N362" s="56">
        <f>100</f>
        <v>100</v>
      </c>
      <c r="O362" s="59">
        <v>240</v>
      </c>
      <c r="P362" s="59">
        <v>40</v>
      </c>
      <c r="Q362" s="59">
        <f t="shared" si="54"/>
        <v>315</v>
      </c>
      <c r="R362" s="59">
        <f t="shared" si="55"/>
        <v>100</v>
      </c>
      <c r="S362" s="56">
        <f t="shared" si="56"/>
        <v>695</v>
      </c>
      <c r="T362" s="56">
        <f>50</f>
        <v>50</v>
      </c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</row>
    <row r="363" spans="1:30" ht="15.75" x14ac:dyDescent="0.25">
      <c r="A363" s="14">
        <v>52351</v>
      </c>
      <c r="B363" s="68">
        <v>30</v>
      </c>
      <c r="C363" s="56">
        <f>141.293</f>
        <v>141.29300000000001</v>
      </c>
      <c r="D363" s="56">
        <f>267.993</f>
        <v>267.99299999999999</v>
      </c>
      <c r="E363" s="64">
        <f>115.016</f>
        <v>115.01600000000001</v>
      </c>
      <c r="F363" s="56">
        <f>314.698-40-25-60-100</f>
        <v>89.697999999999979</v>
      </c>
      <c r="G363" s="59">
        <v>40</v>
      </c>
      <c r="H363" s="56">
        <f t="shared" ref="H363:H369" si="60">25+60+100</f>
        <v>185</v>
      </c>
      <c r="I363" s="56">
        <f t="shared" si="59"/>
        <v>0</v>
      </c>
      <c r="J363" s="59">
        <v>100</v>
      </c>
      <c r="K363" s="59">
        <v>300</v>
      </c>
      <c r="L363" s="56">
        <f t="shared" si="53"/>
        <v>1239</v>
      </c>
      <c r="M363" s="66">
        <v>600</v>
      </c>
      <c r="N363" s="56">
        <f>100</f>
        <v>100</v>
      </c>
      <c r="O363" s="59">
        <v>240</v>
      </c>
      <c r="P363" s="59">
        <v>160</v>
      </c>
      <c r="Q363" s="59">
        <f t="shared" si="54"/>
        <v>195</v>
      </c>
      <c r="R363" s="59">
        <f t="shared" si="55"/>
        <v>100</v>
      </c>
      <c r="S363" s="56">
        <f t="shared" si="56"/>
        <v>695</v>
      </c>
      <c r="T363" s="56">
        <f>50</f>
        <v>50</v>
      </c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</row>
    <row r="364" spans="1:30" ht="15.75" x14ac:dyDescent="0.25">
      <c r="A364" s="14">
        <v>52382</v>
      </c>
      <c r="B364" s="68">
        <v>31</v>
      </c>
      <c r="C364" s="56">
        <f>194.205</f>
        <v>194.20500000000001</v>
      </c>
      <c r="D364" s="56">
        <f>267.466</f>
        <v>267.46600000000001</v>
      </c>
      <c r="E364" s="64">
        <f>133.845</f>
        <v>133.845</v>
      </c>
      <c r="F364" s="56">
        <f>278.484-40-25-60-100</f>
        <v>53.48399999999998</v>
      </c>
      <c r="G364" s="59">
        <v>40</v>
      </c>
      <c r="H364" s="56">
        <f t="shared" si="60"/>
        <v>185</v>
      </c>
      <c r="I364" s="56">
        <f t="shared" si="59"/>
        <v>0</v>
      </c>
      <c r="J364" s="59">
        <v>100</v>
      </c>
      <c r="K364" s="59">
        <v>300</v>
      </c>
      <c r="L364" s="56">
        <f t="shared" si="53"/>
        <v>1274</v>
      </c>
      <c r="M364" s="66">
        <v>600</v>
      </c>
      <c r="N364" s="56">
        <f>75</f>
        <v>75</v>
      </c>
      <c r="O364" s="59">
        <v>240</v>
      </c>
      <c r="P364" s="59">
        <v>160</v>
      </c>
      <c r="Q364" s="59">
        <f t="shared" si="54"/>
        <v>195</v>
      </c>
      <c r="R364" s="59">
        <f t="shared" si="55"/>
        <v>100</v>
      </c>
      <c r="S364" s="56">
        <f t="shared" si="56"/>
        <v>695</v>
      </c>
      <c r="T364" s="56">
        <f>50</f>
        <v>50</v>
      </c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</row>
    <row r="365" spans="1:30" ht="15.75" x14ac:dyDescent="0.25">
      <c r="A365" s="14">
        <v>52412</v>
      </c>
      <c r="B365" s="68">
        <v>30</v>
      </c>
      <c r="C365" s="56">
        <f>194.205</f>
        <v>194.20500000000001</v>
      </c>
      <c r="D365" s="56">
        <f>267.466</f>
        <v>267.46600000000001</v>
      </c>
      <c r="E365" s="64">
        <f>133.845</f>
        <v>133.845</v>
      </c>
      <c r="F365" s="56">
        <f>278.484-40-25-60-100</f>
        <v>53.48399999999998</v>
      </c>
      <c r="G365" s="59">
        <v>40</v>
      </c>
      <c r="H365" s="56">
        <f t="shared" si="60"/>
        <v>185</v>
      </c>
      <c r="I365" s="56">
        <f t="shared" si="59"/>
        <v>0</v>
      </c>
      <c r="J365" s="59">
        <v>100</v>
      </c>
      <c r="K365" s="59">
        <v>300</v>
      </c>
      <c r="L365" s="56">
        <f t="shared" si="53"/>
        <v>1274</v>
      </c>
      <c r="M365" s="66">
        <v>600</v>
      </c>
      <c r="N365" s="56">
        <f>30</f>
        <v>30</v>
      </c>
      <c r="O365" s="59">
        <v>240</v>
      </c>
      <c r="P365" s="59">
        <v>160</v>
      </c>
      <c r="Q365" s="59">
        <f t="shared" si="54"/>
        <v>195</v>
      </c>
      <c r="R365" s="59">
        <f t="shared" si="55"/>
        <v>100</v>
      </c>
      <c r="S365" s="56">
        <f t="shared" si="56"/>
        <v>695</v>
      </c>
      <c r="T365" s="56">
        <f>50</f>
        <v>50</v>
      </c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</row>
    <row r="366" spans="1:30" ht="15.75" x14ac:dyDescent="0.25">
      <c r="A366" s="14">
        <v>52443</v>
      </c>
      <c r="B366" s="68">
        <v>31</v>
      </c>
      <c r="C366" s="56">
        <f>194.205</f>
        <v>194.20500000000001</v>
      </c>
      <c r="D366" s="56">
        <f>267.466</f>
        <v>267.46600000000001</v>
      </c>
      <c r="E366" s="64">
        <f>133.845</f>
        <v>133.845</v>
      </c>
      <c r="F366" s="56">
        <f>278.484-40-25-60-100</f>
        <v>53.48399999999998</v>
      </c>
      <c r="G366" s="59">
        <v>40</v>
      </c>
      <c r="H366" s="56">
        <f t="shared" si="60"/>
        <v>185</v>
      </c>
      <c r="I366" s="56">
        <f t="shared" si="59"/>
        <v>0</v>
      </c>
      <c r="J366" s="59">
        <v>100</v>
      </c>
      <c r="K366" s="59">
        <v>300</v>
      </c>
      <c r="L366" s="56">
        <f t="shared" si="53"/>
        <v>1274</v>
      </c>
      <c r="M366" s="66">
        <v>600</v>
      </c>
      <c r="N366" s="56">
        <f>30</f>
        <v>30</v>
      </c>
      <c r="O366" s="59">
        <v>240</v>
      </c>
      <c r="P366" s="59">
        <v>160</v>
      </c>
      <c r="Q366" s="59">
        <f t="shared" si="54"/>
        <v>195</v>
      </c>
      <c r="R366" s="59">
        <f t="shared" si="55"/>
        <v>100</v>
      </c>
      <c r="S366" s="56">
        <f t="shared" si="56"/>
        <v>695</v>
      </c>
      <c r="T366" s="56">
        <f>0</f>
        <v>0</v>
      </c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</row>
    <row r="367" spans="1:30" ht="15.75" x14ac:dyDescent="0.25">
      <c r="A367" s="14">
        <v>52474</v>
      </c>
      <c r="B367" s="68">
        <v>31</v>
      </c>
      <c r="C367" s="56">
        <f>194.205</f>
        <v>194.20500000000001</v>
      </c>
      <c r="D367" s="56">
        <f>267.466</f>
        <v>267.46600000000001</v>
      </c>
      <c r="E367" s="64">
        <f>133.845</f>
        <v>133.845</v>
      </c>
      <c r="F367" s="56">
        <f>278.484-40-25-60-100</f>
        <v>53.48399999999998</v>
      </c>
      <c r="G367" s="59">
        <v>40</v>
      </c>
      <c r="H367" s="56">
        <f t="shared" si="60"/>
        <v>185</v>
      </c>
      <c r="I367" s="56">
        <f t="shared" si="59"/>
        <v>0</v>
      </c>
      <c r="J367" s="59">
        <v>100</v>
      </c>
      <c r="K367" s="59">
        <v>300</v>
      </c>
      <c r="L367" s="56">
        <f t="shared" si="53"/>
        <v>1274</v>
      </c>
      <c r="M367" s="66">
        <v>600</v>
      </c>
      <c r="N367" s="56">
        <f>30</f>
        <v>30</v>
      </c>
      <c r="O367" s="59">
        <v>240</v>
      </c>
      <c r="P367" s="59">
        <v>160</v>
      </c>
      <c r="Q367" s="59">
        <f t="shared" si="54"/>
        <v>195</v>
      </c>
      <c r="R367" s="59">
        <f t="shared" si="55"/>
        <v>100</v>
      </c>
      <c r="S367" s="56">
        <f t="shared" si="56"/>
        <v>695</v>
      </c>
      <c r="T367" s="56">
        <f>0</f>
        <v>0</v>
      </c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</row>
    <row r="368" spans="1:30" ht="15.75" x14ac:dyDescent="0.25">
      <c r="A368" s="14">
        <v>52504</v>
      </c>
      <c r="B368" s="68">
        <v>30</v>
      </c>
      <c r="C368" s="56">
        <f>194.205</f>
        <v>194.20500000000001</v>
      </c>
      <c r="D368" s="56">
        <f>267.466</f>
        <v>267.46600000000001</v>
      </c>
      <c r="E368" s="64">
        <f>133.845</f>
        <v>133.845</v>
      </c>
      <c r="F368" s="56">
        <f>278.484-40-25-60-100</f>
        <v>53.48399999999998</v>
      </c>
      <c r="G368" s="59">
        <v>40</v>
      </c>
      <c r="H368" s="56">
        <f t="shared" si="60"/>
        <v>185</v>
      </c>
      <c r="I368" s="56">
        <f t="shared" si="59"/>
        <v>0</v>
      </c>
      <c r="J368" s="59">
        <v>100</v>
      </c>
      <c r="K368" s="59">
        <v>300</v>
      </c>
      <c r="L368" s="56">
        <f t="shared" si="53"/>
        <v>1274</v>
      </c>
      <c r="M368" s="66">
        <v>600</v>
      </c>
      <c r="N368" s="56">
        <f>30</f>
        <v>30</v>
      </c>
      <c r="O368" s="59">
        <v>240</v>
      </c>
      <c r="P368" s="59">
        <v>160</v>
      </c>
      <c r="Q368" s="59">
        <f t="shared" si="54"/>
        <v>195</v>
      </c>
      <c r="R368" s="59">
        <f t="shared" si="55"/>
        <v>100</v>
      </c>
      <c r="S368" s="56">
        <f t="shared" si="56"/>
        <v>695</v>
      </c>
      <c r="T368" s="56">
        <f>0</f>
        <v>0</v>
      </c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</row>
    <row r="369" spans="1:30" ht="15.75" x14ac:dyDescent="0.25">
      <c r="A369" s="14">
        <v>52535</v>
      </c>
      <c r="B369" s="68">
        <v>31</v>
      </c>
      <c r="C369" s="56">
        <f>131.881</f>
        <v>131.881</v>
      </c>
      <c r="D369" s="56">
        <f>277.167</f>
        <v>277.16699999999997</v>
      </c>
      <c r="E369" s="64">
        <f>79.08</f>
        <v>79.08</v>
      </c>
      <c r="F369" s="56">
        <f>350.872-40-25-60-100</f>
        <v>125.87200000000001</v>
      </c>
      <c r="G369" s="59">
        <v>40</v>
      </c>
      <c r="H369" s="56">
        <f t="shared" si="60"/>
        <v>185</v>
      </c>
      <c r="I369" s="56">
        <f t="shared" si="59"/>
        <v>0</v>
      </c>
      <c r="J369" s="59">
        <v>100</v>
      </c>
      <c r="K369" s="59">
        <v>300</v>
      </c>
      <c r="L369" s="56">
        <f t="shared" si="53"/>
        <v>1239</v>
      </c>
      <c r="M369" s="66">
        <v>600</v>
      </c>
      <c r="N369" s="56">
        <f>75</f>
        <v>75</v>
      </c>
      <c r="O369" s="59">
        <v>240</v>
      </c>
      <c r="P369" s="59">
        <v>160</v>
      </c>
      <c r="Q369" s="59">
        <f t="shared" si="54"/>
        <v>195</v>
      </c>
      <c r="R369" s="59">
        <f t="shared" si="55"/>
        <v>100</v>
      </c>
      <c r="S369" s="56">
        <f t="shared" si="56"/>
        <v>695</v>
      </c>
      <c r="T369" s="56">
        <f>0</f>
        <v>0</v>
      </c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</row>
    <row r="370" spans="1:30" ht="15.75" x14ac:dyDescent="0.25">
      <c r="A370" s="14">
        <v>52565</v>
      </c>
      <c r="B370" s="68">
        <v>30</v>
      </c>
      <c r="C370" s="56">
        <f>122.58</f>
        <v>122.58</v>
      </c>
      <c r="D370" s="56">
        <f>297.941</f>
        <v>297.94099999999997</v>
      </c>
      <c r="E370" s="64">
        <f>89.177</f>
        <v>89.177000000000007</v>
      </c>
      <c r="F370" s="56">
        <f>240.302-40-60-100</f>
        <v>40.301999999999992</v>
      </c>
      <c r="G370" s="59">
        <v>40</v>
      </c>
      <c r="H370" s="56">
        <f>60+100</f>
        <v>160</v>
      </c>
      <c r="I370" s="56">
        <f t="shared" si="59"/>
        <v>0</v>
      </c>
      <c r="J370" s="59">
        <v>100</v>
      </c>
      <c r="K370" s="59">
        <v>300</v>
      </c>
      <c r="L370" s="56">
        <f t="shared" si="53"/>
        <v>1150</v>
      </c>
      <c r="M370" s="66">
        <v>600</v>
      </c>
      <c r="N370" s="56">
        <f>100</f>
        <v>100</v>
      </c>
      <c r="O370" s="59">
        <v>240</v>
      </c>
      <c r="P370" s="59">
        <v>40</v>
      </c>
      <c r="Q370" s="59">
        <f t="shared" si="54"/>
        <v>315</v>
      </c>
      <c r="R370" s="59">
        <f t="shared" si="55"/>
        <v>100</v>
      </c>
      <c r="S370" s="56">
        <f t="shared" si="56"/>
        <v>695</v>
      </c>
      <c r="T370" s="56">
        <f>50</f>
        <v>50</v>
      </c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</row>
    <row r="371" spans="1:30" ht="15.75" x14ac:dyDescent="0.25">
      <c r="A371" s="14">
        <v>52596</v>
      </c>
      <c r="B371" s="68">
        <v>31</v>
      </c>
      <c r="C371" s="56">
        <f>122.58</f>
        <v>122.58</v>
      </c>
      <c r="D371" s="56">
        <f>297.941</f>
        <v>297.94099999999997</v>
      </c>
      <c r="E371" s="64">
        <f>89.177</f>
        <v>89.177000000000007</v>
      </c>
      <c r="F371" s="56">
        <f>240.302-40-60-100</f>
        <v>40.301999999999992</v>
      </c>
      <c r="G371" s="59">
        <v>40</v>
      </c>
      <c r="H371" s="56">
        <f>60+100</f>
        <v>160</v>
      </c>
      <c r="I371" s="56">
        <f t="shared" si="59"/>
        <v>0</v>
      </c>
      <c r="J371" s="59">
        <v>100</v>
      </c>
      <c r="K371" s="59">
        <v>300</v>
      </c>
      <c r="L371" s="56">
        <f t="shared" si="53"/>
        <v>1150</v>
      </c>
      <c r="M371" s="66">
        <v>600</v>
      </c>
      <c r="N371" s="56">
        <f>100</f>
        <v>100</v>
      </c>
      <c r="O371" s="59">
        <v>240</v>
      </c>
      <c r="P371" s="59">
        <v>40</v>
      </c>
      <c r="Q371" s="59">
        <f t="shared" si="54"/>
        <v>315</v>
      </c>
      <c r="R371" s="59">
        <f t="shared" si="55"/>
        <v>100</v>
      </c>
      <c r="S371" s="56">
        <f t="shared" si="56"/>
        <v>695</v>
      </c>
      <c r="T371" s="56">
        <f>50</f>
        <v>50</v>
      </c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</row>
    <row r="372" spans="1:30" ht="15.75" x14ac:dyDescent="0.25">
      <c r="A372" s="14">
        <v>52627</v>
      </c>
      <c r="B372" s="68">
        <v>31</v>
      </c>
      <c r="C372" s="56">
        <f>122.58</f>
        <v>122.58</v>
      </c>
      <c r="D372" s="56">
        <f>297.941</f>
        <v>297.94099999999997</v>
      </c>
      <c r="E372" s="64">
        <f>89.177</f>
        <v>89.177000000000007</v>
      </c>
      <c r="F372" s="56">
        <f>240.302-40-60-100</f>
        <v>40.301999999999992</v>
      </c>
      <c r="G372" s="59">
        <v>40</v>
      </c>
      <c r="H372" s="56">
        <f>60+100</f>
        <v>160</v>
      </c>
      <c r="I372" s="56">
        <f t="shared" si="59"/>
        <v>0</v>
      </c>
      <c r="J372" s="59">
        <v>100</v>
      </c>
      <c r="K372" s="59">
        <v>300</v>
      </c>
      <c r="L372" s="56">
        <f t="shared" si="53"/>
        <v>1150</v>
      </c>
      <c r="M372" s="66">
        <v>600</v>
      </c>
      <c r="N372" s="56">
        <f>100</f>
        <v>100</v>
      </c>
      <c r="O372" s="59">
        <v>240</v>
      </c>
      <c r="P372" s="59">
        <v>40</v>
      </c>
      <c r="Q372" s="59">
        <f t="shared" si="54"/>
        <v>315</v>
      </c>
      <c r="R372" s="59">
        <f t="shared" si="55"/>
        <v>100</v>
      </c>
      <c r="S372" s="56">
        <f t="shared" si="56"/>
        <v>695</v>
      </c>
      <c r="T372" s="56">
        <f>50</f>
        <v>50</v>
      </c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</row>
    <row r="373" spans="1:30" ht="15.75" x14ac:dyDescent="0.25">
      <c r="A373" s="14">
        <v>52655</v>
      </c>
      <c r="B373" s="68">
        <v>29</v>
      </c>
      <c r="C373" s="56">
        <f>122.58</f>
        <v>122.58</v>
      </c>
      <c r="D373" s="56">
        <f>297.941</f>
        <v>297.94099999999997</v>
      </c>
      <c r="E373" s="64">
        <f>89.177</f>
        <v>89.177000000000007</v>
      </c>
      <c r="F373" s="56">
        <f>240.302-40-60-100</f>
        <v>40.301999999999992</v>
      </c>
      <c r="G373" s="59">
        <v>40</v>
      </c>
      <c r="H373" s="56">
        <f>60+100</f>
        <v>160</v>
      </c>
      <c r="I373" s="56">
        <f t="shared" si="59"/>
        <v>0</v>
      </c>
      <c r="J373" s="59">
        <v>100</v>
      </c>
      <c r="K373" s="59">
        <v>300</v>
      </c>
      <c r="L373" s="56">
        <f t="shared" si="53"/>
        <v>1150</v>
      </c>
      <c r="M373" s="66">
        <v>600</v>
      </c>
      <c r="N373" s="56">
        <f>100</f>
        <v>100</v>
      </c>
      <c r="O373" s="59">
        <v>240</v>
      </c>
      <c r="P373" s="59">
        <v>40</v>
      </c>
      <c r="Q373" s="59">
        <f t="shared" si="54"/>
        <v>315</v>
      </c>
      <c r="R373" s="59">
        <f t="shared" si="55"/>
        <v>100</v>
      </c>
      <c r="S373" s="56">
        <f t="shared" si="56"/>
        <v>695</v>
      </c>
      <c r="T373" s="56">
        <f>50</f>
        <v>50</v>
      </c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</row>
    <row r="374" spans="1:30" ht="15.75" x14ac:dyDescent="0.25">
      <c r="A374" s="14">
        <v>52687</v>
      </c>
      <c r="B374" s="68">
        <v>31</v>
      </c>
      <c r="C374" s="56">
        <f>122.58</f>
        <v>122.58</v>
      </c>
      <c r="D374" s="56">
        <f>297.941</f>
        <v>297.94099999999997</v>
      </c>
      <c r="E374" s="64">
        <f>89.177</f>
        <v>89.177000000000007</v>
      </c>
      <c r="F374" s="56">
        <f>240.302-40-60-100</f>
        <v>40.301999999999992</v>
      </c>
      <c r="G374" s="59">
        <v>40</v>
      </c>
      <c r="H374" s="56">
        <f>60+100</f>
        <v>160</v>
      </c>
      <c r="I374" s="56">
        <f t="shared" si="59"/>
        <v>0</v>
      </c>
      <c r="J374" s="59">
        <v>100</v>
      </c>
      <c r="K374" s="59">
        <v>300</v>
      </c>
      <c r="L374" s="56">
        <f t="shared" si="53"/>
        <v>1150</v>
      </c>
      <c r="M374" s="66">
        <v>600</v>
      </c>
      <c r="N374" s="56">
        <f>100</f>
        <v>100</v>
      </c>
      <c r="O374" s="59">
        <v>240</v>
      </c>
      <c r="P374" s="59">
        <v>40</v>
      </c>
      <c r="Q374" s="59">
        <f t="shared" si="54"/>
        <v>315</v>
      </c>
      <c r="R374" s="59">
        <f t="shared" si="55"/>
        <v>100</v>
      </c>
      <c r="S374" s="56">
        <f t="shared" si="56"/>
        <v>695</v>
      </c>
      <c r="T374" s="56">
        <f>50</f>
        <v>50</v>
      </c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</row>
    <row r="375" spans="1:30" ht="15.75" x14ac:dyDescent="0.25">
      <c r="A375" s="14">
        <v>52717</v>
      </c>
      <c r="B375" s="68">
        <v>30</v>
      </c>
      <c r="C375" s="56">
        <f>141.293</f>
        <v>141.29300000000001</v>
      </c>
      <c r="D375" s="56">
        <f>267.993</f>
        <v>267.99299999999999</v>
      </c>
      <c r="E375" s="64">
        <f>115.016</f>
        <v>115.01600000000001</v>
      </c>
      <c r="F375" s="56">
        <f>314.698-40-25-60-100</f>
        <v>89.697999999999979</v>
      </c>
      <c r="G375" s="59">
        <v>40</v>
      </c>
      <c r="H375" s="56">
        <f t="shared" ref="H375:H381" si="61">25+60+100</f>
        <v>185</v>
      </c>
      <c r="I375" s="56">
        <f t="shared" si="59"/>
        <v>0</v>
      </c>
      <c r="J375" s="59">
        <v>100</v>
      </c>
      <c r="K375" s="59">
        <v>300</v>
      </c>
      <c r="L375" s="56">
        <f t="shared" si="53"/>
        <v>1239</v>
      </c>
      <c r="M375" s="66">
        <v>600</v>
      </c>
      <c r="N375" s="56">
        <f>100</f>
        <v>100</v>
      </c>
      <c r="O375" s="59">
        <v>240</v>
      </c>
      <c r="P375" s="59">
        <v>160</v>
      </c>
      <c r="Q375" s="59">
        <f t="shared" si="54"/>
        <v>195</v>
      </c>
      <c r="R375" s="59">
        <f t="shared" si="55"/>
        <v>100</v>
      </c>
      <c r="S375" s="56">
        <f t="shared" si="56"/>
        <v>695</v>
      </c>
      <c r="T375" s="56">
        <f>50</f>
        <v>50</v>
      </c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</row>
    <row r="376" spans="1:30" ht="15.75" x14ac:dyDescent="0.25">
      <c r="A376" s="14">
        <v>52748</v>
      </c>
      <c r="B376" s="68">
        <v>31</v>
      </c>
      <c r="C376" s="56">
        <f>194.205</f>
        <v>194.20500000000001</v>
      </c>
      <c r="D376" s="56">
        <f>267.466</f>
        <v>267.46600000000001</v>
      </c>
      <c r="E376" s="64">
        <f>133.845</f>
        <v>133.845</v>
      </c>
      <c r="F376" s="56">
        <f>278.484-40-25-60-100</f>
        <v>53.48399999999998</v>
      </c>
      <c r="G376" s="59">
        <v>40</v>
      </c>
      <c r="H376" s="56">
        <f t="shared" si="61"/>
        <v>185</v>
      </c>
      <c r="I376" s="56">
        <f t="shared" si="59"/>
        <v>0</v>
      </c>
      <c r="J376" s="59">
        <v>100</v>
      </c>
      <c r="K376" s="59">
        <v>300</v>
      </c>
      <c r="L376" s="56">
        <f t="shared" si="53"/>
        <v>1274</v>
      </c>
      <c r="M376" s="66">
        <v>600</v>
      </c>
      <c r="N376" s="56">
        <f>75</f>
        <v>75</v>
      </c>
      <c r="O376" s="59">
        <v>240</v>
      </c>
      <c r="P376" s="59">
        <v>160</v>
      </c>
      <c r="Q376" s="59">
        <f t="shared" si="54"/>
        <v>195</v>
      </c>
      <c r="R376" s="59">
        <f t="shared" si="55"/>
        <v>100</v>
      </c>
      <c r="S376" s="56">
        <f t="shared" si="56"/>
        <v>695</v>
      </c>
      <c r="T376" s="56">
        <f>50</f>
        <v>50</v>
      </c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</row>
    <row r="377" spans="1:30" ht="15.75" x14ac:dyDescent="0.25">
      <c r="A377" s="14">
        <v>52778</v>
      </c>
      <c r="B377" s="68">
        <v>30</v>
      </c>
      <c r="C377" s="56">
        <f>194.205</f>
        <v>194.20500000000001</v>
      </c>
      <c r="D377" s="56">
        <f>267.466</f>
        <v>267.46600000000001</v>
      </c>
      <c r="E377" s="64">
        <f>133.845</f>
        <v>133.845</v>
      </c>
      <c r="F377" s="56">
        <f>278.484-40-25-60-100</f>
        <v>53.48399999999998</v>
      </c>
      <c r="G377" s="59">
        <v>40</v>
      </c>
      <c r="H377" s="56">
        <f t="shared" si="61"/>
        <v>185</v>
      </c>
      <c r="I377" s="56">
        <f t="shared" si="59"/>
        <v>0</v>
      </c>
      <c r="J377" s="59">
        <v>100</v>
      </c>
      <c r="K377" s="59">
        <v>300</v>
      </c>
      <c r="L377" s="56">
        <f t="shared" si="53"/>
        <v>1274</v>
      </c>
      <c r="M377" s="66">
        <v>600</v>
      </c>
      <c r="N377" s="56">
        <f>30</f>
        <v>30</v>
      </c>
      <c r="O377" s="59">
        <v>240</v>
      </c>
      <c r="P377" s="59">
        <v>160</v>
      </c>
      <c r="Q377" s="59">
        <f t="shared" si="54"/>
        <v>195</v>
      </c>
      <c r="R377" s="59">
        <f t="shared" si="55"/>
        <v>100</v>
      </c>
      <c r="S377" s="56">
        <f t="shared" si="56"/>
        <v>695</v>
      </c>
      <c r="T377" s="56">
        <f>50</f>
        <v>50</v>
      </c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</row>
    <row r="378" spans="1:30" ht="15.75" x14ac:dyDescent="0.25">
      <c r="A378" s="14">
        <v>52809</v>
      </c>
      <c r="B378" s="68">
        <v>31</v>
      </c>
      <c r="C378" s="56">
        <f>194.205</f>
        <v>194.20500000000001</v>
      </c>
      <c r="D378" s="56">
        <f>267.466</f>
        <v>267.46600000000001</v>
      </c>
      <c r="E378" s="64">
        <f>133.845</f>
        <v>133.845</v>
      </c>
      <c r="F378" s="56">
        <f>278.484-40-25-60-100</f>
        <v>53.48399999999998</v>
      </c>
      <c r="G378" s="59">
        <v>40</v>
      </c>
      <c r="H378" s="56">
        <f t="shared" si="61"/>
        <v>185</v>
      </c>
      <c r="I378" s="56">
        <f t="shared" si="59"/>
        <v>0</v>
      </c>
      <c r="J378" s="59">
        <v>100</v>
      </c>
      <c r="K378" s="59">
        <v>300</v>
      </c>
      <c r="L378" s="56">
        <f t="shared" si="53"/>
        <v>1274</v>
      </c>
      <c r="M378" s="66">
        <v>600</v>
      </c>
      <c r="N378" s="56">
        <f>30</f>
        <v>30</v>
      </c>
      <c r="O378" s="59">
        <v>240</v>
      </c>
      <c r="P378" s="59">
        <v>160</v>
      </c>
      <c r="Q378" s="59">
        <f t="shared" si="54"/>
        <v>195</v>
      </c>
      <c r="R378" s="59">
        <f t="shared" si="55"/>
        <v>100</v>
      </c>
      <c r="S378" s="56">
        <f t="shared" si="56"/>
        <v>695</v>
      </c>
      <c r="T378" s="56">
        <f>0</f>
        <v>0</v>
      </c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</row>
    <row r="379" spans="1:30" ht="15.75" x14ac:dyDescent="0.25">
      <c r="A379" s="14">
        <v>52840</v>
      </c>
      <c r="B379" s="68">
        <v>31</v>
      </c>
      <c r="C379" s="56">
        <f>194.205</f>
        <v>194.20500000000001</v>
      </c>
      <c r="D379" s="56">
        <f>267.466</f>
        <v>267.46600000000001</v>
      </c>
      <c r="E379" s="64">
        <f>133.845</f>
        <v>133.845</v>
      </c>
      <c r="F379" s="56">
        <f>278.484-40-25-60-100</f>
        <v>53.48399999999998</v>
      </c>
      <c r="G379" s="59">
        <v>40</v>
      </c>
      <c r="H379" s="56">
        <f t="shared" si="61"/>
        <v>185</v>
      </c>
      <c r="I379" s="56">
        <f t="shared" si="59"/>
        <v>0</v>
      </c>
      <c r="J379" s="59">
        <v>100</v>
      </c>
      <c r="K379" s="59">
        <v>300</v>
      </c>
      <c r="L379" s="56">
        <f t="shared" si="53"/>
        <v>1274</v>
      </c>
      <c r="M379" s="66">
        <v>600</v>
      </c>
      <c r="N379" s="56">
        <f>30</f>
        <v>30</v>
      </c>
      <c r="O379" s="59">
        <v>240</v>
      </c>
      <c r="P379" s="59">
        <v>160</v>
      </c>
      <c r="Q379" s="59">
        <f t="shared" si="54"/>
        <v>195</v>
      </c>
      <c r="R379" s="59">
        <f t="shared" si="55"/>
        <v>100</v>
      </c>
      <c r="S379" s="56">
        <f t="shared" si="56"/>
        <v>695</v>
      </c>
      <c r="T379" s="56">
        <f>0</f>
        <v>0</v>
      </c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</row>
    <row r="380" spans="1:30" ht="15.75" x14ac:dyDescent="0.25">
      <c r="A380" s="14">
        <v>52870</v>
      </c>
      <c r="B380" s="68">
        <v>30</v>
      </c>
      <c r="C380" s="56">
        <f>194.205</f>
        <v>194.20500000000001</v>
      </c>
      <c r="D380" s="56">
        <f>267.466</f>
        <v>267.46600000000001</v>
      </c>
      <c r="E380" s="64">
        <f>133.845</f>
        <v>133.845</v>
      </c>
      <c r="F380" s="56">
        <f>278.484-40-25-60-100</f>
        <v>53.48399999999998</v>
      </c>
      <c r="G380" s="59">
        <v>40</v>
      </c>
      <c r="H380" s="56">
        <f t="shared" si="61"/>
        <v>185</v>
      </c>
      <c r="I380" s="56">
        <f t="shared" si="59"/>
        <v>0</v>
      </c>
      <c r="J380" s="59">
        <v>100</v>
      </c>
      <c r="K380" s="59">
        <v>300</v>
      </c>
      <c r="L380" s="56">
        <f t="shared" si="53"/>
        <v>1274</v>
      </c>
      <c r="M380" s="66">
        <v>600</v>
      </c>
      <c r="N380" s="56">
        <f>30</f>
        <v>30</v>
      </c>
      <c r="O380" s="59">
        <v>240</v>
      </c>
      <c r="P380" s="59">
        <v>160</v>
      </c>
      <c r="Q380" s="59">
        <f t="shared" si="54"/>
        <v>195</v>
      </c>
      <c r="R380" s="59">
        <f t="shared" si="55"/>
        <v>100</v>
      </c>
      <c r="S380" s="56">
        <f t="shared" si="56"/>
        <v>695</v>
      </c>
      <c r="T380" s="56">
        <f>0</f>
        <v>0</v>
      </c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</row>
    <row r="381" spans="1:30" ht="15.75" x14ac:dyDescent="0.25">
      <c r="A381" s="14">
        <v>52901</v>
      </c>
      <c r="B381" s="68">
        <v>31</v>
      </c>
      <c r="C381" s="56">
        <f>131.881</f>
        <v>131.881</v>
      </c>
      <c r="D381" s="56">
        <f>277.167</f>
        <v>277.16699999999997</v>
      </c>
      <c r="E381" s="64">
        <f>79.08</f>
        <v>79.08</v>
      </c>
      <c r="F381" s="56">
        <f>350.872-40-25-60-100</f>
        <v>125.87200000000001</v>
      </c>
      <c r="G381" s="59">
        <v>40</v>
      </c>
      <c r="H381" s="56">
        <f t="shared" si="61"/>
        <v>185</v>
      </c>
      <c r="I381" s="56">
        <f t="shared" si="59"/>
        <v>0</v>
      </c>
      <c r="J381" s="59">
        <v>100</v>
      </c>
      <c r="K381" s="59">
        <v>300</v>
      </c>
      <c r="L381" s="56">
        <f t="shared" si="53"/>
        <v>1239</v>
      </c>
      <c r="M381" s="66">
        <v>600</v>
      </c>
      <c r="N381" s="56">
        <f>75</f>
        <v>75</v>
      </c>
      <c r="O381" s="59">
        <v>240</v>
      </c>
      <c r="P381" s="59">
        <v>160</v>
      </c>
      <c r="Q381" s="59">
        <f t="shared" si="54"/>
        <v>195</v>
      </c>
      <c r="R381" s="59">
        <f t="shared" si="55"/>
        <v>100</v>
      </c>
      <c r="S381" s="56">
        <f t="shared" si="56"/>
        <v>695</v>
      </c>
      <c r="T381" s="56">
        <f>0</f>
        <v>0</v>
      </c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</row>
    <row r="382" spans="1:30" ht="15.75" x14ac:dyDescent="0.25">
      <c r="A382" s="14">
        <v>52931</v>
      </c>
      <c r="B382" s="68">
        <v>30</v>
      </c>
      <c r="C382" s="56">
        <f>122.58</f>
        <v>122.58</v>
      </c>
      <c r="D382" s="56">
        <f>297.941</f>
        <v>297.94099999999997</v>
      </c>
      <c r="E382" s="64">
        <f>89.177</f>
        <v>89.177000000000007</v>
      </c>
      <c r="F382" s="56">
        <f>240.302-40-60-100</f>
        <v>40.301999999999992</v>
      </c>
      <c r="G382" s="59">
        <v>40</v>
      </c>
      <c r="H382" s="56">
        <f>60+100</f>
        <v>160</v>
      </c>
      <c r="I382" s="56">
        <f t="shared" si="59"/>
        <v>0</v>
      </c>
      <c r="J382" s="59">
        <v>100</v>
      </c>
      <c r="K382" s="59">
        <v>300</v>
      </c>
      <c r="L382" s="56">
        <f t="shared" si="53"/>
        <v>1150</v>
      </c>
      <c r="M382" s="66">
        <v>600</v>
      </c>
      <c r="N382" s="56">
        <f>100</f>
        <v>100</v>
      </c>
      <c r="O382" s="59">
        <v>240</v>
      </c>
      <c r="P382" s="59">
        <v>40</v>
      </c>
      <c r="Q382" s="59">
        <f t="shared" si="54"/>
        <v>315</v>
      </c>
      <c r="R382" s="59">
        <f t="shared" si="55"/>
        <v>100</v>
      </c>
      <c r="S382" s="56">
        <f t="shared" si="56"/>
        <v>695</v>
      </c>
      <c r="T382" s="56">
        <f>50</f>
        <v>50</v>
      </c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</row>
    <row r="383" spans="1:30" ht="15.75" x14ac:dyDescent="0.25">
      <c r="A383" s="14">
        <v>52962</v>
      </c>
      <c r="B383" s="68">
        <v>31</v>
      </c>
      <c r="C383" s="56">
        <f>122.58</f>
        <v>122.58</v>
      </c>
      <c r="D383" s="56">
        <f>297.941</f>
        <v>297.94099999999997</v>
      </c>
      <c r="E383" s="64">
        <f>89.177</f>
        <v>89.177000000000007</v>
      </c>
      <c r="F383" s="56">
        <f>240.302-40-60-100</f>
        <v>40.301999999999992</v>
      </c>
      <c r="G383" s="59">
        <v>40</v>
      </c>
      <c r="H383" s="56">
        <f>60+100</f>
        <v>160</v>
      </c>
      <c r="I383" s="56">
        <f t="shared" si="59"/>
        <v>0</v>
      </c>
      <c r="J383" s="59">
        <v>100</v>
      </c>
      <c r="K383" s="59">
        <v>300</v>
      </c>
      <c r="L383" s="56">
        <f t="shared" si="53"/>
        <v>1150</v>
      </c>
      <c r="M383" s="66">
        <v>600</v>
      </c>
      <c r="N383" s="56">
        <f>100</f>
        <v>100</v>
      </c>
      <c r="O383" s="59">
        <v>240</v>
      </c>
      <c r="P383" s="59">
        <v>40</v>
      </c>
      <c r="Q383" s="59">
        <f t="shared" si="54"/>
        <v>315</v>
      </c>
      <c r="R383" s="59">
        <f t="shared" si="55"/>
        <v>100</v>
      </c>
      <c r="S383" s="56">
        <f t="shared" si="56"/>
        <v>695</v>
      </c>
      <c r="T383" s="56">
        <f>50</f>
        <v>50</v>
      </c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</row>
    <row r="384" spans="1:30" ht="15.75" x14ac:dyDescent="0.25">
      <c r="A384" s="14">
        <v>52993</v>
      </c>
      <c r="B384" s="68">
        <v>31</v>
      </c>
      <c r="C384" s="56">
        <f>122.58</f>
        <v>122.58</v>
      </c>
      <c r="D384" s="56">
        <f>297.941</f>
        <v>297.94099999999997</v>
      </c>
      <c r="E384" s="64">
        <f>89.177</f>
        <v>89.177000000000007</v>
      </c>
      <c r="F384" s="56">
        <f>240.302-40-60-100</f>
        <v>40.301999999999992</v>
      </c>
      <c r="G384" s="59">
        <v>40</v>
      </c>
      <c r="H384" s="56">
        <f>60+100</f>
        <v>160</v>
      </c>
      <c r="I384" s="56">
        <f t="shared" si="59"/>
        <v>0</v>
      </c>
      <c r="J384" s="59">
        <v>100</v>
      </c>
      <c r="K384" s="59">
        <v>300</v>
      </c>
      <c r="L384" s="56">
        <f t="shared" si="53"/>
        <v>1150</v>
      </c>
      <c r="M384" s="66">
        <v>600</v>
      </c>
      <c r="N384" s="56">
        <f>100</f>
        <v>100</v>
      </c>
      <c r="O384" s="59">
        <v>240</v>
      </c>
      <c r="P384" s="59">
        <v>40</v>
      </c>
      <c r="Q384" s="59">
        <f t="shared" si="54"/>
        <v>315</v>
      </c>
      <c r="R384" s="59">
        <f t="shared" si="55"/>
        <v>100</v>
      </c>
      <c r="S384" s="56">
        <f t="shared" si="56"/>
        <v>695</v>
      </c>
      <c r="T384" s="56">
        <f>50</f>
        <v>50</v>
      </c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</row>
    <row r="385" spans="1:30" ht="15.75" x14ac:dyDescent="0.25">
      <c r="A385" s="14">
        <v>53021</v>
      </c>
      <c r="B385" s="68">
        <v>28</v>
      </c>
      <c r="C385" s="56">
        <f>122.58</f>
        <v>122.58</v>
      </c>
      <c r="D385" s="56">
        <f>297.941</f>
        <v>297.94099999999997</v>
      </c>
      <c r="E385" s="64">
        <f>89.177</f>
        <v>89.177000000000007</v>
      </c>
      <c r="F385" s="56">
        <f>240.302-40-60-100</f>
        <v>40.301999999999992</v>
      </c>
      <c r="G385" s="59">
        <v>40</v>
      </c>
      <c r="H385" s="56">
        <f>60+100</f>
        <v>160</v>
      </c>
      <c r="I385" s="56">
        <f t="shared" si="59"/>
        <v>0</v>
      </c>
      <c r="J385" s="59">
        <v>100</v>
      </c>
      <c r="K385" s="59">
        <v>300</v>
      </c>
      <c r="L385" s="56">
        <f t="shared" si="53"/>
        <v>1150</v>
      </c>
      <c r="M385" s="66">
        <v>600</v>
      </c>
      <c r="N385" s="56">
        <f>100</f>
        <v>100</v>
      </c>
      <c r="O385" s="59">
        <v>240</v>
      </c>
      <c r="P385" s="59">
        <v>40</v>
      </c>
      <c r="Q385" s="59">
        <f t="shared" si="54"/>
        <v>315</v>
      </c>
      <c r="R385" s="59">
        <f t="shared" si="55"/>
        <v>100</v>
      </c>
      <c r="S385" s="56">
        <f t="shared" si="56"/>
        <v>695</v>
      </c>
      <c r="T385" s="56">
        <f>50</f>
        <v>50</v>
      </c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</row>
    <row r="386" spans="1:30" ht="15.75" x14ac:dyDescent="0.25">
      <c r="A386" s="14">
        <v>53052</v>
      </c>
      <c r="B386" s="68">
        <v>31</v>
      </c>
      <c r="C386" s="56">
        <f>122.58</f>
        <v>122.58</v>
      </c>
      <c r="D386" s="56">
        <f>297.941</f>
        <v>297.94099999999997</v>
      </c>
      <c r="E386" s="64">
        <f>89.177</f>
        <v>89.177000000000007</v>
      </c>
      <c r="F386" s="56">
        <f>240.302-40-60-100</f>
        <v>40.301999999999992</v>
      </c>
      <c r="G386" s="59">
        <v>40</v>
      </c>
      <c r="H386" s="56">
        <f>60+100</f>
        <v>160</v>
      </c>
      <c r="I386" s="56">
        <f t="shared" si="59"/>
        <v>0</v>
      </c>
      <c r="J386" s="59">
        <v>100</v>
      </c>
      <c r="K386" s="59">
        <v>300</v>
      </c>
      <c r="L386" s="56">
        <f t="shared" si="53"/>
        <v>1150</v>
      </c>
      <c r="M386" s="66">
        <v>600</v>
      </c>
      <c r="N386" s="56">
        <f>100</f>
        <v>100</v>
      </c>
      <c r="O386" s="59">
        <v>240</v>
      </c>
      <c r="P386" s="59">
        <v>40</v>
      </c>
      <c r="Q386" s="59">
        <f t="shared" si="54"/>
        <v>315</v>
      </c>
      <c r="R386" s="59">
        <f t="shared" si="55"/>
        <v>100</v>
      </c>
      <c r="S386" s="56">
        <f t="shared" si="56"/>
        <v>695</v>
      </c>
      <c r="T386" s="56">
        <f>50</f>
        <v>50</v>
      </c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</row>
    <row r="387" spans="1:30" ht="15.75" x14ac:dyDescent="0.25">
      <c r="A387" s="14">
        <v>53082</v>
      </c>
      <c r="B387" s="68">
        <v>30</v>
      </c>
      <c r="C387" s="56">
        <f>141.293</f>
        <v>141.29300000000001</v>
      </c>
      <c r="D387" s="56">
        <f>267.993</f>
        <v>267.99299999999999</v>
      </c>
      <c r="E387" s="64">
        <f>115.016</f>
        <v>115.01600000000001</v>
      </c>
      <c r="F387" s="56">
        <f>314.698-40-25-60-100</f>
        <v>89.697999999999979</v>
      </c>
      <c r="G387" s="59">
        <v>40</v>
      </c>
      <c r="H387" s="56">
        <f t="shared" ref="H387:H393" si="62">25+60+100</f>
        <v>185</v>
      </c>
      <c r="I387" s="56">
        <f t="shared" si="59"/>
        <v>0</v>
      </c>
      <c r="J387" s="59">
        <v>100</v>
      </c>
      <c r="K387" s="59">
        <v>300</v>
      </c>
      <c r="L387" s="56">
        <f t="shared" si="53"/>
        <v>1239</v>
      </c>
      <c r="M387" s="66">
        <v>600</v>
      </c>
      <c r="N387" s="56">
        <f>100</f>
        <v>100</v>
      </c>
      <c r="O387" s="59">
        <v>240</v>
      </c>
      <c r="P387" s="59">
        <v>160</v>
      </c>
      <c r="Q387" s="59">
        <f t="shared" si="54"/>
        <v>195</v>
      </c>
      <c r="R387" s="59">
        <f t="shared" si="55"/>
        <v>100</v>
      </c>
      <c r="S387" s="56">
        <f t="shared" si="56"/>
        <v>695</v>
      </c>
      <c r="T387" s="56">
        <f>50</f>
        <v>50</v>
      </c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</row>
    <row r="388" spans="1:30" ht="15.75" x14ac:dyDescent="0.25">
      <c r="A388" s="14">
        <v>53113</v>
      </c>
      <c r="B388" s="68">
        <v>31</v>
      </c>
      <c r="C388" s="56">
        <f>194.205</f>
        <v>194.20500000000001</v>
      </c>
      <c r="D388" s="56">
        <f>267.466</f>
        <v>267.46600000000001</v>
      </c>
      <c r="E388" s="64">
        <f>133.845</f>
        <v>133.845</v>
      </c>
      <c r="F388" s="56">
        <f>278.484-40-25-60-100</f>
        <v>53.48399999999998</v>
      </c>
      <c r="G388" s="59">
        <v>40</v>
      </c>
      <c r="H388" s="56">
        <f t="shared" si="62"/>
        <v>185</v>
      </c>
      <c r="I388" s="56">
        <f t="shared" si="59"/>
        <v>0</v>
      </c>
      <c r="J388" s="59">
        <v>100</v>
      </c>
      <c r="K388" s="59">
        <v>300</v>
      </c>
      <c r="L388" s="56">
        <f t="shared" si="53"/>
        <v>1274</v>
      </c>
      <c r="M388" s="66">
        <v>600</v>
      </c>
      <c r="N388" s="56">
        <f>75</f>
        <v>75</v>
      </c>
      <c r="O388" s="59">
        <v>240</v>
      </c>
      <c r="P388" s="59">
        <v>160</v>
      </c>
      <c r="Q388" s="59">
        <f t="shared" si="54"/>
        <v>195</v>
      </c>
      <c r="R388" s="59">
        <f t="shared" si="55"/>
        <v>100</v>
      </c>
      <c r="S388" s="56">
        <f t="shared" si="56"/>
        <v>695</v>
      </c>
      <c r="T388" s="56">
        <f>50</f>
        <v>50</v>
      </c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</row>
    <row r="389" spans="1:30" ht="15.75" x14ac:dyDescent="0.25">
      <c r="A389" s="14">
        <v>53143</v>
      </c>
      <c r="B389" s="68">
        <v>30</v>
      </c>
      <c r="C389" s="56">
        <f>194.205</f>
        <v>194.20500000000001</v>
      </c>
      <c r="D389" s="56">
        <f>267.466</f>
        <v>267.46600000000001</v>
      </c>
      <c r="E389" s="64">
        <f>133.845</f>
        <v>133.845</v>
      </c>
      <c r="F389" s="56">
        <f>278.484-40-25-60-100</f>
        <v>53.48399999999998</v>
      </c>
      <c r="G389" s="59">
        <v>40</v>
      </c>
      <c r="H389" s="56">
        <f t="shared" si="62"/>
        <v>185</v>
      </c>
      <c r="I389" s="56">
        <f t="shared" si="59"/>
        <v>0</v>
      </c>
      <c r="J389" s="59">
        <v>100</v>
      </c>
      <c r="K389" s="59">
        <v>300</v>
      </c>
      <c r="L389" s="56">
        <f t="shared" si="53"/>
        <v>1274</v>
      </c>
      <c r="M389" s="66">
        <v>600</v>
      </c>
      <c r="N389" s="56">
        <f>30</f>
        <v>30</v>
      </c>
      <c r="O389" s="59">
        <v>240</v>
      </c>
      <c r="P389" s="59">
        <v>160</v>
      </c>
      <c r="Q389" s="59">
        <f t="shared" si="54"/>
        <v>195</v>
      </c>
      <c r="R389" s="59">
        <f t="shared" si="55"/>
        <v>100</v>
      </c>
      <c r="S389" s="56">
        <f t="shared" si="56"/>
        <v>695</v>
      </c>
      <c r="T389" s="56">
        <f>50</f>
        <v>50</v>
      </c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</row>
    <row r="390" spans="1:30" ht="15.75" x14ac:dyDescent="0.25">
      <c r="A390" s="14">
        <v>53174</v>
      </c>
      <c r="B390" s="68">
        <v>31</v>
      </c>
      <c r="C390" s="56">
        <f>194.205</f>
        <v>194.20500000000001</v>
      </c>
      <c r="D390" s="56">
        <f>267.466</f>
        <v>267.46600000000001</v>
      </c>
      <c r="E390" s="64">
        <f>133.845</f>
        <v>133.845</v>
      </c>
      <c r="F390" s="56">
        <f>278.484-40-25-60-100</f>
        <v>53.48399999999998</v>
      </c>
      <c r="G390" s="59">
        <v>40</v>
      </c>
      <c r="H390" s="56">
        <f t="shared" si="62"/>
        <v>185</v>
      </c>
      <c r="I390" s="56">
        <f t="shared" si="59"/>
        <v>0</v>
      </c>
      <c r="J390" s="59">
        <v>100</v>
      </c>
      <c r="K390" s="59">
        <v>300</v>
      </c>
      <c r="L390" s="56">
        <f t="shared" si="53"/>
        <v>1274</v>
      </c>
      <c r="M390" s="66">
        <v>600</v>
      </c>
      <c r="N390" s="56">
        <f>30</f>
        <v>30</v>
      </c>
      <c r="O390" s="59">
        <v>240</v>
      </c>
      <c r="P390" s="59">
        <v>160</v>
      </c>
      <c r="Q390" s="59">
        <f t="shared" si="54"/>
        <v>195</v>
      </c>
      <c r="R390" s="59">
        <f t="shared" si="55"/>
        <v>100</v>
      </c>
      <c r="S390" s="56">
        <f t="shared" si="56"/>
        <v>695</v>
      </c>
      <c r="T390" s="56">
        <f>0</f>
        <v>0</v>
      </c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</row>
    <row r="391" spans="1:30" ht="15.75" x14ac:dyDescent="0.25">
      <c r="A391" s="14">
        <v>53205</v>
      </c>
      <c r="B391" s="68">
        <v>31</v>
      </c>
      <c r="C391" s="56">
        <f>194.205</f>
        <v>194.20500000000001</v>
      </c>
      <c r="D391" s="56">
        <f>267.466</f>
        <v>267.46600000000001</v>
      </c>
      <c r="E391" s="64">
        <f>133.845</f>
        <v>133.845</v>
      </c>
      <c r="F391" s="56">
        <f>278.484-40-25-60-100</f>
        <v>53.48399999999998</v>
      </c>
      <c r="G391" s="59">
        <v>40</v>
      </c>
      <c r="H391" s="56">
        <f t="shared" si="62"/>
        <v>185</v>
      </c>
      <c r="I391" s="56">
        <f t="shared" si="59"/>
        <v>0</v>
      </c>
      <c r="J391" s="59">
        <v>100</v>
      </c>
      <c r="K391" s="59">
        <v>300</v>
      </c>
      <c r="L391" s="56">
        <f t="shared" si="53"/>
        <v>1274</v>
      </c>
      <c r="M391" s="66">
        <v>600</v>
      </c>
      <c r="N391" s="56">
        <f>30</f>
        <v>30</v>
      </c>
      <c r="O391" s="59">
        <v>240</v>
      </c>
      <c r="P391" s="59">
        <v>160</v>
      </c>
      <c r="Q391" s="59">
        <f t="shared" si="54"/>
        <v>195</v>
      </c>
      <c r="R391" s="59">
        <f t="shared" si="55"/>
        <v>100</v>
      </c>
      <c r="S391" s="56">
        <f t="shared" si="56"/>
        <v>695</v>
      </c>
      <c r="T391" s="56">
        <f>0</f>
        <v>0</v>
      </c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</row>
    <row r="392" spans="1:30" ht="15.75" x14ac:dyDescent="0.25">
      <c r="A392" s="14">
        <v>53235</v>
      </c>
      <c r="B392" s="68">
        <v>30</v>
      </c>
      <c r="C392" s="56">
        <f>194.205</f>
        <v>194.20500000000001</v>
      </c>
      <c r="D392" s="56">
        <f>267.466</f>
        <v>267.46600000000001</v>
      </c>
      <c r="E392" s="64">
        <f>133.845</f>
        <v>133.845</v>
      </c>
      <c r="F392" s="56">
        <f>278.484-40-25-60-100</f>
        <v>53.48399999999998</v>
      </c>
      <c r="G392" s="59">
        <v>40</v>
      </c>
      <c r="H392" s="56">
        <f t="shared" si="62"/>
        <v>185</v>
      </c>
      <c r="I392" s="56">
        <f t="shared" si="59"/>
        <v>0</v>
      </c>
      <c r="J392" s="59">
        <v>100</v>
      </c>
      <c r="K392" s="59">
        <v>300</v>
      </c>
      <c r="L392" s="56">
        <f t="shared" si="53"/>
        <v>1274</v>
      </c>
      <c r="M392" s="66">
        <v>600</v>
      </c>
      <c r="N392" s="56">
        <f>30</f>
        <v>30</v>
      </c>
      <c r="O392" s="59">
        <v>240</v>
      </c>
      <c r="P392" s="59">
        <v>160</v>
      </c>
      <c r="Q392" s="59">
        <f t="shared" si="54"/>
        <v>195</v>
      </c>
      <c r="R392" s="59">
        <f t="shared" si="55"/>
        <v>100</v>
      </c>
      <c r="S392" s="56">
        <f t="shared" si="56"/>
        <v>695</v>
      </c>
      <c r="T392" s="56">
        <f>0</f>
        <v>0</v>
      </c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</row>
    <row r="393" spans="1:30" ht="15.75" x14ac:dyDescent="0.25">
      <c r="A393" s="14">
        <v>53266</v>
      </c>
      <c r="B393" s="68">
        <v>31</v>
      </c>
      <c r="C393" s="56">
        <f>131.881</f>
        <v>131.881</v>
      </c>
      <c r="D393" s="56">
        <f>277.167</f>
        <v>277.16699999999997</v>
      </c>
      <c r="E393" s="64">
        <f>79.08</f>
        <v>79.08</v>
      </c>
      <c r="F393" s="56">
        <f>350.872-40-25-60-100</f>
        <v>125.87200000000001</v>
      </c>
      <c r="G393" s="59">
        <v>40</v>
      </c>
      <c r="H393" s="56">
        <f t="shared" si="62"/>
        <v>185</v>
      </c>
      <c r="I393" s="56">
        <f t="shared" si="59"/>
        <v>0</v>
      </c>
      <c r="J393" s="59">
        <v>100</v>
      </c>
      <c r="K393" s="59">
        <v>300</v>
      </c>
      <c r="L393" s="56">
        <f t="shared" si="53"/>
        <v>1239</v>
      </c>
      <c r="M393" s="66">
        <v>600</v>
      </c>
      <c r="N393" s="56">
        <f>75</f>
        <v>75</v>
      </c>
      <c r="O393" s="59">
        <v>240</v>
      </c>
      <c r="P393" s="59">
        <v>160</v>
      </c>
      <c r="Q393" s="59">
        <f t="shared" si="54"/>
        <v>195</v>
      </c>
      <c r="R393" s="59">
        <f t="shared" si="55"/>
        <v>100</v>
      </c>
      <c r="S393" s="56">
        <f t="shared" si="56"/>
        <v>695</v>
      </c>
      <c r="T393" s="56">
        <f>0</f>
        <v>0</v>
      </c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</row>
    <row r="394" spans="1:30" ht="15.75" x14ac:dyDescent="0.25">
      <c r="A394" s="14">
        <v>53296</v>
      </c>
      <c r="B394" s="68">
        <v>30</v>
      </c>
      <c r="C394" s="56">
        <f>122.58</f>
        <v>122.58</v>
      </c>
      <c r="D394" s="56">
        <f>297.941</f>
        <v>297.94099999999997</v>
      </c>
      <c r="E394" s="64">
        <f>89.177</f>
        <v>89.177000000000007</v>
      </c>
      <c r="F394" s="56">
        <f>240.302-40-60-100</f>
        <v>40.301999999999992</v>
      </c>
      <c r="G394" s="59">
        <v>40</v>
      </c>
      <c r="H394" s="56">
        <f>60+100</f>
        <v>160</v>
      </c>
      <c r="I394" s="56">
        <f t="shared" si="59"/>
        <v>0</v>
      </c>
      <c r="J394" s="59">
        <v>100</v>
      </c>
      <c r="K394" s="59">
        <v>300</v>
      </c>
      <c r="L394" s="56">
        <f t="shared" si="53"/>
        <v>1150</v>
      </c>
      <c r="M394" s="66">
        <v>600</v>
      </c>
      <c r="N394" s="56">
        <f>100</f>
        <v>100</v>
      </c>
      <c r="O394" s="59">
        <v>240</v>
      </c>
      <c r="P394" s="59">
        <v>40</v>
      </c>
      <c r="Q394" s="59">
        <f t="shared" si="54"/>
        <v>315</v>
      </c>
      <c r="R394" s="59">
        <f t="shared" si="55"/>
        <v>100</v>
      </c>
      <c r="S394" s="56">
        <f t="shared" si="56"/>
        <v>695</v>
      </c>
      <c r="T394" s="56">
        <f>50</f>
        <v>50</v>
      </c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</row>
    <row r="395" spans="1:30" ht="15.75" x14ac:dyDescent="0.25">
      <c r="A395" s="14">
        <v>53327</v>
      </c>
      <c r="B395" s="68">
        <v>31</v>
      </c>
      <c r="C395" s="56">
        <f>122.58</f>
        <v>122.58</v>
      </c>
      <c r="D395" s="56">
        <f>297.941</f>
        <v>297.94099999999997</v>
      </c>
      <c r="E395" s="64">
        <f>89.177</f>
        <v>89.177000000000007</v>
      </c>
      <c r="F395" s="56">
        <f>240.302-40-60-100</f>
        <v>40.301999999999992</v>
      </c>
      <c r="G395" s="59">
        <v>40</v>
      </c>
      <c r="H395" s="56">
        <f>60+100</f>
        <v>160</v>
      </c>
      <c r="I395" s="56">
        <f t="shared" si="59"/>
        <v>0</v>
      </c>
      <c r="J395" s="59">
        <v>100</v>
      </c>
      <c r="K395" s="59">
        <v>300</v>
      </c>
      <c r="L395" s="56">
        <f t="shared" si="53"/>
        <v>1150</v>
      </c>
      <c r="M395" s="66">
        <v>600</v>
      </c>
      <c r="N395" s="56">
        <f>100</f>
        <v>100</v>
      </c>
      <c r="O395" s="59">
        <v>240</v>
      </c>
      <c r="P395" s="59">
        <v>40</v>
      </c>
      <c r="Q395" s="59">
        <f t="shared" si="54"/>
        <v>315</v>
      </c>
      <c r="R395" s="59">
        <f t="shared" si="55"/>
        <v>100</v>
      </c>
      <c r="S395" s="56">
        <f t="shared" si="56"/>
        <v>695</v>
      </c>
      <c r="T395" s="56">
        <f>50</f>
        <v>50</v>
      </c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</row>
    <row r="396" spans="1:30" ht="15.75" x14ac:dyDescent="0.25">
      <c r="A396" s="14">
        <v>53358</v>
      </c>
      <c r="B396" s="68">
        <v>31</v>
      </c>
      <c r="C396" s="56">
        <f>122.58</f>
        <v>122.58</v>
      </c>
      <c r="D396" s="56">
        <f>297.941</f>
        <v>297.94099999999997</v>
      </c>
      <c r="E396" s="64">
        <f>89.177</f>
        <v>89.177000000000007</v>
      </c>
      <c r="F396" s="56">
        <f>240.302-40-60-100</f>
        <v>40.301999999999992</v>
      </c>
      <c r="G396" s="59">
        <v>40</v>
      </c>
      <c r="H396" s="56">
        <f>60+100</f>
        <v>160</v>
      </c>
      <c r="I396" s="56">
        <f t="shared" si="59"/>
        <v>0</v>
      </c>
      <c r="J396" s="59">
        <v>100</v>
      </c>
      <c r="K396" s="59">
        <v>300</v>
      </c>
      <c r="L396" s="56">
        <f t="shared" si="53"/>
        <v>1150</v>
      </c>
      <c r="M396" s="66">
        <v>600</v>
      </c>
      <c r="N396" s="56">
        <f>100</f>
        <v>100</v>
      </c>
      <c r="O396" s="59">
        <v>240</v>
      </c>
      <c r="P396" s="59">
        <v>40</v>
      </c>
      <c r="Q396" s="59">
        <f t="shared" si="54"/>
        <v>315</v>
      </c>
      <c r="R396" s="59">
        <f t="shared" si="55"/>
        <v>100</v>
      </c>
      <c r="S396" s="56">
        <f t="shared" si="56"/>
        <v>695</v>
      </c>
      <c r="T396" s="56">
        <f>50</f>
        <v>50</v>
      </c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</row>
    <row r="397" spans="1:30" ht="15.75" x14ac:dyDescent="0.25">
      <c r="A397" s="14">
        <v>53386</v>
      </c>
      <c r="B397" s="68">
        <v>28</v>
      </c>
      <c r="C397" s="56">
        <f>122.58</f>
        <v>122.58</v>
      </c>
      <c r="D397" s="56">
        <f>297.941</f>
        <v>297.94099999999997</v>
      </c>
      <c r="E397" s="64">
        <f>89.177</f>
        <v>89.177000000000007</v>
      </c>
      <c r="F397" s="56">
        <f>240.302-40-60-100</f>
        <v>40.301999999999992</v>
      </c>
      <c r="G397" s="59">
        <v>40</v>
      </c>
      <c r="H397" s="56">
        <f>60+100</f>
        <v>160</v>
      </c>
      <c r="I397" s="56">
        <f t="shared" si="59"/>
        <v>0</v>
      </c>
      <c r="J397" s="59">
        <v>100</v>
      </c>
      <c r="K397" s="59">
        <v>300</v>
      </c>
      <c r="L397" s="56">
        <f t="shared" si="53"/>
        <v>1150</v>
      </c>
      <c r="M397" s="66">
        <v>600</v>
      </c>
      <c r="N397" s="56">
        <f>100</f>
        <v>100</v>
      </c>
      <c r="O397" s="59">
        <v>240</v>
      </c>
      <c r="P397" s="59">
        <v>40</v>
      </c>
      <c r="Q397" s="59">
        <f t="shared" si="54"/>
        <v>315</v>
      </c>
      <c r="R397" s="59">
        <f t="shared" si="55"/>
        <v>100</v>
      </c>
      <c r="S397" s="56">
        <f t="shared" si="56"/>
        <v>695</v>
      </c>
      <c r="T397" s="56">
        <f>50</f>
        <v>50</v>
      </c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</row>
    <row r="398" spans="1:30" ht="15.75" x14ac:dyDescent="0.25">
      <c r="A398" s="14">
        <v>53417</v>
      </c>
      <c r="B398" s="68">
        <v>31</v>
      </c>
      <c r="C398" s="56">
        <f>122.58</f>
        <v>122.58</v>
      </c>
      <c r="D398" s="56">
        <f>297.941</f>
        <v>297.94099999999997</v>
      </c>
      <c r="E398" s="64">
        <f>89.177</f>
        <v>89.177000000000007</v>
      </c>
      <c r="F398" s="56">
        <f>240.302-40-60-100</f>
        <v>40.301999999999992</v>
      </c>
      <c r="G398" s="59">
        <v>40</v>
      </c>
      <c r="H398" s="56">
        <f>60+100</f>
        <v>160</v>
      </c>
      <c r="I398" s="56">
        <f t="shared" si="59"/>
        <v>0</v>
      </c>
      <c r="J398" s="59">
        <v>100</v>
      </c>
      <c r="K398" s="59">
        <v>300</v>
      </c>
      <c r="L398" s="56">
        <f t="shared" si="53"/>
        <v>1150</v>
      </c>
      <c r="M398" s="66">
        <v>600</v>
      </c>
      <c r="N398" s="56">
        <f>100</f>
        <v>100</v>
      </c>
      <c r="O398" s="59">
        <v>240</v>
      </c>
      <c r="P398" s="59">
        <v>40</v>
      </c>
      <c r="Q398" s="59">
        <f t="shared" si="54"/>
        <v>315</v>
      </c>
      <c r="R398" s="59">
        <f t="shared" si="55"/>
        <v>100</v>
      </c>
      <c r="S398" s="56">
        <f t="shared" si="56"/>
        <v>695</v>
      </c>
      <c r="T398" s="56">
        <f>50</f>
        <v>50</v>
      </c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</row>
    <row r="399" spans="1:30" ht="15.75" x14ac:dyDescent="0.25">
      <c r="A399" s="14">
        <v>53447</v>
      </c>
      <c r="B399" s="68">
        <v>30</v>
      </c>
      <c r="C399" s="56">
        <f>141.293</f>
        <v>141.29300000000001</v>
      </c>
      <c r="D399" s="56">
        <f>267.993</f>
        <v>267.99299999999999</v>
      </c>
      <c r="E399" s="64">
        <f>115.016</f>
        <v>115.01600000000001</v>
      </c>
      <c r="F399" s="56">
        <f>314.698-40-25-60-100</f>
        <v>89.697999999999979</v>
      </c>
      <c r="G399" s="59">
        <v>40</v>
      </c>
      <c r="H399" s="56">
        <f t="shared" ref="H399:H405" si="63">25+60+100</f>
        <v>185</v>
      </c>
      <c r="I399" s="56">
        <f t="shared" si="59"/>
        <v>0</v>
      </c>
      <c r="J399" s="59">
        <v>100</v>
      </c>
      <c r="K399" s="59">
        <v>300</v>
      </c>
      <c r="L399" s="56">
        <f t="shared" ref="L399:L462" si="64">SUM(C399:K399)</f>
        <v>1239</v>
      </c>
      <c r="M399" s="66">
        <v>600</v>
      </c>
      <c r="N399" s="56">
        <f>100</f>
        <v>100</v>
      </c>
      <c r="O399" s="59">
        <v>240</v>
      </c>
      <c r="P399" s="59">
        <v>160</v>
      </c>
      <c r="Q399" s="59">
        <f t="shared" ref="Q399:Q462" si="65">695-R399-O399-P399</f>
        <v>195</v>
      </c>
      <c r="R399" s="59">
        <f t="shared" ref="R399:R462" si="66">200-J399</f>
        <v>100</v>
      </c>
      <c r="S399" s="56">
        <f t="shared" ref="S399:S462" si="67">SUM(O399:R399)</f>
        <v>695</v>
      </c>
      <c r="T399" s="56">
        <f>50</f>
        <v>50</v>
      </c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</row>
    <row r="400" spans="1:30" ht="15.75" x14ac:dyDescent="0.25">
      <c r="A400" s="14">
        <v>53478</v>
      </c>
      <c r="B400" s="68">
        <v>31</v>
      </c>
      <c r="C400" s="56">
        <f>194.205</f>
        <v>194.20500000000001</v>
      </c>
      <c r="D400" s="56">
        <f>267.466</f>
        <v>267.46600000000001</v>
      </c>
      <c r="E400" s="64">
        <f>133.845</f>
        <v>133.845</v>
      </c>
      <c r="F400" s="56">
        <f>278.484-40-25-60-100</f>
        <v>53.48399999999998</v>
      </c>
      <c r="G400" s="59">
        <v>40</v>
      </c>
      <c r="H400" s="56">
        <f t="shared" si="63"/>
        <v>185</v>
      </c>
      <c r="I400" s="56">
        <f t="shared" si="59"/>
        <v>0</v>
      </c>
      <c r="J400" s="59">
        <v>100</v>
      </c>
      <c r="K400" s="59">
        <v>300</v>
      </c>
      <c r="L400" s="56">
        <f t="shared" si="64"/>
        <v>1274</v>
      </c>
      <c r="M400" s="66">
        <v>600</v>
      </c>
      <c r="N400" s="56">
        <f>75</f>
        <v>75</v>
      </c>
      <c r="O400" s="59">
        <v>240</v>
      </c>
      <c r="P400" s="59">
        <v>160</v>
      </c>
      <c r="Q400" s="59">
        <f t="shared" si="65"/>
        <v>195</v>
      </c>
      <c r="R400" s="59">
        <f t="shared" si="66"/>
        <v>100</v>
      </c>
      <c r="S400" s="56">
        <f t="shared" si="67"/>
        <v>695</v>
      </c>
      <c r="T400" s="56">
        <f>50</f>
        <v>50</v>
      </c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</row>
    <row r="401" spans="1:30" ht="15.75" x14ac:dyDescent="0.25">
      <c r="A401" s="14">
        <v>53508</v>
      </c>
      <c r="B401" s="68">
        <v>30</v>
      </c>
      <c r="C401" s="56">
        <f>194.205</f>
        <v>194.20500000000001</v>
      </c>
      <c r="D401" s="56">
        <f>267.466</f>
        <v>267.46600000000001</v>
      </c>
      <c r="E401" s="64">
        <f>133.845</f>
        <v>133.845</v>
      </c>
      <c r="F401" s="56">
        <f>278.484-40-25-60-100</f>
        <v>53.48399999999998</v>
      </c>
      <c r="G401" s="59">
        <v>40</v>
      </c>
      <c r="H401" s="56">
        <f t="shared" si="63"/>
        <v>185</v>
      </c>
      <c r="I401" s="56">
        <f t="shared" si="59"/>
        <v>0</v>
      </c>
      <c r="J401" s="59">
        <v>100</v>
      </c>
      <c r="K401" s="59">
        <v>300</v>
      </c>
      <c r="L401" s="56">
        <f t="shared" si="64"/>
        <v>1274</v>
      </c>
      <c r="M401" s="66">
        <v>600</v>
      </c>
      <c r="N401" s="56">
        <f>30</f>
        <v>30</v>
      </c>
      <c r="O401" s="59">
        <v>240</v>
      </c>
      <c r="P401" s="59">
        <v>160</v>
      </c>
      <c r="Q401" s="59">
        <f t="shared" si="65"/>
        <v>195</v>
      </c>
      <c r="R401" s="59">
        <f t="shared" si="66"/>
        <v>100</v>
      </c>
      <c r="S401" s="56">
        <f t="shared" si="67"/>
        <v>695</v>
      </c>
      <c r="T401" s="56">
        <f>50</f>
        <v>50</v>
      </c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</row>
    <row r="402" spans="1:30" ht="15.75" x14ac:dyDescent="0.25">
      <c r="A402" s="14">
        <v>53539</v>
      </c>
      <c r="B402" s="68">
        <v>31</v>
      </c>
      <c r="C402" s="56">
        <f>194.205</f>
        <v>194.20500000000001</v>
      </c>
      <c r="D402" s="56">
        <f>267.466</f>
        <v>267.46600000000001</v>
      </c>
      <c r="E402" s="64">
        <f>133.845</f>
        <v>133.845</v>
      </c>
      <c r="F402" s="56">
        <f>278.484-40-25-60-100</f>
        <v>53.48399999999998</v>
      </c>
      <c r="G402" s="59">
        <v>40</v>
      </c>
      <c r="H402" s="56">
        <f t="shared" si="63"/>
        <v>185</v>
      </c>
      <c r="I402" s="56">
        <f t="shared" si="59"/>
        <v>0</v>
      </c>
      <c r="J402" s="59">
        <v>100</v>
      </c>
      <c r="K402" s="59">
        <v>300</v>
      </c>
      <c r="L402" s="56">
        <f t="shared" si="64"/>
        <v>1274</v>
      </c>
      <c r="M402" s="66">
        <v>600</v>
      </c>
      <c r="N402" s="56">
        <f>30</f>
        <v>30</v>
      </c>
      <c r="O402" s="59">
        <v>240</v>
      </c>
      <c r="P402" s="59">
        <v>160</v>
      </c>
      <c r="Q402" s="59">
        <f t="shared" si="65"/>
        <v>195</v>
      </c>
      <c r="R402" s="59">
        <f t="shared" si="66"/>
        <v>100</v>
      </c>
      <c r="S402" s="56">
        <f t="shared" si="67"/>
        <v>695</v>
      </c>
      <c r="T402" s="56">
        <f>0</f>
        <v>0</v>
      </c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</row>
    <row r="403" spans="1:30" ht="15.75" x14ac:dyDescent="0.25">
      <c r="A403" s="14">
        <v>53570</v>
      </c>
      <c r="B403" s="68">
        <v>31</v>
      </c>
      <c r="C403" s="56">
        <f>194.205</f>
        <v>194.20500000000001</v>
      </c>
      <c r="D403" s="56">
        <f>267.466</f>
        <v>267.46600000000001</v>
      </c>
      <c r="E403" s="64">
        <f>133.845</f>
        <v>133.845</v>
      </c>
      <c r="F403" s="56">
        <f>278.484-40-25-60-100</f>
        <v>53.48399999999998</v>
      </c>
      <c r="G403" s="59">
        <v>40</v>
      </c>
      <c r="H403" s="56">
        <f t="shared" si="63"/>
        <v>185</v>
      </c>
      <c r="I403" s="56">
        <f t="shared" si="59"/>
        <v>0</v>
      </c>
      <c r="J403" s="59">
        <v>100</v>
      </c>
      <c r="K403" s="59">
        <v>300</v>
      </c>
      <c r="L403" s="56">
        <f t="shared" si="64"/>
        <v>1274</v>
      </c>
      <c r="M403" s="66">
        <v>600</v>
      </c>
      <c r="N403" s="56">
        <f>30</f>
        <v>30</v>
      </c>
      <c r="O403" s="59">
        <v>240</v>
      </c>
      <c r="P403" s="59">
        <v>160</v>
      </c>
      <c r="Q403" s="59">
        <f t="shared" si="65"/>
        <v>195</v>
      </c>
      <c r="R403" s="59">
        <f t="shared" si="66"/>
        <v>100</v>
      </c>
      <c r="S403" s="56">
        <f t="shared" si="67"/>
        <v>695</v>
      </c>
      <c r="T403" s="56">
        <f>0</f>
        <v>0</v>
      </c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</row>
    <row r="404" spans="1:30" ht="15.75" x14ac:dyDescent="0.25">
      <c r="A404" s="14">
        <v>53600</v>
      </c>
      <c r="B404" s="68">
        <v>30</v>
      </c>
      <c r="C404" s="56">
        <f>194.205</f>
        <v>194.20500000000001</v>
      </c>
      <c r="D404" s="56">
        <f>267.466</f>
        <v>267.46600000000001</v>
      </c>
      <c r="E404" s="64">
        <f>133.845</f>
        <v>133.845</v>
      </c>
      <c r="F404" s="56">
        <f>278.484-40-25-60-100</f>
        <v>53.48399999999998</v>
      </c>
      <c r="G404" s="59">
        <v>40</v>
      </c>
      <c r="H404" s="56">
        <f t="shared" si="63"/>
        <v>185</v>
      </c>
      <c r="I404" s="56">
        <f t="shared" si="59"/>
        <v>0</v>
      </c>
      <c r="J404" s="59">
        <v>100</v>
      </c>
      <c r="K404" s="59">
        <v>300</v>
      </c>
      <c r="L404" s="56">
        <f t="shared" si="64"/>
        <v>1274</v>
      </c>
      <c r="M404" s="66">
        <v>600</v>
      </c>
      <c r="N404" s="56">
        <f>30</f>
        <v>30</v>
      </c>
      <c r="O404" s="59">
        <v>240</v>
      </c>
      <c r="P404" s="59">
        <v>160</v>
      </c>
      <c r="Q404" s="59">
        <f t="shared" si="65"/>
        <v>195</v>
      </c>
      <c r="R404" s="59">
        <f t="shared" si="66"/>
        <v>100</v>
      </c>
      <c r="S404" s="56">
        <f t="shared" si="67"/>
        <v>695</v>
      </c>
      <c r="T404" s="56">
        <f>0</f>
        <v>0</v>
      </c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</row>
    <row r="405" spans="1:30" ht="15.75" x14ac:dyDescent="0.25">
      <c r="A405" s="14">
        <v>53631</v>
      </c>
      <c r="B405" s="68">
        <v>31</v>
      </c>
      <c r="C405" s="56">
        <f>131.881</f>
        <v>131.881</v>
      </c>
      <c r="D405" s="56">
        <f>277.167</f>
        <v>277.16699999999997</v>
      </c>
      <c r="E405" s="64">
        <f>79.08</f>
        <v>79.08</v>
      </c>
      <c r="F405" s="56">
        <f>350.872-40-25-60-100</f>
        <v>125.87200000000001</v>
      </c>
      <c r="G405" s="59">
        <v>40</v>
      </c>
      <c r="H405" s="56">
        <f t="shared" si="63"/>
        <v>185</v>
      </c>
      <c r="I405" s="56">
        <f t="shared" si="59"/>
        <v>0</v>
      </c>
      <c r="J405" s="59">
        <v>100</v>
      </c>
      <c r="K405" s="59">
        <v>300</v>
      </c>
      <c r="L405" s="56">
        <f t="shared" si="64"/>
        <v>1239</v>
      </c>
      <c r="M405" s="66">
        <v>600</v>
      </c>
      <c r="N405" s="56">
        <f>75</f>
        <v>75</v>
      </c>
      <c r="O405" s="59">
        <v>240</v>
      </c>
      <c r="P405" s="59">
        <v>160</v>
      </c>
      <c r="Q405" s="59">
        <f t="shared" si="65"/>
        <v>195</v>
      </c>
      <c r="R405" s="59">
        <f t="shared" si="66"/>
        <v>100</v>
      </c>
      <c r="S405" s="56">
        <f t="shared" si="67"/>
        <v>695</v>
      </c>
      <c r="T405" s="56">
        <f>0</f>
        <v>0</v>
      </c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</row>
    <row r="406" spans="1:30" ht="15.75" x14ac:dyDescent="0.25">
      <c r="A406" s="14">
        <v>53661</v>
      </c>
      <c r="B406" s="68">
        <v>30</v>
      </c>
      <c r="C406" s="56">
        <f>122.58</f>
        <v>122.58</v>
      </c>
      <c r="D406" s="56">
        <f>297.941</f>
        <v>297.94099999999997</v>
      </c>
      <c r="E406" s="64">
        <f>89.177</f>
        <v>89.177000000000007</v>
      </c>
      <c r="F406" s="56">
        <f>240.302-40-60-100</f>
        <v>40.301999999999992</v>
      </c>
      <c r="G406" s="59">
        <v>40</v>
      </c>
      <c r="H406" s="56">
        <f>60+100</f>
        <v>160</v>
      </c>
      <c r="I406" s="56">
        <f t="shared" si="59"/>
        <v>0</v>
      </c>
      <c r="J406" s="59">
        <v>100</v>
      </c>
      <c r="K406" s="59">
        <v>300</v>
      </c>
      <c r="L406" s="56">
        <f t="shared" si="64"/>
        <v>1150</v>
      </c>
      <c r="M406" s="66">
        <v>600</v>
      </c>
      <c r="N406" s="56">
        <f>100</f>
        <v>100</v>
      </c>
      <c r="O406" s="59">
        <v>240</v>
      </c>
      <c r="P406" s="59">
        <v>40</v>
      </c>
      <c r="Q406" s="59">
        <f t="shared" si="65"/>
        <v>315</v>
      </c>
      <c r="R406" s="59">
        <f t="shared" si="66"/>
        <v>100</v>
      </c>
      <c r="S406" s="56">
        <f t="shared" si="67"/>
        <v>695</v>
      </c>
      <c r="T406" s="56">
        <f>50</f>
        <v>50</v>
      </c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</row>
    <row r="407" spans="1:30" ht="15.75" x14ac:dyDescent="0.25">
      <c r="A407" s="14">
        <v>53692</v>
      </c>
      <c r="B407" s="68">
        <v>31</v>
      </c>
      <c r="C407" s="56">
        <f>122.58</f>
        <v>122.58</v>
      </c>
      <c r="D407" s="56">
        <f>297.941</f>
        <v>297.94099999999997</v>
      </c>
      <c r="E407" s="64">
        <f>89.177</f>
        <v>89.177000000000007</v>
      </c>
      <c r="F407" s="56">
        <f>240.302-40-60-100</f>
        <v>40.301999999999992</v>
      </c>
      <c r="G407" s="59">
        <v>40</v>
      </c>
      <c r="H407" s="56">
        <f>60+100</f>
        <v>160</v>
      </c>
      <c r="I407" s="56">
        <f t="shared" si="59"/>
        <v>0</v>
      </c>
      <c r="J407" s="59">
        <v>100</v>
      </c>
      <c r="K407" s="59">
        <v>300</v>
      </c>
      <c r="L407" s="56">
        <f t="shared" si="64"/>
        <v>1150</v>
      </c>
      <c r="M407" s="66">
        <v>600</v>
      </c>
      <c r="N407" s="56">
        <f>100</f>
        <v>100</v>
      </c>
      <c r="O407" s="59">
        <v>240</v>
      </c>
      <c r="P407" s="59">
        <v>40</v>
      </c>
      <c r="Q407" s="59">
        <f t="shared" si="65"/>
        <v>315</v>
      </c>
      <c r="R407" s="59">
        <f t="shared" si="66"/>
        <v>100</v>
      </c>
      <c r="S407" s="56">
        <f t="shared" si="67"/>
        <v>695</v>
      </c>
      <c r="T407" s="56">
        <f>50</f>
        <v>50</v>
      </c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</row>
    <row r="408" spans="1:30" ht="15.75" x14ac:dyDescent="0.25">
      <c r="A408" s="14">
        <v>53723</v>
      </c>
      <c r="B408" s="68">
        <v>31</v>
      </c>
      <c r="C408" s="56">
        <f>122.58</f>
        <v>122.58</v>
      </c>
      <c r="D408" s="56">
        <f>297.941</f>
        <v>297.94099999999997</v>
      </c>
      <c r="E408" s="64">
        <f>89.177</f>
        <v>89.177000000000007</v>
      </c>
      <c r="F408" s="56">
        <f>240.302-40-60-100</f>
        <v>40.301999999999992</v>
      </c>
      <c r="G408" s="59">
        <v>40</v>
      </c>
      <c r="H408" s="56">
        <f>60+100</f>
        <v>160</v>
      </c>
      <c r="I408" s="56">
        <f t="shared" si="59"/>
        <v>0</v>
      </c>
      <c r="J408" s="59">
        <v>100</v>
      </c>
      <c r="K408" s="59">
        <v>300</v>
      </c>
      <c r="L408" s="56">
        <f t="shared" si="64"/>
        <v>1150</v>
      </c>
      <c r="M408" s="66">
        <v>600</v>
      </c>
      <c r="N408" s="56">
        <f>100</f>
        <v>100</v>
      </c>
      <c r="O408" s="59">
        <v>240</v>
      </c>
      <c r="P408" s="59">
        <v>40</v>
      </c>
      <c r="Q408" s="59">
        <f t="shared" si="65"/>
        <v>315</v>
      </c>
      <c r="R408" s="59">
        <f t="shared" si="66"/>
        <v>100</v>
      </c>
      <c r="S408" s="56">
        <f t="shared" si="67"/>
        <v>695</v>
      </c>
      <c r="T408" s="56">
        <f>50</f>
        <v>50</v>
      </c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</row>
    <row r="409" spans="1:30" ht="15.75" x14ac:dyDescent="0.25">
      <c r="A409" s="14">
        <v>53751</v>
      </c>
      <c r="B409" s="68">
        <v>28</v>
      </c>
      <c r="C409" s="56">
        <f>122.58</f>
        <v>122.58</v>
      </c>
      <c r="D409" s="56">
        <f>297.941</f>
        <v>297.94099999999997</v>
      </c>
      <c r="E409" s="64">
        <f>89.177</f>
        <v>89.177000000000007</v>
      </c>
      <c r="F409" s="56">
        <f>240.302-40-60-100</f>
        <v>40.301999999999992</v>
      </c>
      <c r="G409" s="59">
        <v>40</v>
      </c>
      <c r="H409" s="56">
        <f>60+100</f>
        <v>160</v>
      </c>
      <c r="I409" s="56">
        <f t="shared" si="59"/>
        <v>0</v>
      </c>
      <c r="J409" s="59">
        <v>100</v>
      </c>
      <c r="K409" s="59">
        <v>300</v>
      </c>
      <c r="L409" s="56">
        <f t="shared" si="64"/>
        <v>1150</v>
      </c>
      <c r="M409" s="66">
        <v>600</v>
      </c>
      <c r="N409" s="56">
        <f>100</f>
        <v>100</v>
      </c>
      <c r="O409" s="59">
        <v>240</v>
      </c>
      <c r="P409" s="59">
        <v>40</v>
      </c>
      <c r="Q409" s="59">
        <f t="shared" si="65"/>
        <v>315</v>
      </c>
      <c r="R409" s="59">
        <f t="shared" si="66"/>
        <v>100</v>
      </c>
      <c r="S409" s="56">
        <f t="shared" si="67"/>
        <v>695</v>
      </c>
      <c r="T409" s="56">
        <f>50</f>
        <v>50</v>
      </c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</row>
    <row r="410" spans="1:30" ht="15.75" x14ac:dyDescent="0.25">
      <c r="A410" s="14">
        <v>53782</v>
      </c>
      <c r="B410" s="68">
        <v>31</v>
      </c>
      <c r="C410" s="56">
        <f>122.58</f>
        <v>122.58</v>
      </c>
      <c r="D410" s="56">
        <f>297.941</f>
        <v>297.94099999999997</v>
      </c>
      <c r="E410" s="64">
        <f>89.177</f>
        <v>89.177000000000007</v>
      </c>
      <c r="F410" s="56">
        <f>240.302-40-60-100</f>
        <v>40.301999999999992</v>
      </c>
      <c r="G410" s="59">
        <v>40</v>
      </c>
      <c r="H410" s="56">
        <f>60+100</f>
        <v>160</v>
      </c>
      <c r="I410" s="56">
        <f t="shared" si="59"/>
        <v>0</v>
      </c>
      <c r="J410" s="59">
        <v>100</v>
      </c>
      <c r="K410" s="59">
        <v>300</v>
      </c>
      <c r="L410" s="56">
        <f t="shared" si="64"/>
        <v>1150</v>
      </c>
      <c r="M410" s="66">
        <v>600</v>
      </c>
      <c r="N410" s="56">
        <f>100</f>
        <v>100</v>
      </c>
      <c r="O410" s="59">
        <v>240</v>
      </c>
      <c r="P410" s="59">
        <v>40</v>
      </c>
      <c r="Q410" s="59">
        <f t="shared" si="65"/>
        <v>315</v>
      </c>
      <c r="R410" s="59">
        <f t="shared" si="66"/>
        <v>100</v>
      </c>
      <c r="S410" s="56">
        <f t="shared" si="67"/>
        <v>695</v>
      </c>
      <c r="T410" s="56">
        <f>50</f>
        <v>50</v>
      </c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</row>
    <row r="411" spans="1:30" ht="15.75" x14ac:dyDescent="0.25">
      <c r="A411" s="14">
        <v>53812</v>
      </c>
      <c r="B411" s="68">
        <v>30</v>
      </c>
      <c r="C411" s="56">
        <f>141.293</f>
        <v>141.29300000000001</v>
      </c>
      <c r="D411" s="56">
        <f>267.993</f>
        <v>267.99299999999999</v>
      </c>
      <c r="E411" s="64">
        <f>115.016</f>
        <v>115.01600000000001</v>
      </c>
      <c r="F411" s="56">
        <f>314.698-40-25-60-100</f>
        <v>89.697999999999979</v>
      </c>
      <c r="G411" s="59">
        <v>40</v>
      </c>
      <c r="H411" s="56">
        <f t="shared" ref="H411:H417" si="68">25+60+100</f>
        <v>185</v>
      </c>
      <c r="I411" s="56">
        <f t="shared" si="59"/>
        <v>0</v>
      </c>
      <c r="J411" s="59">
        <v>100</v>
      </c>
      <c r="K411" s="59">
        <v>300</v>
      </c>
      <c r="L411" s="56">
        <f t="shared" si="64"/>
        <v>1239</v>
      </c>
      <c r="M411" s="66">
        <v>600</v>
      </c>
      <c r="N411" s="56">
        <f>100</f>
        <v>100</v>
      </c>
      <c r="O411" s="59">
        <v>240</v>
      </c>
      <c r="P411" s="59">
        <v>160</v>
      </c>
      <c r="Q411" s="59">
        <f t="shared" si="65"/>
        <v>195</v>
      </c>
      <c r="R411" s="59">
        <f t="shared" si="66"/>
        <v>100</v>
      </c>
      <c r="S411" s="56">
        <f t="shared" si="67"/>
        <v>695</v>
      </c>
      <c r="T411" s="56">
        <f>50</f>
        <v>50</v>
      </c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</row>
    <row r="412" spans="1:30" ht="15.75" x14ac:dyDescent="0.25">
      <c r="A412" s="14">
        <v>53843</v>
      </c>
      <c r="B412" s="68">
        <v>31</v>
      </c>
      <c r="C412" s="56">
        <f>194.205</f>
        <v>194.20500000000001</v>
      </c>
      <c r="D412" s="56">
        <f>267.466</f>
        <v>267.46600000000001</v>
      </c>
      <c r="E412" s="64">
        <f>133.845</f>
        <v>133.845</v>
      </c>
      <c r="F412" s="56">
        <f>278.484-40-25-60-100</f>
        <v>53.48399999999998</v>
      </c>
      <c r="G412" s="59">
        <v>40</v>
      </c>
      <c r="H412" s="56">
        <f t="shared" si="68"/>
        <v>185</v>
      </c>
      <c r="I412" s="56">
        <f t="shared" si="59"/>
        <v>0</v>
      </c>
      <c r="J412" s="59">
        <v>100</v>
      </c>
      <c r="K412" s="59">
        <v>300</v>
      </c>
      <c r="L412" s="56">
        <f t="shared" si="64"/>
        <v>1274</v>
      </c>
      <c r="M412" s="66">
        <v>600</v>
      </c>
      <c r="N412" s="56">
        <f>75</f>
        <v>75</v>
      </c>
      <c r="O412" s="59">
        <v>240</v>
      </c>
      <c r="P412" s="59">
        <v>160</v>
      </c>
      <c r="Q412" s="59">
        <f t="shared" si="65"/>
        <v>195</v>
      </c>
      <c r="R412" s="59">
        <f t="shared" si="66"/>
        <v>100</v>
      </c>
      <c r="S412" s="56">
        <f t="shared" si="67"/>
        <v>695</v>
      </c>
      <c r="T412" s="56">
        <f>50</f>
        <v>50</v>
      </c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</row>
    <row r="413" spans="1:30" ht="15.75" x14ac:dyDescent="0.25">
      <c r="A413" s="14">
        <v>53873</v>
      </c>
      <c r="B413" s="68">
        <v>30</v>
      </c>
      <c r="C413" s="56">
        <f>194.205</f>
        <v>194.20500000000001</v>
      </c>
      <c r="D413" s="56">
        <f>267.466</f>
        <v>267.46600000000001</v>
      </c>
      <c r="E413" s="64">
        <f>133.845</f>
        <v>133.845</v>
      </c>
      <c r="F413" s="56">
        <f>278.484-40-25-60-100</f>
        <v>53.48399999999998</v>
      </c>
      <c r="G413" s="59">
        <v>40</v>
      </c>
      <c r="H413" s="56">
        <f t="shared" si="68"/>
        <v>185</v>
      </c>
      <c r="I413" s="56">
        <f t="shared" si="59"/>
        <v>0</v>
      </c>
      <c r="J413" s="59">
        <v>100</v>
      </c>
      <c r="K413" s="59">
        <v>300</v>
      </c>
      <c r="L413" s="56">
        <f t="shared" si="64"/>
        <v>1274</v>
      </c>
      <c r="M413" s="66">
        <v>600</v>
      </c>
      <c r="N413" s="56">
        <f>30</f>
        <v>30</v>
      </c>
      <c r="O413" s="59">
        <v>240</v>
      </c>
      <c r="P413" s="59">
        <v>160</v>
      </c>
      <c r="Q413" s="59">
        <f t="shared" si="65"/>
        <v>195</v>
      </c>
      <c r="R413" s="59">
        <f t="shared" si="66"/>
        <v>100</v>
      </c>
      <c r="S413" s="56">
        <f t="shared" si="67"/>
        <v>695</v>
      </c>
      <c r="T413" s="56">
        <f>50</f>
        <v>50</v>
      </c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</row>
    <row r="414" spans="1:30" ht="15.75" x14ac:dyDescent="0.25">
      <c r="A414" s="14">
        <v>53904</v>
      </c>
      <c r="B414" s="68">
        <v>31</v>
      </c>
      <c r="C414" s="56">
        <f>194.205</f>
        <v>194.20500000000001</v>
      </c>
      <c r="D414" s="56">
        <f>267.466</f>
        <v>267.46600000000001</v>
      </c>
      <c r="E414" s="64">
        <f>133.845</f>
        <v>133.845</v>
      </c>
      <c r="F414" s="56">
        <f>278.484-40-25-60-100</f>
        <v>53.48399999999998</v>
      </c>
      <c r="G414" s="59">
        <v>40</v>
      </c>
      <c r="H414" s="56">
        <f t="shared" si="68"/>
        <v>185</v>
      </c>
      <c r="I414" s="56">
        <f t="shared" si="59"/>
        <v>0</v>
      </c>
      <c r="J414" s="59">
        <v>100</v>
      </c>
      <c r="K414" s="59">
        <v>300</v>
      </c>
      <c r="L414" s="56">
        <f t="shared" si="64"/>
        <v>1274</v>
      </c>
      <c r="M414" s="66">
        <v>600</v>
      </c>
      <c r="N414" s="56">
        <f>30</f>
        <v>30</v>
      </c>
      <c r="O414" s="59">
        <v>240</v>
      </c>
      <c r="P414" s="59">
        <v>160</v>
      </c>
      <c r="Q414" s="59">
        <f t="shared" si="65"/>
        <v>195</v>
      </c>
      <c r="R414" s="59">
        <f t="shared" si="66"/>
        <v>100</v>
      </c>
      <c r="S414" s="56">
        <f t="shared" si="67"/>
        <v>695</v>
      </c>
      <c r="T414" s="56">
        <f>0</f>
        <v>0</v>
      </c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</row>
    <row r="415" spans="1:30" ht="15.75" x14ac:dyDescent="0.25">
      <c r="A415" s="14">
        <v>53935</v>
      </c>
      <c r="B415" s="68">
        <v>31</v>
      </c>
      <c r="C415" s="56">
        <f>194.205</f>
        <v>194.20500000000001</v>
      </c>
      <c r="D415" s="56">
        <f>267.466</f>
        <v>267.46600000000001</v>
      </c>
      <c r="E415" s="64">
        <f>133.845</f>
        <v>133.845</v>
      </c>
      <c r="F415" s="56">
        <f>278.484-40-25-60-100</f>
        <v>53.48399999999998</v>
      </c>
      <c r="G415" s="59">
        <v>40</v>
      </c>
      <c r="H415" s="56">
        <f t="shared" si="68"/>
        <v>185</v>
      </c>
      <c r="I415" s="56">
        <f t="shared" si="59"/>
        <v>0</v>
      </c>
      <c r="J415" s="59">
        <v>100</v>
      </c>
      <c r="K415" s="59">
        <v>300</v>
      </c>
      <c r="L415" s="56">
        <f t="shared" si="64"/>
        <v>1274</v>
      </c>
      <c r="M415" s="66">
        <v>600</v>
      </c>
      <c r="N415" s="56">
        <f>30</f>
        <v>30</v>
      </c>
      <c r="O415" s="59">
        <v>240</v>
      </c>
      <c r="P415" s="59">
        <v>160</v>
      </c>
      <c r="Q415" s="59">
        <f t="shared" si="65"/>
        <v>195</v>
      </c>
      <c r="R415" s="59">
        <f t="shared" si="66"/>
        <v>100</v>
      </c>
      <c r="S415" s="56">
        <f t="shared" si="67"/>
        <v>695</v>
      </c>
      <c r="T415" s="56">
        <f>0</f>
        <v>0</v>
      </c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</row>
    <row r="416" spans="1:30" ht="15.75" x14ac:dyDescent="0.25">
      <c r="A416" s="14">
        <v>53965</v>
      </c>
      <c r="B416" s="68">
        <v>30</v>
      </c>
      <c r="C416" s="56">
        <f>194.205</f>
        <v>194.20500000000001</v>
      </c>
      <c r="D416" s="56">
        <f>267.466</f>
        <v>267.46600000000001</v>
      </c>
      <c r="E416" s="64">
        <f>133.845</f>
        <v>133.845</v>
      </c>
      <c r="F416" s="56">
        <f>278.484-40-25-60-100</f>
        <v>53.48399999999998</v>
      </c>
      <c r="G416" s="59">
        <v>40</v>
      </c>
      <c r="H416" s="56">
        <f t="shared" si="68"/>
        <v>185</v>
      </c>
      <c r="I416" s="56">
        <f t="shared" si="59"/>
        <v>0</v>
      </c>
      <c r="J416" s="59">
        <v>100</v>
      </c>
      <c r="K416" s="59">
        <v>300</v>
      </c>
      <c r="L416" s="56">
        <f t="shared" si="64"/>
        <v>1274</v>
      </c>
      <c r="M416" s="66">
        <v>600</v>
      </c>
      <c r="N416" s="56">
        <f>30</f>
        <v>30</v>
      </c>
      <c r="O416" s="59">
        <v>240</v>
      </c>
      <c r="P416" s="59">
        <v>160</v>
      </c>
      <c r="Q416" s="59">
        <f t="shared" si="65"/>
        <v>195</v>
      </c>
      <c r="R416" s="59">
        <f t="shared" si="66"/>
        <v>100</v>
      </c>
      <c r="S416" s="56">
        <f t="shared" si="67"/>
        <v>695</v>
      </c>
      <c r="T416" s="56">
        <f>0</f>
        <v>0</v>
      </c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</row>
    <row r="417" spans="1:30" ht="15.75" x14ac:dyDescent="0.25">
      <c r="A417" s="14">
        <v>53996</v>
      </c>
      <c r="B417" s="68">
        <v>31</v>
      </c>
      <c r="C417" s="56">
        <f>131.881</f>
        <v>131.881</v>
      </c>
      <c r="D417" s="56">
        <f>277.167</f>
        <v>277.16699999999997</v>
      </c>
      <c r="E417" s="64">
        <f>79.08</f>
        <v>79.08</v>
      </c>
      <c r="F417" s="56">
        <f>350.872-40-25-60-100</f>
        <v>125.87200000000001</v>
      </c>
      <c r="G417" s="59">
        <v>40</v>
      </c>
      <c r="H417" s="56">
        <f t="shared" si="68"/>
        <v>185</v>
      </c>
      <c r="I417" s="56">
        <f t="shared" si="59"/>
        <v>0</v>
      </c>
      <c r="J417" s="59">
        <v>100</v>
      </c>
      <c r="K417" s="59">
        <v>300</v>
      </c>
      <c r="L417" s="56">
        <f t="shared" si="64"/>
        <v>1239</v>
      </c>
      <c r="M417" s="66">
        <v>600</v>
      </c>
      <c r="N417" s="56">
        <f>75</f>
        <v>75</v>
      </c>
      <c r="O417" s="59">
        <v>240</v>
      </c>
      <c r="P417" s="59">
        <v>160</v>
      </c>
      <c r="Q417" s="59">
        <f t="shared" si="65"/>
        <v>195</v>
      </c>
      <c r="R417" s="59">
        <f t="shared" si="66"/>
        <v>100</v>
      </c>
      <c r="S417" s="56">
        <f t="shared" si="67"/>
        <v>695</v>
      </c>
      <c r="T417" s="56">
        <f>0</f>
        <v>0</v>
      </c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</row>
    <row r="418" spans="1:30" ht="15.75" x14ac:dyDescent="0.25">
      <c r="A418" s="14">
        <v>54026</v>
      </c>
      <c r="B418" s="68">
        <v>30</v>
      </c>
      <c r="C418" s="56">
        <f>122.58</f>
        <v>122.58</v>
      </c>
      <c r="D418" s="56">
        <f>297.941</f>
        <v>297.94099999999997</v>
      </c>
      <c r="E418" s="64">
        <f>89.177</f>
        <v>89.177000000000007</v>
      </c>
      <c r="F418" s="56">
        <f>240.302-40-60-100</f>
        <v>40.301999999999992</v>
      </c>
      <c r="G418" s="59">
        <v>40</v>
      </c>
      <c r="H418" s="56">
        <f>60+100</f>
        <v>160</v>
      </c>
      <c r="I418" s="56">
        <f t="shared" si="59"/>
        <v>0</v>
      </c>
      <c r="J418" s="59">
        <v>100</v>
      </c>
      <c r="K418" s="59">
        <v>300</v>
      </c>
      <c r="L418" s="56">
        <f t="shared" si="64"/>
        <v>1150</v>
      </c>
      <c r="M418" s="66">
        <v>600</v>
      </c>
      <c r="N418" s="56">
        <f>100</f>
        <v>100</v>
      </c>
      <c r="O418" s="59">
        <v>240</v>
      </c>
      <c r="P418" s="59">
        <v>40</v>
      </c>
      <c r="Q418" s="59">
        <f t="shared" si="65"/>
        <v>315</v>
      </c>
      <c r="R418" s="59">
        <f t="shared" si="66"/>
        <v>100</v>
      </c>
      <c r="S418" s="56">
        <f t="shared" si="67"/>
        <v>695</v>
      </c>
      <c r="T418" s="56">
        <f>50</f>
        <v>50</v>
      </c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</row>
    <row r="419" spans="1:30" ht="15.75" x14ac:dyDescent="0.25">
      <c r="A419" s="14">
        <v>54057</v>
      </c>
      <c r="B419" s="68">
        <v>31</v>
      </c>
      <c r="C419" s="56">
        <f>122.58</f>
        <v>122.58</v>
      </c>
      <c r="D419" s="56">
        <f>297.941</f>
        <v>297.94099999999997</v>
      </c>
      <c r="E419" s="64">
        <f>89.177</f>
        <v>89.177000000000007</v>
      </c>
      <c r="F419" s="56">
        <f>240.302-40-60-100</f>
        <v>40.301999999999992</v>
      </c>
      <c r="G419" s="59">
        <v>40</v>
      </c>
      <c r="H419" s="56">
        <f>60+100</f>
        <v>160</v>
      </c>
      <c r="I419" s="56">
        <f t="shared" si="59"/>
        <v>0</v>
      </c>
      <c r="J419" s="59">
        <v>100</v>
      </c>
      <c r="K419" s="59">
        <v>300</v>
      </c>
      <c r="L419" s="56">
        <f t="shared" si="64"/>
        <v>1150</v>
      </c>
      <c r="M419" s="66">
        <v>600</v>
      </c>
      <c r="N419" s="56">
        <f>100</f>
        <v>100</v>
      </c>
      <c r="O419" s="59">
        <v>240</v>
      </c>
      <c r="P419" s="59">
        <v>40</v>
      </c>
      <c r="Q419" s="59">
        <f t="shared" si="65"/>
        <v>315</v>
      </c>
      <c r="R419" s="59">
        <f t="shared" si="66"/>
        <v>100</v>
      </c>
      <c r="S419" s="56">
        <f t="shared" si="67"/>
        <v>695</v>
      </c>
      <c r="T419" s="56">
        <f>50</f>
        <v>50</v>
      </c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</row>
    <row r="420" spans="1:30" ht="15.75" x14ac:dyDescent="0.25">
      <c r="A420" s="14">
        <v>54088</v>
      </c>
      <c r="B420" s="68">
        <v>31</v>
      </c>
      <c r="C420" s="56">
        <f>122.58</f>
        <v>122.58</v>
      </c>
      <c r="D420" s="56">
        <f>297.941</f>
        <v>297.94099999999997</v>
      </c>
      <c r="E420" s="64">
        <f>89.177</f>
        <v>89.177000000000007</v>
      </c>
      <c r="F420" s="56">
        <f>240.302-40-60-100</f>
        <v>40.301999999999992</v>
      </c>
      <c r="G420" s="59">
        <v>40</v>
      </c>
      <c r="H420" s="56">
        <f>60+100</f>
        <v>160</v>
      </c>
      <c r="I420" s="56">
        <f t="shared" si="59"/>
        <v>0</v>
      </c>
      <c r="J420" s="59">
        <v>100</v>
      </c>
      <c r="K420" s="59">
        <v>300</v>
      </c>
      <c r="L420" s="56">
        <f t="shared" si="64"/>
        <v>1150</v>
      </c>
      <c r="M420" s="66">
        <v>600</v>
      </c>
      <c r="N420" s="56">
        <f>100</f>
        <v>100</v>
      </c>
      <c r="O420" s="59">
        <v>240</v>
      </c>
      <c r="P420" s="59">
        <v>40</v>
      </c>
      <c r="Q420" s="59">
        <f t="shared" si="65"/>
        <v>315</v>
      </c>
      <c r="R420" s="59">
        <f t="shared" si="66"/>
        <v>100</v>
      </c>
      <c r="S420" s="56">
        <f t="shared" si="67"/>
        <v>695</v>
      </c>
      <c r="T420" s="56">
        <f>50</f>
        <v>50</v>
      </c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</row>
    <row r="421" spans="1:30" ht="15.75" x14ac:dyDescent="0.25">
      <c r="A421" s="14">
        <v>54116</v>
      </c>
      <c r="B421" s="68">
        <v>29</v>
      </c>
      <c r="C421" s="56">
        <f>122.58</f>
        <v>122.58</v>
      </c>
      <c r="D421" s="56">
        <f>297.941</f>
        <v>297.94099999999997</v>
      </c>
      <c r="E421" s="64">
        <f>89.177</f>
        <v>89.177000000000007</v>
      </c>
      <c r="F421" s="56">
        <f>240.302-40-60-100</f>
        <v>40.301999999999992</v>
      </c>
      <c r="G421" s="59">
        <v>40</v>
      </c>
      <c r="H421" s="56">
        <f>60+100</f>
        <v>160</v>
      </c>
      <c r="I421" s="56">
        <f t="shared" si="59"/>
        <v>0</v>
      </c>
      <c r="J421" s="59">
        <v>100</v>
      </c>
      <c r="K421" s="59">
        <v>300</v>
      </c>
      <c r="L421" s="56">
        <f t="shared" si="64"/>
        <v>1150</v>
      </c>
      <c r="M421" s="66">
        <v>600</v>
      </c>
      <c r="N421" s="56">
        <f>100</f>
        <v>100</v>
      </c>
      <c r="O421" s="59">
        <v>240</v>
      </c>
      <c r="P421" s="59">
        <v>40</v>
      </c>
      <c r="Q421" s="59">
        <f t="shared" si="65"/>
        <v>315</v>
      </c>
      <c r="R421" s="59">
        <f t="shared" si="66"/>
        <v>100</v>
      </c>
      <c r="S421" s="56">
        <f t="shared" si="67"/>
        <v>695</v>
      </c>
      <c r="T421" s="56">
        <f>50</f>
        <v>50</v>
      </c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</row>
    <row r="422" spans="1:30" ht="15.75" x14ac:dyDescent="0.25">
      <c r="A422" s="14">
        <v>54148</v>
      </c>
      <c r="B422" s="68">
        <v>31</v>
      </c>
      <c r="C422" s="56">
        <f>122.58</f>
        <v>122.58</v>
      </c>
      <c r="D422" s="56">
        <f>297.941</f>
        <v>297.94099999999997</v>
      </c>
      <c r="E422" s="64">
        <f>89.177</f>
        <v>89.177000000000007</v>
      </c>
      <c r="F422" s="56">
        <f>240.302-40-60-100</f>
        <v>40.301999999999992</v>
      </c>
      <c r="G422" s="59">
        <v>40</v>
      </c>
      <c r="H422" s="56">
        <f>60+100</f>
        <v>160</v>
      </c>
      <c r="I422" s="56">
        <f t="shared" si="59"/>
        <v>0</v>
      </c>
      <c r="J422" s="59">
        <v>100</v>
      </c>
      <c r="K422" s="59">
        <v>300</v>
      </c>
      <c r="L422" s="56">
        <f t="shared" si="64"/>
        <v>1150</v>
      </c>
      <c r="M422" s="66">
        <v>600</v>
      </c>
      <c r="N422" s="56">
        <f>100</f>
        <v>100</v>
      </c>
      <c r="O422" s="59">
        <v>240</v>
      </c>
      <c r="P422" s="59">
        <v>40</v>
      </c>
      <c r="Q422" s="59">
        <f t="shared" si="65"/>
        <v>315</v>
      </c>
      <c r="R422" s="59">
        <f t="shared" si="66"/>
        <v>100</v>
      </c>
      <c r="S422" s="56">
        <f t="shared" si="67"/>
        <v>695</v>
      </c>
      <c r="T422" s="56">
        <f>50</f>
        <v>50</v>
      </c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</row>
    <row r="423" spans="1:30" ht="15.75" x14ac:dyDescent="0.25">
      <c r="A423" s="14">
        <v>54178</v>
      </c>
      <c r="B423" s="68">
        <v>30</v>
      </c>
      <c r="C423" s="56">
        <f>141.293</f>
        <v>141.29300000000001</v>
      </c>
      <c r="D423" s="56">
        <f>267.993</f>
        <v>267.99299999999999</v>
      </c>
      <c r="E423" s="64">
        <f>115.016</f>
        <v>115.01600000000001</v>
      </c>
      <c r="F423" s="56">
        <f>314.698-40-25-60-100</f>
        <v>89.697999999999979</v>
      </c>
      <c r="G423" s="59">
        <v>40</v>
      </c>
      <c r="H423" s="56">
        <f t="shared" ref="H423:H429" si="69">25+60+100</f>
        <v>185</v>
      </c>
      <c r="I423" s="56">
        <f t="shared" si="59"/>
        <v>0</v>
      </c>
      <c r="J423" s="59">
        <v>100</v>
      </c>
      <c r="K423" s="59">
        <v>300</v>
      </c>
      <c r="L423" s="56">
        <f t="shared" si="64"/>
        <v>1239</v>
      </c>
      <c r="M423" s="66">
        <v>600</v>
      </c>
      <c r="N423" s="56">
        <f>100</f>
        <v>100</v>
      </c>
      <c r="O423" s="59">
        <v>240</v>
      </c>
      <c r="P423" s="59">
        <v>160</v>
      </c>
      <c r="Q423" s="59">
        <f t="shared" si="65"/>
        <v>195</v>
      </c>
      <c r="R423" s="59">
        <f t="shared" si="66"/>
        <v>100</v>
      </c>
      <c r="S423" s="56">
        <f t="shared" si="67"/>
        <v>695</v>
      </c>
      <c r="T423" s="56">
        <f>50</f>
        <v>50</v>
      </c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</row>
    <row r="424" spans="1:30" ht="15.75" x14ac:dyDescent="0.25">
      <c r="A424" s="14">
        <v>54209</v>
      </c>
      <c r="B424" s="68">
        <v>31</v>
      </c>
      <c r="C424" s="56">
        <f>194.205</f>
        <v>194.20500000000001</v>
      </c>
      <c r="D424" s="56">
        <f>267.466</f>
        <v>267.46600000000001</v>
      </c>
      <c r="E424" s="64">
        <f>133.845</f>
        <v>133.845</v>
      </c>
      <c r="F424" s="56">
        <f>278.484-40-25-60-100</f>
        <v>53.48399999999998</v>
      </c>
      <c r="G424" s="59">
        <v>40</v>
      </c>
      <c r="H424" s="56">
        <f t="shared" si="69"/>
        <v>185</v>
      </c>
      <c r="I424" s="56">
        <f t="shared" ref="I424:I487" si="70">400-J424-K424</f>
        <v>0</v>
      </c>
      <c r="J424" s="59">
        <v>100</v>
      </c>
      <c r="K424" s="59">
        <v>300</v>
      </c>
      <c r="L424" s="56">
        <f t="shared" si="64"/>
        <v>1274</v>
      </c>
      <c r="M424" s="66">
        <v>600</v>
      </c>
      <c r="N424" s="56">
        <f>75</f>
        <v>75</v>
      </c>
      <c r="O424" s="59">
        <v>240</v>
      </c>
      <c r="P424" s="59">
        <v>160</v>
      </c>
      <c r="Q424" s="59">
        <f t="shared" si="65"/>
        <v>195</v>
      </c>
      <c r="R424" s="59">
        <f t="shared" si="66"/>
        <v>100</v>
      </c>
      <c r="S424" s="56">
        <f t="shared" si="67"/>
        <v>695</v>
      </c>
      <c r="T424" s="56">
        <f>50</f>
        <v>50</v>
      </c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</row>
    <row r="425" spans="1:30" ht="15.75" x14ac:dyDescent="0.25">
      <c r="A425" s="14">
        <v>54239</v>
      </c>
      <c r="B425" s="68">
        <v>30</v>
      </c>
      <c r="C425" s="56">
        <f>194.205</f>
        <v>194.20500000000001</v>
      </c>
      <c r="D425" s="56">
        <f>267.466</f>
        <v>267.46600000000001</v>
      </c>
      <c r="E425" s="64">
        <f>133.845</f>
        <v>133.845</v>
      </c>
      <c r="F425" s="56">
        <f>278.484-40-25-60-100</f>
        <v>53.48399999999998</v>
      </c>
      <c r="G425" s="59">
        <v>40</v>
      </c>
      <c r="H425" s="56">
        <f t="shared" si="69"/>
        <v>185</v>
      </c>
      <c r="I425" s="56">
        <f t="shared" si="70"/>
        <v>0</v>
      </c>
      <c r="J425" s="59">
        <v>100</v>
      </c>
      <c r="K425" s="59">
        <v>300</v>
      </c>
      <c r="L425" s="56">
        <f t="shared" si="64"/>
        <v>1274</v>
      </c>
      <c r="M425" s="66">
        <v>600</v>
      </c>
      <c r="N425" s="56">
        <f>30</f>
        <v>30</v>
      </c>
      <c r="O425" s="59">
        <v>240</v>
      </c>
      <c r="P425" s="59">
        <v>160</v>
      </c>
      <c r="Q425" s="59">
        <f t="shared" si="65"/>
        <v>195</v>
      </c>
      <c r="R425" s="59">
        <f t="shared" si="66"/>
        <v>100</v>
      </c>
      <c r="S425" s="56">
        <f t="shared" si="67"/>
        <v>695</v>
      </c>
      <c r="T425" s="56">
        <f>50</f>
        <v>50</v>
      </c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</row>
    <row r="426" spans="1:30" ht="15.75" x14ac:dyDescent="0.25">
      <c r="A426" s="14">
        <v>54270</v>
      </c>
      <c r="B426" s="68">
        <v>31</v>
      </c>
      <c r="C426" s="56">
        <f>194.205</f>
        <v>194.20500000000001</v>
      </c>
      <c r="D426" s="56">
        <f>267.466</f>
        <v>267.46600000000001</v>
      </c>
      <c r="E426" s="64">
        <f>133.845</f>
        <v>133.845</v>
      </c>
      <c r="F426" s="56">
        <f>278.484-40-25-60-100</f>
        <v>53.48399999999998</v>
      </c>
      <c r="G426" s="59">
        <v>40</v>
      </c>
      <c r="H426" s="56">
        <f t="shared" si="69"/>
        <v>185</v>
      </c>
      <c r="I426" s="56">
        <f t="shared" si="70"/>
        <v>0</v>
      </c>
      <c r="J426" s="59">
        <v>100</v>
      </c>
      <c r="K426" s="59">
        <v>300</v>
      </c>
      <c r="L426" s="56">
        <f t="shared" si="64"/>
        <v>1274</v>
      </c>
      <c r="M426" s="66">
        <v>600</v>
      </c>
      <c r="N426" s="56">
        <f>30</f>
        <v>30</v>
      </c>
      <c r="O426" s="59">
        <v>240</v>
      </c>
      <c r="P426" s="59">
        <v>160</v>
      </c>
      <c r="Q426" s="59">
        <f t="shared" si="65"/>
        <v>195</v>
      </c>
      <c r="R426" s="59">
        <f t="shared" si="66"/>
        <v>100</v>
      </c>
      <c r="S426" s="56">
        <f t="shared" si="67"/>
        <v>695</v>
      </c>
      <c r="T426" s="56">
        <f>0</f>
        <v>0</v>
      </c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</row>
    <row r="427" spans="1:30" ht="15.75" x14ac:dyDescent="0.25">
      <c r="A427" s="14">
        <v>54301</v>
      </c>
      <c r="B427" s="68">
        <v>31</v>
      </c>
      <c r="C427" s="56">
        <f>194.205</f>
        <v>194.20500000000001</v>
      </c>
      <c r="D427" s="56">
        <f>267.466</f>
        <v>267.46600000000001</v>
      </c>
      <c r="E427" s="64">
        <f>133.845</f>
        <v>133.845</v>
      </c>
      <c r="F427" s="56">
        <f>278.484-40-25-60-100</f>
        <v>53.48399999999998</v>
      </c>
      <c r="G427" s="59">
        <v>40</v>
      </c>
      <c r="H427" s="56">
        <f t="shared" si="69"/>
        <v>185</v>
      </c>
      <c r="I427" s="56">
        <f t="shared" si="70"/>
        <v>0</v>
      </c>
      <c r="J427" s="59">
        <v>100</v>
      </c>
      <c r="K427" s="59">
        <v>300</v>
      </c>
      <c r="L427" s="56">
        <f t="shared" si="64"/>
        <v>1274</v>
      </c>
      <c r="M427" s="66">
        <v>600</v>
      </c>
      <c r="N427" s="56">
        <f>30</f>
        <v>30</v>
      </c>
      <c r="O427" s="59">
        <v>240</v>
      </c>
      <c r="P427" s="59">
        <v>160</v>
      </c>
      <c r="Q427" s="59">
        <f t="shared" si="65"/>
        <v>195</v>
      </c>
      <c r="R427" s="59">
        <f t="shared" si="66"/>
        <v>100</v>
      </c>
      <c r="S427" s="56">
        <f t="shared" si="67"/>
        <v>695</v>
      </c>
      <c r="T427" s="56">
        <f>0</f>
        <v>0</v>
      </c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</row>
    <row r="428" spans="1:30" ht="15.75" x14ac:dyDescent="0.25">
      <c r="A428" s="14">
        <v>54331</v>
      </c>
      <c r="B428" s="68">
        <v>30</v>
      </c>
      <c r="C428" s="56">
        <f>194.205</f>
        <v>194.20500000000001</v>
      </c>
      <c r="D428" s="56">
        <f>267.466</f>
        <v>267.46600000000001</v>
      </c>
      <c r="E428" s="64">
        <f>133.845</f>
        <v>133.845</v>
      </c>
      <c r="F428" s="56">
        <f>278.484-40-25-60-100</f>
        <v>53.48399999999998</v>
      </c>
      <c r="G428" s="59">
        <v>40</v>
      </c>
      <c r="H428" s="56">
        <f t="shared" si="69"/>
        <v>185</v>
      </c>
      <c r="I428" s="56">
        <f t="shared" si="70"/>
        <v>0</v>
      </c>
      <c r="J428" s="59">
        <v>100</v>
      </c>
      <c r="K428" s="59">
        <v>300</v>
      </c>
      <c r="L428" s="56">
        <f t="shared" si="64"/>
        <v>1274</v>
      </c>
      <c r="M428" s="66">
        <v>600</v>
      </c>
      <c r="N428" s="56">
        <f>30</f>
        <v>30</v>
      </c>
      <c r="O428" s="59">
        <v>240</v>
      </c>
      <c r="P428" s="59">
        <v>160</v>
      </c>
      <c r="Q428" s="59">
        <f t="shared" si="65"/>
        <v>195</v>
      </c>
      <c r="R428" s="59">
        <f t="shared" si="66"/>
        <v>100</v>
      </c>
      <c r="S428" s="56">
        <f t="shared" si="67"/>
        <v>695</v>
      </c>
      <c r="T428" s="56">
        <f>0</f>
        <v>0</v>
      </c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</row>
    <row r="429" spans="1:30" ht="15.75" x14ac:dyDescent="0.25">
      <c r="A429" s="14">
        <v>54362</v>
      </c>
      <c r="B429" s="68">
        <v>31</v>
      </c>
      <c r="C429" s="56">
        <f>131.881</f>
        <v>131.881</v>
      </c>
      <c r="D429" s="56">
        <f>277.167</f>
        <v>277.16699999999997</v>
      </c>
      <c r="E429" s="64">
        <f>79.08</f>
        <v>79.08</v>
      </c>
      <c r="F429" s="56">
        <f>350.872-40-25-60-100</f>
        <v>125.87200000000001</v>
      </c>
      <c r="G429" s="59">
        <v>40</v>
      </c>
      <c r="H429" s="56">
        <f t="shared" si="69"/>
        <v>185</v>
      </c>
      <c r="I429" s="56">
        <f t="shared" si="70"/>
        <v>0</v>
      </c>
      <c r="J429" s="59">
        <v>100</v>
      </c>
      <c r="K429" s="59">
        <v>300</v>
      </c>
      <c r="L429" s="56">
        <f t="shared" si="64"/>
        <v>1239</v>
      </c>
      <c r="M429" s="66">
        <v>600</v>
      </c>
      <c r="N429" s="56">
        <f>75</f>
        <v>75</v>
      </c>
      <c r="O429" s="59">
        <v>240</v>
      </c>
      <c r="P429" s="59">
        <v>160</v>
      </c>
      <c r="Q429" s="59">
        <f t="shared" si="65"/>
        <v>195</v>
      </c>
      <c r="R429" s="59">
        <f t="shared" si="66"/>
        <v>100</v>
      </c>
      <c r="S429" s="56">
        <f t="shared" si="67"/>
        <v>695</v>
      </c>
      <c r="T429" s="56">
        <f>0</f>
        <v>0</v>
      </c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</row>
    <row r="430" spans="1:30" ht="15.75" x14ac:dyDescent="0.25">
      <c r="A430" s="14">
        <v>54392</v>
      </c>
      <c r="B430" s="68">
        <v>30</v>
      </c>
      <c r="C430" s="56">
        <f>122.58</f>
        <v>122.58</v>
      </c>
      <c r="D430" s="56">
        <f>297.941</f>
        <v>297.94099999999997</v>
      </c>
      <c r="E430" s="64">
        <f>89.177</f>
        <v>89.177000000000007</v>
      </c>
      <c r="F430" s="56">
        <f>240.302-40-60-100</f>
        <v>40.301999999999992</v>
      </c>
      <c r="G430" s="59">
        <v>40</v>
      </c>
      <c r="H430" s="56">
        <f>60+100</f>
        <v>160</v>
      </c>
      <c r="I430" s="56">
        <f t="shared" si="70"/>
        <v>0</v>
      </c>
      <c r="J430" s="59">
        <v>100</v>
      </c>
      <c r="K430" s="59">
        <v>300</v>
      </c>
      <c r="L430" s="56">
        <f t="shared" si="64"/>
        <v>1150</v>
      </c>
      <c r="M430" s="66">
        <v>600</v>
      </c>
      <c r="N430" s="56">
        <f>100</f>
        <v>100</v>
      </c>
      <c r="O430" s="59">
        <v>240</v>
      </c>
      <c r="P430" s="59">
        <v>40</v>
      </c>
      <c r="Q430" s="59">
        <f t="shared" si="65"/>
        <v>315</v>
      </c>
      <c r="R430" s="59">
        <f t="shared" si="66"/>
        <v>100</v>
      </c>
      <c r="S430" s="56">
        <f t="shared" si="67"/>
        <v>695</v>
      </c>
      <c r="T430" s="56">
        <f>50</f>
        <v>50</v>
      </c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</row>
    <row r="431" spans="1:30" ht="15.75" x14ac:dyDescent="0.25">
      <c r="A431" s="14">
        <v>54423</v>
      </c>
      <c r="B431" s="68">
        <v>31</v>
      </c>
      <c r="C431" s="56">
        <f>122.58</f>
        <v>122.58</v>
      </c>
      <c r="D431" s="56">
        <f>297.941</f>
        <v>297.94099999999997</v>
      </c>
      <c r="E431" s="64">
        <f>89.177</f>
        <v>89.177000000000007</v>
      </c>
      <c r="F431" s="56">
        <f>240.302-40-60-100</f>
        <v>40.301999999999992</v>
      </c>
      <c r="G431" s="59">
        <v>40</v>
      </c>
      <c r="H431" s="56">
        <f>60+100</f>
        <v>160</v>
      </c>
      <c r="I431" s="56">
        <f t="shared" si="70"/>
        <v>0</v>
      </c>
      <c r="J431" s="59">
        <v>100</v>
      </c>
      <c r="K431" s="59">
        <v>300</v>
      </c>
      <c r="L431" s="56">
        <f t="shared" si="64"/>
        <v>1150</v>
      </c>
      <c r="M431" s="66">
        <v>600</v>
      </c>
      <c r="N431" s="56">
        <f>100</f>
        <v>100</v>
      </c>
      <c r="O431" s="59">
        <v>240</v>
      </c>
      <c r="P431" s="59">
        <v>40</v>
      </c>
      <c r="Q431" s="59">
        <f t="shared" si="65"/>
        <v>315</v>
      </c>
      <c r="R431" s="59">
        <f t="shared" si="66"/>
        <v>100</v>
      </c>
      <c r="S431" s="56">
        <f t="shared" si="67"/>
        <v>695</v>
      </c>
      <c r="T431" s="56">
        <f>50</f>
        <v>50</v>
      </c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</row>
    <row r="432" spans="1:30" ht="15.75" x14ac:dyDescent="0.25">
      <c r="A432" s="14">
        <v>54454</v>
      </c>
      <c r="B432" s="68">
        <v>31</v>
      </c>
      <c r="C432" s="56">
        <f>122.58</f>
        <v>122.58</v>
      </c>
      <c r="D432" s="56">
        <f>297.941</f>
        <v>297.94099999999997</v>
      </c>
      <c r="E432" s="64">
        <f>89.177</f>
        <v>89.177000000000007</v>
      </c>
      <c r="F432" s="56">
        <f>240.302-40-60-100</f>
        <v>40.301999999999992</v>
      </c>
      <c r="G432" s="59">
        <v>40</v>
      </c>
      <c r="H432" s="56">
        <f>60+100</f>
        <v>160</v>
      </c>
      <c r="I432" s="56">
        <f t="shared" si="70"/>
        <v>0</v>
      </c>
      <c r="J432" s="59">
        <v>100</v>
      </c>
      <c r="K432" s="59">
        <v>300</v>
      </c>
      <c r="L432" s="56">
        <f t="shared" si="64"/>
        <v>1150</v>
      </c>
      <c r="M432" s="66">
        <v>600</v>
      </c>
      <c r="N432" s="56">
        <f>100</f>
        <v>100</v>
      </c>
      <c r="O432" s="59">
        <v>240</v>
      </c>
      <c r="P432" s="59">
        <v>40</v>
      </c>
      <c r="Q432" s="59">
        <f t="shared" si="65"/>
        <v>315</v>
      </c>
      <c r="R432" s="59">
        <f t="shared" si="66"/>
        <v>100</v>
      </c>
      <c r="S432" s="56">
        <f t="shared" si="67"/>
        <v>695</v>
      </c>
      <c r="T432" s="56">
        <f>50</f>
        <v>50</v>
      </c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</row>
    <row r="433" spans="1:30" ht="15.75" x14ac:dyDescent="0.25">
      <c r="A433" s="14">
        <v>54482</v>
      </c>
      <c r="B433" s="68">
        <v>28</v>
      </c>
      <c r="C433" s="56">
        <f>122.58</f>
        <v>122.58</v>
      </c>
      <c r="D433" s="56">
        <f>297.941</f>
        <v>297.94099999999997</v>
      </c>
      <c r="E433" s="64">
        <f>89.177</f>
        <v>89.177000000000007</v>
      </c>
      <c r="F433" s="56">
        <f>240.302-40-60-100</f>
        <v>40.301999999999992</v>
      </c>
      <c r="G433" s="59">
        <v>40</v>
      </c>
      <c r="H433" s="56">
        <f>60+100</f>
        <v>160</v>
      </c>
      <c r="I433" s="56">
        <f t="shared" si="70"/>
        <v>0</v>
      </c>
      <c r="J433" s="59">
        <v>100</v>
      </c>
      <c r="K433" s="59">
        <v>300</v>
      </c>
      <c r="L433" s="56">
        <f t="shared" si="64"/>
        <v>1150</v>
      </c>
      <c r="M433" s="66">
        <v>600</v>
      </c>
      <c r="N433" s="56">
        <f>100</f>
        <v>100</v>
      </c>
      <c r="O433" s="59">
        <v>240</v>
      </c>
      <c r="P433" s="59">
        <v>40</v>
      </c>
      <c r="Q433" s="59">
        <f t="shared" si="65"/>
        <v>315</v>
      </c>
      <c r="R433" s="59">
        <f t="shared" si="66"/>
        <v>100</v>
      </c>
      <c r="S433" s="56">
        <f t="shared" si="67"/>
        <v>695</v>
      </c>
      <c r="T433" s="56">
        <f>50</f>
        <v>50</v>
      </c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</row>
    <row r="434" spans="1:30" ht="15.75" x14ac:dyDescent="0.25">
      <c r="A434" s="14">
        <v>54513</v>
      </c>
      <c r="B434" s="68">
        <v>31</v>
      </c>
      <c r="C434" s="56">
        <f>122.58</f>
        <v>122.58</v>
      </c>
      <c r="D434" s="56">
        <f>297.941</f>
        <v>297.94099999999997</v>
      </c>
      <c r="E434" s="64">
        <f>89.177</f>
        <v>89.177000000000007</v>
      </c>
      <c r="F434" s="56">
        <f>240.302-40-60-100</f>
        <v>40.301999999999992</v>
      </c>
      <c r="G434" s="59">
        <v>40</v>
      </c>
      <c r="H434" s="56">
        <f>60+100</f>
        <v>160</v>
      </c>
      <c r="I434" s="56">
        <f t="shared" si="70"/>
        <v>0</v>
      </c>
      <c r="J434" s="59">
        <v>100</v>
      </c>
      <c r="K434" s="59">
        <v>300</v>
      </c>
      <c r="L434" s="56">
        <f t="shared" si="64"/>
        <v>1150</v>
      </c>
      <c r="M434" s="66">
        <v>600</v>
      </c>
      <c r="N434" s="56">
        <f>100</f>
        <v>100</v>
      </c>
      <c r="O434" s="59">
        <v>240</v>
      </c>
      <c r="P434" s="59">
        <v>40</v>
      </c>
      <c r="Q434" s="59">
        <f t="shared" si="65"/>
        <v>315</v>
      </c>
      <c r="R434" s="59">
        <f t="shared" si="66"/>
        <v>100</v>
      </c>
      <c r="S434" s="56">
        <f t="shared" si="67"/>
        <v>695</v>
      </c>
      <c r="T434" s="56">
        <f>50</f>
        <v>50</v>
      </c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</row>
    <row r="435" spans="1:30" ht="15.75" x14ac:dyDescent="0.25">
      <c r="A435" s="14">
        <v>54543</v>
      </c>
      <c r="B435" s="68">
        <v>30</v>
      </c>
      <c r="C435" s="56">
        <f>141.293</f>
        <v>141.29300000000001</v>
      </c>
      <c r="D435" s="56">
        <f>267.993</f>
        <v>267.99299999999999</v>
      </c>
      <c r="E435" s="64">
        <f>115.016</f>
        <v>115.01600000000001</v>
      </c>
      <c r="F435" s="56">
        <f>314.698-40-25-60-100</f>
        <v>89.697999999999979</v>
      </c>
      <c r="G435" s="59">
        <v>40</v>
      </c>
      <c r="H435" s="56">
        <f t="shared" ref="H435:H441" si="71">25+60+100</f>
        <v>185</v>
      </c>
      <c r="I435" s="56">
        <f t="shared" si="70"/>
        <v>0</v>
      </c>
      <c r="J435" s="59">
        <v>100</v>
      </c>
      <c r="K435" s="59">
        <v>300</v>
      </c>
      <c r="L435" s="56">
        <f t="shared" si="64"/>
        <v>1239</v>
      </c>
      <c r="M435" s="66">
        <v>600</v>
      </c>
      <c r="N435" s="56">
        <f>100</f>
        <v>100</v>
      </c>
      <c r="O435" s="59">
        <v>240</v>
      </c>
      <c r="P435" s="59">
        <v>160</v>
      </c>
      <c r="Q435" s="59">
        <f t="shared" si="65"/>
        <v>195</v>
      </c>
      <c r="R435" s="59">
        <f t="shared" si="66"/>
        <v>100</v>
      </c>
      <c r="S435" s="56">
        <f t="shared" si="67"/>
        <v>695</v>
      </c>
      <c r="T435" s="56">
        <f>50</f>
        <v>50</v>
      </c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</row>
    <row r="436" spans="1:30" ht="15.75" x14ac:dyDescent="0.25">
      <c r="A436" s="14">
        <v>54574</v>
      </c>
      <c r="B436" s="68">
        <v>31</v>
      </c>
      <c r="C436" s="56">
        <f>194.205</f>
        <v>194.20500000000001</v>
      </c>
      <c r="D436" s="56">
        <f>267.466</f>
        <v>267.46600000000001</v>
      </c>
      <c r="E436" s="64">
        <f>133.845</f>
        <v>133.845</v>
      </c>
      <c r="F436" s="56">
        <f>278.484-40-25-60-100</f>
        <v>53.48399999999998</v>
      </c>
      <c r="G436" s="59">
        <v>40</v>
      </c>
      <c r="H436" s="56">
        <f t="shared" si="71"/>
        <v>185</v>
      </c>
      <c r="I436" s="56">
        <f t="shared" si="70"/>
        <v>0</v>
      </c>
      <c r="J436" s="59">
        <v>100</v>
      </c>
      <c r="K436" s="59">
        <v>300</v>
      </c>
      <c r="L436" s="56">
        <f t="shared" si="64"/>
        <v>1274</v>
      </c>
      <c r="M436" s="66">
        <v>600</v>
      </c>
      <c r="N436" s="56">
        <f>75</f>
        <v>75</v>
      </c>
      <c r="O436" s="59">
        <v>240</v>
      </c>
      <c r="P436" s="59">
        <v>160</v>
      </c>
      <c r="Q436" s="59">
        <f t="shared" si="65"/>
        <v>195</v>
      </c>
      <c r="R436" s="59">
        <f t="shared" si="66"/>
        <v>100</v>
      </c>
      <c r="S436" s="56">
        <f t="shared" si="67"/>
        <v>695</v>
      </c>
      <c r="T436" s="56">
        <f>50</f>
        <v>50</v>
      </c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</row>
    <row r="437" spans="1:30" ht="15.75" x14ac:dyDescent="0.25">
      <c r="A437" s="14">
        <v>54604</v>
      </c>
      <c r="B437" s="68">
        <v>30</v>
      </c>
      <c r="C437" s="56">
        <f>194.205</f>
        <v>194.20500000000001</v>
      </c>
      <c r="D437" s="56">
        <f>267.466</f>
        <v>267.46600000000001</v>
      </c>
      <c r="E437" s="64">
        <f>133.845</f>
        <v>133.845</v>
      </c>
      <c r="F437" s="56">
        <f>278.484-40-25-60-100</f>
        <v>53.48399999999998</v>
      </c>
      <c r="G437" s="59">
        <v>40</v>
      </c>
      <c r="H437" s="56">
        <f t="shared" si="71"/>
        <v>185</v>
      </c>
      <c r="I437" s="56">
        <f t="shared" si="70"/>
        <v>0</v>
      </c>
      <c r="J437" s="59">
        <v>100</v>
      </c>
      <c r="K437" s="59">
        <v>300</v>
      </c>
      <c r="L437" s="56">
        <f t="shared" si="64"/>
        <v>1274</v>
      </c>
      <c r="M437" s="66">
        <v>600</v>
      </c>
      <c r="N437" s="56">
        <f>30</f>
        <v>30</v>
      </c>
      <c r="O437" s="59">
        <v>240</v>
      </c>
      <c r="P437" s="59">
        <v>160</v>
      </c>
      <c r="Q437" s="59">
        <f t="shared" si="65"/>
        <v>195</v>
      </c>
      <c r="R437" s="59">
        <f t="shared" si="66"/>
        <v>100</v>
      </c>
      <c r="S437" s="56">
        <f t="shared" si="67"/>
        <v>695</v>
      </c>
      <c r="T437" s="56">
        <f>50</f>
        <v>50</v>
      </c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</row>
    <row r="438" spans="1:30" ht="15.75" x14ac:dyDescent="0.25">
      <c r="A438" s="14">
        <v>54635</v>
      </c>
      <c r="B438" s="68">
        <v>31</v>
      </c>
      <c r="C438" s="56">
        <f>194.205</f>
        <v>194.20500000000001</v>
      </c>
      <c r="D438" s="56">
        <f>267.466</f>
        <v>267.46600000000001</v>
      </c>
      <c r="E438" s="64">
        <f>133.845</f>
        <v>133.845</v>
      </c>
      <c r="F438" s="56">
        <f>278.484-40-25-60-100</f>
        <v>53.48399999999998</v>
      </c>
      <c r="G438" s="59">
        <v>40</v>
      </c>
      <c r="H438" s="56">
        <f t="shared" si="71"/>
        <v>185</v>
      </c>
      <c r="I438" s="56">
        <f t="shared" si="70"/>
        <v>0</v>
      </c>
      <c r="J438" s="59">
        <v>100</v>
      </c>
      <c r="K438" s="59">
        <v>300</v>
      </c>
      <c r="L438" s="56">
        <f t="shared" si="64"/>
        <v>1274</v>
      </c>
      <c r="M438" s="66">
        <v>600</v>
      </c>
      <c r="N438" s="56">
        <f>30</f>
        <v>30</v>
      </c>
      <c r="O438" s="59">
        <v>240</v>
      </c>
      <c r="P438" s="59">
        <v>160</v>
      </c>
      <c r="Q438" s="59">
        <f t="shared" si="65"/>
        <v>195</v>
      </c>
      <c r="R438" s="59">
        <f t="shared" si="66"/>
        <v>100</v>
      </c>
      <c r="S438" s="56">
        <f t="shared" si="67"/>
        <v>695</v>
      </c>
      <c r="T438" s="56">
        <f>0</f>
        <v>0</v>
      </c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</row>
    <row r="439" spans="1:30" ht="15.75" x14ac:dyDescent="0.25">
      <c r="A439" s="14">
        <v>54666</v>
      </c>
      <c r="B439" s="68">
        <v>31</v>
      </c>
      <c r="C439" s="56">
        <f>194.205</f>
        <v>194.20500000000001</v>
      </c>
      <c r="D439" s="56">
        <f>267.466</f>
        <v>267.46600000000001</v>
      </c>
      <c r="E439" s="64">
        <f>133.845</f>
        <v>133.845</v>
      </c>
      <c r="F439" s="56">
        <f>278.484-40-25-60-100</f>
        <v>53.48399999999998</v>
      </c>
      <c r="G439" s="59">
        <v>40</v>
      </c>
      <c r="H439" s="56">
        <f t="shared" si="71"/>
        <v>185</v>
      </c>
      <c r="I439" s="56">
        <f t="shared" si="70"/>
        <v>0</v>
      </c>
      <c r="J439" s="59">
        <v>100</v>
      </c>
      <c r="K439" s="59">
        <v>300</v>
      </c>
      <c r="L439" s="56">
        <f t="shared" si="64"/>
        <v>1274</v>
      </c>
      <c r="M439" s="66">
        <v>600</v>
      </c>
      <c r="N439" s="56">
        <f>30</f>
        <v>30</v>
      </c>
      <c r="O439" s="59">
        <v>240</v>
      </c>
      <c r="P439" s="59">
        <v>160</v>
      </c>
      <c r="Q439" s="59">
        <f t="shared" si="65"/>
        <v>195</v>
      </c>
      <c r="R439" s="59">
        <f t="shared" si="66"/>
        <v>100</v>
      </c>
      <c r="S439" s="56">
        <f t="shared" si="67"/>
        <v>695</v>
      </c>
      <c r="T439" s="56">
        <f>0</f>
        <v>0</v>
      </c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</row>
    <row r="440" spans="1:30" ht="15.75" x14ac:dyDescent="0.25">
      <c r="A440" s="14">
        <v>54696</v>
      </c>
      <c r="B440" s="68">
        <v>30</v>
      </c>
      <c r="C440" s="56">
        <f>194.205</f>
        <v>194.20500000000001</v>
      </c>
      <c r="D440" s="56">
        <f>267.466</f>
        <v>267.46600000000001</v>
      </c>
      <c r="E440" s="64">
        <f>133.845</f>
        <v>133.845</v>
      </c>
      <c r="F440" s="56">
        <f>278.484-40-25-60-100</f>
        <v>53.48399999999998</v>
      </c>
      <c r="G440" s="59">
        <v>40</v>
      </c>
      <c r="H440" s="56">
        <f t="shared" si="71"/>
        <v>185</v>
      </c>
      <c r="I440" s="56">
        <f t="shared" si="70"/>
        <v>0</v>
      </c>
      <c r="J440" s="59">
        <v>100</v>
      </c>
      <c r="K440" s="59">
        <v>300</v>
      </c>
      <c r="L440" s="56">
        <f t="shared" si="64"/>
        <v>1274</v>
      </c>
      <c r="M440" s="66">
        <v>600</v>
      </c>
      <c r="N440" s="56">
        <f>30</f>
        <v>30</v>
      </c>
      <c r="O440" s="59">
        <v>240</v>
      </c>
      <c r="P440" s="59">
        <v>160</v>
      </c>
      <c r="Q440" s="59">
        <f t="shared" si="65"/>
        <v>195</v>
      </c>
      <c r="R440" s="59">
        <f t="shared" si="66"/>
        <v>100</v>
      </c>
      <c r="S440" s="56">
        <f t="shared" si="67"/>
        <v>695</v>
      </c>
      <c r="T440" s="56">
        <f>0</f>
        <v>0</v>
      </c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</row>
    <row r="441" spans="1:30" ht="15.75" x14ac:dyDescent="0.25">
      <c r="A441" s="14">
        <v>54727</v>
      </c>
      <c r="B441" s="68">
        <v>31</v>
      </c>
      <c r="C441" s="56">
        <f>131.881</f>
        <v>131.881</v>
      </c>
      <c r="D441" s="56">
        <f>277.167</f>
        <v>277.16699999999997</v>
      </c>
      <c r="E441" s="64">
        <f>79.08</f>
        <v>79.08</v>
      </c>
      <c r="F441" s="56">
        <f>350.872-40-25-60-100</f>
        <v>125.87200000000001</v>
      </c>
      <c r="G441" s="59">
        <v>40</v>
      </c>
      <c r="H441" s="56">
        <f t="shared" si="71"/>
        <v>185</v>
      </c>
      <c r="I441" s="56">
        <f t="shared" si="70"/>
        <v>0</v>
      </c>
      <c r="J441" s="59">
        <v>100</v>
      </c>
      <c r="K441" s="59">
        <v>300</v>
      </c>
      <c r="L441" s="56">
        <f t="shared" si="64"/>
        <v>1239</v>
      </c>
      <c r="M441" s="66">
        <v>600</v>
      </c>
      <c r="N441" s="56">
        <f>75</f>
        <v>75</v>
      </c>
      <c r="O441" s="59">
        <v>240</v>
      </c>
      <c r="P441" s="59">
        <v>160</v>
      </c>
      <c r="Q441" s="59">
        <f t="shared" si="65"/>
        <v>195</v>
      </c>
      <c r="R441" s="59">
        <f t="shared" si="66"/>
        <v>100</v>
      </c>
      <c r="S441" s="56">
        <f t="shared" si="67"/>
        <v>695</v>
      </c>
      <c r="T441" s="56">
        <f>0</f>
        <v>0</v>
      </c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</row>
    <row r="442" spans="1:30" ht="15.75" x14ac:dyDescent="0.25">
      <c r="A442" s="14">
        <v>54757</v>
      </c>
      <c r="B442" s="68">
        <v>30</v>
      </c>
      <c r="C442" s="56">
        <f>122.58</f>
        <v>122.58</v>
      </c>
      <c r="D442" s="56">
        <f>297.941</f>
        <v>297.94099999999997</v>
      </c>
      <c r="E442" s="64">
        <f>89.177</f>
        <v>89.177000000000007</v>
      </c>
      <c r="F442" s="56">
        <f>240.302-40-60-100</f>
        <v>40.301999999999992</v>
      </c>
      <c r="G442" s="59">
        <v>40</v>
      </c>
      <c r="H442" s="56">
        <f>60+100</f>
        <v>160</v>
      </c>
      <c r="I442" s="56">
        <f t="shared" si="70"/>
        <v>0</v>
      </c>
      <c r="J442" s="59">
        <v>100</v>
      </c>
      <c r="K442" s="59">
        <v>300</v>
      </c>
      <c r="L442" s="56">
        <f t="shared" si="64"/>
        <v>1150</v>
      </c>
      <c r="M442" s="66">
        <v>600</v>
      </c>
      <c r="N442" s="56">
        <f>100</f>
        <v>100</v>
      </c>
      <c r="O442" s="59">
        <v>240</v>
      </c>
      <c r="P442" s="59">
        <v>40</v>
      </c>
      <c r="Q442" s="59">
        <f t="shared" si="65"/>
        <v>315</v>
      </c>
      <c r="R442" s="59">
        <f t="shared" si="66"/>
        <v>100</v>
      </c>
      <c r="S442" s="56">
        <f t="shared" si="67"/>
        <v>695</v>
      </c>
      <c r="T442" s="56">
        <f>50</f>
        <v>50</v>
      </c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</row>
    <row r="443" spans="1:30" ht="15.75" x14ac:dyDescent="0.25">
      <c r="A443" s="14">
        <v>54788</v>
      </c>
      <c r="B443" s="68">
        <v>31</v>
      </c>
      <c r="C443" s="56">
        <f>122.58</f>
        <v>122.58</v>
      </c>
      <c r="D443" s="56">
        <f>297.941</f>
        <v>297.94099999999997</v>
      </c>
      <c r="E443" s="64">
        <f>89.177</f>
        <v>89.177000000000007</v>
      </c>
      <c r="F443" s="56">
        <f>240.302-40-60-100</f>
        <v>40.301999999999992</v>
      </c>
      <c r="G443" s="59">
        <v>40</v>
      </c>
      <c r="H443" s="56">
        <f>60+100</f>
        <v>160</v>
      </c>
      <c r="I443" s="56">
        <f t="shared" si="70"/>
        <v>0</v>
      </c>
      <c r="J443" s="59">
        <v>100</v>
      </c>
      <c r="K443" s="59">
        <v>300</v>
      </c>
      <c r="L443" s="56">
        <f t="shared" si="64"/>
        <v>1150</v>
      </c>
      <c r="M443" s="66">
        <v>600</v>
      </c>
      <c r="N443" s="56">
        <f>100</f>
        <v>100</v>
      </c>
      <c r="O443" s="59">
        <v>240</v>
      </c>
      <c r="P443" s="59">
        <v>40</v>
      </c>
      <c r="Q443" s="59">
        <f t="shared" si="65"/>
        <v>315</v>
      </c>
      <c r="R443" s="59">
        <f t="shared" si="66"/>
        <v>100</v>
      </c>
      <c r="S443" s="56">
        <f t="shared" si="67"/>
        <v>695</v>
      </c>
      <c r="T443" s="56">
        <f>50</f>
        <v>50</v>
      </c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</row>
    <row r="444" spans="1:30" ht="15.75" x14ac:dyDescent="0.25">
      <c r="A444" s="14">
        <v>54819</v>
      </c>
      <c r="B444" s="68">
        <v>31</v>
      </c>
      <c r="C444" s="56">
        <f>122.58</f>
        <v>122.58</v>
      </c>
      <c r="D444" s="56">
        <f>297.941</f>
        <v>297.94099999999997</v>
      </c>
      <c r="E444" s="64">
        <f>89.177</f>
        <v>89.177000000000007</v>
      </c>
      <c r="F444" s="56">
        <f>240.302-40-60-100</f>
        <v>40.301999999999992</v>
      </c>
      <c r="G444" s="59">
        <v>40</v>
      </c>
      <c r="H444" s="56">
        <f>60+100</f>
        <v>160</v>
      </c>
      <c r="I444" s="56">
        <f t="shared" si="70"/>
        <v>0</v>
      </c>
      <c r="J444" s="59">
        <v>100</v>
      </c>
      <c r="K444" s="59">
        <v>300</v>
      </c>
      <c r="L444" s="56">
        <f t="shared" si="64"/>
        <v>1150</v>
      </c>
      <c r="M444" s="66">
        <v>600</v>
      </c>
      <c r="N444" s="56">
        <f>100</f>
        <v>100</v>
      </c>
      <c r="O444" s="59">
        <v>240</v>
      </c>
      <c r="P444" s="59">
        <v>40</v>
      </c>
      <c r="Q444" s="59">
        <f t="shared" si="65"/>
        <v>315</v>
      </c>
      <c r="R444" s="59">
        <f t="shared" si="66"/>
        <v>100</v>
      </c>
      <c r="S444" s="56">
        <f t="shared" si="67"/>
        <v>695</v>
      </c>
      <c r="T444" s="56">
        <f>50</f>
        <v>50</v>
      </c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</row>
    <row r="445" spans="1:30" ht="15.75" x14ac:dyDescent="0.25">
      <c r="A445" s="14">
        <v>54847</v>
      </c>
      <c r="B445" s="68">
        <v>28</v>
      </c>
      <c r="C445" s="56">
        <f>122.58</f>
        <v>122.58</v>
      </c>
      <c r="D445" s="56">
        <f>297.941</f>
        <v>297.94099999999997</v>
      </c>
      <c r="E445" s="64">
        <f>89.177</f>
        <v>89.177000000000007</v>
      </c>
      <c r="F445" s="56">
        <f>240.302-40-60-100</f>
        <v>40.301999999999992</v>
      </c>
      <c r="G445" s="59">
        <v>40</v>
      </c>
      <c r="H445" s="56">
        <f>60+100</f>
        <v>160</v>
      </c>
      <c r="I445" s="56">
        <f t="shared" si="70"/>
        <v>0</v>
      </c>
      <c r="J445" s="59">
        <v>100</v>
      </c>
      <c r="K445" s="59">
        <v>300</v>
      </c>
      <c r="L445" s="56">
        <f t="shared" si="64"/>
        <v>1150</v>
      </c>
      <c r="M445" s="66">
        <v>600</v>
      </c>
      <c r="N445" s="56">
        <f>100</f>
        <v>100</v>
      </c>
      <c r="O445" s="59">
        <v>240</v>
      </c>
      <c r="P445" s="59">
        <v>40</v>
      </c>
      <c r="Q445" s="59">
        <f t="shared" si="65"/>
        <v>315</v>
      </c>
      <c r="R445" s="59">
        <f t="shared" si="66"/>
        <v>100</v>
      </c>
      <c r="S445" s="56">
        <f t="shared" si="67"/>
        <v>695</v>
      </c>
      <c r="T445" s="56">
        <f>50</f>
        <v>50</v>
      </c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</row>
    <row r="446" spans="1:30" ht="15.75" x14ac:dyDescent="0.25">
      <c r="A446" s="14">
        <v>54878</v>
      </c>
      <c r="B446" s="68">
        <v>31</v>
      </c>
      <c r="C446" s="56">
        <f>122.58</f>
        <v>122.58</v>
      </c>
      <c r="D446" s="56">
        <f>297.941</f>
        <v>297.94099999999997</v>
      </c>
      <c r="E446" s="64">
        <f>89.177</f>
        <v>89.177000000000007</v>
      </c>
      <c r="F446" s="56">
        <f>240.302-40-60-100</f>
        <v>40.301999999999992</v>
      </c>
      <c r="G446" s="59">
        <v>40</v>
      </c>
      <c r="H446" s="56">
        <f>60+100</f>
        <v>160</v>
      </c>
      <c r="I446" s="56">
        <f t="shared" si="70"/>
        <v>0</v>
      </c>
      <c r="J446" s="59">
        <v>100</v>
      </c>
      <c r="K446" s="59">
        <v>300</v>
      </c>
      <c r="L446" s="56">
        <f t="shared" si="64"/>
        <v>1150</v>
      </c>
      <c r="M446" s="66">
        <v>600</v>
      </c>
      <c r="N446" s="56">
        <f>100</f>
        <v>100</v>
      </c>
      <c r="O446" s="59">
        <v>240</v>
      </c>
      <c r="P446" s="59">
        <v>40</v>
      </c>
      <c r="Q446" s="59">
        <f t="shared" si="65"/>
        <v>315</v>
      </c>
      <c r="R446" s="59">
        <f t="shared" si="66"/>
        <v>100</v>
      </c>
      <c r="S446" s="56">
        <f t="shared" si="67"/>
        <v>695</v>
      </c>
      <c r="T446" s="56">
        <f>50</f>
        <v>50</v>
      </c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</row>
    <row r="447" spans="1:30" ht="15.75" x14ac:dyDescent="0.25">
      <c r="A447" s="14">
        <v>54908</v>
      </c>
      <c r="B447" s="68">
        <v>30</v>
      </c>
      <c r="C447" s="56">
        <f>141.293</f>
        <v>141.29300000000001</v>
      </c>
      <c r="D447" s="56">
        <f>267.993</f>
        <v>267.99299999999999</v>
      </c>
      <c r="E447" s="64">
        <f>115.016</f>
        <v>115.01600000000001</v>
      </c>
      <c r="F447" s="56">
        <f>314.698-40-25-60-100</f>
        <v>89.697999999999979</v>
      </c>
      <c r="G447" s="59">
        <v>40</v>
      </c>
      <c r="H447" s="56">
        <f t="shared" ref="H447:H453" si="72">25+60+100</f>
        <v>185</v>
      </c>
      <c r="I447" s="56">
        <f t="shared" si="70"/>
        <v>0</v>
      </c>
      <c r="J447" s="59">
        <v>100</v>
      </c>
      <c r="K447" s="59">
        <v>300</v>
      </c>
      <c r="L447" s="56">
        <f t="shared" si="64"/>
        <v>1239</v>
      </c>
      <c r="M447" s="66">
        <v>600</v>
      </c>
      <c r="N447" s="56">
        <f>100</f>
        <v>100</v>
      </c>
      <c r="O447" s="59">
        <v>240</v>
      </c>
      <c r="P447" s="59">
        <v>160</v>
      </c>
      <c r="Q447" s="59">
        <f t="shared" si="65"/>
        <v>195</v>
      </c>
      <c r="R447" s="59">
        <f t="shared" si="66"/>
        <v>100</v>
      </c>
      <c r="S447" s="56">
        <f t="shared" si="67"/>
        <v>695</v>
      </c>
      <c r="T447" s="56">
        <f>50</f>
        <v>50</v>
      </c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</row>
    <row r="448" spans="1:30" ht="15.75" x14ac:dyDescent="0.25">
      <c r="A448" s="14">
        <v>54939</v>
      </c>
      <c r="B448" s="68">
        <v>31</v>
      </c>
      <c r="C448" s="56">
        <f>194.205</f>
        <v>194.20500000000001</v>
      </c>
      <c r="D448" s="56">
        <f>267.466</f>
        <v>267.46600000000001</v>
      </c>
      <c r="E448" s="64">
        <f>133.845</f>
        <v>133.845</v>
      </c>
      <c r="F448" s="56">
        <f>278.484-40-25-60-100</f>
        <v>53.48399999999998</v>
      </c>
      <c r="G448" s="59">
        <v>40</v>
      </c>
      <c r="H448" s="56">
        <f t="shared" si="72"/>
        <v>185</v>
      </c>
      <c r="I448" s="56">
        <f t="shared" si="70"/>
        <v>0</v>
      </c>
      <c r="J448" s="59">
        <v>100</v>
      </c>
      <c r="K448" s="59">
        <v>300</v>
      </c>
      <c r="L448" s="56">
        <f t="shared" si="64"/>
        <v>1274</v>
      </c>
      <c r="M448" s="66">
        <v>600</v>
      </c>
      <c r="N448" s="56">
        <f>75</f>
        <v>75</v>
      </c>
      <c r="O448" s="59">
        <v>240</v>
      </c>
      <c r="P448" s="59">
        <v>160</v>
      </c>
      <c r="Q448" s="59">
        <f t="shared" si="65"/>
        <v>195</v>
      </c>
      <c r="R448" s="59">
        <f t="shared" si="66"/>
        <v>100</v>
      </c>
      <c r="S448" s="56">
        <f t="shared" si="67"/>
        <v>695</v>
      </c>
      <c r="T448" s="56">
        <f>50</f>
        <v>50</v>
      </c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</row>
    <row r="449" spans="1:30" ht="15.75" x14ac:dyDescent="0.25">
      <c r="A449" s="14">
        <v>54969</v>
      </c>
      <c r="B449" s="68">
        <v>30</v>
      </c>
      <c r="C449" s="56">
        <f>194.205</f>
        <v>194.20500000000001</v>
      </c>
      <c r="D449" s="56">
        <f>267.466</f>
        <v>267.46600000000001</v>
      </c>
      <c r="E449" s="64">
        <f>133.845</f>
        <v>133.845</v>
      </c>
      <c r="F449" s="56">
        <f>278.484-40-25-60-100</f>
        <v>53.48399999999998</v>
      </c>
      <c r="G449" s="59">
        <v>40</v>
      </c>
      <c r="H449" s="56">
        <f t="shared" si="72"/>
        <v>185</v>
      </c>
      <c r="I449" s="56">
        <f t="shared" si="70"/>
        <v>0</v>
      </c>
      <c r="J449" s="59">
        <v>100</v>
      </c>
      <c r="K449" s="59">
        <v>300</v>
      </c>
      <c r="L449" s="56">
        <f t="shared" si="64"/>
        <v>1274</v>
      </c>
      <c r="M449" s="66">
        <v>600</v>
      </c>
      <c r="N449" s="56">
        <f>30</f>
        <v>30</v>
      </c>
      <c r="O449" s="59">
        <v>240</v>
      </c>
      <c r="P449" s="59">
        <v>160</v>
      </c>
      <c r="Q449" s="59">
        <f t="shared" si="65"/>
        <v>195</v>
      </c>
      <c r="R449" s="59">
        <f t="shared" si="66"/>
        <v>100</v>
      </c>
      <c r="S449" s="56">
        <f t="shared" si="67"/>
        <v>695</v>
      </c>
      <c r="T449" s="56">
        <f>50</f>
        <v>50</v>
      </c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</row>
    <row r="450" spans="1:30" ht="15.75" x14ac:dyDescent="0.25">
      <c r="A450" s="14">
        <v>55000</v>
      </c>
      <c r="B450" s="68">
        <v>31</v>
      </c>
      <c r="C450" s="56">
        <f>194.205</f>
        <v>194.20500000000001</v>
      </c>
      <c r="D450" s="56">
        <f>267.466</f>
        <v>267.46600000000001</v>
      </c>
      <c r="E450" s="64">
        <f>133.845</f>
        <v>133.845</v>
      </c>
      <c r="F450" s="56">
        <f>278.484-40-25-60-100</f>
        <v>53.48399999999998</v>
      </c>
      <c r="G450" s="59">
        <v>40</v>
      </c>
      <c r="H450" s="56">
        <f t="shared" si="72"/>
        <v>185</v>
      </c>
      <c r="I450" s="56">
        <f t="shared" si="70"/>
        <v>0</v>
      </c>
      <c r="J450" s="59">
        <v>100</v>
      </c>
      <c r="K450" s="59">
        <v>300</v>
      </c>
      <c r="L450" s="56">
        <f t="shared" si="64"/>
        <v>1274</v>
      </c>
      <c r="M450" s="66">
        <v>600</v>
      </c>
      <c r="N450" s="56">
        <f>30</f>
        <v>30</v>
      </c>
      <c r="O450" s="59">
        <v>240</v>
      </c>
      <c r="P450" s="59">
        <v>160</v>
      </c>
      <c r="Q450" s="59">
        <f t="shared" si="65"/>
        <v>195</v>
      </c>
      <c r="R450" s="59">
        <f t="shared" si="66"/>
        <v>100</v>
      </c>
      <c r="S450" s="56">
        <f t="shared" si="67"/>
        <v>695</v>
      </c>
      <c r="T450" s="56">
        <f>0</f>
        <v>0</v>
      </c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</row>
    <row r="451" spans="1:30" ht="15.75" x14ac:dyDescent="0.25">
      <c r="A451" s="14">
        <v>55031</v>
      </c>
      <c r="B451" s="68">
        <v>31</v>
      </c>
      <c r="C451" s="56">
        <f>194.205</f>
        <v>194.20500000000001</v>
      </c>
      <c r="D451" s="56">
        <f>267.466</f>
        <v>267.46600000000001</v>
      </c>
      <c r="E451" s="64">
        <f>133.845</f>
        <v>133.845</v>
      </c>
      <c r="F451" s="56">
        <f>278.484-40-25-60-100</f>
        <v>53.48399999999998</v>
      </c>
      <c r="G451" s="59">
        <v>40</v>
      </c>
      <c r="H451" s="56">
        <f t="shared" si="72"/>
        <v>185</v>
      </c>
      <c r="I451" s="56">
        <f t="shared" si="70"/>
        <v>0</v>
      </c>
      <c r="J451" s="59">
        <v>100</v>
      </c>
      <c r="K451" s="59">
        <v>300</v>
      </c>
      <c r="L451" s="56">
        <f t="shared" si="64"/>
        <v>1274</v>
      </c>
      <c r="M451" s="66">
        <v>600</v>
      </c>
      <c r="N451" s="56">
        <f>30</f>
        <v>30</v>
      </c>
      <c r="O451" s="59">
        <v>240</v>
      </c>
      <c r="P451" s="59">
        <v>160</v>
      </c>
      <c r="Q451" s="59">
        <f t="shared" si="65"/>
        <v>195</v>
      </c>
      <c r="R451" s="59">
        <f t="shared" si="66"/>
        <v>100</v>
      </c>
      <c r="S451" s="56">
        <f t="shared" si="67"/>
        <v>695</v>
      </c>
      <c r="T451" s="56">
        <f>0</f>
        <v>0</v>
      </c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</row>
    <row r="452" spans="1:30" ht="15.75" x14ac:dyDescent="0.25">
      <c r="A452" s="14">
        <v>55061</v>
      </c>
      <c r="B452" s="68">
        <v>30</v>
      </c>
      <c r="C452" s="56">
        <f>194.205</f>
        <v>194.20500000000001</v>
      </c>
      <c r="D452" s="56">
        <f>267.466</f>
        <v>267.46600000000001</v>
      </c>
      <c r="E452" s="64">
        <f>133.845</f>
        <v>133.845</v>
      </c>
      <c r="F452" s="56">
        <f>278.484-40-25-60-100</f>
        <v>53.48399999999998</v>
      </c>
      <c r="G452" s="59">
        <v>40</v>
      </c>
      <c r="H452" s="56">
        <f t="shared" si="72"/>
        <v>185</v>
      </c>
      <c r="I452" s="56">
        <f t="shared" si="70"/>
        <v>0</v>
      </c>
      <c r="J452" s="59">
        <v>100</v>
      </c>
      <c r="K452" s="59">
        <v>300</v>
      </c>
      <c r="L452" s="56">
        <f t="shared" si="64"/>
        <v>1274</v>
      </c>
      <c r="M452" s="66">
        <v>600</v>
      </c>
      <c r="N452" s="56">
        <f>30</f>
        <v>30</v>
      </c>
      <c r="O452" s="59">
        <v>240</v>
      </c>
      <c r="P452" s="59">
        <v>160</v>
      </c>
      <c r="Q452" s="59">
        <f t="shared" si="65"/>
        <v>195</v>
      </c>
      <c r="R452" s="59">
        <f t="shared" si="66"/>
        <v>100</v>
      </c>
      <c r="S452" s="56">
        <f t="shared" si="67"/>
        <v>695</v>
      </c>
      <c r="T452" s="56">
        <f>0</f>
        <v>0</v>
      </c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</row>
    <row r="453" spans="1:30" ht="15.75" x14ac:dyDescent="0.25">
      <c r="A453" s="14">
        <v>55092</v>
      </c>
      <c r="B453" s="68">
        <v>31</v>
      </c>
      <c r="C453" s="56">
        <f>131.881</f>
        <v>131.881</v>
      </c>
      <c r="D453" s="56">
        <f>277.167</f>
        <v>277.16699999999997</v>
      </c>
      <c r="E453" s="64">
        <f>79.08</f>
        <v>79.08</v>
      </c>
      <c r="F453" s="56">
        <f>350.872-40-25-60-100</f>
        <v>125.87200000000001</v>
      </c>
      <c r="G453" s="59">
        <v>40</v>
      </c>
      <c r="H453" s="56">
        <f t="shared" si="72"/>
        <v>185</v>
      </c>
      <c r="I453" s="56">
        <f t="shared" si="70"/>
        <v>0</v>
      </c>
      <c r="J453" s="59">
        <v>100</v>
      </c>
      <c r="K453" s="59">
        <v>300</v>
      </c>
      <c r="L453" s="56">
        <f t="shared" si="64"/>
        <v>1239</v>
      </c>
      <c r="M453" s="66">
        <v>600</v>
      </c>
      <c r="N453" s="56">
        <f>75</f>
        <v>75</v>
      </c>
      <c r="O453" s="59">
        <v>240</v>
      </c>
      <c r="P453" s="59">
        <v>160</v>
      </c>
      <c r="Q453" s="59">
        <f t="shared" si="65"/>
        <v>195</v>
      </c>
      <c r="R453" s="59">
        <f t="shared" si="66"/>
        <v>100</v>
      </c>
      <c r="S453" s="56">
        <f t="shared" si="67"/>
        <v>695</v>
      </c>
      <c r="T453" s="56">
        <f>0</f>
        <v>0</v>
      </c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</row>
    <row r="454" spans="1:30" ht="15.75" x14ac:dyDescent="0.25">
      <c r="A454" s="14">
        <v>55122</v>
      </c>
      <c r="B454" s="68">
        <v>30</v>
      </c>
      <c r="C454" s="56">
        <f>122.58</f>
        <v>122.58</v>
      </c>
      <c r="D454" s="56">
        <f>297.941</f>
        <v>297.94099999999997</v>
      </c>
      <c r="E454" s="64">
        <f>89.177</f>
        <v>89.177000000000007</v>
      </c>
      <c r="F454" s="56">
        <f>240.302-40-60-100</f>
        <v>40.301999999999992</v>
      </c>
      <c r="G454" s="59">
        <v>40</v>
      </c>
      <c r="H454" s="56">
        <f>60+100</f>
        <v>160</v>
      </c>
      <c r="I454" s="56">
        <f t="shared" si="70"/>
        <v>0</v>
      </c>
      <c r="J454" s="59">
        <v>100</v>
      </c>
      <c r="K454" s="59">
        <v>300</v>
      </c>
      <c r="L454" s="56">
        <f t="shared" si="64"/>
        <v>1150</v>
      </c>
      <c r="M454" s="66">
        <v>600</v>
      </c>
      <c r="N454" s="56">
        <f>100</f>
        <v>100</v>
      </c>
      <c r="O454" s="59">
        <v>240</v>
      </c>
      <c r="P454" s="59">
        <v>40</v>
      </c>
      <c r="Q454" s="59">
        <f t="shared" si="65"/>
        <v>315</v>
      </c>
      <c r="R454" s="59">
        <f t="shared" si="66"/>
        <v>100</v>
      </c>
      <c r="S454" s="56">
        <f t="shared" si="67"/>
        <v>695</v>
      </c>
      <c r="T454" s="56">
        <f>50</f>
        <v>50</v>
      </c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</row>
    <row r="455" spans="1:30" ht="15.75" x14ac:dyDescent="0.25">
      <c r="A455" s="14">
        <v>55153</v>
      </c>
      <c r="B455" s="68">
        <v>31</v>
      </c>
      <c r="C455" s="56">
        <f>122.58</f>
        <v>122.58</v>
      </c>
      <c r="D455" s="56">
        <f>297.941</f>
        <v>297.94099999999997</v>
      </c>
      <c r="E455" s="64">
        <f>89.177</f>
        <v>89.177000000000007</v>
      </c>
      <c r="F455" s="56">
        <f>240.302-40-60-100</f>
        <v>40.301999999999992</v>
      </c>
      <c r="G455" s="59">
        <v>40</v>
      </c>
      <c r="H455" s="56">
        <f>60+100</f>
        <v>160</v>
      </c>
      <c r="I455" s="56">
        <f t="shared" si="70"/>
        <v>0</v>
      </c>
      <c r="J455" s="59">
        <v>100</v>
      </c>
      <c r="K455" s="59">
        <v>300</v>
      </c>
      <c r="L455" s="56">
        <f t="shared" si="64"/>
        <v>1150</v>
      </c>
      <c r="M455" s="66">
        <v>600</v>
      </c>
      <c r="N455" s="56">
        <f>100</f>
        <v>100</v>
      </c>
      <c r="O455" s="59">
        <v>240</v>
      </c>
      <c r="P455" s="59">
        <v>40</v>
      </c>
      <c r="Q455" s="59">
        <f t="shared" si="65"/>
        <v>315</v>
      </c>
      <c r="R455" s="59">
        <f t="shared" si="66"/>
        <v>100</v>
      </c>
      <c r="S455" s="56">
        <f t="shared" si="67"/>
        <v>695</v>
      </c>
      <c r="T455" s="56">
        <f>50</f>
        <v>50</v>
      </c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</row>
    <row r="456" spans="1:30" ht="15.75" x14ac:dyDescent="0.25">
      <c r="A456" s="14">
        <v>55184</v>
      </c>
      <c r="B456" s="68">
        <v>31</v>
      </c>
      <c r="C456" s="56">
        <f>122.58</f>
        <v>122.58</v>
      </c>
      <c r="D456" s="56">
        <f>297.941</f>
        <v>297.94099999999997</v>
      </c>
      <c r="E456" s="64">
        <f>89.177</f>
        <v>89.177000000000007</v>
      </c>
      <c r="F456" s="56">
        <f>240.302-40-60-100</f>
        <v>40.301999999999992</v>
      </c>
      <c r="G456" s="59">
        <v>40</v>
      </c>
      <c r="H456" s="56">
        <f>60+100</f>
        <v>160</v>
      </c>
      <c r="I456" s="56">
        <f t="shared" si="70"/>
        <v>0</v>
      </c>
      <c r="J456" s="59">
        <v>100</v>
      </c>
      <c r="K456" s="59">
        <v>300</v>
      </c>
      <c r="L456" s="56">
        <f t="shared" si="64"/>
        <v>1150</v>
      </c>
      <c r="M456" s="66">
        <v>600</v>
      </c>
      <c r="N456" s="56">
        <f>100</f>
        <v>100</v>
      </c>
      <c r="O456" s="59">
        <v>240</v>
      </c>
      <c r="P456" s="59">
        <v>40</v>
      </c>
      <c r="Q456" s="59">
        <f t="shared" si="65"/>
        <v>315</v>
      </c>
      <c r="R456" s="59">
        <f t="shared" si="66"/>
        <v>100</v>
      </c>
      <c r="S456" s="56">
        <f t="shared" si="67"/>
        <v>695</v>
      </c>
      <c r="T456" s="56">
        <f>50</f>
        <v>50</v>
      </c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</row>
    <row r="457" spans="1:30" ht="15.75" x14ac:dyDescent="0.25">
      <c r="A457" s="14">
        <v>55212</v>
      </c>
      <c r="B457" s="68">
        <v>28</v>
      </c>
      <c r="C457" s="56">
        <f>122.58</f>
        <v>122.58</v>
      </c>
      <c r="D457" s="56">
        <f>297.941</f>
        <v>297.94099999999997</v>
      </c>
      <c r="E457" s="64">
        <f>89.177</f>
        <v>89.177000000000007</v>
      </c>
      <c r="F457" s="56">
        <f>240.302-40-60-100</f>
        <v>40.301999999999992</v>
      </c>
      <c r="G457" s="59">
        <v>40</v>
      </c>
      <c r="H457" s="56">
        <f>60+100</f>
        <v>160</v>
      </c>
      <c r="I457" s="56">
        <f t="shared" si="70"/>
        <v>0</v>
      </c>
      <c r="J457" s="59">
        <v>100</v>
      </c>
      <c r="K457" s="59">
        <v>300</v>
      </c>
      <c r="L457" s="56">
        <f t="shared" si="64"/>
        <v>1150</v>
      </c>
      <c r="M457" s="66">
        <v>600</v>
      </c>
      <c r="N457" s="56">
        <f>100</f>
        <v>100</v>
      </c>
      <c r="O457" s="59">
        <v>240</v>
      </c>
      <c r="P457" s="59">
        <v>40</v>
      </c>
      <c r="Q457" s="59">
        <f t="shared" si="65"/>
        <v>315</v>
      </c>
      <c r="R457" s="59">
        <f t="shared" si="66"/>
        <v>100</v>
      </c>
      <c r="S457" s="56">
        <f t="shared" si="67"/>
        <v>695</v>
      </c>
      <c r="T457" s="56">
        <f>50</f>
        <v>50</v>
      </c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</row>
    <row r="458" spans="1:30" ht="15.75" x14ac:dyDescent="0.25">
      <c r="A458" s="14">
        <v>55243</v>
      </c>
      <c r="B458" s="68">
        <v>31</v>
      </c>
      <c r="C458" s="56">
        <f>122.58</f>
        <v>122.58</v>
      </c>
      <c r="D458" s="56">
        <f>297.941</f>
        <v>297.94099999999997</v>
      </c>
      <c r="E458" s="64">
        <f>89.177</f>
        <v>89.177000000000007</v>
      </c>
      <c r="F458" s="56">
        <f>240.302-40-60-100</f>
        <v>40.301999999999992</v>
      </c>
      <c r="G458" s="59">
        <v>40</v>
      </c>
      <c r="H458" s="56">
        <f>60+100</f>
        <v>160</v>
      </c>
      <c r="I458" s="56">
        <f t="shared" si="70"/>
        <v>0</v>
      </c>
      <c r="J458" s="59">
        <v>100</v>
      </c>
      <c r="K458" s="59">
        <v>300</v>
      </c>
      <c r="L458" s="56">
        <f t="shared" si="64"/>
        <v>1150</v>
      </c>
      <c r="M458" s="66">
        <v>600</v>
      </c>
      <c r="N458" s="56">
        <f>100</f>
        <v>100</v>
      </c>
      <c r="O458" s="59">
        <v>240</v>
      </c>
      <c r="P458" s="59">
        <v>40</v>
      </c>
      <c r="Q458" s="59">
        <f t="shared" si="65"/>
        <v>315</v>
      </c>
      <c r="R458" s="59">
        <f t="shared" si="66"/>
        <v>100</v>
      </c>
      <c r="S458" s="56">
        <f t="shared" si="67"/>
        <v>695</v>
      </c>
      <c r="T458" s="56">
        <f>50</f>
        <v>50</v>
      </c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</row>
    <row r="459" spans="1:30" ht="15.75" x14ac:dyDescent="0.25">
      <c r="A459" s="14">
        <v>55273</v>
      </c>
      <c r="B459" s="68">
        <v>30</v>
      </c>
      <c r="C459" s="56">
        <f>141.293</f>
        <v>141.29300000000001</v>
      </c>
      <c r="D459" s="56">
        <f>267.993</f>
        <v>267.99299999999999</v>
      </c>
      <c r="E459" s="64">
        <f>115.016</f>
        <v>115.01600000000001</v>
      </c>
      <c r="F459" s="56">
        <f>314.698-40-25-60-100</f>
        <v>89.697999999999979</v>
      </c>
      <c r="G459" s="59">
        <v>40</v>
      </c>
      <c r="H459" s="56">
        <f t="shared" ref="H459:H465" si="73">25+60+100</f>
        <v>185</v>
      </c>
      <c r="I459" s="56">
        <f t="shared" si="70"/>
        <v>0</v>
      </c>
      <c r="J459" s="59">
        <v>100</v>
      </c>
      <c r="K459" s="59">
        <v>300</v>
      </c>
      <c r="L459" s="56">
        <f t="shared" si="64"/>
        <v>1239</v>
      </c>
      <c r="M459" s="66">
        <v>600</v>
      </c>
      <c r="N459" s="56">
        <f>100</f>
        <v>100</v>
      </c>
      <c r="O459" s="59">
        <v>240</v>
      </c>
      <c r="P459" s="59">
        <v>160</v>
      </c>
      <c r="Q459" s="59">
        <f t="shared" si="65"/>
        <v>195</v>
      </c>
      <c r="R459" s="59">
        <f t="shared" si="66"/>
        <v>100</v>
      </c>
      <c r="S459" s="56">
        <f t="shared" si="67"/>
        <v>695</v>
      </c>
      <c r="T459" s="56">
        <f>50</f>
        <v>50</v>
      </c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</row>
    <row r="460" spans="1:30" ht="15.75" x14ac:dyDescent="0.25">
      <c r="A460" s="14">
        <v>55304</v>
      </c>
      <c r="B460" s="68">
        <v>31</v>
      </c>
      <c r="C460" s="56">
        <f>194.205</f>
        <v>194.20500000000001</v>
      </c>
      <c r="D460" s="56">
        <f>267.466</f>
        <v>267.46600000000001</v>
      </c>
      <c r="E460" s="64">
        <f>133.845</f>
        <v>133.845</v>
      </c>
      <c r="F460" s="56">
        <f>278.484-40-25-60-100</f>
        <v>53.48399999999998</v>
      </c>
      <c r="G460" s="59">
        <v>40</v>
      </c>
      <c r="H460" s="56">
        <f t="shared" si="73"/>
        <v>185</v>
      </c>
      <c r="I460" s="56">
        <f t="shared" si="70"/>
        <v>0</v>
      </c>
      <c r="J460" s="59">
        <v>100</v>
      </c>
      <c r="K460" s="59">
        <v>300</v>
      </c>
      <c r="L460" s="56">
        <f t="shared" si="64"/>
        <v>1274</v>
      </c>
      <c r="M460" s="66">
        <v>600</v>
      </c>
      <c r="N460" s="56">
        <f>75</f>
        <v>75</v>
      </c>
      <c r="O460" s="59">
        <v>240</v>
      </c>
      <c r="P460" s="59">
        <v>160</v>
      </c>
      <c r="Q460" s="59">
        <f t="shared" si="65"/>
        <v>195</v>
      </c>
      <c r="R460" s="59">
        <f t="shared" si="66"/>
        <v>100</v>
      </c>
      <c r="S460" s="56">
        <f t="shared" si="67"/>
        <v>695</v>
      </c>
      <c r="T460" s="56">
        <f>50</f>
        <v>50</v>
      </c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</row>
    <row r="461" spans="1:30" ht="15.75" x14ac:dyDescent="0.25">
      <c r="A461" s="14">
        <v>55334</v>
      </c>
      <c r="B461" s="68">
        <v>30</v>
      </c>
      <c r="C461" s="56">
        <f>194.205</f>
        <v>194.20500000000001</v>
      </c>
      <c r="D461" s="56">
        <f>267.466</f>
        <v>267.46600000000001</v>
      </c>
      <c r="E461" s="64">
        <f>133.845</f>
        <v>133.845</v>
      </c>
      <c r="F461" s="56">
        <f>278.484-40-25-60-100</f>
        <v>53.48399999999998</v>
      </c>
      <c r="G461" s="59">
        <v>40</v>
      </c>
      <c r="H461" s="56">
        <f t="shared" si="73"/>
        <v>185</v>
      </c>
      <c r="I461" s="56">
        <f t="shared" si="70"/>
        <v>0</v>
      </c>
      <c r="J461" s="59">
        <v>100</v>
      </c>
      <c r="K461" s="59">
        <v>300</v>
      </c>
      <c r="L461" s="56">
        <f t="shared" si="64"/>
        <v>1274</v>
      </c>
      <c r="M461" s="66">
        <v>600</v>
      </c>
      <c r="N461" s="56">
        <f>30</f>
        <v>30</v>
      </c>
      <c r="O461" s="59">
        <v>240</v>
      </c>
      <c r="P461" s="59">
        <v>160</v>
      </c>
      <c r="Q461" s="59">
        <f t="shared" si="65"/>
        <v>195</v>
      </c>
      <c r="R461" s="59">
        <f t="shared" si="66"/>
        <v>100</v>
      </c>
      <c r="S461" s="56">
        <f t="shared" si="67"/>
        <v>695</v>
      </c>
      <c r="T461" s="56">
        <f>50</f>
        <v>50</v>
      </c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</row>
    <row r="462" spans="1:30" ht="15.75" x14ac:dyDescent="0.25">
      <c r="A462" s="14">
        <v>55365</v>
      </c>
      <c r="B462" s="68">
        <v>31</v>
      </c>
      <c r="C462" s="56">
        <f>194.205</f>
        <v>194.20500000000001</v>
      </c>
      <c r="D462" s="56">
        <f>267.466</f>
        <v>267.46600000000001</v>
      </c>
      <c r="E462" s="64">
        <f>133.845</f>
        <v>133.845</v>
      </c>
      <c r="F462" s="56">
        <f>278.484-40-25-60-100</f>
        <v>53.48399999999998</v>
      </c>
      <c r="G462" s="59">
        <v>40</v>
      </c>
      <c r="H462" s="56">
        <f t="shared" si="73"/>
        <v>185</v>
      </c>
      <c r="I462" s="56">
        <f t="shared" si="70"/>
        <v>0</v>
      </c>
      <c r="J462" s="59">
        <v>100</v>
      </c>
      <c r="K462" s="59">
        <v>300</v>
      </c>
      <c r="L462" s="56">
        <f t="shared" si="64"/>
        <v>1274</v>
      </c>
      <c r="M462" s="66">
        <v>600</v>
      </c>
      <c r="N462" s="56">
        <f>30</f>
        <v>30</v>
      </c>
      <c r="O462" s="59">
        <v>240</v>
      </c>
      <c r="P462" s="59">
        <v>160</v>
      </c>
      <c r="Q462" s="59">
        <f t="shared" si="65"/>
        <v>195</v>
      </c>
      <c r="R462" s="59">
        <f t="shared" si="66"/>
        <v>100</v>
      </c>
      <c r="S462" s="56">
        <f t="shared" si="67"/>
        <v>695</v>
      </c>
      <c r="T462" s="56">
        <f>0</f>
        <v>0</v>
      </c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</row>
    <row r="463" spans="1:30" ht="15.75" x14ac:dyDescent="0.25">
      <c r="A463" s="14">
        <v>55396</v>
      </c>
      <c r="B463" s="68">
        <v>31</v>
      </c>
      <c r="C463" s="56">
        <f>194.205</f>
        <v>194.20500000000001</v>
      </c>
      <c r="D463" s="56">
        <f>267.466</f>
        <v>267.46600000000001</v>
      </c>
      <c r="E463" s="64">
        <f>133.845</f>
        <v>133.845</v>
      </c>
      <c r="F463" s="56">
        <f>278.484-40-25-60-100</f>
        <v>53.48399999999998</v>
      </c>
      <c r="G463" s="59">
        <v>40</v>
      </c>
      <c r="H463" s="56">
        <f t="shared" si="73"/>
        <v>185</v>
      </c>
      <c r="I463" s="56">
        <f t="shared" si="70"/>
        <v>0</v>
      </c>
      <c r="J463" s="59">
        <v>100</v>
      </c>
      <c r="K463" s="59">
        <v>300</v>
      </c>
      <c r="L463" s="56">
        <f t="shared" ref="L463:L526" si="74">SUM(C463:K463)</f>
        <v>1274</v>
      </c>
      <c r="M463" s="66">
        <v>600</v>
      </c>
      <c r="N463" s="56">
        <f>30</f>
        <v>30</v>
      </c>
      <c r="O463" s="59">
        <v>240</v>
      </c>
      <c r="P463" s="59">
        <v>160</v>
      </c>
      <c r="Q463" s="59">
        <f t="shared" ref="Q463:Q526" si="75">695-R463-O463-P463</f>
        <v>195</v>
      </c>
      <c r="R463" s="59">
        <f t="shared" ref="R463:R526" si="76">200-J463</f>
        <v>100</v>
      </c>
      <c r="S463" s="56">
        <f t="shared" ref="S463:S526" si="77">SUM(O463:R463)</f>
        <v>695</v>
      </c>
      <c r="T463" s="56">
        <f>0</f>
        <v>0</v>
      </c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</row>
    <row r="464" spans="1:30" ht="15.75" x14ac:dyDescent="0.25">
      <c r="A464" s="14">
        <v>55426</v>
      </c>
      <c r="B464" s="68">
        <v>30</v>
      </c>
      <c r="C464" s="56">
        <f>194.205</f>
        <v>194.20500000000001</v>
      </c>
      <c r="D464" s="56">
        <f>267.466</f>
        <v>267.46600000000001</v>
      </c>
      <c r="E464" s="64">
        <f>133.845</f>
        <v>133.845</v>
      </c>
      <c r="F464" s="56">
        <f>278.484-40-25-60-100</f>
        <v>53.48399999999998</v>
      </c>
      <c r="G464" s="59">
        <v>40</v>
      </c>
      <c r="H464" s="56">
        <f t="shared" si="73"/>
        <v>185</v>
      </c>
      <c r="I464" s="56">
        <f t="shared" si="70"/>
        <v>0</v>
      </c>
      <c r="J464" s="59">
        <v>100</v>
      </c>
      <c r="K464" s="59">
        <v>300</v>
      </c>
      <c r="L464" s="56">
        <f t="shared" si="74"/>
        <v>1274</v>
      </c>
      <c r="M464" s="66">
        <v>600</v>
      </c>
      <c r="N464" s="56">
        <f>30</f>
        <v>30</v>
      </c>
      <c r="O464" s="59">
        <v>240</v>
      </c>
      <c r="P464" s="59">
        <v>160</v>
      </c>
      <c r="Q464" s="59">
        <f t="shared" si="75"/>
        <v>195</v>
      </c>
      <c r="R464" s="59">
        <f t="shared" si="76"/>
        <v>100</v>
      </c>
      <c r="S464" s="56">
        <f t="shared" si="77"/>
        <v>695</v>
      </c>
      <c r="T464" s="56">
        <f>0</f>
        <v>0</v>
      </c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</row>
    <row r="465" spans="1:30" ht="15.75" x14ac:dyDescent="0.25">
      <c r="A465" s="14">
        <v>55457</v>
      </c>
      <c r="B465" s="68">
        <v>31</v>
      </c>
      <c r="C465" s="56">
        <f>131.881</f>
        <v>131.881</v>
      </c>
      <c r="D465" s="56">
        <f>277.167</f>
        <v>277.16699999999997</v>
      </c>
      <c r="E465" s="64">
        <f>79.08</f>
        <v>79.08</v>
      </c>
      <c r="F465" s="56">
        <f>350.872-40-25-60-100</f>
        <v>125.87200000000001</v>
      </c>
      <c r="G465" s="59">
        <v>40</v>
      </c>
      <c r="H465" s="56">
        <f t="shared" si="73"/>
        <v>185</v>
      </c>
      <c r="I465" s="56">
        <f t="shared" si="70"/>
        <v>0</v>
      </c>
      <c r="J465" s="59">
        <v>100</v>
      </c>
      <c r="K465" s="59">
        <v>300</v>
      </c>
      <c r="L465" s="56">
        <f t="shared" si="74"/>
        <v>1239</v>
      </c>
      <c r="M465" s="66">
        <v>600</v>
      </c>
      <c r="N465" s="56">
        <f>75</f>
        <v>75</v>
      </c>
      <c r="O465" s="59">
        <v>240</v>
      </c>
      <c r="P465" s="59">
        <v>160</v>
      </c>
      <c r="Q465" s="59">
        <f t="shared" si="75"/>
        <v>195</v>
      </c>
      <c r="R465" s="59">
        <f t="shared" si="76"/>
        <v>100</v>
      </c>
      <c r="S465" s="56">
        <f t="shared" si="77"/>
        <v>695</v>
      </c>
      <c r="T465" s="56">
        <f>0</f>
        <v>0</v>
      </c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</row>
    <row r="466" spans="1:30" ht="15.75" x14ac:dyDescent="0.25">
      <c r="A466" s="14">
        <v>55487</v>
      </c>
      <c r="B466" s="68">
        <v>30</v>
      </c>
      <c r="C466" s="56">
        <f>122.58</f>
        <v>122.58</v>
      </c>
      <c r="D466" s="56">
        <f>297.941</f>
        <v>297.94099999999997</v>
      </c>
      <c r="E466" s="64">
        <f>89.177</f>
        <v>89.177000000000007</v>
      </c>
      <c r="F466" s="56">
        <f>240.302-40-60-100</f>
        <v>40.301999999999992</v>
      </c>
      <c r="G466" s="59">
        <v>40</v>
      </c>
      <c r="H466" s="56">
        <f>60+100</f>
        <v>160</v>
      </c>
      <c r="I466" s="56">
        <f t="shared" si="70"/>
        <v>0</v>
      </c>
      <c r="J466" s="59">
        <v>100</v>
      </c>
      <c r="K466" s="59">
        <v>300</v>
      </c>
      <c r="L466" s="56">
        <f t="shared" si="74"/>
        <v>1150</v>
      </c>
      <c r="M466" s="66">
        <v>600</v>
      </c>
      <c r="N466" s="56">
        <f>100</f>
        <v>100</v>
      </c>
      <c r="O466" s="59">
        <v>240</v>
      </c>
      <c r="P466" s="59">
        <v>40</v>
      </c>
      <c r="Q466" s="59">
        <f t="shared" si="75"/>
        <v>315</v>
      </c>
      <c r="R466" s="59">
        <f t="shared" si="76"/>
        <v>100</v>
      </c>
      <c r="S466" s="56">
        <f t="shared" si="77"/>
        <v>695</v>
      </c>
      <c r="T466" s="56">
        <f>50</f>
        <v>50</v>
      </c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</row>
    <row r="467" spans="1:30" ht="15.75" x14ac:dyDescent="0.25">
      <c r="A467" s="14">
        <v>55518</v>
      </c>
      <c r="B467" s="68">
        <v>31</v>
      </c>
      <c r="C467" s="56">
        <f>122.58</f>
        <v>122.58</v>
      </c>
      <c r="D467" s="56">
        <f>297.941</f>
        <v>297.94099999999997</v>
      </c>
      <c r="E467" s="64">
        <f>89.177</f>
        <v>89.177000000000007</v>
      </c>
      <c r="F467" s="56">
        <f>240.302-40-60-100</f>
        <v>40.301999999999992</v>
      </c>
      <c r="G467" s="59">
        <v>40</v>
      </c>
      <c r="H467" s="56">
        <f>60+100</f>
        <v>160</v>
      </c>
      <c r="I467" s="56">
        <f t="shared" si="70"/>
        <v>0</v>
      </c>
      <c r="J467" s="59">
        <v>100</v>
      </c>
      <c r="K467" s="59">
        <v>300</v>
      </c>
      <c r="L467" s="56">
        <f t="shared" si="74"/>
        <v>1150</v>
      </c>
      <c r="M467" s="66">
        <v>600</v>
      </c>
      <c r="N467" s="56">
        <f>100</f>
        <v>100</v>
      </c>
      <c r="O467" s="59">
        <v>240</v>
      </c>
      <c r="P467" s="59">
        <v>40</v>
      </c>
      <c r="Q467" s="59">
        <f t="shared" si="75"/>
        <v>315</v>
      </c>
      <c r="R467" s="59">
        <f t="shared" si="76"/>
        <v>100</v>
      </c>
      <c r="S467" s="56">
        <f t="shared" si="77"/>
        <v>695</v>
      </c>
      <c r="T467" s="56">
        <f>50</f>
        <v>50</v>
      </c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</row>
    <row r="468" spans="1:30" ht="15.75" x14ac:dyDescent="0.25">
      <c r="A468" s="14">
        <v>55549</v>
      </c>
      <c r="B468" s="68">
        <v>31</v>
      </c>
      <c r="C468" s="56">
        <f>122.58</f>
        <v>122.58</v>
      </c>
      <c r="D468" s="56">
        <f>297.941</f>
        <v>297.94099999999997</v>
      </c>
      <c r="E468" s="64">
        <f>89.177</f>
        <v>89.177000000000007</v>
      </c>
      <c r="F468" s="56">
        <f>240.302-40-60-100</f>
        <v>40.301999999999992</v>
      </c>
      <c r="G468" s="59">
        <v>40</v>
      </c>
      <c r="H468" s="56">
        <f>60+100</f>
        <v>160</v>
      </c>
      <c r="I468" s="56">
        <f t="shared" si="70"/>
        <v>0</v>
      </c>
      <c r="J468" s="59">
        <v>100</v>
      </c>
      <c r="K468" s="59">
        <v>300</v>
      </c>
      <c r="L468" s="56">
        <f t="shared" si="74"/>
        <v>1150</v>
      </c>
      <c r="M468" s="66">
        <v>600</v>
      </c>
      <c r="N468" s="56">
        <f>100</f>
        <v>100</v>
      </c>
      <c r="O468" s="59">
        <v>240</v>
      </c>
      <c r="P468" s="59">
        <v>40</v>
      </c>
      <c r="Q468" s="59">
        <f t="shared" si="75"/>
        <v>315</v>
      </c>
      <c r="R468" s="59">
        <f t="shared" si="76"/>
        <v>100</v>
      </c>
      <c r="S468" s="56">
        <f t="shared" si="77"/>
        <v>695</v>
      </c>
      <c r="T468" s="56">
        <f>50</f>
        <v>50</v>
      </c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</row>
    <row r="469" spans="1:30" ht="15.75" x14ac:dyDescent="0.25">
      <c r="A469" s="14">
        <v>55577</v>
      </c>
      <c r="B469" s="68">
        <v>29</v>
      </c>
      <c r="C469" s="56">
        <f>122.58</f>
        <v>122.58</v>
      </c>
      <c r="D469" s="56">
        <f>297.941</f>
        <v>297.94099999999997</v>
      </c>
      <c r="E469" s="64">
        <f>89.177</f>
        <v>89.177000000000007</v>
      </c>
      <c r="F469" s="56">
        <f>240.302-40-60-100</f>
        <v>40.301999999999992</v>
      </c>
      <c r="G469" s="59">
        <v>40</v>
      </c>
      <c r="H469" s="56">
        <f>60+100</f>
        <v>160</v>
      </c>
      <c r="I469" s="56">
        <f t="shared" si="70"/>
        <v>0</v>
      </c>
      <c r="J469" s="59">
        <v>100</v>
      </c>
      <c r="K469" s="59">
        <v>300</v>
      </c>
      <c r="L469" s="56">
        <f t="shared" si="74"/>
        <v>1150</v>
      </c>
      <c r="M469" s="66">
        <v>600</v>
      </c>
      <c r="N469" s="56">
        <f>100</f>
        <v>100</v>
      </c>
      <c r="O469" s="59">
        <v>240</v>
      </c>
      <c r="P469" s="59">
        <v>40</v>
      </c>
      <c r="Q469" s="59">
        <f t="shared" si="75"/>
        <v>315</v>
      </c>
      <c r="R469" s="59">
        <f t="shared" si="76"/>
        <v>100</v>
      </c>
      <c r="S469" s="56">
        <f t="shared" si="77"/>
        <v>695</v>
      </c>
      <c r="T469" s="56">
        <f>50</f>
        <v>50</v>
      </c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</row>
    <row r="470" spans="1:30" ht="15.75" x14ac:dyDescent="0.25">
      <c r="A470" s="14">
        <v>55609</v>
      </c>
      <c r="B470" s="68">
        <v>31</v>
      </c>
      <c r="C470" s="56">
        <f>122.58</f>
        <v>122.58</v>
      </c>
      <c r="D470" s="56">
        <f>297.941</f>
        <v>297.94099999999997</v>
      </c>
      <c r="E470" s="64">
        <f>89.177</f>
        <v>89.177000000000007</v>
      </c>
      <c r="F470" s="56">
        <f>240.302-40-60-100</f>
        <v>40.301999999999992</v>
      </c>
      <c r="G470" s="59">
        <v>40</v>
      </c>
      <c r="H470" s="56">
        <f>60+100</f>
        <v>160</v>
      </c>
      <c r="I470" s="56">
        <f t="shared" si="70"/>
        <v>0</v>
      </c>
      <c r="J470" s="59">
        <v>100</v>
      </c>
      <c r="K470" s="59">
        <v>300</v>
      </c>
      <c r="L470" s="56">
        <f t="shared" si="74"/>
        <v>1150</v>
      </c>
      <c r="M470" s="66">
        <v>600</v>
      </c>
      <c r="N470" s="56">
        <f>100</f>
        <v>100</v>
      </c>
      <c r="O470" s="59">
        <v>240</v>
      </c>
      <c r="P470" s="59">
        <v>40</v>
      </c>
      <c r="Q470" s="59">
        <f t="shared" si="75"/>
        <v>315</v>
      </c>
      <c r="R470" s="59">
        <f t="shared" si="76"/>
        <v>100</v>
      </c>
      <c r="S470" s="56">
        <f t="shared" si="77"/>
        <v>695</v>
      </c>
      <c r="T470" s="56">
        <f>50</f>
        <v>50</v>
      </c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</row>
    <row r="471" spans="1:30" ht="15.75" x14ac:dyDescent="0.25">
      <c r="A471" s="14">
        <v>55639</v>
      </c>
      <c r="B471" s="68">
        <v>30</v>
      </c>
      <c r="C471" s="56">
        <f>141.293</f>
        <v>141.29300000000001</v>
      </c>
      <c r="D471" s="56">
        <f>267.993</f>
        <v>267.99299999999999</v>
      </c>
      <c r="E471" s="64">
        <f>115.016</f>
        <v>115.01600000000001</v>
      </c>
      <c r="F471" s="56">
        <f>314.698-40-25-60-100</f>
        <v>89.697999999999979</v>
      </c>
      <c r="G471" s="59">
        <v>40</v>
      </c>
      <c r="H471" s="56">
        <f t="shared" ref="H471:H477" si="78">25+60+100</f>
        <v>185</v>
      </c>
      <c r="I471" s="56">
        <f t="shared" si="70"/>
        <v>0</v>
      </c>
      <c r="J471" s="59">
        <v>100</v>
      </c>
      <c r="K471" s="59">
        <v>300</v>
      </c>
      <c r="L471" s="56">
        <f t="shared" si="74"/>
        <v>1239</v>
      </c>
      <c r="M471" s="66">
        <v>600</v>
      </c>
      <c r="N471" s="56">
        <f>100</f>
        <v>100</v>
      </c>
      <c r="O471" s="59">
        <v>240</v>
      </c>
      <c r="P471" s="59">
        <v>160</v>
      </c>
      <c r="Q471" s="59">
        <f t="shared" si="75"/>
        <v>195</v>
      </c>
      <c r="R471" s="59">
        <f t="shared" si="76"/>
        <v>100</v>
      </c>
      <c r="S471" s="56">
        <f t="shared" si="77"/>
        <v>695</v>
      </c>
      <c r="T471" s="56">
        <f>50</f>
        <v>50</v>
      </c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</row>
    <row r="472" spans="1:30" ht="15.75" x14ac:dyDescent="0.25">
      <c r="A472" s="14">
        <v>55670</v>
      </c>
      <c r="B472" s="68">
        <v>31</v>
      </c>
      <c r="C472" s="56">
        <f>194.205</f>
        <v>194.20500000000001</v>
      </c>
      <c r="D472" s="56">
        <f>267.466</f>
        <v>267.46600000000001</v>
      </c>
      <c r="E472" s="64">
        <f>133.845</f>
        <v>133.845</v>
      </c>
      <c r="F472" s="56">
        <f>278.484-40-25-60-100</f>
        <v>53.48399999999998</v>
      </c>
      <c r="G472" s="59">
        <v>40</v>
      </c>
      <c r="H472" s="56">
        <f t="shared" si="78"/>
        <v>185</v>
      </c>
      <c r="I472" s="56">
        <f t="shared" si="70"/>
        <v>0</v>
      </c>
      <c r="J472" s="59">
        <v>100</v>
      </c>
      <c r="K472" s="59">
        <v>300</v>
      </c>
      <c r="L472" s="56">
        <f t="shared" si="74"/>
        <v>1274</v>
      </c>
      <c r="M472" s="66">
        <v>600</v>
      </c>
      <c r="N472" s="56">
        <f>75</f>
        <v>75</v>
      </c>
      <c r="O472" s="59">
        <v>240</v>
      </c>
      <c r="P472" s="59">
        <v>160</v>
      </c>
      <c r="Q472" s="59">
        <f t="shared" si="75"/>
        <v>195</v>
      </c>
      <c r="R472" s="59">
        <f t="shared" si="76"/>
        <v>100</v>
      </c>
      <c r="S472" s="56">
        <f t="shared" si="77"/>
        <v>695</v>
      </c>
      <c r="T472" s="56">
        <f>50</f>
        <v>50</v>
      </c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</row>
    <row r="473" spans="1:30" ht="15.75" x14ac:dyDescent="0.25">
      <c r="A473" s="14">
        <v>55700</v>
      </c>
      <c r="B473" s="68">
        <v>30</v>
      </c>
      <c r="C473" s="56">
        <f>194.205</f>
        <v>194.20500000000001</v>
      </c>
      <c r="D473" s="56">
        <f>267.466</f>
        <v>267.46600000000001</v>
      </c>
      <c r="E473" s="64">
        <f>133.845</f>
        <v>133.845</v>
      </c>
      <c r="F473" s="56">
        <f>278.484-40-25-60-100</f>
        <v>53.48399999999998</v>
      </c>
      <c r="G473" s="59">
        <v>40</v>
      </c>
      <c r="H473" s="56">
        <f t="shared" si="78"/>
        <v>185</v>
      </c>
      <c r="I473" s="56">
        <f t="shared" si="70"/>
        <v>0</v>
      </c>
      <c r="J473" s="59">
        <v>100</v>
      </c>
      <c r="K473" s="59">
        <v>300</v>
      </c>
      <c r="L473" s="56">
        <f t="shared" si="74"/>
        <v>1274</v>
      </c>
      <c r="M473" s="66">
        <v>600</v>
      </c>
      <c r="N473" s="56">
        <f>30</f>
        <v>30</v>
      </c>
      <c r="O473" s="59">
        <v>240</v>
      </c>
      <c r="P473" s="59">
        <v>160</v>
      </c>
      <c r="Q473" s="59">
        <f t="shared" si="75"/>
        <v>195</v>
      </c>
      <c r="R473" s="59">
        <f t="shared" si="76"/>
        <v>100</v>
      </c>
      <c r="S473" s="56">
        <f t="shared" si="77"/>
        <v>695</v>
      </c>
      <c r="T473" s="56">
        <f>50</f>
        <v>50</v>
      </c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</row>
    <row r="474" spans="1:30" ht="15.75" x14ac:dyDescent="0.25">
      <c r="A474" s="14">
        <v>55731</v>
      </c>
      <c r="B474" s="68">
        <v>31</v>
      </c>
      <c r="C474" s="56">
        <f>194.205</f>
        <v>194.20500000000001</v>
      </c>
      <c r="D474" s="56">
        <f>267.466</f>
        <v>267.46600000000001</v>
      </c>
      <c r="E474" s="64">
        <f>133.845</f>
        <v>133.845</v>
      </c>
      <c r="F474" s="56">
        <f>278.484-40-25-60-100</f>
        <v>53.48399999999998</v>
      </c>
      <c r="G474" s="59">
        <v>40</v>
      </c>
      <c r="H474" s="56">
        <f t="shared" si="78"/>
        <v>185</v>
      </c>
      <c r="I474" s="56">
        <f t="shared" si="70"/>
        <v>0</v>
      </c>
      <c r="J474" s="59">
        <v>100</v>
      </c>
      <c r="K474" s="59">
        <v>300</v>
      </c>
      <c r="L474" s="56">
        <f t="shared" si="74"/>
        <v>1274</v>
      </c>
      <c r="M474" s="66">
        <v>600</v>
      </c>
      <c r="N474" s="56">
        <f>30</f>
        <v>30</v>
      </c>
      <c r="O474" s="59">
        <v>240</v>
      </c>
      <c r="P474" s="59">
        <v>160</v>
      </c>
      <c r="Q474" s="59">
        <f t="shared" si="75"/>
        <v>195</v>
      </c>
      <c r="R474" s="59">
        <f t="shared" si="76"/>
        <v>100</v>
      </c>
      <c r="S474" s="56">
        <f t="shared" si="77"/>
        <v>695</v>
      </c>
      <c r="T474" s="56">
        <f>0</f>
        <v>0</v>
      </c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</row>
    <row r="475" spans="1:30" ht="15.75" x14ac:dyDescent="0.25">
      <c r="A475" s="14">
        <v>55762</v>
      </c>
      <c r="B475" s="68">
        <v>31</v>
      </c>
      <c r="C475" s="56">
        <f>194.205</f>
        <v>194.20500000000001</v>
      </c>
      <c r="D475" s="56">
        <f>267.466</f>
        <v>267.46600000000001</v>
      </c>
      <c r="E475" s="64">
        <f>133.845</f>
        <v>133.845</v>
      </c>
      <c r="F475" s="56">
        <f>278.484-40-25-60-100</f>
        <v>53.48399999999998</v>
      </c>
      <c r="G475" s="59">
        <v>40</v>
      </c>
      <c r="H475" s="56">
        <f t="shared" si="78"/>
        <v>185</v>
      </c>
      <c r="I475" s="56">
        <f t="shared" si="70"/>
        <v>0</v>
      </c>
      <c r="J475" s="59">
        <v>100</v>
      </c>
      <c r="K475" s="59">
        <v>300</v>
      </c>
      <c r="L475" s="56">
        <f t="shared" si="74"/>
        <v>1274</v>
      </c>
      <c r="M475" s="66">
        <v>600</v>
      </c>
      <c r="N475" s="56">
        <f>30</f>
        <v>30</v>
      </c>
      <c r="O475" s="59">
        <v>240</v>
      </c>
      <c r="P475" s="59">
        <v>160</v>
      </c>
      <c r="Q475" s="59">
        <f t="shared" si="75"/>
        <v>195</v>
      </c>
      <c r="R475" s="59">
        <f t="shared" si="76"/>
        <v>100</v>
      </c>
      <c r="S475" s="56">
        <f t="shared" si="77"/>
        <v>695</v>
      </c>
      <c r="T475" s="56">
        <f>0</f>
        <v>0</v>
      </c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</row>
    <row r="476" spans="1:30" ht="15.75" x14ac:dyDescent="0.25">
      <c r="A476" s="14">
        <v>55792</v>
      </c>
      <c r="B476" s="68">
        <v>30</v>
      </c>
      <c r="C476" s="56">
        <f>194.205</f>
        <v>194.20500000000001</v>
      </c>
      <c r="D476" s="56">
        <f>267.466</f>
        <v>267.46600000000001</v>
      </c>
      <c r="E476" s="64">
        <f>133.845</f>
        <v>133.845</v>
      </c>
      <c r="F476" s="56">
        <f>278.484-40-25-60-100</f>
        <v>53.48399999999998</v>
      </c>
      <c r="G476" s="59">
        <v>40</v>
      </c>
      <c r="H476" s="56">
        <f t="shared" si="78"/>
        <v>185</v>
      </c>
      <c r="I476" s="56">
        <f t="shared" si="70"/>
        <v>0</v>
      </c>
      <c r="J476" s="59">
        <v>100</v>
      </c>
      <c r="K476" s="59">
        <v>300</v>
      </c>
      <c r="L476" s="56">
        <f t="shared" si="74"/>
        <v>1274</v>
      </c>
      <c r="M476" s="66">
        <v>600</v>
      </c>
      <c r="N476" s="56">
        <f>30</f>
        <v>30</v>
      </c>
      <c r="O476" s="59">
        <v>240</v>
      </c>
      <c r="P476" s="59">
        <v>160</v>
      </c>
      <c r="Q476" s="59">
        <f t="shared" si="75"/>
        <v>195</v>
      </c>
      <c r="R476" s="59">
        <f t="shared" si="76"/>
        <v>100</v>
      </c>
      <c r="S476" s="56">
        <f t="shared" si="77"/>
        <v>695</v>
      </c>
      <c r="T476" s="56">
        <f>0</f>
        <v>0</v>
      </c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</row>
    <row r="477" spans="1:30" ht="15.75" x14ac:dyDescent="0.25">
      <c r="A477" s="14">
        <v>55823</v>
      </c>
      <c r="B477" s="68">
        <v>31</v>
      </c>
      <c r="C477" s="56">
        <f>131.881</f>
        <v>131.881</v>
      </c>
      <c r="D477" s="56">
        <f>277.167</f>
        <v>277.16699999999997</v>
      </c>
      <c r="E477" s="64">
        <f>79.08</f>
        <v>79.08</v>
      </c>
      <c r="F477" s="56">
        <f>350.872-40-25-60-100</f>
        <v>125.87200000000001</v>
      </c>
      <c r="G477" s="59">
        <v>40</v>
      </c>
      <c r="H477" s="56">
        <f t="shared" si="78"/>
        <v>185</v>
      </c>
      <c r="I477" s="56">
        <f t="shared" si="70"/>
        <v>0</v>
      </c>
      <c r="J477" s="59">
        <v>100</v>
      </c>
      <c r="K477" s="59">
        <v>300</v>
      </c>
      <c r="L477" s="56">
        <f t="shared" si="74"/>
        <v>1239</v>
      </c>
      <c r="M477" s="66">
        <v>600</v>
      </c>
      <c r="N477" s="56">
        <f>75</f>
        <v>75</v>
      </c>
      <c r="O477" s="59">
        <v>240</v>
      </c>
      <c r="P477" s="59">
        <v>160</v>
      </c>
      <c r="Q477" s="59">
        <f t="shared" si="75"/>
        <v>195</v>
      </c>
      <c r="R477" s="59">
        <f t="shared" si="76"/>
        <v>100</v>
      </c>
      <c r="S477" s="56">
        <f t="shared" si="77"/>
        <v>695</v>
      </c>
      <c r="T477" s="56">
        <f>0</f>
        <v>0</v>
      </c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</row>
    <row r="478" spans="1:30" ht="15.75" x14ac:dyDescent="0.25">
      <c r="A478" s="14">
        <v>55853</v>
      </c>
      <c r="B478" s="68">
        <v>30</v>
      </c>
      <c r="C478" s="56">
        <f>122.58</f>
        <v>122.58</v>
      </c>
      <c r="D478" s="56">
        <f>297.941</f>
        <v>297.94099999999997</v>
      </c>
      <c r="E478" s="64">
        <f>89.177</f>
        <v>89.177000000000007</v>
      </c>
      <c r="F478" s="56">
        <f>240.302-40-60-100</f>
        <v>40.301999999999992</v>
      </c>
      <c r="G478" s="59">
        <v>40</v>
      </c>
      <c r="H478" s="56">
        <f>60+100</f>
        <v>160</v>
      </c>
      <c r="I478" s="56">
        <f t="shared" si="70"/>
        <v>0</v>
      </c>
      <c r="J478" s="59">
        <v>100</v>
      </c>
      <c r="K478" s="59">
        <v>300</v>
      </c>
      <c r="L478" s="56">
        <f t="shared" si="74"/>
        <v>1150</v>
      </c>
      <c r="M478" s="66">
        <v>600</v>
      </c>
      <c r="N478" s="56">
        <f>100</f>
        <v>100</v>
      </c>
      <c r="O478" s="59">
        <v>240</v>
      </c>
      <c r="P478" s="59">
        <v>40</v>
      </c>
      <c r="Q478" s="59">
        <f t="shared" si="75"/>
        <v>315</v>
      </c>
      <c r="R478" s="59">
        <f t="shared" si="76"/>
        <v>100</v>
      </c>
      <c r="S478" s="56">
        <f t="shared" si="77"/>
        <v>695</v>
      </c>
      <c r="T478" s="56">
        <f>50</f>
        <v>50</v>
      </c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</row>
    <row r="479" spans="1:30" ht="15.75" x14ac:dyDescent="0.25">
      <c r="A479" s="14">
        <v>55884</v>
      </c>
      <c r="B479" s="68">
        <v>31</v>
      </c>
      <c r="C479" s="56">
        <f>122.58</f>
        <v>122.58</v>
      </c>
      <c r="D479" s="56">
        <f>297.941</f>
        <v>297.94099999999997</v>
      </c>
      <c r="E479" s="64">
        <f>89.177</f>
        <v>89.177000000000007</v>
      </c>
      <c r="F479" s="56">
        <f>240.302-40-60-100</f>
        <v>40.301999999999992</v>
      </c>
      <c r="G479" s="59">
        <v>40</v>
      </c>
      <c r="H479" s="56">
        <f>60+100</f>
        <v>160</v>
      </c>
      <c r="I479" s="56">
        <f t="shared" si="70"/>
        <v>0</v>
      </c>
      <c r="J479" s="59">
        <v>100</v>
      </c>
      <c r="K479" s="59">
        <v>300</v>
      </c>
      <c r="L479" s="56">
        <f t="shared" si="74"/>
        <v>1150</v>
      </c>
      <c r="M479" s="66">
        <v>600</v>
      </c>
      <c r="N479" s="56">
        <f>100</f>
        <v>100</v>
      </c>
      <c r="O479" s="59">
        <v>240</v>
      </c>
      <c r="P479" s="59">
        <v>40</v>
      </c>
      <c r="Q479" s="59">
        <f t="shared" si="75"/>
        <v>315</v>
      </c>
      <c r="R479" s="59">
        <f t="shared" si="76"/>
        <v>100</v>
      </c>
      <c r="S479" s="56">
        <f t="shared" si="77"/>
        <v>695</v>
      </c>
      <c r="T479" s="56">
        <f>50</f>
        <v>50</v>
      </c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</row>
    <row r="480" spans="1:30" ht="15.75" x14ac:dyDescent="0.25">
      <c r="A480" s="14">
        <v>55915</v>
      </c>
      <c r="B480" s="68">
        <v>31</v>
      </c>
      <c r="C480" s="56">
        <f>122.58</f>
        <v>122.58</v>
      </c>
      <c r="D480" s="56">
        <f>297.941</f>
        <v>297.94099999999997</v>
      </c>
      <c r="E480" s="64">
        <f>89.177</f>
        <v>89.177000000000007</v>
      </c>
      <c r="F480" s="56">
        <f>240.302-40-60-100</f>
        <v>40.301999999999992</v>
      </c>
      <c r="G480" s="59">
        <v>40</v>
      </c>
      <c r="H480" s="56">
        <f>60+100</f>
        <v>160</v>
      </c>
      <c r="I480" s="56">
        <f t="shared" si="70"/>
        <v>0</v>
      </c>
      <c r="J480" s="59">
        <v>100</v>
      </c>
      <c r="K480" s="59">
        <v>300</v>
      </c>
      <c r="L480" s="56">
        <f t="shared" si="74"/>
        <v>1150</v>
      </c>
      <c r="M480" s="66">
        <v>600</v>
      </c>
      <c r="N480" s="56">
        <f>100</f>
        <v>100</v>
      </c>
      <c r="O480" s="59">
        <v>240</v>
      </c>
      <c r="P480" s="59">
        <v>40</v>
      </c>
      <c r="Q480" s="59">
        <f t="shared" si="75"/>
        <v>315</v>
      </c>
      <c r="R480" s="59">
        <f t="shared" si="76"/>
        <v>100</v>
      </c>
      <c r="S480" s="56">
        <f t="shared" si="77"/>
        <v>695</v>
      </c>
      <c r="T480" s="56">
        <f>50</f>
        <v>50</v>
      </c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</row>
    <row r="481" spans="1:30" ht="15.75" x14ac:dyDescent="0.25">
      <c r="A481" s="14">
        <v>55943</v>
      </c>
      <c r="B481" s="68">
        <v>28</v>
      </c>
      <c r="C481" s="56">
        <f>122.58</f>
        <v>122.58</v>
      </c>
      <c r="D481" s="56">
        <f>297.941</f>
        <v>297.94099999999997</v>
      </c>
      <c r="E481" s="64">
        <f>89.177</f>
        <v>89.177000000000007</v>
      </c>
      <c r="F481" s="56">
        <f>240.302-40-60-100</f>
        <v>40.301999999999992</v>
      </c>
      <c r="G481" s="59">
        <v>40</v>
      </c>
      <c r="H481" s="56">
        <f>60+100</f>
        <v>160</v>
      </c>
      <c r="I481" s="56">
        <f t="shared" si="70"/>
        <v>0</v>
      </c>
      <c r="J481" s="59">
        <v>100</v>
      </c>
      <c r="K481" s="59">
        <v>300</v>
      </c>
      <c r="L481" s="56">
        <f t="shared" si="74"/>
        <v>1150</v>
      </c>
      <c r="M481" s="66">
        <v>600</v>
      </c>
      <c r="N481" s="56">
        <f>100</f>
        <v>100</v>
      </c>
      <c r="O481" s="59">
        <v>240</v>
      </c>
      <c r="P481" s="59">
        <v>40</v>
      </c>
      <c r="Q481" s="59">
        <f t="shared" si="75"/>
        <v>315</v>
      </c>
      <c r="R481" s="59">
        <f t="shared" si="76"/>
        <v>100</v>
      </c>
      <c r="S481" s="56">
        <f t="shared" si="77"/>
        <v>695</v>
      </c>
      <c r="T481" s="56">
        <f>50</f>
        <v>50</v>
      </c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</row>
    <row r="482" spans="1:30" ht="15.75" x14ac:dyDescent="0.25">
      <c r="A482" s="14">
        <v>55974</v>
      </c>
      <c r="B482" s="68">
        <v>31</v>
      </c>
      <c r="C482" s="56">
        <f>122.58</f>
        <v>122.58</v>
      </c>
      <c r="D482" s="56">
        <f>297.941</f>
        <v>297.94099999999997</v>
      </c>
      <c r="E482" s="64">
        <f>89.177</f>
        <v>89.177000000000007</v>
      </c>
      <c r="F482" s="56">
        <f>240.302-40-60-100</f>
        <v>40.301999999999992</v>
      </c>
      <c r="G482" s="59">
        <v>40</v>
      </c>
      <c r="H482" s="56">
        <f>60+100</f>
        <v>160</v>
      </c>
      <c r="I482" s="56">
        <f t="shared" si="70"/>
        <v>0</v>
      </c>
      <c r="J482" s="59">
        <v>100</v>
      </c>
      <c r="K482" s="59">
        <v>300</v>
      </c>
      <c r="L482" s="56">
        <f t="shared" si="74"/>
        <v>1150</v>
      </c>
      <c r="M482" s="66">
        <v>600</v>
      </c>
      <c r="N482" s="56">
        <f>100</f>
        <v>100</v>
      </c>
      <c r="O482" s="59">
        <v>240</v>
      </c>
      <c r="P482" s="59">
        <v>40</v>
      </c>
      <c r="Q482" s="59">
        <f t="shared" si="75"/>
        <v>315</v>
      </c>
      <c r="R482" s="59">
        <f t="shared" si="76"/>
        <v>100</v>
      </c>
      <c r="S482" s="56">
        <f t="shared" si="77"/>
        <v>695</v>
      </c>
      <c r="T482" s="56">
        <f>50</f>
        <v>50</v>
      </c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</row>
    <row r="483" spans="1:30" ht="15.75" x14ac:dyDescent="0.25">
      <c r="A483" s="14">
        <v>56004</v>
      </c>
      <c r="B483" s="68">
        <v>30</v>
      </c>
      <c r="C483" s="56">
        <f>141.293</f>
        <v>141.29300000000001</v>
      </c>
      <c r="D483" s="56">
        <f>267.993</f>
        <v>267.99299999999999</v>
      </c>
      <c r="E483" s="64">
        <f>115.016</f>
        <v>115.01600000000001</v>
      </c>
      <c r="F483" s="56">
        <f>314.698-40-25-60-100</f>
        <v>89.697999999999979</v>
      </c>
      <c r="G483" s="59">
        <v>40</v>
      </c>
      <c r="H483" s="56">
        <f t="shared" ref="H483:H489" si="79">25+60+100</f>
        <v>185</v>
      </c>
      <c r="I483" s="56">
        <f t="shared" si="70"/>
        <v>0</v>
      </c>
      <c r="J483" s="59">
        <v>100</v>
      </c>
      <c r="K483" s="59">
        <v>300</v>
      </c>
      <c r="L483" s="56">
        <f t="shared" si="74"/>
        <v>1239</v>
      </c>
      <c r="M483" s="66">
        <v>600</v>
      </c>
      <c r="N483" s="56">
        <f>100</f>
        <v>100</v>
      </c>
      <c r="O483" s="59">
        <v>240</v>
      </c>
      <c r="P483" s="59">
        <v>160</v>
      </c>
      <c r="Q483" s="59">
        <f t="shared" si="75"/>
        <v>195</v>
      </c>
      <c r="R483" s="59">
        <f t="shared" si="76"/>
        <v>100</v>
      </c>
      <c r="S483" s="56">
        <f t="shared" si="77"/>
        <v>695</v>
      </c>
      <c r="T483" s="56">
        <f>50</f>
        <v>50</v>
      </c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</row>
    <row r="484" spans="1:30" ht="15.75" x14ac:dyDescent="0.25">
      <c r="A484" s="14">
        <v>56035</v>
      </c>
      <c r="B484" s="68">
        <v>31</v>
      </c>
      <c r="C484" s="56">
        <f>194.205</f>
        <v>194.20500000000001</v>
      </c>
      <c r="D484" s="56">
        <f>267.466</f>
        <v>267.46600000000001</v>
      </c>
      <c r="E484" s="64">
        <f>133.845</f>
        <v>133.845</v>
      </c>
      <c r="F484" s="56">
        <f>278.484-40-25-60-100</f>
        <v>53.48399999999998</v>
      </c>
      <c r="G484" s="59">
        <v>40</v>
      </c>
      <c r="H484" s="56">
        <f t="shared" si="79"/>
        <v>185</v>
      </c>
      <c r="I484" s="56">
        <f t="shared" si="70"/>
        <v>0</v>
      </c>
      <c r="J484" s="59">
        <v>100</v>
      </c>
      <c r="K484" s="59">
        <v>300</v>
      </c>
      <c r="L484" s="56">
        <f t="shared" si="74"/>
        <v>1274</v>
      </c>
      <c r="M484" s="66">
        <v>600</v>
      </c>
      <c r="N484" s="56">
        <f>75</f>
        <v>75</v>
      </c>
      <c r="O484" s="59">
        <v>240</v>
      </c>
      <c r="P484" s="59">
        <v>160</v>
      </c>
      <c r="Q484" s="59">
        <f t="shared" si="75"/>
        <v>195</v>
      </c>
      <c r="R484" s="59">
        <f t="shared" si="76"/>
        <v>100</v>
      </c>
      <c r="S484" s="56">
        <f t="shared" si="77"/>
        <v>695</v>
      </c>
      <c r="T484" s="56">
        <f>50</f>
        <v>50</v>
      </c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</row>
    <row r="485" spans="1:30" ht="15.75" x14ac:dyDescent="0.25">
      <c r="A485" s="14">
        <v>56065</v>
      </c>
      <c r="B485" s="68">
        <v>30</v>
      </c>
      <c r="C485" s="56">
        <f>194.205</f>
        <v>194.20500000000001</v>
      </c>
      <c r="D485" s="56">
        <f>267.466</f>
        <v>267.46600000000001</v>
      </c>
      <c r="E485" s="64">
        <f>133.845</f>
        <v>133.845</v>
      </c>
      <c r="F485" s="56">
        <f>278.484-40-25-60-100</f>
        <v>53.48399999999998</v>
      </c>
      <c r="G485" s="59">
        <v>40</v>
      </c>
      <c r="H485" s="56">
        <f t="shared" si="79"/>
        <v>185</v>
      </c>
      <c r="I485" s="56">
        <f t="shared" si="70"/>
        <v>0</v>
      </c>
      <c r="J485" s="59">
        <v>100</v>
      </c>
      <c r="K485" s="59">
        <v>300</v>
      </c>
      <c r="L485" s="56">
        <f t="shared" si="74"/>
        <v>1274</v>
      </c>
      <c r="M485" s="66">
        <v>600</v>
      </c>
      <c r="N485" s="56">
        <f>30</f>
        <v>30</v>
      </c>
      <c r="O485" s="59">
        <v>240</v>
      </c>
      <c r="P485" s="59">
        <v>160</v>
      </c>
      <c r="Q485" s="59">
        <f t="shared" si="75"/>
        <v>195</v>
      </c>
      <c r="R485" s="59">
        <f t="shared" si="76"/>
        <v>100</v>
      </c>
      <c r="S485" s="56">
        <f t="shared" si="77"/>
        <v>695</v>
      </c>
      <c r="T485" s="56">
        <f>50</f>
        <v>50</v>
      </c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</row>
    <row r="486" spans="1:30" ht="15.75" x14ac:dyDescent="0.25">
      <c r="A486" s="14">
        <v>56096</v>
      </c>
      <c r="B486" s="68">
        <v>31</v>
      </c>
      <c r="C486" s="56">
        <f>194.205</f>
        <v>194.20500000000001</v>
      </c>
      <c r="D486" s="56">
        <f>267.466</f>
        <v>267.46600000000001</v>
      </c>
      <c r="E486" s="64">
        <f>133.845</f>
        <v>133.845</v>
      </c>
      <c r="F486" s="56">
        <f>278.484-40-25-60-100</f>
        <v>53.48399999999998</v>
      </c>
      <c r="G486" s="59">
        <v>40</v>
      </c>
      <c r="H486" s="56">
        <f t="shared" si="79"/>
        <v>185</v>
      </c>
      <c r="I486" s="56">
        <f t="shared" si="70"/>
        <v>0</v>
      </c>
      <c r="J486" s="59">
        <v>100</v>
      </c>
      <c r="K486" s="59">
        <v>300</v>
      </c>
      <c r="L486" s="56">
        <f t="shared" si="74"/>
        <v>1274</v>
      </c>
      <c r="M486" s="66">
        <v>600</v>
      </c>
      <c r="N486" s="56">
        <f>30</f>
        <v>30</v>
      </c>
      <c r="O486" s="59">
        <v>240</v>
      </c>
      <c r="P486" s="59">
        <v>160</v>
      </c>
      <c r="Q486" s="59">
        <f t="shared" si="75"/>
        <v>195</v>
      </c>
      <c r="R486" s="59">
        <f t="shared" si="76"/>
        <v>100</v>
      </c>
      <c r="S486" s="56">
        <f t="shared" si="77"/>
        <v>695</v>
      </c>
      <c r="T486" s="56">
        <f>0</f>
        <v>0</v>
      </c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</row>
    <row r="487" spans="1:30" ht="15.75" x14ac:dyDescent="0.25">
      <c r="A487" s="14">
        <v>56127</v>
      </c>
      <c r="B487" s="68">
        <v>31</v>
      </c>
      <c r="C487" s="56">
        <f>194.205</f>
        <v>194.20500000000001</v>
      </c>
      <c r="D487" s="56">
        <f>267.466</f>
        <v>267.46600000000001</v>
      </c>
      <c r="E487" s="64">
        <f>133.845</f>
        <v>133.845</v>
      </c>
      <c r="F487" s="56">
        <f>278.484-40-25-60-100</f>
        <v>53.48399999999998</v>
      </c>
      <c r="G487" s="59">
        <v>40</v>
      </c>
      <c r="H487" s="56">
        <f t="shared" si="79"/>
        <v>185</v>
      </c>
      <c r="I487" s="56">
        <f t="shared" si="70"/>
        <v>0</v>
      </c>
      <c r="J487" s="59">
        <v>100</v>
      </c>
      <c r="K487" s="59">
        <v>300</v>
      </c>
      <c r="L487" s="56">
        <f t="shared" si="74"/>
        <v>1274</v>
      </c>
      <c r="M487" s="66">
        <v>600</v>
      </c>
      <c r="N487" s="56">
        <f>30</f>
        <v>30</v>
      </c>
      <c r="O487" s="59">
        <v>240</v>
      </c>
      <c r="P487" s="59">
        <v>160</v>
      </c>
      <c r="Q487" s="59">
        <f t="shared" si="75"/>
        <v>195</v>
      </c>
      <c r="R487" s="59">
        <f t="shared" si="76"/>
        <v>100</v>
      </c>
      <c r="S487" s="56">
        <f t="shared" si="77"/>
        <v>695</v>
      </c>
      <c r="T487" s="56">
        <f>0</f>
        <v>0</v>
      </c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</row>
    <row r="488" spans="1:30" ht="15.75" x14ac:dyDescent="0.25">
      <c r="A488" s="14">
        <v>56157</v>
      </c>
      <c r="B488" s="68">
        <v>30</v>
      </c>
      <c r="C488" s="56">
        <f>194.205</f>
        <v>194.20500000000001</v>
      </c>
      <c r="D488" s="56">
        <f>267.466</f>
        <v>267.46600000000001</v>
      </c>
      <c r="E488" s="64">
        <f>133.845</f>
        <v>133.845</v>
      </c>
      <c r="F488" s="56">
        <f>278.484-40-25-60-100</f>
        <v>53.48399999999998</v>
      </c>
      <c r="G488" s="59">
        <v>40</v>
      </c>
      <c r="H488" s="56">
        <f t="shared" si="79"/>
        <v>185</v>
      </c>
      <c r="I488" s="56">
        <f t="shared" ref="I488:I551" si="80">400-J488-K488</f>
        <v>0</v>
      </c>
      <c r="J488" s="59">
        <v>100</v>
      </c>
      <c r="K488" s="59">
        <v>300</v>
      </c>
      <c r="L488" s="56">
        <f t="shared" si="74"/>
        <v>1274</v>
      </c>
      <c r="M488" s="66">
        <v>600</v>
      </c>
      <c r="N488" s="56">
        <f>30</f>
        <v>30</v>
      </c>
      <c r="O488" s="59">
        <v>240</v>
      </c>
      <c r="P488" s="59">
        <v>160</v>
      </c>
      <c r="Q488" s="59">
        <f t="shared" si="75"/>
        <v>195</v>
      </c>
      <c r="R488" s="59">
        <f t="shared" si="76"/>
        <v>100</v>
      </c>
      <c r="S488" s="56">
        <f t="shared" si="77"/>
        <v>695</v>
      </c>
      <c r="T488" s="56">
        <f>0</f>
        <v>0</v>
      </c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</row>
    <row r="489" spans="1:30" ht="15.75" x14ac:dyDescent="0.25">
      <c r="A489" s="14">
        <v>56188</v>
      </c>
      <c r="B489" s="68">
        <v>31</v>
      </c>
      <c r="C489" s="56">
        <f>131.881</f>
        <v>131.881</v>
      </c>
      <c r="D489" s="56">
        <f>277.167</f>
        <v>277.16699999999997</v>
      </c>
      <c r="E489" s="64">
        <f>79.08</f>
        <v>79.08</v>
      </c>
      <c r="F489" s="56">
        <f>350.872-40-25-60-100</f>
        <v>125.87200000000001</v>
      </c>
      <c r="G489" s="59">
        <v>40</v>
      </c>
      <c r="H489" s="56">
        <f t="shared" si="79"/>
        <v>185</v>
      </c>
      <c r="I489" s="56">
        <f t="shared" si="80"/>
        <v>0</v>
      </c>
      <c r="J489" s="59">
        <v>100</v>
      </c>
      <c r="K489" s="59">
        <v>300</v>
      </c>
      <c r="L489" s="56">
        <f t="shared" si="74"/>
        <v>1239</v>
      </c>
      <c r="M489" s="66">
        <v>600</v>
      </c>
      <c r="N489" s="56">
        <f>75</f>
        <v>75</v>
      </c>
      <c r="O489" s="59">
        <v>240</v>
      </c>
      <c r="P489" s="59">
        <v>160</v>
      </c>
      <c r="Q489" s="59">
        <f t="shared" si="75"/>
        <v>195</v>
      </c>
      <c r="R489" s="59">
        <f t="shared" si="76"/>
        <v>100</v>
      </c>
      <c r="S489" s="56">
        <f t="shared" si="77"/>
        <v>695</v>
      </c>
      <c r="T489" s="56">
        <f>0</f>
        <v>0</v>
      </c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</row>
    <row r="490" spans="1:30" ht="15.75" x14ac:dyDescent="0.25">
      <c r="A490" s="14">
        <v>56218</v>
      </c>
      <c r="B490" s="68">
        <v>30</v>
      </c>
      <c r="C490" s="56">
        <f>122.58</f>
        <v>122.58</v>
      </c>
      <c r="D490" s="56">
        <f>297.941</f>
        <v>297.94099999999997</v>
      </c>
      <c r="E490" s="64">
        <f>89.177</f>
        <v>89.177000000000007</v>
      </c>
      <c r="F490" s="56">
        <f>240.302-40-60-100</f>
        <v>40.301999999999992</v>
      </c>
      <c r="G490" s="59">
        <v>40</v>
      </c>
      <c r="H490" s="56">
        <f>60+100</f>
        <v>160</v>
      </c>
      <c r="I490" s="56">
        <f t="shared" si="80"/>
        <v>0</v>
      </c>
      <c r="J490" s="59">
        <v>100</v>
      </c>
      <c r="K490" s="59">
        <v>300</v>
      </c>
      <c r="L490" s="56">
        <f t="shared" si="74"/>
        <v>1150</v>
      </c>
      <c r="M490" s="66">
        <v>600</v>
      </c>
      <c r="N490" s="56">
        <f>100</f>
        <v>100</v>
      </c>
      <c r="O490" s="59">
        <v>240</v>
      </c>
      <c r="P490" s="59">
        <v>40</v>
      </c>
      <c r="Q490" s="59">
        <f t="shared" si="75"/>
        <v>315</v>
      </c>
      <c r="R490" s="59">
        <f t="shared" si="76"/>
        <v>100</v>
      </c>
      <c r="S490" s="56">
        <f t="shared" si="77"/>
        <v>695</v>
      </c>
      <c r="T490" s="56">
        <f>50</f>
        <v>50</v>
      </c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</row>
    <row r="491" spans="1:30" ht="15.75" x14ac:dyDescent="0.25">
      <c r="A491" s="14">
        <v>56249</v>
      </c>
      <c r="B491" s="68">
        <v>31</v>
      </c>
      <c r="C491" s="56">
        <f>122.58</f>
        <v>122.58</v>
      </c>
      <c r="D491" s="56">
        <f>297.941</f>
        <v>297.94099999999997</v>
      </c>
      <c r="E491" s="64">
        <f>89.177</f>
        <v>89.177000000000007</v>
      </c>
      <c r="F491" s="56">
        <f>240.302-40-60-100</f>
        <v>40.301999999999992</v>
      </c>
      <c r="G491" s="59">
        <v>40</v>
      </c>
      <c r="H491" s="56">
        <f>60+100</f>
        <v>160</v>
      </c>
      <c r="I491" s="56">
        <f t="shared" si="80"/>
        <v>0</v>
      </c>
      <c r="J491" s="59">
        <v>100</v>
      </c>
      <c r="K491" s="59">
        <v>300</v>
      </c>
      <c r="L491" s="56">
        <f t="shared" si="74"/>
        <v>1150</v>
      </c>
      <c r="M491" s="66">
        <v>600</v>
      </c>
      <c r="N491" s="56">
        <f>100</f>
        <v>100</v>
      </c>
      <c r="O491" s="59">
        <v>240</v>
      </c>
      <c r="P491" s="59">
        <v>40</v>
      </c>
      <c r="Q491" s="59">
        <f t="shared" si="75"/>
        <v>315</v>
      </c>
      <c r="R491" s="59">
        <f t="shared" si="76"/>
        <v>100</v>
      </c>
      <c r="S491" s="56">
        <f t="shared" si="77"/>
        <v>695</v>
      </c>
      <c r="T491" s="56">
        <f>50</f>
        <v>50</v>
      </c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</row>
    <row r="492" spans="1:30" ht="15.75" x14ac:dyDescent="0.25">
      <c r="A492" s="14">
        <v>56280</v>
      </c>
      <c r="B492" s="68">
        <v>31</v>
      </c>
      <c r="C492" s="56">
        <f>122.58</f>
        <v>122.58</v>
      </c>
      <c r="D492" s="56">
        <f>297.941</f>
        <v>297.94099999999997</v>
      </c>
      <c r="E492" s="64">
        <f>89.177</f>
        <v>89.177000000000007</v>
      </c>
      <c r="F492" s="56">
        <f>240.302-40-60-100</f>
        <v>40.301999999999992</v>
      </c>
      <c r="G492" s="59">
        <v>40</v>
      </c>
      <c r="H492" s="56">
        <f>60+100</f>
        <v>160</v>
      </c>
      <c r="I492" s="56">
        <f t="shared" si="80"/>
        <v>0</v>
      </c>
      <c r="J492" s="59">
        <v>100</v>
      </c>
      <c r="K492" s="59">
        <v>300</v>
      </c>
      <c r="L492" s="56">
        <f t="shared" si="74"/>
        <v>1150</v>
      </c>
      <c r="M492" s="66">
        <v>600</v>
      </c>
      <c r="N492" s="56">
        <f>100</f>
        <v>100</v>
      </c>
      <c r="O492" s="59">
        <v>240</v>
      </c>
      <c r="P492" s="59">
        <v>40</v>
      </c>
      <c r="Q492" s="59">
        <f t="shared" si="75"/>
        <v>315</v>
      </c>
      <c r="R492" s="59">
        <f t="shared" si="76"/>
        <v>100</v>
      </c>
      <c r="S492" s="56">
        <f t="shared" si="77"/>
        <v>695</v>
      </c>
      <c r="T492" s="56">
        <f>50</f>
        <v>50</v>
      </c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</row>
    <row r="493" spans="1:30" ht="15.75" x14ac:dyDescent="0.25">
      <c r="A493" s="14">
        <v>56308</v>
      </c>
      <c r="B493" s="68">
        <v>28</v>
      </c>
      <c r="C493" s="56">
        <f>122.58</f>
        <v>122.58</v>
      </c>
      <c r="D493" s="56">
        <f>297.941</f>
        <v>297.94099999999997</v>
      </c>
      <c r="E493" s="64">
        <f>89.177</f>
        <v>89.177000000000007</v>
      </c>
      <c r="F493" s="56">
        <f>240.302-40-60-100</f>
        <v>40.301999999999992</v>
      </c>
      <c r="G493" s="59">
        <v>40</v>
      </c>
      <c r="H493" s="56">
        <f>60+100</f>
        <v>160</v>
      </c>
      <c r="I493" s="56">
        <f t="shared" si="80"/>
        <v>0</v>
      </c>
      <c r="J493" s="59">
        <v>100</v>
      </c>
      <c r="K493" s="59">
        <v>300</v>
      </c>
      <c r="L493" s="56">
        <f t="shared" si="74"/>
        <v>1150</v>
      </c>
      <c r="M493" s="66">
        <v>600</v>
      </c>
      <c r="N493" s="56">
        <f>100</f>
        <v>100</v>
      </c>
      <c r="O493" s="59">
        <v>240</v>
      </c>
      <c r="P493" s="59">
        <v>40</v>
      </c>
      <c r="Q493" s="59">
        <f t="shared" si="75"/>
        <v>315</v>
      </c>
      <c r="R493" s="59">
        <f t="shared" si="76"/>
        <v>100</v>
      </c>
      <c r="S493" s="56">
        <f t="shared" si="77"/>
        <v>695</v>
      </c>
      <c r="T493" s="56">
        <f>50</f>
        <v>50</v>
      </c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</row>
    <row r="494" spans="1:30" ht="15.75" x14ac:dyDescent="0.25">
      <c r="A494" s="14">
        <v>56339</v>
      </c>
      <c r="B494" s="68">
        <v>31</v>
      </c>
      <c r="C494" s="56">
        <f>122.58</f>
        <v>122.58</v>
      </c>
      <c r="D494" s="56">
        <f>297.941</f>
        <v>297.94099999999997</v>
      </c>
      <c r="E494" s="64">
        <f>89.177</f>
        <v>89.177000000000007</v>
      </c>
      <c r="F494" s="56">
        <f>240.302-40-60-100</f>
        <v>40.301999999999992</v>
      </c>
      <c r="G494" s="59">
        <v>40</v>
      </c>
      <c r="H494" s="56">
        <f>60+100</f>
        <v>160</v>
      </c>
      <c r="I494" s="56">
        <f t="shared" si="80"/>
        <v>0</v>
      </c>
      <c r="J494" s="59">
        <v>100</v>
      </c>
      <c r="K494" s="59">
        <v>300</v>
      </c>
      <c r="L494" s="56">
        <f t="shared" si="74"/>
        <v>1150</v>
      </c>
      <c r="M494" s="66">
        <v>600</v>
      </c>
      <c r="N494" s="56">
        <f>100</f>
        <v>100</v>
      </c>
      <c r="O494" s="59">
        <v>240</v>
      </c>
      <c r="P494" s="59">
        <v>40</v>
      </c>
      <c r="Q494" s="59">
        <f t="shared" si="75"/>
        <v>315</v>
      </c>
      <c r="R494" s="59">
        <f t="shared" si="76"/>
        <v>100</v>
      </c>
      <c r="S494" s="56">
        <f t="shared" si="77"/>
        <v>695</v>
      </c>
      <c r="T494" s="56">
        <f>50</f>
        <v>50</v>
      </c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</row>
    <row r="495" spans="1:30" ht="15.75" x14ac:dyDescent="0.25">
      <c r="A495" s="14">
        <v>56369</v>
      </c>
      <c r="B495" s="68">
        <v>30</v>
      </c>
      <c r="C495" s="56">
        <f>141.293</f>
        <v>141.29300000000001</v>
      </c>
      <c r="D495" s="56">
        <f>267.993</f>
        <v>267.99299999999999</v>
      </c>
      <c r="E495" s="64">
        <f>115.016</f>
        <v>115.01600000000001</v>
      </c>
      <c r="F495" s="56">
        <f>314.698-40-25-60-100</f>
        <v>89.697999999999979</v>
      </c>
      <c r="G495" s="59">
        <v>40</v>
      </c>
      <c r="H495" s="56">
        <f t="shared" ref="H495:H501" si="81">25+60+100</f>
        <v>185</v>
      </c>
      <c r="I495" s="56">
        <f t="shared" si="80"/>
        <v>0</v>
      </c>
      <c r="J495" s="59">
        <v>100</v>
      </c>
      <c r="K495" s="59">
        <v>300</v>
      </c>
      <c r="L495" s="56">
        <f t="shared" si="74"/>
        <v>1239</v>
      </c>
      <c r="M495" s="66">
        <v>600</v>
      </c>
      <c r="N495" s="56">
        <f>100</f>
        <v>100</v>
      </c>
      <c r="O495" s="59">
        <v>240</v>
      </c>
      <c r="P495" s="59">
        <v>160</v>
      </c>
      <c r="Q495" s="59">
        <f t="shared" si="75"/>
        <v>195</v>
      </c>
      <c r="R495" s="59">
        <f t="shared" si="76"/>
        <v>100</v>
      </c>
      <c r="S495" s="56">
        <f t="shared" si="77"/>
        <v>695</v>
      </c>
      <c r="T495" s="56">
        <f>50</f>
        <v>50</v>
      </c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</row>
    <row r="496" spans="1:30" ht="15.75" x14ac:dyDescent="0.25">
      <c r="A496" s="14">
        <v>56400</v>
      </c>
      <c r="B496" s="68">
        <v>31</v>
      </c>
      <c r="C496" s="56">
        <f>194.205</f>
        <v>194.20500000000001</v>
      </c>
      <c r="D496" s="56">
        <f>267.466</f>
        <v>267.46600000000001</v>
      </c>
      <c r="E496" s="64">
        <f>133.845</f>
        <v>133.845</v>
      </c>
      <c r="F496" s="56">
        <f>278.484-40-25-60-100</f>
        <v>53.48399999999998</v>
      </c>
      <c r="G496" s="59">
        <v>40</v>
      </c>
      <c r="H496" s="56">
        <f t="shared" si="81"/>
        <v>185</v>
      </c>
      <c r="I496" s="56">
        <f t="shared" si="80"/>
        <v>0</v>
      </c>
      <c r="J496" s="59">
        <v>100</v>
      </c>
      <c r="K496" s="59">
        <v>300</v>
      </c>
      <c r="L496" s="56">
        <f t="shared" si="74"/>
        <v>1274</v>
      </c>
      <c r="M496" s="66">
        <v>600</v>
      </c>
      <c r="N496" s="56">
        <f>75</f>
        <v>75</v>
      </c>
      <c r="O496" s="59">
        <v>240</v>
      </c>
      <c r="P496" s="59">
        <v>160</v>
      </c>
      <c r="Q496" s="59">
        <f t="shared" si="75"/>
        <v>195</v>
      </c>
      <c r="R496" s="59">
        <f t="shared" si="76"/>
        <v>100</v>
      </c>
      <c r="S496" s="56">
        <f t="shared" si="77"/>
        <v>695</v>
      </c>
      <c r="T496" s="56">
        <f>50</f>
        <v>50</v>
      </c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</row>
    <row r="497" spans="1:30" ht="15.75" x14ac:dyDescent="0.25">
      <c r="A497" s="14">
        <v>56430</v>
      </c>
      <c r="B497" s="68">
        <v>30</v>
      </c>
      <c r="C497" s="56">
        <f>194.205</f>
        <v>194.20500000000001</v>
      </c>
      <c r="D497" s="56">
        <f>267.466</f>
        <v>267.46600000000001</v>
      </c>
      <c r="E497" s="64">
        <f>133.845</f>
        <v>133.845</v>
      </c>
      <c r="F497" s="56">
        <f>278.484-40-25-60-100</f>
        <v>53.48399999999998</v>
      </c>
      <c r="G497" s="59">
        <v>40</v>
      </c>
      <c r="H497" s="56">
        <f t="shared" si="81"/>
        <v>185</v>
      </c>
      <c r="I497" s="56">
        <f t="shared" si="80"/>
        <v>0</v>
      </c>
      <c r="J497" s="59">
        <v>100</v>
      </c>
      <c r="K497" s="59">
        <v>300</v>
      </c>
      <c r="L497" s="56">
        <f t="shared" si="74"/>
        <v>1274</v>
      </c>
      <c r="M497" s="66">
        <v>600</v>
      </c>
      <c r="N497" s="56">
        <f>30</f>
        <v>30</v>
      </c>
      <c r="O497" s="59">
        <v>240</v>
      </c>
      <c r="P497" s="59">
        <v>160</v>
      </c>
      <c r="Q497" s="59">
        <f t="shared" si="75"/>
        <v>195</v>
      </c>
      <c r="R497" s="59">
        <f t="shared" si="76"/>
        <v>100</v>
      </c>
      <c r="S497" s="56">
        <f t="shared" si="77"/>
        <v>695</v>
      </c>
      <c r="T497" s="56">
        <f>50</f>
        <v>50</v>
      </c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</row>
    <row r="498" spans="1:30" ht="15.75" x14ac:dyDescent="0.25">
      <c r="A498" s="14">
        <v>56461</v>
      </c>
      <c r="B498" s="68">
        <v>31</v>
      </c>
      <c r="C498" s="56">
        <f>194.205</f>
        <v>194.20500000000001</v>
      </c>
      <c r="D498" s="56">
        <f>267.466</f>
        <v>267.46600000000001</v>
      </c>
      <c r="E498" s="64">
        <f>133.845</f>
        <v>133.845</v>
      </c>
      <c r="F498" s="56">
        <f>278.484-40-25-60-100</f>
        <v>53.48399999999998</v>
      </c>
      <c r="G498" s="59">
        <v>40</v>
      </c>
      <c r="H498" s="56">
        <f t="shared" si="81"/>
        <v>185</v>
      </c>
      <c r="I498" s="56">
        <f t="shared" si="80"/>
        <v>0</v>
      </c>
      <c r="J498" s="59">
        <v>100</v>
      </c>
      <c r="K498" s="59">
        <v>300</v>
      </c>
      <c r="L498" s="56">
        <f t="shared" si="74"/>
        <v>1274</v>
      </c>
      <c r="M498" s="66">
        <v>600</v>
      </c>
      <c r="N498" s="56">
        <f>30</f>
        <v>30</v>
      </c>
      <c r="O498" s="59">
        <v>240</v>
      </c>
      <c r="P498" s="59">
        <v>160</v>
      </c>
      <c r="Q498" s="59">
        <f t="shared" si="75"/>
        <v>195</v>
      </c>
      <c r="R498" s="59">
        <f t="shared" si="76"/>
        <v>100</v>
      </c>
      <c r="S498" s="56">
        <f t="shared" si="77"/>
        <v>695</v>
      </c>
      <c r="T498" s="56">
        <f>0</f>
        <v>0</v>
      </c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</row>
    <row r="499" spans="1:30" ht="15.75" x14ac:dyDescent="0.25">
      <c r="A499" s="14">
        <v>56492</v>
      </c>
      <c r="B499" s="68">
        <v>31</v>
      </c>
      <c r="C499" s="56">
        <f>194.205</f>
        <v>194.20500000000001</v>
      </c>
      <c r="D499" s="56">
        <f>267.466</f>
        <v>267.46600000000001</v>
      </c>
      <c r="E499" s="64">
        <f>133.845</f>
        <v>133.845</v>
      </c>
      <c r="F499" s="56">
        <f>278.484-40-25-60-100</f>
        <v>53.48399999999998</v>
      </c>
      <c r="G499" s="59">
        <v>40</v>
      </c>
      <c r="H499" s="56">
        <f t="shared" si="81"/>
        <v>185</v>
      </c>
      <c r="I499" s="56">
        <f t="shared" si="80"/>
        <v>0</v>
      </c>
      <c r="J499" s="59">
        <v>100</v>
      </c>
      <c r="K499" s="59">
        <v>300</v>
      </c>
      <c r="L499" s="56">
        <f t="shared" si="74"/>
        <v>1274</v>
      </c>
      <c r="M499" s="66">
        <v>600</v>
      </c>
      <c r="N499" s="56">
        <f>30</f>
        <v>30</v>
      </c>
      <c r="O499" s="59">
        <v>240</v>
      </c>
      <c r="P499" s="59">
        <v>160</v>
      </c>
      <c r="Q499" s="59">
        <f t="shared" si="75"/>
        <v>195</v>
      </c>
      <c r="R499" s="59">
        <f t="shared" si="76"/>
        <v>100</v>
      </c>
      <c r="S499" s="56">
        <f t="shared" si="77"/>
        <v>695</v>
      </c>
      <c r="T499" s="56">
        <f>0</f>
        <v>0</v>
      </c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</row>
    <row r="500" spans="1:30" ht="15.75" x14ac:dyDescent="0.25">
      <c r="A500" s="14">
        <v>56522</v>
      </c>
      <c r="B500" s="68">
        <v>30</v>
      </c>
      <c r="C500" s="56">
        <f>194.205</f>
        <v>194.20500000000001</v>
      </c>
      <c r="D500" s="56">
        <f>267.466</f>
        <v>267.46600000000001</v>
      </c>
      <c r="E500" s="64">
        <f>133.845</f>
        <v>133.845</v>
      </c>
      <c r="F500" s="56">
        <f>278.484-40-25-60-100</f>
        <v>53.48399999999998</v>
      </c>
      <c r="G500" s="59">
        <v>40</v>
      </c>
      <c r="H500" s="56">
        <f t="shared" si="81"/>
        <v>185</v>
      </c>
      <c r="I500" s="56">
        <f t="shared" si="80"/>
        <v>0</v>
      </c>
      <c r="J500" s="59">
        <v>100</v>
      </c>
      <c r="K500" s="59">
        <v>300</v>
      </c>
      <c r="L500" s="56">
        <f t="shared" si="74"/>
        <v>1274</v>
      </c>
      <c r="M500" s="66">
        <v>600</v>
      </c>
      <c r="N500" s="56">
        <f>30</f>
        <v>30</v>
      </c>
      <c r="O500" s="59">
        <v>240</v>
      </c>
      <c r="P500" s="59">
        <v>160</v>
      </c>
      <c r="Q500" s="59">
        <f t="shared" si="75"/>
        <v>195</v>
      </c>
      <c r="R500" s="59">
        <f t="shared" si="76"/>
        <v>100</v>
      </c>
      <c r="S500" s="56">
        <f t="shared" si="77"/>
        <v>695</v>
      </c>
      <c r="T500" s="56">
        <f>0</f>
        <v>0</v>
      </c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</row>
    <row r="501" spans="1:30" ht="15.75" x14ac:dyDescent="0.25">
      <c r="A501" s="14">
        <v>56553</v>
      </c>
      <c r="B501" s="68">
        <v>31</v>
      </c>
      <c r="C501" s="56">
        <f>131.881</f>
        <v>131.881</v>
      </c>
      <c r="D501" s="56">
        <f>277.167</f>
        <v>277.16699999999997</v>
      </c>
      <c r="E501" s="64">
        <f>79.08</f>
        <v>79.08</v>
      </c>
      <c r="F501" s="56">
        <f>350.872-40-25-60-100</f>
        <v>125.87200000000001</v>
      </c>
      <c r="G501" s="59">
        <v>40</v>
      </c>
      <c r="H501" s="56">
        <f t="shared" si="81"/>
        <v>185</v>
      </c>
      <c r="I501" s="56">
        <f t="shared" si="80"/>
        <v>0</v>
      </c>
      <c r="J501" s="59">
        <v>100</v>
      </c>
      <c r="K501" s="59">
        <v>300</v>
      </c>
      <c r="L501" s="56">
        <f t="shared" si="74"/>
        <v>1239</v>
      </c>
      <c r="M501" s="66">
        <v>600</v>
      </c>
      <c r="N501" s="56">
        <f>75</f>
        <v>75</v>
      </c>
      <c r="O501" s="59">
        <v>240</v>
      </c>
      <c r="P501" s="59">
        <v>160</v>
      </c>
      <c r="Q501" s="59">
        <f t="shared" si="75"/>
        <v>195</v>
      </c>
      <c r="R501" s="59">
        <f t="shared" si="76"/>
        <v>100</v>
      </c>
      <c r="S501" s="56">
        <f t="shared" si="77"/>
        <v>695</v>
      </c>
      <c r="T501" s="56">
        <f>0</f>
        <v>0</v>
      </c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</row>
    <row r="502" spans="1:30" ht="15.75" x14ac:dyDescent="0.25">
      <c r="A502" s="14">
        <v>56583</v>
      </c>
      <c r="B502" s="68">
        <v>30</v>
      </c>
      <c r="C502" s="56">
        <f>122.58</f>
        <v>122.58</v>
      </c>
      <c r="D502" s="56">
        <f>297.941</f>
        <v>297.94099999999997</v>
      </c>
      <c r="E502" s="64">
        <f>89.177</f>
        <v>89.177000000000007</v>
      </c>
      <c r="F502" s="56">
        <f>240.302-40-60-100</f>
        <v>40.301999999999992</v>
      </c>
      <c r="G502" s="59">
        <v>40</v>
      </c>
      <c r="H502" s="56">
        <f>60+100</f>
        <v>160</v>
      </c>
      <c r="I502" s="56">
        <f t="shared" si="80"/>
        <v>0</v>
      </c>
      <c r="J502" s="59">
        <v>100</v>
      </c>
      <c r="K502" s="59">
        <v>300</v>
      </c>
      <c r="L502" s="56">
        <f t="shared" si="74"/>
        <v>1150</v>
      </c>
      <c r="M502" s="66">
        <v>600</v>
      </c>
      <c r="N502" s="56">
        <f>100</f>
        <v>100</v>
      </c>
      <c r="O502" s="59">
        <v>240</v>
      </c>
      <c r="P502" s="59">
        <v>40</v>
      </c>
      <c r="Q502" s="59">
        <f t="shared" si="75"/>
        <v>315</v>
      </c>
      <c r="R502" s="59">
        <f t="shared" si="76"/>
        <v>100</v>
      </c>
      <c r="S502" s="56">
        <f t="shared" si="77"/>
        <v>695</v>
      </c>
      <c r="T502" s="56">
        <f>50</f>
        <v>50</v>
      </c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</row>
    <row r="503" spans="1:30" ht="15.75" x14ac:dyDescent="0.25">
      <c r="A503" s="14">
        <v>56614</v>
      </c>
      <c r="B503" s="68">
        <v>31</v>
      </c>
      <c r="C503" s="56">
        <f>122.58</f>
        <v>122.58</v>
      </c>
      <c r="D503" s="56">
        <f>297.941</f>
        <v>297.94099999999997</v>
      </c>
      <c r="E503" s="64">
        <f>89.177</f>
        <v>89.177000000000007</v>
      </c>
      <c r="F503" s="56">
        <f>240.302-40-60-100</f>
        <v>40.301999999999992</v>
      </c>
      <c r="G503" s="59">
        <v>40</v>
      </c>
      <c r="H503" s="56">
        <f>60+100</f>
        <v>160</v>
      </c>
      <c r="I503" s="56">
        <f t="shared" si="80"/>
        <v>0</v>
      </c>
      <c r="J503" s="59">
        <v>100</v>
      </c>
      <c r="K503" s="59">
        <v>300</v>
      </c>
      <c r="L503" s="56">
        <f t="shared" si="74"/>
        <v>1150</v>
      </c>
      <c r="M503" s="66">
        <v>600</v>
      </c>
      <c r="N503" s="56">
        <f>100</f>
        <v>100</v>
      </c>
      <c r="O503" s="59">
        <v>240</v>
      </c>
      <c r="P503" s="59">
        <v>40</v>
      </c>
      <c r="Q503" s="59">
        <f t="shared" si="75"/>
        <v>315</v>
      </c>
      <c r="R503" s="59">
        <f t="shared" si="76"/>
        <v>100</v>
      </c>
      <c r="S503" s="56">
        <f t="shared" si="77"/>
        <v>695</v>
      </c>
      <c r="T503" s="56">
        <f>50</f>
        <v>50</v>
      </c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</row>
    <row r="504" spans="1:30" ht="15.75" x14ac:dyDescent="0.25">
      <c r="A504" s="13">
        <v>56645</v>
      </c>
      <c r="B504" s="67">
        <v>31</v>
      </c>
      <c r="C504" s="56">
        <f>122.58</f>
        <v>122.58</v>
      </c>
      <c r="D504" s="56">
        <f>297.941</f>
        <v>297.94099999999997</v>
      </c>
      <c r="E504" s="64">
        <f>89.177</f>
        <v>89.177000000000007</v>
      </c>
      <c r="F504" s="56">
        <f>240.302-40-60-100</f>
        <v>40.301999999999992</v>
      </c>
      <c r="G504" s="59">
        <v>40</v>
      </c>
      <c r="H504" s="56">
        <f>60+100</f>
        <v>160</v>
      </c>
      <c r="I504" s="56">
        <f t="shared" si="80"/>
        <v>0</v>
      </c>
      <c r="J504" s="59">
        <v>100</v>
      </c>
      <c r="K504" s="59">
        <v>300</v>
      </c>
      <c r="L504" s="56">
        <f t="shared" si="74"/>
        <v>1150</v>
      </c>
      <c r="M504" s="66">
        <v>600</v>
      </c>
      <c r="N504" s="56">
        <f>100</f>
        <v>100</v>
      </c>
      <c r="O504" s="59">
        <v>240</v>
      </c>
      <c r="P504" s="59">
        <v>40</v>
      </c>
      <c r="Q504" s="59">
        <f t="shared" si="75"/>
        <v>315</v>
      </c>
      <c r="R504" s="59">
        <f t="shared" si="76"/>
        <v>100</v>
      </c>
      <c r="S504" s="56">
        <f t="shared" si="77"/>
        <v>695</v>
      </c>
      <c r="T504" s="56">
        <f>50</f>
        <v>50</v>
      </c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</row>
    <row r="505" spans="1:30" ht="15.75" x14ac:dyDescent="0.25">
      <c r="A505" s="13">
        <v>56673</v>
      </c>
      <c r="B505" s="67">
        <v>28</v>
      </c>
      <c r="C505" s="56">
        <f>122.58</f>
        <v>122.58</v>
      </c>
      <c r="D505" s="56">
        <f>297.941</f>
        <v>297.94099999999997</v>
      </c>
      <c r="E505" s="64">
        <f>89.177</f>
        <v>89.177000000000007</v>
      </c>
      <c r="F505" s="56">
        <f>240.302-40-60-100</f>
        <v>40.301999999999992</v>
      </c>
      <c r="G505" s="59">
        <v>40</v>
      </c>
      <c r="H505" s="56">
        <f>60+100</f>
        <v>160</v>
      </c>
      <c r="I505" s="56">
        <f t="shared" si="80"/>
        <v>0</v>
      </c>
      <c r="J505" s="59">
        <v>100</v>
      </c>
      <c r="K505" s="59">
        <v>300</v>
      </c>
      <c r="L505" s="56">
        <f t="shared" si="74"/>
        <v>1150</v>
      </c>
      <c r="M505" s="66">
        <v>600</v>
      </c>
      <c r="N505" s="56">
        <f>100</f>
        <v>100</v>
      </c>
      <c r="O505" s="59">
        <v>240</v>
      </c>
      <c r="P505" s="59">
        <v>40</v>
      </c>
      <c r="Q505" s="59">
        <f t="shared" si="75"/>
        <v>315</v>
      </c>
      <c r="R505" s="59">
        <f t="shared" si="76"/>
        <v>100</v>
      </c>
      <c r="S505" s="56">
        <f t="shared" si="77"/>
        <v>695</v>
      </c>
      <c r="T505" s="56">
        <f>50</f>
        <v>50</v>
      </c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</row>
    <row r="506" spans="1:30" ht="15.75" x14ac:dyDescent="0.25">
      <c r="A506" s="13">
        <v>56704</v>
      </c>
      <c r="B506" s="67">
        <v>31</v>
      </c>
      <c r="C506" s="56">
        <f>122.58</f>
        <v>122.58</v>
      </c>
      <c r="D506" s="56">
        <f>297.941</f>
        <v>297.94099999999997</v>
      </c>
      <c r="E506" s="64">
        <f>89.177</f>
        <v>89.177000000000007</v>
      </c>
      <c r="F506" s="56">
        <f>240.302-40-60-100</f>
        <v>40.301999999999992</v>
      </c>
      <c r="G506" s="59">
        <v>40</v>
      </c>
      <c r="H506" s="56">
        <f>60+100</f>
        <v>160</v>
      </c>
      <c r="I506" s="56">
        <f t="shared" si="80"/>
        <v>0</v>
      </c>
      <c r="J506" s="59">
        <v>100</v>
      </c>
      <c r="K506" s="59">
        <v>300</v>
      </c>
      <c r="L506" s="56">
        <f t="shared" si="74"/>
        <v>1150</v>
      </c>
      <c r="M506" s="66">
        <v>600</v>
      </c>
      <c r="N506" s="56">
        <f>100</f>
        <v>100</v>
      </c>
      <c r="O506" s="59">
        <v>240</v>
      </c>
      <c r="P506" s="59">
        <v>40</v>
      </c>
      <c r="Q506" s="59">
        <f t="shared" si="75"/>
        <v>315</v>
      </c>
      <c r="R506" s="59">
        <f t="shared" si="76"/>
        <v>100</v>
      </c>
      <c r="S506" s="56">
        <f t="shared" si="77"/>
        <v>695</v>
      </c>
      <c r="T506" s="56">
        <f>50</f>
        <v>50</v>
      </c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</row>
    <row r="507" spans="1:30" ht="15.75" x14ac:dyDescent="0.25">
      <c r="A507" s="13">
        <v>56734</v>
      </c>
      <c r="B507" s="67">
        <v>30</v>
      </c>
      <c r="C507" s="56">
        <f>141.293</f>
        <v>141.29300000000001</v>
      </c>
      <c r="D507" s="56">
        <f>267.993</f>
        <v>267.99299999999999</v>
      </c>
      <c r="E507" s="64">
        <f>115.016</f>
        <v>115.01600000000001</v>
      </c>
      <c r="F507" s="56">
        <f>314.698-40-25-60-100</f>
        <v>89.697999999999979</v>
      </c>
      <c r="G507" s="59">
        <v>40</v>
      </c>
      <c r="H507" s="56">
        <f t="shared" ref="H507:H513" si="82">25+60+100</f>
        <v>185</v>
      </c>
      <c r="I507" s="56">
        <f t="shared" si="80"/>
        <v>0</v>
      </c>
      <c r="J507" s="59">
        <v>100</v>
      </c>
      <c r="K507" s="59">
        <v>300</v>
      </c>
      <c r="L507" s="56">
        <f t="shared" si="74"/>
        <v>1239</v>
      </c>
      <c r="M507" s="66">
        <v>600</v>
      </c>
      <c r="N507" s="56">
        <f>100</f>
        <v>100</v>
      </c>
      <c r="O507" s="59">
        <v>240</v>
      </c>
      <c r="P507" s="59">
        <v>160</v>
      </c>
      <c r="Q507" s="59">
        <f t="shared" si="75"/>
        <v>195</v>
      </c>
      <c r="R507" s="59">
        <f t="shared" si="76"/>
        <v>100</v>
      </c>
      <c r="S507" s="56">
        <f t="shared" si="77"/>
        <v>695</v>
      </c>
      <c r="T507" s="56">
        <f>50</f>
        <v>50</v>
      </c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</row>
    <row r="508" spans="1:30" ht="15.75" x14ac:dyDescent="0.25">
      <c r="A508" s="13">
        <v>56765</v>
      </c>
      <c r="B508" s="67">
        <v>31</v>
      </c>
      <c r="C508" s="56">
        <f>194.205</f>
        <v>194.20500000000001</v>
      </c>
      <c r="D508" s="56">
        <f>267.466</f>
        <v>267.46600000000001</v>
      </c>
      <c r="E508" s="64">
        <f>133.845</f>
        <v>133.845</v>
      </c>
      <c r="F508" s="56">
        <f>278.484-40-25-60-100</f>
        <v>53.48399999999998</v>
      </c>
      <c r="G508" s="59">
        <v>40</v>
      </c>
      <c r="H508" s="56">
        <f t="shared" si="82"/>
        <v>185</v>
      </c>
      <c r="I508" s="56">
        <f t="shared" si="80"/>
        <v>0</v>
      </c>
      <c r="J508" s="59">
        <v>100</v>
      </c>
      <c r="K508" s="59">
        <v>300</v>
      </c>
      <c r="L508" s="56">
        <f t="shared" si="74"/>
        <v>1274</v>
      </c>
      <c r="M508" s="66">
        <v>600</v>
      </c>
      <c r="N508" s="56">
        <f>75</f>
        <v>75</v>
      </c>
      <c r="O508" s="59">
        <v>240</v>
      </c>
      <c r="P508" s="59">
        <v>160</v>
      </c>
      <c r="Q508" s="59">
        <f t="shared" si="75"/>
        <v>195</v>
      </c>
      <c r="R508" s="59">
        <f t="shared" si="76"/>
        <v>100</v>
      </c>
      <c r="S508" s="56">
        <f t="shared" si="77"/>
        <v>695</v>
      </c>
      <c r="T508" s="56">
        <f>50</f>
        <v>50</v>
      </c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</row>
    <row r="509" spans="1:30" ht="15.75" x14ac:dyDescent="0.25">
      <c r="A509" s="13">
        <v>56795</v>
      </c>
      <c r="B509" s="67">
        <v>30</v>
      </c>
      <c r="C509" s="56">
        <f>194.205</f>
        <v>194.20500000000001</v>
      </c>
      <c r="D509" s="56">
        <f>267.466</f>
        <v>267.46600000000001</v>
      </c>
      <c r="E509" s="64">
        <f>133.845</f>
        <v>133.845</v>
      </c>
      <c r="F509" s="56">
        <f>278.484-40-25-60-100</f>
        <v>53.48399999999998</v>
      </c>
      <c r="G509" s="59">
        <v>40</v>
      </c>
      <c r="H509" s="56">
        <f t="shared" si="82"/>
        <v>185</v>
      </c>
      <c r="I509" s="56">
        <f t="shared" si="80"/>
        <v>0</v>
      </c>
      <c r="J509" s="59">
        <v>100</v>
      </c>
      <c r="K509" s="59">
        <v>300</v>
      </c>
      <c r="L509" s="56">
        <f t="shared" si="74"/>
        <v>1274</v>
      </c>
      <c r="M509" s="66">
        <v>600</v>
      </c>
      <c r="N509" s="56">
        <f>30</f>
        <v>30</v>
      </c>
      <c r="O509" s="59">
        <v>240</v>
      </c>
      <c r="P509" s="59">
        <v>160</v>
      </c>
      <c r="Q509" s="59">
        <f t="shared" si="75"/>
        <v>195</v>
      </c>
      <c r="R509" s="59">
        <f t="shared" si="76"/>
        <v>100</v>
      </c>
      <c r="S509" s="56">
        <f t="shared" si="77"/>
        <v>695</v>
      </c>
      <c r="T509" s="56">
        <f>50</f>
        <v>50</v>
      </c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</row>
    <row r="510" spans="1:30" ht="15.75" x14ac:dyDescent="0.25">
      <c r="A510" s="13">
        <v>56826</v>
      </c>
      <c r="B510" s="67">
        <v>31</v>
      </c>
      <c r="C510" s="56">
        <f>194.205</f>
        <v>194.20500000000001</v>
      </c>
      <c r="D510" s="56">
        <f>267.466</f>
        <v>267.46600000000001</v>
      </c>
      <c r="E510" s="64">
        <f>133.845</f>
        <v>133.845</v>
      </c>
      <c r="F510" s="56">
        <f>278.484-40-25-60-100</f>
        <v>53.48399999999998</v>
      </c>
      <c r="G510" s="59">
        <v>40</v>
      </c>
      <c r="H510" s="56">
        <f t="shared" si="82"/>
        <v>185</v>
      </c>
      <c r="I510" s="56">
        <f t="shared" si="80"/>
        <v>0</v>
      </c>
      <c r="J510" s="59">
        <v>100</v>
      </c>
      <c r="K510" s="59">
        <v>300</v>
      </c>
      <c r="L510" s="56">
        <f t="shared" si="74"/>
        <v>1274</v>
      </c>
      <c r="M510" s="66">
        <v>600</v>
      </c>
      <c r="N510" s="56">
        <f>30</f>
        <v>30</v>
      </c>
      <c r="O510" s="59">
        <v>240</v>
      </c>
      <c r="P510" s="59">
        <v>160</v>
      </c>
      <c r="Q510" s="59">
        <f t="shared" si="75"/>
        <v>195</v>
      </c>
      <c r="R510" s="59">
        <f t="shared" si="76"/>
        <v>100</v>
      </c>
      <c r="S510" s="56">
        <f t="shared" si="77"/>
        <v>695</v>
      </c>
      <c r="T510" s="56">
        <f>0</f>
        <v>0</v>
      </c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</row>
    <row r="511" spans="1:30" ht="15.75" x14ac:dyDescent="0.25">
      <c r="A511" s="13">
        <v>56857</v>
      </c>
      <c r="B511" s="67">
        <v>31</v>
      </c>
      <c r="C511" s="56">
        <f>194.205</f>
        <v>194.20500000000001</v>
      </c>
      <c r="D511" s="56">
        <f>267.466</f>
        <v>267.46600000000001</v>
      </c>
      <c r="E511" s="64">
        <f>133.845</f>
        <v>133.845</v>
      </c>
      <c r="F511" s="56">
        <f>278.484-40-25-60-100</f>
        <v>53.48399999999998</v>
      </c>
      <c r="G511" s="59">
        <v>40</v>
      </c>
      <c r="H511" s="56">
        <f t="shared" si="82"/>
        <v>185</v>
      </c>
      <c r="I511" s="56">
        <f t="shared" si="80"/>
        <v>0</v>
      </c>
      <c r="J511" s="59">
        <v>100</v>
      </c>
      <c r="K511" s="59">
        <v>300</v>
      </c>
      <c r="L511" s="56">
        <f t="shared" si="74"/>
        <v>1274</v>
      </c>
      <c r="M511" s="66">
        <v>600</v>
      </c>
      <c r="N511" s="56">
        <f>30</f>
        <v>30</v>
      </c>
      <c r="O511" s="59">
        <v>240</v>
      </c>
      <c r="P511" s="59">
        <v>160</v>
      </c>
      <c r="Q511" s="59">
        <f t="shared" si="75"/>
        <v>195</v>
      </c>
      <c r="R511" s="59">
        <f t="shared" si="76"/>
        <v>100</v>
      </c>
      <c r="S511" s="56">
        <f t="shared" si="77"/>
        <v>695</v>
      </c>
      <c r="T511" s="56">
        <f>0</f>
        <v>0</v>
      </c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</row>
    <row r="512" spans="1:30" ht="15.75" x14ac:dyDescent="0.25">
      <c r="A512" s="13">
        <v>56887</v>
      </c>
      <c r="B512" s="67">
        <v>30</v>
      </c>
      <c r="C512" s="56">
        <f>194.205</f>
        <v>194.20500000000001</v>
      </c>
      <c r="D512" s="56">
        <f>267.466</f>
        <v>267.46600000000001</v>
      </c>
      <c r="E512" s="64">
        <f>133.845</f>
        <v>133.845</v>
      </c>
      <c r="F512" s="56">
        <f>278.484-40-25-60-100</f>
        <v>53.48399999999998</v>
      </c>
      <c r="G512" s="59">
        <v>40</v>
      </c>
      <c r="H512" s="56">
        <f t="shared" si="82"/>
        <v>185</v>
      </c>
      <c r="I512" s="56">
        <f t="shared" si="80"/>
        <v>0</v>
      </c>
      <c r="J512" s="59">
        <v>100</v>
      </c>
      <c r="K512" s="59">
        <v>300</v>
      </c>
      <c r="L512" s="56">
        <f t="shared" si="74"/>
        <v>1274</v>
      </c>
      <c r="M512" s="66">
        <v>600</v>
      </c>
      <c r="N512" s="56">
        <f>30</f>
        <v>30</v>
      </c>
      <c r="O512" s="59">
        <v>240</v>
      </c>
      <c r="P512" s="59">
        <v>160</v>
      </c>
      <c r="Q512" s="59">
        <f t="shared" si="75"/>
        <v>195</v>
      </c>
      <c r="R512" s="59">
        <f t="shared" si="76"/>
        <v>100</v>
      </c>
      <c r="S512" s="56">
        <f t="shared" si="77"/>
        <v>695</v>
      </c>
      <c r="T512" s="56">
        <f>0</f>
        <v>0</v>
      </c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</row>
    <row r="513" spans="1:30" ht="15.75" x14ac:dyDescent="0.25">
      <c r="A513" s="13">
        <v>56918</v>
      </c>
      <c r="B513" s="67">
        <v>31</v>
      </c>
      <c r="C513" s="56">
        <f>131.881</f>
        <v>131.881</v>
      </c>
      <c r="D513" s="56">
        <f>277.167</f>
        <v>277.16699999999997</v>
      </c>
      <c r="E513" s="64">
        <f>79.08</f>
        <v>79.08</v>
      </c>
      <c r="F513" s="56">
        <f>350.872-40-25-60-100</f>
        <v>125.87200000000001</v>
      </c>
      <c r="G513" s="59">
        <v>40</v>
      </c>
      <c r="H513" s="56">
        <f t="shared" si="82"/>
        <v>185</v>
      </c>
      <c r="I513" s="56">
        <f t="shared" si="80"/>
        <v>0</v>
      </c>
      <c r="J513" s="59">
        <v>100</v>
      </c>
      <c r="K513" s="59">
        <v>300</v>
      </c>
      <c r="L513" s="56">
        <f t="shared" si="74"/>
        <v>1239</v>
      </c>
      <c r="M513" s="66">
        <v>600</v>
      </c>
      <c r="N513" s="56">
        <f>75</f>
        <v>75</v>
      </c>
      <c r="O513" s="59">
        <v>240</v>
      </c>
      <c r="P513" s="59">
        <v>160</v>
      </c>
      <c r="Q513" s="59">
        <f t="shared" si="75"/>
        <v>195</v>
      </c>
      <c r="R513" s="59">
        <f t="shared" si="76"/>
        <v>100</v>
      </c>
      <c r="S513" s="56">
        <f t="shared" si="77"/>
        <v>695</v>
      </c>
      <c r="T513" s="56">
        <f>0</f>
        <v>0</v>
      </c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</row>
    <row r="514" spans="1:30" ht="15.75" x14ac:dyDescent="0.25">
      <c r="A514" s="13">
        <v>56948</v>
      </c>
      <c r="B514" s="67">
        <v>30</v>
      </c>
      <c r="C514" s="56">
        <f>122.58</f>
        <v>122.58</v>
      </c>
      <c r="D514" s="56">
        <f>297.941</f>
        <v>297.94099999999997</v>
      </c>
      <c r="E514" s="64">
        <f>89.177</f>
        <v>89.177000000000007</v>
      </c>
      <c r="F514" s="56">
        <f>240.302-40-60-100</f>
        <v>40.301999999999992</v>
      </c>
      <c r="G514" s="59">
        <v>40</v>
      </c>
      <c r="H514" s="56">
        <f>60+100</f>
        <v>160</v>
      </c>
      <c r="I514" s="56">
        <f t="shared" si="80"/>
        <v>0</v>
      </c>
      <c r="J514" s="59">
        <v>100</v>
      </c>
      <c r="K514" s="59">
        <v>300</v>
      </c>
      <c r="L514" s="56">
        <f t="shared" si="74"/>
        <v>1150</v>
      </c>
      <c r="M514" s="66">
        <v>600</v>
      </c>
      <c r="N514" s="56">
        <f>100</f>
        <v>100</v>
      </c>
      <c r="O514" s="59">
        <v>240</v>
      </c>
      <c r="P514" s="59">
        <v>40</v>
      </c>
      <c r="Q514" s="59">
        <f t="shared" si="75"/>
        <v>315</v>
      </c>
      <c r="R514" s="59">
        <f t="shared" si="76"/>
        <v>100</v>
      </c>
      <c r="S514" s="56">
        <f t="shared" si="77"/>
        <v>695</v>
      </c>
      <c r="T514" s="56">
        <f>50</f>
        <v>50</v>
      </c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</row>
    <row r="515" spans="1:30" ht="15.75" x14ac:dyDescent="0.25">
      <c r="A515" s="13">
        <v>56979</v>
      </c>
      <c r="B515" s="67">
        <v>31</v>
      </c>
      <c r="C515" s="56">
        <f>122.58</f>
        <v>122.58</v>
      </c>
      <c r="D515" s="56">
        <f>297.941</f>
        <v>297.94099999999997</v>
      </c>
      <c r="E515" s="64">
        <f>89.177</f>
        <v>89.177000000000007</v>
      </c>
      <c r="F515" s="56">
        <f>240.302-40-60-100</f>
        <v>40.301999999999992</v>
      </c>
      <c r="G515" s="59">
        <v>40</v>
      </c>
      <c r="H515" s="56">
        <f>60+100</f>
        <v>160</v>
      </c>
      <c r="I515" s="56">
        <f t="shared" si="80"/>
        <v>0</v>
      </c>
      <c r="J515" s="59">
        <v>100</v>
      </c>
      <c r="K515" s="59">
        <v>300</v>
      </c>
      <c r="L515" s="56">
        <f t="shared" si="74"/>
        <v>1150</v>
      </c>
      <c r="M515" s="66">
        <v>600</v>
      </c>
      <c r="N515" s="56">
        <f>100</f>
        <v>100</v>
      </c>
      <c r="O515" s="59">
        <v>240</v>
      </c>
      <c r="P515" s="59">
        <v>40</v>
      </c>
      <c r="Q515" s="59">
        <f t="shared" si="75"/>
        <v>315</v>
      </c>
      <c r="R515" s="59">
        <f t="shared" si="76"/>
        <v>100</v>
      </c>
      <c r="S515" s="56">
        <f t="shared" si="77"/>
        <v>695</v>
      </c>
      <c r="T515" s="56">
        <f>50</f>
        <v>50</v>
      </c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</row>
    <row r="516" spans="1:30" ht="15.75" x14ac:dyDescent="0.25">
      <c r="A516" s="13">
        <v>57010</v>
      </c>
      <c r="B516" s="67">
        <v>31</v>
      </c>
      <c r="C516" s="56">
        <f>122.58</f>
        <v>122.58</v>
      </c>
      <c r="D516" s="56">
        <f>297.941</f>
        <v>297.94099999999997</v>
      </c>
      <c r="E516" s="64">
        <f>89.177</f>
        <v>89.177000000000007</v>
      </c>
      <c r="F516" s="56">
        <f>240.302-40-60-100</f>
        <v>40.301999999999992</v>
      </c>
      <c r="G516" s="59">
        <v>40</v>
      </c>
      <c r="H516" s="56">
        <f>60+100</f>
        <v>160</v>
      </c>
      <c r="I516" s="56">
        <f t="shared" si="80"/>
        <v>0</v>
      </c>
      <c r="J516" s="59">
        <v>100</v>
      </c>
      <c r="K516" s="59">
        <v>300</v>
      </c>
      <c r="L516" s="56">
        <f t="shared" si="74"/>
        <v>1150</v>
      </c>
      <c r="M516" s="66">
        <v>600</v>
      </c>
      <c r="N516" s="56">
        <f>100</f>
        <v>100</v>
      </c>
      <c r="O516" s="59">
        <v>240</v>
      </c>
      <c r="P516" s="59">
        <v>40</v>
      </c>
      <c r="Q516" s="59">
        <f t="shared" si="75"/>
        <v>315</v>
      </c>
      <c r="R516" s="59">
        <f t="shared" si="76"/>
        <v>100</v>
      </c>
      <c r="S516" s="56">
        <f t="shared" si="77"/>
        <v>695</v>
      </c>
      <c r="T516" s="56">
        <f>50</f>
        <v>50</v>
      </c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</row>
    <row r="517" spans="1:30" ht="15.75" x14ac:dyDescent="0.25">
      <c r="A517" s="13">
        <v>57038</v>
      </c>
      <c r="B517" s="67">
        <v>29</v>
      </c>
      <c r="C517" s="56">
        <f>122.58</f>
        <v>122.58</v>
      </c>
      <c r="D517" s="56">
        <f>297.941</f>
        <v>297.94099999999997</v>
      </c>
      <c r="E517" s="64">
        <f>89.177</f>
        <v>89.177000000000007</v>
      </c>
      <c r="F517" s="56">
        <f>240.302-40-60-100</f>
        <v>40.301999999999992</v>
      </c>
      <c r="G517" s="59">
        <v>40</v>
      </c>
      <c r="H517" s="56">
        <f>60+100</f>
        <v>160</v>
      </c>
      <c r="I517" s="56">
        <f t="shared" si="80"/>
        <v>0</v>
      </c>
      <c r="J517" s="59">
        <v>100</v>
      </c>
      <c r="K517" s="59">
        <v>300</v>
      </c>
      <c r="L517" s="56">
        <f t="shared" si="74"/>
        <v>1150</v>
      </c>
      <c r="M517" s="66">
        <v>600</v>
      </c>
      <c r="N517" s="56">
        <f>100</f>
        <v>100</v>
      </c>
      <c r="O517" s="59">
        <v>240</v>
      </c>
      <c r="P517" s="59">
        <v>40</v>
      </c>
      <c r="Q517" s="59">
        <f t="shared" si="75"/>
        <v>315</v>
      </c>
      <c r="R517" s="59">
        <f t="shared" si="76"/>
        <v>100</v>
      </c>
      <c r="S517" s="56">
        <f t="shared" si="77"/>
        <v>695</v>
      </c>
      <c r="T517" s="56">
        <f>50</f>
        <v>50</v>
      </c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</row>
    <row r="518" spans="1:30" ht="15.75" x14ac:dyDescent="0.25">
      <c r="A518" s="13">
        <v>57070</v>
      </c>
      <c r="B518" s="67">
        <v>31</v>
      </c>
      <c r="C518" s="56">
        <f>122.58</f>
        <v>122.58</v>
      </c>
      <c r="D518" s="56">
        <f>297.941</f>
        <v>297.94099999999997</v>
      </c>
      <c r="E518" s="64">
        <f>89.177</f>
        <v>89.177000000000007</v>
      </c>
      <c r="F518" s="56">
        <f>240.302-40-60-100</f>
        <v>40.301999999999992</v>
      </c>
      <c r="G518" s="59">
        <v>40</v>
      </c>
      <c r="H518" s="56">
        <f>60+100</f>
        <v>160</v>
      </c>
      <c r="I518" s="56">
        <f t="shared" si="80"/>
        <v>0</v>
      </c>
      <c r="J518" s="59">
        <v>100</v>
      </c>
      <c r="K518" s="59">
        <v>300</v>
      </c>
      <c r="L518" s="56">
        <f t="shared" si="74"/>
        <v>1150</v>
      </c>
      <c r="M518" s="66">
        <v>600</v>
      </c>
      <c r="N518" s="56">
        <f>100</f>
        <v>100</v>
      </c>
      <c r="O518" s="59">
        <v>240</v>
      </c>
      <c r="P518" s="59">
        <v>40</v>
      </c>
      <c r="Q518" s="59">
        <f t="shared" si="75"/>
        <v>315</v>
      </c>
      <c r="R518" s="59">
        <f t="shared" si="76"/>
        <v>100</v>
      </c>
      <c r="S518" s="56">
        <f t="shared" si="77"/>
        <v>695</v>
      </c>
      <c r="T518" s="56">
        <f>50</f>
        <v>50</v>
      </c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</row>
    <row r="519" spans="1:30" ht="15.75" x14ac:dyDescent="0.25">
      <c r="A519" s="13">
        <v>57100</v>
      </c>
      <c r="B519" s="67">
        <v>30</v>
      </c>
      <c r="C519" s="56">
        <f>141.293</f>
        <v>141.29300000000001</v>
      </c>
      <c r="D519" s="56">
        <f>267.993</f>
        <v>267.99299999999999</v>
      </c>
      <c r="E519" s="64">
        <f>115.016</f>
        <v>115.01600000000001</v>
      </c>
      <c r="F519" s="56">
        <f>314.698-40-25-60-100</f>
        <v>89.697999999999979</v>
      </c>
      <c r="G519" s="59">
        <v>40</v>
      </c>
      <c r="H519" s="56">
        <f t="shared" ref="H519:H525" si="83">25+60+100</f>
        <v>185</v>
      </c>
      <c r="I519" s="56">
        <f t="shared" si="80"/>
        <v>0</v>
      </c>
      <c r="J519" s="59">
        <v>100</v>
      </c>
      <c r="K519" s="59">
        <v>300</v>
      </c>
      <c r="L519" s="56">
        <f t="shared" si="74"/>
        <v>1239</v>
      </c>
      <c r="M519" s="66">
        <v>600</v>
      </c>
      <c r="N519" s="56">
        <f>100</f>
        <v>100</v>
      </c>
      <c r="O519" s="59">
        <v>240</v>
      </c>
      <c r="P519" s="59">
        <v>160</v>
      </c>
      <c r="Q519" s="59">
        <f t="shared" si="75"/>
        <v>195</v>
      </c>
      <c r="R519" s="59">
        <f t="shared" si="76"/>
        <v>100</v>
      </c>
      <c r="S519" s="56">
        <f t="shared" si="77"/>
        <v>695</v>
      </c>
      <c r="T519" s="56">
        <f>50</f>
        <v>50</v>
      </c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</row>
    <row r="520" spans="1:30" ht="15.75" x14ac:dyDescent="0.25">
      <c r="A520" s="13">
        <v>57131</v>
      </c>
      <c r="B520" s="67">
        <v>31</v>
      </c>
      <c r="C520" s="56">
        <f>194.205</f>
        <v>194.20500000000001</v>
      </c>
      <c r="D520" s="56">
        <f>267.466</f>
        <v>267.46600000000001</v>
      </c>
      <c r="E520" s="64">
        <f>133.845</f>
        <v>133.845</v>
      </c>
      <c r="F520" s="56">
        <f>278.484-40-25-60-100</f>
        <v>53.48399999999998</v>
      </c>
      <c r="G520" s="59">
        <v>40</v>
      </c>
      <c r="H520" s="56">
        <f t="shared" si="83"/>
        <v>185</v>
      </c>
      <c r="I520" s="56">
        <f t="shared" si="80"/>
        <v>0</v>
      </c>
      <c r="J520" s="59">
        <v>100</v>
      </c>
      <c r="K520" s="59">
        <v>300</v>
      </c>
      <c r="L520" s="56">
        <f t="shared" si="74"/>
        <v>1274</v>
      </c>
      <c r="M520" s="66">
        <v>600</v>
      </c>
      <c r="N520" s="56">
        <f>75</f>
        <v>75</v>
      </c>
      <c r="O520" s="59">
        <v>240</v>
      </c>
      <c r="P520" s="59">
        <v>160</v>
      </c>
      <c r="Q520" s="59">
        <f t="shared" si="75"/>
        <v>195</v>
      </c>
      <c r="R520" s="59">
        <f t="shared" si="76"/>
        <v>100</v>
      </c>
      <c r="S520" s="56">
        <f t="shared" si="77"/>
        <v>695</v>
      </c>
      <c r="T520" s="56">
        <f>50</f>
        <v>50</v>
      </c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</row>
    <row r="521" spans="1:30" ht="15.75" x14ac:dyDescent="0.25">
      <c r="A521" s="13">
        <v>57161</v>
      </c>
      <c r="B521" s="67">
        <v>30</v>
      </c>
      <c r="C521" s="56">
        <f>194.205</f>
        <v>194.20500000000001</v>
      </c>
      <c r="D521" s="56">
        <f>267.466</f>
        <v>267.46600000000001</v>
      </c>
      <c r="E521" s="64">
        <f>133.845</f>
        <v>133.845</v>
      </c>
      <c r="F521" s="56">
        <f>278.484-40-25-60-100</f>
        <v>53.48399999999998</v>
      </c>
      <c r="G521" s="59">
        <v>40</v>
      </c>
      <c r="H521" s="56">
        <f t="shared" si="83"/>
        <v>185</v>
      </c>
      <c r="I521" s="56">
        <f t="shared" si="80"/>
        <v>0</v>
      </c>
      <c r="J521" s="59">
        <v>100</v>
      </c>
      <c r="K521" s="59">
        <v>300</v>
      </c>
      <c r="L521" s="56">
        <f t="shared" si="74"/>
        <v>1274</v>
      </c>
      <c r="M521" s="66">
        <v>600</v>
      </c>
      <c r="N521" s="56">
        <f>30</f>
        <v>30</v>
      </c>
      <c r="O521" s="59">
        <v>240</v>
      </c>
      <c r="P521" s="59">
        <v>160</v>
      </c>
      <c r="Q521" s="59">
        <f t="shared" si="75"/>
        <v>195</v>
      </c>
      <c r="R521" s="59">
        <f t="shared" si="76"/>
        <v>100</v>
      </c>
      <c r="S521" s="56">
        <f t="shared" si="77"/>
        <v>695</v>
      </c>
      <c r="T521" s="56">
        <f>50</f>
        <v>50</v>
      </c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</row>
    <row r="522" spans="1:30" ht="15.75" x14ac:dyDescent="0.25">
      <c r="A522" s="13">
        <v>57192</v>
      </c>
      <c r="B522" s="67">
        <v>31</v>
      </c>
      <c r="C522" s="56">
        <f>194.205</f>
        <v>194.20500000000001</v>
      </c>
      <c r="D522" s="56">
        <f>267.466</f>
        <v>267.46600000000001</v>
      </c>
      <c r="E522" s="64">
        <f>133.845</f>
        <v>133.845</v>
      </c>
      <c r="F522" s="56">
        <f>278.484-40-25-60-100</f>
        <v>53.48399999999998</v>
      </c>
      <c r="G522" s="59">
        <v>40</v>
      </c>
      <c r="H522" s="56">
        <f t="shared" si="83"/>
        <v>185</v>
      </c>
      <c r="I522" s="56">
        <f t="shared" si="80"/>
        <v>0</v>
      </c>
      <c r="J522" s="59">
        <v>100</v>
      </c>
      <c r="K522" s="59">
        <v>300</v>
      </c>
      <c r="L522" s="56">
        <f t="shared" si="74"/>
        <v>1274</v>
      </c>
      <c r="M522" s="66">
        <v>600</v>
      </c>
      <c r="N522" s="56">
        <f>30</f>
        <v>30</v>
      </c>
      <c r="O522" s="59">
        <v>240</v>
      </c>
      <c r="P522" s="59">
        <v>160</v>
      </c>
      <c r="Q522" s="59">
        <f t="shared" si="75"/>
        <v>195</v>
      </c>
      <c r="R522" s="59">
        <f t="shared" si="76"/>
        <v>100</v>
      </c>
      <c r="S522" s="56">
        <f t="shared" si="77"/>
        <v>695</v>
      </c>
      <c r="T522" s="56">
        <f>0</f>
        <v>0</v>
      </c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</row>
    <row r="523" spans="1:30" ht="15.75" x14ac:dyDescent="0.25">
      <c r="A523" s="13">
        <v>57223</v>
      </c>
      <c r="B523" s="67">
        <v>31</v>
      </c>
      <c r="C523" s="56">
        <f>194.205</f>
        <v>194.20500000000001</v>
      </c>
      <c r="D523" s="56">
        <f>267.466</f>
        <v>267.46600000000001</v>
      </c>
      <c r="E523" s="64">
        <f>133.845</f>
        <v>133.845</v>
      </c>
      <c r="F523" s="56">
        <f>278.484-40-25-60-100</f>
        <v>53.48399999999998</v>
      </c>
      <c r="G523" s="59">
        <v>40</v>
      </c>
      <c r="H523" s="56">
        <f t="shared" si="83"/>
        <v>185</v>
      </c>
      <c r="I523" s="56">
        <f t="shared" si="80"/>
        <v>0</v>
      </c>
      <c r="J523" s="59">
        <v>100</v>
      </c>
      <c r="K523" s="59">
        <v>300</v>
      </c>
      <c r="L523" s="56">
        <f t="shared" si="74"/>
        <v>1274</v>
      </c>
      <c r="M523" s="66">
        <v>600</v>
      </c>
      <c r="N523" s="56">
        <f>30</f>
        <v>30</v>
      </c>
      <c r="O523" s="59">
        <v>240</v>
      </c>
      <c r="P523" s="59">
        <v>160</v>
      </c>
      <c r="Q523" s="59">
        <f t="shared" si="75"/>
        <v>195</v>
      </c>
      <c r="R523" s="59">
        <f t="shared" si="76"/>
        <v>100</v>
      </c>
      <c r="S523" s="56">
        <f t="shared" si="77"/>
        <v>695</v>
      </c>
      <c r="T523" s="56">
        <f>0</f>
        <v>0</v>
      </c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</row>
    <row r="524" spans="1:30" ht="15.75" x14ac:dyDescent="0.25">
      <c r="A524" s="13">
        <v>57253</v>
      </c>
      <c r="B524" s="67">
        <v>30</v>
      </c>
      <c r="C524" s="56">
        <f>194.205</f>
        <v>194.20500000000001</v>
      </c>
      <c r="D524" s="56">
        <f>267.466</f>
        <v>267.46600000000001</v>
      </c>
      <c r="E524" s="64">
        <f>133.845</f>
        <v>133.845</v>
      </c>
      <c r="F524" s="56">
        <f>278.484-40-25-60-100</f>
        <v>53.48399999999998</v>
      </c>
      <c r="G524" s="59">
        <v>40</v>
      </c>
      <c r="H524" s="56">
        <f t="shared" si="83"/>
        <v>185</v>
      </c>
      <c r="I524" s="56">
        <f t="shared" si="80"/>
        <v>0</v>
      </c>
      <c r="J524" s="59">
        <v>100</v>
      </c>
      <c r="K524" s="59">
        <v>300</v>
      </c>
      <c r="L524" s="56">
        <f t="shared" si="74"/>
        <v>1274</v>
      </c>
      <c r="M524" s="66">
        <v>600</v>
      </c>
      <c r="N524" s="56">
        <f>30</f>
        <v>30</v>
      </c>
      <c r="O524" s="59">
        <v>240</v>
      </c>
      <c r="P524" s="59">
        <v>160</v>
      </c>
      <c r="Q524" s="59">
        <f t="shared" si="75"/>
        <v>195</v>
      </c>
      <c r="R524" s="59">
        <f t="shared" si="76"/>
        <v>100</v>
      </c>
      <c r="S524" s="56">
        <f t="shared" si="77"/>
        <v>695</v>
      </c>
      <c r="T524" s="56">
        <f>0</f>
        <v>0</v>
      </c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</row>
    <row r="525" spans="1:30" ht="15.75" x14ac:dyDescent="0.25">
      <c r="A525" s="13">
        <v>57284</v>
      </c>
      <c r="B525" s="67">
        <v>31</v>
      </c>
      <c r="C525" s="56">
        <f>131.881</f>
        <v>131.881</v>
      </c>
      <c r="D525" s="56">
        <f>277.167</f>
        <v>277.16699999999997</v>
      </c>
      <c r="E525" s="64">
        <f>79.08</f>
        <v>79.08</v>
      </c>
      <c r="F525" s="56">
        <f>350.872-40-25-60-100</f>
        <v>125.87200000000001</v>
      </c>
      <c r="G525" s="59">
        <v>40</v>
      </c>
      <c r="H525" s="56">
        <f t="shared" si="83"/>
        <v>185</v>
      </c>
      <c r="I525" s="56">
        <f t="shared" si="80"/>
        <v>0</v>
      </c>
      <c r="J525" s="59">
        <v>100</v>
      </c>
      <c r="K525" s="59">
        <v>300</v>
      </c>
      <c r="L525" s="56">
        <f t="shared" si="74"/>
        <v>1239</v>
      </c>
      <c r="M525" s="66">
        <v>600</v>
      </c>
      <c r="N525" s="56">
        <f>75</f>
        <v>75</v>
      </c>
      <c r="O525" s="59">
        <v>240</v>
      </c>
      <c r="P525" s="59">
        <v>160</v>
      </c>
      <c r="Q525" s="59">
        <f t="shared" si="75"/>
        <v>195</v>
      </c>
      <c r="R525" s="59">
        <f t="shared" si="76"/>
        <v>100</v>
      </c>
      <c r="S525" s="56">
        <f t="shared" si="77"/>
        <v>695</v>
      </c>
      <c r="T525" s="56">
        <f>0</f>
        <v>0</v>
      </c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</row>
    <row r="526" spans="1:30" ht="15.75" x14ac:dyDescent="0.25">
      <c r="A526" s="13">
        <v>57314</v>
      </c>
      <c r="B526" s="67">
        <v>30</v>
      </c>
      <c r="C526" s="56">
        <f>122.58</f>
        <v>122.58</v>
      </c>
      <c r="D526" s="56">
        <f>297.941</f>
        <v>297.94099999999997</v>
      </c>
      <c r="E526" s="64">
        <f>89.177</f>
        <v>89.177000000000007</v>
      </c>
      <c r="F526" s="56">
        <f>240.302-40-60-100</f>
        <v>40.301999999999992</v>
      </c>
      <c r="G526" s="59">
        <v>40</v>
      </c>
      <c r="H526" s="56">
        <f>60+100</f>
        <v>160</v>
      </c>
      <c r="I526" s="56">
        <f t="shared" si="80"/>
        <v>0</v>
      </c>
      <c r="J526" s="59">
        <v>100</v>
      </c>
      <c r="K526" s="59">
        <v>300</v>
      </c>
      <c r="L526" s="56">
        <f t="shared" si="74"/>
        <v>1150</v>
      </c>
      <c r="M526" s="66">
        <v>600</v>
      </c>
      <c r="N526" s="56">
        <f>100</f>
        <v>100</v>
      </c>
      <c r="O526" s="59">
        <v>240</v>
      </c>
      <c r="P526" s="59">
        <v>40</v>
      </c>
      <c r="Q526" s="59">
        <f t="shared" si="75"/>
        <v>315</v>
      </c>
      <c r="R526" s="59">
        <f t="shared" si="76"/>
        <v>100</v>
      </c>
      <c r="S526" s="56">
        <f t="shared" si="77"/>
        <v>695</v>
      </c>
      <c r="T526" s="56">
        <f>50</f>
        <v>50</v>
      </c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</row>
    <row r="527" spans="1:30" ht="15.75" x14ac:dyDescent="0.25">
      <c r="A527" s="13">
        <v>57345</v>
      </c>
      <c r="B527" s="67">
        <v>31</v>
      </c>
      <c r="C527" s="56">
        <f>122.58</f>
        <v>122.58</v>
      </c>
      <c r="D527" s="56">
        <f>297.941</f>
        <v>297.94099999999997</v>
      </c>
      <c r="E527" s="64">
        <f>89.177</f>
        <v>89.177000000000007</v>
      </c>
      <c r="F527" s="56">
        <f>240.302-40-60-100</f>
        <v>40.301999999999992</v>
      </c>
      <c r="G527" s="59">
        <v>40</v>
      </c>
      <c r="H527" s="56">
        <f>60+100</f>
        <v>160</v>
      </c>
      <c r="I527" s="56">
        <f t="shared" si="80"/>
        <v>0</v>
      </c>
      <c r="J527" s="59">
        <v>100</v>
      </c>
      <c r="K527" s="59">
        <v>300</v>
      </c>
      <c r="L527" s="56">
        <f t="shared" ref="L527:L590" si="84">SUM(C527:K527)</f>
        <v>1150</v>
      </c>
      <c r="M527" s="66">
        <v>600</v>
      </c>
      <c r="N527" s="56">
        <f>100</f>
        <v>100</v>
      </c>
      <c r="O527" s="59">
        <v>240</v>
      </c>
      <c r="P527" s="59">
        <v>40</v>
      </c>
      <c r="Q527" s="59">
        <f t="shared" ref="Q527:Q590" si="85">695-R527-O527-P527</f>
        <v>315</v>
      </c>
      <c r="R527" s="59">
        <f t="shared" ref="R527:R590" si="86">200-J527</f>
        <v>100</v>
      </c>
      <c r="S527" s="56">
        <f t="shared" ref="S527:S590" si="87">SUM(O527:R527)</f>
        <v>695</v>
      </c>
      <c r="T527" s="56">
        <f>50</f>
        <v>50</v>
      </c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</row>
    <row r="528" spans="1:30" ht="15.75" x14ac:dyDescent="0.25">
      <c r="A528" s="13">
        <v>57376</v>
      </c>
      <c r="B528" s="67">
        <v>31</v>
      </c>
      <c r="C528" s="56">
        <f>122.58</f>
        <v>122.58</v>
      </c>
      <c r="D528" s="56">
        <f>297.941</f>
        <v>297.94099999999997</v>
      </c>
      <c r="E528" s="64">
        <f>89.177</f>
        <v>89.177000000000007</v>
      </c>
      <c r="F528" s="56">
        <f>240.302-40-60-100</f>
        <v>40.301999999999992</v>
      </c>
      <c r="G528" s="59">
        <v>40</v>
      </c>
      <c r="H528" s="56">
        <f>60+100</f>
        <v>160</v>
      </c>
      <c r="I528" s="56">
        <f t="shared" si="80"/>
        <v>0</v>
      </c>
      <c r="J528" s="59">
        <v>100</v>
      </c>
      <c r="K528" s="59">
        <v>300</v>
      </c>
      <c r="L528" s="56">
        <f t="shared" si="84"/>
        <v>1150</v>
      </c>
      <c r="M528" s="66">
        <v>600</v>
      </c>
      <c r="N528" s="56">
        <f>100</f>
        <v>100</v>
      </c>
      <c r="O528" s="59">
        <v>240</v>
      </c>
      <c r="P528" s="59">
        <v>40</v>
      </c>
      <c r="Q528" s="59">
        <f t="shared" si="85"/>
        <v>315</v>
      </c>
      <c r="R528" s="59">
        <f t="shared" si="86"/>
        <v>100</v>
      </c>
      <c r="S528" s="56">
        <f t="shared" si="87"/>
        <v>695</v>
      </c>
      <c r="T528" s="56">
        <f>50</f>
        <v>50</v>
      </c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</row>
    <row r="529" spans="1:30" ht="15.75" x14ac:dyDescent="0.25">
      <c r="A529" s="13">
        <v>57404</v>
      </c>
      <c r="B529" s="67">
        <v>28</v>
      </c>
      <c r="C529" s="56">
        <f>122.58</f>
        <v>122.58</v>
      </c>
      <c r="D529" s="56">
        <f>297.941</f>
        <v>297.94099999999997</v>
      </c>
      <c r="E529" s="64">
        <f>89.177</f>
        <v>89.177000000000007</v>
      </c>
      <c r="F529" s="56">
        <f>240.302-40-60-100</f>
        <v>40.301999999999992</v>
      </c>
      <c r="G529" s="59">
        <v>40</v>
      </c>
      <c r="H529" s="56">
        <f>60+100</f>
        <v>160</v>
      </c>
      <c r="I529" s="56">
        <f t="shared" si="80"/>
        <v>0</v>
      </c>
      <c r="J529" s="59">
        <v>100</v>
      </c>
      <c r="K529" s="59">
        <v>300</v>
      </c>
      <c r="L529" s="56">
        <f t="shared" si="84"/>
        <v>1150</v>
      </c>
      <c r="M529" s="66">
        <v>600</v>
      </c>
      <c r="N529" s="56">
        <f>100</f>
        <v>100</v>
      </c>
      <c r="O529" s="59">
        <v>240</v>
      </c>
      <c r="P529" s="59">
        <v>40</v>
      </c>
      <c r="Q529" s="59">
        <f t="shared" si="85"/>
        <v>315</v>
      </c>
      <c r="R529" s="59">
        <f t="shared" si="86"/>
        <v>100</v>
      </c>
      <c r="S529" s="56">
        <f t="shared" si="87"/>
        <v>695</v>
      </c>
      <c r="T529" s="56">
        <f>50</f>
        <v>50</v>
      </c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</row>
    <row r="530" spans="1:30" ht="15.75" x14ac:dyDescent="0.25">
      <c r="A530" s="13">
        <v>57435</v>
      </c>
      <c r="B530" s="67">
        <v>31</v>
      </c>
      <c r="C530" s="56">
        <f>122.58</f>
        <v>122.58</v>
      </c>
      <c r="D530" s="56">
        <f>297.941</f>
        <v>297.94099999999997</v>
      </c>
      <c r="E530" s="64">
        <f>89.177</f>
        <v>89.177000000000007</v>
      </c>
      <c r="F530" s="56">
        <f>240.302-40-60-100</f>
        <v>40.301999999999992</v>
      </c>
      <c r="G530" s="59">
        <v>40</v>
      </c>
      <c r="H530" s="56">
        <f>60+100</f>
        <v>160</v>
      </c>
      <c r="I530" s="56">
        <f t="shared" si="80"/>
        <v>0</v>
      </c>
      <c r="J530" s="59">
        <v>100</v>
      </c>
      <c r="K530" s="59">
        <v>300</v>
      </c>
      <c r="L530" s="56">
        <f t="shared" si="84"/>
        <v>1150</v>
      </c>
      <c r="M530" s="66">
        <v>600</v>
      </c>
      <c r="N530" s="56">
        <f>100</f>
        <v>100</v>
      </c>
      <c r="O530" s="59">
        <v>240</v>
      </c>
      <c r="P530" s="59">
        <v>40</v>
      </c>
      <c r="Q530" s="59">
        <f t="shared" si="85"/>
        <v>315</v>
      </c>
      <c r="R530" s="59">
        <f t="shared" si="86"/>
        <v>100</v>
      </c>
      <c r="S530" s="56">
        <f t="shared" si="87"/>
        <v>695</v>
      </c>
      <c r="T530" s="56">
        <f>50</f>
        <v>50</v>
      </c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</row>
    <row r="531" spans="1:30" ht="15.75" x14ac:dyDescent="0.25">
      <c r="A531" s="13">
        <v>57465</v>
      </c>
      <c r="B531" s="67">
        <v>30</v>
      </c>
      <c r="C531" s="56">
        <f>141.293</f>
        <v>141.29300000000001</v>
      </c>
      <c r="D531" s="56">
        <f>267.993</f>
        <v>267.99299999999999</v>
      </c>
      <c r="E531" s="64">
        <f>115.016</f>
        <v>115.01600000000001</v>
      </c>
      <c r="F531" s="56">
        <f>314.698-40-25-60-100</f>
        <v>89.697999999999979</v>
      </c>
      <c r="G531" s="59">
        <v>40</v>
      </c>
      <c r="H531" s="56">
        <f t="shared" ref="H531:H537" si="88">25+60+100</f>
        <v>185</v>
      </c>
      <c r="I531" s="56">
        <f t="shared" si="80"/>
        <v>0</v>
      </c>
      <c r="J531" s="59">
        <v>100</v>
      </c>
      <c r="K531" s="59">
        <v>300</v>
      </c>
      <c r="L531" s="56">
        <f t="shared" si="84"/>
        <v>1239</v>
      </c>
      <c r="M531" s="66">
        <v>600</v>
      </c>
      <c r="N531" s="56">
        <f>100</f>
        <v>100</v>
      </c>
      <c r="O531" s="59">
        <v>240</v>
      </c>
      <c r="P531" s="59">
        <v>160</v>
      </c>
      <c r="Q531" s="59">
        <f t="shared" si="85"/>
        <v>195</v>
      </c>
      <c r="R531" s="59">
        <f t="shared" si="86"/>
        <v>100</v>
      </c>
      <c r="S531" s="56">
        <f t="shared" si="87"/>
        <v>695</v>
      </c>
      <c r="T531" s="56">
        <f>50</f>
        <v>50</v>
      </c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</row>
    <row r="532" spans="1:30" ht="15.75" x14ac:dyDescent="0.25">
      <c r="A532" s="13">
        <v>57496</v>
      </c>
      <c r="B532" s="67">
        <v>31</v>
      </c>
      <c r="C532" s="56">
        <f>194.205</f>
        <v>194.20500000000001</v>
      </c>
      <c r="D532" s="56">
        <f>267.466</f>
        <v>267.46600000000001</v>
      </c>
      <c r="E532" s="64">
        <f>133.845</f>
        <v>133.845</v>
      </c>
      <c r="F532" s="56">
        <f>278.484-40-25-60-100</f>
        <v>53.48399999999998</v>
      </c>
      <c r="G532" s="59">
        <v>40</v>
      </c>
      <c r="H532" s="56">
        <f t="shared" si="88"/>
        <v>185</v>
      </c>
      <c r="I532" s="56">
        <f t="shared" si="80"/>
        <v>0</v>
      </c>
      <c r="J532" s="59">
        <v>100</v>
      </c>
      <c r="K532" s="59">
        <v>300</v>
      </c>
      <c r="L532" s="56">
        <f t="shared" si="84"/>
        <v>1274</v>
      </c>
      <c r="M532" s="66">
        <v>600</v>
      </c>
      <c r="N532" s="56">
        <f>75</f>
        <v>75</v>
      </c>
      <c r="O532" s="59">
        <v>240</v>
      </c>
      <c r="P532" s="59">
        <v>160</v>
      </c>
      <c r="Q532" s="59">
        <f t="shared" si="85"/>
        <v>195</v>
      </c>
      <c r="R532" s="59">
        <f t="shared" si="86"/>
        <v>100</v>
      </c>
      <c r="S532" s="56">
        <f t="shared" si="87"/>
        <v>695</v>
      </c>
      <c r="T532" s="56">
        <f>50</f>
        <v>50</v>
      </c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</row>
    <row r="533" spans="1:30" ht="15.75" x14ac:dyDescent="0.25">
      <c r="A533" s="13">
        <v>57526</v>
      </c>
      <c r="B533" s="67">
        <v>30</v>
      </c>
      <c r="C533" s="56">
        <f>194.205</f>
        <v>194.20500000000001</v>
      </c>
      <c r="D533" s="56">
        <f>267.466</f>
        <v>267.46600000000001</v>
      </c>
      <c r="E533" s="64">
        <f>133.845</f>
        <v>133.845</v>
      </c>
      <c r="F533" s="56">
        <f>278.484-40-25-60-100</f>
        <v>53.48399999999998</v>
      </c>
      <c r="G533" s="59">
        <v>40</v>
      </c>
      <c r="H533" s="56">
        <f t="shared" si="88"/>
        <v>185</v>
      </c>
      <c r="I533" s="56">
        <f t="shared" si="80"/>
        <v>0</v>
      </c>
      <c r="J533" s="59">
        <v>100</v>
      </c>
      <c r="K533" s="59">
        <v>300</v>
      </c>
      <c r="L533" s="56">
        <f t="shared" si="84"/>
        <v>1274</v>
      </c>
      <c r="M533" s="66">
        <v>600</v>
      </c>
      <c r="N533" s="56">
        <f>30</f>
        <v>30</v>
      </c>
      <c r="O533" s="59">
        <v>240</v>
      </c>
      <c r="P533" s="59">
        <v>160</v>
      </c>
      <c r="Q533" s="59">
        <f t="shared" si="85"/>
        <v>195</v>
      </c>
      <c r="R533" s="59">
        <f t="shared" si="86"/>
        <v>100</v>
      </c>
      <c r="S533" s="56">
        <f t="shared" si="87"/>
        <v>695</v>
      </c>
      <c r="T533" s="56">
        <f>50</f>
        <v>50</v>
      </c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</row>
    <row r="534" spans="1:30" ht="15.75" x14ac:dyDescent="0.25">
      <c r="A534" s="13">
        <v>57557</v>
      </c>
      <c r="B534" s="67">
        <v>31</v>
      </c>
      <c r="C534" s="56">
        <f>194.205</f>
        <v>194.20500000000001</v>
      </c>
      <c r="D534" s="56">
        <f>267.466</f>
        <v>267.46600000000001</v>
      </c>
      <c r="E534" s="64">
        <f>133.845</f>
        <v>133.845</v>
      </c>
      <c r="F534" s="56">
        <f>278.484-40-25-60-100</f>
        <v>53.48399999999998</v>
      </c>
      <c r="G534" s="59">
        <v>40</v>
      </c>
      <c r="H534" s="56">
        <f t="shared" si="88"/>
        <v>185</v>
      </c>
      <c r="I534" s="56">
        <f t="shared" si="80"/>
        <v>0</v>
      </c>
      <c r="J534" s="59">
        <v>100</v>
      </c>
      <c r="K534" s="59">
        <v>300</v>
      </c>
      <c r="L534" s="56">
        <f t="shared" si="84"/>
        <v>1274</v>
      </c>
      <c r="M534" s="66">
        <v>600</v>
      </c>
      <c r="N534" s="56">
        <f>30</f>
        <v>30</v>
      </c>
      <c r="O534" s="59">
        <v>240</v>
      </c>
      <c r="P534" s="59">
        <v>160</v>
      </c>
      <c r="Q534" s="59">
        <f t="shared" si="85"/>
        <v>195</v>
      </c>
      <c r="R534" s="59">
        <f t="shared" si="86"/>
        <v>100</v>
      </c>
      <c r="S534" s="56">
        <f t="shared" si="87"/>
        <v>695</v>
      </c>
      <c r="T534" s="56">
        <f>0</f>
        <v>0</v>
      </c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</row>
    <row r="535" spans="1:30" ht="15.75" x14ac:dyDescent="0.25">
      <c r="A535" s="13">
        <v>57588</v>
      </c>
      <c r="B535" s="67">
        <v>31</v>
      </c>
      <c r="C535" s="56">
        <f>194.205</f>
        <v>194.20500000000001</v>
      </c>
      <c r="D535" s="56">
        <f>267.466</f>
        <v>267.46600000000001</v>
      </c>
      <c r="E535" s="64">
        <f>133.845</f>
        <v>133.845</v>
      </c>
      <c r="F535" s="56">
        <f>278.484-40-25-60-100</f>
        <v>53.48399999999998</v>
      </c>
      <c r="G535" s="59">
        <v>40</v>
      </c>
      <c r="H535" s="56">
        <f t="shared" si="88"/>
        <v>185</v>
      </c>
      <c r="I535" s="56">
        <f t="shared" si="80"/>
        <v>0</v>
      </c>
      <c r="J535" s="59">
        <v>100</v>
      </c>
      <c r="K535" s="59">
        <v>300</v>
      </c>
      <c r="L535" s="56">
        <f t="shared" si="84"/>
        <v>1274</v>
      </c>
      <c r="M535" s="66">
        <v>600</v>
      </c>
      <c r="N535" s="56">
        <f>30</f>
        <v>30</v>
      </c>
      <c r="O535" s="59">
        <v>240</v>
      </c>
      <c r="P535" s="59">
        <v>160</v>
      </c>
      <c r="Q535" s="59">
        <f t="shared" si="85"/>
        <v>195</v>
      </c>
      <c r="R535" s="59">
        <f t="shared" si="86"/>
        <v>100</v>
      </c>
      <c r="S535" s="56">
        <f t="shared" si="87"/>
        <v>695</v>
      </c>
      <c r="T535" s="56">
        <f>0</f>
        <v>0</v>
      </c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</row>
    <row r="536" spans="1:30" ht="15.75" x14ac:dyDescent="0.25">
      <c r="A536" s="13">
        <v>57618</v>
      </c>
      <c r="B536" s="67">
        <v>30</v>
      </c>
      <c r="C536" s="56">
        <f>194.205</f>
        <v>194.20500000000001</v>
      </c>
      <c r="D536" s="56">
        <f>267.466</f>
        <v>267.46600000000001</v>
      </c>
      <c r="E536" s="64">
        <f>133.845</f>
        <v>133.845</v>
      </c>
      <c r="F536" s="56">
        <f>278.484-40-25-60-100</f>
        <v>53.48399999999998</v>
      </c>
      <c r="G536" s="59">
        <v>40</v>
      </c>
      <c r="H536" s="56">
        <f t="shared" si="88"/>
        <v>185</v>
      </c>
      <c r="I536" s="56">
        <f t="shared" si="80"/>
        <v>0</v>
      </c>
      <c r="J536" s="59">
        <v>100</v>
      </c>
      <c r="K536" s="59">
        <v>300</v>
      </c>
      <c r="L536" s="56">
        <f t="shared" si="84"/>
        <v>1274</v>
      </c>
      <c r="M536" s="66">
        <v>600</v>
      </c>
      <c r="N536" s="56">
        <f>30</f>
        <v>30</v>
      </c>
      <c r="O536" s="59">
        <v>240</v>
      </c>
      <c r="P536" s="59">
        <v>160</v>
      </c>
      <c r="Q536" s="59">
        <f t="shared" si="85"/>
        <v>195</v>
      </c>
      <c r="R536" s="59">
        <f t="shared" si="86"/>
        <v>100</v>
      </c>
      <c r="S536" s="56">
        <f t="shared" si="87"/>
        <v>695</v>
      </c>
      <c r="T536" s="56">
        <f>0</f>
        <v>0</v>
      </c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</row>
    <row r="537" spans="1:30" ht="15.75" x14ac:dyDescent="0.25">
      <c r="A537" s="13">
        <v>57649</v>
      </c>
      <c r="B537" s="67">
        <v>31</v>
      </c>
      <c r="C537" s="56">
        <f>131.881</f>
        <v>131.881</v>
      </c>
      <c r="D537" s="56">
        <f>277.167</f>
        <v>277.16699999999997</v>
      </c>
      <c r="E537" s="64">
        <f>79.08</f>
        <v>79.08</v>
      </c>
      <c r="F537" s="56">
        <f>350.872-40-25-60-100</f>
        <v>125.87200000000001</v>
      </c>
      <c r="G537" s="59">
        <v>40</v>
      </c>
      <c r="H537" s="56">
        <f t="shared" si="88"/>
        <v>185</v>
      </c>
      <c r="I537" s="56">
        <f t="shared" si="80"/>
        <v>0</v>
      </c>
      <c r="J537" s="59">
        <v>100</v>
      </c>
      <c r="K537" s="59">
        <v>300</v>
      </c>
      <c r="L537" s="56">
        <f t="shared" si="84"/>
        <v>1239</v>
      </c>
      <c r="M537" s="66">
        <v>600</v>
      </c>
      <c r="N537" s="56">
        <f>75</f>
        <v>75</v>
      </c>
      <c r="O537" s="59">
        <v>240</v>
      </c>
      <c r="P537" s="59">
        <v>160</v>
      </c>
      <c r="Q537" s="59">
        <f t="shared" si="85"/>
        <v>195</v>
      </c>
      <c r="R537" s="59">
        <f t="shared" si="86"/>
        <v>100</v>
      </c>
      <c r="S537" s="56">
        <f t="shared" si="87"/>
        <v>695</v>
      </c>
      <c r="T537" s="56">
        <f>0</f>
        <v>0</v>
      </c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</row>
    <row r="538" spans="1:30" ht="15.75" x14ac:dyDescent="0.25">
      <c r="A538" s="13">
        <v>57679</v>
      </c>
      <c r="B538" s="67">
        <v>30</v>
      </c>
      <c r="C538" s="56">
        <f>122.58</f>
        <v>122.58</v>
      </c>
      <c r="D538" s="56">
        <f>297.941</f>
        <v>297.94099999999997</v>
      </c>
      <c r="E538" s="64">
        <f>89.177</f>
        <v>89.177000000000007</v>
      </c>
      <c r="F538" s="56">
        <f>240.302-40-60-100</f>
        <v>40.301999999999992</v>
      </c>
      <c r="G538" s="59">
        <v>40</v>
      </c>
      <c r="H538" s="56">
        <f>60+100</f>
        <v>160</v>
      </c>
      <c r="I538" s="56">
        <f t="shared" si="80"/>
        <v>0</v>
      </c>
      <c r="J538" s="59">
        <v>100</v>
      </c>
      <c r="K538" s="59">
        <v>300</v>
      </c>
      <c r="L538" s="56">
        <f t="shared" si="84"/>
        <v>1150</v>
      </c>
      <c r="M538" s="66">
        <v>600</v>
      </c>
      <c r="N538" s="56">
        <f>100</f>
        <v>100</v>
      </c>
      <c r="O538" s="59">
        <v>240</v>
      </c>
      <c r="P538" s="59">
        <v>40</v>
      </c>
      <c r="Q538" s="59">
        <f t="shared" si="85"/>
        <v>315</v>
      </c>
      <c r="R538" s="59">
        <f t="shared" si="86"/>
        <v>100</v>
      </c>
      <c r="S538" s="56">
        <f t="shared" si="87"/>
        <v>695</v>
      </c>
      <c r="T538" s="56">
        <f>50</f>
        <v>50</v>
      </c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</row>
    <row r="539" spans="1:30" ht="15.75" x14ac:dyDescent="0.25">
      <c r="A539" s="13">
        <v>57710</v>
      </c>
      <c r="B539" s="67">
        <v>31</v>
      </c>
      <c r="C539" s="56">
        <f>122.58</f>
        <v>122.58</v>
      </c>
      <c r="D539" s="56">
        <f>297.941</f>
        <v>297.94099999999997</v>
      </c>
      <c r="E539" s="64">
        <f>89.177</f>
        <v>89.177000000000007</v>
      </c>
      <c r="F539" s="56">
        <f>240.302-40-60-100</f>
        <v>40.301999999999992</v>
      </c>
      <c r="G539" s="59">
        <v>40</v>
      </c>
      <c r="H539" s="56">
        <f>60+100</f>
        <v>160</v>
      </c>
      <c r="I539" s="56">
        <f t="shared" si="80"/>
        <v>0</v>
      </c>
      <c r="J539" s="59">
        <v>100</v>
      </c>
      <c r="K539" s="59">
        <v>300</v>
      </c>
      <c r="L539" s="56">
        <f t="shared" si="84"/>
        <v>1150</v>
      </c>
      <c r="M539" s="66">
        <v>600</v>
      </c>
      <c r="N539" s="56">
        <f>100</f>
        <v>100</v>
      </c>
      <c r="O539" s="59">
        <v>240</v>
      </c>
      <c r="P539" s="59">
        <v>40</v>
      </c>
      <c r="Q539" s="59">
        <f t="shared" si="85"/>
        <v>315</v>
      </c>
      <c r="R539" s="59">
        <f t="shared" si="86"/>
        <v>100</v>
      </c>
      <c r="S539" s="56">
        <f t="shared" si="87"/>
        <v>695</v>
      </c>
      <c r="T539" s="56">
        <f>50</f>
        <v>50</v>
      </c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</row>
    <row r="540" spans="1:30" ht="15.75" x14ac:dyDescent="0.25">
      <c r="A540" s="13">
        <v>57741</v>
      </c>
      <c r="B540" s="67">
        <v>31</v>
      </c>
      <c r="C540" s="56">
        <f>122.58</f>
        <v>122.58</v>
      </c>
      <c r="D540" s="56">
        <f>297.941</f>
        <v>297.94099999999997</v>
      </c>
      <c r="E540" s="64">
        <f>89.177</f>
        <v>89.177000000000007</v>
      </c>
      <c r="F540" s="56">
        <f>240.302-40-60-100</f>
        <v>40.301999999999992</v>
      </c>
      <c r="G540" s="59">
        <v>40</v>
      </c>
      <c r="H540" s="56">
        <f>60+100</f>
        <v>160</v>
      </c>
      <c r="I540" s="56">
        <f t="shared" si="80"/>
        <v>0</v>
      </c>
      <c r="J540" s="59">
        <v>100</v>
      </c>
      <c r="K540" s="59">
        <v>300</v>
      </c>
      <c r="L540" s="56">
        <f t="shared" si="84"/>
        <v>1150</v>
      </c>
      <c r="M540" s="66">
        <v>600</v>
      </c>
      <c r="N540" s="56">
        <f>100</f>
        <v>100</v>
      </c>
      <c r="O540" s="59">
        <v>240</v>
      </c>
      <c r="P540" s="59">
        <v>40</v>
      </c>
      <c r="Q540" s="59">
        <f t="shared" si="85"/>
        <v>315</v>
      </c>
      <c r="R540" s="59">
        <f t="shared" si="86"/>
        <v>100</v>
      </c>
      <c r="S540" s="56">
        <f t="shared" si="87"/>
        <v>695</v>
      </c>
      <c r="T540" s="56">
        <f>50</f>
        <v>50</v>
      </c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</row>
    <row r="541" spans="1:30" ht="15.75" x14ac:dyDescent="0.25">
      <c r="A541" s="13">
        <v>57769</v>
      </c>
      <c r="B541" s="67">
        <v>28</v>
      </c>
      <c r="C541" s="56">
        <f>122.58</f>
        <v>122.58</v>
      </c>
      <c r="D541" s="56">
        <f>297.941</f>
        <v>297.94099999999997</v>
      </c>
      <c r="E541" s="64">
        <f>89.177</f>
        <v>89.177000000000007</v>
      </c>
      <c r="F541" s="56">
        <f>240.302-40-60-100</f>
        <v>40.301999999999992</v>
      </c>
      <c r="G541" s="59">
        <v>40</v>
      </c>
      <c r="H541" s="56">
        <f>60+100</f>
        <v>160</v>
      </c>
      <c r="I541" s="56">
        <f t="shared" si="80"/>
        <v>0</v>
      </c>
      <c r="J541" s="59">
        <v>100</v>
      </c>
      <c r="K541" s="59">
        <v>300</v>
      </c>
      <c r="L541" s="56">
        <f t="shared" si="84"/>
        <v>1150</v>
      </c>
      <c r="M541" s="66">
        <v>600</v>
      </c>
      <c r="N541" s="56">
        <f>100</f>
        <v>100</v>
      </c>
      <c r="O541" s="59">
        <v>240</v>
      </c>
      <c r="P541" s="59">
        <v>40</v>
      </c>
      <c r="Q541" s="59">
        <f t="shared" si="85"/>
        <v>315</v>
      </c>
      <c r="R541" s="59">
        <f t="shared" si="86"/>
        <v>100</v>
      </c>
      <c r="S541" s="56">
        <f t="shared" si="87"/>
        <v>695</v>
      </c>
      <c r="T541" s="56">
        <f>50</f>
        <v>50</v>
      </c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</row>
    <row r="542" spans="1:30" ht="15.75" x14ac:dyDescent="0.25">
      <c r="A542" s="13">
        <v>57800</v>
      </c>
      <c r="B542" s="67">
        <v>31</v>
      </c>
      <c r="C542" s="56">
        <f>122.58</f>
        <v>122.58</v>
      </c>
      <c r="D542" s="56">
        <f>297.941</f>
        <v>297.94099999999997</v>
      </c>
      <c r="E542" s="64">
        <f>89.177</f>
        <v>89.177000000000007</v>
      </c>
      <c r="F542" s="56">
        <f>240.302-40-60-100</f>
        <v>40.301999999999992</v>
      </c>
      <c r="G542" s="59">
        <v>40</v>
      </c>
      <c r="H542" s="56">
        <f>60+100</f>
        <v>160</v>
      </c>
      <c r="I542" s="56">
        <f t="shared" si="80"/>
        <v>0</v>
      </c>
      <c r="J542" s="59">
        <v>100</v>
      </c>
      <c r="K542" s="59">
        <v>300</v>
      </c>
      <c r="L542" s="56">
        <f t="shared" si="84"/>
        <v>1150</v>
      </c>
      <c r="M542" s="66">
        <v>600</v>
      </c>
      <c r="N542" s="56">
        <f>100</f>
        <v>100</v>
      </c>
      <c r="O542" s="59">
        <v>240</v>
      </c>
      <c r="P542" s="59">
        <v>40</v>
      </c>
      <c r="Q542" s="59">
        <f t="shared" si="85"/>
        <v>315</v>
      </c>
      <c r="R542" s="59">
        <f t="shared" si="86"/>
        <v>100</v>
      </c>
      <c r="S542" s="56">
        <f t="shared" si="87"/>
        <v>695</v>
      </c>
      <c r="T542" s="56">
        <f>50</f>
        <v>50</v>
      </c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</row>
    <row r="543" spans="1:30" ht="15.75" x14ac:dyDescent="0.25">
      <c r="A543" s="13">
        <v>57830</v>
      </c>
      <c r="B543" s="67">
        <v>30</v>
      </c>
      <c r="C543" s="56">
        <f>141.293</f>
        <v>141.29300000000001</v>
      </c>
      <c r="D543" s="56">
        <f>267.993</f>
        <v>267.99299999999999</v>
      </c>
      <c r="E543" s="64">
        <f>115.016</f>
        <v>115.01600000000001</v>
      </c>
      <c r="F543" s="56">
        <f>314.698-40-25-60-100</f>
        <v>89.697999999999979</v>
      </c>
      <c r="G543" s="59">
        <v>40</v>
      </c>
      <c r="H543" s="56">
        <f t="shared" ref="H543:H549" si="89">25+60+100</f>
        <v>185</v>
      </c>
      <c r="I543" s="56">
        <f t="shared" si="80"/>
        <v>0</v>
      </c>
      <c r="J543" s="59">
        <v>100</v>
      </c>
      <c r="K543" s="59">
        <v>300</v>
      </c>
      <c r="L543" s="56">
        <f t="shared" si="84"/>
        <v>1239</v>
      </c>
      <c r="M543" s="66">
        <v>600</v>
      </c>
      <c r="N543" s="56">
        <f>100</f>
        <v>100</v>
      </c>
      <c r="O543" s="59">
        <v>240</v>
      </c>
      <c r="P543" s="59">
        <v>160</v>
      </c>
      <c r="Q543" s="59">
        <f t="shared" si="85"/>
        <v>195</v>
      </c>
      <c r="R543" s="59">
        <f t="shared" si="86"/>
        <v>100</v>
      </c>
      <c r="S543" s="56">
        <f t="shared" si="87"/>
        <v>695</v>
      </c>
      <c r="T543" s="56">
        <f>50</f>
        <v>50</v>
      </c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</row>
    <row r="544" spans="1:30" ht="15.75" x14ac:dyDescent="0.25">
      <c r="A544" s="13">
        <v>57861</v>
      </c>
      <c r="B544" s="67">
        <v>31</v>
      </c>
      <c r="C544" s="56">
        <f>194.205</f>
        <v>194.20500000000001</v>
      </c>
      <c r="D544" s="56">
        <f>267.466</f>
        <v>267.46600000000001</v>
      </c>
      <c r="E544" s="64">
        <f>133.845</f>
        <v>133.845</v>
      </c>
      <c r="F544" s="56">
        <f>278.484-40-25-60-100</f>
        <v>53.48399999999998</v>
      </c>
      <c r="G544" s="59">
        <v>40</v>
      </c>
      <c r="H544" s="56">
        <f t="shared" si="89"/>
        <v>185</v>
      </c>
      <c r="I544" s="56">
        <f t="shared" si="80"/>
        <v>0</v>
      </c>
      <c r="J544" s="59">
        <v>100</v>
      </c>
      <c r="K544" s="59">
        <v>300</v>
      </c>
      <c r="L544" s="56">
        <f t="shared" si="84"/>
        <v>1274</v>
      </c>
      <c r="M544" s="66">
        <v>600</v>
      </c>
      <c r="N544" s="56">
        <f>75</f>
        <v>75</v>
      </c>
      <c r="O544" s="59">
        <v>240</v>
      </c>
      <c r="P544" s="59">
        <v>160</v>
      </c>
      <c r="Q544" s="59">
        <f t="shared" si="85"/>
        <v>195</v>
      </c>
      <c r="R544" s="59">
        <f t="shared" si="86"/>
        <v>100</v>
      </c>
      <c r="S544" s="56">
        <f t="shared" si="87"/>
        <v>695</v>
      </c>
      <c r="T544" s="56">
        <f>50</f>
        <v>50</v>
      </c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</row>
    <row r="545" spans="1:30" ht="15.75" x14ac:dyDescent="0.25">
      <c r="A545" s="13">
        <v>57891</v>
      </c>
      <c r="B545" s="67">
        <v>30</v>
      </c>
      <c r="C545" s="56">
        <f>194.205</f>
        <v>194.20500000000001</v>
      </c>
      <c r="D545" s="56">
        <f>267.466</f>
        <v>267.46600000000001</v>
      </c>
      <c r="E545" s="64">
        <f>133.845</f>
        <v>133.845</v>
      </c>
      <c r="F545" s="56">
        <f>278.484-40-25-60-100</f>
        <v>53.48399999999998</v>
      </c>
      <c r="G545" s="59">
        <v>40</v>
      </c>
      <c r="H545" s="56">
        <f t="shared" si="89"/>
        <v>185</v>
      </c>
      <c r="I545" s="56">
        <f t="shared" si="80"/>
        <v>0</v>
      </c>
      <c r="J545" s="59">
        <v>100</v>
      </c>
      <c r="K545" s="59">
        <v>300</v>
      </c>
      <c r="L545" s="56">
        <f t="shared" si="84"/>
        <v>1274</v>
      </c>
      <c r="M545" s="66">
        <v>600</v>
      </c>
      <c r="N545" s="56">
        <f>30</f>
        <v>30</v>
      </c>
      <c r="O545" s="59">
        <v>240</v>
      </c>
      <c r="P545" s="59">
        <v>160</v>
      </c>
      <c r="Q545" s="59">
        <f t="shared" si="85"/>
        <v>195</v>
      </c>
      <c r="R545" s="59">
        <f t="shared" si="86"/>
        <v>100</v>
      </c>
      <c r="S545" s="56">
        <f t="shared" si="87"/>
        <v>695</v>
      </c>
      <c r="T545" s="56">
        <f>50</f>
        <v>50</v>
      </c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</row>
    <row r="546" spans="1:30" ht="15.75" x14ac:dyDescent="0.25">
      <c r="A546" s="13">
        <v>57922</v>
      </c>
      <c r="B546" s="67">
        <v>31</v>
      </c>
      <c r="C546" s="56">
        <f>194.205</f>
        <v>194.20500000000001</v>
      </c>
      <c r="D546" s="56">
        <f>267.466</f>
        <v>267.46600000000001</v>
      </c>
      <c r="E546" s="64">
        <f>133.845</f>
        <v>133.845</v>
      </c>
      <c r="F546" s="56">
        <f>278.484-40-25-60-100</f>
        <v>53.48399999999998</v>
      </c>
      <c r="G546" s="59">
        <v>40</v>
      </c>
      <c r="H546" s="56">
        <f t="shared" si="89"/>
        <v>185</v>
      </c>
      <c r="I546" s="56">
        <f t="shared" si="80"/>
        <v>0</v>
      </c>
      <c r="J546" s="59">
        <v>100</v>
      </c>
      <c r="K546" s="59">
        <v>300</v>
      </c>
      <c r="L546" s="56">
        <f t="shared" si="84"/>
        <v>1274</v>
      </c>
      <c r="M546" s="66">
        <v>600</v>
      </c>
      <c r="N546" s="56">
        <f>30</f>
        <v>30</v>
      </c>
      <c r="O546" s="59">
        <v>240</v>
      </c>
      <c r="P546" s="59">
        <v>160</v>
      </c>
      <c r="Q546" s="59">
        <f t="shared" si="85"/>
        <v>195</v>
      </c>
      <c r="R546" s="59">
        <f t="shared" si="86"/>
        <v>100</v>
      </c>
      <c r="S546" s="56">
        <f t="shared" si="87"/>
        <v>695</v>
      </c>
      <c r="T546" s="56">
        <f>0</f>
        <v>0</v>
      </c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</row>
    <row r="547" spans="1:30" ht="15.75" x14ac:dyDescent="0.25">
      <c r="A547" s="13">
        <v>57953</v>
      </c>
      <c r="B547" s="67">
        <v>31</v>
      </c>
      <c r="C547" s="56">
        <f>194.205</f>
        <v>194.20500000000001</v>
      </c>
      <c r="D547" s="56">
        <f>267.466</f>
        <v>267.46600000000001</v>
      </c>
      <c r="E547" s="64">
        <f>133.845</f>
        <v>133.845</v>
      </c>
      <c r="F547" s="56">
        <f>278.484-40-25-60-100</f>
        <v>53.48399999999998</v>
      </c>
      <c r="G547" s="59">
        <v>40</v>
      </c>
      <c r="H547" s="56">
        <f t="shared" si="89"/>
        <v>185</v>
      </c>
      <c r="I547" s="56">
        <f t="shared" si="80"/>
        <v>0</v>
      </c>
      <c r="J547" s="59">
        <v>100</v>
      </c>
      <c r="K547" s="59">
        <v>300</v>
      </c>
      <c r="L547" s="56">
        <f t="shared" si="84"/>
        <v>1274</v>
      </c>
      <c r="M547" s="66">
        <v>600</v>
      </c>
      <c r="N547" s="56">
        <f>30</f>
        <v>30</v>
      </c>
      <c r="O547" s="59">
        <v>240</v>
      </c>
      <c r="P547" s="59">
        <v>160</v>
      </c>
      <c r="Q547" s="59">
        <f t="shared" si="85"/>
        <v>195</v>
      </c>
      <c r="R547" s="59">
        <f t="shared" si="86"/>
        <v>100</v>
      </c>
      <c r="S547" s="56">
        <f t="shared" si="87"/>
        <v>695</v>
      </c>
      <c r="T547" s="56">
        <f>0</f>
        <v>0</v>
      </c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</row>
    <row r="548" spans="1:30" ht="15.75" x14ac:dyDescent="0.25">
      <c r="A548" s="13">
        <v>57983</v>
      </c>
      <c r="B548" s="67">
        <v>30</v>
      </c>
      <c r="C548" s="56">
        <f>194.205</f>
        <v>194.20500000000001</v>
      </c>
      <c r="D548" s="56">
        <f>267.466</f>
        <v>267.46600000000001</v>
      </c>
      <c r="E548" s="64">
        <f>133.845</f>
        <v>133.845</v>
      </c>
      <c r="F548" s="56">
        <f>278.484-40-25-60-100</f>
        <v>53.48399999999998</v>
      </c>
      <c r="G548" s="59">
        <v>40</v>
      </c>
      <c r="H548" s="56">
        <f t="shared" si="89"/>
        <v>185</v>
      </c>
      <c r="I548" s="56">
        <f t="shared" si="80"/>
        <v>0</v>
      </c>
      <c r="J548" s="59">
        <v>100</v>
      </c>
      <c r="K548" s="59">
        <v>300</v>
      </c>
      <c r="L548" s="56">
        <f t="shared" si="84"/>
        <v>1274</v>
      </c>
      <c r="M548" s="66">
        <v>600</v>
      </c>
      <c r="N548" s="56">
        <f>30</f>
        <v>30</v>
      </c>
      <c r="O548" s="59">
        <v>240</v>
      </c>
      <c r="P548" s="59">
        <v>160</v>
      </c>
      <c r="Q548" s="59">
        <f t="shared" si="85"/>
        <v>195</v>
      </c>
      <c r="R548" s="59">
        <f t="shared" si="86"/>
        <v>100</v>
      </c>
      <c r="S548" s="56">
        <f t="shared" si="87"/>
        <v>695</v>
      </c>
      <c r="T548" s="56">
        <f>0</f>
        <v>0</v>
      </c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</row>
    <row r="549" spans="1:30" ht="15.75" x14ac:dyDescent="0.25">
      <c r="A549" s="13">
        <v>58014</v>
      </c>
      <c r="B549" s="67">
        <v>31</v>
      </c>
      <c r="C549" s="56">
        <f>131.881</f>
        <v>131.881</v>
      </c>
      <c r="D549" s="56">
        <f>277.167</f>
        <v>277.16699999999997</v>
      </c>
      <c r="E549" s="64">
        <f>79.08</f>
        <v>79.08</v>
      </c>
      <c r="F549" s="56">
        <f>350.872-40-25-60-100</f>
        <v>125.87200000000001</v>
      </c>
      <c r="G549" s="59">
        <v>40</v>
      </c>
      <c r="H549" s="56">
        <f t="shared" si="89"/>
        <v>185</v>
      </c>
      <c r="I549" s="56">
        <f t="shared" si="80"/>
        <v>0</v>
      </c>
      <c r="J549" s="59">
        <v>100</v>
      </c>
      <c r="K549" s="59">
        <v>300</v>
      </c>
      <c r="L549" s="56">
        <f t="shared" si="84"/>
        <v>1239</v>
      </c>
      <c r="M549" s="66">
        <v>600</v>
      </c>
      <c r="N549" s="56">
        <f>75</f>
        <v>75</v>
      </c>
      <c r="O549" s="59">
        <v>240</v>
      </c>
      <c r="P549" s="59">
        <v>160</v>
      </c>
      <c r="Q549" s="59">
        <f t="shared" si="85"/>
        <v>195</v>
      </c>
      <c r="R549" s="59">
        <f t="shared" si="86"/>
        <v>100</v>
      </c>
      <c r="S549" s="56">
        <f t="shared" si="87"/>
        <v>695</v>
      </c>
      <c r="T549" s="56">
        <f>0</f>
        <v>0</v>
      </c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</row>
    <row r="550" spans="1:30" ht="15.75" x14ac:dyDescent="0.25">
      <c r="A550" s="13">
        <v>58044</v>
      </c>
      <c r="B550" s="67">
        <v>30</v>
      </c>
      <c r="C550" s="56">
        <f>122.58</f>
        <v>122.58</v>
      </c>
      <c r="D550" s="56">
        <f>297.941</f>
        <v>297.94099999999997</v>
      </c>
      <c r="E550" s="64">
        <f>89.177</f>
        <v>89.177000000000007</v>
      </c>
      <c r="F550" s="56">
        <f>240.302-40-60-100</f>
        <v>40.301999999999992</v>
      </c>
      <c r="G550" s="59">
        <v>40</v>
      </c>
      <c r="H550" s="56">
        <f>60+100</f>
        <v>160</v>
      </c>
      <c r="I550" s="56">
        <f t="shared" si="80"/>
        <v>0</v>
      </c>
      <c r="J550" s="59">
        <v>100</v>
      </c>
      <c r="K550" s="59">
        <v>300</v>
      </c>
      <c r="L550" s="56">
        <f t="shared" si="84"/>
        <v>1150</v>
      </c>
      <c r="M550" s="66">
        <v>600</v>
      </c>
      <c r="N550" s="56">
        <f>100</f>
        <v>100</v>
      </c>
      <c r="O550" s="59">
        <v>240</v>
      </c>
      <c r="P550" s="59">
        <v>40</v>
      </c>
      <c r="Q550" s="59">
        <f t="shared" si="85"/>
        <v>315</v>
      </c>
      <c r="R550" s="59">
        <f t="shared" si="86"/>
        <v>100</v>
      </c>
      <c r="S550" s="56">
        <f t="shared" si="87"/>
        <v>695</v>
      </c>
      <c r="T550" s="56">
        <f>50</f>
        <v>50</v>
      </c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</row>
    <row r="551" spans="1:30" ht="15.75" x14ac:dyDescent="0.25">
      <c r="A551" s="13">
        <v>58075</v>
      </c>
      <c r="B551" s="67">
        <v>31</v>
      </c>
      <c r="C551" s="56">
        <f>122.58</f>
        <v>122.58</v>
      </c>
      <c r="D551" s="56">
        <f>297.941</f>
        <v>297.94099999999997</v>
      </c>
      <c r="E551" s="64">
        <f>89.177</f>
        <v>89.177000000000007</v>
      </c>
      <c r="F551" s="56">
        <f>240.302-40-60-100</f>
        <v>40.301999999999992</v>
      </c>
      <c r="G551" s="59">
        <v>40</v>
      </c>
      <c r="H551" s="56">
        <f>60+100</f>
        <v>160</v>
      </c>
      <c r="I551" s="56">
        <f t="shared" si="80"/>
        <v>0</v>
      </c>
      <c r="J551" s="59">
        <v>100</v>
      </c>
      <c r="K551" s="59">
        <v>300</v>
      </c>
      <c r="L551" s="56">
        <f t="shared" si="84"/>
        <v>1150</v>
      </c>
      <c r="M551" s="66">
        <v>600</v>
      </c>
      <c r="N551" s="56">
        <f>100</f>
        <v>100</v>
      </c>
      <c r="O551" s="59">
        <v>240</v>
      </c>
      <c r="P551" s="59">
        <v>40</v>
      </c>
      <c r="Q551" s="59">
        <f t="shared" si="85"/>
        <v>315</v>
      </c>
      <c r="R551" s="59">
        <f t="shared" si="86"/>
        <v>100</v>
      </c>
      <c r="S551" s="56">
        <f t="shared" si="87"/>
        <v>695</v>
      </c>
      <c r="T551" s="56">
        <f>50</f>
        <v>50</v>
      </c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</row>
    <row r="552" spans="1:30" ht="15.75" x14ac:dyDescent="0.25">
      <c r="A552" s="13">
        <v>58106</v>
      </c>
      <c r="B552" s="67">
        <v>31</v>
      </c>
      <c r="C552" s="56">
        <f>122.58</f>
        <v>122.58</v>
      </c>
      <c r="D552" s="56">
        <f>297.941</f>
        <v>297.94099999999997</v>
      </c>
      <c r="E552" s="64">
        <f>89.177</f>
        <v>89.177000000000007</v>
      </c>
      <c r="F552" s="56">
        <f>240.302-40-60-100</f>
        <v>40.301999999999992</v>
      </c>
      <c r="G552" s="59">
        <v>40</v>
      </c>
      <c r="H552" s="56">
        <f>60+100</f>
        <v>160</v>
      </c>
      <c r="I552" s="56">
        <f t="shared" ref="I552:I615" si="90">400-J552-K552</f>
        <v>0</v>
      </c>
      <c r="J552" s="59">
        <v>100</v>
      </c>
      <c r="K552" s="59">
        <v>300</v>
      </c>
      <c r="L552" s="56">
        <f t="shared" si="84"/>
        <v>1150</v>
      </c>
      <c r="M552" s="66">
        <v>600</v>
      </c>
      <c r="N552" s="56">
        <f>100</f>
        <v>100</v>
      </c>
      <c r="O552" s="59">
        <v>240</v>
      </c>
      <c r="P552" s="59">
        <v>40</v>
      </c>
      <c r="Q552" s="59">
        <f t="shared" si="85"/>
        <v>315</v>
      </c>
      <c r="R552" s="59">
        <f t="shared" si="86"/>
        <v>100</v>
      </c>
      <c r="S552" s="56">
        <f t="shared" si="87"/>
        <v>695</v>
      </c>
      <c r="T552" s="56">
        <f>50</f>
        <v>50</v>
      </c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</row>
    <row r="553" spans="1:30" ht="15.75" x14ac:dyDescent="0.25">
      <c r="A553" s="13">
        <v>58134</v>
      </c>
      <c r="B553" s="67">
        <v>28</v>
      </c>
      <c r="C553" s="56">
        <f>122.58</f>
        <v>122.58</v>
      </c>
      <c r="D553" s="56">
        <f>297.941</f>
        <v>297.94099999999997</v>
      </c>
      <c r="E553" s="64">
        <f>89.177</f>
        <v>89.177000000000007</v>
      </c>
      <c r="F553" s="56">
        <f>240.302-40-60-100</f>
        <v>40.301999999999992</v>
      </c>
      <c r="G553" s="59">
        <v>40</v>
      </c>
      <c r="H553" s="56">
        <f>60+100</f>
        <v>160</v>
      </c>
      <c r="I553" s="56">
        <f t="shared" si="90"/>
        <v>0</v>
      </c>
      <c r="J553" s="59">
        <v>100</v>
      </c>
      <c r="K553" s="59">
        <v>300</v>
      </c>
      <c r="L553" s="56">
        <f t="shared" si="84"/>
        <v>1150</v>
      </c>
      <c r="M553" s="66">
        <v>600</v>
      </c>
      <c r="N553" s="56">
        <f>100</f>
        <v>100</v>
      </c>
      <c r="O553" s="59">
        <v>240</v>
      </c>
      <c r="P553" s="59">
        <v>40</v>
      </c>
      <c r="Q553" s="59">
        <f t="shared" si="85"/>
        <v>315</v>
      </c>
      <c r="R553" s="59">
        <f t="shared" si="86"/>
        <v>100</v>
      </c>
      <c r="S553" s="56">
        <f t="shared" si="87"/>
        <v>695</v>
      </c>
      <c r="T553" s="56">
        <f>50</f>
        <v>50</v>
      </c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</row>
    <row r="554" spans="1:30" ht="15.75" x14ac:dyDescent="0.25">
      <c r="A554" s="13">
        <v>58165</v>
      </c>
      <c r="B554" s="67">
        <v>31</v>
      </c>
      <c r="C554" s="56">
        <f>122.58</f>
        <v>122.58</v>
      </c>
      <c r="D554" s="56">
        <f>297.941</f>
        <v>297.94099999999997</v>
      </c>
      <c r="E554" s="64">
        <f>89.177</f>
        <v>89.177000000000007</v>
      </c>
      <c r="F554" s="56">
        <f>240.302-40-60-100</f>
        <v>40.301999999999992</v>
      </c>
      <c r="G554" s="59">
        <v>40</v>
      </c>
      <c r="H554" s="56">
        <f>60+100</f>
        <v>160</v>
      </c>
      <c r="I554" s="56">
        <f t="shared" si="90"/>
        <v>0</v>
      </c>
      <c r="J554" s="59">
        <v>100</v>
      </c>
      <c r="K554" s="59">
        <v>300</v>
      </c>
      <c r="L554" s="56">
        <f t="shared" si="84"/>
        <v>1150</v>
      </c>
      <c r="M554" s="66">
        <v>600</v>
      </c>
      <c r="N554" s="56">
        <f>100</f>
        <v>100</v>
      </c>
      <c r="O554" s="59">
        <v>240</v>
      </c>
      <c r="P554" s="59">
        <v>40</v>
      </c>
      <c r="Q554" s="59">
        <f t="shared" si="85"/>
        <v>315</v>
      </c>
      <c r="R554" s="59">
        <f t="shared" si="86"/>
        <v>100</v>
      </c>
      <c r="S554" s="56">
        <f t="shared" si="87"/>
        <v>695</v>
      </c>
      <c r="T554" s="56">
        <f>50</f>
        <v>50</v>
      </c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</row>
    <row r="555" spans="1:30" ht="15.75" x14ac:dyDescent="0.25">
      <c r="A555" s="13">
        <v>58195</v>
      </c>
      <c r="B555" s="67">
        <v>30</v>
      </c>
      <c r="C555" s="56">
        <f>141.293</f>
        <v>141.29300000000001</v>
      </c>
      <c r="D555" s="56">
        <f>267.993</f>
        <v>267.99299999999999</v>
      </c>
      <c r="E555" s="64">
        <f>115.016</f>
        <v>115.01600000000001</v>
      </c>
      <c r="F555" s="56">
        <f>314.698-40-25-60-100</f>
        <v>89.697999999999979</v>
      </c>
      <c r="G555" s="59">
        <v>40</v>
      </c>
      <c r="H555" s="56">
        <f t="shared" ref="H555:H561" si="91">25+60+100</f>
        <v>185</v>
      </c>
      <c r="I555" s="56">
        <f t="shared" si="90"/>
        <v>0</v>
      </c>
      <c r="J555" s="59">
        <v>100</v>
      </c>
      <c r="K555" s="59">
        <v>300</v>
      </c>
      <c r="L555" s="56">
        <f t="shared" si="84"/>
        <v>1239</v>
      </c>
      <c r="M555" s="66">
        <v>600</v>
      </c>
      <c r="N555" s="56">
        <f>100</f>
        <v>100</v>
      </c>
      <c r="O555" s="59">
        <v>240</v>
      </c>
      <c r="P555" s="59">
        <v>160</v>
      </c>
      <c r="Q555" s="59">
        <f t="shared" si="85"/>
        <v>195</v>
      </c>
      <c r="R555" s="59">
        <f t="shared" si="86"/>
        <v>100</v>
      </c>
      <c r="S555" s="56">
        <f t="shared" si="87"/>
        <v>695</v>
      </c>
      <c r="T555" s="56">
        <f>50</f>
        <v>50</v>
      </c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</row>
    <row r="556" spans="1:30" ht="15.75" x14ac:dyDescent="0.25">
      <c r="A556" s="13">
        <v>58226</v>
      </c>
      <c r="B556" s="67">
        <v>31</v>
      </c>
      <c r="C556" s="56">
        <f>194.205</f>
        <v>194.20500000000001</v>
      </c>
      <c r="D556" s="56">
        <f>267.466</f>
        <v>267.46600000000001</v>
      </c>
      <c r="E556" s="64">
        <f>133.845</f>
        <v>133.845</v>
      </c>
      <c r="F556" s="56">
        <f>278.484-40-25-60-100</f>
        <v>53.48399999999998</v>
      </c>
      <c r="G556" s="59">
        <v>40</v>
      </c>
      <c r="H556" s="56">
        <f t="shared" si="91"/>
        <v>185</v>
      </c>
      <c r="I556" s="56">
        <f t="shared" si="90"/>
        <v>0</v>
      </c>
      <c r="J556" s="59">
        <v>100</v>
      </c>
      <c r="K556" s="59">
        <v>300</v>
      </c>
      <c r="L556" s="56">
        <f t="shared" si="84"/>
        <v>1274</v>
      </c>
      <c r="M556" s="66">
        <v>600</v>
      </c>
      <c r="N556" s="56">
        <f>75</f>
        <v>75</v>
      </c>
      <c r="O556" s="59">
        <v>240</v>
      </c>
      <c r="P556" s="59">
        <v>160</v>
      </c>
      <c r="Q556" s="59">
        <f t="shared" si="85"/>
        <v>195</v>
      </c>
      <c r="R556" s="59">
        <f t="shared" si="86"/>
        <v>100</v>
      </c>
      <c r="S556" s="56">
        <f t="shared" si="87"/>
        <v>695</v>
      </c>
      <c r="T556" s="56">
        <f>50</f>
        <v>50</v>
      </c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</row>
    <row r="557" spans="1:30" ht="15.75" x14ac:dyDescent="0.25">
      <c r="A557" s="13">
        <v>58256</v>
      </c>
      <c r="B557" s="67">
        <v>30</v>
      </c>
      <c r="C557" s="56">
        <f>194.205</f>
        <v>194.20500000000001</v>
      </c>
      <c r="D557" s="56">
        <f>267.466</f>
        <v>267.46600000000001</v>
      </c>
      <c r="E557" s="64">
        <f>133.845</f>
        <v>133.845</v>
      </c>
      <c r="F557" s="56">
        <f>278.484-40-25-60-100</f>
        <v>53.48399999999998</v>
      </c>
      <c r="G557" s="59">
        <v>40</v>
      </c>
      <c r="H557" s="56">
        <f t="shared" si="91"/>
        <v>185</v>
      </c>
      <c r="I557" s="56">
        <f t="shared" si="90"/>
        <v>0</v>
      </c>
      <c r="J557" s="59">
        <v>100</v>
      </c>
      <c r="K557" s="59">
        <v>300</v>
      </c>
      <c r="L557" s="56">
        <f t="shared" si="84"/>
        <v>1274</v>
      </c>
      <c r="M557" s="66">
        <v>600</v>
      </c>
      <c r="N557" s="56">
        <f>30</f>
        <v>30</v>
      </c>
      <c r="O557" s="59">
        <v>240</v>
      </c>
      <c r="P557" s="59">
        <v>160</v>
      </c>
      <c r="Q557" s="59">
        <f t="shared" si="85"/>
        <v>195</v>
      </c>
      <c r="R557" s="59">
        <f t="shared" si="86"/>
        <v>100</v>
      </c>
      <c r="S557" s="56">
        <f t="shared" si="87"/>
        <v>695</v>
      </c>
      <c r="T557" s="56">
        <f>50</f>
        <v>50</v>
      </c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</row>
    <row r="558" spans="1:30" ht="15.75" x14ac:dyDescent="0.25">
      <c r="A558" s="13">
        <v>58287</v>
      </c>
      <c r="B558" s="67">
        <v>31</v>
      </c>
      <c r="C558" s="56">
        <f>194.205</f>
        <v>194.20500000000001</v>
      </c>
      <c r="D558" s="56">
        <f>267.466</f>
        <v>267.46600000000001</v>
      </c>
      <c r="E558" s="64">
        <f>133.845</f>
        <v>133.845</v>
      </c>
      <c r="F558" s="56">
        <f>278.484-40-25-60-100</f>
        <v>53.48399999999998</v>
      </c>
      <c r="G558" s="59">
        <v>40</v>
      </c>
      <c r="H558" s="56">
        <f t="shared" si="91"/>
        <v>185</v>
      </c>
      <c r="I558" s="56">
        <f t="shared" si="90"/>
        <v>0</v>
      </c>
      <c r="J558" s="59">
        <v>100</v>
      </c>
      <c r="K558" s="59">
        <v>300</v>
      </c>
      <c r="L558" s="56">
        <f t="shared" si="84"/>
        <v>1274</v>
      </c>
      <c r="M558" s="66">
        <v>600</v>
      </c>
      <c r="N558" s="56">
        <f>30</f>
        <v>30</v>
      </c>
      <c r="O558" s="59">
        <v>240</v>
      </c>
      <c r="P558" s="59">
        <v>160</v>
      </c>
      <c r="Q558" s="59">
        <f t="shared" si="85"/>
        <v>195</v>
      </c>
      <c r="R558" s="59">
        <f t="shared" si="86"/>
        <v>100</v>
      </c>
      <c r="S558" s="56">
        <f t="shared" si="87"/>
        <v>695</v>
      </c>
      <c r="T558" s="56">
        <f>0</f>
        <v>0</v>
      </c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</row>
    <row r="559" spans="1:30" ht="15.75" x14ac:dyDescent="0.25">
      <c r="A559" s="13">
        <v>58318</v>
      </c>
      <c r="B559" s="67">
        <v>31</v>
      </c>
      <c r="C559" s="56">
        <f>194.205</f>
        <v>194.20500000000001</v>
      </c>
      <c r="D559" s="56">
        <f>267.466</f>
        <v>267.46600000000001</v>
      </c>
      <c r="E559" s="64">
        <f>133.845</f>
        <v>133.845</v>
      </c>
      <c r="F559" s="56">
        <f>278.484-40-25-60-100</f>
        <v>53.48399999999998</v>
      </c>
      <c r="G559" s="59">
        <v>40</v>
      </c>
      <c r="H559" s="56">
        <f t="shared" si="91"/>
        <v>185</v>
      </c>
      <c r="I559" s="56">
        <f t="shared" si="90"/>
        <v>0</v>
      </c>
      <c r="J559" s="59">
        <v>100</v>
      </c>
      <c r="K559" s="59">
        <v>300</v>
      </c>
      <c r="L559" s="56">
        <f t="shared" si="84"/>
        <v>1274</v>
      </c>
      <c r="M559" s="66">
        <v>600</v>
      </c>
      <c r="N559" s="56">
        <f>30</f>
        <v>30</v>
      </c>
      <c r="O559" s="59">
        <v>240</v>
      </c>
      <c r="P559" s="59">
        <v>160</v>
      </c>
      <c r="Q559" s="59">
        <f t="shared" si="85"/>
        <v>195</v>
      </c>
      <c r="R559" s="59">
        <f t="shared" si="86"/>
        <v>100</v>
      </c>
      <c r="S559" s="56">
        <f t="shared" si="87"/>
        <v>695</v>
      </c>
      <c r="T559" s="56">
        <f>0</f>
        <v>0</v>
      </c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</row>
    <row r="560" spans="1:30" ht="15.75" x14ac:dyDescent="0.25">
      <c r="A560" s="13">
        <v>58348</v>
      </c>
      <c r="B560" s="67">
        <v>30</v>
      </c>
      <c r="C560" s="56">
        <f>194.205</f>
        <v>194.20500000000001</v>
      </c>
      <c r="D560" s="56">
        <f>267.466</f>
        <v>267.46600000000001</v>
      </c>
      <c r="E560" s="64">
        <f>133.845</f>
        <v>133.845</v>
      </c>
      <c r="F560" s="56">
        <f>278.484-40-25-60-100</f>
        <v>53.48399999999998</v>
      </c>
      <c r="G560" s="59">
        <v>40</v>
      </c>
      <c r="H560" s="56">
        <f t="shared" si="91"/>
        <v>185</v>
      </c>
      <c r="I560" s="56">
        <f t="shared" si="90"/>
        <v>0</v>
      </c>
      <c r="J560" s="59">
        <v>100</v>
      </c>
      <c r="K560" s="59">
        <v>300</v>
      </c>
      <c r="L560" s="56">
        <f t="shared" si="84"/>
        <v>1274</v>
      </c>
      <c r="M560" s="66">
        <v>600</v>
      </c>
      <c r="N560" s="56">
        <f>30</f>
        <v>30</v>
      </c>
      <c r="O560" s="59">
        <v>240</v>
      </c>
      <c r="P560" s="59">
        <v>160</v>
      </c>
      <c r="Q560" s="59">
        <f t="shared" si="85"/>
        <v>195</v>
      </c>
      <c r="R560" s="59">
        <f t="shared" si="86"/>
        <v>100</v>
      </c>
      <c r="S560" s="56">
        <f t="shared" si="87"/>
        <v>695</v>
      </c>
      <c r="T560" s="56">
        <f>0</f>
        <v>0</v>
      </c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</row>
    <row r="561" spans="1:30" ht="15.75" x14ac:dyDescent="0.25">
      <c r="A561" s="13">
        <v>58379</v>
      </c>
      <c r="B561" s="67">
        <v>31</v>
      </c>
      <c r="C561" s="56">
        <f>131.881</f>
        <v>131.881</v>
      </c>
      <c r="D561" s="56">
        <f>277.167</f>
        <v>277.16699999999997</v>
      </c>
      <c r="E561" s="64">
        <f>79.08</f>
        <v>79.08</v>
      </c>
      <c r="F561" s="56">
        <f>350.872-40-25-60-100</f>
        <v>125.87200000000001</v>
      </c>
      <c r="G561" s="59">
        <v>40</v>
      </c>
      <c r="H561" s="56">
        <f t="shared" si="91"/>
        <v>185</v>
      </c>
      <c r="I561" s="56">
        <f t="shared" si="90"/>
        <v>0</v>
      </c>
      <c r="J561" s="59">
        <v>100</v>
      </c>
      <c r="K561" s="59">
        <v>300</v>
      </c>
      <c r="L561" s="56">
        <f t="shared" si="84"/>
        <v>1239</v>
      </c>
      <c r="M561" s="66">
        <v>600</v>
      </c>
      <c r="N561" s="56">
        <f>75</f>
        <v>75</v>
      </c>
      <c r="O561" s="59">
        <v>240</v>
      </c>
      <c r="P561" s="59">
        <v>160</v>
      </c>
      <c r="Q561" s="59">
        <f t="shared" si="85"/>
        <v>195</v>
      </c>
      <c r="R561" s="59">
        <f t="shared" si="86"/>
        <v>100</v>
      </c>
      <c r="S561" s="56">
        <f t="shared" si="87"/>
        <v>695</v>
      </c>
      <c r="T561" s="56">
        <f>0</f>
        <v>0</v>
      </c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</row>
    <row r="562" spans="1:30" ht="15.75" x14ac:dyDescent="0.25">
      <c r="A562" s="13">
        <v>58409</v>
      </c>
      <c r="B562" s="67">
        <v>30</v>
      </c>
      <c r="C562" s="56">
        <f>122.58</f>
        <v>122.58</v>
      </c>
      <c r="D562" s="56">
        <f>297.941</f>
        <v>297.94099999999997</v>
      </c>
      <c r="E562" s="64">
        <f>89.177</f>
        <v>89.177000000000007</v>
      </c>
      <c r="F562" s="56">
        <f>240.302-40-60-100</f>
        <v>40.301999999999992</v>
      </c>
      <c r="G562" s="59">
        <v>40</v>
      </c>
      <c r="H562" s="56">
        <f>60+100</f>
        <v>160</v>
      </c>
      <c r="I562" s="56">
        <f t="shared" si="90"/>
        <v>0</v>
      </c>
      <c r="J562" s="59">
        <v>100</v>
      </c>
      <c r="K562" s="59">
        <v>300</v>
      </c>
      <c r="L562" s="56">
        <f t="shared" si="84"/>
        <v>1150</v>
      </c>
      <c r="M562" s="66">
        <v>600</v>
      </c>
      <c r="N562" s="56">
        <f>100</f>
        <v>100</v>
      </c>
      <c r="O562" s="59">
        <v>240</v>
      </c>
      <c r="P562" s="59">
        <v>40</v>
      </c>
      <c r="Q562" s="59">
        <f t="shared" si="85"/>
        <v>315</v>
      </c>
      <c r="R562" s="59">
        <f t="shared" si="86"/>
        <v>100</v>
      </c>
      <c r="S562" s="56">
        <f t="shared" si="87"/>
        <v>695</v>
      </c>
      <c r="T562" s="56">
        <f>50</f>
        <v>50</v>
      </c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</row>
    <row r="563" spans="1:30" ht="15.75" x14ac:dyDescent="0.25">
      <c r="A563" s="13">
        <v>58440</v>
      </c>
      <c r="B563" s="67">
        <v>31</v>
      </c>
      <c r="C563" s="56">
        <f>122.58</f>
        <v>122.58</v>
      </c>
      <c r="D563" s="56">
        <f>297.941</f>
        <v>297.94099999999997</v>
      </c>
      <c r="E563" s="64">
        <f>89.177</f>
        <v>89.177000000000007</v>
      </c>
      <c r="F563" s="56">
        <f>240.302-40-60-100</f>
        <v>40.301999999999992</v>
      </c>
      <c r="G563" s="59">
        <v>40</v>
      </c>
      <c r="H563" s="56">
        <f>60+100</f>
        <v>160</v>
      </c>
      <c r="I563" s="56">
        <f t="shared" si="90"/>
        <v>0</v>
      </c>
      <c r="J563" s="59">
        <v>100</v>
      </c>
      <c r="K563" s="59">
        <v>300</v>
      </c>
      <c r="L563" s="56">
        <f t="shared" si="84"/>
        <v>1150</v>
      </c>
      <c r="M563" s="66">
        <v>600</v>
      </c>
      <c r="N563" s="56">
        <f>100</f>
        <v>100</v>
      </c>
      <c r="O563" s="59">
        <v>240</v>
      </c>
      <c r="P563" s="59">
        <v>40</v>
      </c>
      <c r="Q563" s="59">
        <f t="shared" si="85"/>
        <v>315</v>
      </c>
      <c r="R563" s="59">
        <f t="shared" si="86"/>
        <v>100</v>
      </c>
      <c r="S563" s="56">
        <f t="shared" si="87"/>
        <v>695</v>
      </c>
      <c r="T563" s="56">
        <f>50</f>
        <v>50</v>
      </c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</row>
    <row r="564" spans="1:30" ht="15.75" x14ac:dyDescent="0.25">
      <c r="A564" s="13">
        <v>58471</v>
      </c>
      <c r="B564" s="67">
        <v>31</v>
      </c>
      <c r="C564" s="56">
        <f>122.58</f>
        <v>122.58</v>
      </c>
      <c r="D564" s="56">
        <f>297.941</f>
        <v>297.94099999999997</v>
      </c>
      <c r="E564" s="64">
        <f>89.177</f>
        <v>89.177000000000007</v>
      </c>
      <c r="F564" s="56">
        <f>240.302-40-60-100</f>
        <v>40.301999999999992</v>
      </c>
      <c r="G564" s="59">
        <v>40</v>
      </c>
      <c r="H564" s="56">
        <f>60+100</f>
        <v>160</v>
      </c>
      <c r="I564" s="56">
        <f t="shared" si="90"/>
        <v>0</v>
      </c>
      <c r="J564" s="59">
        <v>100</v>
      </c>
      <c r="K564" s="59">
        <v>300</v>
      </c>
      <c r="L564" s="56">
        <f t="shared" si="84"/>
        <v>1150</v>
      </c>
      <c r="M564" s="66">
        <v>600</v>
      </c>
      <c r="N564" s="56">
        <f>100</f>
        <v>100</v>
      </c>
      <c r="O564" s="59">
        <v>240</v>
      </c>
      <c r="P564" s="59">
        <v>40</v>
      </c>
      <c r="Q564" s="59">
        <f t="shared" si="85"/>
        <v>315</v>
      </c>
      <c r="R564" s="59">
        <f t="shared" si="86"/>
        <v>100</v>
      </c>
      <c r="S564" s="56">
        <f t="shared" si="87"/>
        <v>695</v>
      </c>
      <c r="T564" s="56">
        <f>50</f>
        <v>50</v>
      </c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</row>
    <row r="565" spans="1:30" ht="15.75" x14ac:dyDescent="0.25">
      <c r="A565" s="13">
        <v>58499</v>
      </c>
      <c r="B565" s="67">
        <v>29</v>
      </c>
      <c r="C565" s="56">
        <f>122.58</f>
        <v>122.58</v>
      </c>
      <c r="D565" s="56">
        <f>297.941</f>
        <v>297.94099999999997</v>
      </c>
      <c r="E565" s="64">
        <f>89.177</f>
        <v>89.177000000000007</v>
      </c>
      <c r="F565" s="56">
        <f>240.302-40-60-100</f>
        <v>40.301999999999992</v>
      </c>
      <c r="G565" s="59">
        <v>40</v>
      </c>
      <c r="H565" s="56">
        <f>60+100</f>
        <v>160</v>
      </c>
      <c r="I565" s="56">
        <f t="shared" si="90"/>
        <v>0</v>
      </c>
      <c r="J565" s="59">
        <v>100</v>
      </c>
      <c r="K565" s="59">
        <v>300</v>
      </c>
      <c r="L565" s="56">
        <f t="shared" si="84"/>
        <v>1150</v>
      </c>
      <c r="M565" s="66">
        <v>600</v>
      </c>
      <c r="N565" s="56">
        <f>100</f>
        <v>100</v>
      </c>
      <c r="O565" s="59">
        <v>240</v>
      </c>
      <c r="P565" s="59">
        <v>40</v>
      </c>
      <c r="Q565" s="59">
        <f t="shared" si="85"/>
        <v>315</v>
      </c>
      <c r="R565" s="59">
        <f t="shared" si="86"/>
        <v>100</v>
      </c>
      <c r="S565" s="56">
        <f t="shared" si="87"/>
        <v>695</v>
      </c>
      <c r="T565" s="56">
        <f>50</f>
        <v>50</v>
      </c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</row>
    <row r="566" spans="1:30" ht="15.75" x14ac:dyDescent="0.25">
      <c r="A566" s="13">
        <v>58531</v>
      </c>
      <c r="B566" s="67">
        <v>31</v>
      </c>
      <c r="C566" s="56">
        <f>122.58</f>
        <v>122.58</v>
      </c>
      <c r="D566" s="56">
        <f>297.941</f>
        <v>297.94099999999997</v>
      </c>
      <c r="E566" s="64">
        <f>89.177</f>
        <v>89.177000000000007</v>
      </c>
      <c r="F566" s="56">
        <f>240.302-40-60-100</f>
        <v>40.301999999999992</v>
      </c>
      <c r="G566" s="59">
        <v>40</v>
      </c>
      <c r="H566" s="56">
        <f>60+100</f>
        <v>160</v>
      </c>
      <c r="I566" s="56">
        <f t="shared" si="90"/>
        <v>0</v>
      </c>
      <c r="J566" s="59">
        <v>100</v>
      </c>
      <c r="K566" s="59">
        <v>300</v>
      </c>
      <c r="L566" s="56">
        <f t="shared" si="84"/>
        <v>1150</v>
      </c>
      <c r="M566" s="66">
        <v>600</v>
      </c>
      <c r="N566" s="56">
        <f>100</f>
        <v>100</v>
      </c>
      <c r="O566" s="59">
        <v>240</v>
      </c>
      <c r="P566" s="59">
        <v>40</v>
      </c>
      <c r="Q566" s="59">
        <f t="shared" si="85"/>
        <v>315</v>
      </c>
      <c r="R566" s="59">
        <f t="shared" si="86"/>
        <v>100</v>
      </c>
      <c r="S566" s="56">
        <f t="shared" si="87"/>
        <v>695</v>
      </c>
      <c r="T566" s="56">
        <f>50</f>
        <v>50</v>
      </c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</row>
    <row r="567" spans="1:30" ht="15.75" x14ac:dyDescent="0.25">
      <c r="A567" s="13">
        <v>58561</v>
      </c>
      <c r="B567" s="67">
        <v>30</v>
      </c>
      <c r="C567" s="56">
        <f>141.293</f>
        <v>141.29300000000001</v>
      </c>
      <c r="D567" s="56">
        <f>267.993</f>
        <v>267.99299999999999</v>
      </c>
      <c r="E567" s="64">
        <f>115.016</f>
        <v>115.01600000000001</v>
      </c>
      <c r="F567" s="56">
        <f>314.698-40-25-60-100</f>
        <v>89.697999999999979</v>
      </c>
      <c r="G567" s="59">
        <v>40</v>
      </c>
      <c r="H567" s="56">
        <f t="shared" ref="H567:H573" si="92">25+60+100</f>
        <v>185</v>
      </c>
      <c r="I567" s="56">
        <f t="shared" si="90"/>
        <v>0</v>
      </c>
      <c r="J567" s="59">
        <v>100</v>
      </c>
      <c r="K567" s="59">
        <v>300</v>
      </c>
      <c r="L567" s="56">
        <f t="shared" si="84"/>
        <v>1239</v>
      </c>
      <c r="M567" s="66">
        <v>600</v>
      </c>
      <c r="N567" s="56">
        <f>100</f>
        <v>100</v>
      </c>
      <c r="O567" s="59">
        <v>240</v>
      </c>
      <c r="P567" s="59">
        <v>160</v>
      </c>
      <c r="Q567" s="59">
        <f t="shared" si="85"/>
        <v>195</v>
      </c>
      <c r="R567" s="59">
        <f t="shared" si="86"/>
        <v>100</v>
      </c>
      <c r="S567" s="56">
        <f t="shared" si="87"/>
        <v>695</v>
      </c>
      <c r="T567" s="56">
        <f>50</f>
        <v>50</v>
      </c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</row>
    <row r="568" spans="1:30" ht="15.75" x14ac:dyDescent="0.25">
      <c r="A568" s="13">
        <v>58592</v>
      </c>
      <c r="B568" s="67">
        <v>31</v>
      </c>
      <c r="C568" s="56">
        <f>194.205</f>
        <v>194.20500000000001</v>
      </c>
      <c r="D568" s="56">
        <f>267.466</f>
        <v>267.46600000000001</v>
      </c>
      <c r="E568" s="64">
        <f>133.845</f>
        <v>133.845</v>
      </c>
      <c r="F568" s="56">
        <f>278.484-40-25-60-100</f>
        <v>53.48399999999998</v>
      </c>
      <c r="G568" s="59">
        <v>40</v>
      </c>
      <c r="H568" s="56">
        <f t="shared" si="92"/>
        <v>185</v>
      </c>
      <c r="I568" s="56">
        <f t="shared" si="90"/>
        <v>0</v>
      </c>
      <c r="J568" s="59">
        <v>100</v>
      </c>
      <c r="K568" s="59">
        <v>300</v>
      </c>
      <c r="L568" s="56">
        <f t="shared" si="84"/>
        <v>1274</v>
      </c>
      <c r="M568" s="66">
        <v>600</v>
      </c>
      <c r="N568" s="56">
        <f>75</f>
        <v>75</v>
      </c>
      <c r="O568" s="59">
        <v>240</v>
      </c>
      <c r="P568" s="59">
        <v>160</v>
      </c>
      <c r="Q568" s="59">
        <f t="shared" si="85"/>
        <v>195</v>
      </c>
      <c r="R568" s="59">
        <f t="shared" si="86"/>
        <v>100</v>
      </c>
      <c r="S568" s="56">
        <f t="shared" si="87"/>
        <v>695</v>
      </c>
      <c r="T568" s="56">
        <f>50</f>
        <v>50</v>
      </c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</row>
    <row r="569" spans="1:30" ht="15.75" x14ac:dyDescent="0.25">
      <c r="A569" s="13">
        <v>58622</v>
      </c>
      <c r="B569" s="67">
        <v>30</v>
      </c>
      <c r="C569" s="56">
        <f>194.205</f>
        <v>194.20500000000001</v>
      </c>
      <c r="D569" s="56">
        <f>267.466</f>
        <v>267.46600000000001</v>
      </c>
      <c r="E569" s="64">
        <f>133.845</f>
        <v>133.845</v>
      </c>
      <c r="F569" s="56">
        <f>278.484-40-25-60-100</f>
        <v>53.48399999999998</v>
      </c>
      <c r="G569" s="59">
        <v>40</v>
      </c>
      <c r="H569" s="56">
        <f t="shared" si="92"/>
        <v>185</v>
      </c>
      <c r="I569" s="56">
        <f t="shared" si="90"/>
        <v>0</v>
      </c>
      <c r="J569" s="59">
        <v>100</v>
      </c>
      <c r="K569" s="59">
        <v>300</v>
      </c>
      <c r="L569" s="56">
        <f t="shared" si="84"/>
        <v>1274</v>
      </c>
      <c r="M569" s="66">
        <v>600</v>
      </c>
      <c r="N569" s="56">
        <f>30</f>
        <v>30</v>
      </c>
      <c r="O569" s="59">
        <v>240</v>
      </c>
      <c r="P569" s="59">
        <v>160</v>
      </c>
      <c r="Q569" s="59">
        <f t="shared" si="85"/>
        <v>195</v>
      </c>
      <c r="R569" s="59">
        <f t="shared" si="86"/>
        <v>100</v>
      </c>
      <c r="S569" s="56">
        <f t="shared" si="87"/>
        <v>695</v>
      </c>
      <c r="T569" s="56">
        <f>50</f>
        <v>50</v>
      </c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</row>
    <row r="570" spans="1:30" ht="15.75" x14ac:dyDescent="0.25">
      <c r="A570" s="13">
        <v>58653</v>
      </c>
      <c r="B570" s="67">
        <v>31</v>
      </c>
      <c r="C570" s="56">
        <f>194.205</f>
        <v>194.20500000000001</v>
      </c>
      <c r="D570" s="56">
        <f>267.466</f>
        <v>267.46600000000001</v>
      </c>
      <c r="E570" s="64">
        <f>133.845</f>
        <v>133.845</v>
      </c>
      <c r="F570" s="56">
        <f>278.484-40-25-60-100</f>
        <v>53.48399999999998</v>
      </c>
      <c r="G570" s="59">
        <v>40</v>
      </c>
      <c r="H570" s="56">
        <f t="shared" si="92"/>
        <v>185</v>
      </c>
      <c r="I570" s="56">
        <f t="shared" si="90"/>
        <v>0</v>
      </c>
      <c r="J570" s="59">
        <v>100</v>
      </c>
      <c r="K570" s="59">
        <v>300</v>
      </c>
      <c r="L570" s="56">
        <f t="shared" si="84"/>
        <v>1274</v>
      </c>
      <c r="M570" s="66">
        <v>600</v>
      </c>
      <c r="N570" s="56">
        <f>30</f>
        <v>30</v>
      </c>
      <c r="O570" s="59">
        <v>240</v>
      </c>
      <c r="P570" s="59">
        <v>160</v>
      </c>
      <c r="Q570" s="59">
        <f t="shared" si="85"/>
        <v>195</v>
      </c>
      <c r="R570" s="59">
        <f t="shared" si="86"/>
        <v>100</v>
      </c>
      <c r="S570" s="56">
        <f t="shared" si="87"/>
        <v>695</v>
      </c>
      <c r="T570" s="56">
        <f>0</f>
        <v>0</v>
      </c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</row>
    <row r="571" spans="1:30" ht="15.75" x14ac:dyDescent="0.25">
      <c r="A571" s="13">
        <v>58684</v>
      </c>
      <c r="B571" s="67">
        <v>31</v>
      </c>
      <c r="C571" s="56">
        <f>194.205</f>
        <v>194.20500000000001</v>
      </c>
      <c r="D571" s="56">
        <f>267.466</f>
        <v>267.46600000000001</v>
      </c>
      <c r="E571" s="64">
        <f>133.845</f>
        <v>133.845</v>
      </c>
      <c r="F571" s="56">
        <f>278.484-40-25-60-100</f>
        <v>53.48399999999998</v>
      </c>
      <c r="G571" s="59">
        <v>40</v>
      </c>
      <c r="H571" s="56">
        <f t="shared" si="92"/>
        <v>185</v>
      </c>
      <c r="I571" s="56">
        <f t="shared" si="90"/>
        <v>0</v>
      </c>
      <c r="J571" s="59">
        <v>100</v>
      </c>
      <c r="K571" s="59">
        <v>300</v>
      </c>
      <c r="L571" s="56">
        <f t="shared" si="84"/>
        <v>1274</v>
      </c>
      <c r="M571" s="66">
        <v>600</v>
      </c>
      <c r="N571" s="56">
        <f>30</f>
        <v>30</v>
      </c>
      <c r="O571" s="59">
        <v>240</v>
      </c>
      <c r="P571" s="59">
        <v>160</v>
      </c>
      <c r="Q571" s="59">
        <f t="shared" si="85"/>
        <v>195</v>
      </c>
      <c r="R571" s="59">
        <f t="shared" si="86"/>
        <v>100</v>
      </c>
      <c r="S571" s="56">
        <f t="shared" si="87"/>
        <v>695</v>
      </c>
      <c r="T571" s="56">
        <f>0</f>
        <v>0</v>
      </c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</row>
    <row r="572" spans="1:30" ht="15.75" x14ac:dyDescent="0.25">
      <c r="A572" s="13">
        <v>58714</v>
      </c>
      <c r="B572" s="67">
        <v>30</v>
      </c>
      <c r="C572" s="56">
        <f>194.205</f>
        <v>194.20500000000001</v>
      </c>
      <c r="D572" s="56">
        <f>267.466</f>
        <v>267.46600000000001</v>
      </c>
      <c r="E572" s="64">
        <f>133.845</f>
        <v>133.845</v>
      </c>
      <c r="F572" s="56">
        <f>278.484-40-25-60-100</f>
        <v>53.48399999999998</v>
      </c>
      <c r="G572" s="59">
        <v>40</v>
      </c>
      <c r="H572" s="56">
        <f t="shared" si="92"/>
        <v>185</v>
      </c>
      <c r="I572" s="56">
        <f t="shared" si="90"/>
        <v>0</v>
      </c>
      <c r="J572" s="59">
        <v>100</v>
      </c>
      <c r="K572" s="59">
        <v>300</v>
      </c>
      <c r="L572" s="56">
        <f t="shared" si="84"/>
        <v>1274</v>
      </c>
      <c r="M572" s="66">
        <v>600</v>
      </c>
      <c r="N572" s="56">
        <f>30</f>
        <v>30</v>
      </c>
      <c r="O572" s="59">
        <v>240</v>
      </c>
      <c r="P572" s="59">
        <v>160</v>
      </c>
      <c r="Q572" s="59">
        <f t="shared" si="85"/>
        <v>195</v>
      </c>
      <c r="R572" s="59">
        <f t="shared" si="86"/>
        <v>100</v>
      </c>
      <c r="S572" s="56">
        <f t="shared" si="87"/>
        <v>695</v>
      </c>
      <c r="T572" s="56">
        <f>0</f>
        <v>0</v>
      </c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</row>
    <row r="573" spans="1:30" ht="15.75" x14ac:dyDescent="0.25">
      <c r="A573" s="13">
        <v>58745</v>
      </c>
      <c r="B573" s="67">
        <v>31</v>
      </c>
      <c r="C573" s="56">
        <f>131.881</f>
        <v>131.881</v>
      </c>
      <c r="D573" s="56">
        <f>277.167</f>
        <v>277.16699999999997</v>
      </c>
      <c r="E573" s="64">
        <f>79.08</f>
        <v>79.08</v>
      </c>
      <c r="F573" s="56">
        <f>350.872-40-25-60-100</f>
        <v>125.87200000000001</v>
      </c>
      <c r="G573" s="59">
        <v>40</v>
      </c>
      <c r="H573" s="56">
        <f t="shared" si="92"/>
        <v>185</v>
      </c>
      <c r="I573" s="56">
        <f t="shared" si="90"/>
        <v>0</v>
      </c>
      <c r="J573" s="59">
        <v>100</v>
      </c>
      <c r="K573" s="59">
        <v>300</v>
      </c>
      <c r="L573" s="56">
        <f t="shared" si="84"/>
        <v>1239</v>
      </c>
      <c r="M573" s="66">
        <v>600</v>
      </c>
      <c r="N573" s="56">
        <f>75</f>
        <v>75</v>
      </c>
      <c r="O573" s="59">
        <v>240</v>
      </c>
      <c r="P573" s="59">
        <v>160</v>
      </c>
      <c r="Q573" s="59">
        <f t="shared" si="85"/>
        <v>195</v>
      </c>
      <c r="R573" s="59">
        <f t="shared" si="86"/>
        <v>100</v>
      </c>
      <c r="S573" s="56">
        <f t="shared" si="87"/>
        <v>695</v>
      </c>
      <c r="T573" s="56">
        <f>0</f>
        <v>0</v>
      </c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</row>
    <row r="574" spans="1:30" ht="15.75" x14ac:dyDescent="0.25">
      <c r="A574" s="13">
        <v>58775</v>
      </c>
      <c r="B574" s="67">
        <v>30</v>
      </c>
      <c r="C574" s="56">
        <f>122.58</f>
        <v>122.58</v>
      </c>
      <c r="D574" s="56">
        <f>297.941</f>
        <v>297.94099999999997</v>
      </c>
      <c r="E574" s="64">
        <f>89.177</f>
        <v>89.177000000000007</v>
      </c>
      <c r="F574" s="56">
        <f>240.302-40-60-100</f>
        <v>40.301999999999992</v>
      </c>
      <c r="G574" s="59">
        <v>40</v>
      </c>
      <c r="H574" s="56">
        <f>60+100</f>
        <v>160</v>
      </c>
      <c r="I574" s="56">
        <f t="shared" si="90"/>
        <v>0</v>
      </c>
      <c r="J574" s="59">
        <v>100</v>
      </c>
      <c r="K574" s="59">
        <v>300</v>
      </c>
      <c r="L574" s="56">
        <f t="shared" si="84"/>
        <v>1150</v>
      </c>
      <c r="M574" s="66">
        <v>600</v>
      </c>
      <c r="N574" s="56">
        <f>100</f>
        <v>100</v>
      </c>
      <c r="O574" s="59">
        <v>240</v>
      </c>
      <c r="P574" s="59">
        <v>40</v>
      </c>
      <c r="Q574" s="59">
        <f t="shared" si="85"/>
        <v>315</v>
      </c>
      <c r="R574" s="59">
        <f t="shared" si="86"/>
        <v>100</v>
      </c>
      <c r="S574" s="56">
        <f t="shared" si="87"/>
        <v>695</v>
      </c>
      <c r="T574" s="56">
        <f>50</f>
        <v>50</v>
      </c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</row>
    <row r="575" spans="1:30" ht="15.75" x14ac:dyDescent="0.25">
      <c r="A575" s="13">
        <v>58806</v>
      </c>
      <c r="B575" s="67">
        <v>31</v>
      </c>
      <c r="C575" s="56">
        <f>122.58</f>
        <v>122.58</v>
      </c>
      <c r="D575" s="56">
        <f>297.941</f>
        <v>297.94099999999997</v>
      </c>
      <c r="E575" s="64">
        <f>89.177</f>
        <v>89.177000000000007</v>
      </c>
      <c r="F575" s="56">
        <f>240.302-40-60-100</f>
        <v>40.301999999999992</v>
      </c>
      <c r="G575" s="59">
        <v>40</v>
      </c>
      <c r="H575" s="56">
        <f>60+100</f>
        <v>160</v>
      </c>
      <c r="I575" s="56">
        <f t="shared" si="90"/>
        <v>0</v>
      </c>
      <c r="J575" s="59">
        <v>100</v>
      </c>
      <c r="K575" s="59">
        <v>300</v>
      </c>
      <c r="L575" s="56">
        <f t="shared" si="84"/>
        <v>1150</v>
      </c>
      <c r="M575" s="66">
        <v>600</v>
      </c>
      <c r="N575" s="56">
        <f>100</f>
        <v>100</v>
      </c>
      <c r="O575" s="59">
        <v>240</v>
      </c>
      <c r="P575" s="59">
        <v>40</v>
      </c>
      <c r="Q575" s="59">
        <f t="shared" si="85"/>
        <v>315</v>
      </c>
      <c r="R575" s="59">
        <f t="shared" si="86"/>
        <v>100</v>
      </c>
      <c r="S575" s="56">
        <f t="shared" si="87"/>
        <v>695</v>
      </c>
      <c r="T575" s="56">
        <f>50</f>
        <v>50</v>
      </c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</row>
    <row r="576" spans="1:30" ht="15.75" x14ac:dyDescent="0.25">
      <c r="A576" s="13">
        <v>58837</v>
      </c>
      <c r="B576" s="67">
        <v>31</v>
      </c>
      <c r="C576" s="56">
        <f>122.58</f>
        <v>122.58</v>
      </c>
      <c r="D576" s="56">
        <f>297.941</f>
        <v>297.94099999999997</v>
      </c>
      <c r="E576" s="64">
        <f>89.177</f>
        <v>89.177000000000007</v>
      </c>
      <c r="F576" s="56">
        <f>240.302-40-60-100</f>
        <v>40.301999999999992</v>
      </c>
      <c r="G576" s="59">
        <v>40</v>
      </c>
      <c r="H576" s="56">
        <f>60+100</f>
        <v>160</v>
      </c>
      <c r="I576" s="56">
        <f t="shared" si="90"/>
        <v>0</v>
      </c>
      <c r="J576" s="59">
        <v>100</v>
      </c>
      <c r="K576" s="59">
        <v>300</v>
      </c>
      <c r="L576" s="56">
        <f t="shared" si="84"/>
        <v>1150</v>
      </c>
      <c r="M576" s="66">
        <v>600</v>
      </c>
      <c r="N576" s="56">
        <f>100</f>
        <v>100</v>
      </c>
      <c r="O576" s="59">
        <v>240</v>
      </c>
      <c r="P576" s="59">
        <v>40</v>
      </c>
      <c r="Q576" s="59">
        <f t="shared" si="85"/>
        <v>315</v>
      </c>
      <c r="R576" s="59">
        <f t="shared" si="86"/>
        <v>100</v>
      </c>
      <c r="S576" s="56">
        <f t="shared" si="87"/>
        <v>695</v>
      </c>
      <c r="T576" s="56">
        <f>50</f>
        <v>50</v>
      </c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</row>
    <row r="577" spans="1:30" ht="15.75" x14ac:dyDescent="0.25">
      <c r="A577" s="13">
        <v>58865</v>
      </c>
      <c r="B577" s="67">
        <v>28</v>
      </c>
      <c r="C577" s="56">
        <f>122.58</f>
        <v>122.58</v>
      </c>
      <c r="D577" s="56">
        <f>297.941</f>
        <v>297.94099999999997</v>
      </c>
      <c r="E577" s="64">
        <f>89.177</f>
        <v>89.177000000000007</v>
      </c>
      <c r="F577" s="56">
        <f>240.302-40-60-100</f>
        <v>40.301999999999992</v>
      </c>
      <c r="G577" s="59">
        <v>40</v>
      </c>
      <c r="H577" s="56">
        <f>60+100</f>
        <v>160</v>
      </c>
      <c r="I577" s="56">
        <f t="shared" si="90"/>
        <v>0</v>
      </c>
      <c r="J577" s="59">
        <v>100</v>
      </c>
      <c r="K577" s="59">
        <v>300</v>
      </c>
      <c r="L577" s="56">
        <f t="shared" si="84"/>
        <v>1150</v>
      </c>
      <c r="M577" s="66">
        <v>600</v>
      </c>
      <c r="N577" s="56">
        <f>100</f>
        <v>100</v>
      </c>
      <c r="O577" s="59">
        <v>240</v>
      </c>
      <c r="P577" s="59">
        <v>40</v>
      </c>
      <c r="Q577" s="59">
        <f t="shared" si="85"/>
        <v>315</v>
      </c>
      <c r="R577" s="59">
        <f t="shared" si="86"/>
        <v>100</v>
      </c>
      <c r="S577" s="56">
        <f t="shared" si="87"/>
        <v>695</v>
      </c>
      <c r="T577" s="56">
        <f>50</f>
        <v>50</v>
      </c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</row>
    <row r="578" spans="1:30" ht="15.75" x14ac:dyDescent="0.25">
      <c r="A578" s="13">
        <v>58893</v>
      </c>
      <c r="B578" s="67">
        <v>31</v>
      </c>
      <c r="C578" s="56">
        <f>122.58</f>
        <v>122.58</v>
      </c>
      <c r="D578" s="56">
        <f>297.941</f>
        <v>297.94099999999997</v>
      </c>
      <c r="E578" s="64">
        <f>89.177</f>
        <v>89.177000000000007</v>
      </c>
      <c r="F578" s="56">
        <f>240.302-40-60-100</f>
        <v>40.301999999999992</v>
      </c>
      <c r="G578" s="59">
        <v>40</v>
      </c>
      <c r="H578" s="56">
        <f>60+100</f>
        <v>160</v>
      </c>
      <c r="I578" s="56">
        <f t="shared" si="90"/>
        <v>0</v>
      </c>
      <c r="J578" s="59">
        <v>100</v>
      </c>
      <c r="K578" s="59">
        <v>300</v>
      </c>
      <c r="L578" s="56">
        <f t="shared" si="84"/>
        <v>1150</v>
      </c>
      <c r="M578" s="66">
        <v>600</v>
      </c>
      <c r="N578" s="56">
        <f>100</f>
        <v>100</v>
      </c>
      <c r="O578" s="59">
        <v>240</v>
      </c>
      <c r="P578" s="59">
        <v>40</v>
      </c>
      <c r="Q578" s="59">
        <f t="shared" si="85"/>
        <v>315</v>
      </c>
      <c r="R578" s="59">
        <f t="shared" si="86"/>
        <v>100</v>
      </c>
      <c r="S578" s="56">
        <f t="shared" si="87"/>
        <v>695</v>
      </c>
      <c r="T578" s="56">
        <f>50</f>
        <v>50</v>
      </c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</row>
    <row r="579" spans="1:30" ht="15.75" x14ac:dyDescent="0.25">
      <c r="A579" s="13">
        <v>58926</v>
      </c>
      <c r="B579" s="67">
        <v>30</v>
      </c>
      <c r="C579" s="56">
        <f>141.293</f>
        <v>141.29300000000001</v>
      </c>
      <c r="D579" s="56">
        <f>267.993</f>
        <v>267.99299999999999</v>
      </c>
      <c r="E579" s="64">
        <f>115.016</f>
        <v>115.01600000000001</v>
      </c>
      <c r="F579" s="56">
        <f>314.698-40-25-60-100</f>
        <v>89.697999999999979</v>
      </c>
      <c r="G579" s="59">
        <v>40</v>
      </c>
      <c r="H579" s="56">
        <f t="shared" ref="H579:H585" si="93">25+60+100</f>
        <v>185</v>
      </c>
      <c r="I579" s="56">
        <f t="shared" si="90"/>
        <v>0</v>
      </c>
      <c r="J579" s="59">
        <v>100</v>
      </c>
      <c r="K579" s="59">
        <v>300</v>
      </c>
      <c r="L579" s="56">
        <f t="shared" si="84"/>
        <v>1239</v>
      </c>
      <c r="M579" s="66">
        <v>600</v>
      </c>
      <c r="N579" s="56">
        <f>100</f>
        <v>100</v>
      </c>
      <c r="O579" s="59">
        <v>240</v>
      </c>
      <c r="P579" s="59">
        <v>160</v>
      </c>
      <c r="Q579" s="59">
        <f t="shared" si="85"/>
        <v>195</v>
      </c>
      <c r="R579" s="59">
        <f t="shared" si="86"/>
        <v>100</v>
      </c>
      <c r="S579" s="56">
        <f t="shared" si="87"/>
        <v>695</v>
      </c>
      <c r="T579" s="56">
        <f>50</f>
        <v>50</v>
      </c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</row>
    <row r="580" spans="1:30" ht="15.75" x14ac:dyDescent="0.25">
      <c r="A580" s="13">
        <v>58957</v>
      </c>
      <c r="B580" s="67">
        <v>31</v>
      </c>
      <c r="C580" s="56">
        <f>194.205</f>
        <v>194.20500000000001</v>
      </c>
      <c r="D580" s="56">
        <f>267.466</f>
        <v>267.46600000000001</v>
      </c>
      <c r="E580" s="64">
        <f>133.845</f>
        <v>133.845</v>
      </c>
      <c r="F580" s="56">
        <f>278.484-40-25-60-100</f>
        <v>53.48399999999998</v>
      </c>
      <c r="G580" s="59">
        <v>40</v>
      </c>
      <c r="H580" s="56">
        <f t="shared" si="93"/>
        <v>185</v>
      </c>
      <c r="I580" s="56">
        <f t="shared" si="90"/>
        <v>0</v>
      </c>
      <c r="J580" s="59">
        <v>100</v>
      </c>
      <c r="K580" s="59">
        <v>300</v>
      </c>
      <c r="L580" s="56">
        <f t="shared" si="84"/>
        <v>1274</v>
      </c>
      <c r="M580" s="66">
        <v>600</v>
      </c>
      <c r="N580" s="56">
        <f>75</f>
        <v>75</v>
      </c>
      <c r="O580" s="59">
        <v>240</v>
      </c>
      <c r="P580" s="59">
        <v>160</v>
      </c>
      <c r="Q580" s="59">
        <f t="shared" si="85"/>
        <v>195</v>
      </c>
      <c r="R580" s="59">
        <f t="shared" si="86"/>
        <v>100</v>
      </c>
      <c r="S580" s="56">
        <f t="shared" si="87"/>
        <v>695</v>
      </c>
      <c r="T580" s="56">
        <f>50</f>
        <v>50</v>
      </c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</row>
    <row r="581" spans="1:30" ht="15.75" x14ac:dyDescent="0.25">
      <c r="A581" s="13">
        <v>58987</v>
      </c>
      <c r="B581" s="67">
        <v>30</v>
      </c>
      <c r="C581" s="56">
        <f>194.205</f>
        <v>194.20500000000001</v>
      </c>
      <c r="D581" s="56">
        <f>267.466</f>
        <v>267.46600000000001</v>
      </c>
      <c r="E581" s="64">
        <f>133.845</f>
        <v>133.845</v>
      </c>
      <c r="F581" s="56">
        <f>278.484-40-25-60-100</f>
        <v>53.48399999999998</v>
      </c>
      <c r="G581" s="59">
        <v>40</v>
      </c>
      <c r="H581" s="56">
        <f t="shared" si="93"/>
        <v>185</v>
      </c>
      <c r="I581" s="56">
        <f t="shared" si="90"/>
        <v>0</v>
      </c>
      <c r="J581" s="59">
        <v>100</v>
      </c>
      <c r="K581" s="59">
        <v>300</v>
      </c>
      <c r="L581" s="56">
        <f t="shared" si="84"/>
        <v>1274</v>
      </c>
      <c r="M581" s="66">
        <v>600</v>
      </c>
      <c r="N581" s="56">
        <f>30</f>
        <v>30</v>
      </c>
      <c r="O581" s="59">
        <v>240</v>
      </c>
      <c r="P581" s="59">
        <v>160</v>
      </c>
      <c r="Q581" s="59">
        <f t="shared" si="85"/>
        <v>195</v>
      </c>
      <c r="R581" s="59">
        <f t="shared" si="86"/>
        <v>100</v>
      </c>
      <c r="S581" s="56">
        <f t="shared" si="87"/>
        <v>695</v>
      </c>
      <c r="T581" s="56">
        <f>50</f>
        <v>50</v>
      </c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</row>
    <row r="582" spans="1:30" ht="15.75" x14ac:dyDescent="0.25">
      <c r="A582" s="13">
        <v>59018</v>
      </c>
      <c r="B582" s="67">
        <v>31</v>
      </c>
      <c r="C582" s="56">
        <f>194.205</f>
        <v>194.20500000000001</v>
      </c>
      <c r="D582" s="56">
        <f>267.466</f>
        <v>267.46600000000001</v>
      </c>
      <c r="E582" s="64">
        <f>133.845</f>
        <v>133.845</v>
      </c>
      <c r="F582" s="56">
        <f>278.484-40-25-60-100</f>
        <v>53.48399999999998</v>
      </c>
      <c r="G582" s="59">
        <v>40</v>
      </c>
      <c r="H582" s="56">
        <f t="shared" si="93"/>
        <v>185</v>
      </c>
      <c r="I582" s="56">
        <f t="shared" si="90"/>
        <v>0</v>
      </c>
      <c r="J582" s="59">
        <v>100</v>
      </c>
      <c r="K582" s="59">
        <v>300</v>
      </c>
      <c r="L582" s="56">
        <f t="shared" si="84"/>
        <v>1274</v>
      </c>
      <c r="M582" s="66">
        <v>600</v>
      </c>
      <c r="N582" s="56">
        <f>30</f>
        <v>30</v>
      </c>
      <c r="O582" s="59">
        <v>240</v>
      </c>
      <c r="P582" s="59">
        <v>160</v>
      </c>
      <c r="Q582" s="59">
        <f t="shared" si="85"/>
        <v>195</v>
      </c>
      <c r="R582" s="59">
        <f t="shared" si="86"/>
        <v>100</v>
      </c>
      <c r="S582" s="56">
        <f t="shared" si="87"/>
        <v>695</v>
      </c>
      <c r="T582" s="56">
        <f>0</f>
        <v>0</v>
      </c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</row>
    <row r="583" spans="1:30" ht="15.75" x14ac:dyDescent="0.25">
      <c r="A583" s="13">
        <v>59049</v>
      </c>
      <c r="B583" s="67">
        <v>31</v>
      </c>
      <c r="C583" s="56">
        <f>194.205</f>
        <v>194.20500000000001</v>
      </c>
      <c r="D583" s="56">
        <f>267.466</f>
        <v>267.46600000000001</v>
      </c>
      <c r="E583" s="64">
        <f>133.845</f>
        <v>133.845</v>
      </c>
      <c r="F583" s="56">
        <f>278.484-40-25-60-100</f>
        <v>53.48399999999998</v>
      </c>
      <c r="G583" s="59">
        <v>40</v>
      </c>
      <c r="H583" s="56">
        <f t="shared" si="93"/>
        <v>185</v>
      </c>
      <c r="I583" s="56">
        <f t="shared" si="90"/>
        <v>0</v>
      </c>
      <c r="J583" s="59">
        <v>100</v>
      </c>
      <c r="K583" s="59">
        <v>300</v>
      </c>
      <c r="L583" s="56">
        <f t="shared" si="84"/>
        <v>1274</v>
      </c>
      <c r="M583" s="66">
        <v>600</v>
      </c>
      <c r="N583" s="56">
        <f>30</f>
        <v>30</v>
      </c>
      <c r="O583" s="59">
        <v>240</v>
      </c>
      <c r="P583" s="59">
        <v>160</v>
      </c>
      <c r="Q583" s="59">
        <f t="shared" si="85"/>
        <v>195</v>
      </c>
      <c r="R583" s="59">
        <f t="shared" si="86"/>
        <v>100</v>
      </c>
      <c r="S583" s="56">
        <f t="shared" si="87"/>
        <v>695</v>
      </c>
      <c r="T583" s="56">
        <f>0</f>
        <v>0</v>
      </c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</row>
    <row r="584" spans="1:30" ht="15.75" x14ac:dyDescent="0.25">
      <c r="A584" s="13">
        <v>59079</v>
      </c>
      <c r="B584" s="67">
        <v>30</v>
      </c>
      <c r="C584" s="56">
        <f>194.205</f>
        <v>194.20500000000001</v>
      </c>
      <c r="D584" s="56">
        <f>267.466</f>
        <v>267.46600000000001</v>
      </c>
      <c r="E584" s="64">
        <f>133.845</f>
        <v>133.845</v>
      </c>
      <c r="F584" s="56">
        <f>278.484-40-25-60-100</f>
        <v>53.48399999999998</v>
      </c>
      <c r="G584" s="59">
        <v>40</v>
      </c>
      <c r="H584" s="56">
        <f t="shared" si="93"/>
        <v>185</v>
      </c>
      <c r="I584" s="56">
        <f t="shared" si="90"/>
        <v>0</v>
      </c>
      <c r="J584" s="59">
        <v>100</v>
      </c>
      <c r="K584" s="59">
        <v>300</v>
      </c>
      <c r="L584" s="56">
        <f t="shared" si="84"/>
        <v>1274</v>
      </c>
      <c r="M584" s="66">
        <v>600</v>
      </c>
      <c r="N584" s="56">
        <f>30</f>
        <v>30</v>
      </c>
      <c r="O584" s="59">
        <v>240</v>
      </c>
      <c r="P584" s="59">
        <v>160</v>
      </c>
      <c r="Q584" s="59">
        <f t="shared" si="85"/>
        <v>195</v>
      </c>
      <c r="R584" s="59">
        <f t="shared" si="86"/>
        <v>100</v>
      </c>
      <c r="S584" s="56">
        <f t="shared" si="87"/>
        <v>695</v>
      </c>
      <c r="T584" s="56">
        <f>0</f>
        <v>0</v>
      </c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</row>
    <row r="585" spans="1:30" ht="15.75" x14ac:dyDescent="0.25">
      <c r="A585" s="13">
        <v>59110</v>
      </c>
      <c r="B585" s="67">
        <v>31</v>
      </c>
      <c r="C585" s="56">
        <f>131.881</f>
        <v>131.881</v>
      </c>
      <c r="D585" s="56">
        <f>277.167</f>
        <v>277.16699999999997</v>
      </c>
      <c r="E585" s="64">
        <f>79.08</f>
        <v>79.08</v>
      </c>
      <c r="F585" s="56">
        <f>350.872-40-25-60-100</f>
        <v>125.87200000000001</v>
      </c>
      <c r="G585" s="59">
        <v>40</v>
      </c>
      <c r="H585" s="56">
        <f t="shared" si="93"/>
        <v>185</v>
      </c>
      <c r="I585" s="56">
        <f t="shared" si="90"/>
        <v>0</v>
      </c>
      <c r="J585" s="59">
        <v>100</v>
      </c>
      <c r="K585" s="59">
        <v>300</v>
      </c>
      <c r="L585" s="56">
        <f t="shared" si="84"/>
        <v>1239</v>
      </c>
      <c r="M585" s="66">
        <v>600</v>
      </c>
      <c r="N585" s="56">
        <f>75</f>
        <v>75</v>
      </c>
      <c r="O585" s="59">
        <v>240</v>
      </c>
      <c r="P585" s="59">
        <v>160</v>
      </c>
      <c r="Q585" s="59">
        <f t="shared" si="85"/>
        <v>195</v>
      </c>
      <c r="R585" s="59">
        <f t="shared" si="86"/>
        <v>100</v>
      </c>
      <c r="S585" s="56">
        <f t="shared" si="87"/>
        <v>695</v>
      </c>
      <c r="T585" s="56">
        <f>0</f>
        <v>0</v>
      </c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</row>
    <row r="586" spans="1:30" ht="15.75" x14ac:dyDescent="0.25">
      <c r="A586" s="13">
        <v>59140</v>
      </c>
      <c r="B586" s="67">
        <v>30</v>
      </c>
      <c r="C586" s="56">
        <f>122.58</f>
        <v>122.58</v>
      </c>
      <c r="D586" s="56">
        <f>297.941</f>
        <v>297.94099999999997</v>
      </c>
      <c r="E586" s="64">
        <f>89.177</f>
        <v>89.177000000000007</v>
      </c>
      <c r="F586" s="56">
        <f>240.302-40-60-100</f>
        <v>40.301999999999992</v>
      </c>
      <c r="G586" s="59">
        <v>40</v>
      </c>
      <c r="H586" s="56">
        <f>60+100</f>
        <v>160</v>
      </c>
      <c r="I586" s="56">
        <f t="shared" si="90"/>
        <v>0</v>
      </c>
      <c r="J586" s="59">
        <v>100</v>
      </c>
      <c r="K586" s="59">
        <v>300</v>
      </c>
      <c r="L586" s="56">
        <f t="shared" si="84"/>
        <v>1150</v>
      </c>
      <c r="M586" s="66">
        <v>600</v>
      </c>
      <c r="N586" s="56">
        <f>100</f>
        <v>100</v>
      </c>
      <c r="O586" s="59">
        <v>240</v>
      </c>
      <c r="P586" s="59">
        <v>40</v>
      </c>
      <c r="Q586" s="59">
        <f t="shared" si="85"/>
        <v>315</v>
      </c>
      <c r="R586" s="59">
        <f t="shared" si="86"/>
        <v>100</v>
      </c>
      <c r="S586" s="56">
        <f t="shared" si="87"/>
        <v>695</v>
      </c>
      <c r="T586" s="56">
        <f>50</f>
        <v>50</v>
      </c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</row>
    <row r="587" spans="1:30" ht="15.75" x14ac:dyDescent="0.25">
      <c r="A587" s="13">
        <v>59171</v>
      </c>
      <c r="B587" s="67">
        <v>31</v>
      </c>
      <c r="C587" s="56">
        <f>122.58</f>
        <v>122.58</v>
      </c>
      <c r="D587" s="56">
        <f>297.941</f>
        <v>297.94099999999997</v>
      </c>
      <c r="E587" s="64">
        <f>89.177</f>
        <v>89.177000000000007</v>
      </c>
      <c r="F587" s="56">
        <f>240.302-40-60-100</f>
        <v>40.301999999999992</v>
      </c>
      <c r="G587" s="59">
        <v>40</v>
      </c>
      <c r="H587" s="56">
        <f>60+100</f>
        <v>160</v>
      </c>
      <c r="I587" s="56">
        <f t="shared" si="90"/>
        <v>0</v>
      </c>
      <c r="J587" s="59">
        <v>100</v>
      </c>
      <c r="K587" s="59">
        <v>300</v>
      </c>
      <c r="L587" s="56">
        <f t="shared" si="84"/>
        <v>1150</v>
      </c>
      <c r="M587" s="66">
        <v>600</v>
      </c>
      <c r="N587" s="56">
        <f>100</f>
        <v>100</v>
      </c>
      <c r="O587" s="59">
        <v>240</v>
      </c>
      <c r="P587" s="59">
        <v>40</v>
      </c>
      <c r="Q587" s="59">
        <f t="shared" si="85"/>
        <v>315</v>
      </c>
      <c r="R587" s="59">
        <f t="shared" si="86"/>
        <v>100</v>
      </c>
      <c r="S587" s="56">
        <f t="shared" si="87"/>
        <v>695</v>
      </c>
      <c r="T587" s="56">
        <f>50</f>
        <v>50</v>
      </c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</row>
    <row r="588" spans="1:30" ht="15.75" x14ac:dyDescent="0.25">
      <c r="A588" s="13">
        <v>59202</v>
      </c>
      <c r="B588" s="67">
        <f t="shared" ref="B588:B651" si="94">EOMONTH(A588,0)-EOMONTH(A588,-1)</f>
        <v>31</v>
      </c>
      <c r="C588" s="56">
        <f>122.58</f>
        <v>122.58</v>
      </c>
      <c r="D588" s="56">
        <f>297.941</f>
        <v>297.94099999999997</v>
      </c>
      <c r="E588" s="64">
        <f>89.177</f>
        <v>89.177000000000007</v>
      </c>
      <c r="F588" s="56">
        <f>240.302-40-60-100</f>
        <v>40.301999999999992</v>
      </c>
      <c r="G588" s="59">
        <v>40</v>
      </c>
      <c r="H588" s="56">
        <f>60+100</f>
        <v>160</v>
      </c>
      <c r="I588" s="56">
        <f t="shared" si="90"/>
        <v>0</v>
      </c>
      <c r="J588" s="59">
        <v>100</v>
      </c>
      <c r="K588" s="59">
        <v>300</v>
      </c>
      <c r="L588" s="56">
        <f t="shared" si="84"/>
        <v>1150</v>
      </c>
      <c r="M588" s="66">
        <v>600</v>
      </c>
      <c r="N588" s="56">
        <f>100</f>
        <v>100</v>
      </c>
      <c r="O588" s="59">
        <v>240</v>
      </c>
      <c r="P588" s="59">
        <v>40</v>
      </c>
      <c r="Q588" s="59">
        <f t="shared" si="85"/>
        <v>315</v>
      </c>
      <c r="R588" s="59">
        <f t="shared" si="86"/>
        <v>100</v>
      </c>
      <c r="S588" s="56">
        <f t="shared" si="87"/>
        <v>695</v>
      </c>
      <c r="T588" s="56">
        <f>50</f>
        <v>50</v>
      </c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</row>
    <row r="589" spans="1:30" ht="15.75" x14ac:dyDescent="0.25">
      <c r="A589" s="13">
        <v>59230</v>
      </c>
      <c r="B589" s="67">
        <f t="shared" si="94"/>
        <v>28</v>
      </c>
      <c r="C589" s="56">
        <f>122.58</f>
        <v>122.58</v>
      </c>
      <c r="D589" s="56">
        <f>297.941</f>
        <v>297.94099999999997</v>
      </c>
      <c r="E589" s="64">
        <f>89.177</f>
        <v>89.177000000000007</v>
      </c>
      <c r="F589" s="56">
        <f>240.302-40-60-100</f>
        <v>40.301999999999992</v>
      </c>
      <c r="G589" s="59">
        <v>40</v>
      </c>
      <c r="H589" s="56">
        <f>60+100</f>
        <v>160</v>
      </c>
      <c r="I589" s="56">
        <f t="shared" si="90"/>
        <v>0</v>
      </c>
      <c r="J589" s="59">
        <v>100</v>
      </c>
      <c r="K589" s="59">
        <v>300</v>
      </c>
      <c r="L589" s="56">
        <f t="shared" si="84"/>
        <v>1150</v>
      </c>
      <c r="M589" s="66">
        <v>600</v>
      </c>
      <c r="N589" s="56">
        <f>100</f>
        <v>100</v>
      </c>
      <c r="O589" s="59">
        <v>240</v>
      </c>
      <c r="P589" s="59">
        <v>40</v>
      </c>
      <c r="Q589" s="59">
        <f t="shared" si="85"/>
        <v>315</v>
      </c>
      <c r="R589" s="59">
        <f t="shared" si="86"/>
        <v>100</v>
      </c>
      <c r="S589" s="56">
        <f t="shared" si="87"/>
        <v>695</v>
      </c>
      <c r="T589" s="56">
        <f>50</f>
        <v>50</v>
      </c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</row>
    <row r="590" spans="1:30" ht="15.75" x14ac:dyDescent="0.25">
      <c r="A590" s="13">
        <v>59261</v>
      </c>
      <c r="B590" s="67">
        <f t="shared" si="94"/>
        <v>31</v>
      </c>
      <c r="C590" s="56">
        <f>122.58</f>
        <v>122.58</v>
      </c>
      <c r="D590" s="56">
        <f>297.941</f>
        <v>297.94099999999997</v>
      </c>
      <c r="E590" s="64">
        <f>89.177</f>
        <v>89.177000000000007</v>
      </c>
      <c r="F590" s="56">
        <f>240.302-40-60-100</f>
        <v>40.301999999999992</v>
      </c>
      <c r="G590" s="59">
        <v>40</v>
      </c>
      <c r="H590" s="56">
        <f>60+100</f>
        <v>160</v>
      </c>
      <c r="I590" s="56">
        <f t="shared" si="90"/>
        <v>0</v>
      </c>
      <c r="J590" s="59">
        <v>100</v>
      </c>
      <c r="K590" s="59">
        <v>300</v>
      </c>
      <c r="L590" s="56">
        <f t="shared" si="84"/>
        <v>1150</v>
      </c>
      <c r="M590" s="66">
        <v>600</v>
      </c>
      <c r="N590" s="56">
        <f>100</f>
        <v>100</v>
      </c>
      <c r="O590" s="59">
        <v>240</v>
      </c>
      <c r="P590" s="59">
        <v>40</v>
      </c>
      <c r="Q590" s="59">
        <f t="shared" si="85"/>
        <v>315</v>
      </c>
      <c r="R590" s="59">
        <f t="shared" si="86"/>
        <v>100</v>
      </c>
      <c r="S590" s="56">
        <f t="shared" si="87"/>
        <v>695</v>
      </c>
      <c r="T590" s="56">
        <f>50</f>
        <v>50</v>
      </c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</row>
    <row r="591" spans="1:30" ht="15.75" x14ac:dyDescent="0.25">
      <c r="A591" s="13">
        <v>59291</v>
      </c>
      <c r="B591" s="67">
        <f t="shared" si="94"/>
        <v>30</v>
      </c>
      <c r="C591" s="56">
        <f>141.293</f>
        <v>141.29300000000001</v>
      </c>
      <c r="D591" s="56">
        <f>267.993</f>
        <v>267.99299999999999</v>
      </c>
      <c r="E591" s="64">
        <f>115.016</f>
        <v>115.01600000000001</v>
      </c>
      <c r="F591" s="56">
        <f>314.698-40-25-60-100</f>
        <v>89.697999999999979</v>
      </c>
      <c r="G591" s="59">
        <v>40</v>
      </c>
      <c r="H591" s="56">
        <f t="shared" ref="H591:H597" si="95">25+60+100</f>
        <v>185</v>
      </c>
      <c r="I591" s="56">
        <f t="shared" si="90"/>
        <v>0</v>
      </c>
      <c r="J591" s="59">
        <v>100</v>
      </c>
      <c r="K591" s="59">
        <v>300</v>
      </c>
      <c r="L591" s="56">
        <f t="shared" ref="L591:L654" si="96">SUM(C591:K591)</f>
        <v>1239</v>
      </c>
      <c r="M591" s="66">
        <v>600</v>
      </c>
      <c r="N591" s="56">
        <f>100</f>
        <v>100</v>
      </c>
      <c r="O591" s="59">
        <v>240</v>
      </c>
      <c r="P591" s="59">
        <v>40</v>
      </c>
      <c r="Q591" s="59">
        <f t="shared" ref="Q591:Q654" si="97">695-R591-O591-P591</f>
        <v>315</v>
      </c>
      <c r="R591" s="59">
        <f t="shared" ref="R591:R654" si="98">200-J591</f>
        <v>100</v>
      </c>
      <c r="S591" s="56">
        <f t="shared" ref="S591:S654" si="99">SUM(O591:R591)</f>
        <v>695</v>
      </c>
      <c r="T591" s="56">
        <f>50</f>
        <v>50</v>
      </c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</row>
    <row r="592" spans="1:30" ht="15.75" x14ac:dyDescent="0.25">
      <c r="A592" s="13">
        <v>59322</v>
      </c>
      <c r="B592" s="67">
        <f t="shared" si="94"/>
        <v>31</v>
      </c>
      <c r="C592" s="56">
        <f>194.205</f>
        <v>194.20500000000001</v>
      </c>
      <c r="D592" s="56">
        <f>267.466</f>
        <v>267.46600000000001</v>
      </c>
      <c r="E592" s="64">
        <f>133.845</f>
        <v>133.845</v>
      </c>
      <c r="F592" s="56">
        <f>278.484-40-25-60-100</f>
        <v>53.48399999999998</v>
      </c>
      <c r="G592" s="59">
        <v>40</v>
      </c>
      <c r="H592" s="56">
        <f t="shared" si="95"/>
        <v>185</v>
      </c>
      <c r="I592" s="56">
        <f t="shared" si="90"/>
        <v>0</v>
      </c>
      <c r="J592" s="59">
        <v>100</v>
      </c>
      <c r="K592" s="59">
        <v>300</v>
      </c>
      <c r="L592" s="56">
        <f t="shared" si="96"/>
        <v>1274</v>
      </c>
      <c r="M592" s="66">
        <v>600</v>
      </c>
      <c r="N592" s="56">
        <f>75</f>
        <v>75</v>
      </c>
      <c r="O592" s="59">
        <v>240</v>
      </c>
      <c r="P592" s="59">
        <v>40</v>
      </c>
      <c r="Q592" s="59">
        <f t="shared" si="97"/>
        <v>315</v>
      </c>
      <c r="R592" s="59">
        <f t="shared" si="98"/>
        <v>100</v>
      </c>
      <c r="S592" s="56">
        <f t="shared" si="99"/>
        <v>695</v>
      </c>
      <c r="T592" s="56">
        <f>50</f>
        <v>50</v>
      </c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</row>
    <row r="593" spans="1:30" ht="15.75" x14ac:dyDescent="0.25">
      <c r="A593" s="13">
        <v>59352</v>
      </c>
      <c r="B593" s="67">
        <f t="shared" si="94"/>
        <v>30</v>
      </c>
      <c r="C593" s="56">
        <f>194.205</f>
        <v>194.20500000000001</v>
      </c>
      <c r="D593" s="56">
        <f>267.466</f>
        <v>267.46600000000001</v>
      </c>
      <c r="E593" s="64">
        <f>133.845</f>
        <v>133.845</v>
      </c>
      <c r="F593" s="56">
        <f>278.484-40-25-60-100</f>
        <v>53.48399999999998</v>
      </c>
      <c r="G593" s="59">
        <v>40</v>
      </c>
      <c r="H593" s="56">
        <f t="shared" si="95"/>
        <v>185</v>
      </c>
      <c r="I593" s="56">
        <f t="shared" si="90"/>
        <v>0</v>
      </c>
      <c r="J593" s="59">
        <v>100</v>
      </c>
      <c r="K593" s="59">
        <v>300</v>
      </c>
      <c r="L593" s="56">
        <f t="shared" si="96"/>
        <v>1274</v>
      </c>
      <c r="M593" s="66">
        <v>600</v>
      </c>
      <c r="N593" s="56">
        <f>30</f>
        <v>30</v>
      </c>
      <c r="O593" s="59">
        <v>240</v>
      </c>
      <c r="P593" s="59">
        <v>40</v>
      </c>
      <c r="Q593" s="59">
        <f t="shared" si="97"/>
        <v>315</v>
      </c>
      <c r="R593" s="59">
        <f t="shared" si="98"/>
        <v>100</v>
      </c>
      <c r="S593" s="56">
        <f t="shared" si="99"/>
        <v>695</v>
      </c>
      <c r="T593" s="56">
        <f>50</f>
        <v>50</v>
      </c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</row>
    <row r="594" spans="1:30" ht="15.75" x14ac:dyDescent="0.25">
      <c r="A594" s="13">
        <v>59383</v>
      </c>
      <c r="B594" s="67">
        <f t="shared" si="94"/>
        <v>31</v>
      </c>
      <c r="C594" s="56">
        <f>194.205</f>
        <v>194.20500000000001</v>
      </c>
      <c r="D594" s="56">
        <f>267.466</f>
        <v>267.46600000000001</v>
      </c>
      <c r="E594" s="64">
        <f>133.845</f>
        <v>133.845</v>
      </c>
      <c r="F594" s="56">
        <f>278.484-40-25-60-100</f>
        <v>53.48399999999998</v>
      </c>
      <c r="G594" s="59">
        <v>40</v>
      </c>
      <c r="H594" s="56">
        <f t="shared" si="95"/>
        <v>185</v>
      </c>
      <c r="I594" s="56">
        <f t="shared" si="90"/>
        <v>0</v>
      </c>
      <c r="J594" s="59">
        <v>100</v>
      </c>
      <c r="K594" s="59">
        <v>300</v>
      </c>
      <c r="L594" s="56">
        <f t="shared" si="96"/>
        <v>1274</v>
      </c>
      <c r="M594" s="66">
        <v>600</v>
      </c>
      <c r="N594" s="56">
        <f>30</f>
        <v>30</v>
      </c>
      <c r="O594" s="59">
        <v>240</v>
      </c>
      <c r="P594" s="59">
        <v>40</v>
      </c>
      <c r="Q594" s="59">
        <f t="shared" si="97"/>
        <v>315</v>
      </c>
      <c r="R594" s="59">
        <f t="shared" si="98"/>
        <v>100</v>
      </c>
      <c r="S594" s="56">
        <f t="shared" si="99"/>
        <v>695</v>
      </c>
      <c r="T594" s="56">
        <f>0</f>
        <v>0</v>
      </c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</row>
    <row r="595" spans="1:30" ht="15.75" x14ac:dyDescent="0.25">
      <c r="A595" s="13">
        <v>59414</v>
      </c>
      <c r="B595" s="67">
        <f t="shared" si="94"/>
        <v>31</v>
      </c>
      <c r="C595" s="56">
        <f>194.205</f>
        <v>194.20500000000001</v>
      </c>
      <c r="D595" s="56">
        <f>267.466</f>
        <v>267.46600000000001</v>
      </c>
      <c r="E595" s="64">
        <f>133.845</f>
        <v>133.845</v>
      </c>
      <c r="F595" s="56">
        <f>278.484-40-25-60-100</f>
        <v>53.48399999999998</v>
      </c>
      <c r="G595" s="59">
        <v>40</v>
      </c>
      <c r="H595" s="56">
        <f t="shared" si="95"/>
        <v>185</v>
      </c>
      <c r="I595" s="56">
        <f t="shared" si="90"/>
        <v>0</v>
      </c>
      <c r="J595" s="59">
        <v>100</v>
      </c>
      <c r="K595" s="59">
        <v>300</v>
      </c>
      <c r="L595" s="56">
        <f t="shared" si="96"/>
        <v>1274</v>
      </c>
      <c r="M595" s="66">
        <v>600</v>
      </c>
      <c r="N595" s="56">
        <f>30</f>
        <v>30</v>
      </c>
      <c r="O595" s="59">
        <v>240</v>
      </c>
      <c r="P595" s="59">
        <v>40</v>
      </c>
      <c r="Q595" s="59">
        <f t="shared" si="97"/>
        <v>315</v>
      </c>
      <c r="R595" s="59">
        <f t="shared" si="98"/>
        <v>100</v>
      </c>
      <c r="S595" s="56">
        <f t="shared" si="99"/>
        <v>695</v>
      </c>
      <c r="T595" s="56">
        <f>0</f>
        <v>0</v>
      </c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</row>
    <row r="596" spans="1:30" ht="15.75" x14ac:dyDescent="0.25">
      <c r="A596" s="13">
        <v>59444</v>
      </c>
      <c r="B596" s="67">
        <f t="shared" si="94"/>
        <v>30</v>
      </c>
      <c r="C596" s="56">
        <f>194.205</f>
        <v>194.20500000000001</v>
      </c>
      <c r="D596" s="56">
        <f>267.466</f>
        <v>267.46600000000001</v>
      </c>
      <c r="E596" s="64">
        <f>133.845</f>
        <v>133.845</v>
      </c>
      <c r="F596" s="56">
        <f>278.484-40-25-60-100</f>
        <v>53.48399999999998</v>
      </c>
      <c r="G596" s="59">
        <v>40</v>
      </c>
      <c r="H596" s="56">
        <f t="shared" si="95"/>
        <v>185</v>
      </c>
      <c r="I596" s="56">
        <f t="shared" si="90"/>
        <v>0</v>
      </c>
      <c r="J596" s="59">
        <v>100</v>
      </c>
      <c r="K596" s="59">
        <v>300</v>
      </c>
      <c r="L596" s="56">
        <f t="shared" si="96"/>
        <v>1274</v>
      </c>
      <c r="M596" s="66">
        <v>600</v>
      </c>
      <c r="N596" s="56">
        <f>30</f>
        <v>30</v>
      </c>
      <c r="O596" s="59">
        <v>240</v>
      </c>
      <c r="P596" s="59">
        <v>40</v>
      </c>
      <c r="Q596" s="59">
        <f t="shared" si="97"/>
        <v>315</v>
      </c>
      <c r="R596" s="59">
        <f t="shared" si="98"/>
        <v>100</v>
      </c>
      <c r="S596" s="56">
        <f t="shared" si="99"/>
        <v>695</v>
      </c>
      <c r="T596" s="56">
        <f>0</f>
        <v>0</v>
      </c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</row>
    <row r="597" spans="1:30" ht="15.75" x14ac:dyDescent="0.25">
      <c r="A597" s="13">
        <v>59475</v>
      </c>
      <c r="B597" s="67">
        <f t="shared" si="94"/>
        <v>31</v>
      </c>
      <c r="C597" s="56">
        <f>131.881</f>
        <v>131.881</v>
      </c>
      <c r="D597" s="56">
        <f>277.167</f>
        <v>277.16699999999997</v>
      </c>
      <c r="E597" s="64">
        <f>79.08</f>
        <v>79.08</v>
      </c>
      <c r="F597" s="56">
        <f>350.872-40-25-60-100</f>
        <v>125.87200000000001</v>
      </c>
      <c r="G597" s="59">
        <v>40</v>
      </c>
      <c r="H597" s="56">
        <f t="shared" si="95"/>
        <v>185</v>
      </c>
      <c r="I597" s="56">
        <f t="shared" si="90"/>
        <v>0</v>
      </c>
      <c r="J597" s="59">
        <v>100</v>
      </c>
      <c r="K597" s="59">
        <v>300</v>
      </c>
      <c r="L597" s="56">
        <f t="shared" si="96"/>
        <v>1239</v>
      </c>
      <c r="M597" s="66">
        <v>600</v>
      </c>
      <c r="N597" s="56">
        <f>75</f>
        <v>75</v>
      </c>
      <c r="O597" s="59">
        <v>240</v>
      </c>
      <c r="P597" s="59">
        <v>40</v>
      </c>
      <c r="Q597" s="59">
        <f t="shared" si="97"/>
        <v>315</v>
      </c>
      <c r="R597" s="59">
        <f t="shared" si="98"/>
        <v>100</v>
      </c>
      <c r="S597" s="56">
        <f t="shared" si="99"/>
        <v>695</v>
      </c>
      <c r="T597" s="56">
        <f>0</f>
        <v>0</v>
      </c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</row>
    <row r="598" spans="1:30" ht="15.75" x14ac:dyDescent="0.25">
      <c r="A598" s="13">
        <v>59505</v>
      </c>
      <c r="B598" s="67">
        <f t="shared" si="94"/>
        <v>30</v>
      </c>
      <c r="C598" s="56">
        <f>122.58</f>
        <v>122.58</v>
      </c>
      <c r="D598" s="56">
        <f>297.941</f>
        <v>297.94099999999997</v>
      </c>
      <c r="E598" s="64">
        <f>89.177</f>
        <v>89.177000000000007</v>
      </c>
      <c r="F598" s="56">
        <f>240.302-40-60-100</f>
        <v>40.301999999999992</v>
      </c>
      <c r="G598" s="59">
        <v>40</v>
      </c>
      <c r="H598" s="56">
        <f>60+100</f>
        <v>160</v>
      </c>
      <c r="I598" s="56">
        <f t="shared" si="90"/>
        <v>0</v>
      </c>
      <c r="J598" s="59">
        <v>100</v>
      </c>
      <c r="K598" s="59">
        <v>300</v>
      </c>
      <c r="L598" s="56">
        <f t="shared" si="96"/>
        <v>1150</v>
      </c>
      <c r="M598" s="66">
        <v>600</v>
      </c>
      <c r="N598" s="56">
        <f>100</f>
        <v>100</v>
      </c>
      <c r="O598" s="59">
        <v>240</v>
      </c>
      <c r="P598" s="59">
        <v>40</v>
      </c>
      <c r="Q598" s="59">
        <f t="shared" si="97"/>
        <v>315</v>
      </c>
      <c r="R598" s="59">
        <f t="shared" si="98"/>
        <v>100</v>
      </c>
      <c r="S598" s="56">
        <f t="shared" si="99"/>
        <v>695</v>
      </c>
      <c r="T598" s="56">
        <f>50</f>
        <v>50</v>
      </c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</row>
    <row r="599" spans="1:30" ht="15.75" x14ac:dyDescent="0.25">
      <c r="A599" s="13">
        <v>59536</v>
      </c>
      <c r="B599" s="67">
        <f t="shared" si="94"/>
        <v>31</v>
      </c>
      <c r="C599" s="56">
        <f>122.58</f>
        <v>122.58</v>
      </c>
      <c r="D599" s="56">
        <f>297.941</f>
        <v>297.94099999999997</v>
      </c>
      <c r="E599" s="64">
        <f>89.177</f>
        <v>89.177000000000007</v>
      </c>
      <c r="F599" s="56">
        <f>240.302-40-60-100</f>
        <v>40.301999999999992</v>
      </c>
      <c r="G599" s="59">
        <v>40</v>
      </c>
      <c r="H599" s="56">
        <f>60+100</f>
        <v>160</v>
      </c>
      <c r="I599" s="56">
        <f t="shared" si="90"/>
        <v>0</v>
      </c>
      <c r="J599" s="59">
        <v>100</v>
      </c>
      <c r="K599" s="59">
        <v>300</v>
      </c>
      <c r="L599" s="56">
        <f t="shared" si="96"/>
        <v>1150</v>
      </c>
      <c r="M599" s="66">
        <v>600</v>
      </c>
      <c r="N599" s="56">
        <f>100</f>
        <v>100</v>
      </c>
      <c r="O599" s="59">
        <v>240</v>
      </c>
      <c r="P599" s="59">
        <v>40</v>
      </c>
      <c r="Q599" s="59">
        <f t="shared" si="97"/>
        <v>315</v>
      </c>
      <c r="R599" s="59">
        <f t="shared" si="98"/>
        <v>100</v>
      </c>
      <c r="S599" s="56">
        <f t="shared" si="99"/>
        <v>695</v>
      </c>
      <c r="T599" s="56">
        <f>50</f>
        <v>50</v>
      </c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</row>
    <row r="600" spans="1:30" ht="15.75" x14ac:dyDescent="0.25">
      <c r="A600" s="13">
        <v>59567</v>
      </c>
      <c r="B600" s="67">
        <f t="shared" si="94"/>
        <v>31</v>
      </c>
      <c r="C600" s="56">
        <f>122.58</f>
        <v>122.58</v>
      </c>
      <c r="D600" s="56">
        <f>297.941</f>
        <v>297.94099999999997</v>
      </c>
      <c r="E600" s="64">
        <f>89.177</f>
        <v>89.177000000000007</v>
      </c>
      <c r="F600" s="56">
        <f>240.302-40-60-100</f>
        <v>40.301999999999992</v>
      </c>
      <c r="G600" s="59">
        <v>40</v>
      </c>
      <c r="H600" s="56">
        <f>60+100</f>
        <v>160</v>
      </c>
      <c r="I600" s="56">
        <f t="shared" si="90"/>
        <v>0</v>
      </c>
      <c r="J600" s="59">
        <v>100</v>
      </c>
      <c r="K600" s="59">
        <v>300</v>
      </c>
      <c r="L600" s="56">
        <f t="shared" si="96"/>
        <v>1150</v>
      </c>
      <c r="M600" s="66">
        <v>600</v>
      </c>
      <c r="N600" s="56">
        <f>100</f>
        <v>100</v>
      </c>
      <c r="O600" s="59">
        <v>240</v>
      </c>
      <c r="P600" s="59">
        <v>40</v>
      </c>
      <c r="Q600" s="59">
        <f t="shared" si="97"/>
        <v>315</v>
      </c>
      <c r="R600" s="59">
        <f t="shared" si="98"/>
        <v>100</v>
      </c>
      <c r="S600" s="56">
        <f t="shared" si="99"/>
        <v>695</v>
      </c>
      <c r="T600" s="56">
        <f>50</f>
        <v>50</v>
      </c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</row>
    <row r="601" spans="1:30" ht="15.75" x14ac:dyDescent="0.25">
      <c r="A601" s="13">
        <v>59595</v>
      </c>
      <c r="B601" s="67">
        <f t="shared" si="94"/>
        <v>28</v>
      </c>
      <c r="C601" s="56">
        <f>122.58</f>
        <v>122.58</v>
      </c>
      <c r="D601" s="56">
        <f>297.941</f>
        <v>297.94099999999997</v>
      </c>
      <c r="E601" s="64">
        <f>89.177</f>
        <v>89.177000000000007</v>
      </c>
      <c r="F601" s="56">
        <f>240.302-40-60-100</f>
        <v>40.301999999999992</v>
      </c>
      <c r="G601" s="59">
        <v>40</v>
      </c>
      <c r="H601" s="56">
        <f>60+100</f>
        <v>160</v>
      </c>
      <c r="I601" s="56">
        <f t="shared" si="90"/>
        <v>0</v>
      </c>
      <c r="J601" s="59">
        <v>100</v>
      </c>
      <c r="K601" s="59">
        <v>300</v>
      </c>
      <c r="L601" s="56">
        <f t="shared" si="96"/>
        <v>1150</v>
      </c>
      <c r="M601" s="66">
        <v>600</v>
      </c>
      <c r="N601" s="56">
        <f>100</f>
        <v>100</v>
      </c>
      <c r="O601" s="59">
        <v>240</v>
      </c>
      <c r="P601" s="59">
        <v>40</v>
      </c>
      <c r="Q601" s="59">
        <f t="shared" si="97"/>
        <v>315</v>
      </c>
      <c r="R601" s="59">
        <f t="shared" si="98"/>
        <v>100</v>
      </c>
      <c r="S601" s="56">
        <f t="shared" si="99"/>
        <v>695</v>
      </c>
      <c r="T601" s="56">
        <f>50</f>
        <v>50</v>
      </c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</row>
    <row r="602" spans="1:30" ht="15.75" x14ac:dyDescent="0.25">
      <c r="A602" s="13">
        <v>59626</v>
      </c>
      <c r="B602" s="67">
        <f t="shared" si="94"/>
        <v>31</v>
      </c>
      <c r="C602" s="56">
        <f>122.58</f>
        <v>122.58</v>
      </c>
      <c r="D602" s="56">
        <f>297.941</f>
        <v>297.94099999999997</v>
      </c>
      <c r="E602" s="64">
        <f>89.177</f>
        <v>89.177000000000007</v>
      </c>
      <c r="F602" s="56">
        <f>240.302-40-60-100</f>
        <v>40.301999999999992</v>
      </c>
      <c r="G602" s="59">
        <v>40</v>
      </c>
      <c r="H602" s="56">
        <f>60+100</f>
        <v>160</v>
      </c>
      <c r="I602" s="56">
        <f t="shared" si="90"/>
        <v>0</v>
      </c>
      <c r="J602" s="59">
        <v>100</v>
      </c>
      <c r="K602" s="59">
        <v>300</v>
      </c>
      <c r="L602" s="56">
        <f t="shared" si="96"/>
        <v>1150</v>
      </c>
      <c r="M602" s="66">
        <v>600</v>
      </c>
      <c r="N602" s="56">
        <f>100</f>
        <v>100</v>
      </c>
      <c r="O602" s="59">
        <v>240</v>
      </c>
      <c r="P602" s="59">
        <v>40</v>
      </c>
      <c r="Q602" s="59">
        <f t="shared" si="97"/>
        <v>315</v>
      </c>
      <c r="R602" s="59">
        <f t="shared" si="98"/>
        <v>100</v>
      </c>
      <c r="S602" s="56">
        <f t="shared" si="99"/>
        <v>695</v>
      </c>
      <c r="T602" s="56">
        <f>50</f>
        <v>50</v>
      </c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</row>
    <row r="603" spans="1:30" ht="15.75" x14ac:dyDescent="0.25">
      <c r="A603" s="13">
        <v>59656</v>
      </c>
      <c r="B603" s="67">
        <f t="shared" si="94"/>
        <v>30</v>
      </c>
      <c r="C603" s="56">
        <f>141.293</f>
        <v>141.29300000000001</v>
      </c>
      <c r="D603" s="56">
        <f>267.993</f>
        <v>267.99299999999999</v>
      </c>
      <c r="E603" s="64">
        <f>115.016</f>
        <v>115.01600000000001</v>
      </c>
      <c r="F603" s="56">
        <f>314.698-40-25-60-100</f>
        <v>89.697999999999979</v>
      </c>
      <c r="G603" s="59">
        <v>40</v>
      </c>
      <c r="H603" s="56">
        <f t="shared" ref="H603:H609" si="100">25+60+100</f>
        <v>185</v>
      </c>
      <c r="I603" s="56">
        <f t="shared" si="90"/>
        <v>0</v>
      </c>
      <c r="J603" s="59">
        <v>100</v>
      </c>
      <c r="K603" s="59">
        <v>300</v>
      </c>
      <c r="L603" s="56">
        <f t="shared" si="96"/>
        <v>1239</v>
      </c>
      <c r="M603" s="66">
        <v>600</v>
      </c>
      <c r="N603" s="56">
        <f>100</f>
        <v>100</v>
      </c>
      <c r="O603" s="59">
        <v>240</v>
      </c>
      <c r="P603" s="59">
        <v>40</v>
      </c>
      <c r="Q603" s="59">
        <f t="shared" si="97"/>
        <v>315</v>
      </c>
      <c r="R603" s="59">
        <f t="shared" si="98"/>
        <v>100</v>
      </c>
      <c r="S603" s="56">
        <f t="shared" si="99"/>
        <v>695</v>
      </c>
      <c r="T603" s="56">
        <f>50</f>
        <v>50</v>
      </c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</row>
    <row r="604" spans="1:30" ht="15.75" x14ac:dyDescent="0.25">
      <c r="A604" s="13">
        <v>59687</v>
      </c>
      <c r="B604" s="67">
        <f t="shared" si="94"/>
        <v>31</v>
      </c>
      <c r="C604" s="56">
        <f>194.205</f>
        <v>194.20500000000001</v>
      </c>
      <c r="D604" s="56">
        <f>267.466</f>
        <v>267.46600000000001</v>
      </c>
      <c r="E604" s="64">
        <f>133.845</f>
        <v>133.845</v>
      </c>
      <c r="F604" s="56">
        <f>278.484-40-25-60-100</f>
        <v>53.48399999999998</v>
      </c>
      <c r="G604" s="59">
        <v>40</v>
      </c>
      <c r="H604" s="56">
        <f t="shared" si="100"/>
        <v>185</v>
      </c>
      <c r="I604" s="56">
        <f t="shared" si="90"/>
        <v>0</v>
      </c>
      <c r="J604" s="59">
        <v>100</v>
      </c>
      <c r="K604" s="59">
        <v>300</v>
      </c>
      <c r="L604" s="56">
        <f t="shared" si="96"/>
        <v>1274</v>
      </c>
      <c r="M604" s="66">
        <v>600</v>
      </c>
      <c r="N604" s="56">
        <f>75</f>
        <v>75</v>
      </c>
      <c r="O604" s="59">
        <v>240</v>
      </c>
      <c r="P604" s="59">
        <v>40</v>
      </c>
      <c r="Q604" s="59">
        <f t="shared" si="97"/>
        <v>315</v>
      </c>
      <c r="R604" s="59">
        <f t="shared" si="98"/>
        <v>100</v>
      </c>
      <c r="S604" s="56">
        <f t="shared" si="99"/>
        <v>695</v>
      </c>
      <c r="T604" s="56">
        <f>50</f>
        <v>50</v>
      </c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</row>
    <row r="605" spans="1:30" ht="15.75" x14ac:dyDescent="0.25">
      <c r="A605" s="13">
        <v>59717</v>
      </c>
      <c r="B605" s="67">
        <f t="shared" si="94"/>
        <v>30</v>
      </c>
      <c r="C605" s="56">
        <f>194.205</f>
        <v>194.20500000000001</v>
      </c>
      <c r="D605" s="56">
        <f>267.466</f>
        <v>267.46600000000001</v>
      </c>
      <c r="E605" s="64">
        <f>133.845</f>
        <v>133.845</v>
      </c>
      <c r="F605" s="56">
        <f>278.484-40-25-60-100</f>
        <v>53.48399999999998</v>
      </c>
      <c r="G605" s="59">
        <v>40</v>
      </c>
      <c r="H605" s="56">
        <f t="shared" si="100"/>
        <v>185</v>
      </c>
      <c r="I605" s="56">
        <f t="shared" si="90"/>
        <v>0</v>
      </c>
      <c r="J605" s="59">
        <v>100</v>
      </c>
      <c r="K605" s="59">
        <v>300</v>
      </c>
      <c r="L605" s="56">
        <f t="shared" si="96"/>
        <v>1274</v>
      </c>
      <c r="M605" s="66">
        <v>600</v>
      </c>
      <c r="N605" s="56">
        <f>30</f>
        <v>30</v>
      </c>
      <c r="O605" s="59">
        <v>240</v>
      </c>
      <c r="P605" s="59">
        <v>40</v>
      </c>
      <c r="Q605" s="59">
        <f t="shared" si="97"/>
        <v>315</v>
      </c>
      <c r="R605" s="59">
        <f t="shared" si="98"/>
        <v>100</v>
      </c>
      <c r="S605" s="56">
        <f t="shared" si="99"/>
        <v>695</v>
      </c>
      <c r="T605" s="56">
        <f>50</f>
        <v>50</v>
      </c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</row>
    <row r="606" spans="1:30" ht="15.75" x14ac:dyDescent="0.25">
      <c r="A606" s="13">
        <v>59748</v>
      </c>
      <c r="B606" s="67">
        <f t="shared" si="94"/>
        <v>31</v>
      </c>
      <c r="C606" s="56">
        <f>194.205</f>
        <v>194.20500000000001</v>
      </c>
      <c r="D606" s="56">
        <f>267.466</f>
        <v>267.46600000000001</v>
      </c>
      <c r="E606" s="64">
        <f>133.845</f>
        <v>133.845</v>
      </c>
      <c r="F606" s="56">
        <f>278.484-40-25-60-100</f>
        <v>53.48399999999998</v>
      </c>
      <c r="G606" s="59">
        <v>40</v>
      </c>
      <c r="H606" s="56">
        <f t="shared" si="100"/>
        <v>185</v>
      </c>
      <c r="I606" s="56">
        <f t="shared" si="90"/>
        <v>0</v>
      </c>
      <c r="J606" s="59">
        <v>100</v>
      </c>
      <c r="K606" s="59">
        <v>300</v>
      </c>
      <c r="L606" s="56">
        <f t="shared" si="96"/>
        <v>1274</v>
      </c>
      <c r="M606" s="66">
        <v>600</v>
      </c>
      <c r="N606" s="56">
        <f>30</f>
        <v>30</v>
      </c>
      <c r="O606" s="59">
        <v>240</v>
      </c>
      <c r="P606" s="59">
        <v>40</v>
      </c>
      <c r="Q606" s="59">
        <f t="shared" si="97"/>
        <v>315</v>
      </c>
      <c r="R606" s="59">
        <f t="shared" si="98"/>
        <v>100</v>
      </c>
      <c r="S606" s="56">
        <f t="shared" si="99"/>
        <v>695</v>
      </c>
      <c r="T606" s="56">
        <f>0</f>
        <v>0</v>
      </c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</row>
    <row r="607" spans="1:30" ht="15.75" x14ac:dyDescent="0.25">
      <c r="A607" s="13">
        <v>59779</v>
      </c>
      <c r="B607" s="67">
        <f t="shared" si="94"/>
        <v>31</v>
      </c>
      <c r="C607" s="56">
        <f>194.205</f>
        <v>194.20500000000001</v>
      </c>
      <c r="D607" s="56">
        <f>267.466</f>
        <v>267.46600000000001</v>
      </c>
      <c r="E607" s="64">
        <f>133.845</f>
        <v>133.845</v>
      </c>
      <c r="F607" s="56">
        <f>278.484-40-25-60-100</f>
        <v>53.48399999999998</v>
      </c>
      <c r="G607" s="59">
        <v>40</v>
      </c>
      <c r="H607" s="56">
        <f t="shared" si="100"/>
        <v>185</v>
      </c>
      <c r="I607" s="56">
        <f t="shared" si="90"/>
        <v>0</v>
      </c>
      <c r="J607" s="59">
        <v>100</v>
      </c>
      <c r="K607" s="59">
        <v>300</v>
      </c>
      <c r="L607" s="56">
        <f t="shared" si="96"/>
        <v>1274</v>
      </c>
      <c r="M607" s="66">
        <v>600</v>
      </c>
      <c r="N607" s="56">
        <f>30</f>
        <v>30</v>
      </c>
      <c r="O607" s="59">
        <v>240</v>
      </c>
      <c r="P607" s="59">
        <v>40</v>
      </c>
      <c r="Q607" s="59">
        <f t="shared" si="97"/>
        <v>315</v>
      </c>
      <c r="R607" s="59">
        <f t="shared" si="98"/>
        <v>100</v>
      </c>
      <c r="S607" s="56">
        <f t="shared" si="99"/>
        <v>695</v>
      </c>
      <c r="T607" s="56">
        <f>0</f>
        <v>0</v>
      </c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</row>
    <row r="608" spans="1:30" ht="15.75" x14ac:dyDescent="0.25">
      <c r="A608" s="13">
        <v>59809</v>
      </c>
      <c r="B608" s="67">
        <f t="shared" si="94"/>
        <v>30</v>
      </c>
      <c r="C608" s="56">
        <f>194.205</f>
        <v>194.20500000000001</v>
      </c>
      <c r="D608" s="56">
        <f>267.466</f>
        <v>267.46600000000001</v>
      </c>
      <c r="E608" s="64">
        <f>133.845</f>
        <v>133.845</v>
      </c>
      <c r="F608" s="56">
        <f>278.484-40-25-60-100</f>
        <v>53.48399999999998</v>
      </c>
      <c r="G608" s="59">
        <v>40</v>
      </c>
      <c r="H608" s="56">
        <f t="shared" si="100"/>
        <v>185</v>
      </c>
      <c r="I608" s="56">
        <f t="shared" si="90"/>
        <v>0</v>
      </c>
      <c r="J608" s="59">
        <v>100</v>
      </c>
      <c r="K608" s="59">
        <v>300</v>
      </c>
      <c r="L608" s="56">
        <f t="shared" si="96"/>
        <v>1274</v>
      </c>
      <c r="M608" s="66">
        <v>600</v>
      </c>
      <c r="N608" s="56">
        <f>30</f>
        <v>30</v>
      </c>
      <c r="O608" s="59">
        <v>240</v>
      </c>
      <c r="P608" s="59">
        <v>40</v>
      </c>
      <c r="Q608" s="59">
        <f t="shared" si="97"/>
        <v>315</v>
      </c>
      <c r="R608" s="59">
        <f t="shared" si="98"/>
        <v>100</v>
      </c>
      <c r="S608" s="56">
        <f t="shared" si="99"/>
        <v>695</v>
      </c>
      <c r="T608" s="56">
        <f>0</f>
        <v>0</v>
      </c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</row>
    <row r="609" spans="1:30" ht="15.75" x14ac:dyDescent="0.25">
      <c r="A609" s="13">
        <v>59840</v>
      </c>
      <c r="B609" s="67">
        <f t="shared" si="94"/>
        <v>31</v>
      </c>
      <c r="C609" s="56">
        <f>131.881</f>
        <v>131.881</v>
      </c>
      <c r="D609" s="56">
        <f>277.167</f>
        <v>277.16699999999997</v>
      </c>
      <c r="E609" s="64">
        <f>79.08</f>
        <v>79.08</v>
      </c>
      <c r="F609" s="56">
        <f>350.872-40-25-60-100</f>
        <v>125.87200000000001</v>
      </c>
      <c r="G609" s="59">
        <v>40</v>
      </c>
      <c r="H609" s="56">
        <f t="shared" si="100"/>
        <v>185</v>
      </c>
      <c r="I609" s="56">
        <f t="shared" si="90"/>
        <v>0</v>
      </c>
      <c r="J609" s="59">
        <v>100</v>
      </c>
      <c r="K609" s="59">
        <v>300</v>
      </c>
      <c r="L609" s="56">
        <f t="shared" si="96"/>
        <v>1239</v>
      </c>
      <c r="M609" s="66">
        <v>600</v>
      </c>
      <c r="N609" s="56">
        <f>75</f>
        <v>75</v>
      </c>
      <c r="O609" s="59">
        <v>240</v>
      </c>
      <c r="P609" s="59">
        <v>40</v>
      </c>
      <c r="Q609" s="59">
        <f t="shared" si="97"/>
        <v>315</v>
      </c>
      <c r="R609" s="59">
        <f t="shared" si="98"/>
        <v>100</v>
      </c>
      <c r="S609" s="56">
        <f t="shared" si="99"/>
        <v>695</v>
      </c>
      <c r="T609" s="56">
        <f>0</f>
        <v>0</v>
      </c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</row>
    <row r="610" spans="1:30" ht="15.75" x14ac:dyDescent="0.25">
      <c r="A610" s="13">
        <v>59870</v>
      </c>
      <c r="B610" s="67">
        <f t="shared" si="94"/>
        <v>30</v>
      </c>
      <c r="C610" s="56">
        <f>122.58</f>
        <v>122.58</v>
      </c>
      <c r="D610" s="56">
        <f>297.941</f>
        <v>297.94099999999997</v>
      </c>
      <c r="E610" s="64">
        <f>89.177</f>
        <v>89.177000000000007</v>
      </c>
      <c r="F610" s="56">
        <f>240.302-40-60-100</f>
        <v>40.301999999999992</v>
      </c>
      <c r="G610" s="59">
        <v>40</v>
      </c>
      <c r="H610" s="56">
        <f>60+100</f>
        <v>160</v>
      </c>
      <c r="I610" s="56">
        <f t="shared" si="90"/>
        <v>0</v>
      </c>
      <c r="J610" s="59">
        <v>100</v>
      </c>
      <c r="K610" s="59">
        <v>300</v>
      </c>
      <c r="L610" s="56">
        <f t="shared" si="96"/>
        <v>1150</v>
      </c>
      <c r="M610" s="66">
        <v>600</v>
      </c>
      <c r="N610" s="56">
        <f>100</f>
        <v>100</v>
      </c>
      <c r="O610" s="59">
        <v>240</v>
      </c>
      <c r="P610" s="59">
        <v>40</v>
      </c>
      <c r="Q610" s="59">
        <f t="shared" si="97"/>
        <v>315</v>
      </c>
      <c r="R610" s="59">
        <f t="shared" si="98"/>
        <v>100</v>
      </c>
      <c r="S610" s="56">
        <f t="shared" si="99"/>
        <v>695</v>
      </c>
      <c r="T610" s="56">
        <f>50</f>
        <v>50</v>
      </c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</row>
    <row r="611" spans="1:30" ht="15.75" x14ac:dyDescent="0.25">
      <c r="A611" s="13">
        <v>59901</v>
      </c>
      <c r="B611" s="67">
        <f t="shared" si="94"/>
        <v>31</v>
      </c>
      <c r="C611" s="56">
        <f>122.58</f>
        <v>122.58</v>
      </c>
      <c r="D611" s="56">
        <f>297.941</f>
        <v>297.94099999999997</v>
      </c>
      <c r="E611" s="64">
        <f>89.177</f>
        <v>89.177000000000007</v>
      </c>
      <c r="F611" s="56">
        <f>240.302-40-60-100</f>
        <v>40.301999999999992</v>
      </c>
      <c r="G611" s="59">
        <v>40</v>
      </c>
      <c r="H611" s="56">
        <f>60+100</f>
        <v>160</v>
      </c>
      <c r="I611" s="56">
        <f t="shared" si="90"/>
        <v>0</v>
      </c>
      <c r="J611" s="59">
        <v>100</v>
      </c>
      <c r="K611" s="59">
        <v>300</v>
      </c>
      <c r="L611" s="56">
        <f t="shared" si="96"/>
        <v>1150</v>
      </c>
      <c r="M611" s="66">
        <v>600</v>
      </c>
      <c r="N611" s="56">
        <f>100</f>
        <v>100</v>
      </c>
      <c r="O611" s="59">
        <v>240</v>
      </c>
      <c r="P611" s="59">
        <v>40</v>
      </c>
      <c r="Q611" s="59">
        <f t="shared" si="97"/>
        <v>315</v>
      </c>
      <c r="R611" s="59">
        <f t="shared" si="98"/>
        <v>100</v>
      </c>
      <c r="S611" s="56">
        <f t="shared" si="99"/>
        <v>695</v>
      </c>
      <c r="T611" s="56">
        <f>50</f>
        <v>50</v>
      </c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</row>
    <row r="612" spans="1:30" ht="15.75" x14ac:dyDescent="0.25">
      <c r="A612" s="13">
        <v>59932</v>
      </c>
      <c r="B612" s="67">
        <f t="shared" si="94"/>
        <v>31</v>
      </c>
      <c r="C612" s="56">
        <f>122.58</f>
        <v>122.58</v>
      </c>
      <c r="D612" s="56">
        <f>297.941</f>
        <v>297.94099999999997</v>
      </c>
      <c r="E612" s="64">
        <f>89.177</f>
        <v>89.177000000000007</v>
      </c>
      <c r="F612" s="56">
        <f>240.302-40-60-100</f>
        <v>40.301999999999992</v>
      </c>
      <c r="G612" s="59">
        <v>40</v>
      </c>
      <c r="H612" s="56">
        <f>60+100</f>
        <v>160</v>
      </c>
      <c r="I612" s="56">
        <f t="shared" si="90"/>
        <v>0</v>
      </c>
      <c r="J612" s="59">
        <v>100</v>
      </c>
      <c r="K612" s="59">
        <v>300</v>
      </c>
      <c r="L612" s="56">
        <f t="shared" si="96"/>
        <v>1150</v>
      </c>
      <c r="M612" s="66">
        <v>600</v>
      </c>
      <c r="N612" s="56">
        <f>100</f>
        <v>100</v>
      </c>
      <c r="O612" s="59">
        <v>240</v>
      </c>
      <c r="P612" s="59">
        <v>40</v>
      </c>
      <c r="Q612" s="59">
        <f t="shared" si="97"/>
        <v>315</v>
      </c>
      <c r="R612" s="59">
        <f t="shared" si="98"/>
        <v>100</v>
      </c>
      <c r="S612" s="56">
        <f t="shared" si="99"/>
        <v>695</v>
      </c>
      <c r="T612" s="56">
        <f>50</f>
        <v>50</v>
      </c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</row>
    <row r="613" spans="1:30" ht="15.75" x14ac:dyDescent="0.25">
      <c r="A613" s="13">
        <v>59961</v>
      </c>
      <c r="B613" s="67">
        <f t="shared" si="94"/>
        <v>29</v>
      </c>
      <c r="C613" s="56">
        <f>122.58</f>
        <v>122.58</v>
      </c>
      <c r="D613" s="56">
        <f>297.941</f>
        <v>297.94099999999997</v>
      </c>
      <c r="E613" s="64">
        <f>89.177</f>
        <v>89.177000000000007</v>
      </c>
      <c r="F613" s="56">
        <f>240.302-40-60-100</f>
        <v>40.301999999999992</v>
      </c>
      <c r="G613" s="59">
        <v>40</v>
      </c>
      <c r="H613" s="56">
        <f>60+100</f>
        <v>160</v>
      </c>
      <c r="I613" s="56">
        <f t="shared" si="90"/>
        <v>0</v>
      </c>
      <c r="J613" s="59">
        <v>100</v>
      </c>
      <c r="K613" s="59">
        <v>300</v>
      </c>
      <c r="L613" s="56">
        <f t="shared" si="96"/>
        <v>1150</v>
      </c>
      <c r="M613" s="66">
        <v>600</v>
      </c>
      <c r="N613" s="56">
        <f>100</f>
        <v>100</v>
      </c>
      <c r="O613" s="59">
        <v>240</v>
      </c>
      <c r="P613" s="59">
        <v>40</v>
      </c>
      <c r="Q613" s="59">
        <f t="shared" si="97"/>
        <v>315</v>
      </c>
      <c r="R613" s="59">
        <f t="shared" si="98"/>
        <v>100</v>
      </c>
      <c r="S613" s="56">
        <f t="shared" si="99"/>
        <v>695</v>
      </c>
      <c r="T613" s="56">
        <f>50</f>
        <v>50</v>
      </c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</row>
    <row r="614" spans="1:30" ht="15.75" x14ac:dyDescent="0.25">
      <c r="A614" s="13">
        <v>59992</v>
      </c>
      <c r="B614" s="67">
        <f t="shared" si="94"/>
        <v>31</v>
      </c>
      <c r="C614" s="56">
        <f>122.58</f>
        <v>122.58</v>
      </c>
      <c r="D614" s="56">
        <f>297.941</f>
        <v>297.94099999999997</v>
      </c>
      <c r="E614" s="64">
        <f>89.177</f>
        <v>89.177000000000007</v>
      </c>
      <c r="F614" s="56">
        <f>240.302-40-60-100</f>
        <v>40.301999999999992</v>
      </c>
      <c r="G614" s="59">
        <v>40</v>
      </c>
      <c r="H614" s="56">
        <f>60+100</f>
        <v>160</v>
      </c>
      <c r="I614" s="56">
        <f t="shared" si="90"/>
        <v>0</v>
      </c>
      <c r="J614" s="59">
        <v>100</v>
      </c>
      <c r="K614" s="59">
        <v>300</v>
      </c>
      <c r="L614" s="56">
        <f t="shared" si="96"/>
        <v>1150</v>
      </c>
      <c r="M614" s="66">
        <v>600</v>
      </c>
      <c r="N614" s="56">
        <f>100</f>
        <v>100</v>
      </c>
      <c r="O614" s="59">
        <v>240</v>
      </c>
      <c r="P614" s="59">
        <v>40</v>
      </c>
      <c r="Q614" s="59">
        <f t="shared" si="97"/>
        <v>315</v>
      </c>
      <c r="R614" s="59">
        <f t="shared" si="98"/>
        <v>100</v>
      </c>
      <c r="S614" s="56">
        <f t="shared" si="99"/>
        <v>695</v>
      </c>
      <c r="T614" s="56">
        <f>50</f>
        <v>50</v>
      </c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</row>
    <row r="615" spans="1:30" ht="15.75" x14ac:dyDescent="0.25">
      <c r="A615" s="13">
        <v>60022</v>
      </c>
      <c r="B615" s="67">
        <f t="shared" si="94"/>
        <v>30</v>
      </c>
      <c r="C615" s="56">
        <f>141.293</f>
        <v>141.29300000000001</v>
      </c>
      <c r="D615" s="56">
        <f>267.993</f>
        <v>267.99299999999999</v>
      </c>
      <c r="E615" s="64">
        <f>115.016</f>
        <v>115.01600000000001</v>
      </c>
      <c r="F615" s="56">
        <f>314.698-40-25-60-100</f>
        <v>89.697999999999979</v>
      </c>
      <c r="G615" s="59">
        <v>40</v>
      </c>
      <c r="H615" s="56">
        <f t="shared" ref="H615:H621" si="101">25+60+100</f>
        <v>185</v>
      </c>
      <c r="I615" s="56">
        <f t="shared" si="90"/>
        <v>0</v>
      </c>
      <c r="J615" s="59">
        <v>100</v>
      </c>
      <c r="K615" s="59">
        <v>300</v>
      </c>
      <c r="L615" s="56">
        <f t="shared" si="96"/>
        <v>1239</v>
      </c>
      <c r="M615" s="66">
        <v>600</v>
      </c>
      <c r="N615" s="56">
        <f>100</f>
        <v>100</v>
      </c>
      <c r="O615" s="59">
        <v>240</v>
      </c>
      <c r="P615" s="59">
        <v>40</v>
      </c>
      <c r="Q615" s="59">
        <f t="shared" si="97"/>
        <v>315</v>
      </c>
      <c r="R615" s="59">
        <f t="shared" si="98"/>
        <v>100</v>
      </c>
      <c r="S615" s="56">
        <f t="shared" si="99"/>
        <v>695</v>
      </c>
      <c r="T615" s="56">
        <f>50</f>
        <v>50</v>
      </c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</row>
    <row r="616" spans="1:30" ht="15.75" x14ac:dyDescent="0.25">
      <c r="A616" s="13">
        <v>60053</v>
      </c>
      <c r="B616" s="67">
        <f t="shared" si="94"/>
        <v>31</v>
      </c>
      <c r="C616" s="56">
        <f>194.205</f>
        <v>194.20500000000001</v>
      </c>
      <c r="D616" s="56">
        <f>267.466</f>
        <v>267.46600000000001</v>
      </c>
      <c r="E616" s="64">
        <f>133.845</f>
        <v>133.845</v>
      </c>
      <c r="F616" s="56">
        <f>278.484-40-25-60-100</f>
        <v>53.48399999999998</v>
      </c>
      <c r="G616" s="59">
        <v>40</v>
      </c>
      <c r="H616" s="56">
        <f t="shared" si="101"/>
        <v>185</v>
      </c>
      <c r="I616" s="56">
        <f t="shared" ref="I616:I679" si="102">400-J616-K616</f>
        <v>0</v>
      </c>
      <c r="J616" s="59">
        <v>100</v>
      </c>
      <c r="K616" s="59">
        <v>300</v>
      </c>
      <c r="L616" s="56">
        <f t="shared" si="96"/>
        <v>1274</v>
      </c>
      <c r="M616" s="66">
        <v>600</v>
      </c>
      <c r="N616" s="56">
        <f>75</f>
        <v>75</v>
      </c>
      <c r="O616" s="59">
        <v>240</v>
      </c>
      <c r="P616" s="59">
        <v>40</v>
      </c>
      <c r="Q616" s="59">
        <f t="shared" si="97"/>
        <v>315</v>
      </c>
      <c r="R616" s="59">
        <f t="shared" si="98"/>
        <v>100</v>
      </c>
      <c r="S616" s="56">
        <f t="shared" si="99"/>
        <v>695</v>
      </c>
      <c r="T616" s="56">
        <f>50</f>
        <v>50</v>
      </c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</row>
    <row r="617" spans="1:30" ht="15.75" x14ac:dyDescent="0.25">
      <c r="A617" s="13">
        <v>60083</v>
      </c>
      <c r="B617" s="67">
        <f t="shared" si="94"/>
        <v>30</v>
      </c>
      <c r="C617" s="56">
        <f>194.205</f>
        <v>194.20500000000001</v>
      </c>
      <c r="D617" s="56">
        <f>267.466</f>
        <v>267.46600000000001</v>
      </c>
      <c r="E617" s="64">
        <f>133.845</f>
        <v>133.845</v>
      </c>
      <c r="F617" s="56">
        <f>278.484-40-25-60-100</f>
        <v>53.48399999999998</v>
      </c>
      <c r="G617" s="59">
        <v>40</v>
      </c>
      <c r="H617" s="56">
        <f t="shared" si="101"/>
        <v>185</v>
      </c>
      <c r="I617" s="56">
        <f t="shared" si="102"/>
        <v>0</v>
      </c>
      <c r="J617" s="59">
        <v>100</v>
      </c>
      <c r="K617" s="59">
        <v>300</v>
      </c>
      <c r="L617" s="56">
        <f t="shared" si="96"/>
        <v>1274</v>
      </c>
      <c r="M617" s="66">
        <v>600</v>
      </c>
      <c r="N617" s="56">
        <f>30</f>
        <v>30</v>
      </c>
      <c r="O617" s="59">
        <v>240</v>
      </c>
      <c r="P617" s="59">
        <v>40</v>
      </c>
      <c r="Q617" s="59">
        <f t="shared" si="97"/>
        <v>315</v>
      </c>
      <c r="R617" s="59">
        <f t="shared" si="98"/>
        <v>100</v>
      </c>
      <c r="S617" s="56">
        <f t="shared" si="99"/>
        <v>695</v>
      </c>
      <c r="T617" s="56">
        <f>50</f>
        <v>50</v>
      </c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</row>
    <row r="618" spans="1:30" ht="15.75" x14ac:dyDescent="0.25">
      <c r="A618" s="13">
        <v>60114</v>
      </c>
      <c r="B618" s="67">
        <f t="shared" si="94"/>
        <v>31</v>
      </c>
      <c r="C618" s="56">
        <f>194.205</f>
        <v>194.20500000000001</v>
      </c>
      <c r="D618" s="56">
        <f>267.466</f>
        <v>267.46600000000001</v>
      </c>
      <c r="E618" s="64">
        <f>133.845</f>
        <v>133.845</v>
      </c>
      <c r="F618" s="56">
        <f>278.484-40-25-60-100</f>
        <v>53.48399999999998</v>
      </c>
      <c r="G618" s="59">
        <v>40</v>
      </c>
      <c r="H618" s="56">
        <f t="shared" si="101"/>
        <v>185</v>
      </c>
      <c r="I618" s="56">
        <f t="shared" si="102"/>
        <v>0</v>
      </c>
      <c r="J618" s="59">
        <v>100</v>
      </c>
      <c r="K618" s="59">
        <v>300</v>
      </c>
      <c r="L618" s="56">
        <f t="shared" si="96"/>
        <v>1274</v>
      </c>
      <c r="M618" s="66">
        <v>600</v>
      </c>
      <c r="N618" s="56">
        <f>30</f>
        <v>30</v>
      </c>
      <c r="O618" s="59">
        <v>240</v>
      </c>
      <c r="P618" s="59">
        <v>40</v>
      </c>
      <c r="Q618" s="59">
        <f t="shared" si="97"/>
        <v>315</v>
      </c>
      <c r="R618" s="59">
        <f t="shared" si="98"/>
        <v>100</v>
      </c>
      <c r="S618" s="56">
        <f t="shared" si="99"/>
        <v>695</v>
      </c>
      <c r="T618" s="56">
        <f>0</f>
        <v>0</v>
      </c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</row>
    <row r="619" spans="1:30" ht="15.75" x14ac:dyDescent="0.25">
      <c r="A619" s="13">
        <v>60145</v>
      </c>
      <c r="B619" s="67">
        <f t="shared" si="94"/>
        <v>31</v>
      </c>
      <c r="C619" s="56">
        <f>194.205</f>
        <v>194.20500000000001</v>
      </c>
      <c r="D619" s="56">
        <f>267.466</f>
        <v>267.46600000000001</v>
      </c>
      <c r="E619" s="64">
        <f>133.845</f>
        <v>133.845</v>
      </c>
      <c r="F619" s="56">
        <f>278.484-40-25-60-100</f>
        <v>53.48399999999998</v>
      </c>
      <c r="G619" s="59">
        <v>40</v>
      </c>
      <c r="H619" s="56">
        <f t="shared" si="101"/>
        <v>185</v>
      </c>
      <c r="I619" s="56">
        <f t="shared" si="102"/>
        <v>0</v>
      </c>
      <c r="J619" s="59">
        <v>100</v>
      </c>
      <c r="K619" s="59">
        <v>300</v>
      </c>
      <c r="L619" s="56">
        <f t="shared" si="96"/>
        <v>1274</v>
      </c>
      <c r="M619" s="66">
        <v>600</v>
      </c>
      <c r="N619" s="56">
        <f>30</f>
        <v>30</v>
      </c>
      <c r="O619" s="59">
        <v>240</v>
      </c>
      <c r="P619" s="59">
        <v>40</v>
      </c>
      <c r="Q619" s="59">
        <f t="shared" si="97"/>
        <v>315</v>
      </c>
      <c r="R619" s="59">
        <f t="shared" si="98"/>
        <v>100</v>
      </c>
      <c r="S619" s="56">
        <f t="shared" si="99"/>
        <v>695</v>
      </c>
      <c r="T619" s="56">
        <f>0</f>
        <v>0</v>
      </c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</row>
    <row r="620" spans="1:30" ht="15.75" x14ac:dyDescent="0.25">
      <c r="A620" s="13">
        <v>60175</v>
      </c>
      <c r="B620" s="67">
        <f t="shared" si="94"/>
        <v>30</v>
      </c>
      <c r="C620" s="56">
        <f>194.205</f>
        <v>194.20500000000001</v>
      </c>
      <c r="D620" s="56">
        <f>267.466</f>
        <v>267.46600000000001</v>
      </c>
      <c r="E620" s="64">
        <f>133.845</f>
        <v>133.845</v>
      </c>
      <c r="F620" s="56">
        <f>278.484-40-25-60-100</f>
        <v>53.48399999999998</v>
      </c>
      <c r="G620" s="59">
        <v>40</v>
      </c>
      <c r="H620" s="56">
        <f t="shared" si="101"/>
        <v>185</v>
      </c>
      <c r="I620" s="56">
        <f t="shared" si="102"/>
        <v>0</v>
      </c>
      <c r="J620" s="59">
        <v>100</v>
      </c>
      <c r="K620" s="59">
        <v>300</v>
      </c>
      <c r="L620" s="56">
        <f t="shared" si="96"/>
        <v>1274</v>
      </c>
      <c r="M620" s="66">
        <v>600</v>
      </c>
      <c r="N620" s="56">
        <f>30</f>
        <v>30</v>
      </c>
      <c r="O620" s="59">
        <v>240</v>
      </c>
      <c r="P620" s="59">
        <v>40</v>
      </c>
      <c r="Q620" s="59">
        <f t="shared" si="97"/>
        <v>315</v>
      </c>
      <c r="R620" s="59">
        <f t="shared" si="98"/>
        <v>100</v>
      </c>
      <c r="S620" s="56">
        <f t="shared" si="99"/>
        <v>695</v>
      </c>
      <c r="T620" s="56">
        <f>0</f>
        <v>0</v>
      </c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</row>
    <row r="621" spans="1:30" ht="15.75" x14ac:dyDescent="0.25">
      <c r="A621" s="13">
        <v>60206</v>
      </c>
      <c r="B621" s="67">
        <f t="shared" si="94"/>
        <v>31</v>
      </c>
      <c r="C621" s="56">
        <f>131.881</f>
        <v>131.881</v>
      </c>
      <c r="D621" s="56">
        <f>277.167</f>
        <v>277.16699999999997</v>
      </c>
      <c r="E621" s="64">
        <f>79.08</f>
        <v>79.08</v>
      </c>
      <c r="F621" s="56">
        <f>350.872-40-25-60-100</f>
        <v>125.87200000000001</v>
      </c>
      <c r="G621" s="59">
        <v>40</v>
      </c>
      <c r="H621" s="56">
        <f t="shared" si="101"/>
        <v>185</v>
      </c>
      <c r="I621" s="56">
        <f t="shared" si="102"/>
        <v>0</v>
      </c>
      <c r="J621" s="59">
        <v>100</v>
      </c>
      <c r="K621" s="59">
        <v>300</v>
      </c>
      <c r="L621" s="56">
        <f t="shared" si="96"/>
        <v>1239</v>
      </c>
      <c r="M621" s="66">
        <v>600</v>
      </c>
      <c r="N621" s="56">
        <f>75</f>
        <v>75</v>
      </c>
      <c r="O621" s="59">
        <v>240</v>
      </c>
      <c r="P621" s="59">
        <v>40</v>
      </c>
      <c r="Q621" s="59">
        <f t="shared" si="97"/>
        <v>315</v>
      </c>
      <c r="R621" s="59">
        <f t="shared" si="98"/>
        <v>100</v>
      </c>
      <c r="S621" s="56">
        <f t="shared" si="99"/>
        <v>695</v>
      </c>
      <c r="T621" s="56">
        <f>0</f>
        <v>0</v>
      </c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</row>
    <row r="622" spans="1:30" ht="15.75" x14ac:dyDescent="0.25">
      <c r="A622" s="13">
        <v>60236</v>
      </c>
      <c r="B622" s="67">
        <f t="shared" si="94"/>
        <v>30</v>
      </c>
      <c r="C622" s="56">
        <f>122.58</f>
        <v>122.58</v>
      </c>
      <c r="D622" s="56">
        <f>297.941</f>
        <v>297.94099999999997</v>
      </c>
      <c r="E622" s="64">
        <f>89.177</f>
        <v>89.177000000000007</v>
      </c>
      <c r="F622" s="56">
        <f>240.302-40-60-100</f>
        <v>40.301999999999992</v>
      </c>
      <c r="G622" s="59">
        <v>40</v>
      </c>
      <c r="H622" s="56">
        <f>60+100</f>
        <v>160</v>
      </c>
      <c r="I622" s="56">
        <f t="shared" si="102"/>
        <v>0</v>
      </c>
      <c r="J622" s="59">
        <v>100</v>
      </c>
      <c r="K622" s="59">
        <v>300</v>
      </c>
      <c r="L622" s="56">
        <f t="shared" si="96"/>
        <v>1150</v>
      </c>
      <c r="M622" s="66">
        <v>600</v>
      </c>
      <c r="N622" s="56">
        <f>100</f>
        <v>100</v>
      </c>
      <c r="O622" s="59">
        <v>240</v>
      </c>
      <c r="P622" s="59">
        <v>40</v>
      </c>
      <c r="Q622" s="59">
        <f t="shared" si="97"/>
        <v>315</v>
      </c>
      <c r="R622" s="59">
        <f t="shared" si="98"/>
        <v>100</v>
      </c>
      <c r="S622" s="56">
        <f t="shared" si="99"/>
        <v>695</v>
      </c>
      <c r="T622" s="56">
        <f>50</f>
        <v>50</v>
      </c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</row>
    <row r="623" spans="1:30" ht="15.75" x14ac:dyDescent="0.25">
      <c r="A623" s="13">
        <v>60267</v>
      </c>
      <c r="B623" s="67">
        <f t="shared" si="94"/>
        <v>31</v>
      </c>
      <c r="C623" s="56">
        <f>122.58</f>
        <v>122.58</v>
      </c>
      <c r="D623" s="56">
        <f>297.941</f>
        <v>297.94099999999997</v>
      </c>
      <c r="E623" s="64">
        <f>89.177</f>
        <v>89.177000000000007</v>
      </c>
      <c r="F623" s="56">
        <f>240.302-40-60-100</f>
        <v>40.301999999999992</v>
      </c>
      <c r="G623" s="59">
        <v>40</v>
      </c>
      <c r="H623" s="56">
        <f>60+100</f>
        <v>160</v>
      </c>
      <c r="I623" s="56">
        <f t="shared" si="102"/>
        <v>0</v>
      </c>
      <c r="J623" s="59">
        <v>100</v>
      </c>
      <c r="K623" s="59">
        <v>300</v>
      </c>
      <c r="L623" s="56">
        <f t="shared" si="96"/>
        <v>1150</v>
      </c>
      <c r="M623" s="66">
        <v>600</v>
      </c>
      <c r="N623" s="56">
        <f>100</f>
        <v>100</v>
      </c>
      <c r="O623" s="59">
        <v>240</v>
      </c>
      <c r="P623" s="59">
        <v>40</v>
      </c>
      <c r="Q623" s="59">
        <f t="shared" si="97"/>
        <v>315</v>
      </c>
      <c r="R623" s="59">
        <f t="shared" si="98"/>
        <v>100</v>
      </c>
      <c r="S623" s="56">
        <f t="shared" si="99"/>
        <v>695</v>
      </c>
      <c r="T623" s="56">
        <f>50</f>
        <v>50</v>
      </c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</row>
    <row r="624" spans="1:30" ht="15.75" x14ac:dyDescent="0.25">
      <c r="A624" s="13">
        <v>60298</v>
      </c>
      <c r="B624" s="67">
        <f t="shared" si="94"/>
        <v>31</v>
      </c>
      <c r="C624" s="56">
        <f>122.58</f>
        <v>122.58</v>
      </c>
      <c r="D624" s="56">
        <f>297.941</f>
        <v>297.94099999999997</v>
      </c>
      <c r="E624" s="64">
        <f>89.177</f>
        <v>89.177000000000007</v>
      </c>
      <c r="F624" s="56">
        <f>240.302-40-60-100</f>
        <v>40.301999999999992</v>
      </c>
      <c r="G624" s="59">
        <v>40</v>
      </c>
      <c r="H624" s="56">
        <f>60+100</f>
        <v>160</v>
      </c>
      <c r="I624" s="56">
        <f t="shared" si="102"/>
        <v>0</v>
      </c>
      <c r="J624" s="59">
        <v>100</v>
      </c>
      <c r="K624" s="59">
        <v>300</v>
      </c>
      <c r="L624" s="56">
        <f t="shared" si="96"/>
        <v>1150</v>
      </c>
      <c r="M624" s="66">
        <v>600</v>
      </c>
      <c r="N624" s="56">
        <f>100</f>
        <v>100</v>
      </c>
      <c r="O624" s="59">
        <v>240</v>
      </c>
      <c r="P624" s="59">
        <v>40</v>
      </c>
      <c r="Q624" s="59">
        <f t="shared" si="97"/>
        <v>315</v>
      </c>
      <c r="R624" s="59">
        <f t="shared" si="98"/>
        <v>100</v>
      </c>
      <c r="S624" s="56">
        <f t="shared" si="99"/>
        <v>695</v>
      </c>
      <c r="T624" s="56">
        <f>50</f>
        <v>50</v>
      </c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</row>
    <row r="625" spans="1:30" ht="15.75" x14ac:dyDescent="0.25">
      <c r="A625" s="13">
        <v>60326</v>
      </c>
      <c r="B625" s="67">
        <f t="shared" si="94"/>
        <v>28</v>
      </c>
      <c r="C625" s="56">
        <f>122.58</f>
        <v>122.58</v>
      </c>
      <c r="D625" s="56">
        <f>297.941</f>
        <v>297.94099999999997</v>
      </c>
      <c r="E625" s="64">
        <f>89.177</f>
        <v>89.177000000000007</v>
      </c>
      <c r="F625" s="56">
        <f>240.302-40-60-100</f>
        <v>40.301999999999992</v>
      </c>
      <c r="G625" s="59">
        <v>40</v>
      </c>
      <c r="H625" s="56">
        <f>60+100</f>
        <v>160</v>
      </c>
      <c r="I625" s="56">
        <f t="shared" si="102"/>
        <v>0</v>
      </c>
      <c r="J625" s="59">
        <v>100</v>
      </c>
      <c r="K625" s="59">
        <v>300</v>
      </c>
      <c r="L625" s="56">
        <f t="shared" si="96"/>
        <v>1150</v>
      </c>
      <c r="M625" s="66">
        <v>600</v>
      </c>
      <c r="N625" s="56">
        <f>100</f>
        <v>100</v>
      </c>
      <c r="O625" s="59">
        <v>240</v>
      </c>
      <c r="P625" s="59">
        <v>40</v>
      </c>
      <c r="Q625" s="59">
        <f t="shared" si="97"/>
        <v>315</v>
      </c>
      <c r="R625" s="59">
        <f t="shared" si="98"/>
        <v>100</v>
      </c>
      <c r="S625" s="56">
        <f t="shared" si="99"/>
        <v>695</v>
      </c>
      <c r="T625" s="56">
        <f>50</f>
        <v>50</v>
      </c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</row>
    <row r="626" spans="1:30" ht="15.75" x14ac:dyDescent="0.25">
      <c r="A626" s="13">
        <v>60357</v>
      </c>
      <c r="B626" s="67">
        <f t="shared" si="94"/>
        <v>31</v>
      </c>
      <c r="C626" s="56">
        <f>122.58</f>
        <v>122.58</v>
      </c>
      <c r="D626" s="56">
        <f>297.941</f>
        <v>297.94099999999997</v>
      </c>
      <c r="E626" s="64">
        <f>89.177</f>
        <v>89.177000000000007</v>
      </c>
      <c r="F626" s="56">
        <f>240.302-40-60-100</f>
        <v>40.301999999999992</v>
      </c>
      <c r="G626" s="59">
        <v>40</v>
      </c>
      <c r="H626" s="56">
        <f>60+100</f>
        <v>160</v>
      </c>
      <c r="I626" s="56">
        <f t="shared" si="102"/>
        <v>0</v>
      </c>
      <c r="J626" s="59">
        <v>100</v>
      </c>
      <c r="K626" s="59">
        <v>300</v>
      </c>
      <c r="L626" s="56">
        <f t="shared" si="96"/>
        <v>1150</v>
      </c>
      <c r="M626" s="66">
        <v>600</v>
      </c>
      <c r="N626" s="56">
        <f>100</f>
        <v>100</v>
      </c>
      <c r="O626" s="59">
        <v>240</v>
      </c>
      <c r="P626" s="59">
        <v>40</v>
      </c>
      <c r="Q626" s="59">
        <f t="shared" si="97"/>
        <v>315</v>
      </c>
      <c r="R626" s="59">
        <f t="shared" si="98"/>
        <v>100</v>
      </c>
      <c r="S626" s="56">
        <f t="shared" si="99"/>
        <v>695</v>
      </c>
      <c r="T626" s="56">
        <f>50</f>
        <v>50</v>
      </c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</row>
    <row r="627" spans="1:30" ht="15.75" x14ac:dyDescent="0.25">
      <c r="A627" s="13">
        <v>60387</v>
      </c>
      <c r="B627" s="67">
        <f t="shared" si="94"/>
        <v>30</v>
      </c>
      <c r="C627" s="56">
        <f>141.293</f>
        <v>141.29300000000001</v>
      </c>
      <c r="D627" s="56">
        <f>267.993</f>
        <v>267.99299999999999</v>
      </c>
      <c r="E627" s="64">
        <f>115.016</f>
        <v>115.01600000000001</v>
      </c>
      <c r="F627" s="56">
        <f>314.698-40-25-60-100</f>
        <v>89.697999999999979</v>
      </c>
      <c r="G627" s="59">
        <v>40</v>
      </c>
      <c r="H627" s="56">
        <f t="shared" ref="H627:H633" si="103">25+60+100</f>
        <v>185</v>
      </c>
      <c r="I627" s="56">
        <f t="shared" si="102"/>
        <v>0</v>
      </c>
      <c r="J627" s="59">
        <v>100</v>
      </c>
      <c r="K627" s="59">
        <v>300</v>
      </c>
      <c r="L627" s="56">
        <f t="shared" si="96"/>
        <v>1239</v>
      </c>
      <c r="M627" s="66">
        <v>600</v>
      </c>
      <c r="N627" s="56">
        <f>100</f>
        <v>100</v>
      </c>
      <c r="O627" s="59">
        <v>240</v>
      </c>
      <c r="P627" s="59">
        <v>40</v>
      </c>
      <c r="Q627" s="59">
        <f t="shared" si="97"/>
        <v>315</v>
      </c>
      <c r="R627" s="59">
        <f t="shared" si="98"/>
        <v>100</v>
      </c>
      <c r="S627" s="56">
        <f t="shared" si="99"/>
        <v>695</v>
      </c>
      <c r="T627" s="56">
        <f>50</f>
        <v>50</v>
      </c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</row>
    <row r="628" spans="1:30" ht="15.75" x14ac:dyDescent="0.25">
      <c r="A628" s="13">
        <v>60418</v>
      </c>
      <c r="B628" s="67">
        <f t="shared" si="94"/>
        <v>31</v>
      </c>
      <c r="C628" s="56">
        <f>194.205</f>
        <v>194.20500000000001</v>
      </c>
      <c r="D628" s="56">
        <f>267.466</f>
        <v>267.46600000000001</v>
      </c>
      <c r="E628" s="64">
        <f>133.845</f>
        <v>133.845</v>
      </c>
      <c r="F628" s="56">
        <f>278.484-40-25-60-100</f>
        <v>53.48399999999998</v>
      </c>
      <c r="G628" s="59">
        <v>40</v>
      </c>
      <c r="H628" s="56">
        <f t="shared" si="103"/>
        <v>185</v>
      </c>
      <c r="I628" s="56">
        <f t="shared" si="102"/>
        <v>0</v>
      </c>
      <c r="J628" s="59">
        <v>100</v>
      </c>
      <c r="K628" s="59">
        <v>300</v>
      </c>
      <c r="L628" s="56">
        <f t="shared" si="96"/>
        <v>1274</v>
      </c>
      <c r="M628" s="66">
        <v>600</v>
      </c>
      <c r="N628" s="56">
        <f>75</f>
        <v>75</v>
      </c>
      <c r="O628" s="59">
        <v>240</v>
      </c>
      <c r="P628" s="59">
        <v>40</v>
      </c>
      <c r="Q628" s="59">
        <f t="shared" si="97"/>
        <v>315</v>
      </c>
      <c r="R628" s="59">
        <f t="shared" si="98"/>
        <v>100</v>
      </c>
      <c r="S628" s="56">
        <f t="shared" si="99"/>
        <v>695</v>
      </c>
      <c r="T628" s="56">
        <f>50</f>
        <v>50</v>
      </c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</row>
    <row r="629" spans="1:30" ht="15.75" x14ac:dyDescent="0.25">
      <c r="A629" s="13">
        <v>60448</v>
      </c>
      <c r="B629" s="67">
        <f t="shared" si="94"/>
        <v>30</v>
      </c>
      <c r="C629" s="56">
        <f>194.205</f>
        <v>194.20500000000001</v>
      </c>
      <c r="D629" s="56">
        <f>267.466</f>
        <v>267.46600000000001</v>
      </c>
      <c r="E629" s="64">
        <f>133.845</f>
        <v>133.845</v>
      </c>
      <c r="F629" s="56">
        <f>278.484-40-25-60-100</f>
        <v>53.48399999999998</v>
      </c>
      <c r="G629" s="59">
        <v>40</v>
      </c>
      <c r="H629" s="56">
        <f t="shared" si="103"/>
        <v>185</v>
      </c>
      <c r="I629" s="56">
        <f t="shared" si="102"/>
        <v>0</v>
      </c>
      <c r="J629" s="59">
        <v>100</v>
      </c>
      <c r="K629" s="59">
        <v>300</v>
      </c>
      <c r="L629" s="56">
        <f t="shared" si="96"/>
        <v>1274</v>
      </c>
      <c r="M629" s="66">
        <v>600</v>
      </c>
      <c r="N629" s="56">
        <f>30</f>
        <v>30</v>
      </c>
      <c r="O629" s="59">
        <v>240</v>
      </c>
      <c r="P629" s="59">
        <v>40</v>
      </c>
      <c r="Q629" s="59">
        <f t="shared" si="97"/>
        <v>315</v>
      </c>
      <c r="R629" s="59">
        <f t="shared" si="98"/>
        <v>100</v>
      </c>
      <c r="S629" s="56">
        <f t="shared" si="99"/>
        <v>695</v>
      </c>
      <c r="T629" s="56">
        <f>50</f>
        <v>50</v>
      </c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</row>
    <row r="630" spans="1:30" ht="15.75" x14ac:dyDescent="0.25">
      <c r="A630" s="13">
        <v>60479</v>
      </c>
      <c r="B630" s="67">
        <f t="shared" si="94"/>
        <v>31</v>
      </c>
      <c r="C630" s="56">
        <f>194.205</f>
        <v>194.20500000000001</v>
      </c>
      <c r="D630" s="56">
        <f>267.466</f>
        <v>267.46600000000001</v>
      </c>
      <c r="E630" s="64">
        <f>133.845</f>
        <v>133.845</v>
      </c>
      <c r="F630" s="56">
        <f>278.484-40-25-60-100</f>
        <v>53.48399999999998</v>
      </c>
      <c r="G630" s="59">
        <v>40</v>
      </c>
      <c r="H630" s="56">
        <f t="shared" si="103"/>
        <v>185</v>
      </c>
      <c r="I630" s="56">
        <f t="shared" si="102"/>
        <v>0</v>
      </c>
      <c r="J630" s="59">
        <v>100</v>
      </c>
      <c r="K630" s="59">
        <v>300</v>
      </c>
      <c r="L630" s="56">
        <f t="shared" si="96"/>
        <v>1274</v>
      </c>
      <c r="M630" s="66">
        <v>600</v>
      </c>
      <c r="N630" s="56">
        <f>30</f>
        <v>30</v>
      </c>
      <c r="O630" s="59">
        <v>240</v>
      </c>
      <c r="P630" s="59">
        <v>40</v>
      </c>
      <c r="Q630" s="59">
        <f t="shared" si="97"/>
        <v>315</v>
      </c>
      <c r="R630" s="59">
        <f t="shared" si="98"/>
        <v>100</v>
      </c>
      <c r="S630" s="56">
        <f t="shared" si="99"/>
        <v>695</v>
      </c>
      <c r="T630" s="56">
        <f>0</f>
        <v>0</v>
      </c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</row>
    <row r="631" spans="1:30" ht="15.75" x14ac:dyDescent="0.25">
      <c r="A631" s="13">
        <v>60510</v>
      </c>
      <c r="B631" s="67">
        <f t="shared" si="94"/>
        <v>31</v>
      </c>
      <c r="C631" s="56">
        <f>194.205</f>
        <v>194.20500000000001</v>
      </c>
      <c r="D631" s="56">
        <f>267.466</f>
        <v>267.46600000000001</v>
      </c>
      <c r="E631" s="64">
        <f>133.845</f>
        <v>133.845</v>
      </c>
      <c r="F631" s="56">
        <f>278.484-40-25-60-100</f>
        <v>53.48399999999998</v>
      </c>
      <c r="G631" s="59">
        <v>40</v>
      </c>
      <c r="H631" s="56">
        <f t="shared" si="103"/>
        <v>185</v>
      </c>
      <c r="I631" s="56">
        <f t="shared" si="102"/>
        <v>0</v>
      </c>
      <c r="J631" s="59">
        <v>100</v>
      </c>
      <c r="K631" s="59">
        <v>300</v>
      </c>
      <c r="L631" s="56">
        <f t="shared" si="96"/>
        <v>1274</v>
      </c>
      <c r="M631" s="66">
        <v>600</v>
      </c>
      <c r="N631" s="56">
        <f>30</f>
        <v>30</v>
      </c>
      <c r="O631" s="59">
        <v>240</v>
      </c>
      <c r="P631" s="59">
        <v>40</v>
      </c>
      <c r="Q631" s="59">
        <f t="shared" si="97"/>
        <v>315</v>
      </c>
      <c r="R631" s="59">
        <f t="shared" si="98"/>
        <v>100</v>
      </c>
      <c r="S631" s="56">
        <f t="shared" si="99"/>
        <v>695</v>
      </c>
      <c r="T631" s="56">
        <f>0</f>
        <v>0</v>
      </c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</row>
    <row r="632" spans="1:30" ht="15.75" x14ac:dyDescent="0.25">
      <c r="A632" s="13">
        <v>60540</v>
      </c>
      <c r="B632" s="67">
        <f t="shared" si="94"/>
        <v>30</v>
      </c>
      <c r="C632" s="56">
        <f>194.205</f>
        <v>194.20500000000001</v>
      </c>
      <c r="D632" s="56">
        <f>267.466</f>
        <v>267.46600000000001</v>
      </c>
      <c r="E632" s="64">
        <f>133.845</f>
        <v>133.845</v>
      </c>
      <c r="F632" s="56">
        <f>278.484-40-25-60-100</f>
        <v>53.48399999999998</v>
      </c>
      <c r="G632" s="59">
        <v>40</v>
      </c>
      <c r="H632" s="56">
        <f t="shared" si="103"/>
        <v>185</v>
      </c>
      <c r="I632" s="56">
        <f t="shared" si="102"/>
        <v>0</v>
      </c>
      <c r="J632" s="59">
        <v>100</v>
      </c>
      <c r="K632" s="59">
        <v>300</v>
      </c>
      <c r="L632" s="56">
        <f t="shared" si="96"/>
        <v>1274</v>
      </c>
      <c r="M632" s="66">
        <v>600</v>
      </c>
      <c r="N632" s="56">
        <f>30</f>
        <v>30</v>
      </c>
      <c r="O632" s="59">
        <v>240</v>
      </c>
      <c r="P632" s="59">
        <v>40</v>
      </c>
      <c r="Q632" s="59">
        <f t="shared" si="97"/>
        <v>315</v>
      </c>
      <c r="R632" s="59">
        <f t="shared" si="98"/>
        <v>100</v>
      </c>
      <c r="S632" s="56">
        <f t="shared" si="99"/>
        <v>695</v>
      </c>
      <c r="T632" s="56">
        <f>0</f>
        <v>0</v>
      </c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</row>
    <row r="633" spans="1:30" ht="15.75" x14ac:dyDescent="0.25">
      <c r="A633" s="13">
        <v>60571</v>
      </c>
      <c r="B633" s="67">
        <f t="shared" si="94"/>
        <v>31</v>
      </c>
      <c r="C633" s="56">
        <f>131.881</f>
        <v>131.881</v>
      </c>
      <c r="D633" s="56">
        <f>277.167</f>
        <v>277.16699999999997</v>
      </c>
      <c r="E633" s="64">
        <f>79.08</f>
        <v>79.08</v>
      </c>
      <c r="F633" s="56">
        <f>350.872-40-25-60-100</f>
        <v>125.87200000000001</v>
      </c>
      <c r="G633" s="59">
        <v>40</v>
      </c>
      <c r="H633" s="56">
        <f t="shared" si="103"/>
        <v>185</v>
      </c>
      <c r="I633" s="56">
        <f t="shared" si="102"/>
        <v>0</v>
      </c>
      <c r="J633" s="59">
        <v>100</v>
      </c>
      <c r="K633" s="59">
        <v>300</v>
      </c>
      <c r="L633" s="56">
        <f t="shared" si="96"/>
        <v>1239</v>
      </c>
      <c r="M633" s="66">
        <v>600</v>
      </c>
      <c r="N633" s="56">
        <f>75</f>
        <v>75</v>
      </c>
      <c r="O633" s="59">
        <v>240</v>
      </c>
      <c r="P633" s="59">
        <v>40</v>
      </c>
      <c r="Q633" s="59">
        <f t="shared" si="97"/>
        <v>315</v>
      </c>
      <c r="R633" s="59">
        <f t="shared" si="98"/>
        <v>100</v>
      </c>
      <c r="S633" s="56">
        <f t="shared" si="99"/>
        <v>695</v>
      </c>
      <c r="T633" s="56">
        <f>0</f>
        <v>0</v>
      </c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</row>
    <row r="634" spans="1:30" ht="15.75" x14ac:dyDescent="0.25">
      <c r="A634" s="13">
        <v>60601</v>
      </c>
      <c r="B634" s="67">
        <f t="shared" si="94"/>
        <v>30</v>
      </c>
      <c r="C634" s="56">
        <f>122.58</f>
        <v>122.58</v>
      </c>
      <c r="D634" s="56">
        <f>297.941</f>
        <v>297.94099999999997</v>
      </c>
      <c r="E634" s="64">
        <f>89.177</f>
        <v>89.177000000000007</v>
      </c>
      <c r="F634" s="56">
        <f>240.302-40-60-100</f>
        <v>40.301999999999992</v>
      </c>
      <c r="G634" s="59">
        <v>40</v>
      </c>
      <c r="H634" s="56">
        <f>60+100</f>
        <v>160</v>
      </c>
      <c r="I634" s="56">
        <f t="shared" si="102"/>
        <v>0</v>
      </c>
      <c r="J634" s="59">
        <v>100</v>
      </c>
      <c r="K634" s="59">
        <v>300</v>
      </c>
      <c r="L634" s="56">
        <f t="shared" si="96"/>
        <v>1150</v>
      </c>
      <c r="M634" s="66">
        <v>600</v>
      </c>
      <c r="N634" s="56">
        <f>100</f>
        <v>100</v>
      </c>
      <c r="O634" s="59">
        <v>240</v>
      </c>
      <c r="P634" s="59">
        <v>40</v>
      </c>
      <c r="Q634" s="59">
        <f t="shared" si="97"/>
        <v>315</v>
      </c>
      <c r="R634" s="59">
        <f t="shared" si="98"/>
        <v>100</v>
      </c>
      <c r="S634" s="56">
        <f t="shared" si="99"/>
        <v>695</v>
      </c>
      <c r="T634" s="56">
        <f>50</f>
        <v>50</v>
      </c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</row>
    <row r="635" spans="1:30" ht="15.75" x14ac:dyDescent="0.25">
      <c r="A635" s="13">
        <v>60632</v>
      </c>
      <c r="B635" s="67">
        <f t="shared" si="94"/>
        <v>31</v>
      </c>
      <c r="C635" s="56">
        <f>122.58</f>
        <v>122.58</v>
      </c>
      <c r="D635" s="56">
        <f>297.941</f>
        <v>297.94099999999997</v>
      </c>
      <c r="E635" s="64">
        <f>89.177</f>
        <v>89.177000000000007</v>
      </c>
      <c r="F635" s="56">
        <f>240.302-40-60-100</f>
        <v>40.301999999999992</v>
      </c>
      <c r="G635" s="59">
        <v>40</v>
      </c>
      <c r="H635" s="56">
        <f>60+100</f>
        <v>160</v>
      </c>
      <c r="I635" s="56">
        <f t="shared" si="102"/>
        <v>0</v>
      </c>
      <c r="J635" s="59">
        <v>100</v>
      </c>
      <c r="K635" s="59">
        <v>300</v>
      </c>
      <c r="L635" s="56">
        <f t="shared" si="96"/>
        <v>1150</v>
      </c>
      <c r="M635" s="66">
        <v>600</v>
      </c>
      <c r="N635" s="56">
        <f>100</f>
        <v>100</v>
      </c>
      <c r="O635" s="59">
        <v>240</v>
      </c>
      <c r="P635" s="59">
        <v>40</v>
      </c>
      <c r="Q635" s="59">
        <f t="shared" si="97"/>
        <v>315</v>
      </c>
      <c r="R635" s="59">
        <f t="shared" si="98"/>
        <v>100</v>
      </c>
      <c r="S635" s="56">
        <f t="shared" si="99"/>
        <v>695</v>
      </c>
      <c r="T635" s="56">
        <f>50</f>
        <v>50</v>
      </c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</row>
    <row r="636" spans="1:30" ht="15.75" x14ac:dyDescent="0.25">
      <c r="A636" s="13">
        <v>60663</v>
      </c>
      <c r="B636" s="67">
        <f t="shared" si="94"/>
        <v>31</v>
      </c>
      <c r="C636" s="56">
        <f>122.58</f>
        <v>122.58</v>
      </c>
      <c r="D636" s="56">
        <f>297.941</f>
        <v>297.94099999999997</v>
      </c>
      <c r="E636" s="64">
        <f>89.177</f>
        <v>89.177000000000007</v>
      </c>
      <c r="F636" s="56">
        <f>240.302-40-60-100</f>
        <v>40.301999999999992</v>
      </c>
      <c r="G636" s="59">
        <v>40</v>
      </c>
      <c r="H636" s="56">
        <f>60+100</f>
        <v>160</v>
      </c>
      <c r="I636" s="56">
        <f t="shared" si="102"/>
        <v>0</v>
      </c>
      <c r="J636" s="59">
        <v>100</v>
      </c>
      <c r="K636" s="59">
        <v>300</v>
      </c>
      <c r="L636" s="56">
        <f t="shared" si="96"/>
        <v>1150</v>
      </c>
      <c r="M636" s="66">
        <v>600</v>
      </c>
      <c r="N636" s="56">
        <f>100</f>
        <v>100</v>
      </c>
      <c r="O636" s="59">
        <v>240</v>
      </c>
      <c r="P636" s="59">
        <v>40</v>
      </c>
      <c r="Q636" s="59">
        <f t="shared" si="97"/>
        <v>315</v>
      </c>
      <c r="R636" s="59">
        <f t="shared" si="98"/>
        <v>100</v>
      </c>
      <c r="S636" s="56">
        <f t="shared" si="99"/>
        <v>695</v>
      </c>
      <c r="T636" s="56">
        <f>50</f>
        <v>50</v>
      </c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</row>
    <row r="637" spans="1:30" ht="15.75" x14ac:dyDescent="0.25">
      <c r="A637" s="13">
        <v>60691</v>
      </c>
      <c r="B637" s="67">
        <f t="shared" si="94"/>
        <v>28</v>
      </c>
      <c r="C637" s="56">
        <f>122.58</f>
        <v>122.58</v>
      </c>
      <c r="D637" s="56">
        <f>297.941</f>
        <v>297.94099999999997</v>
      </c>
      <c r="E637" s="64">
        <f>89.177</f>
        <v>89.177000000000007</v>
      </c>
      <c r="F637" s="56">
        <f>240.302-40-60-100</f>
        <v>40.301999999999992</v>
      </c>
      <c r="G637" s="59">
        <v>40</v>
      </c>
      <c r="H637" s="56">
        <f>60+100</f>
        <v>160</v>
      </c>
      <c r="I637" s="56">
        <f t="shared" si="102"/>
        <v>0</v>
      </c>
      <c r="J637" s="59">
        <v>100</v>
      </c>
      <c r="K637" s="59">
        <v>300</v>
      </c>
      <c r="L637" s="56">
        <f t="shared" si="96"/>
        <v>1150</v>
      </c>
      <c r="M637" s="66">
        <v>600</v>
      </c>
      <c r="N637" s="56">
        <f>100</f>
        <v>100</v>
      </c>
      <c r="O637" s="59">
        <v>240</v>
      </c>
      <c r="P637" s="59">
        <v>40</v>
      </c>
      <c r="Q637" s="59">
        <f t="shared" si="97"/>
        <v>315</v>
      </c>
      <c r="R637" s="59">
        <f t="shared" si="98"/>
        <v>100</v>
      </c>
      <c r="S637" s="56">
        <f t="shared" si="99"/>
        <v>695</v>
      </c>
      <c r="T637" s="56">
        <f>50</f>
        <v>50</v>
      </c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</row>
    <row r="638" spans="1:30" ht="15.75" x14ac:dyDescent="0.25">
      <c r="A638" s="13">
        <v>60722</v>
      </c>
      <c r="B638" s="67">
        <f t="shared" si="94"/>
        <v>31</v>
      </c>
      <c r="C638" s="56">
        <f>122.58</f>
        <v>122.58</v>
      </c>
      <c r="D638" s="56">
        <f>297.941</f>
        <v>297.94099999999997</v>
      </c>
      <c r="E638" s="64">
        <f>89.177</f>
        <v>89.177000000000007</v>
      </c>
      <c r="F638" s="56">
        <f>240.302-40-60-100</f>
        <v>40.301999999999992</v>
      </c>
      <c r="G638" s="59">
        <v>40</v>
      </c>
      <c r="H638" s="56">
        <f>60+100</f>
        <v>160</v>
      </c>
      <c r="I638" s="56">
        <f t="shared" si="102"/>
        <v>0</v>
      </c>
      <c r="J638" s="59">
        <v>100</v>
      </c>
      <c r="K638" s="59">
        <v>300</v>
      </c>
      <c r="L638" s="56">
        <f t="shared" si="96"/>
        <v>1150</v>
      </c>
      <c r="M638" s="66">
        <v>600</v>
      </c>
      <c r="N638" s="56">
        <f>100</f>
        <v>100</v>
      </c>
      <c r="O638" s="59">
        <v>240</v>
      </c>
      <c r="P638" s="59">
        <v>40</v>
      </c>
      <c r="Q638" s="59">
        <f t="shared" si="97"/>
        <v>315</v>
      </c>
      <c r="R638" s="59">
        <f t="shared" si="98"/>
        <v>100</v>
      </c>
      <c r="S638" s="56">
        <f t="shared" si="99"/>
        <v>695</v>
      </c>
      <c r="T638" s="56">
        <f>50</f>
        <v>50</v>
      </c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</row>
    <row r="639" spans="1:30" ht="15.75" x14ac:dyDescent="0.25">
      <c r="A639" s="13">
        <v>60752</v>
      </c>
      <c r="B639" s="67">
        <f t="shared" si="94"/>
        <v>30</v>
      </c>
      <c r="C639" s="56">
        <f>141.293</f>
        <v>141.29300000000001</v>
      </c>
      <c r="D639" s="56">
        <f>267.993</f>
        <v>267.99299999999999</v>
      </c>
      <c r="E639" s="64">
        <f>115.016</f>
        <v>115.01600000000001</v>
      </c>
      <c r="F639" s="56">
        <f>314.698-40-25-60-100</f>
        <v>89.697999999999979</v>
      </c>
      <c r="G639" s="59">
        <v>40</v>
      </c>
      <c r="H639" s="56">
        <f t="shared" ref="H639:H645" si="104">25+60+100</f>
        <v>185</v>
      </c>
      <c r="I639" s="56">
        <f t="shared" si="102"/>
        <v>0</v>
      </c>
      <c r="J639" s="59">
        <v>100</v>
      </c>
      <c r="K639" s="59">
        <v>300</v>
      </c>
      <c r="L639" s="56">
        <f t="shared" si="96"/>
        <v>1239</v>
      </c>
      <c r="M639" s="66">
        <v>600</v>
      </c>
      <c r="N639" s="56">
        <f>100</f>
        <v>100</v>
      </c>
      <c r="O639" s="59">
        <v>240</v>
      </c>
      <c r="P639" s="59">
        <v>40</v>
      </c>
      <c r="Q639" s="59">
        <f t="shared" si="97"/>
        <v>315</v>
      </c>
      <c r="R639" s="59">
        <f t="shared" si="98"/>
        <v>100</v>
      </c>
      <c r="S639" s="56">
        <f t="shared" si="99"/>
        <v>695</v>
      </c>
      <c r="T639" s="56">
        <f>50</f>
        <v>50</v>
      </c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</row>
    <row r="640" spans="1:30" ht="15.75" x14ac:dyDescent="0.25">
      <c r="A640" s="13">
        <v>60783</v>
      </c>
      <c r="B640" s="67">
        <f t="shared" si="94"/>
        <v>31</v>
      </c>
      <c r="C640" s="56">
        <f>194.205</f>
        <v>194.20500000000001</v>
      </c>
      <c r="D640" s="56">
        <f>267.466</f>
        <v>267.46600000000001</v>
      </c>
      <c r="E640" s="64">
        <f>133.845</f>
        <v>133.845</v>
      </c>
      <c r="F640" s="56">
        <f>278.484-40-25-60-100</f>
        <v>53.48399999999998</v>
      </c>
      <c r="G640" s="59">
        <v>40</v>
      </c>
      <c r="H640" s="56">
        <f t="shared" si="104"/>
        <v>185</v>
      </c>
      <c r="I640" s="56">
        <f t="shared" si="102"/>
        <v>0</v>
      </c>
      <c r="J640" s="59">
        <v>100</v>
      </c>
      <c r="K640" s="59">
        <v>300</v>
      </c>
      <c r="L640" s="56">
        <f t="shared" si="96"/>
        <v>1274</v>
      </c>
      <c r="M640" s="66">
        <v>600</v>
      </c>
      <c r="N640" s="56">
        <f>75</f>
        <v>75</v>
      </c>
      <c r="O640" s="59">
        <v>240</v>
      </c>
      <c r="P640" s="59">
        <v>40</v>
      </c>
      <c r="Q640" s="59">
        <f t="shared" si="97"/>
        <v>315</v>
      </c>
      <c r="R640" s="59">
        <f t="shared" si="98"/>
        <v>100</v>
      </c>
      <c r="S640" s="56">
        <f t="shared" si="99"/>
        <v>695</v>
      </c>
      <c r="T640" s="56">
        <f>50</f>
        <v>50</v>
      </c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</row>
    <row r="641" spans="1:30" ht="15.75" x14ac:dyDescent="0.25">
      <c r="A641" s="13">
        <v>60813</v>
      </c>
      <c r="B641" s="67">
        <f t="shared" si="94"/>
        <v>30</v>
      </c>
      <c r="C641" s="56">
        <f>194.205</f>
        <v>194.20500000000001</v>
      </c>
      <c r="D641" s="56">
        <f>267.466</f>
        <v>267.46600000000001</v>
      </c>
      <c r="E641" s="64">
        <f>133.845</f>
        <v>133.845</v>
      </c>
      <c r="F641" s="56">
        <f>278.484-40-25-60-100</f>
        <v>53.48399999999998</v>
      </c>
      <c r="G641" s="59">
        <v>40</v>
      </c>
      <c r="H641" s="56">
        <f t="shared" si="104"/>
        <v>185</v>
      </c>
      <c r="I641" s="56">
        <f t="shared" si="102"/>
        <v>0</v>
      </c>
      <c r="J641" s="59">
        <v>100</v>
      </c>
      <c r="K641" s="59">
        <v>300</v>
      </c>
      <c r="L641" s="56">
        <f t="shared" si="96"/>
        <v>1274</v>
      </c>
      <c r="M641" s="66">
        <v>600</v>
      </c>
      <c r="N641" s="56">
        <f>30</f>
        <v>30</v>
      </c>
      <c r="O641" s="59">
        <v>240</v>
      </c>
      <c r="P641" s="59">
        <v>40</v>
      </c>
      <c r="Q641" s="59">
        <f t="shared" si="97"/>
        <v>315</v>
      </c>
      <c r="R641" s="59">
        <f t="shared" si="98"/>
        <v>100</v>
      </c>
      <c r="S641" s="56">
        <f t="shared" si="99"/>
        <v>695</v>
      </c>
      <c r="T641" s="56">
        <f>50</f>
        <v>50</v>
      </c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</row>
    <row r="642" spans="1:30" ht="15.75" x14ac:dyDescent="0.25">
      <c r="A642" s="13">
        <v>60844</v>
      </c>
      <c r="B642" s="67">
        <f t="shared" si="94"/>
        <v>31</v>
      </c>
      <c r="C642" s="56">
        <f>194.205</f>
        <v>194.20500000000001</v>
      </c>
      <c r="D642" s="56">
        <f>267.466</f>
        <v>267.46600000000001</v>
      </c>
      <c r="E642" s="64">
        <f>133.845</f>
        <v>133.845</v>
      </c>
      <c r="F642" s="56">
        <f>278.484-40-25-60-100</f>
        <v>53.48399999999998</v>
      </c>
      <c r="G642" s="59">
        <v>40</v>
      </c>
      <c r="H642" s="56">
        <f t="shared" si="104"/>
        <v>185</v>
      </c>
      <c r="I642" s="56">
        <f t="shared" si="102"/>
        <v>0</v>
      </c>
      <c r="J642" s="59">
        <v>100</v>
      </c>
      <c r="K642" s="59">
        <v>300</v>
      </c>
      <c r="L642" s="56">
        <f t="shared" si="96"/>
        <v>1274</v>
      </c>
      <c r="M642" s="66">
        <v>600</v>
      </c>
      <c r="N642" s="56">
        <f>30</f>
        <v>30</v>
      </c>
      <c r="O642" s="59">
        <v>240</v>
      </c>
      <c r="P642" s="59">
        <v>40</v>
      </c>
      <c r="Q642" s="59">
        <f t="shared" si="97"/>
        <v>315</v>
      </c>
      <c r="R642" s="59">
        <f t="shared" si="98"/>
        <v>100</v>
      </c>
      <c r="S642" s="56">
        <f t="shared" si="99"/>
        <v>695</v>
      </c>
      <c r="T642" s="56">
        <f>0</f>
        <v>0</v>
      </c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</row>
    <row r="643" spans="1:30" ht="15.75" x14ac:dyDescent="0.25">
      <c r="A643" s="13">
        <v>60875</v>
      </c>
      <c r="B643" s="67">
        <f t="shared" si="94"/>
        <v>31</v>
      </c>
      <c r="C643" s="56">
        <f>194.205</f>
        <v>194.20500000000001</v>
      </c>
      <c r="D643" s="56">
        <f>267.466</f>
        <v>267.46600000000001</v>
      </c>
      <c r="E643" s="64">
        <f>133.845</f>
        <v>133.845</v>
      </c>
      <c r="F643" s="56">
        <f>278.484-40-25-60-100</f>
        <v>53.48399999999998</v>
      </c>
      <c r="G643" s="59">
        <v>40</v>
      </c>
      <c r="H643" s="56">
        <f t="shared" si="104"/>
        <v>185</v>
      </c>
      <c r="I643" s="56">
        <f t="shared" si="102"/>
        <v>0</v>
      </c>
      <c r="J643" s="59">
        <v>100</v>
      </c>
      <c r="K643" s="59">
        <v>300</v>
      </c>
      <c r="L643" s="56">
        <f t="shared" si="96"/>
        <v>1274</v>
      </c>
      <c r="M643" s="66">
        <v>600</v>
      </c>
      <c r="N643" s="56">
        <f>30</f>
        <v>30</v>
      </c>
      <c r="O643" s="59">
        <v>240</v>
      </c>
      <c r="P643" s="59">
        <v>40</v>
      </c>
      <c r="Q643" s="59">
        <f t="shared" si="97"/>
        <v>315</v>
      </c>
      <c r="R643" s="59">
        <f t="shared" si="98"/>
        <v>100</v>
      </c>
      <c r="S643" s="56">
        <f t="shared" si="99"/>
        <v>695</v>
      </c>
      <c r="T643" s="56">
        <f>0</f>
        <v>0</v>
      </c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</row>
    <row r="644" spans="1:30" ht="15.75" x14ac:dyDescent="0.25">
      <c r="A644" s="13">
        <v>60905</v>
      </c>
      <c r="B644" s="67">
        <f t="shared" si="94"/>
        <v>30</v>
      </c>
      <c r="C644" s="56">
        <f>194.205</f>
        <v>194.20500000000001</v>
      </c>
      <c r="D644" s="56">
        <f>267.466</f>
        <v>267.46600000000001</v>
      </c>
      <c r="E644" s="64">
        <f>133.845</f>
        <v>133.845</v>
      </c>
      <c r="F644" s="56">
        <f>278.484-40-25-60-100</f>
        <v>53.48399999999998</v>
      </c>
      <c r="G644" s="59">
        <v>40</v>
      </c>
      <c r="H644" s="56">
        <f t="shared" si="104"/>
        <v>185</v>
      </c>
      <c r="I644" s="56">
        <f t="shared" si="102"/>
        <v>0</v>
      </c>
      <c r="J644" s="59">
        <v>100</v>
      </c>
      <c r="K644" s="59">
        <v>300</v>
      </c>
      <c r="L644" s="56">
        <f t="shared" si="96"/>
        <v>1274</v>
      </c>
      <c r="M644" s="66">
        <v>600</v>
      </c>
      <c r="N644" s="56">
        <f>30</f>
        <v>30</v>
      </c>
      <c r="O644" s="59">
        <v>240</v>
      </c>
      <c r="P644" s="59">
        <v>40</v>
      </c>
      <c r="Q644" s="59">
        <f t="shared" si="97"/>
        <v>315</v>
      </c>
      <c r="R644" s="59">
        <f t="shared" si="98"/>
        <v>100</v>
      </c>
      <c r="S644" s="56">
        <f t="shared" si="99"/>
        <v>695</v>
      </c>
      <c r="T644" s="56">
        <f>0</f>
        <v>0</v>
      </c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</row>
    <row r="645" spans="1:30" ht="15.75" x14ac:dyDescent="0.25">
      <c r="A645" s="13">
        <v>60936</v>
      </c>
      <c r="B645" s="67">
        <f t="shared" si="94"/>
        <v>31</v>
      </c>
      <c r="C645" s="56">
        <f>131.881</f>
        <v>131.881</v>
      </c>
      <c r="D645" s="56">
        <f>277.167</f>
        <v>277.16699999999997</v>
      </c>
      <c r="E645" s="64">
        <f>79.08</f>
        <v>79.08</v>
      </c>
      <c r="F645" s="56">
        <f>350.872-40-25-60-100</f>
        <v>125.87200000000001</v>
      </c>
      <c r="G645" s="59">
        <v>40</v>
      </c>
      <c r="H645" s="56">
        <f t="shared" si="104"/>
        <v>185</v>
      </c>
      <c r="I645" s="56">
        <f t="shared" si="102"/>
        <v>0</v>
      </c>
      <c r="J645" s="59">
        <v>100</v>
      </c>
      <c r="K645" s="59">
        <v>300</v>
      </c>
      <c r="L645" s="56">
        <f t="shared" si="96"/>
        <v>1239</v>
      </c>
      <c r="M645" s="66">
        <v>600</v>
      </c>
      <c r="N645" s="56">
        <f>75</f>
        <v>75</v>
      </c>
      <c r="O645" s="59">
        <v>240</v>
      </c>
      <c r="P645" s="59">
        <v>40</v>
      </c>
      <c r="Q645" s="59">
        <f t="shared" si="97"/>
        <v>315</v>
      </c>
      <c r="R645" s="59">
        <f t="shared" si="98"/>
        <v>100</v>
      </c>
      <c r="S645" s="56">
        <f t="shared" si="99"/>
        <v>695</v>
      </c>
      <c r="T645" s="56">
        <f>0</f>
        <v>0</v>
      </c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</row>
    <row r="646" spans="1:30" ht="15.75" x14ac:dyDescent="0.25">
      <c r="A646" s="13">
        <v>60966</v>
      </c>
      <c r="B646" s="67">
        <f t="shared" si="94"/>
        <v>30</v>
      </c>
      <c r="C646" s="56">
        <f>122.58</f>
        <v>122.58</v>
      </c>
      <c r="D646" s="56">
        <f>297.941</f>
        <v>297.94099999999997</v>
      </c>
      <c r="E646" s="64">
        <f>89.177</f>
        <v>89.177000000000007</v>
      </c>
      <c r="F646" s="56">
        <f>240.302-40-60-100</f>
        <v>40.301999999999992</v>
      </c>
      <c r="G646" s="59">
        <v>40</v>
      </c>
      <c r="H646" s="56">
        <f>60+100</f>
        <v>160</v>
      </c>
      <c r="I646" s="56">
        <f t="shared" si="102"/>
        <v>0</v>
      </c>
      <c r="J646" s="59">
        <v>100</v>
      </c>
      <c r="K646" s="59">
        <v>300</v>
      </c>
      <c r="L646" s="56">
        <f t="shared" si="96"/>
        <v>1150</v>
      </c>
      <c r="M646" s="66">
        <v>600</v>
      </c>
      <c r="N646" s="56">
        <f>100</f>
        <v>100</v>
      </c>
      <c r="O646" s="59">
        <v>240</v>
      </c>
      <c r="P646" s="59">
        <v>40</v>
      </c>
      <c r="Q646" s="59">
        <f t="shared" si="97"/>
        <v>315</v>
      </c>
      <c r="R646" s="59">
        <f t="shared" si="98"/>
        <v>100</v>
      </c>
      <c r="S646" s="56">
        <f t="shared" si="99"/>
        <v>695</v>
      </c>
      <c r="T646" s="56">
        <f>50</f>
        <v>50</v>
      </c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</row>
    <row r="647" spans="1:30" ht="15.75" x14ac:dyDescent="0.25">
      <c r="A647" s="13">
        <v>60997</v>
      </c>
      <c r="B647" s="67">
        <f t="shared" si="94"/>
        <v>31</v>
      </c>
      <c r="C647" s="56">
        <f>122.58</f>
        <v>122.58</v>
      </c>
      <c r="D647" s="56">
        <f>297.941</f>
        <v>297.94099999999997</v>
      </c>
      <c r="E647" s="64">
        <f>89.177</f>
        <v>89.177000000000007</v>
      </c>
      <c r="F647" s="56">
        <f>240.302-40-60-100</f>
        <v>40.301999999999992</v>
      </c>
      <c r="G647" s="59">
        <v>40</v>
      </c>
      <c r="H647" s="56">
        <f>60+100</f>
        <v>160</v>
      </c>
      <c r="I647" s="56">
        <f t="shared" si="102"/>
        <v>0</v>
      </c>
      <c r="J647" s="59">
        <v>100</v>
      </c>
      <c r="K647" s="59">
        <v>300</v>
      </c>
      <c r="L647" s="56">
        <f t="shared" si="96"/>
        <v>1150</v>
      </c>
      <c r="M647" s="66">
        <v>600</v>
      </c>
      <c r="N647" s="56">
        <f>100</f>
        <v>100</v>
      </c>
      <c r="O647" s="59">
        <v>240</v>
      </c>
      <c r="P647" s="59">
        <v>40</v>
      </c>
      <c r="Q647" s="59">
        <f t="shared" si="97"/>
        <v>315</v>
      </c>
      <c r="R647" s="59">
        <f t="shared" si="98"/>
        <v>100</v>
      </c>
      <c r="S647" s="56">
        <f t="shared" si="99"/>
        <v>695</v>
      </c>
      <c r="T647" s="56">
        <f>50</f>
        <v>50</v>
      </c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</row>
    <row r="648" spans="1:30" ht="15.75" x14ac:dyDescent="0.25">
      <c r="A648" s="13">
        <v>61028</v>
      </c>
      <c r="B648" s="67">
        <f t="shared" si="94"/>
        <v>31</v>
      </c>
      <c r="C648" s="56">
        <f>122.58</f>
        <v>122.58</v>
      </c>
      <c r="D648" s="56">
        <f>297.941</f>
        <v>297.94099999999997</v>
      </c>
      <c r="E648" s="64">
        <f>89.177</f>
        <v>89.177000000000007</v>
      </c>
      <c r="F648" s="56">
        <f>240.302-40-60-100</f>
        <v>40.301999999999992</v>
      </c>
      <c r="G648" s="59">
        <v>40</v>
      </c>
      <c r="H648" s="56">
        <f>60+100</f>
        <v>160</v>
      </c>
      <c r="I648" s="56">
        <f t="shared" si="102"/>
        <v>0</v>
      </c>
      <c r="J648" s="59">
        <v>100</v>
      </c>
      <c r="K648" s="59">
        <v>300</v>
      </c>
      <c r="L648" s="56">
        <f t="shared" si="96"/>
        <v>1150</v>
      </c>
      <c r="M648" s="66">
        <v>600</v>
      </c>
      <c r="N648" s="56">
        <f>100</f>
        <v>100</v>
      </c>
      <c r="O648" s="59">
        <v>240</v>
      </c>
      <c r="P648" s="59">
        <v>40</v>
      </c>
      <c r="Q648" s="59">
        <f t="shared" si="97"/>
        <v>315</v>
      </c>
      <c r="R648" s="59">
        <f t="shared" si="98"/>
        <v>100</v>
      </c>
      <c r="S648" s="56">
        <f t="shared" si="99"/>
        <v>695</v>
      </c>
      <c r="T648" s="56">
        <f>50</f>
        <v>50</v>
      </c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</row>
    <row r="649" spans="1:30" ht="15.75" x14ac:dyDescent="0.25">
      <c r="A649" s="13">
        <v>61056</v>
      </c>
      <c r="B649" s="67">
        <f t="shared" si="94"/>
        <v>28</v>
      </c>
      <c r="C649" s="56">
        <f>122.58</f>
        <v>122.58</v>
      </c>
      <c r="D649" s="56">
        <f>297.941</f>
        <v>297.94099999999997</v>
      </c>
      <c r="E649" s="64">
        <f>89.177</f>
        <v>89.177000000000007</v>
      </c>
      <c r="F649" s="56">
        <f>240.302-40-60-100</f>
        <v>40.301999999999992</v>
      </c>
      <c r="G649" s="59">
        <v>40</v>
      </c>
      <c r="H649" s="56">
        <f>60+100</f>
        <v>160</v>
      </c>
      <c r="I649" s="56">
        <f t="shared" si="102"/>
        <v>0</v>
      </c>
      <c r="J649" s="59">
        <v>100</v>
      </c>
      <c r="K649" s="59">
        <v>300</v>
      </c>
      <c r="L649" s="56">
        <f t="shared" si="96"/>
        <v>1150</v>
      </c>
      <c r="M649" s="66">
        <v>600</v>
      </c>
      <c r="N649" s="56">
        <f>100</f>
        <v>100</v>
      </c>
      <c r="O649" s="59">
        <v>240</v>
      </c>
      <c r="P649" s="59">
        <v>40</v>
      </c>
      <c r="Q649" s="59">
        <f t="shared" si="97"/>
        <v>315</v>
      </c>
      <c r="R649" s="59">
        <f t="shared" si="98"/>
        <v>100</v>
      </c>
      <c r="S649" s="56">
        <f t="shared" si="99"/>
        <v>695</v>
      </c>
      <c r="T649" s="56">
        <f>50</f>
        <v>50</v>
      </c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</row>
    <row r="650" spans="1:30" ht="15.75" x14ac:dyDescent="0.25">
      <c r="A650" s="13">
        <v>61087</v>
      </c>
      <c r="B650" s="67">
        <f t="shared" si="94"/>
        <v>31</v>
      </c>
      <c r="C650" s="56">
        <f>122.58</f>
        <v>122.58</v>
      </c>
      <c r="D650" s="56">
        <f>297.941</f>
        <v>297.94099999999997</v>
      </c>
      <c r="E650" s="64">
        <f>89.177</f>
        <v>89.177000000000007</v>
      </c>
      <c r="F650" s="56">
        <f>240.302-40-60-100</f>
        <v>40.301999999999992</v>
      </c>
      <c r="G650" s="59">
        <v>40</v>
      </c>
      <c r="H650" s="56">
        <f>60+100</f>
        <v>160</v>
      </c>
      <c r="I650" s="56">
        <f t="shared" si="102"/>
        <v>0</v>
      </c>
      <c r="J650" s="59">
        <v>100</v>
      </c>
      <c r="K650" s="59">
        <v>300</v>
      </c>
      <c r="L650" s="56">
        <f t="shared" si="96"/>
        <v>1150</v>
      </c>
      <c r="M650" s="66">
        <v>600</v>
      </c>
      <c r="N650" s="56">
        <f>100</f>
        <v>100</v>
      </c>
      <c r="O650" s="59">
        <v>240</v>
      </c>
      <c r="P650" s="59">
        <v>40</v>
      </c>
      <c r="Q650" s="59">
        <f t="shared" si="97"/>
        <v>315</v>
      </c>
      <c r="R650" s="59">
        <f t="shared" si="98"/>
        <v>100</v>
      </c>
      <c r="S650" s="56">
        <f t="shared" si="99"/>
        <v>695</v>
      </c>
      <c r="T650" s="56">
        <f>50</f>
        <v>50</v>
      </c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</row>
    <row r="651" spans="1:30" ht="15.75" x14ac:dyDescent="0.25">
      <c r="A651" s="13">
        <v>61117</v>
      </c>
      <c r="B651" s="67">
        <f t="shared" si="94"/>
        <v>30</v>
      </c>
      <c r="C651" s="56">
        <f>141.293</f>
        <v>141.29300000000001</v>
      </c>
      <c r="D651" s="56">
        <f>267.993</f>
        <v>267.99299999999999</v>
      </c>
      <c r="E651" s="64">
        <f>115.016</f>
        <v>115.01600000000001</v>
      </c>
      <c r="F651" s="56">
        <f>314.698-40-25-60-100</f>
        <v>89.697999999999979</v>
      </c>
      <c r="G651" s="59">
        <v>40</v>
      </c>
      <c r="H651" s="56">
        <f t="shared" ref="H651:H657" si="105">25+60+100</f>
        <v>185</v>
      </c>
      <c r="I651" s="56">
        <f t="shared" si="102"/>
        <v>0</v>
      </c>
      <c r="J651" s="59">
        <v>100</v>
      </c>
      <c r="K651" s="59">
        <v>300</v>
      </c>
      <c r="L651" s="56">
        <f t="shared" si="96"/>
        <v>1239</v>
      </c>
      <c r="M651" s="66">
        <v>600</v>
      </c>
      <c r="N651" s="56">
        <f>100</f>
        <v>100</v>
      </c>
      <c r="O651" s="59">
        <v>240</v>
      </c>
      <c r="P651" s="59">
        <v>40</v>
      </c>
      <c r="Q651" s="59">
        <f t="shared" si="97"/>
        <v>315</v>
      </c>
      <c r="R651" s="59">
        <f t="shared" si="98"/>
        <v>100</v>
      </c>
      <c r="S651" s="56">
        <f t="shared" si="99"/>
        <v>695</v>
      </c>
      <c r="T651" s="56">
        <f>50</f>
        <v>50</v>
      </c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</row>
    <row r="652" spans="1:30" ht="15.75" x14ac:dyDescent="0.25">
      <c r="A652" s="13">
        <v>61148</v>
      </c>
      <c r="B652" s="67">
        <f t="shared" ref="B652:B715" si="106">EOMONTH(A652,0)-EOMONTH(A652,-1)</f>
        <v>31</v>
      </c>
      <c r="C652" s="56">
        <f>194.205</f>
        <v>194.20500000000001</v>
      </c>
      <c r="D652" s="56">
        <f>267.466</f>
        <v>267.46600000000001</v>
      </c>
      <c r="E652" s="64">
        <f>133.845</f>
        <v>133.845</v>
      </c>
      <c r="F652" s="56">
        <f>278.484-40-25-60-100</f>
        <v>53.48399999999998</v>
      </c>
      <c r="G652" s="59">
        <v>40</v>
      </c>
      <c r="H652" s="56">
        <f t="shared" si="105"/>
        <v>185</v>
      </c>
      <c r="I652" s="56">
        <f t="shared" si="102"/>
        <v>0</v>
      </c>
      <c r="J652" s="59">
        <v>100</v>
      </c>
      <c r="K652" s="59">
        <v>300</v>
      </c>
      <c r="L652" s="56">
        <f t="shared" si="96"/>
        <v>1274</v>
      </c>
      <c r="M652" s="66">
        <v>600</v>
      </c>
      <c r="N652" s="56">
        <f>75</f>
        <v>75</v>
      </c>
      <c r="O652" s="59">
        <v>240</v>
      </c>
      <c r="P652" s="59">
        <v>40</v>
      </c>
      <c r="Q652" s="59">
        <f t="shared" si="97"/>
        <v>315</v>
      </c>
      <c r="R652" s="59">
        <f t="shared" si="98"/>
        <v>100</v>
      </c>
      <c r="S652" s="56">
        <f t="shared" si="99"/>
        <v>695</v>
      </c>
      <c r="T652" s="56">
        <f>50</f>
        <v>50</v>
      </c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</row>
    <row r="653" spans="1:30" ht="15.75" x14ac:dyDescent="0.25">
      <c r="A653" s="13">
        <v>61178</v>
      </c>
      <c r="B653" s="67">
        <f t="shared" si="106"/>
        <v>30</v>
      </c>
      <c r="C653" s="56">
        <f>194.205</f>
        <v>194.20500000000001</v>
      </c>
      <c r="D653" s="56">
        <f>267.466</f>
        <v>267.46600000000001</v>
      </c>
      <c r="E653" s="64">
        <f>133.845</f>
        <v>133.845</v>
      </c>
      <c r="F653" s="56">
        <f>278.484-40-25-60-100</f>
        <v>53.48399999999998</v>
      </c>
      <c r="G653" s="59">
        <v>40</v>
      </c>
      <c r="H653" s="56">
        <f t="shared" si="105"/>
        <v>185</v>
      </c>
      <c r="I653" s="56">
        <f t="shared" si="102"/>
        <v>0</v>
      </c>
      <c r="J653" s="59">
        <v>100</v>
      </c>
      <c r="K653" s="59">
        <v>300</v>
      </c>
      <c r="L653" s="56">
        <f t="shared" si="96"/>
        <v>1274</v>
      </c>
      <c r="M653" s="66">
        <v>600</v>
      </c>
      <c r="N653" s="56">
        <f>30</f>
        <v>30</v>
      </c>
      <c r="O653" s="59">
        <v>240</v>
      </c>
      <c r="P653" s="59">
        <v>40</v>
      </c>
      <c r="Q653" s="59">
        <f t="shared" si="97"/>
        <v>315</v>
      </c>
      <c r="R653" s="59">
        <f t="shared" si="98"/>
        <v>100</v>
      </c>
      <c r="S653" s="56">
        <f t="shared" si="99"/>
        <v>695</v>
      </c>
      <c r="T653" s="56">
        <f>50</f>
        <v>50</v>
      </c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</row>
    <row r="654" spans="1:30" ht="15.75" x14ac:dyDescent="0.25">
      <c r="A654" s="13">
        <v>61209</v>
      </c>
      <c r="B654" s="67">
        <f t="shared" si="106"/>
        <v>31</v>
      </c>
      <c r="C654" s="56">
        <f>194.205</f>
        <v>194.20500000000001</v>
      </c>
      <c r="D654" s="56">
        <f>267.466</f>
        <v>267.46600000000001</v>
      </c>
      <c r="E654" s="64">
        <f>133.845</f>
        <v>133.845</v>
      </c>
      <c r="F654" s="56">
        <f>278.484-40-25-60-100</f>
        <v>53.48399999999998</v>
      </c>
      <c r="G654" s="59">
        <v>40</v>
      </c>
      <c r="H654" s="56">
        <f t="shared" si="105"/>
        <v>185</v>
      </c>
      <c r="I654" s="56">
        <f t="shared" si="102"/>
        <v>0</v>
      </c>
      <c r="J654" s="59">
        <v>100</v>
      </c>
      <c r="K654" s="59">
        <v>300</v>
      </c>
      <c r="L654" s="56">
        <f t="shared" si="96"/>
        <v>1274</v>
      </c>
      <c r="M654" s="66">
        <v>600</v>
      </c>
      <c r="N654" s="56">
        <f>30</f>
        <v>30</v>
      </c>
      <c r="O654" s="59">
        <v>240</v>
      </c>
      <c r="P654" s="59">
        <v>40</v>
      </c>
      <c r="Q654" s="59">
        <f t="shared" si="97"/>
        <v>315</v>
      </c>
      <c r="R654" s="59">
        <f t="shared" si="98"/>
        <v>100</v>
      </c>
      <c r="S654" s="56">
        <f t="shared" si="99"/>
        <v>695</v>
      </c>
      <c r="T654" s="56">
        <f>0</f>
        <v>0</v>
      </c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</row>
    <row r="655" spans="1:30" ht="15.75" x14ac:dyDescent="0.25">
      <c r="A655" s="13">
        <v>61240</v>
      </c>
      <c r="B655" s="67">
        <f t="shared" si="106"/>
        <v>31</v>
      </c>
      <c r="C655" s="56">
        <f>194.205</f>
        <v>194.20500000000001</v>
      </c>
      <c r="D655" s="56">
        <f>267.466</f>
        <v>267.46600000000001</v>
      </c>
      <c r="E655" s="64">
        <f>133.845</f>
        <v>133.845</v>
      </c>
      <c r="F655" s="56">
        <f>278.484-40-25-60-100</f>
        <v>53.48399999999998</v>
      </c>
      <c r="G655" s="59">
        <v>40</v>
      </c>
      <c r="H655" s="56">
        <f t="shared" si="105"/>
        <v>185</v>
      </c>
      <c r="I655" s="56">
        <f t="shared" si="102"/>
        <v>0</v>
      </c>
      <c r="J655" s="59">
        <v>100</v>
      </c>
      <c r="K655" s="59">
        <v>300</v>
      </c>
      <c r="L655" s="56">
        <f t="shared" ref="L655:L718" si="107">SUM(C655:K655)</f>
        <v>1274</v>
      </c>
      <c r="M655" s="66">
        <v>600</v>
      </c>
      <c r="N655" s="56">
        <f>30</f>
        <v>30</v>
      </c>
      <c r="O655" s="59">
        <v>240</v>
      </c>
      <c r="P655" s="59">
        <v>40</v>
      </c>
      <c r="Q655" s="59">
        <f t="shared" ref="Q655:Q718" si="108">695-R655-O655-P655</f>
        <v>315</v>
      </c>
      <c r="R655" s="59">
        <f t="shared" ref="R655:R718" si="109">200-J655</f>
        <v>100</v>
      </c>
      <c r="S655" s="56">
        <f t="shared" ref="S655:S718" si="110">SUM(O655:R655)</f>
        <v>695</v>
      </c>
      <c r="T655" s="56">
        <f>0</f>
        <v>0</v>
      </c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</row>
    <row r="656" spans="1:30" ht="15.75" x14ac:dyDescent="0.25">
      <c r="A656" s="13">
        <v>61270</v>
      </c>
      <c r="B656" s="67">
        <f t="shared" si="106"/>
        <v>30</v>
      </c>
      <c r="C656" s="56">
        <f>194.205</f>
        <v>194.20500000000001</v>
      </c>
      <c r="D656" s="56">
        <f>267.466</f>
        <v>267.46600000000001</v>
      </c>
      <c r="E656" s="64">
        <f>133.845</f>
        <v>133.845</v>
      </c>
      <c r="F656" s="56">
        <f>278.484-40-25-60-100</f>
        <v>53.48399999999998</v>
      </c>
      <c r="G656" s="59">
        <v>40</v>
      </c>
      <c r="H656" s="56">
        <f t="shared" si="105"/>
        <v>185</v>
      </c>
      <c r="I656" s="56">
        <f t="shared" si="102"/>
        <v>0</v>
      </c>
      <c r="J656" s="59">
        <v>100</v>
      </c>
      <c r="K656" s="59">
        <v>300</v>
      </c>
      <c r="L656" s="56">
        <f t="shared" si="107"/>
        <v>1274</v>
      </c>
      <c r="M656" s="66">
        <v>600</v>
      </c>
      <c r="N656" s="56">
        <f>30</f>
        <v>30</v>
      </c>
      <c r="O656" s="59">
        <v>240</v>
      </c>
      <c r="P656" s="59">
        <v>40</v>
      </c>
      <c r="Q656" s="59">
        <f t="shared" si="108"/>
        <v>315</v>
      </c>
      <c r="R656" s="59">
        <f t="shared" si="109"/>
        <v>100</v>
      </c>
      <c r="S656" s="56">
        <f t="shared" si="110"/>
        <v>695</v>
      </c>
      <c r="T656" s="56">
        <f>0</f>
        <v>0</v>
      </c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</row>
    <row r="657" spans="1:30" ht="15.75" x14ac:dyDescent="0.25">
      <c r="A657" s="13">
        <v>61301</v>
      </c>
      <c r="B657" s="67">
        <f t="shared" si="106"/>
        <v>31</v>
      </c>
      <c r="C657" s="56">
        <f>131.881</f>
        <v>131.881</v>
      </c>
      <c r="D657" s="56">
        <f>277.167</f>
        <v>277.16699999999997</v>
      </c>
      <c r="E657" s="64">
        <f>79.08</f>
        <v>79.08</v>
      </c>
      <c r="F657" s="56">
        <f>350.872-40-25-60-100</f>
        <v>125.87200000000001</v>
      </c>
      <c r="G657" s="59">
        <v>40</v>
      </c>
      <c r="H657" s="56">
        <f t="shared" si="105"/>
        <v>185</v>
      </c>
      <c r="I657" s="56">
        <f t="shared" si="102"/>
        <v>0</v>
      </c>
      <c r="J657" s="59">
        <v>100</v>
      </c>
      <c r="K657" s="59">
        <v>300</v>
      </c>
      <c r="L657" s="56">
        <f t="shared" si="107"/>
        <v>1239</v>
      </c>
      <c r="M657" s="66">
        <v>600</v>
      </c>
      <c r="N657" s="56">
        <f>75</f>
        <v>75</v>
      </c>
      <c r="O657" s="59">
        <v>240</v>
      </c>
      <c r="P657" s="59">
        <v>40</v>
      </c>
      <c r="Q657" s="59">
        <f t="shared" si="108"/>
        <v>315</v>
      </c>
      <c r="R657" s="59">
        <f t="shared" si="109"/>
        <v>100</v>
      </c>
      <c r="S657" s="56">
        <f t="shared" si="110"/>
        <v>695</v>
      </c>
      <c r="T657" s="56">
        <f>0</f>
        <v>0</v>
      </c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</row>
    <row r="658" spans="1:30" ht="15.75" x14ac:dyDescent="0.25">
      <c r="A658" s="13">
        <v>61331</v>
      </c>
      <c r="B658" s="67">
        <f t="shared" si="106"/>
        <v>30</v>
      </c>
      <c r="C658" s="56">
        <f>122.58</f>
        <v>122.58</v>
      </c>
      <c r="D658" s="56">
        <f>297.941</f>
        <v>297.94099999999997</v>
      </c>
      <c r="E658" s="64">
        <f>89.177</f>
        <v>89.177000000000007</v>
      </c>
      <c r="F658" s="56">
        <f>240.302-40-60-100</f>
        <v>40.301999999999992</v>
      </c>
      <c r="G658" s="59">
        <v>40</v>
      </c>
      <c r="H658" s="56">
        <f>60+100</f>
        <v>160</v>
      </c>
      <c r="I658" s="56">
        <f t="shared" si="102"/>
        <v>0</v>
      </c>
      <c r="J658" s="59">
        <v>100</v>
      </c>
      <c r="K658" s="59">
        <v>300</v>
      </c>
      <c r="L658" s="56">
        <f t="shared" si="107"/>
        <v>1150</v>
      </c>
      <c r="M658" s="66">
        <v>600</v>
      </c>
      <c r="N658" s="56">
        <f>100</f>
        <v>100</v>
      </c>
      <c r="O658" s="59">
        <v>240</v>
      </c>
      <c r="P658" s="59">
        <v>40</v>
      </c>
      <c r="Q658" s="59">
        <f t="shared" si="108"/>
        <v>315</v>
      </c>
      <c r="R658" s="59">
        <f t="shared" si="109"/>
        <v>100</v>
      </c>
      <c r="S658" s="56">
        <f t="shared" si="110"/>
        <v>695</v>
      </c>
      <c r="T658" s="56">
        <f>50</f>
        <v>50</v>
      </c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</row>
    <row r="659" spans="1:30" ht="15.75" x14ac:dyDescent="0.25">
      <c r="A659" s="13">
        <v>61362</v>
      </c>
      <c r="B659" s="67">
        <f t="shared" si="106"/>
        <v>31</v>
      </c>
      <c r="C659" s="56">
        <f>122.58</f>
        <v>122.58</v>
      </c>
      <c r="D659" s="56">
        <f>297.941</f>
        <v>297.94099999999997</v>
      </c>
      <c r="E659" s="64">
        <f>89.177</f>
        <v>89.177000000000007</v>
      </c>
      <c r="F659" s="56">
        <f>240.302-40-60-100</f>
        <v>40.301999999999992</v>
      </c>
      <c r="G659" s="59">
        <v>40</v>
      </c>
      <c r="H659" s="56">
        <f>60+100</f>
        <v>160</v>
      </c>
      <c r="I659" s="56">
        <f t="shared" si="102"/>
        <v>0</v>
      </c>
      <c r="J659" s="59">
        <v>100</v>
      </c>
      <c r="K659" s="59">
        <v>300</v>
      </c>
      <c r="L659" s="56">
        <f t="shared" si="107"/>
        <v>1150</v>
      </c>
      <c r="M659" s="66">
        <v>600</v>
      </c>
      <c r="N659" s="56">
        <f>100</f>
        <v>100</v>
      </c>
      <c r="O659" s="59">
        <v>240</v>
      </c>
      <c r="P659" s="59">
        <v>40</v>
      </c>
      <c r="Q659" s="59">
        <f t="shared" si="108"/>
        <v>315</v>
      </c>
      <c r="R659" s="59">
        <f t="shared" si="109"/>
        <v>100</v>
      </c>
      <c r="S659" s="56">
        <f t="shared" si="110"/>
        <v>695</v>
      </c>
      <c r="T659" s="56">
        <f>50</f>
        <v>50</v>
      </c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</row>
    <row r="660" spans="1:30" ht="15.75" x14ac:dyDescent="0.25">
      <c r="A660" s="13">
        <v>61393</v>
      </c>
      <c r="B660" s="67">
        <f t="shared" si="106"/>
        <v>31</v>
      </c>
      <c r="C660" s="56">
        <f>122.58</f>
        <v>122.58</v>
      </c>
      <c r="D660" s="56">
        <f>297.941</f>
        <v>297.94099999999997</v>
      </c>
      <c r="E660" s="64">
        <f>89.177</f>
        <v>89.177000000000007</v>
      </c>
      <c r="F660" s="56">
        <f>240.302-40-60-100</f>
        <v>40.301999999999992</v>
      </c>
      <c r="G660" s="59">
        <v>40</v>
      </c>
      <c r="H660" s="56">
        <f>60+100</f>
        <v>160</v>
      </c>
      <c r="I660" s="56">
        <f t="shared" si="102"/>
        <v>0</v>
      </c>
      <c r="J660" s="59">
        <v>100</v>
      </c>
      <c r="K660" s="59">
        <v>300</v>
      </c>
      <c r="L660" s="56">
        <f t="shared" si="107"/>
        <v>1150</v>
      </c>
      <c r="M660" s="66">
        <v>600</v>
      </c>
      <c r="N660" s="56">
        <f>100</f>
        <v>100</v>
      </c>
      <c r="O660" s="59">
        <v>240</v>
      </c>
      <c r="P660" s="59">
        <v>40</v>
      </c>
      <c r="Q660" s="59">
        <f t="shared" si="108"/>
        <v>315</v>
      </c>
      <c r="R660" s="59">
        <f t="shared" si="109"/>
        <v>100</v>
      </c>
      <c r="S660" s="56">
        <f t="shared" si="110"/>
        <v>695</v>
      </c>
      <c r="T660" s="56">
        <f>50</f>
        <v>50</v>
      </c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</row>
    <row r="661" spans="1:30" ht="15.75" x14ac:dyDescent="0.25">
      <c r="A661" s="13">
        <v>61422</v>
      </c>
      <c r="B661" s="67">
        <f t="shared" si="106"/>
        <v>29</v>
      </c>
      <c r="C661" s="56">
        <f>122.58</f>
        <v>122.58</v>
      </c>
      <c r="D661" s="56">
        <f>297.941</f>
        <v>297.94099999999997</v>
      </c>
      <c r="E661" s="64">
        <f>89.177</f>
        <v>89.177000000000007</v>
      </c>
      <c r="F661" s="56">
        <f>240.302-40-60-100</f>
        <v>40.301999999999992</v>
      </c>
      <c r="G661" s="59">
        <v>40</v>
      </c>
      <c r="H661" s="56">
        <f>60+100</f>
        <v>160</v>
      </c>
      <c r="I661" s="56">
        <f t="shared" si="102"/>
        <v>0</v>
      </c>
      <c r="J661" s="59">
        <v>100</v>
      </c>
      <c r="K661" s="59">
        <v>300</v>
      </c>
      <c r="L661" s="56">
        <f t="shared" si="107"/>
        <v>1150</v>
      </c>
      <c r="M661" s="66">
        <v>600</v>
      </c>
      <c r="N661" s="56">
        <f>100</f>
        <v>100</v>
      </c>
      <c r="O661" s="59">
        <v>240</v>
      </c>
      <c r="P661" s="59">
        <v>40</v>
      </c>
      <c r="Q661" s="59">
        <f t="shared" si="108"/>
        <v>315</v>
      </c>
      <c r="R661" s="59">
        <f t="shared" si="109"/>
        <v>100</v>
      </c>
      <c r="S661" s="56">
        <f t="shared" si="110"/>
        <v>695</v>
      </c>
      <c r="T661" s="56">
        <f>50</f>
        <v>50</v>
      </c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</row>
    <row r="662" spans="1:30" ht="15.75" x14ac:dyDescent="0.25">
      <c r="A662" s="13">
        <v>61453</v>
      </c>
      <c r="B662" s="67">
        <f t="shared" si="106"/>
        <v>31</v>
      </c>
      <c r="C662" s="56">
        <f>122.58</f>
        <v>122.58</v>
      </c>
      <c r="D662" s="56">
        <f>297.941</f>
        <v>297.94099999999997</v>
      </c>
      <c r="E662" s="64">
        <f>89.177</f>
        <v>89.177000000000007</v>
      </c>
      <c r="F662" s="56">
        <f>240.302-40-60-100</f>
        <v>40.301999999999992</v>
      </c>
      <c r="G662" s="59">
        <v>40</v>
      </c>
      <c r="H662" s="56">
        <f>60+100</f>
        <v>160</v>
      </c>
      <c r="I662" s="56">
        <f t="shared" si="102"/>
        <v>0</v>
      </c>
      <c r="J662" s="59">
        <v>100</v>
      </c>
      <c r="K662" s="59">
        <v>300</v>
      </c>
      <c r="L662" s="56">
        <f t="shared" si="107"/>
        <v>1150</v>
      </c>
      <c r="M662" s="66">
        <v>600</v>
      </c>
      <c r="N662" s="56">
        <f>100</f>
        <v>100</v>
      </c>
      <c r="O662" s="59">
        <v>240</v>
      </c>
      <c r="P662" s="59">
        <v>40</v>
      </c>
      <c r="Q662" s="59">
        <f t="shared" si="108"/>
        <v>315</v>
      </c>
      <c r="R662" s="59">
        <f t="shared" si="109"/>
        <v>100</v>
      </c>
      <c r="S662" s="56">
        <f t="shared" si="110"/>
        <v>695</v>
      </c>
      <c r="T662" s="56">
        <f>50</f>
        <v>50</v>
      </c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</row>
    <row r="663" spans="1:30" ht="15.75" x14ac:dyDescent="0.25">
      <c r="A663" s="13">
        <v>61483</v>
      </c>
      <c r="B663" s="67">
        <f t="shared" si="106"/>
        <v>30</v>
      </c>
      <c r="C663" s="56">
        <f>141.293</f>
        <v>141.29300000000001</v>
      </c>
      <c r="D663" s="56">
        <f>267.993</f>
        <v>267.99299999999999</v>
      </c>
      <c r="E663" s="64">
        <f>115.016</f>
        <v>115.01600000000001</v>
      </c>
      <c r="F663" s="56">
        <f>314.698-40-25-60-100</f>
        <v>89.697999999999979</v>
      </c>
      <c r="G663" s="59">
        <v>40</v>
      </c>
      <c r="H663" s="56">
        <f t="shared" ref="H663:H669" si="111">25+60+100</f>
        <v>185</v>
      </c>
      <c r="I663" s="56">
        <f t="shared" si="102"/>
        <v>0</v>
      </c>
      <c r="J663" s="59">
        <v>100</v>
      </c>
      <c r="K663" s="59">
        <v>300</v>
      </c>
      <c r="L663" s="56">
        <f t="shared" si="107"/>
        <v>1239</v>
      </c>
      <c r="M663" s="66">
        <v>600</v>
      </c>
      <c r="N663" s="56">
        <f>100</f>
        <v>100</v>
      </c>
      <c r="O663" s="59">
        <v>240</v>
      </c>
      <c r="P663" s="59">
        <v>40</v>
      </c>
      <c r="Q663" s="59">
        <f t="shared" si="108"/>
        <v>315</v>
      </c>
      <c r="R663" s="59">
        <f t="shared" si="109"/>
        <v>100</v>
      </c>
      <c r="S663" s="56">
        <f t="shared" si="110"/>
        <v>695</v>
      </c>
      <c r="T663" s="56">
        <f>50</f>
        <v>50</v>
      </c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</row>
    <row r="664" spans="1:30" ht="15.75" x14ac:dyDescent="0.25">
      <c r="A664" s="13">
        <v>61514</v>
      </c>
      <c r="B664" s="67">
        <f t="shared" si="106"/>
        <v>31</v>
      </c>
      <c r="C664" s="56">
        <f>194.205</f>
        <v>194.20500000000001</v>
      </c>
      <c r="D664" s="56">
        <f>267.466</f>
        <v>267.46600000000001</v>
      </c>
      <c r="E664" s="64">
        <f>133.845</f>
        <v>133.845</v>
      </c>
      <c r="F664" s="56">
        <f>278.484-40-25-60-100</f>
        <v>53.48399999999998</v>
      </c>
      <c r="G664" s="59">
        <v>40</v>
      </c>
      <c r="H664" s="56">
        <f t="shared" si="111"/>
        <v>185</v>
      </c>
      <c r="I664" s="56">
        <f t="shared" si="102"/>
        <v>0</v>
      </c>
      <c r="J664" s="59">
        <v>100</v>
      </c>
      <c r="K664" s="59">
        <v>300</v>
      </c>
      <c r="L664" s="56">
        <f t="shared" si="107"/>
        <v>1274</v>
      </c>
      <c r="M664" s="66">
        <v>600</v>
      </c>
      <c r="N664" s="56">
        <f>75</f>
        <v>75</v>
      </c>
      <c r="O664" s="59">
        <v>240</v>
      </c>
      <c r="P664" s="59">
        <v>40</v>
      </c>
      <c r="Q664" s="59">
        <f t="shared" si="108"/>
        <v>315</v>
      </c>
      <c r="R664" s="59">
        <f t="shared" si="109"/>
        <v>100</v>
      </c>
      <c r="S664" s="56">
        <f t="shared" si="110"/>
        <v>695</v>
      </c>
      <c r="T664" s="56">
        <f>50</f>
        <v>50</v>
      </c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</row>
    <row r="665" spans="1:30" ht="15.75" x14ac:dyDescent="0.25">
      <c r="A665" s="13">
        <v>61544</v>
      </c>
      <c r="B665" s="67">
        <f t="shared" si="106"/>
        <v>30</v>
      </c>
      <c r="C665" s="56">
        <f>194.205</f>
        <v>194.20500000000001</v>
      </c>
      <c r="D665" s="56">
        <f>267.466</f>
        <v>267.46600000000001</v>
      </c>
      <c r="E665" s="64">
        <f>133.845</f>
        <v>133.845</v>
      </c>
      <c r="F665" s="56">
        <f>278.484-40-25-60-100</f>
        <v>53.48399999999998</v>
      </c>
      <c r="G665" s="59">
        <v>40</v>
      </c>
      <c r="H665" s="56">
        <f t="shared" si="111"/>
        <v>185</v>
      </c>
      <c r="I665" s="56">
        <f t="shared" si="102"/>
        <v>0</v>
      </c>
      <c r="J665" s="59">
        <v>100</v>
      </c>
      <c r="K665" s="59">
        <v>300</v>
      </c>
      <c r="L665" s="56">
        <f t="shared" si="107"/>
        <v>1274</v>
      </c>
      <c r="M665" s="66">
        <v>600</v>
      </c>
      <c r="N665" s="56">
        <f>30</f>
        <v>30</v>
      </c>
      <c r="O665" s="59">
        <v>240</v>
      </c>
      <c r="P665" s="59">
        <v>40</v>
      </c>
      <c r="Q665" s="59">
        <f t="shared" si="108"/>
        <v>315</v>
      </c>
      <c r="R665" s="59">
        <f t="shared" si="109"/>
        <v>100</v>
      </c>
      <c r="S665" s="56">
        <f t="shared" si="110"/>
        <v>695</v>
      </c>
      <c r="T665" s="56">
        <f>50</f>
        <v>50</v>
      </c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</row>
    <row r="666" spans="1:30" ht="15.75" x14ac:dyDescent="0.25">
      <c r="A666" s="13">
        <v>61575</v>
      </c>
      <c r="B666" s="67">
        <f t="shared" si="106"/>
        <v>31</v>
      </c>
      <c r="C666" s="56">
        <f>194.205</f>
        <v>194.20500000000001</v>
      </c>
      <c r="D666" s="56">
        <f>267.466</f>
        <v>267.46600000000001</v>
      </c>
      <c r="E666" s="64">
        <f>133.845</f>
        <v>133.845</v>
      </c>
      <c r="F666" s="56">
        <f>278.484-40-25-60-100</f>
        <v>53.48399999999998</v>
      </c>
      <c r="G666" s="59">
        <v>40</v>
      </c>
      <c r="H666" s="56">
        <f t="shared" si="111"/>
        <v>185</v>
      </c>
      <c r="I666" s="56">
        <f t="shared" si="102"/>
        <v>0</v>
      </c>
      <c r="J666" s="59">
        <v>100</v>
      </c>
      <c r="K666" s="59">
        <v>300</v>
      </c>
      <c r="L666" s="56">
        <f t="shared" si="107"/>
        <v>1274</v>
      </c>
      <c r="M666" s="66">
        <v>600</v>
      </c>
      <c r="N666" s="56">
        <f>30</f>
        <v>30</v>
      </c>
      <c r="O666" s="59">
        <v>240</v>
      </c>
      <c r="P666" s="59">
        <v>40</v>
      </c>
      <c r="Q666" s="59">
        <f t="shared" si="108"/>
        <v>315</v>
      </c>
      <c r="R666" s="59">
        <f t="shared" si="109"/>
        <v>100</v>
      </c>
      <c r="S666" s="56">
        <f t="shared" si="110"/>
        <v>695</v>
      </c>
      <c r="T666" s="56">
        <f>0</f>
        <v>0</v>
      </c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</row>
    <row r="667" spans="1:30" ht="15.75" x14ac:dyDescent="0.25">
      <c r="A667" s="13">
        <v>61606</v>
      </c>
      <c r="B667" s="67">
        <f t="shared" si="106"/>
        <v>31</v>
      </c>
      <c r="C667" s="56">
        <f>194.205</f>
        <v>194.20500000000001</v>
      </c>
      <c r="D667" s="56">
        <f>267.466</f>
        <v>267.46600000000001</v>
      </c>
      <c r="E667" s="64">
        <f>133.845</f>
        <v>133.845</v>
      </c>
      <c r="F667" s="56">
        <f>278.484-40-25-60-100</f>
        <v>53.48399999999998</v>
      </c>
      <c r="G667" s="59">
        <v>40</v>
      </c>
      <c r="H667" s="56">
        <f t="shared" si="111"/>
        <v>185</v>
      </c>
      <c r="I667" s="56">
        <f t="shared" si="102"/>
        <v>0</v>
      </c>
      <c r="J667" s="59">
        <v>100</v>
      </c>
      <c r="K667" s="59">
        <v>300</v>
      </c>
      <c r="L667" s="56">
        <f t="shared" si="107"/>
        <v>1274</v>
      </c>
      <c r="M667" s="66">
        <v>600</v>
      </c>
      <c r="N667" s="56">
        <f>30</f>
        <v>30</v>
      </c>
      <c r="O667" s="59">
        <v>240</v>
      </c>
      <c r="P667" s="59">
        <v>40</v>
      </c>
      <c r="Q667" s="59">
        <f t="shared" si="108"/>
        <v>315</v>
      </c>
      <c r="R667" s="59">
        <f t="shared" si="109"/>
        <v>100</v>
      </c>
      <c r="S667" s="56">
        <f t="shared" si="110"/>
        <v>695</v>
      </c>
      <c r="T667" s="56">
        <f>0</f>
        <v>0</v>
      </c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</row>
    <row r="668" spans="1:30" ht="15.75" x14ac:dyDescent="0.25">
      <c r="A668" s="13">
        <v>61636</v>
      </c>
      <c r="B668" s="67">
        <f t="shared" si="106"/>
        <v>30</v>
      </c>
      <c r="C668" s="56">
        <f>194.205</f>
        <v>194.20500000000001</v>
      </c>
      <c r="D668" s="56">
        <f>267.466</f>
        <v>267.46600000000001</v>
      </c>
      <c r="E668" s="64">
        <f>133.845</f>
        <v>133.845</v>
      </c>
      <c r="F668" s="56">
        <f>278.484-40-25-60-100</f>
        <v>53.48399999999998</v>
      </c>
      <c r="G668" s="59">
        <v>40</v>
      </c>
      <c r="H668" s="56">
        <f t="shared" si="111"/>
        <v>185</v>
      </c>
      <c r="I668" s="56">
        <f t="shared" si="102"/>
        <v>0</v>
      </c>
      <c r="J668" s="59">
        <v>100</v>
      </c>
      <c r="K668" s="59">
        <v>300</v>
      </c>
      <c r="L668" s="56">
        <f t="shared" si="107"/>
        <v>1274</v>
      </c>
      <c r="M668" s="66">
        <v>600</v>
      </c>
      <c r="N668" s="56">
        <f>30</f>
        <v>30</v>
      </c>
      <c r="O668" s="59">
        <v>240</v>
      </c>
      <c r="P668" s="59">
        <v>40</v>
      </c>
      <c r="Q668" s="59">
        <f t="shared" si="108"/>
        <v>315</v>
      </c>
      <c r="R668" s="59">
        <f t="shared" si="109"/>
        <v>100</v>
      </c>
      <c r="S668" s="56">
        <f t="shared" si="110"/>
        <v>695</v>
      </c>
      <c r="T668" s="56">
        <f>0</f>
        <v>0</v>
      </c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</row>
    <row r="669" spans="1:30" ht="15.75" x14ac:dyDescent="0.25">
      <c r="A669" s="13">
        <v>61667</v>
      </c>
      <c r="B669" s="67">
        <f t="shared" si="106"/>
        <v>31</v>
      </c>
      <c r="C669" s="56">
        <f>131.881</f>
        <v>131.881</v>
      </c>
      <c r="D669" s="56">
        <f>277.167</f>
        <v>277.16699999999997</v>
      </c>
      <c r="E669" s="64">
        <f>79.08</f>
        <v>79.08</v>
      </c>
      <c r="F669" s="56">
        <f>350.872-40-25-60-100</f>
        <v>125.87200000000001</v>
      </c>
      <c r="G669" s="59">
        <v>40</v>
      </c>
      <c r="H669" s="56">
        <f t="shared" si="111"/>
        <v>185</v>
      </c>
      <c r="I669" s="56">
        <f t="shared" si="102"/>
        <v>0</v>
      </c>
      <c r="J669" s="59">
        <v>100</v>
      </c>
      <c r="K669" s="59">
        <v>300</v>
      </c>
      <c r="L669" s="56">
        <f t="shared" si="107"/>
        <v>1239</v>
      </c>
      <c r="M669" s="66">
        <v>600</v>
      </c>
      <c r="N669" s="56">
        <f>75</f>
        <v>75</v>
      </c>
      <c r="O669" s="59">
        <v>240</v>
      </c>
      <c r="P669" s="59">
        <v>40</v>
      </c>
      <c r="Q669" s="59">
        <f t="shared" si="108"/>
        <v>315</v>
      </c>
      <c r="R669" s="59">
        <f t="shared" si="109"/>
        <v>100</v>
      </c>
      <c r="S669" s="56">
        <f t="shared" si="110"/>
        <v>695</v>
      </c>
      <c r="T669" s="56">
        <f>0</f>
        <v>0</v>
      </c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</row>
    <row r="670" spans="1:30" ht="15.75" x14ac:dyDescent="0.25">
      <c r="A670" s="13">
        <v>61697</v>
      </c>
      <c r="B670" s="67">
        <f t="shared" si="106"/>
        <v>30</v>
      </c>
      <c r="C670" s="56">
        <f>122.58</f>
        <v>122.58</v>
      </c>
      <c r="D670" s="56">
        <f>297.941</f>
        <v>297.94099999999997</v>
      </c>
      <c r="E670" s="64">
        <f>89.177</f>
        <v>89.177000000000007</v>
      </c>
      <c r="F670" s="56">
        <f>240.302-40-60-100</f>
        <v>40.301999999999992</v>
      </c>
      <c r="G670" s="59">
        <v>40</v>
      </c>
      <c r="H670" s="56">
        <f>60+100</f>
        <v>160</v>
      </c>
      <c r="I670" s="56">
        <f t="shared" si="102"/>
        <v>0</v>
      </c>
      <c r="J670" s="59">
        <v>100</v>
      </c>
      <c r="K670" s="59">
        <v>300</v>
      </c>
      <c r="L670" s="56">
        <f t="shared" si="107"/>
        <v>1150</v>
      </c>
      <c r="M670" s="66">
        <v>600</v>
      </c>
      <c r="N670" s="56">
        <f>100</f>
        <v>100</v>
      </c>
      <c r="O670" s="59">
        <v>240</v>
      </c>
      <c r="P670" s="59">
        <v>40</v>
      </c>
      <c r="Q670" s="59">
        <f t="shared" si="108"/>
        <v>315</v>
      </c>
      <c r="R670" s="59">
        <f t="shared" si="109"/>
        <v>100</v>
      </c>
      <c r="S670" s="56">
        <f t="shared" si="110"/>
        <v>695</v>
      </c>
      <c r="T670" s="56">
        <f>50</f>
        <v>50</v>
      </c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</row>
    <row r="671" spans="1:30" ht="15.75" x14ac:dyDescent="0.25">
      <c r="A671" s="13">
        <v>61728</v>
      </c>
      <c r="B671" s="67">
        <f t="shared" si="106"/>
        <v>31</v>
      </c>
      <c r="C671" s="56">
        <f>122.58</f>
        <v>122.58</v>
      </c>
      <c r="D671" s="56">
        <f>297.941</f>
        <v>297.94099999999997</v>
      </c>
      <c r="E671" s="64">
        <f>89.177</f>
        <v>89.177000000000007</v>
      </c>
      <c r="F671" s="56">
        <f>240.302-40-60-100</f>
        <v>40.301999999999992</v>
      </c>
      <c r="G671" s="59">
        <v>40</v>
      </c>
      <c r="H671" s="56">
        <f>60+100</f>
        <v>160</v>
      </c>
      <c r="I671" s="56">
        <f t="shared" si="102"/>
        <v>0</v>
      </c>
      <c r="J671" s="59">
        <v>100</v>
      </c>
      <c r="K671" s="59">
        <v>300</v>
      </c>
      <c r="L671" s="56">
        <f t="shared" si="107"/>
        <v>1150</v>
      </c>
      <c r="M671" s="66">
        <v>600</v>
      </c>
      <c r="N671" s="56">
        <f>100</f>
        <v>100</v>
      </c>
      <c r="O671" s="59">
        <v>240</v>
      </c>
      <c r="P671" s="59">
        <v>40</v>
      </c>
      <c r="Q671" s="59">
        <f t="shared" si="108"/>
        <v>315</v>
      </c>
      <c r="R671" s="59">
        <f t="shared" si="109"/>
        <v>100</v>
      </c>
      <c r="S671" s="56">
        <f t="shared" si="110"/>
        <v>695</v>
      </c>
      <c r="T671" s="56">
        <f>50</f>
        <v>50</v>
      </c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</row>
    <row r="672" spans="1:30" ht="15.75" x14ac:dyDescent="0.25">
      <c r="A672" s="13">
        <v>61759</v>
      </c>
      <c r="B672" s="67">
        <f t="shared" si="106"/>
        <v>31</v>
      </c>
      <c r="C672" s="56">
        <f>122.58</f>
        <v>122.58</v>
      </c>
      <c r="D672" s="56">
        <f>297.941</f>
        <v>297.94099999999997</v>
      </c>
      <c r="E672" s="64">
        <f>89.177</f>
        <v>89.177000000000007</v>
      </c>
      <c r="F672" s="56">
        <f>240.302-40-60-100</f>
        <v>40.301999999999992</v>
      </c>
      <c r="G672" s="59">
        <v>40</v>
      </c>
      <c r="H672" s="56">
        <f>60+100</f>
        <v>160</v>
      </c>
      <c r="I672" s="56">
        <f t="shared" si="102"/>
        <v>0</v>
      </c>
      <c r="J672" s="59">
        <v>100</v>
      </c>
      <c r="K672" s="59">
        <v>300</v>
      </c>
      <c r="L672" s="56">
        <f t="shared" si="107"/>
        <v>1150</v>
      </c>
      <c r="M672" s="66">
        <v>600</v>
      </c>
      <c r="N672" s="56">
        <f>100</f>
        <v>100</v>
      </c>
      <c r="O672" s="59">
        <v>240</v>
      </c>
      <c r="P672" s="59">
        <v>40</v>
      </c>
      <c r="Q672" s="59">
        <f t="shared" si="108"/>
        <v>315</v>
      </c>
      <c r="R672" s="59">
        <f t="shared" si="109"/>
        <v>100</v>
      </c>
      <c r="S672" s="56">
        <f t="shared" si="110"/>
        <v>695</v>
      </c>
      <c r="T672" s="56">
        <f>50</f>
        <v>50</v>
      </c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</row>
    <row r="673" spans="1:30" ht="15.75" x14ac:dyDescent="0.25">
      <c r="A673" s="13">
        <v>61787</v>
      </c>
      <c r="B673" s="67">
        <f t="shared" si="106"/>
        <v>28</v>
      </c>
      <c r="C673" s="56">
        <f>122.58</f>
        <v>122.58</v>
      </c>
      <c r="D673" s="56">
        <f>297.941</f>
        <v>297.94099999999997</v>
      </c>
      <c r="E673" s="64">
        <f>89.177</f>
        <v>89.177000000000007</v>
      </c>
      <c r="F673" s="56">
        <f>240.302-40-60-100</f>
        <v>40.301999999999992</v>
      </c>
      <c r="G673" s="59">
        <v>40</v>
      </c>
      <c r="H673" s="56">
        <f>60+100</f>
        <v>160</v>
      </c>
      <c r="I673" s="56">
        <f t="shared" si="102"/>
        <v>0</v>
      </c>
      <c r="J673" s="59">
        <v>100</v>
      </c>
      <c r="K673" s="59">
        <v>300</v>
      </c>
      <c r="L673" s="56">
        <f t="shared" si="107"/>
        <v>1150</v>
      </c>
      <c r="M673" s="66">
        <v>600</v>
      </c>
      <c r="N673" s="56">
        <f>100</f>
        <v>100</v>
      </c>
      <c r="O673" s="59">
        <v>240</v>
      </c>
      <c r="P673" s="59">
        <v>40</v>
      </c>
      <c r="Q673" s="59">
        <f t="shared" si="108"/>
        <v>315</v>
      </c>
      <c r="R673" s="59">
        <f t="shared" si="109"/>
        <v>100</v>
      </c>
      <c r="S673" s="56">
        <f t="shared" si="110"/>
        <v>695</v>
      </c>
      <c r="T673" s="56">
        <f>50</f>
        <v>50</v>
      </c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</row>
    <row r="674" spans="1:30" ht="15.75" x14ac:dyDescent="0.25">
      <c r="A674" s="13">
        <v>61818</v>
      </c>
      <c r="B674" s="67">
        <f t="shared" si="106"/>
        <v>31</v>
      </c>
      <c r="C674" s="56">
        <f>122.58</f>
        <v>122.58</v>
      </c>
      <c r="D674" s="56">
        <f>297.941</f>
        <v>297.94099999999997</v>
      </c>
      <c r="E674" s="64">
        <f>89.177</f>
        <v>89.177000000000007</v>
      </c>
      <c r="F674" s="56">
        <f>240.302-40-60-100</f>
        <v>40.301999999999992</v>
      </c>
      <c r="G674" s="59">
        <v>40</v>
      </c>
      <c r="H674" s="56">
        <f>60+100</f>
        <v>160</v>
      </c>
      <c r="I674" s="56">
        <f t="shared" si="102"/>
        <v>0</v>
      </c>
      <c r="J674" s="59">
        <v>100</v>
      </c>
      <c r="K674" s="59">
        <v>300</v>
      </c>
      <c r="L674" s="56">
        <f t="shared" si="107"/>
        <v>1150</v>
      </c>
      <c r="M674" s="66">
        <v>600</v>
      </c>
      <c r="N674" s="56">
        <f>100</f>
        <v>100</v>
      </c>
      <c r="O674" s="59">
        <v>240</v>
      </c>
      <c r="P674" s="59">
        <v>40</v>
      </c>
      <c r="Q674" s="59">
        <f t="shared" si="108"/>
        <v>315</v>
      </c>
      <c r="R674" s="59">
        <f t="shared" si="109"/>
        <v>100</v>
      </c>
      <c r="S674" s="56">
        <f t="shared" si="110"/>
        <v>695</v>
      </c>
      <c r="T674" s="56">
        <f>50</f>
        <v>50</v>
      </c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</row>
    <row r="675" spans="1:30" ht="15.75" x14ac:dyDescent="0.25">
      <c r="A675" s="13">
        <v>61848</v>
      </c>
      <c r="B675" s="67">
        <f t="shared" si="106"/>
        <v>30</v>
      </c>
      <c r="C675" s="56">
        <f>141.293</f>
        <v>141.29300000000001</v>
      </c>
      <c r="D675" s="56">
        <f>267.993</f>
        <v>267.99299999999999</v>
      </c>
      <c r="E675" s="64">
        <f>115.016</f>
        <v>115.01600000000001</v>
      </c>
      <c r="F675" s="56">
        <f>314.698-40-25-60-100</f>
        <v>89.697999999999979</v>
      </c>
      <c r="G675" s="59">
        <v>40</v>
      </c>
      <c r="H675" s="56">
        <f t="shared" ref="H675:H681" si="112">25+60+100</f>
        <v>185</v>
      </c>
      <c r="I675" s="56">
        <f t="shared" si="102"/>
        <v>0</v>
      </c>
      <c r="J675" s="59">
        <v>100</v>
      </c>
      <c r="K675" s="59">
        <v>300</v>
      </c>
      <c r="L675" s="56">
        <f t="shared" si="107"/>
        <v>1239</v>
      </c>
      <c r="M675" s="66">
        <v>600</v>
      </c>
      <c r="N675" s="56">
        <f>100</f>
        <v>100</v>
      </c>
      <c r="O675" s="59">
        <v>240</v>
      </c>
      <c r="P675" s="59">
        <v>40</v>
      </c>
      <c r="Q675" s="59">
        <f t="shared" si="108"/>
        <v>315</v>
      </c>
      <c r="R675" s="59">
        <f t="shared" si="109"/>
        <v>100</v>
      </c>
      <c r="S675" s="56">
        <f t="shared" si="110"/>
        <v>695</v>
      </c>
      <c r="T675" s="56">
        <f>50</f>
        <v>50</v>
      </c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</row>
    <row r="676" spans="1:30" ht="15.75" x14ac:dyDescent="0.25">
      <c r="A676" s="13">
        <v>61879</v>
      </c>
      <c r="B676" s="67">
        <f t="shared" si="106"/>
        <v>31</v>
      </c>
      <c r="C676" s="56">
        <f>194.205</f>
        <v>194.20500000000001</v>
      </c>
      <c r="D676" s="56">
        <f>267.466</f>
        <v>267.46600000000001</v>
      </c>
      <c r="E676" s="64">
        <f>133.845</f>
        <v>133.845</v>
      </c>
      <c r="F676" s="56">
        <f>278.484-40-25-60-100</f>
        <v>53.48399999999998</v>
      </c>
      <c r="G676" s="59">
        <v>40</v>
      </c>
      <c r="H676" s="56">
        <f t="shared" si="112"/>
        <v>185</v>
      </c>
      <c r="I676" s="56">
        <f t="shared" si="102"/>
        <v>0</v>
      </c>
      <c r="J676" s="59">
        <v>100</v>
      </c>
      <c r="K676" s="59">
        <v>300</v>
      </c>
      <c r="L676" s="56">
        <f t="shared" si="107"/>
        <v>1274</v>
      </c>
      <c r="M676" s="66">
        <v>600</v>
      </c>
      <c r="N676" s="56">
        <f>75</f>
        <v>75</v>
      </c>
      <c r="O676" s="59">
        <v>240</v>
      </c>
      <c r="P676" s="59">
        <v>40</v>
      </c>
      <c r="Q676" s="59">
        <f t="shared" si="108"/>
        <v>315</v>
      </c>
      <c r="R676" s="59">
        <f t="shared" si="109"/>
        <v>100</v>
      </c>
      <c r="S676" s="56">
        <f t="shared" si="110"/>
        <v>695</v>
      </c>
      <c r="T676" s="56">
        <f>50</f>
        <v>50</v>
      </c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</row>
    <row r="677" spans="1:30" ht="15.75" x14ac:dyDescent="0.25">
      <c r="A677" s="13">
        <v>61909</v>
      </c>
      <c r="B677" s="67">
        <f t="shared" si="106"/>
        <v>30</v>
      </c>
      <c r="C677" s="56">
        <f>194.205</f>
        <v>194.20500000000001</v>
      </c>
      <c r="D677" s="56">
        <f>267.466</f>
        <v>267.46600000000001</v>
      </c>
      <c r="E677" s="64">
        <f>133.845</f>
        <v>133.845</v>
      </c>
      <c r="F677" s="56">
        <f>278.484-40-25-60-100</f>
        <v>53.48399999999998</v>
      </c>
      <c r="G677" s="59">
        <v>40</v>
      </c>
      <c r="H677" s="56">
        <f t="shared" si="112"/>
        <v>185</v>
      </c>
      <c r="I677" s="56">
        <f t="shared" si="102"/>
        <v>0</v>
      </c>
      <c r="J677" s="59">
        <v>100</v>
      </c>
      <c r="K677" s="59">
        <v>300</v>
      </c>
      <c r="L677" s="56">
        <f t="shared" si="107"/>
        <v>1274</v>
      </c>
      <c r="M677" s="66">
        <v>600</v>
      </c>
      <c r="N677" s="56">
        <f>30</f>
        <v>30</v>
      </c>
      <c r="O677" s="59">
        <v>240</v>
      </c>
      <c r="P677" s="59">
        <v>40</v>
      </c>
      <c r="Q677" s="59">
        <f t="shared" si="108"/>
        <v>315</v>
      </c>
      <c r="R677" s="59">
        <f t="shared" si="109"/>
        <v>100</v>
      </c>
      <c r="S677" s="56">
        <f t="shared" si="110"/>
        <v>695</v>
      </c>
      <c r="T677" s="56">
        <f>50</f>
        <v>50</v>
      </c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</row>
    <row r="678" spans="1:30" ht="15.75" x14ac:dyDescent="0.25">
      <c r="A678" s="13">
        <v>61940</v>
      </c>
      <c r="B678" s="67">
        <f t="shared" si="106"/>
        <v>31</v>
      </c>
      <c r="C678" s="56">
        <f>194.205</f>
        <v>194.20500000000001</v>
      </c>
      <c r="D678" s="56">
        <f>267.466</f>
        <v>267.46600000000001</v>
      </c>
      <c r="E678" s="64">
        <f>133.845</f>
        <v>133.845</v>
      </c>
      <c r="F678" s="56">
        <f>278.484-40-25-60-100</f>
        <v>53.48399999999998</v>
      </c>
      <c r="G678" s="59">
        <v>40</v>
      </c>
      <c r="H678" s="56">
        <f t="shared" si="112"/>
        <v>185</v>
      </c>
      <c r="I678" s="56">
        <f t="shared" si="102"/>
        <v>0</v>
      </c>
      <c r="J678" s="59">
        <v>100</v>
      </c>
      <c r="K678" s="59">
        <v>300</v>
      </c>
      <c r="L678" s="56">
        <f t="shared" si="107"/>
        <v>1274</v>
      </c>
      <c r="M678" s="66">
        <v>600</v>
      </c>
      <c r="N678" s="56">
        <f>30</f>
        <v>30</v>
      </c>
      <c r="O678" s="59">
        <v>240</v>
      </c>
      <c r="P678" s="59">
        <v>40</v>
      </c>
      <c r="Q678" s="59">
        <f t="shared" si="108"/>
        <v>315</v>
      </c>
      <c r="R678" s="59">
        <f t="shared" si="109"/>
        <v>100</v>
      </c>
      <c r="S678" s="56">
        <f t="shared" si="110"/>
        <v>695</v>
      </c>
      <c r="T678" s="56">
        <f>0</f>
        <v>0</v>
      </c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</row>
    <row r="679" spans="1:30" ht="15.75" x14ac:dyDescent="0.25">
      <c r="A679" s="13">
        <v>61971</v>
      </c>
      <c r="B679" s="67">
        <f t="shared" si="106"/>
        <v>31</v>
      </c>
      <c r="C679" s="56">
        <f>194.205</f>
        <v>194.20500000000001</v>
      </c>
      <c r="D679" s="56">
        <f>267.466</f>
        <v>267.46600000000001</v>
      </c>
      <c r="E679" s="64">
        <f>133.845</f>
        <v>133.845</v>
      </c>
      <c r="F679" s="56">
        <f>278.484-40-25-60-100</f>
        <v>53.48399999999998</v>
      </c>
      <c r="G679" s="59">
        <v>40</v>
      </c>
      <c r="H679" s="56">
        <f t="shared" si="112"/>
        <v>185</v>
      </c>
      <c r="I679" s="56">
        <f t="shared" si="102"/>
        <v>0</v>
      </c>
      <c r="J679" s="59">
        <v>100</v>
      </c>
      <c r="K679" s="59">
        <v>300</v>
      </c>
      <c r="L679" s="56">
        <f t="shared" si="107"/>
        <v>1274</v>
      </c>
      <c r="M679" s="66">
        <v>600</v>
      </c>
      <c r="N679" s="56">
        <f>30</f>
        <v>30</v>
      </c>
      <c r="O679" s="59">
        <v>240</v>
      </c>
      <c r="P679" s="59">
        <v>40</v>
      </c>
      <c r="Q679" s="59">
        <f t="shared" si="108"/>
        <v>315</v>
      </c>
      <c r="R679" s="59">
        <f t="shared" si="109"/>
        <v>100</v>
      </c>
      <c r="S679" s="56">
        <f t="shared" si="110"/>
        <v>695</v>
      </c>
      <c r="T679" s="56">
        <f>0</f>
        <v>0</v>
      </c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</row>
    <row r="680" spans="1:30" ht="15.75" x14ac:dyDescent="0.25">
      <c r="A680" s="13">
        <v>62001</v>
      </c>
      <c r="B680" s="67">
        <f t="shared" si="106"/>
        <v>30</v>
      </c>
      <c r="C680" s="56">
        <f>194.205</f>
        <v>194.20500000000001</v>
      </c>
      <c r="D680" s="56">
        <f>267.466</f>
        <v>267.46600000000001</v>
      </c>
      <c r="E680" s="64">
        <f>133.845</f>
        <v>133.845</v>
      </c>
      <c r="F680" s="56">
        <f>278.484-40-25-60-100</f>
        <v>53.48399999999998</v>
      </c>
      <c r="G680" s="59">
        <v>40</v>
      </c>
      <c r="H680" s="56">
        <f t="shared" si="112"/>
        <v>185</v>
      </c>
      <c r="I680" s="56">
        <f t="shared" ref="I680:I743" si="113">400-J680-K680</f>
        <v>0</v>
      </c>
      <c r="J680" s="59">
        <v>100</v>
      </c>
      <c r="K680" s="59">
        <v>300</v>
      </c>
      <c r="L680" s="56">
        <f t="shared" si="107"/>
        <v>1274</v>
      </c>
      <c r="M680" s="66">
        <v>600</v>
      </c>
      <c r="N680" s="56">
        <f>30</f>
        <v>30</v>
      </c>
      <c r="O680" s="59">
        <v>240</v>
      </c>
      <c r="P680" s="59">
        <v>40</v>
      </c>
      <c r="Q680" s="59">
        <f t="shared" si="108"/>
        <v>315</v>
      </c>
      <c r="R680" s="59">
        <f t="shared" si="109"/>
        <v>100</v>
      </c>
      <c r="S680" s="56">
        <f t="shared" si="110"/>
        <v>695</v>
      </c>
      <c r="T680" s="56">
        <f>0</f>
        <v>0</v>
      </c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</row>
    <row r="681" spans="1:30" ht="15.75" x14ac:dyDescent="0.25">
      <c r="A681" s="13">
        <v>62032</v>
      </c>
      <c r="B681" s="67">
        <f t="shared" si="106"/>
        <v>31</v>
      </c>
      <c r="C681" s="56">
        <f>131.881</f>
        <v>131.881</v>
      </c>
      <c r="D681" s="56">
        <f>277.167</f>
        <v>277.16699999999997</v>
      </c>
      <c r="E681" s="64">
        <f>79.08</f>
        <v>79.08</v>
      </c>
      <c r="F681" s="56">
        <f>350.872-40-25-60-100</f>
        <v>125.87200000000001</v>
      </c>
      <c r="G681" s="59">
        <v>40</v>
      </c>
      <c r="H681" s="56">
        <f t="shared" si="112"/>
        <v>185</v>
      </c>
      <c r="I681" s="56">
        <f t="shared" si="113"/>
        <v>0</v>
      </c>
      <c r="J681" s="59">
        <v>100</v>
      </c>
      <c r="K681" s="59">
        <v>300</v>
      </c>
      <c r="L681" s="56">
        <f t="shared" si="107"/>
        <v>1239</v>
      </c>
      <c r="M681" s="66">
        <v>600</v>
      </c>
      <c r="N681" s="56">
        <f>75</f>
        <v>75</v>
      </c>
      <c r="O681" s="59">
        <v>240</v>
      </c>
      <c r="P681" s="59">
        <v>40</v>
      </c>
      <c r="Q681" s="59">
        <f t="shared" si="108"/>
        <v>315</v>
      </c>
      <c r="R681" s="59">
        <f t="shared" si="109"/>
        <v>100</v>
      </c>
      <c r="S681" s="56">
        <f t="shared" si="110"/>
        <v>695</v>
      </c>
      <c r="T681" s="56">
        <f>0</f>
        <v>0</v>
      </c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</row>
    <row r="682" spans="1:30" ht="15.75" x14ac:dyDescent="0.25">
      <c r="A682" s="13">
        <v>62062</v>
      </c>
      <c r="B682" s="67">
        <f t="shared" si="106"/>
        <v>30</v>
      </c>
      <c r="C682" s="56">
        <f>122.58</f>
        <v>122.58</v>
      </c>
      <c r="D682" s="56">
        <f>297.941</f>
        <v>297.94099999999997</v>
      </c>
      <c r="E682" s="64">
        <f>89.177</f>
        <v>89.177000000000007</v>
      </c>
      <c r="F682" s="56">
        <f>240.302-40-60-100</f>
        <v>40.301999999999992</v>
      </c>
      <c r="G682" s="59">
        <v>40</v>
      </c>
      <c r="H682" s="56">
        <f>60+100</f>
        <v>160</v>
      </c>
      <c r="I682" s="56">
        <f t="shared" si="113"/>
        <v>0</v>
      </c>
      <c r="J682" s="59">
        <v>100</v>
      </c>
      <c r="K682" s="59">
        <v>300</v>
      </c>
      <c r="L682" s="56">
        <f t="shared" si="107"/>
        <v>1150</v>
      </c>
      <c r="M682" s="66">
        <v>600</v>
      </c>
      <c r="N682" s="56">
        <f>100</f>
        <v>100</v>
      </c>
      <c r="O682" s="59">
        <v>240</v>
      </c>
      <c r="P682" s="59">
        <v>40</v>
      </c>
      <c r="Q682" s="59">
        <f t="shared" si="108"/>
        <v>315</v>
      </c>
      <c r="R682" s="59">
        <f t="shared" si="109"/>
        <v>100</v>
      </c>
      <c r="S682" s="56">
        <f t="shared" si="110"/>
        <v>695</v>
      </c>
      <c r="T682" s="56">
        <f>50</f>
        <v>50</v>
      </c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</row>
    <row r="683" spans="1:30" ht="15.75" x14ac:dyDescent="0.25">
      <c r="A683" s="13">
        <v>62093</v>
      </c>
      <c r="B683" s="67">
        <f t="shared" si="106"/>
        <v>31</v>
      </c>
      <c r="C683" s="56">
        <f>122.58</f>
        <v>122.58</v>
      </c>
      <c r="D683" s="56">
        <f>297.941</f>
        <v>297.94099999999997</v>
      </c>
      <c r="E683" s="64">
        <f>89.177</f>
        <v>89.177000000000007</v>
      </c>
      <c r="F683" s="56">
        <f>240.302-40-60-100</f>
        <v>40.301999999999992</v>
      </c>
      <c r="G683" s="59">
        <v>40</v>
      </c>
      <c r="H683" s="56">
        <f>60+100</f>
        <v>160</v>
      </c>
      <c r="I683" s="56">
        <f t="shared" si="113"/>
        <v>0</v>
      </c>
      <c r="J683" s="59">
        <v>100</v>
      </c>
      <c r="K683" s="59">
        <v>300</v>
      </c>
      <c r="L683" s="56">
        <f t="shared" si="107"/>
        <v>1150</v>
      </c>
      <c r="M683" s="66">
        <v>600</v>
      </c>
      <c r="N683" s="56">
        <f>100</f>
        <v>100</v>
      </c>
      <c r="O683" s="59">
        <v>240</v>
      </c>
      <c r="P683" s="59">
        <v>40</v>
      </c>
      <c r="Q683" s="59">
        <f t="shared" si="108"/>
        <v>315</v>
      </c>
      <c r="R683" s="59">
        <f t="shared" si="109"/>
        <v>100</v>
      </c>
      <c r="S683" s="56">
        <f t="shared" si="110"/>
        <v>695</v>
      </c>
      <c r="T683" s="56">
        <f>50</f>
        <v>50</v>
      </c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</row>
    <row r="684" spans="1:30" ht="15.75" x14ac:dyDescent="0.25">
      <c r="A684" s="13">
        <v>62124</v>
      </c>
      <c r="B684" s="67">
        <f t="shared" si="106"/>
        <v>31</v>
      </c>
      <c r="C684" s="56">
        <f>122.58</f>
        <v>122.58</v>
      </c>
      <c r="D684" s="56">
        <f>297.941</f>
        <v>297.94099999999997</v>
      </c>
      <c r="E684" s="64">
        <f>89.177</f>
        <v>89.177000000000007</v>
      </c>
      <c r="F684" s="56">
        <f>240.302-40-60-100</f>
        <v>40.301999999999992</v>
      </c>
      <c r="G684" s="59">
        <v>40</v>
      </c>
      <c r="H684" s="56">
        <f>60+100</f>
        <v>160</v>
      </c>
      <c r="I684" s="56">
        <f t="shared" si="113"/>
        <v>0</v>
      </c>
      <c r="J684" s="59">
        <v>100</v>
      </c>
      <c r="K684" s="59">
        <v>300</v>
      </c>
      <c r="L684" s="56">
        <f t="shared" si="107"/>
        <v>1150</v>
      </c>
      <c r="M684" s="66">
        <v>600</v>
      </c>
      <c r="N684" s="56">
        <f>100</f>
        <v>100</v>
      </c>
      <c r="O684" s="59">
        <v>240</v>
      </c>
      <c r="P684" s="59">
        <v>40</v>
      </c>
      <c r="Q684" s="59">
        <f t="shared" si="108"/>
        <v>315</v>
      </c>
      <c r="R684" s="59">
        <f t="shared" si="109"/>
        <v>100</v>
      </c>
      <c r="S684" s="56">
        <f t="shared" si="110"/>
        <v>695</v>
      </c>
      <c r="T684" s="56">
        <f>50</f>
        <v>50</v>
      </c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</row>
    <row r="685" spans="1:30" ht="15.75" x14ac:dyDescent="0.25">
      <c r="A685" s="13">
        <v>62152</v>
      </c>
      <c r="B685" s="67">
        <f t="shared" si="106"/>
        <v>28</v>
      </c>
      <c r="C685" s="56">
        <f>122.58</f>
        <v>122.58</v>
      </c>
      <c r="D685" s="56">
        <f>297.941</f>
        <v>297.94099999999997</v>
      </c>
      <c r="E685" s="64">
        <f>89.177</f>
        <v>89.177000000000007</v>
      </c>
      <c r="F685" s="56">
        <f>240.302-40-60-100</f>
        <v>40.301999999999992</v>
      </c>
      <c r="G685" s="59">
        <v>40</v>
      </c>
      <c r="H685" s="56">
        <f>60+100</f>
        <v>160</v>
      </c>
      <c r="I685" s="56">
        <f t="shared" si="113"/>
        <v>0</v>
      </c>
      <c r="J685" s="59">
        <v>100</v>
      </c>
      <c r="K685" s="59">
        <v>300</v>
      </c>
      <c r="L685" s="56">
        <f t="shared" si="107"/>
        <v>1150</v>
      </c>
      <c r="M685" s="66">
        <v>600</v>
      </c>
      <c r="N685" s="56">
        <f>100</f>
        <v>100</v>
      </c>
      <c r="O685" s="59">
        <v>240</v>
      </c>
      <c r="P685" s="59">
        <v>40</v>
      </c>
      <c r="Q685" s="59">
        <f t="shared" si="108"/>
        <v>315</v>
      </c>
      <c r="R685" s="59">
        <f t="shared" si="109"/>
        <v>100</v>
      </c>
      <c r="S685" s="56">
        <f t="shared" si="110"/>
        <v>695</v>
      </c>
      <c r="T685" s="56">
        <f>50</f>
        <v>50</v>
      </c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</row>
    <row r="686" spans="1:30" ht="15.75" x14ac:dyDescent="0.25">
      <c r="A686" s="13">
        <v>62183</v>
      </c>
      <c r="B686" s="67">
        <f t="shared" si="106"/>
        <v>31</v>
      </c>
      <c r="C686" s="56">
        <f>122.58</f>
        <v>122.58</v>
      </c>
      <c r="D686" s="56">
        <f>297.941</f>
        <v>297.94099999999997</v>
      </c>
      <c r="E686" s="64">
        <f>89.177</f>
        <v>89.177000000000007</v>
      </c>
      <c r="F686" s="56">
        <f>240.302-40-60-100</f>
        <v>40.301999999999992</v>
      </c>
      <c r="G686" s="59">
        <v>40</v>
      </c>
      <c r="H686" s="56">
        <f>60+100</f>
        <v>160</v>
      </c>
      <c r="I686" s="56">
        <f t="shared" si="113"/>
        <v>0</v>
      </c>
      <c r="J686" s="59">
        <v>100</v>
      </c>
      <c r="K686" s="59">
        <v>300</v>
      </c>
      <c r="L686" s="56">
        <f t="shared" si="107"/>
        <v>1150</v>
      </c>
      <c r="M686" s="66">
        <v>600</v>
      </c>
      <c r="N686" s="56">
        <f>100</f>
        <v>100</v>
      </c>
      <c r="O686" s="59">
        <v>240</v>
      </c>
      <c r="P686" s="59">
        <v>40</v>
      </c>
      <c r="Q686" s="59">
        <f t="shared" si="108"/>
        <v>315</v>
      </c>
      <c r="R686" s="59">
        <f t="shared" si="109"/>
        <v>100</v>
      </c>
      <c r="S686" s="56">
        <f t="shared" si="110"/>
        <v>695</v>
      </c>
      <c r="T686" s="56">
        <f>50</f>
        <v>50</v>
      </c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</row>
    <row r="687" spans="1:30" ht="15.75" x14ac:dyDescent="0.25">
      <c r="A687" s="13">
        <v>62213</v>
      </c>
      <c r="B687" s="67">
        <f t="shared" si="106"/>
        <v>30</v>
      </c>
      <c r="C687" s="56">
        <f>141.293</f>
        <v>141.29300000000001</v>
      </c>
      <c r="D687" s="56">
        <f>267.993</f>
        <v>267.99299999999999</v>
      </c>
      <c r="E687" s="64">
        <f>115.016</f>
        <v>115.01600000000001</v>
      </c>
      <c r="F687" s="56">
        <f>314.698-40-25-60-100</f>
        <v>89.697999999999979</v>
      </c>
      <c r="G687" s="59">
        <v>40</v>
      </c>
      <c r="H687" s="56">
        <f t="shared" ref="H687:H693" si="114">25+60+100</f>
        <v>185</v>
      </c>
      <c r="I687" s="56">
        <f t="shared" si="113"/>
        <v>0</v>
      </c>
      <c r="J687" s="59">
        <v>100</v>
      </c>
      <c r="K687" s="59">
        <v>300</v>
      </c>
      <c r="L687" s="56">
        <f t="shared" si="107"/>
        <v>1239</v>
      </c>
      <c r="M687" s="66">
        <v>600</v>
      </c>
      <c r="N687" s="56">
        <f>100</f>
        <v>100</v>
      </c>
      <c r="O687" s="59">
        <v>240</v>
      </c>
      <c r="P687" s="59">
        <v>40</v>
      </c>
      <c r="Q687" s="59">
        <f t="shared" si="108"/>
        <v>315</v>
      </c>
      <c r="R687" s="59">
        <f t="shared" si="109"/>
        <v>100</v>
      </c>
      <c r="S687" s="56">
        <f t="shared" si="110"/>
        <v>695</v>
      </c>
      <c r="T687" s="56">
        <f>50</f>
        <v>50</v>
      </c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</row>
    <row r="688" spans="1:30" ht="15.75" x14ac:dyDescent="0.25">
      <c r="A688" s="13">
        <v>62244</v>
      </c>
      <c r="B688" s="67">
        <f t="shared" si="106"/>
        <v>31</v>
      </c>
      <c r="C688" s="56">
        <f>194.205</f>
        <v>194.20500000000001</v>
      </c>
      <c r="D688" s="56">
        <f>267.466</f>
        <v>267.46600000000001</v>
      </c>
      <c r="E688" s="64">
        <f>133.845</f>
        <v>133.845</v>
      </c>
      <c r="F688" s="56">
        <f>278.484-40-25-60-100</f>
        <v>53.48399999999998</v>
      </c>
      <c r="G688" s="59">
        <v>40</v>
      </c>
      <c r="H688" s="56">
        <f t="shared" si="114"/>
        <v>185</v>
      </c>
      <c r="I688" s="56">
        <f t="shared" si="113"/>
        <v>0</v>
      </c>
      <c r="J688" s="59">
        <v>100</v>
      </c>
      <c r="K688" s="59">
        <v>300</v>
      </c>
      <c r="L688" s="56">
        <f t="shared" si="107"/>
        <v>1274</v>
      </c>
      <c r="M688" s="66">
        <v>600</v>
      </c>
      <c r="N688" s="56">
        <f>75</f>
        <v>75</v>
      </c>
      <c r="O688" s="59">
        <v>240</v>
      </c>
      <c r="P688" s="59">
        <v>40</v>
      </c>
      <c r="Q688" s="59">
        <f t="shared" si="108"/>
        <v>315</v>
      </c>
      <c r="R688" s="59">
        <f t="shared" si="109"/>
        <v>100</v>
      </c>
      <c r="S688" s="56">
        <f t="shared" si="110"/>
        <v>695</v>
      </c>
      <c r="T688" s="56">
        <f>50</f>
        <v>50</v>
      </c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</row>
    <row r="689" spans="1:30" ht="15.75" x14ac:dyDescent="0.25">
      <c r="A689" s="13">
        <v>62274</v>
      </c>
      <c r="B689" s="67">
        <f t="shared" si="106"/>
        <v>30</v>
      </c>
      <c r="C689" s="56">
        <f>194.205</f>
        <v>194.20500000000001</v>
      </c>
      <c r="D689" s="56">
        <f>267.466</f>
        <v>267.46600000000001</v>
      </c>
      <c r="E689" s="64">
        <f>133.845</f>
        <v>133.845</v>
      </c>
      <c r="F689" s="56">
        <f>278.484-40-25-60-100</f>
        <v>53.48399999999998</v>
      </c>
      <c r="G689" s="59">
        <v>40</v>
      </c>
      <c r="H689" s="56">
        <f t="shared" si="114"/>
        <v>185</v>
      </c>
      <c r="I689" s="56">
        <f t="shared" si="113"/>
        <v>0</v>
      </c>
      <c r="J689" s="59">
        <v>100</v>
      </c>
      <c r="K689" s="59">
        <v>300</v>
      </c>
      <c r="L689" s="56">
        <f t="shared" si="107"/>
        <v>1274</v>
      </c>
      <c r="M689" s="66">
        <v>600</v>
      </c>
      <c r="N689" s="56">
        <f>30</f>
        <v>30</v>
      </c>
      <c r="O689" s="59">
        <v>240</v>
      </c>
      <c r="P689" s="59">
        <v>40</v>
      </c>
      <c r="Q689" s="59">
        <f t="shared" si="108"/>
        <v>315</v>
      </c>
      <c r="R689" s="59">
        <f t="shared" si="109"/>
        <v>100</v>
      </c>
      <c r="S689" s="56">
        <f t="shared" si="110"/>
        <v>695</v>
      </c>
      <c r="T689" s="56">
        <f>50</f>
        <v>50</v>
      </c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</row>
    <row r="690" spans="1:30" ht="15.75" x14ac:dyDescent="0.25">
      <c r="A690" s="13">
        <v>62305</v>
      </c>
      <c r="B690" s="67">
        <f t="shared" si="106"/>
        <v>31</v>
      </c>
      <c r="C690" s="56">
        <f>194.205</f>
        <v>194.20500000000001</v>
      </c>
      <c r="D690" s="56">
        <f>267.466</f>
        <v>267.46600000000001</v>
      </c>
      <c r="E690" s="64">
        <f>133.845</f>
        <v>133.845</v>
      </c>
      <c r="F690" s="56">
        <f>278.484-40-25-60-100</f>
        <v>53.48399999999998</v>
      </c>
      <c r="G690" s="59">
        <v>40</v>
      </c>
      <c r="H690" s="56">
        <f t="shared" si="114"/>
        <v>185</v>
      </c>
      <c r="I690" s="56">
        <f t="shared" si="113"/>
        <v>0</v>
      </c>
      <c r="J690" s="59">
        <v>100</v>
      </c>
      <c r="K690" s="59">
        <v>300</v>
      </c>
      <c r="L690" s="56">
        <f t="shared" si="107"/>
        <v>1274</v>
      </c>
      <c r="M690" s="66">
        <v>600</v>
      </c>
      <c r="N690" s="56">
        <f>30</f>
        <v>30</v>
      </c>
      <c r="O690" s="59">
        <v>240</v>
      </c>
      <c r="P690" s="59">
        <v>40</v>
      </c>
      <c r="Q690" s="59">
        <f t="shared" si="108"/>
        <v>315</v>
      </c>
      <c r="R690" s="59">
        <f t="shared" si="109"/>
        <v>100</v>
      </c>
      <c r="S690" s="56">
        <f t="shared" si="110"/>
        <v>695</v>
      </c>
      <c r="T690" s="56">
        <f>0</f>
        <v>0</v>
      </c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</row>
    <row r="691" spans="1:30" ht="15.75" x14ac:dyDescent="0.25">
      <c r="A691" s="13">
        <v>62336</v>
      </c>
      <c r="B691" s="67">
        <f t="shared" si="106"/>
        <v>31</v>
      </c>
      <c r="C691" s="56">
        <f>194.205</f>
        <v>194.20500000000001</v>
      </c>
      <c r="D691" s="56">
        <f>267.466</f>
        <v>267.46600000000001</v>
      </c>
      <c r="E691" s="64">
        <f>133.845</f>
        <v>133.845</v>
      </c>
      <c r="F691" s="56">
        <f>278.484-40-25-60-100</f>
        <v>53.48399999999998</v>
      </c>
      <c r="G691" s="59">
        <v>40</v>
      </c>
      <c r="H691" s="56">
        <f t="shared" si="114"/>
        <v>185</v>
      </c>
      <c r="I691" s="56">
        <f t="shared" si="113"/>
        <v>0</v>
      </c>
      <c r="J691" s="59">
        <v>100</v>
      </c>
      <c r="K691" s="59">
        <v>300</v>
      </c>
      <c r="L691" s="56">
        <f t="shared" si="107"/>
        <v>1274</v>
      </c>
      <c r="M691" s="66">
        <v>600</v>
      </c>
      <c r="N691" s="56">
        <f>30</f>
        <v>30</v>
      </c>
      <c r="O691" s="59">
        <v>240</v>
      </c>
      <c r="P691" s="59">
        <v>40</v>
      </c>
      <c r="Q691" s="59">
        <f t="shared" si="108"/>
        <v>315</v>
      </c>
      <c r="R691" s="59">
        <f t="shared" si="109"/>
        <v>100</v>
      </c>
      <c r="S691" s="56">
        <f t="shared" si="110"/>
        <v>695</v>
      </c>
      <c r="T691" s="56">
        <f>0</f>
        <v>0</v>
      </c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</row>
    <row r="692" spans="1:30" ht="15.75" x14ac:dyDescent="0.25">
      <c r="A692" s="13">
        <v>62366</v>
      </c>
      <c r="B692" s="67">
        <f t="shared" si="106"/>
        <v>30</v>
      </c>
      <c r="C692" s="56">
        <f>194.205</f>
        <v>194.20500000000001</v>
      </c>
      <c r="D692" s="56">
        <f>267.466</f>
        <v>267.46600000000001</v>
      </c>
      <c r="E692" s="64">
        <f>133.845</f>
        <v>133.845</v>
      </c>
      <c r="F692" s="56">
        <f>278.484-40-25-60-100</f>
        <v>53.48399999999998</v>
      </c>
      <c r="G692" s="59">
        <v>40</v>
      </c>
      <c r="H692" s="56">
        <f t="shared" si="114"/>
        <v>185</v>
      </c>
      <c r="I692" s="56">
        <f t="shared" si="113"/>
        <v>0</v>
      </c>
      <c r="J692" s="59">
        <v>100</v>
      </c>
      <c r="K692" s="59">
        <v>300</v>
      </c>
      <c r="L692" s="56">
        <f t="shared" si="107"/>
        <v>1274</v>
      </c>
      <c r="M692" s="66">
        <v>600</v>
      </c>
      <c r="N692" s="56">
        <f>30</f>
        <v>30</v>
      </c>
      <c r="O692" s="59">
        <v>240</v>
      </c>
      <c r="P692" s="59">
        <v>40</v>
      </c>
      <c r="Q692" s="59">
        <f t="shared" si="108"/>
        <v>315</v>
      </c>
      <c r="R692" s="59">
        <f t="shared" si="109"/>
        <v>100</v>
      </c>
      <c r="S692" s="56">
        <f t="shared" si="110"/>
        <v>695</v>
      </c>
      <c r="T692" s="56">
        <f>0</f>
        <v>0</v>
      </c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</row>
    <row r="693" spans="1:30" ht="15.75" x14ac:dyDescent="0.25">
      <c r="A693" s="13">
        <v>62397</v>
      </c>
      <c r="B693" s="67">
        <f t="shared" si="106"/>
        <v>31</v>
      </c>
      <c r="C693" s="56">
        <f>131.881</f>
        <v>131.881</v>
      </c>
      <c r="D693" s="56">
        <f>277.167</f>
        <v>277.16699999999997</v>
      </c>
      <c r="E693" s="64">
        <f>79.08</f>
        <v>79.08</v>
      </c>
      <c r="F693" s="56">
        <f>350.872-40-25-60-100</f>
        <v>125.87200000000001</v>
      </c>
      <c r="G693" s="59">
        <v>40</v>
      </c>
      <c r="H693" s="56">
        <f t="shared" si="114"/>
        <v>185</v>
      </c>
      <c r="I693" s="56">
        <f t="shared" si="113"/>
        <v>0</v>
      </c>
      <c r="J693" s="59">
        <v>100</v>
      </c>
      <c r="K693" s="59">
        <v>300</v>
      </c>
      <c r="L693" s="56">
        <f t="shared" si="107"/>
        <v>1239</v>
      </c>
      <c r="M693" s="66">
        <v>600</v>
      </c>
      <c r="N693" s="56">
        <f>75</f>
        <v>75</v>
      </c>
      <c r="O693" s="59">
        <v>240</v>
      </c>
      <c r="P693" s="59">
        <v>40</v>
      </c>
      <c r="Q693" s="59">
        <f t="shared" si="108"/>
        <v>315</v>
      </c>
      <c r="R693" s="59">
        <f t="shared" si="109"/>
        <v>100</v>
      </c>
      <c r="S693" s="56">
        <f t="shared" si="110"/>
        <v>695</v>
      </c>
      <c r="T693" s="56">
        <f>0</f>
        <v>0</v>
      </c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</row>
    <row r="694" spans="1:30" ht="15.75" x14ac:dyDescent="0.25">
      <c r="A694" s="13">
        <v>62427</v>
      </c>
      <c r="B694" s="67">
        <f t="shared" si="106"/>
        <v>30</v>
      </c>
      <c r="C694" s="56">
        <f>122.58</f>
        <v>122.58</v>
      </c>
      <c r="D694" s="56">
        <f>297.941</f>
        <v>297.94099999999997</v>
      </c>
      <c r="E694" s="64">
        <f>89.177</f>
        <v>89.177000000000007</v>
      </c>
      <c r="F694" s="56">
        <f>240.302-40-60-100</f>
        <v>40.301999999999992</v>
      </c>
      <c r="G694" s="59">
        <v>40</v>
      </c>
      <c r="H694" s="56">
        <f>60+100</f>
        <v>160</v>
      </c>
      <c r="I694" s="56">
        <f t="shared" si="113"/>
        <v>0</v>
      </c>
      <c r="J694" s="59">
        <v>100</v>
      </c>
      <c r="K694" s="59">
        <v>300</v>
      </c>
      <c r="L694" s="56">
        <f t="shared" si="107"/>
        <v>1150</v>
      </c>
      <c r="M694" s="66">
        <v>600</v>
      </c>
      <c r="N694" s="56">
        <f>100</f>
        <v>100</v>
      </c>
      <c r="O694" s="59">
        <v>240</v>
      </c>
      <c r="P694" s="59">
        <v>40</v>
      </c>
      <c r="Q694" s="59">
        <f t="shared" si="108"/>
        <v>315</v>
      </c>
      <c r="R694" s="59">
        <f t="shared" si="109"/>
        <v>100</v>
      </c>
      <c r="S694" s="56">
        <f t="shared" si="110"/>
        <v>695</v>
      </c>
      <c r="T694" s="56">
        <f>50</f>
        <v>50</v>
      </c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</row>
    <row r="695" spans="1:30" ht="15.75" x14ac:dyDescent="0.25">
      <c r="A695" s="13">
        <v>62458</v>
      </c>
      <c r="B695" s="67">
        <f t="shared" si="106"/>
        <v>31</v>
      </c>
      <c r="C695" s="56">
        <f>122.58</f>
        <v>122.58</v>
      </c>
      <c r="D695" s="56">
        <f>297.941</f>
        <v>297.94099999999997</v>
      </c>
      <c r="E695" s="64">
        <f>89.177</f>
        <v>89.177000000000007</v>
      </c>
      <c r="F695" s="56">
        <f>240.302-40-60-100</f>
        <v>40.301999999999992</v>
      </c>
      <c r="G695" s="59">
        <v>40</v>
      </c>
      <c r="H695" s="56">
        <f>60+100</f>
        <v>160</v>
      </c>
      <c r="I695" s="56">
        <f t="shared" si="113"/>
        <v>0</v>
      </c>
      <c r="J695" s="59">
        <v>100</v>
      </c>
      <c r="K695" s="59">
        <v>300</v>
      </c>
      <c r="L695" s="56">
        <f t="shared" si="107"/>
        <v>1150</v>
      </c>
      <c r="M695" s="66">
        <v>600</v>
      </c>
      <c r="N695" s="56">
        <f>100</f>
        <v>100</v>
      </c>
      <c r="O695" s="59">
        <v>240</v>
      </c>
      <c r="P695" s="59">
        <v>40</v>
      </c>
      <c r="Q695" s="59">
        <f t="shared" si="108"/>
        <v>315</v>
      </c>
      <c r="R695" s="59">
        <f t="shared" si="109"/>
        <v>100</v>
      </c>
      <c r="S695" s="56">
        <f t="shared" si="110"/>
        <v>695</v>
      </c>
      <c r="T695" s="56">
        <f>50</f>
        <v>50</v>
      </c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</row>
    <row r="696" spans="1:30" ht="15.75" x14ac:dyDescent="0.25">
      <c r="A696" s="13">
        <v>62489</v>
      </c>
      <c r="B696" s="67">
        <f t="shared" si="106"/>
        <v>31</v>
      </c>
      <c r="C696" s="56">
        <f>122.58</f>
        <v>122.58</v>
      </c>
      <c r="D696" s="56">
        <f>297.941</f>
        <v>297.94099999999997</v>
      </c>
      <c r="E696" s="64">
        <f>89.177</f>
        <v>89.177000000000007</v>
      </c>
      <c r="F696" s="56">
        <f>240.302-40-60-100</f>
        <v>40.301999999999992</v>
      </c>
      <c r="G696" s="59">
        <v>40</v>
      </c>
      <c r="H696" s="56">
        <f>60+100</f>
        <v>160</v>
      </c>
      <c r="I696" s="56">
        <f t="shared" si="113"/>
        <v>0</v>
      </c>
      <c r="J696" s="59">
        <v>100</v>
      </c>
      <c r="K696" s="59">
        <v>300</v>
      </c>
      <c r="L696" s="56">
        <f t="shared" si="107"/>
        <v>1150</v>
      </c>
      <c r="M696" s="66">
        <v>600</v>
      </c>
      <c r="N696" s="56">
        <f>100</f>
        <v>100</v>
      </c>
      <c r="O696" s="59">
        <v>240</v>
      </c>
      <c r="P696" s="59">
        <v>40</v>
      </c>
      <c r="Q696" s="59">
        <f t="shared" si="108"/>
        <v>315</v>
      </c>
      <c r="R696" s="59">
        <f t="shared" si="109"/>
        <v>100</v>
      </c>
      <c r="S696" s="56">
        <f t="shared" si="110"/>
        <v>695</v>
      </c>
      <c r="T696" s="56">
        <f>50</f>
        <v>50</v>
      </c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</row>
    <row r="697" spans="1:30" ht="15.75" x14ac:dyDescent="0.25">
      <c r="A697" s="13">
        <v>62517</v>
      </c>
      <c r="B697" s="67">
        <f t="shared" si="106"/>
        <v>28</v>
      </c>
      <c r="C697" s="56">
        <f>122.58</f>
        <v>122.58</v>
      </c>
      <c r="D697" s="56">
        <f>297.941</f>
        <v>297.94099999999997</v>
      </c>
      <c r="E697" s="64">
        <f>89.177</f>
        <v>89.177000000000007</v>
      </c>
      <c r="F697" s="56">
        <f>240.302-40-60-100</f>
        <v>40.301999999999992</v>
      </c>
      <c r="G697" s="59">
        <v>40</v>
      </c>
      <c r="H697" s="56">
        <f>60+100</f>
        <v>160</v>
      </c>
      <c r="I697" s="56">
        <f t="shared" si="113"/>
        <v>0</v>
      </c>
      <c r="J697" s="59">
        <v>100</v>
      </c>
      <c r="K697" s="59">
        <v>300</v>
      </c>
      <c r="L697" s="56">
        <f t="shared" si="107"/>
        <v>1150</v>
      </c>
      <c r="M697" s="66">
        <v>600</v>
      </c>
      <c r="N697" s="56">
        <f>100</f>
        <v>100</v>
      </c>
      <c r="O697" s="59">
        <v>240</v>
      </c>
      <c r="P697" s="59">
        <v>40</v>
      </c>
      <c r="Q697" s="59">
        <f t="shared" si="108"/>
        <v>315</v>
      </c>
      <c r="R697" s="59">
        <f t="shared" si="109"/>
        <v>100</v>
      </c>
      <c r="S697" s="56">
        <f t="shared" si="110"/>
        <v>695</v>
      </c>
      <c r="T697" s="56">
        <f>50</f>
        <v>50</v>
      </c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</row>
    <row r="698" spans="1:30" ht="15.75" x14ac:dyDescent="0.25">
      <c r="A698" s="13">
        <v>62548</v>
      </c>
      <c r="B698" s="67">
        <f t="shared" si="106"/>
        <v>31</v>
      </c>
      <c r="C698" s="56">
        <f>122.58</f>
        <v>122.58</v>
      </c>
      <c r="D698" s="56">
        <f>297.941</f>
        <v>297.94099999999997</v>
      </c>
      <c r="E698" s="64">
        <f>89.177</f>
        <v>89.177000000000007</v>
      </c>
      <c r="F698" s="56">
        <f>240.302-40-60-100</f>
        <v>40.301999999999992</v>
      </c>
      <c r="G698" s="59">
        <v>40</v>
      </c>
      <c r="H698" s="56">
        <f>60+100</f>
        <v>160</v>
      </c>
      <c r="I698" s="56">
        <f t="shared" si="113"/>
        <v>0</v>
      </c>
      <c r="J698" s="59">
        <v>100</v>
      </c>
      <c r="K698" s="59">
        <v>300</v>
      </c>
      <c r="L698" s="56">
        <f t="shared" si="107"/>
        <v>1150</v>
      </c>
      <c r="M698" s="66">
        <v>600</v>
      </c>
      <c r="N698" s="56">
        <f>100</f>
        <v>100</v>
      </c>
      <c r="O698" s="59">
        <v>240</v>
      </c>
      <c r="P698" s="59">
        <v>40</v>
      </c>
      <c r="Q698" s="59">
        <f t="shared" si="108"/>
        <v>315</v>
      </c>
      <c r="R698" s="59">
        <f t="shared" si="109"/>
        <v>100</v>
      </c>
      <c r="S698" s="56">
        <f t="shared" si="110"/>
        <v>695</v>
      </c>
      <c r="T698" s="56">
        <f>50</f>
        <v>50</v>
      </c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</row>
    <row r="699" spans="1:30" ht="15.75" x14ac:dyDescent="0.25">
      <c r="A699" s="13">
        <v>62578</v>
      </c>
      <c r="B699" s="67">
        <f t="shared" si="106"/>
        <v>30</v>
      </c>
      <c r="C699" s="56">
        <f>141.293</f>
        <v>141.29300000000001</v>
      </c>
      <c r="D699" s="56">
        <f>267.993</f>
        <v>267.99299999999999</v>
      </c>
      <c r="E699" s="64">
        <f>115.016</f>
        <v>115.01600000000001</v>
      </c>
      <c r="F699" s="56">
        <f>314.698-40-25-60-100</f>
        <v>89.697999999999979</v>
      </c>
      <c r="G699" s="59">
        <v>40</v>
      </c>
      <c r="H699" s="56">
        <f t="shared" ref="H699:H705" si="115">25+60+100</f>
        <v>185</v>
      </c>
      <c r="I699" s="56">
        <f t="shared" si="113"/>
        <v>0</v>
      </c>
      <c r="J699" s="59">
        <v>100</v>
      </c>
      <c r="K699" s="59">
        <v>300</v>
      </c>
      <c r="L699" s="56">
        <f t="shared" si="107"/>
        <v>1239</v>
      </c>
      <c r="M699" s="66">
        <v>600</v>
      </c>
      <c r="N699" s="56">
        <f>100</f>
        <v>100</v>
      </c>
      <c r="O699" s="59">
        <v>240</v>
      </c>
      <c r="P699" s="59">
        <v>40</v>
      </c>
      <c r="Q699" s="59">
        <f t="shared" si="108"/>
        <v>315</v>
      </c>
      <c r="R699" s="59">
        <f t="shared" si="109"/>
        <v>100</v>
      </c>
      <c r="S699" s="56">
        <f t="shared" si="110"/>
        <v>695</v>
      </c>
      <c r="T699" s="56">
        <f>50</f>
        <v>50</v>
      </c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</row>
    <row r="700" spans="1:30" ht="15.75" x14ac:dyDescent="0.25">
      <c r="A700" s="13">
        <v>62609</v>
      </c>
      <c r="B700" s="67">
        <f t="shared" si="106"/>
        <v>31</v>
      </c>
      <c r="C700" s="56">
        <f>194.205</f>
        <v>194.20500000000001</v>
      </c>
      <c r="D700" s="56">
        <f>267.466</f>
        <v>267.46600000000001</v>
      </c>
      <c r="E700" s="64">
        <f>133.845</f>
        <v>133.845</v>
      </c>
      <c r="F700" s="56">
        <f>278.484-40-25-60-100</f>
        <v>53.48399999999998</v>
      </c>
      <c r="G700" s="59">
        <v>40</v>
      </c>
      <c r="H700" s="56">
        <f t="shared" si="115"/>
        <v>185</v>
      </c>
      <c r="I700" s="56">
        <f t="shared" si="113"/>
        <v>0</v>
      </c>
      <c r="J700" s="59">
        <v>100</v>
      </c>
      <c r="K700" s="59">
        <v>300</v>
      </c>
      <c r="L700" s="56">
        <f t="shared" si="107"/>
        <v>1274</v>
      </c>
      <c r="M700" s="66">
        <v>600</v>
      </c>
      <c r="N700" s="56">
        <f>75</f>
        <v>75</v>
      </c>
      <c r="O700" s="59">
        <v>240</v>
      </c>
      <c r="P700" s="59">
        <v>40</v>
      </c>
      <c r="Q700" s="59">
        <f t="shared" si="108"/>
        <v>315</v>
      </c>
      <c r="R700" s="59">
        <f t="shared" si="109"/>
        <v>100</v>
      </c>
      <c r="S700" s="56">
        <f t="shared" si="110"/>
        <v>695</v>
      </c>
      <c r="T700" s="56">
        <f>50</f>
        <v>50</v>
      </c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</row>
    <row r="701" spans="1:30" ht="15.75" x14ac:dyDescent="0.25">
      <c r="A701" s="13">
        <v>62639</v>
      </c>
      <c r="B701" s="67">
        <f t="shared" si="106"/>
        <v>30</v>
      </c>
      <c r="C701" s="56">
        <f>194.205</f>
        <v>194.20500000000001</v>
      </c>
      <c r="D701" s="56">
        <f>267.466</f>
        <v>267.46600000000001</v>
      </c>
      <c r="E701" s="64">
        <f>133.845</f>
        <v>133.845</v>
      </c>
      <c r="F701" s="56">
        <f>278.484-40-25-60-100</f>
        <v>53.48399999999998</v>
      </c>
      <c r="G701" s="59">
        <v>40</v>
      </c>
      <c r="H701" s="56">
        <f t="shared" si="115"/>
        <v>185</v>
      </c>
      <c r="I701" s="56">
        <f t="shared" si="113"/>
        <v>0</v>
      </c>
      <c r="J701" s="59">
        <v>100</v>
      </c>
      <c r="K701" s="59">
        <v>300</v>
      </c>
      <c r="L701" s="56">
        <f t="shared" si="107"/>
        <v>1274</v>
      </c>
      <c r="M701" s="66">
        <v>600</v>
      </c>
      <c r="N701" s="56">
        <f>30</f>
        <v>30</v>
      </c>
      <c r="O701" s="59">
        <v>240</v>
      </c>
      <c r="P701" s="59">
        <v>40</v>
      </c>
      <c r="Q701" s="59">
        <f t="shared" si="108"/>
        <v>315</v>
      </c>
      <c r="R701" s="59">
        <f t="shared" si="109"/>
        <v>100</v>
      </c>
      <c r="S701" s="56">
        <f t="shared" si="110"/>
        <v>695</v>
      </c>
      <c r="T701" s="56">
        <f>50</f>
        <v>50</v>
      </c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</row>
    <row r="702" spans="1:30" ht="15.75" x14ac:dyDescent="0.25">
      <c r="A702" s="13">
        <v>62670</v>
      </c>
      <c r="B702" s="67">
        <f t="shared" si="106"/>
        <v>31</v>
      </c>
      <c r="C702" s="56">
        <f>194.205</f>
        <v>194.20500000000001</v>
      </c>
      <c r="D702" s="56">
        <f>267.466</f>
        <v>267.46600000000001</v>
      </c>
      <c r="E702" s="64">
        <f>133.845</f>
        <v>133.845</v>
      </c>
      <c r="F702" s="56">
        <f>278.484-40-25-60-100</f>
        <v>53.48399999999998</v>
      </c>
      <c r="G702" s="59">
        <v>40</v>
      </c>
      <c r="H702" s="56">
        <f t="shared" si="115"/>
        <v>185</v>
      </c>
      <c r="I702" s="56">
        <f t="shared" si="113"/>
        <v>0</v>
      </c>
      <c r="J702" s="59">
        <v>100</v>
      </c>
      <c r="K702" s="59">
        <v>300</v>
      </c>
      <c r="L702" s="56">
        <f t="shared" si="107"/>
        <v>1274</v>
      </c>
      <c r="M702" s="66">
        <v>600</v>
      </c>
      <c r="N702" s="56">
        <f>30</f>
        <v>30</v>
      </c>
      <c r="O702" s="59">
        <v>240</v>
      </c>
      <c r="P702" s="59">
        <v>40</v>
      </c>
      <c r="Q702" s="59">
        <f t="shared" si="108"/>
        <v>315</v>
      </c>
      <c r="R702" s="59">
        <f t="shared" si="109"/>
        <v>100</v>
      </c>
      <c r="S702" s="56">
        <f t="shared" si="110"/>
        <v>695</v>
      </c>
      <c r="T702" s="56">
        <f>0</f>
        <v>0</v>
      </c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</row>
    <row r="703" spans="1:30" ht="15.75" x14ac:dyDescent="0.25">
      <c r="A703" s="13">
        <v>62701</v>
      </c>
      <c r="B703" s="67">
        <f t="shared" si="106"/>
        <v>31</v>
      </c>
      <c r="C703" s="56">
        <f>194.205</f>
        <v>194.20500000000001</v>
      </c>
      <c r="D703" s="56">
        <f>267.466</f>
        <v>267.46600000000001</v>
      </c>
      <c r="E703" s="64">
        <f>133.845</f>
        <v>133.845</v>
      </c>
      <c r="F703" s="56">
        <f>278.484-40-25-60-100</f>
        <v>53.48399999999998</v>
      </c>
      <c r="G703" s="59">
        <v>40</v>
      </c>
      <c r="H703" s="56">
        <f t="shared" si="115"/>
        <v>185</v>
      </c>
      <c r="I703" s="56">
        <f t="shared" si="113"/>
        <v>0</v>
      </c>
      <c r="J703" s="59">
        <v>100</v>
      </c>
      <c r="K703" s="59">
        <v>300</v>
      </c>
      <c r="L703" s="56">
        <f t="shared" si="107"/>
        <v>1274</v>
      </c>
      <c r="M703" s="66">
        <v>600</v>
      </c>
      <c r="N703" s="56">
        <f>30</f>
        <v>30</v>
      </c>
      <c r="O703" s="59">
        <v>240</v>
      </c>
      <c r="P703" s="59">
        <v>40</v>
      </c>
      <c r="Q703" s="59">
        <f t="shared" si="108"/>
        <v>315</v>
      </c>
      <c r="R703" s="59">
        <f t="shared" si="109"/>
        <v>100</v>
      </c>
      <c r="S703" s="56">
        <f t="shared" si="110"/>
        <v>695</v>
      </c>
      <c r="T703" s="56">
        <f>0</f>
        <v>0</v>
      </c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</row>
    <row r="704" spans="1:30" ht="15.75" x14ac:dyDescent="0.25">
      <c r="A704" s="13">
        <v>62731</v>
      </c>
      <c r="B704" s="67">
        <f t="shared" si="106"/>
        <v>30</v>
      </c>
      <c r="C704" s="56">
        <f>194.205</f>
        <v>194.20500000000001</v>
      </c>
      <c r="D704" s="56">
        <f>267.466</f>
        <v>267.46600000000001</v>
      </c>
      <c r="E704" s="64">
        <f>133.845</f>
        <v>133.845</v>
      </c>
      <c r="F704" s="56">
        <f>278.484-40-25-60-100</f>
        <v>53.48399999999998</v>
      </c>
      <c r="G704" s="59">
        <v>40</v>
      </c>
      <c r="H704" s="56">
        <f t="shared" si="115"/>
        <v>185</v>
      </c>
      <c r="I704" s="56">
        <f t="shared" si="113"/>
        <v>0</v>
      </c>
      <c r="J704" s="59">
        <v>100</v>
      </c>
      <c r="K704" s="59">
        <v>300</v>
      </c>
      <c r="L704" s="56">
        <f t="shared" si="107"/>
        <v>1274</v>
      </c>
      <c r="M704" s="66">
        <v>600</v>
      </c>
      <c r="N704" s="56">
        <f>30</f>
        <v>30</v>
      </c>
      <c r="O704" s="59">
        <v>240</v>
      </c>
      <c r="P704" s="59">
        <v>40</v>
      </c>
      <c r="Q704" s="59">
        <f t="shared" si="108"/>
        <v>315</v>
      </c>
      <c r="R704" s="59">
        <f t="shared" si="109"/>
        <v>100</v>
      </c>
      <c r="S704" s="56">
        <f t="shared" si="110"/>
        <v>695</v>
      </c>
      <c r="T704" s="56">
        <f>0</f>
        <v>0</v>
      </c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</row>
    <row r="705" spans="1:30" ht="15.75" x14ac:dyDescent="0.25">
      <c r="A705" s="13">
        <v>62762</v>
      </c>
      <c r="B705" s="67">
        <f t="shared" si="106"/>
        <v>31</v>
      </c>
      <c r="C705" s="56">
        <f>131.881</f>
        <v>131.881</v>
      </c>
      <c r="D705" s="56">
        <f>277.167</f>
        <v>277.16699999999997</v>
      </c>
      <c r="E705" s="64">
        <f>79.08</f>
        <v>79.08</v>
      </c>
      <c r="F705" s="56">
        <f>350.872-40-25-60-100</f>
        <v>125.87200000000001</v>
      </c>
      <c r="G705" s="59">
        <v>40</v>
      </c>
      <c r="H705" s="56">
        <f t="shared" si="115"/>
        <v>185</v>
      </c>
      <c r="I705" s="56">
        <f t="shared" si="113"/>
        <v>0</v>
      </c>
      <c r="J705" s="59">
        <v>100</v>
      </c>
      <c r="K705" s="59">
        <v>300</v>
      </c>
      <c r="L705" s="56">
        <f t="shared" si="107"/>
        <v>1239</v>
      </c>
      <c r="M705" s="66">
        <v>600</v>
      </c>
      <c r="N705" s="56">
        <f>75</f>
        <v>75</v>
      </c>
      <c r="O705" s="59">
        <v>240</v>
      </c>
      <c r="P705" s="59">
        <v>40</v>
      </c>
      <c r="Q705" s="59">
        <f t="shared" si="108"/>
        <v>315</v>
      </c>
      <c r="R705" s="59">
        <f t="shared" si="109"/>
        <v>100</v>
      </c>
      <c r="S705" s="56">
        <f t="shared" si="110"/>
        <v>695</v>
      </c>
      <c r="T705" s="56">
        <f>0</f>
        <v>0</v>
      </c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</row>
    <row r="706" spans="1:30" ht="15.75" x14ac:dyDescent="0.25">
      <c r="A706" s="13">
        <v>62792</v>
      </c>
      <c r="B706" s="67">
        <f t="shared" si="106"/>
        <v>30</v>
      </c>
      <c r="C706" s="56">
        <f>122.58</f>
        <v>122.58</v>
      </c>
      <c r="D706" s="56">
        <f>297.941</f>
        <v>297.94099999999997</v>
      </c>
      <c r="E706" s="64">
        <f>89.177</f>
        <v>89.177000000000007</v>
      </c>
      <c r="F706" s="56">
        <f>240.302-40-60-100</f>
        <v>40.301999999999992</v>
      </c>
      <c r="G706" s="59">
        <v>40</v>
      </c>
      <c r="H706" s="56">
        <f>60+100</f>
        <v>160</v>
      </c>
      <c r="I706" s="56">
        <f t="shared" si="113"/>
        <v>0</v>
      </c>
      <c r="J706" s="59">
        <v>100</v>
      </c>
      <c r="K706" s="59">
        <v>300</v>
      </c>
      <c r="L706" s="56">
        <f t="shared" si="107"/>
        <v>1150</v>
      </c>
      <c r="M706" s="66">
        <v>600</v>
      </c>
      <c r="N706" s="56">
        <f>100</f>
        <v>100</v>
      </c>
      <c r="O706" s="59">
        <v>240</v>
      </c>
      <c r="P706" s="59">
        <v>40</v>
      </c>
      <c r="Q706" s="59">
        <f t="shared" si="108"/>
        <v>315</v>
      </c>
      <c r="R706" s="59">
        <f t="shared" si="109"/>
        <v>100</v>
      </c>
      <c r="S706" s="56">
        <f t="shared" si="110"/>
        <v>695</v>
      </c>
      <c r="T706" s="56">
        <f>50</f>
        <v>50</v>
      </c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</row>
    <row r="707" spans="1:30" ht="15.75" x14ac:dyDescent="0.25">
      <c r="A707" s="13">
        <v>62823</v>
      </c>
      <c r="B707" s="67">
        <f t="shared" si="106"/>
        <v>31</v>
      </c>
      <c r="C707" s="56">
        <f>122.58</f>
        <v>122.58</v>
      </c>
      <c r="D707" s="56">
        <f>297.941</f>
        <v>297.94099999999997</v>
      </c>
      <c r="E707" s="64">
        <f>89.177</f>
        <v>89.177000000000007</v>
      </c>
      <c r="F707" s="56">
        <f>240.302-40-60-100</f>
        <v>40.301999999999992</v>
      </c>
      <c r="G707" s="59">
        <v>40</v>
      </c>
      <c r="H707" s="56">
        <f>60+100</f>
        <v>160</v>
      </c>
      <c r="I707" s="56">
        <f t="shared" si="113"/>
        <v>0</v>
      </c>
      <c r="J707" s="59">
        <v>100</v>
      </c>
      <c r="K707" s="59">
        <v>300</v>
      </c>
      <c r="L707" s="56">
        <f t="shared" si="107"/>
        <v>1150</v>
      </c>
      <c r="M707" s="66">
        <v>600</v>
      </c>
      <c r="N707" s="56">
        <f>100</f>
        <v>100</v>
      </c>
      <c r="O707" s="59">
        <v>240</v>
      </c>
      <c r="P707" s="59">
        <v>40</v>
      </c>
      <c r="Q707" s="59">
        <f t="shared" si="108"/>
        <v>315</v>
      </c>
      <c r="R707" s="59">
        <f t="shared" si="109"/>
        <v>100</v>
      </c>
      <c r="S707" s="56">
        <f t="shared" si="110"/>
        <v>695</v>
      </c>
      <c r="T707" s="56">
        <f>50</f>
        <v>50</v>
      </c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</row>
    <row r="708" spans="1:30" ht="15.75" x14ac:dyDescent="0.25">
      <c r="A708" s="13">
        <v>62854</v>
      </c>
      <c r="B708" s="67">
        <f t="shared" si="106"/>
        <v>31</v>
      </c>
      <c r="C708" s="56">
        <f>122.58</f>
        <v>122.58</v>
      </c>
      <c r="D708" s="56">
        <f>297.941</f>
        <v>297.94099999999997</v>
      </c>
      <c r="E708" s="64">
        <f>89.177</f>
        <v>89.177000000000007</v>
      </c>
      <c r="F708" s="56">
        <f>240.302-40-60-100</f>
        <v>40.301999999999992</v>
      </c>
      <c r="G708" s="59">
        <v>40</v>
      </c>
      <c r="H708" s="56">
        <f>60+100</f>
        <v>160</v>
      </c>
      <c r="I708" s="56">
        <f t="shared" si="113"/>
        <v>0</v>
      </c>
      <c r="J708" s="59">
        <v>100</v>
      </c>
      <c r="K708" s="59">
        <v>300</v>
      </c>
      <c r="L708" s="56">
        <f t="shared" si="107"/>
        <v>1150</v>
      </c>
      <c r="M708" s="66">
        <v>600</v>
      </c>
      <c r="N708" s="56">
        <f>100</f>
        <v>100</v>
      </c>
      <c r="O708" s="59">
        <v>240</v>
      </c>
      <c r="P708" s="59">
        <v>40</v>
      </c>
      <c r="Q708" s="59">
        <f t="shared" si="108"/>
        <v>315</v>
      </c>
      <c r="R708" s="59">
        <f t="shared" si="109"/>
        <v>100</v>
      </c>
      <c r="S708" s="56">
        <f t="shared" si="110"/>
        <v>695</v>
      </c>
      <c r="T708" s="56">
        <f>50</f>
        <v>50</v>
      </c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</row>
    <row r="709" spans="1:30" ht="15.75" x14ac:dyDescent="0.25">
      <c r="A709" s="13">
        <v>62883</v>
      </c>
      <c r="B709" s="67">
        <f t="shared" si="106"/>
        <v>29</v>
      </c>
      <c r="C709" s="56">
        <f>122.58</f>
        <v>122.58</v>
      </c>
      <c r="D709" s="56">
        <f>297.941</f>
        <v>297.94099999999997</v>
      </c>
      <c r="E709" s="64">
        <f>89.177</f>
        <v>89.177000000000007</v>
      </c>
      <c r="F709" s="56">
        <f>240.302-40-60-100</f>
        <v>40.301999999999992</v>
      </c>
      <c r="G709" s="59">
        <v>40</v>
      </c>
      <c r="H709" s="56">
        <f>60+100</f>
        <v>160</v>
      </c>
      <c r="I709" s="56">
        <f t="shared" si="113"/>
        <v>0</v>
      </c>
      <c r="J709" s="59">
        <v>100</v>
      </c>
      <c r="K709" s="59">
        <v>300</v>
      </c>
      <c r="L709" s="56">
        <f t="shared" si="107"/>
        <v>1150</v>
      </c>
      <c r="M709" s="66">
        <v>600</v>
      </c>
      <c r="N709" s="56">
        <f>100</f>
        <v>100</v>
      </c>
      <c r="O709" s="59">
        <v>240</v>
      </c>
      <c r="P709" s="59">
        <v>40</v>
      </c>
      <c r="Q709" s="59">
        <f t="shared" si="108"/>
        <v>315</v>
      </c>
      <c r="R709" s="59">
        <f t="shared" si="109"/>
        <v>100</v>
      </c>
      <c r="S709" s="56">
        <f t="shared" si="110"/>
        <v>695</v>
      </c>
      <c r="T709" s="56">
        <f>50</f>
        <v>50</v>
      </c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</row>
    <row r="710" spans="1:30" ht="15.75" x14ac:dyDescent="0.25">
      <c r="A710" s="13">
        <v>62914</v>
      </c>
      <c r="B710" s="67">
        <f t="shared" si="106"/>
        <v>31</v>
      </c>
      <c r="C710" s="56">
        <f>122.58</f>
        <v>122.58</v>
      </c>
      <c r="D710" s="56">
        <f>297.941</f>
        <v>297.94099999999997</v>
      </c>
      <c r="E710" s="64">
        <f>89.177</f>
        <v>89.177000000000007</v>
      </c>
      <c r="F710" s="56">
        <f>240.302-40-60-100</f>
        <v>40.301999999999992</v>
      </c>
      <c r="G710" s="59">
        <v>40</v>
      </c>
      <c r="H710" s="56">
        <f>60+100</f>
        <v>160</v>
      </c>
      <c r="I710" s="56">
        <f t="shared" si="113"/>
        <v>0</v>
      </c>
      <c r="J710" s="59">
        <v>100</v>
      </c>
      <c r="K710" s="59">
        <v>300</v>
      </c>
      <c r="L710" s="56">
        <f t="shared" si="107"/>
        <v>1150</v>
      </c>
      <c r="M710" s="66">
        <v>600</v>
      </c>
      <c r="N710" s="56">
        <f>100</f>
        <v>100</v>
      </c>
      <c r="O710" s="59">
        <v>240</v>
      </c>
      <c r="P710" s="59">
        <v>40</v>
      </c>
      <c r="Q710" s="59">
        <f t="shared" si="108"/>
        <v>315</v>
      </c>
      <c r="R710" s="59">
        <f t="shared" si="109"/>
        <v>100</v>
      </c>
      <c r="S710" s="56">
        <f t="shared" si="110"/>
        <v>695</v>
      </c>
      <c r="T710" s="56">
        <f>50</f>
        <v>50</v>
      </c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</row>
    <row r="711" spans="1:30" ht="15.75" x14ac:dyDescent="0.25">
      <c r="A711" s="13">
        <v>62944</v>
      </c>
      <c r="B711" s="67">
        <f t="shared" si="106"/>
        <v>30</v>
      </c>
      <c r="C711" s="56">
        <f>141.293</f>
        <v>141.29300000000001</v>
      </c>
      <c r="D711" s="56">
        <f>267.993</f>
        <v>267.99299999999999</v>
      </c>
      <c r="E711" s="64">
        <f>115.016</f>
        <v>115.01600000000001</v>
      </c>
      <c r="F711" s="56">
        <f>314.698-40-25-60-100</f>
        <v>89.697999999999979</v>
      </c>
      <c r="G711" s="59">
        <v>40</v>
      </c>
      <c r="H711" s="56">
        <f t="shared" ref="H711:H717" si="116">25+60+100</f>
        <v>185</v>
      </c>
      <c r="I711" s="56">
        <f t="shared" si="113"/>
        <v>0</v>
      </c>
      <c r="J711" s="59">
        <v>100</v>
      </c>
      <c r="K711" s="59">
        <v>300</v>
      </c>
      <c r="L711" s="56">
        <f t="shared" si="107"/>
        <v>1239</v>
      </c>
      <c r="M711" s="66">
        <v>600</v>
      </c>
      <c r="N711" s="56">
        <f>100</f>
        <v>100</v>
      </c>
      <c r="O711" s="59">
        <v>240</v>
      </c>
      <c r="P711" s="59">
        <v>40</v>
      </c>
      <c r="Q711" s="59">
        <f t="shared" si="108"/>
        <v>315</v>
      </c>
      <c r="R711" s="59">
        <f t="shared" si="109"/>
        <v>100</v>
      </c>
      <c r="S711" s="56">
        <f t="shared" si="110"/>
        <v>695</v>
      </c>
      <c r="T711" s="56">
        <f>50</f>
        <v>50</v>
      </c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</row>
    <row r="712" spans="1:30" ht="15.75" x14ac:dyDescent="0.25">
      <c r="A712" s="13">
        <v>62975</v>
      </c>
      <c r="B712" s="67">
        <f t="shared" si="106"/>
        <v>31</v>
      </c>
      <c r="C712" s="56">
        <f>194.205</f>
        <v>194.20500000000001</v>
      </c>
      <c r="D712" s="56">
        <f>267.466</f>
        <v>267.46600000000001</v>
      </c>
      <c r="E712" s="64">
        <f>133.845</f>
        <v>133.845</v>
      </c>
      <c r="F712" s="56">
        <f>278.484-40-25-60-100</f>
        <v>53.48399999999998</v>
      </c>
      <c r="G712" s="59">
        <v>40</v>
      </c>
      <c r="H712" s="56">
        <f t="shared" si="116"/>
        <v>185</v>
      </c>
      <c r="I712" s="56">
        <f t="shared" si="113"/>
        <v>0</v>
      </c>
      <c r="J712" s="59">
        <v>100</v>
      </c>
      <c r="K712" s="59">
        <v>300</v>
      </c>
      <c r="L712" s="56">
        <f t="shared" si="107"/>
        <v>1274</v>
      </c>
      <c r="M712" s="66">
        <v>600</v>
      </c>
      <c r="N712" s="56">
        <f>75</f>
        <v>75</v>
      </c>
      <c r="O712" s="59">
        <v>240</v>
      </c>
      <c r="P712" s="59">
        <v>40</v>
      </c>
      <c r="Q712" s="59">
        <f t="shared" si="108"/>
        <v>315</v>
      </c>
      <c r="R712" s="59">
        <f t="shared" si="109"/>
        <v>100</v>
      </c>
      <c r="S712" s="56">
        <f t="shared" si="110"/>
        <v>695</v>
      </c>
      <c r="T712" s="56">
        <f>50</f>
        <v>50</v>
      </c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</row>
    <row r="713" spans="1:30" ht="15.75" x14ac:dyDescent="0.25">
      <c r="A713" s="13">
        <v>63005</v>
      </c>
      <c r="B713" s="67">
        <f t="shared" si="106"/>
        <v>30</v>
      </c>
      <c r="C713" s="56">
        <f>194.205</f>
        <v>194.20500000000001</v>
      </c>
      <c r="D713" s="56">
        <f>267.466</f>
        <v>267.46600000000001</v>
      </c>
      <c r="E713" s="64">
        <f>133.845</f>
        <v>133.845</v>
      </c>
      <c r="F713" s="56">
        <f>278.484-40-25-60-100</f>
        <v>53.48399999999998</v>
      </c>
      <c r="G713" s="59">
        <v>40</v>
      </c>
      <c r="H713" s="56">
        <f t="shared" si="116"/>
        <v>185</v>
      </c>
      <c r="I713" s="56">
        <f t="shared" si="113"/>
        <v>0</v>
      </c>
      <c r="J713" s="59">
        <v>100</v>
      </c>
      <c r="K713" s="59">
        <v>300</v>
      </c>
      <c r="L713" s="56">
        <f t="shared" si="107"/>
        <v>1274</v>
      </c>
      <c r="M713" s="66">
        <v>600</v>
      </c>
      <c r="N713" s="56">
        <f>30</f>
        <v>30</v>
      </c>
      <c r="O713" s="59">
        <v>240</v>
      </c>
      <c r="P713" s="59">
        <v>40</v>
      </c>
      <c r="Q713" s="59">
        <f t="shared" si="108"/>
        <v>315</v>
      </c>
      <c r="R713" s="59">
        <f t="shared" si="109"/>
        <v>100</v>
      </c>
      <c r="S713" s="56">
        <f t="shared" si="110"/>
        <v>695</v>
      </c>
      <c r="T713" s="56">
        <f>50</f>
        <v>50</v>
      </c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</row>
    <row r="714" spans="1:30" ht="15.75" x14ac:dyDescent="0.25">
      <c r="A714" s="13">
        <v>63036</v>
      </c>
      <c r="B714" s="67">
        <f t="shared" si="106"/>
        <v>31</v>
      </c>
      <c r="C714" s="56">
        <f>194.205</f>
        <v>194.20500000000001</v>
      </c>
      <c r="D714" s="56">
        <f>267.466</f>
        <v>267.46600000000001</v>
      </c>
      <c r="E714" s="64">
        <f>133.845</f>
        <v>133.845</v>
      </c>
      <c r="F714" s="56">
        <f>278.484-40-25-60-100</f>
        <v>53.48399999999998</v>
      </c>
      <c r="G714" s="59">
        <v>40</v>
      </c>
      <c r="H714" s="56">
        <f t="shared" si="116"/>
        <v>185</v>
      </c>
      <c r="I714" s="56">
        <f t="shared" si="113"/>
        <v>0</v>
      </c>
      <c r="J714" s="59">
        <v>100</v>
      </c>
      <c r="K714" s="59">
        <v>300</v>
      </c>
      <c r="L714" s="56">
        <f t="shared" si="107"/>
        <v>1274</v>
      </c>
      <c r="M714" s="66">
        <v>600</v>
      </c>
      <c r="N714" s="56">
        <f>30</f>
        <v>30</v>
      </c>
      <c r="O714" s="59">
        <v>240</v>
      </c>
      <c r="P714" s="59">
        <v>40</v>
      </c>
      <c r="Q714" s="59">
        <f t="shared" si="108"/>
        <v>315</v>
      </c>
      <c r="R714" s="59">
        <f t="shared" si="109"/>
        <v>100</v>
      </c>
      <c r="S714" s="56">
        <f t="shared" si="110"/>
        <v>695</v>
      </c>
      <c r="T714" s="56">
        <f>0</f>
        <v>0</v>
      </c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</row>
    <row r="715" spans="1:30" ht="15.75" x14ac:dyDescent="0.25">
      <c r="A715" s="13">
        <v>63067</v>
      </c>
      <c r="B715" s="67">
        <f t="shared" si="106"/>
        <v>31</v>
      </c>
      <c r="C715" s="56">
        <f>194.205</f>
        <v>194.20500000000001</v>
      </c>
      <c r="D715" s="56">
        <f>267.466</f>
        <v>267.46600000000001</v>
      </c>
      <c r="E715" s="64">
        <f>133.845</f>
        <v>133.845</v>
      </c>
      <c r="F715" s="56">
        <f>278.484-40-25-60-100</f>
        <v>53.48399999999998</v>
      </c>
      <c r="G715" s="59">
        <v>40</v>
      </c>
      <c r="H715" s="56">
        <f t="shared" si="116"/>
        <v>185</v>
      </c>
      <c r="I715" s="56">
        <f t="shared" si="113"/>
        <v>0</v>
      </c>
      <c r="J715" s="59">
        <v>100</v>
      </c>
      <c r="K715" s="59">
        <v>300</v>
      </c>
      <c r="L715" s="56">
        <f t="shared" si="107"/>
        <v>1274</v>
      </c>
      <c r="M715" s="66">
        <v>600</v>
      </c>
      <c r="N715" s="56">
        <f>30</f>
        <v>30</v>
      </c>
      <c r="O715" s="59">
        <v>240</v>
      </c>
      <c r="P715" s="59">
        <v>40</v>
      </c>
      <c r="Q715" s="59">
        <f t="shared" si="108"/>
        <v>315</v>
      </c>
      <c r="R715" s="59">
        <f t="shared" si="109"/>
        <v>100</v>
      </c>
      <c r="S715" s="56">
        <f t="shared" si="110"/>
        <v>695</v>
      </c>
      <c r="T715" s="56">
        <f>0</f>
        <v>0</v>
      </c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</row>
    <row r="716" spans="1:30" ht="15.75" x14ac:dyDescent="0.25">
      <c r="A716" s="13">
        <v>63097</v>
      </c>
      <c r="B716" s="67">
        <f t="shared" ref="B716:B779" si="117">EOMONTH(A716,0)-EOMONTH(A716,-1)</f>
        <v>30</v>
      </c>
      <c r="C716" s="56">
        <f>194.205</f>
        <v>194.20500000000001</v>
      </c>
      <c r="D716" s="56">
        <f>267.466</f>
        <v>267.46600000000001</v>
      </c>
      <c r="E716" s="64">
        <f>133.845</f>
        <v>133.845</v>
      </c>
      <c r="F716" s="56">
        <f>278.484-40-25-60-100</f>
        <v>53.48399999999998</v>
      </c>
      <c r="G716" s="59">
        <v>40</v>
      </c>
      <c r="H716" s="56">
        <f t="shared" si="116"/>
        <v>185</v>
      </c>
      <c r="I716" s="56">
        <f t="shared" si="113"/>
        <v>0</v>
      </c>
      <c r="J716" s="59">
        <v>100</v>
      </c>
      <c r="K716" s="59">
        <v>300</v>
      </c>
      <c r="L716" s="56">
        <f t="shared" si="107"/>
        <v>1274</v>
      </c>
      <c r="M716" s="66">
        <v>600</v>
      </c>
      <c r="N716" s="56">
        <f>30</f>
        <v>30</v>
      </c>
      <c r="O716" s="59">
        <v>240</v>
      </c>
      <c r="P716" s="59">
        <v>40</v>
      </c>
      <c r="Q716" s="59">
        <f t="shared" si="108"/>
        <v>315</v>
      </c>
      <c r="R716" s="59">
        <f t="shared" si="109"/>
        <v>100</v>
      </c>
      <c r="S716" s="56">
        <f t="shared" si="110"/>
        <v>695</v>
      </c>
      <c r="T716" s="56">
        <f>0</f>
        <v>0</v>
      </c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</row>
    <row r="717" spans="1:30" ht="15.75" x14ac:dyDescent="0.25">
      <c r="A717" s="13">
        <v>63128</v>
      </c>
      <c r="B717" s="67">
        <f t="shared" si="117"/>
        <v>31</v>
      </c>
      <c r="C717" s="56">
        <f>131.881</f>
        <v>131.881</v>
      </c>
      <c r="D717" s="56">
        <f>277.167</f>
        <v>277.16699999999997</v>
      </c>
      <c r="E717" s="64">
        <f>79.08</f>
        <v>79.08</v>
      </c>
      <c r="F717" s="56">
        <f>350.872-40-25-60-100</f>
        <v>125.87200000000001</v>
      </c>
      <c r="G717" s="59">
        <v>40</v>
      </c>
      <c r="H717" s="56">
        <f t="shared" si="116"/>
        <v>185</v>
      </c>
      <c r="I717" s="56">
        <f t="shared" si="113"/>
        <v>0</v>
      </c>
      <c r="J717" s="59">
        <v>100</v>
      </c>
      <c r="K717" s="59">
        <v>300</v>
      </c>
      <c r="L717" s="56">
        <f t="shared" si="107"/>
        <v>1239</v>
      </c>
      <c r="M717" s="66">
        <v>600</v>
      </c>
      <c r="N717" s="56">
        <f>75</f>
        <v>75</v>
      </c>
      <c r="O717" s="59">
        <v>240</v>
      </c>
      <c r="P717" s="59">
        <v>40</v>
      </c>
      <c r="Q717" s="59">
        <f t="shared" si="108"/>
        <v>315</v>
      </c>
      <c r="R717" s="59">
        <f t="shared" si="109"/>
        <v>100</v>
      </c>
      <c r="S717" s="56">
        <f t="shared" si="110"/>
        <v>695</v>
      </c>
      <c r="T717" s="56">
        <f>0</f>
        <v>0</v>
      </c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</row>
    <row r="718" spans="1:30" ht="15.75" x14ac:dyDescent="0.25">
      <c r="A718" s="13">
        <v>63158</v>
      </c>
      <c r="B718" s="67">
        <f t="shared" si="117"/>
        <v>30</v>
      </c>
      <c r="C718" s="56">
        <f>122.58</f>
        <v>122.58</v>
      </c>
      <c r="D718" s="56">
        <f>297.941</f>
        <v>297.94099999999997</v>
      </c>
      <c r="E718" s="64">
        <f>89.177</f>
        <v>89.177000000000007</v>
      </c>
      <c r="F718" s="56">
        <f>240.302-40-60-100</f>
        <v>40.301999999999992</v>
      </c>
      <c r="G718" s="59">
        <v>40</v>
      </c>
      <c r="H718" s="56">
        <f>60+100</f>
        <v>160</v>
      </c>
      <c r="I718" s="56">
        <f t="shared" si="113"/>
        <v>0</v>
      </c>
      <c r="J718" s="59">
        <v>100</v>
      </c>
      <c r="K718" s="59">
        <v>300</v>
      </c>
      <c r="L718" s="56">
        <f t="shared" si="107"/>
        <v>1150</v>
      </c>
      <c r="M718" s="66">
        <v>600</v>
      </c>
      <c r="N718" s="56">
        <f>100</f>
        <v>100</v>
      </c>
      <c r="O718" s="59">
        <v>240</v>
      </c>
      <c r="P718" s="59">
        <v>40</v>
      </c>
      <c r="Q718" s="59">
        <f t="shared" si="108"/>
        <v>315</v>
      </c>
      <c r="R718" s="59">
        <f t="shared" si="109"/>
        <v>100</v>
      </c>
      <c r="S718" s="56">
        <f t="shared" si="110"/>
        <v>695</v>
      </c>
      <c r="T718" s="56">
        <f>50</f>
        <v>50</v>
      </c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</row>
    <row r="719" spans="1:30" ht="15.75" x14ac:dyDescent="0.25">
      <c r="A719" s="13">
        <v>63189</v>
      </c>
      <c r="B719" s="67">
        <f t="shared" si="117"/>
        <v>31</v>
      </c>
      <c r="C719" s="56">
        <f>122.58</f>
        <v>122.58</v>
      </c>
      <c r="D719" s="56">
        <f>297.941</f>
        <v>297.94099999999997</v>
      </c>
      <c r="E719" s="64">
        <f>89.177</f>
        <v>89.177000000000007</v>
      </c>
      <c r="F719" s="56">
        <f>240.302-40-60-100</f>
        <v>40.301999999999992</v>
      </c>
      <c r="G719" s="59">
        <v>40</v>
      </c>
      <c r="H719" s="56">
        <f>60+100</f>
        <v>160</v>
      </c>
      <c r="I719" s="56">
        <f t="shared" si="113"/>
        <v>0</v>
      </c>
      <c r="J719" s="59">
        <v>100</v>
      </c>
      <c r="K719" s="59">
        <v>300</v>
      </c>
      <c r="L719" s="56">
        <f t="shared" ref="L719:L782" si="118">SUM(C719:K719)</f>
        <v>1150</v>
      </c>
      <c r="M719" s="66">
        <v>600</v>
      </c>
      <c r="N719" s="56">
        <f>100</f>
        <v>100</v>
      </c>
      <c r="O719" s="59">
        <v>240</v>
      </c>
      <c r="P719" s="59">
        <v>40</v>
      </c>
      <c r="Q719" s="59">
        <f t="shared" ref="Q719:Q782" si="119">695-R719-O719-P719</f>
        <v>315</v>
      </c>
      <c r="R719" s="59">
        <f t="shared" ref="R719:R782" si="120">200-J719</f>
        <v>100</v>
      </c>
      <c r="S719" s="56">
        <f t="shared" ref="S719:S782" si="121">SUM(O719:R719)</f>
        <v>695</v>
      </c>
      <c r="T719" s="56">
        <f>50</f>
        <v>50</v>
      </c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</row>
    <row r="720" spans="1:30" ht="15.75" x14ac:dyDescent="0.25">
      <c r="A720" s="13">
        <v>63220</v>
      </c>
      <c r="B720" s="67">
        <f t="shared" si="117"/>
        <v>31</v>
      </c>
      <c r="C720" s="56">
        <f>122.58</f>
        <v>122.58</v>
      </c>
      <c r="D720" s="56">
        <f>297.941</f>
        <v>297.94099999999997</v>
      </c>
      <c r="E720" s="64">
        <f>89.177</f>
        <v>89.177000000000007</v>
      </c>
      <c r="F720" s="56">
        <f>240.302-40-60-100</f>
        <v>40.301999999999992</v>
      </c>
      <c r="G720" s="59">
        <v>40</v>
      </c>
      <c r="H720" s="56">
        <f>60+100</f>
        <v>160</v>
      </c>
      <c r="I720" s="56">
        <f t="shared" si="113"/>
        <v>0</v>
      </c>
      <c r="J720" s="59">
        <v>100</v>
      </c>
      <c r="K720" s="59">
        <v>300</v>
      </c>
      <c r="L720" s="56">
        <f t="shared" si="118"/>
        <v>1150</v>
      </c>
      <c r="M720" s="66">
        <v>600</v>
      </c>
      <c r="N720" s="56">
        <f>100</f>
        <v>100</v>
      </c>
      <c r="O720" s="59">
        <v>240</v>
      </c>
      <c r="P720" s="59">
        <v>40</v>
      </c>
      <c r="Q720" s="59">
        <f t="shared" si="119"/>
        <v>315</v>
      </c>
      <c r="R720" s="59">
        <f t="shared" si="120"/>
        <v>100</v>
      </c>
      <c r="S720" s="56">
        <f t="shared" si="121"/>
        <v>695</v>
      </c>
      <c r="T720" s="56">
        <f>50</f>
        <v>50</v>
      </c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</row>
    <row r="721" spans="1:30" ht="15.75" x14ac:dyDescent="0.25">
      <c r="A721" s="13">
        <v>63248</v>
      </c>
      <c r="B721" s="67">
        <f t="shared" si="117"/>
        <v>28</v>
      </c>
      <c r="C721" s="56">
        <f>122.58</f>
        <v>122.58</v>
      </c>
      <c r="D721" s="56">
        <f>297.941</f>
        <v>297.94099999999997</v>
      </c>
      <c r="E721" s="64">
        <f>89.177</f>
        <v>89.177000000000007</v>
      </c>
      <c r="F721" s="56">
        <f>240.302-40-60-100</f>
        <v>40.301999999999992</v>
      </c>
      <c r="G721" s="59">
        <v>40</v>
      </c>
      <c r="H721" s="56">
        <f>60+100</f>
        <v>160</v>
      </c>
      <c r="I721" s="56">
        <f t="shared" si="113"/>
        <v>0</v>
      </c>
      <c r="J721" s="59">
        <v>100</v>
      </c>
      <c r="K721" s="59">
        <v>300</v>
      </c>
      <c r="L721" s="56">
        <f t="shared" si="118"/>
        <v>1150</v>
      </c>
      <c r="M721" s="66">
        <v>600</v>
      </c>
      <c r="N721" s="56">
        <f>100</f>
        <v>100</v>
      </c>
      <c r="O721" s="59">
        <v>240</v>
      </c>
      <c r="P721" s="59">
        <v>40</v>
      </c>
      <c r="Q721" s="59">
        <f t="shared" si="119"/>
        <v>315</v>
      </c>
      <c r="R721" s="59">
        <f t="shared" si="120"/>
        <v>100</v>
      </c>
      <c r="S721" s="56">
        <f t="shared" si="121"/>
        <v>695</v>
      </c>
      <c r="T721" s="56">
        <f>50</f>
        <v>50</v>
      </c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</row>
    <row r="722" spans="1:30" ht="15.75" x14ac:dyDescent="0.25">
      <c r="A722" s="13">
        <v>63279</v>
      </c>
      <c r="B722" s="67">
        <f t="shared" si="117"/>
        <v>31</v>
      </c>
      <c r="C722" s="56">
        <f>122.58</f>
        <v>122.58</v>
      </c>
      <c r="D722" s="56">
        <f>297.941</f>
        <v>297.94099999999997</v>
      </c>
      <c r="E722" s="64">
        <f>89.177</f>
        <v>89.177000000000007</v>
      </c>
      <c r="F722" s="56">
        <f>240.302-40-60-100</f>
        <v>40.301999999999992</v>
      </c>
      <c r="G722" s="59">
        <v>40</v>
      </c>
      <c r="H722" s="56">
        <f>60+100</f>
        <v>160</v>
      </c>
      <c r="I722" s="56">
        <f t="shared" si="113"/>
        <v>0</v>
      </c>
      <c r="J722" s="59">
        <v>100</v>
      </c>
      <c r="K722" s="59">
        <v>300</v>
      </c>
      <c r="L722" s="56">
        <f t="shared" si="118"/>
        <v>1150</v>
      </c>
      <c r="M722" s="66">
        <v>600</v>
      </c>
      <c r="N722" s="56">
        <f>100</f>
        <v>100</v>
      </c>
      <c r="O722" s="59">
        <v>240</v>
      </c>
      <c r="P722" s="59">
        <v>40</v>
      </c>
      <c r="Q722" s="59">
        <f t="shared" si="119"/>
        <v>315</v>
      </c>
      <c r="R722" s="59">
        <f t="shared" si="120"/>
        <v>100</v>
      </c>
      <c r="S722" s="56">
        <f t="shared" si="121"/>
        <v>695</v>
      </c>
      <c r="T722" s="56">
        <f>50</f>
        <v>50</v>
      </c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</row>
    <row r="723" spans="1:30" ht="15.75" x14ac:dyDescent="0.25">
      <c r="A723" s="13">
        <v>63309</v>
      </c>
      <c r="B723" s="67">
        <f t="shared" si="117"/>
        <v>30</v>
      </c>
      <c r="C723" s="56">
        <f>141.293</f>
        <v>141.29300000000001</v>
      </c>
      <c r="D723" s="56">
        <f>267.993</f>
        <v>267.99299999999999</v>
      </c>
      <c r="E723" s="64">
        <f>115.016</f>
        <v>115.01600000000001</v>
      </c>
      <c r="F723" s="56">
        <f>314.698-40-25-60-100</f>
        <v>89.697999999999979</v>
      </c>
      <c r="G723" s="59">
        <v>40</v>
      </c>
      <c r="H723" s="56">
        <f t="shared" ref="H723:H729" si="122">25+60+100</f>
        <v>185</v>
      </c>
      <c r="I723" s="56">
        <f t="shared" si="113"/>
        <v>0</v>
      </c>
      <c r="J723" s="59">
        <v>100</v>
      </c>
      <c r="K723" s="59">
        <v>300</v>
      </c>
      <c r="L723" s="56">
        <f t="shared" si="118"/>
        <v>1239</v>
      </c>
      <c r="M723" s="66">
        <v>600</v>
      </c>
      <c r="N723" s="56">
        <f>100</f>
        <v>100</v>
      </c>
      <c r="O723" s="59">
        <v>240</v>
      </c>
      <c r="P723" s="59">
        <v>40</v>
      </c>
      <c r="Q723" s="59">
        <f t="shared" si="119"/>
        <v>315</v>
      </c>
      <c r="R723" s="59">
        <f t="shared" si="120"/>
        <v>100</v>
      </c>
      <c r="S723" s="56">
        <f t="shared" si="121"/>
        <v>695</v>
      </c>
      <c r="T723" s="56">
        <f>50</f>
        <v>50</v>
      </c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</row>
    <row r="724" spans="1:30" ht="15.75" x14ac:dyDescent="0.25">
      <c r="A724" s="13">
        <v>63340</v>
      </c>
      <c r="B724" s="67">
        <f t="shared" si="117"/>
        <v>31</v>
      </c>
      <c r="C724" s="56">
        <f>194.205</f>
        <v>194.20500000000001</v>
      </c>
      <c r="D724" s="56">
        <f>267.466</f>
        <v>267.46600000000001</v>
      </c>
      <c r="E724" s="64">
        <f>133.845</f>
        <v>133.845</v>
      </c>
      <c r="F724" s="56">
        <f>278.484-40-25-60-100</f>
        <v>53.48399999999998</v>
      </c>
      <c r="G724" s="59">
        <v>40</v>
      </c>
      <c r="H724" s="56">
        <f t="shared" si="122"/>
        <v>185</v>
      </c>
      <c r="I724" s="56">
        <f t="shared" si="113"/>
        <v>0</v>
      </c>
      <c r="J724" s="59">
        <v>100</v>
      </c>
      <c r="K724" s="59">
        <v>300</v>
      </c>
      <c r="L724" s="56">
        <f t="shared" si="118"/>
        <v>1274</v>
      </c>
      <c r="M724" s="66">
        <v>600</v>
      </c>
      <c r="N724" s="56">
        <f>75</f>
        <v>75</v>
      </c>
      <c r="O724" s="59">
        <v>240</v>
      </c>
      <c r="P724" s="59">
        <v>40</v>
      </c>
      <c r="Q724" s="59">
        <f t="shared" si="119"/>
        <v>315</v>
      </c>
      <c r="R724" s="59">
        <f t="shared" si="120"/>
        <v>100</v>
      </c>
      <c r="S724" s="56">
        <f t="shared" si="121"/>
        <v>695</v>
      </c>
      <c r="T724" s="56">
        <f>50</f>
        <v>50</v>
      </c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</row>
    <row r="725" spans="1:30" ht="15.75" x14ac:dyDescent="0.25">
      <c r="A725" s="13">
        <v>63370</v>
      </c>
      <c r="B725" s="67">
        <f t="shared" si="117"/>
        <v>30</v>
      </c>
      <c r="C725" s="56">
        <f>194.205</f>
        <v>194.20500000000001</v>
      </c>
      <c r="D725" s="56">
        <f>267.466</f>
        <v>267.46600000000001</v>
      </c>
      <c r="E725" s="64">
        <f>133.845</f>
        <v>133.845</v>
      </c>
      <c r="F725" s="56">
        <f>278.484-40-25-60-100</f>
        <v>53.48399999999998</v>
      </c>
      <c r="G725" s="59">
        <v>40</v>
      </c>
      <c r="H725" s="56">
        <f t="shared" si="122"/>
        <v>185</v>
      </c>
      <c r="I725" s="56">
        <f t="shared" si="113"/>
        <v>0</v>
      </c>
      <c r="J725" s="59">
        <v>100</v>
      </c>
      <c r="K725" s="59">
        <v>300</v>
      </c>
      <c r="L725" s="56">
        <f t="shared" si="118"/>
        <v>1274</v>
      </c>
      <c r="M725" s="66">
        <v>600</v>
      </c>
      <c r="N725" s="56">
        <f>30</f>
        <v>30</v>
      </c>
      <c r="O725" s="59">
        <v>240</v>
      </c>
      <c r="P725" s="59">
        <v>40</v>
      </c>
      <c r="Q725" s="59">
        <f t="shared" si="119"/>
        <v>315</v>
      </c>
      <c r="R725" s="59">
        <f t="shared" si="120"/>
        <v>100</v>
      </c>
      <c r="S725" s="56">
        <f t="shared" si="121"/>
        <v>695</v>
      </c>
      <c r="T725" s="56">
        <f>50</f>
        <v>50</v>
      </c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</row>
    <row r="726" spans="1:30" ht="15.75" x14ac:dyDescent="0.25">
      <c r="A726" s="13">
        <v>63401</v>
      </c>
      <c r="B726" s="67">
        <f t="shared" si="117"/>
        <v>31</v>
      </c>
      <c r="C726" s="56">
        <f>194.205</f>
        <v>194.20500000000001</v>
      </c>
      <c r="D726" s="56">
        <f>267.466</f>
        <v>267.46600000000001</v>
      </c>
      <c r="E726" s="64">
        <f>133.845</f>
        <v>133.845</v>
      </c>
      <c r="F726" s="56">
        <f>278.484-40-25-60-100</f>
        <v>53.48399999999998</v>
      </c>
      <c r="G726" s="59">
        <v>40</v>
      </c>
      <c r="H726" s="56">
        <f t="shared" si="122"/>
        <v>185</v>
      </c>
      <c r="I726" s="56">
        <f t="shared" si="113"/>
        <v>0</v>
      </c>
      <c r="J726" s="59">
        <v>100</v>
      </c>
      <c r="K726" s="59">
        <v>300</v>
      </c>
      <c r="L726" s="56">
        <f t="shared" si="118"/>
        <v>1274</v>
      </c>
      <c r="M726" s="66">
        <v>600</v>
      </c>
      <c r="N726" s="56">
        <f>30</f>
        <v>30</v>
      </c>
      <c r="O726" s="59">
        <v>240</v>
      </c>
      <c r="P726" s="59">
        <v>40</v>
      </c>
      <c r="Q726" s="59">
        <f t="shared" si="119"/>
        <v>315</v>
      </c>
      <c r="R726" s="59">
        <f t="shared" si="120"/>
        <v>100</v>
      </c>
      <c r="S726" s="56">
        <f t="shared" si="121"/>
        <v>695</v>
      </c>
      <c r="T726" s="56">
        <f>0</f>
        <v>0</v>
      </c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</row>
    <row r="727" spans="1:30" ht="15.75" x14ac:dyDescent="0.25">
      <c r="A727" s="13">
        <v>63432</v>
      </c>
      <c r="B727" s="67">
        <f t="shared" si="117"/>
        <v>31</v>
      </c>
      <c r="C727" s="56">
        <f>194.205</f>
        <v>194.20500000000001</v>
      </c>
      <c r="D727" s="56">
        <f>267.466</f>
        <v>267.46600000000001</v>
      </c>
      <c r="E727" s="64">
        <f>133.845</f>
        <v>133.845</v>
      </c>
      <c r="F727" s="56">
        <f>278.484-40-25-60-100</f>
        <v>53.48399999999998</v>
      </c>
      <c r="G727" s="59">
        <v>40</v>
      </c>
      <c r="H727" s="56">
        <f t="shared" si="122"/>
        <v>185</v>
      </c>
      <c r="I727" s="56">
        <f t="shared" si="113"/>
        <v>0</v>
      </c>
      <c r="J727" s="59">
        <v>100</v>
      </c>
      <c r="K727" s="59">
        <v>300</v>
      </c>
      <c r="L727" s="56">
        <f t="shared" si="118"/>
        <v>1274</v>
      </c>
      <c r="M727" s="66">
        <v>600</v>
      </c>
      <c r="N727" s="56">
        <f>30</f>
        <v>30</v>
      </c>
      <c r="O727" s="59">
        <v>240</v>
      </c>
      <c r="P727" s="59">
        <v>40</v>
      </c>
      <c r="Q727" s="59">
        <f t="shared" si="119"/>
        <v>315</v>
      </c>
      <c r="R727" s="59">
        <f t="shared" si="120"/>
        <v>100</v>
      </c>
      <c r="S727" s="56">
        <f t="shared" si="121"/>
        <v>695</v>
      </c>
      <c r="T727" s="56">
        <f>0</f>
        <v>0</v>
      </c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</row>
    <row r="728" spans="1:30" ht="15.75" x14ac:dyDescent="0.25">
      <c r="A728" s="13">
        <v>63462</v>
      </c>
      <c r="B728" s="67">
        <f t="shared" si="117"/>
        <v>30</v>
      </c>
      <c r="C728" s="56">
        <f>194.205</f>
        <v>194.20500000000001</v>
      </c>
      <c r="D728" s="56">
        <f>267.466</f>
        <v>267.46600000000001</v>
      </c>
      <c r="E728" s="64">
        <f>133.845</f>
        <v>133.845</v>
      </c>
      <c r="F728" s="56">
        <f>278.484-40-25-60-100</f>
        <v>53.48399999999998</v>
      </c>
      <c r="G728" s="59">
        <v>40</v>
      </c>
      <c r="H728" s="56">
        <f t="shared" si="122"/>
        <v>185</v>
      </c>
      <c r="I728" s="56">
        <f t="shared" si="113"/>
        <v>0</v>
      </c>
      <c r="J728" s="59">
        <v>100</v>
      </c>
      <c r="K728" s="59">
        <v>300</v>
      </c>
      <c r="L728" s="56">
        <f t="shared" si="118"/>
        <v>1274</v>
      </c>
      <c r="M728" s="66">
        <v>600</v>
      </c>
      <c r="N728" s="56">
        <f>30</f>
        <v>30</v>
      </c>
      <c r="O728" s="59">
        <v>240</v>
      </c>
      <c r="P728" s="59">
        <v>40</v>
      </c>
      <c r="Q728" s="59">
        <f t="shared" si="119"/>
        <v>315</v>
      </c>
      <c r="R728" s="59">
        <f t="shared" si="120"/>
        <v>100</v>
      </c>
      <c r="S728" s="56">
        <f t="shared" si="121"/>
        <v>695</v>
      </c>
      <c r="T728" s="56">
        <f>0</f>
        <v>0</v>
      </c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</row>
    <row r="729" spans="1:30" ht="15.75" x14ac:dyDescent="0.25">
      <c r="A729" s="13">
        <v>63493</v>
      </c>
      <c r="B729" s="67">
        <f t="shared" si="117"/>
        <v>31</v>
      </c>
      <c r="C729" s="56">
        <f>131.881</f>
        <v>131.881</v>
      </c>
      <c r="D729" s="56">
        <f>277.167</f>
        <v>277.16699999999997</v>
      </c>
      <c r="E729" s="64">
        <f>79.08</f>
        <v>79.08</v>
      </c>
      <c r="F729" s="56">
        <f>350.872-40-25-60-100</f>
        <v>125.87200000000001</v>
      </c>
      <c r="G729" s="59">
        <v>40</v>
      </c>
      <c r="H729" s="56">
        <f t="shared" si="122"/>
        <v>185</v>
      </c>
      <c r="I729" s="56">
        <f t="shared" si="113"/>
        <v>0</v>
      </c>
      <c r="J729" s="59">
        <v>100</v>
      </c>
      <c r="K729" s="59">
        <v>300</v>
      </c>
      <c r="L729" s="56">
        <f t="shared" si="118"/>
        <v>1239</v>
      </c>
      <c r="M729" s="66">
        <v>600</v>
      </c>
      <c r="N729" s="56">
        <f>75</f>
        <v>75</v>
      </c>
      <c r="O729" s="59">
        <v>240</v>
      </c>
      <c r="P729" s="59">
        <v>40</v>
      </c>
      <c r="Q729" s="59">
        <f t="shared" si="119"/>
        <v>315</v>
      </c>
      <c r="R729" s="59">
        <f t="shared" si="120"/>
        <v>100</v>
      </c>
      <c r="S729" s="56">
        <f t="shared" si="121"/>
        <v>695</v>
      </c>
      <c r="T729" s="56">
        <f>0</f>
        <v>0</v>
      </c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</row>
    <row r="730" spans="1:30" ht="15.75" x14ac:dyDescent="0.25">
      <c r="A730" s="13">
        <v>63523</v>
      </c>
      <c r="B730" s="67">
        <f t="shared" si="117"/>
        <v>30</v>
      </c>
      <c r="C730" s="56">
        <f>122.58</f>
        <v>122.58</v>
      </c>
      <c r="D730" s="56">
        <f>297.941</f>
        <v>297.94099999999997</v>
      </c>
      <c r="E730" s="64">
        <f>89.177</f>
        <v>89.177000000000007</v>
      </c>
      <c r="F730" s="56">
        <f>240.302-40-60-100</f>
        <v>40.301999999999992</v>
      </c>
      <c r="G730" s="59">
        <v>40</v>
      </c>
      <c r="H730" s="56">
        <f>60+100</f>
        <v>160</v>
      </c>
      <c r="I730" s="56">
        <f t="shared" si="113"/>
        <v>0</v>
      </c>
      <c r="J730" s="59">
        <v>100</v>
      </c>
      <c r="K730" s="59">
        <v>300</v>
      </c>
      <c r="L730" s="56">
        <f t="shared" si="118"/>
        <v>1150</v>
      </c>
      <c r="M730" s="66">
        <v>600</v>
      </c>
      <c r="N730" s="56">
        <f>100</f>
        <v>100</v>
      </c>
      <c r="O730" s="59">
        <v>240</v>
      </c>
      <c r="P730" s="59">
        <v>40</v>
      </c>
      <c r="Q730" s="59">
        <f t="shared" si="119"/>
        <v>315</v>
      </c>
      <c r="R730" s="59">
        <f t="shared" si="120"/>
        <v>100</v>
      </c>
      <c r="S730" s="56">
        <f t="shared" si="121"/>
        <v>695</v>
      </c>
      <c r="T730" s="56">
        <f>50</f>
        <v>50</v>
      </c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</row>
    <row r="731" spans="1:30" ht="15.75" x14ac:dyDescent="0.25">
      <c r="A731" s="13">
        <v>63554</v>
      </c>
      <c r="B731" s="67">
        <f t="shared" si="117"/>
        <v>31</v>
      </c>
      <c r="C731" s="56">
        <f>122.58</f>
        <v>122.58</v>
      </c>
      <c r="D731" s="56">
        <f>297.941</f>
        <v>297.94099999999997</v>
      </c>
      <c r="E731" s="64">
        <f>89.177</f>
        <v>89.177000000000007</v>
      </c>
      <c r="F731" s="56">
        <f>240.302-40-60-100</f>
        <v>40.301999999999992</v>
      </c>
      <c r="G731" s="59">
        <v>40</v>
      </c>
      <c r="H731" s="56">
        <f>60+100</f>
        <v>160</v>
      </c>
      <c r="I731" s="56">
        <f t="shared" si="113"/>
        <v>0</v>
      </c>
      <c r="J731" s="59">
        <v>100</v>
      </c>
      <c r="K731" s="59">
        <v>300</v>
      </c>
      <c r="L731" s="56">
        <f t="shared" si="118"/>
        <v>1150</v>
      </c>
      <c r="M731" s="66">
        <v>600</v>
      </c>
      <c r="N731" s="56">
        <f>100</f>
        <v>100</v>
      </c>
      <c r="O731" s="59">
        <v>240</v>
      </c>
      <c r="P731" s="59">
        <v>40</v>
      </c>
      <c r="Q731" s="59">
        <f t="shared" si="119"/>
        <v>315</v>
      </c>
      <c r="R731" s="59">
        <f t="shared" si="120"/>
        <v>100</v>
      </c>
      <c r="S731" s="56">
        <f t="shared" si="121"/>
        <v>695</v>
      </c>
      <c r="T731" s="56">
        <f>50</f>
        <v>50</v>
      </c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</row>
    <row r="732" spans="1:30" ht="15.75" x14ac:dyDescent="0.25">
      <c r="A732" s="13">
        <v>63585</v>
      </c>
      <c r="B732" s="67">
        <f t="shared" si="117"/>
        <v>31</v>
      </c>
      <c r="C732" s="56">
        <f>122.58</f>
        <v>122.58</v>
      </c>
      <c r="D732" s="56">
        <f>297.941</f>
        <v>297.94099999999997</v>
      </c>
      <c r="E732" s="64">
        <f>89.177</f>
        <v>89.177000000000007</v>
      </c>
      <c r="F732" s="56">
        <f>240.302-40-60-100</f>
        <v>40.301999999999992</v>
      </c>
      <c r="G732" s="59">
        <v>40</v>
      </c>
      <c r="H732" s="56">
        <f>60+100</f>
        <v>160</v>
      </c>
      <c r="I732" s="56">
        <f t="shared" si="113"/>
        <v>0</v>
      </c>
      <c r="J732" s="59">
        <v>100</v>
      </c>
      <c r="K732" s="59">
        <v>300</v>
      </c>
      <c r="L732" s="56">
        <f t="shared" si="118"/>
        <v>1150</v>
      </c>
      <c r="M732" s="66">
        <v>600</v>
      </c>
      <c r="N732" s="56">
        <f>100</f>
        <v>100</v>
      </c>
      <c r="O732" s="59">
        <v>240</v>
      </c>
      <c r="P732" s="59">
        <v>40</v>
      </c>
      <c r="Q732" s="59">
        <f t="shared" si="119"/>
        <v>315</v>
      </c>
      <c r="R732" s="59">
        <f t="shared" si="120"/>
        <v>100</v>
      </c>
      <c r="S732" s="56">
        <f t="shared" si="121"/>
        <v>695</v>
      </c>
      <c r="T732" s="56">
        <f>50</f>
        <v>50</v>
      </c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</row>
    <row r="733" spans="1:30" ht="15.75" x14ac:dyDescent="0.25">
      <c r="A733" s="13">
        <v>63613</v>
      </c>
      <c r="B733" s="67">
        <f t="shared" si="117"/>
        <v>28</v>
      </c>
      <c r="C733" s="56">
        <f>122.58</f>
        <v>122.58</v>
      </c>
      <c r="D733" s="56">
        <f>297.941</f>
        <v>297.94099999999997</v>
      </c>
      <c r="E733" s="64">
        <f>89.177</f>
        <v>89.177000000000007</v>
      </c>
      <c r="F733" s="56">
        <f>240.302-40-60-100</f>
        <v>40.301999999999992</v>
      </c>
      <c r="G733" s="59">
        <v>40</v>
      </c>
      <c r="H733" s="56">
        <f>60+100</f>
        <v>160</v>
      </c>
      <c r="I733" s="56">
        <f t="shared" si="113"/>
        <v>0</v>
      </c>
      <c r="J733" s="59">
        <v>100</v>
      </c>
      <c r="K733" s="59">
        <v>300</v>
      </c>
      <c r="L733" s="56">
        <f t="shared" si="118"/>
        <v>1150</v>
      </c>
      <c r="M733" s="66">
        <v>600</v>
      </c>
      <c r="N733" s="56">
        <f>100</f>
        <v>100</v>
      </c>
      <c r="O733" s="59">
        <v>240</v>
      </c>
      <c r="P733" s="59">
        <v>40</v>
      </c>
      <c r="Q733" s="59">
        <f t="shared" si="119"/>
        <v>315</v>
      </c>
      <c r="R733" s="59">
        <f t="shared" si="120"/>
        <v>100</v>
      </c>
      <c r="S733" s="56">
        <f t="shared" si="121"/>
        <v>695</v>
      </c>
      <c r="T733" s="56">
        <f>50</f>
        <v>50</v>
      </c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</row>
    <row r="734" spans="1:30" ht="15.75" x14ac:dyDescent="0.25">
      <c r="A734" s="13">
        <v>63644</v>
      </c>
      <c r="B734" s="67">
        <f t="shared" si="117"/>
        <v>31</v>
      </c>
      <c r="C734" s="56">
        <f>122.58</f>
        <v>122.58</v>
      </c>
      <c r="D734" s="56">
        <f>297.941</f>
        <v>297.94099999999997</v>
      </c>
      <c r="E734" s="64">
        <f>89.177</f>
        <v>89.177000000000007</v>
      </c>
      <c r="F734" s="56">
        <f>240.302-40-60-100</f>
        <v>40.301999999999992</v>
      </c>
      <c r="G734" s="59">
        <v>40</v>
      </c>
      <c r="H734" s="56">
        <f>60+100</f>
        <v>160</v>
      </c>
      <c r="I734" s="56">
        <f t="shared" si="113"/>
        <v>0</v>
      </c>
      <c r="J734" s="59">
        <v>100</v>
      </c>
      <c r="K734" s="59">
        <v>300</v>
      </c>
      <c r="L734" s="56">
        <f t="shared" si="118"/>
        <v>1150</v>
      </c>
      <c r="M734" s="66">
        <v>600</v>
      </c>
      <c r="N734" s="56">
        <f>100</f>
        <v>100</v>
      </c>
      <c r="O734" s="59">
        <v>240</v>
      </c>
      <c r="P734" s="59">
        <v>40</v>
      </c>
      <c r="Q734" s="59">
        <f t="shared" si="119"/>
        <v>315</v>
      </c>
      <c r="R734" s="59">
        <f t="shared" si="120"/>
        <v>100</v>
      </c>
      <c r="S734" s="56">
        <f t="shared" si="121"/>
        <v>695</v>
      </c>
      <c r="T734" s="56">
        <f>50</f>
        <v>50</v>
      </c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</row>
    <row r="735" spans="1:30" ht="15.75" x14ac:dyDescent="0.25">
      <c r="A735" s="13">
        <v>63674</v>
      </c>
      <c r="B735" s="67">
        <f t="shared" si="117"/>
        <v>30</v>
      </c>
      <c r="C735" s="56">
        <f>141.293</f>
        <v>141.29300000000001</v>
      </c>
      <c r="D735" s="56">
        <f>267.993</f>
        <v>267.99299999999999</v>
      </c>
      <c r="E735" s="64">
        <f>115.016</f>
        <v>115.01600000000001</v>
      </c>
      <c r="F735" s="56">
        <f>314.698-40-25-60-100</f>
        <v>89.697999999999979</v>
      </c>
      <c r="G735" s="59">
        <v>40</v>
      </c>
      <c r="H735" s="56">
        <f t="shared" ref="H735:H741" si="123">25+60+100</f>
        <v>185</v>
      </c>
      <c r="I735" s="56">
        <f t="shared" si="113"/>
        <v>0</v>
      </c>
      <c r="J735" s="59">
        <v>100</v>
      </c>
      <c r="K735" s="59">
        <v>300</v>
      </c>
      <c r="L735" s="56">
        <f t="shared" si="118"/>
        <v>1239</v>
      </c>
      <c r="M735" s="66">
        <v>600</v>
      </c>
      <c r="N735" s="56">
        <f>100</f>
        <v>100</v>
      </c>
      <c r="O735" s="59">
        <v>240</v>
      </c>
      <c r="P735" s="59">
        <v>40</v>
      </c>
      <c r="Q735" s="59">
        <f t="shared" si="119"/>
        <v>315</v>
      </c>
      <c r="R735" s="59">
        <f t="shared" si="120"/>
        <v>100</v>
      </c>
      <c r="S735" s="56">
        <f t="shared" si="121"/>
        <v>695</v>
      </c>
      <c r="T735" s="56">
        <f>50</f>
        <v>50</v>
      </c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</row>
    <row r="736" spans="1:30" ht="15.75" x14ac:dyDescent="0.25">
      <c r="A736" s="13">
        <v>63705</v>
      </c>
      <c r="B736" s="67">
        <f t="shared" si="117"/>
        <v>31</v>
      </c>
      <c r="C736" s="56">
        <f>194.205</f>
        <v>194.20500000000001</v>
      </c>
      <c r="D736" s="56">
        <f>267.466</f>
        <v>267.46600000000001</v>
      </c>
      <c r="E736" s="64">
        <f>133.845</f>
        <v>133.845</v>
      </c>
      <c r="F736" s="56">
        <f>278.484-40-25-60-100</f>
        <v>53.48399999999998</v>
      </c>
      <c r="G736" s="59">
        <v>40</v>
      </c>
      <c r="H736" s="56">
        <f t="shared" si="123"/>
        <v>185</v>
      </c>
      <c r="I736" s="56">
        <f t="shared" si="113"/>
        <v>0</v>
      </c>
      <c r="J736" s="59">
        <v>100</v>
      </c>
      <c r="K736" s="59">
        <v>300</v>
      </c>
      <c r="L736" s="56">
        <f t="shared" si="118"/>
        <v>1274</v>
      </c>
      <c r="M736" s="66">
        <v>600</v>
      </c>
      <c r="N736" s="56">
        <f>75</f>
        <v>75</v>
      </c>
      <c r="O736" s="59">
        <v>240</v>
      </c>
      <c r="P736" s="59">
        <v>40</v>
      </c>
      <c r="Q736" s="59">
        <f t="shared" si="119"/>
        <v>315</v>
      </c>
      <c r="R736" s="59">
        <f t="shared" si="120"/>
        <v>100</v>
      </c>
      <c r="S736" s="56">
        <f t="shared" si="121"/>
        <v>695</v>
      </c>
      <c r="T736" s="56">
        <f>50</f>
        <v>50</v>
      </c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</row>
    <row r="737" spans="1:30" ht="15.75" x14ac:dyDescent="0.25">
      <c r="A737" s="13">
        <v>63735</v>
      </c>
      <c r="B737" s="67">
        <f t="shared" si="117"/>
        <v>30</v>
      </c>
      <c r="C737" s="56">
        <f>194.205</f>
        <v>194.20500000000001</v>
      </c>
      <c r="D737" s="56">
        <f>267.466</f>
        <v>267.46600000000001</v>
      </c>
      <c r="E737" s="64">
        <f>133.845</f>
        <v>133.845</v>
      </c>
      <c r="F737" s="56">
        <f>278.484-40-25-60-100</f>
        <v>53.48399999999998</v>
      </c>
      <c r="G737" s="59">
        <v>40</v>
      </c>
      <c r="H737" s="56">
        <f t="shared" si="123"/>
        <v>185</v>
      </c>
      <c r="I737" s="56">
        <f t="shared" si="113"/>
        <v>0</v>
      </c>
      <c r="J737" s="59">
        <v>100</v>
      </c>
      <c r="K737" s="59">
        <v>300</v>
      </c>
      <c r="L737" s="56">
        <f t="shared" si="118"/>
        <v>1274</v>
      </c>
      <c r="M737" s="66">
        <v>600</v>
      </c>
      <c r="N737" s="56">
        <f>30</f>
        <v>30</v>
      </c>
      <c r="O737" s="59">
        <v>240</v>
      </c>
      <c r="P737" s="59">
        <v>40</v>
      </c>
      <c r="Q737" s="59">
        <f t="shared" si="119"/>
        <v>315</v>
      </c>
      <c r="R737" s="59">
        <f t="shared" si="120"/>
        <v>100</v>
      </c>
      <c r="S737" s="56">
        <f t="shared" si="121"/>
        <v>695</v>
      </c>
      <c r="T737" s="56">
        <f>50</f>
        <v>50</v>
      </c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</row>
    <row r="738" spans="1:30" ht="15.75" x14ac:dyDescent="0.25">
      <c r="A738" s="13">
        <v>63766</v>
      </c>
      <c r="B738" s="67">
        <f t="shared" si="117"/>
        <v>31</v>
      </c>
      <c r="C738" s="56">
        <f>194.205</f>
        <v>194.20500000000001</v>
      </c>
      <c r="D738" s="56">
        <f>267.466</f>
        <v>267.46600000000001</v>
      </c>
      <c r="E738" s="64">
        <f>133.845</f>
        <v>133.845</v>
      </c>
      <c r="F738" s="56">
        <f>278.484-40-25-60-100</f>
        <v>53.48399999999998</v>
      </c>
      <c r="G738" s="59">
        <v>40</v>
      </c>
      <c r="H738" s="56">
        <f t="shared" si="123"/>
        <v>185</v>
      </c>
      <c r="I738" s="56">
        <f t="shared" si="113"/>
        <v>0</v>
      </c>
      <c r="J738" s="59">
        <v>100</v>
      </c>
      <c r="K738" s="59">
        <v>300</v>
      </c>
      <c r="L738" s="56">
        <f t="shared" si="118"/>
        <v>1274</v>
      </c>
      <c r="M738" s="66">
        <v>600</v>
      </c>
      <c r="N738" s="56">
        <f>30</f>
        <v>30</v>
      </c>
      <c r="O738" s="59">
        <v>240</v>
      </c>
      <c r="P738" s="59">
        <v>40</v>
      </c>
      <c r="Q738" s="59">
        <f t="shared" si="119"/>
        <v>315</v>
      </c>
      <c r="R738" s="59">
        <f t="shared" si="120"/>
        <v>100</v>
      </c>
      <c r="S738" s="56">
        <f t="shared" si="121"/>
        <v>695</v>
      </c>
      <c r="T738" s="56">
        <f>0</f>
        <v>0</v>
      </c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</row>
    <row r="739" spans="1:30" ht="15.75" x14ac:dyDescent="0.25">
      <c r="A739" s="13">
        <v>63797</v>
      </c>
      <c r="B739" s="67">
        <f t="shared" si="117"/>
        <v>31</v>
      </c>
      <c r="C739" s="56">
        <f>194.205</f>
        <v>194.20500000000001</v>
      </c>
      <c r="D739" s="56">
        <f>267.466</f>
        <v>267.46600000000001</v>
      </c>
      <c r="E739" s="64">
        <f>133.845</f>
        <v>133.845</v>
      </c>
      <c r="F739" s="56">
        <f>278.484-40-25-60-100</f>
        <v>53.48399999999998</v>
      </c>
      <c r="G739" s="59">
        <v>40</v>
      </c>
      <c r="H739" s="56">
        <f t="shared" si="123"/>
        <v>185</v>
      </c>
      <c r="I739" s="56">
        <f t="shared" si="113"/>
        <v>0</v>
      </c>
      <c r="J739" s="59">
        <v>100</v>
      </c>
      <c r="K739" s="59">
        <v>300</v>
      </c>
      <c r="L739" s="56">
        <f t="shared" si="118"/>
        <v>1274</v>
      </c>
      <c r="M739" s="66">
        <v>600</v>
      </c>
      <c r="N739" s="56">
        <f>30</f>
        <v>30</v>
      </c>
      <c r="O739" s="59">
        <v>240</v>
      </c>
      <c r="P739" s="59">
        <v>40</v>
      </c>
      <c r="Q739" s="59">
        <f t="shared" si="119"/>
        <v>315</v>
      </c>
      <c r="R739" s="59">
        <f t="shared" si="120"/>
        <v>100</v>
      </c>
      <c r="S739" s="56">
        <f t="shared" si="121"/>
        <v>695</v>
      </c>
      <c r="T739" s="56">
        <f>0</f>
        <v>0</v>
      </c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</row>
    <row r="740" spans="1:30" ht="15.75" x14ac:dyDescent="0.25">
      <c r="A740" s="13">
        <v>63827</v>
      </c>
      <c r="B740" s="67">
        <f t="shared" si="117"/>
        <v>30</v>
      </c>
      <c r="C740" s="56">
        <f>194.205</f>
        <v>194.20500000000001</v>
      </c>
      <c r="D740" s="56">
        <f>267.466</f>
        <v>267.46600000000001</v>
      </c>
      <c r="E740" s="64">
        <f>133.845</f>
        <v>133.845</v>
      </c>
      <c r="F740" s="56">
        <f>278.484-40-25-60-100</f>
        <v>53.48399999999998</v>
      </c>
      <c r="G740" s="59">
        <v>40</v>
      </c>
      <c r="H740" s="56">
        <f t="shared" si="123"/>
        <v>185</v>
      </c>
      <c r="I740" s="56">
        <f t="shared" si="113"/>
        <v>0</v>
      </c>
      <c r="J740" s="59">
        <v>100</v>
      </c>
      <c r="K740" s="59">
        <v>300</v>
      </c>
      <c r="L740" s="56">
        <f t="shared" si="118"/>
        <v>1274</v>
      </c>
      <c r="M740" s="66">
        <v>600</v>
      </c>
      <c r="N740" s="56">
        <f>30</f>
        <v>30</v>
      </c>
      <c r="O740" s="59">
        <v>240</v>
      </c>
      <c r="P740" s="59">
        <v>40</v>
      </c>
      <c r="Q740" s="59">
        <f t="shared" si="119"/>
        <v>315</v>
      </c>
      <c r="R740" s="59">
        <f t="shared" si="120"/>
        <v>100</v>
      </c>
      <c r="S740" s="56">
        <f t="shared" si="121"/>
        <v>695</v>
      </c>
      <c r="T740" s="56">
        <f>0</f>
        <v>0</v>
      </c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</row>
    <row r="741" spans="1:30" ht="15.75" x14ac:dyDescent="0.25">
      <c r="A741" s="13">
        <v>63858</v>
      </c>
      <c r="B741" s="67">
        <f t="shared" si="117"/>
        <v>31</v>
      </c>
      <c r="C741" s="56">
        <f>131.881</f>
        <v>131.881</v>
      </c>
      <c r="D741" s="56">
        <f>277.167</f>
        <v>277.16699999999997</v>
      </c>
      <c r="E741" s="64">
        <f>79.08</f>
        <v>79.08</v>
      </c>
      <c r="F741" s="56">
        <f>350.872-40-25-60-100</f>
        <v>125.87200000000001</v>
      </c>
      <c r="G741" s="59">
        <v>40</v>
      </c>
      <c r="H741" s="56">
        <f t="shared" si="123"/>
        <v>185</v>
      </c>
      <c r="I741" s="56">
        <f t="shared" si="113"/>
        <v>0</v>
      </c>
      <c r="J741" s="59">
        <v>100</v>
      </c>
      <c r="K741" s="59">
        <v>300</v>
      </c>
      <c r="L741" s="56">
        <f t="shared" si="118"/>
        <v>1239</v>
      </c>
      <c r="M741" s="66">
        <v>600</v>
      </c>
      <c r="N741" s="56">
        <f>75</f>
        <v>75</v>
      </c>
      <c r="O741" s="59">
        <v>240</v>
      </c>
      <c r="P741" s="59">
        <v>40</v>
      </c>
      <c r="Q741" s="59">
        <f t="shared" si="119"/>
        <v>315</v>
      </c>
      <c r="R741" s="59">
        <f t="shared" si="120"/>
        <v>100</v>
      </c>
      <c r="S741" s="56">
        <f t="shared" si="121"/>
        <v>695</v>
      </c>
      <c r="T741" s="56">
        <f>0</f>
        <v>0</v>
      </c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</row>
    <row r="742" spans="1:30" ht="15.75" x14ac:dyDescent="0.25">
      <c r="A742" s="13">
        <v>63888</v>
      </c>
      <c r="B742" s="67">
        <f t="shared" si="117"/>
        <v>30</v>
      </c>
      <c r="C742" s="56">
        <f>122.58</f>
        <v>122.58</v>
      </c>
      <c r="D742" s="56">
        <f>297.941</f>
        <v>297.94099999999997</v>
      </c>
      <c r="E742" s="64">
        <f>89.177</f>
        <v>89.177000000000007</v>
      </c>
      <c r="F742" s="56">
        <f>240.302-40-60-100</f>
        <v>40.301999999999992</v>
      </c>
      <c r="G742" s="59">
        <v>40</v>
      </c>
      <c r="H742" s="56">
        <f>60+100</f>
        <v>160</v>
      </c>
      <c r="I742" s="56">
        <f t="shared" si="113"/>
        <v>0</v>
      </c>
      <c r="J742" s="59">
        <v>100</v>
      </c>
      <c r="K742" s="59">
        <v>300</v>
      </c>
      <c r="L742" s="56">
        <f t="shared" si="118"/>
        <v>1150</v>
      </c>
      <c r="M742" s="66">
        <v>600</v>
      </c>
      <c r="N742" s="56">
        <f>100</f>
        <v>100</v>
      </c>
      <c r="O742" s="59">
        <v>240</v>
      </c>
      <c r="P742" s="59">
        <v>40</v>
      </c>
      <c r="Q742" s="59">
        <f t="shared" si="119"/>
        <v>315</v>
      </c>
      <c r="R742" s="59">
        <f t="shared" si="120"/>
        <v>100</v>
      </c>
      <c r="S742" s="56">
        <f t="shared" si="121"/>
        <v>695</v>
      </c>
      <c r="T742" s="56">
        <f>50</f>
        <v>50</v>
      </c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</row>
    <row r="743" spans="1:30" ht="15.75" x14ac:dyDescent="0.25">
      <c r="A743" s="13">
        <v>63919</v>
      </c>
      <c r="B743" s="67">
        <f t="shared" si="117"/>
        <v>31</v>
      </c>
      <c r="C743" s="56">
        <f>122.58</f>
        <v>122.58</v>
      </c>
      <c r="D743" s="56">
        <f>297.941</f>
        <v>297.94099999999997</v>
      </c>
      <c r="E743" s="64">
        <f>89.177</f>
        <v>89.177000000000007</v>
      </c>
      <c r="F743" s="56">
        <f>240.302-40-60-100</f>
        <v>40.301999999999992</v>
      </c>
      <c r="G743" s="59">
        <v>40</v>
      </c>
      <c r="H743" s="56">
        <f>60+100</f>
        <v>160</v>
      </c>
      <c r="I743" s="56">
        <f t="shared" si="113"/>
        <v>0</v>
      </c>
      <c r="J743" s="59">
        <v>100</v>
      </c>
      <c r="K743" s="59">
        <v>300</v>
      </c>
      <c r="L743" s="56">
        <f t="shared" si="118"/>
        <v>1150</v>
      </c>
      <c r="M743" s="66">
        <v>600</v>
      </c>
      <c r="N743" s="56">
        <f>100</f>
        <v>100</v>
      </c>
      <c r="O743" s="59">
        <v>240</v>
      </c>
      <c r="P743" s="59">
        <v>40</v>
      </c>
      <c r="Q743" s="59">
        <f t="shared" si="119"/>
        <v>315</v>
      </c>
      <c r="R743" s="59">
        <f t="shared" si="120"/>
        <v>100</v>
      </c>
      <c r="S743" s="56">
        <f t="shared" si="121"/>
        <v>695</v>
      </c>
      <c r="T743" s="56">
        <f>50</f>
        <v>50</v>
      </c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</row>
    <row r="744" spans="1:30" ht="15.75" x14ac:dyDescent="0.25">
      <c r="A744" s="13">
        <v>63950</v>
      </c>
      <c r="B744" s="67">
        <f t="shared" si="117"/>
        <v>31</v>
      </c>
      <c r="C744" s="56">
        <f>122.58</f>
        <v>122.58</v>
      </c>
      <c r="D744" s="56">
        <f>297.941</f>
        <v>297.94099999999997</v>
      </c>
      <c r="E744" s="64">
        <f>89.177</f>
        <v>89.177000000000007</v>
      </c>
      <c r="F744" s="56">
        <f>240.302-40-60-100</f>
        <v>40.301999999999992</v>
      </c>
      <c r="G744" s="59">
        <v>40</v>
      </c>
      <c r="H744" s="56">
        <f>60+100</f>
        <v>160</v>
      </c>
      <c r="I744" s="56">
        <f t="shared" ref="I744:I807" si="124">400-J744-K744</f>
        <v>0</v>
      </c>
      <c r="J744" s="59">
        <v>100</v>
      </c>
      <c r="K744" s="59">
        <v>300</v>
      </c>
      <c r="L744" s="56">
        <f t="shared" si="118"/>
        <v>1150</v>
      </c>
      <c r="M744" s="66">
        <v>600</v>
      </c>
      <c r="N744" s="56">
        <f>100</f>
        <v>100</v>
      </c>
      <c r="O744" s="59">
        <v>240</v>
      </c>
      <c r="P744" s="59">
        <v>40</v>
      </c>
      <c r="Q744" s="59">
        <f t="shared" si="119"/>
        <v>315</v>
      </c>
      <c r="R744" s="59">
        <f t="shared" si="120"/>
        <v>100</v>
      </c>
      <c r="S744" s="56">
        <f t="shared" si="121"/>
        <v>695</v>
      </c>
      <c r="T744" s="56">
        <f>50</f>
        <v>50</v>
      </c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</row>
    <row r="745" spans="1:30" ht="15.75" x14ac:dyDescent="0.25">
      <c r="A745" s="13">
        <v>63978</v>
      </c>
      <c r="B745" s="67">
        <f t="shared" si="117"/>
        <v>28</v>
      </c>
      <c r="C745" s="56">
        <f>122.58</f>
        <v>122.58</v>
      </c>
      <c r="D745" s="56">
        <f>297.941</f>
        <v>297.94099999999997</v>
      </c>
      <c r="E745" s="64">
        <f>89.177</f>
        <v>89.177000000000007</v>
      </c>
      <c r="F745" s="56">
        <f>240.302-40-60-100</f>
        <v>40.301999999999992</v>
      </c>
      <c r="G745" s="59">
        <v>40</v>
      </c>
      <c r="H745" s="56">
        <f>60+100</f>
        <v>160</v>
      </c>
      <c r="I745" s="56">
        <f t="shared" si="124"/>
        <v>0</v>
      </c>
      <c r="J745" s="59">
        <v>100</v>
      </c>
      <c r="K745" s="59">
        <v>300</v>
      </c>
      <c r="L745" s="56">
        <f t="shared" si="118"/>
        <v>1150</v>
      </c>
      <c r="M745" s="66">
        <v>600</v>
      </c>
      <c r="N745" s="56">
        <f>100</f>
        <v>100</v>
      </c>
      <c r="O745" s="59">
        <v>240</v>
      </c>
      <c r="P745" s="59">
        <v>40</v>
      </c>
      <c r="Q745" s="59">
        <f t="shared" si="119"/>
        <v>315</v>
      </c>
      <c r="R745" s="59">
        <f t="shared" si="120"/>
        <v>100</v>
      </c>
      <c r="S745" s="56">
        <f t="shared" si="121"/>
        <v>695</v>
      </c>
      <c r="T745" s="56">
        <f>50</f>
        <v>50</v>
      </c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</row>
    <row r="746" spans="1:30" ht="15.75" x14ac:dyDescent="0.25">
      <c r="A746" s="13">
        <v>64009</v>
      </c>
      <c r="B746" s="67">
        <f t="shared" si="117"/>
        <v>31</v>
      </c>
      <c r="C746" s="56">
        <f>122.58</f>
        <v>122.58</v>
      </c>
      <c r="D746" s="56">
        <f>297.941</f>
        <v>297.94099999999997</v>
      </c>
      <c r="E746" s="64">
        <f>89.177</f>
        <v>89.177000000000007</v>
      </c>
      <c r="F746" s="56">
        <f>240.302-40-60-100</f>
        <v>40.301999999999992</v>
      </c>
      <c r="G746" s="59">
        <v>40</v>
      </c>
      <c r="H746" s="56">
        <f>60+100</f>
        <v>160</v>
      </c>
      <c r="I746" s="56">
        <f t="shared" si="124"/>
        <v>0</v>
      </c>
      <c r="J746" s="59">
        <v>100</v>
      </c>
      <c r="K746" s="59">
        <v>300</v>
      </c>
      <c r="L746" s="56">
        <f t="shared" si="118"/>
        <v>1150</v>
      </c>
      <c r="M746" s="66">
        <v>600</v>
      </c>
      <c r="N746" s="56">
        <f>100</f>
        <v>100</v>
      </c>
      <c r="O746" s="59">
        <v>240</v>
      </c>
      <c r="P746" s="59">
        <v>40</v>
      </c>
      <c r="Q746" s="59">
        <f t="shared" si="119"/>
        <v>315</v>
      </c>
      <c r="R746" s="59">
        <f t="shared" si="120"/>
        <v>100</v>
      </c>
      <c r="S746" s="56">
        <f t="shared" si="121"/>
        <v>695</v>
      </c>
      <c r="T746" s="56">
        <f>50</f>
        <v>50</v>
      </c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</row>
    <row r="747" spans="1:30" ht="15.75" x14ac:dyDescent="0.25">
      <c r="A747" s="13">
        <v>64039</v>
      </c>
      <c r="B747" s="67">
        <f t="shared" si="117"/>
        <v>30</v>
      </c>
      <c r="C747" s="56">
        <f>141.293</f>
        <v>141.29300000000001</v>
      </c>
      <c r="D747" s="56">
        <f>267.993</f>
        <v>267.99299999999999</v>
      </c>
      <c r="E747" s="64">
        <f>115.016</f>
        <v>115.01600000000001</v>
      </c>
      <c r="F747" s="56">
        <f>314.698-40-25-60-100</f>
        <v>89.697999999999979</v>
      </c>
      <c r="G747" s="59">
        <v>40</v>
      </c>
      <c r="H747" s="56">
        <f t="shared" ref="H747:H753" si="125">25+60+100</f>
        <v>185</v>
      </c>
      <c r="I747" s="56">
        <f t="shared" si="124"/>
        <v>0</v>
      </c>
      <c r="J747" s="59">
        <v>100</v>
      </c>
      <c r="K747" s="59">
        <v>300</v>
      </c>
      <c r="L747" s="56">
        <f t="shared" si="118"/>
        <v>1239</v>
      </c>
      <c r="M747" s="66">
        <v>600</v>
      </c>
      <c r="N747" s="56">
        <f>100</f>
        <v>100</v>
      </c>
      <c r="O747" s="59">
        <v>240</v>
      </c>
      <c r="P747" s="59">
        <v>40</v>
      </c>
      <c r="Q747" s="59">
        <f t="shared" si="119"/>
        <v>315</v>
      </c>
      <c r="R747" s="59">
        <f t="shared" si="120"/>
        <v>100</v>
      </c>
      <c r="S747" s="56">
        <f t="shared" si="121"/>
        <v>695</v>
      </c>
      <c r="T747" s="56">
        <f>50</f>
        <v>50</v>
      </c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</row>
    <row r="748" spans="1:30" ht="15.75" x14ac:dyDescent="0.25">
      <c r="A748" s="13">
        <v>64070</v>
      </c>
      <c r="B748" s="67">
        <f t="shared" si="117"/>
        <v>31</v>
      </c>
      <c r="C748" s="56">
        <f>194.205</f>
        <v>194.20500000000001</v>
      </c>
      <c r="D748" s="56">
        <f>267.466</f>
        <v>267.46600000000001</v>
      </c>
      <c r="E748" s="64">
        <f>133.845</f>
        <v>133.845</v>
      </c>
      <c r="F748" s="56">
        <f>278.484-40-25-60-100</f>
        <v>53.48399999999998</v>
      </c>
      <c r="G748" s="59">
        <v>40</v>
      </c>
      <c r="H748" s="56">
        <f t="shared" si="125"/>
        <v>185</v>
      </c>
      <c r="I748" s="56">
        <f t="shared" si="124"/>
        <v>0</v>
      </c>
      <c r="J748" s="59">
        <v>100</v>
      </c>
      <c r="K748" s="59">
        <v>300</v>
      </c>
      <c r="L748" s="56">
        <f t="shared" si="118"/>
        <v>1274</v>
      </c>
      <c r="M748" s="66">
        <v>600</v>
      </c>
      <c r="N748" s="56">
        <f>75</f>
        <v>75</v>
      </c>
      <c r="O748" s="59">
        <v>240</v>
      </c>
      <c r="P748" s="59">
        <v>40</v>
      </c>
      <c r="Q748" s="59">
        <f t="shared" si="119"/>
        <v>315</v>
      </c>
      <c r="R748" s="59">
        <f t="shared" si="120"/>
        <v>100</v>
      </c>
      <c r="S748" s="56">
        <f t="shared" si="121"/>
        <v>695</v>
      </c>
      <c r="T748" s="56">
        <f>50</f>
        <v>50</v>
      </c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</row>
    <row r="749" spans="1:30" ht="15.75" x14ac:dyDescent="0.25">
      <c r="A749" s="13">
        <v>64100</v>
      </c>
      <c r="B749" s="67">
        <f t="shared" si="117"/>
        <v>30</v>
      </c>
      <c r="C749" s="56">
        <f>194.205</f>
        <v>194.20500000000001</v>
      </c>
      <c r="D749" s="56">
        <f>267.466</f>
        <v>267.46600000000001</v>
      </c>
      <c r="E749" s="64">
        <f>133.845</f>
        <v>133.845</v>
      </c>
      <c r="F749" s="56">
        <f>278.484-40-25-60-100</f>
        <v>53.48399999999998</v>
      </c>
      <c r="G749" s="59">
        <v>40</v>
      </c>
      <c r="H749" s="56">
        <f t="shared" si="125"/>
        <v>185</v>
      </c>
      <c r="I749" s="56">
        <f t="shared" si="124"/>
        <v>0</v>
      </c>
      <c r="J749" s="59">
        <v>100</v>
      </c>
      <c r="K749" s="59">
        <v>300</v>
      </c>
      <c r="L749" s="56">
        <f t="shared" si="118"/>
        <v>1274</v>
      </c>
      <c r="M749" s="66">
        <v>600</v>
      </c>
      <c r="N749" s="56">
        <f>30</f>
        <v>30</v>
      </c>
      <c r="O749" s="59">
        <v>240</v>
      </c>
      <c r="P749" s="59">
        <v>40</v>
      </c>
      <c r="Q749" s="59">
        <f t="shared" si="119"/>
        <v>315</v>
      </c>
      <c r="R749" s="59">
        <f t="shared" si="120"/>
        <v>100</v>
      </c>
      <c r="S749" s="56">
        <f t="shared" si="121"/>
        <v>695</v>
      </c>
      <c r="T749" s="56">
        <f>50</f>
        <v>50</v>
      </c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</row>
    <row r="750" spans="1:30" ht="15.75" x14ac:dyDescent="0.25">
      <c r="A750" s="13">
        <v>64131</v>
      </c>
      <c r="B750" s="67">
        <f t="shared" si="117"/>
        <v>31</v>
      </c>
      <c r="C750" s="56">
        <f>194.205</f>
        <v>194.20500000000001</v>
      </c>
      <c r="D750" s="56">
        <f>267.466</f>
        <v>267.46600000000001</v>
      </c>
      <c r="E750" s="64">
        <f>133.845</f>
        <v>133.845</v>
      </c>
      <c r="F750" s="56">
        <f>278.484-40-25-60-100</f>
        <v>53.48399999999998</v>
      </c>
      <c r="G750" s="59">
        <v>40</v>
      </c>
      <c r="H750" s="56">
        <f t="shared" si="125"/>
        <v>185</v>
      </c>
      <c r="I750" s="56">
        <f t="shared" si="124"/>
        <v>0</v>
      </c>
      <c r="J750" s="59">
        <v>100</v>
      </c>
      <c r="K750" s="59">
        <v>300</v>
      </c>
      <c r="L750" s="56">
        <f t="shared" si="118"/>
        <v>1274</v>
      </c>
      <c r="M750" s="66">
        <v>600</v>
      </c>
      <c r="N750" s="56">
        <f>30</f>
        <v>30</v>
      </c>
      <c r="O750" s="59">
        <v>240</v>
      </c>
      <c r="P750" s="59">
        <v>40</v>
      </c>
      <c r="Q750" s="59">
        <f t="shared" si="119"/>
        <v>315</v>
      </c>
      <c r="R750" s="59">
        <f t="shared" si="120"/>
        <v>100</v>
      </c>
      <c r="S750" s="56">
        <f t="shared" si="121"/>
        <v>695</v>
      </c>
      <c r="T750" s="56">
        <f>0</f>
        <v>0</v>
      </c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</row>
    <row r="751" spans="1:30" ht="15.75" x14ac:dyDescent="0.25">
      <c r="A751" s="13">
        <v>64162</v>
      </c>
      <c r="B751" s="67">
        <f t="shared" si="117"/>
        <v>31</v>
      </c>
      <c r="C751" s="56">
        <f>194.205</f>
        <v>194.20500000000001</v>
      </c>
      <c r="D751" s="56">
        <f>267.466</f>
        <v>267.46600000000001</v>
      </c>
      <c r="E751" s="64">
        <f>133.845</f>
        <v>133.845</v>
      </c>
      <c r="F751" s="56">
        <f>278.484-40-25-60-100</f>
        <v>53.48399999999998</v>
      </c>
      <c r="G751" s="59">
        <v>40</v>
      </c>
      <c r="H751" s="56">
        <f t="shared" si="125"/>
        <v>185</v>
      </c>
      <c r="I751" s="56">
        <f t="shared" si="124"/>
        <v>0</v>
      </c>
      <c r="J751" s="59">
        <v>100</v>
      </c>
      <c r="K751" s="59">
        <v>300</v>
      </c>
      <c r="L751" s="56">
        <f t="shared" si="118"/>
        <v>1274</v>
      </c>
      <c r="M751" s="66">
        <v>600</v>
      </c>
      <c r="N751" s="56">
        <f>30</f>
        <v>30</v>
      </c>
      <c r="O751" s="59">
        <v>240</v>
      </c>
      <c r="P751" s="59">
        <v>40</v>
      </c>
      <c r="Q751" s="59">
        <f t="shared" si="119"/>
        <v>315</v>
      </c>
      <c r="R751" s="59">
        <f t="shared" si="120"/>
        <v>100</v>
      </c>
      <c r="S751" s="56">
        <f t="shared" si="121"/>
        <v>695</v>
      </c>
      <c r="T751" s="56">
        <f>0</f>
        <v>0</v>
      </c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</row>
    <row r="752" spans="1:30" ht="15.75" x14ac:dyDescent="0.25">
      <c r="A752" s="13">
        <v>64192</v>
      </c>
      <c r="B752" s="67">
        <f t="shared" si="117"/>
        <v>30</v>
      </c>
      <c r="C752" s="56">
        <f>194.205</f>
        <v>194.20500000000001</v>
      </c>
      <c r="D752" s="56">
        <f>267.466</f>
        <v>267.46600000000001</v>
      </c>
      <c r="E752" s="64">
        <f>133.845</f>
        <v>133.845</v>
      </c>
      <c r="F752" s="56">
        <f>278.484-40-25-60-100</f>
        <v>53.48399999999998</v>
      </c>
      <c r="G752" s="59">
        <v>40</v>
      </c>
      <c r="H752" s="56">
        <f t="shared" si="125"/>
        <v>185</v>
      </c>
      <c r="I752" s="56">
        <f t="shared" si="124"/>
        <v>0</v>
      </c>
      <c r="J752" s="59">
        <v>100</v>
      </c>
      <c r="K752" s="59">
        <v>300</v>
      </c>
      <c r="L752" s="56">
        <f t="shared" si="118"/>
        <v>1274</v>
      </c>
      <c r="M752" s="66">
        <v>600</v>
      </c>
      <c r="N752" s="56">
        <f>30</f>
        <v>30</v>
      </c>
      <c r="O752" s="59">
        <v>240</v>
      </c>
      <c r="P752" s="59">
        <v>40</v>
      </c>
      <c r="Q752" s="59">
        <f t="shared" si="119"/>
        <v>315</v>
      </c>
      <c r="R752" s="59">
        <f t="shared" si="120"/>
        <v>100</v>
      </c>
      <c r="S752" s="56">
        <f t="shared" si="121"/>
        <v>695</v>
      </c>
      <c r="T752" s="56">
        <f>0</f>
        <v>0</v>
      </c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</row>
    <row r="753" spans="1:30" ht="15.75" x14ac:dyDescent="0.25">
      <c r="A753" s="13">
        <v>64223</v>
      </c>
      <c r="B753" s="67">
        <f t="shared" si="117"/>
        <v>31</v>
      </c>
      <c r="C753" s="56">
        <f>131.881</f>
        <v>131.881</v>
      </c>
      <c r="D753" s="56">
        <f>277.167</f>
        <v>277.16699999999997</v>
      </c>
      <c r="E753" s="64">
        <f>79.08</f>
        <v>79.08</v>
      </c>
      <c r="F753" s="56">
        <f>350.872-40-25-60-100</f>
        <v>125.87200000000001</v>
      </c>
      <c r="G753" s="59">
        <v>40</v>
      </c>
      <c r="H753" s="56">
        <f t="shared" si="125"/>
        <v>185</v>
      </c>
      <c r="I753" s="56">
        <f t="shared" si="124"/>
        <v>0</v>
      </c>
      <c r="J753" s="59">
        <v>100</v>
      </c>
      <c r="K753" s="59">
        <v>300</v>
      </c>
      <c r="L753" s="56">
        <f t="shared" si="118"/>
        <v>1239</v>
      </c>
      <c r="M753" s="66">
        <v>600</v>
      </c>
      <c r="N753" s="56">
        <f>75</f>
        <v>75</v>
      </c>
      <c r="O753" s="59">
        <v>240</v>
      </c>
      <c r="P753" s="59">
        <v>40</v>
      </c>
      <c r="Q753" s="59">
        <f t="shared" si="119"/>
        <v>315</v>
      </c>
      <c r="R753" s="59">
        <f t="shared" si="120"/>
        <v>100</v>
      </c>
      <c r="S753" s="56">
        <f t="shared" si="121"/>
        <v>695</v>
      </c>
      <c r="T753" s="56">
        <f>0</f>
        <v>0</v>
      </c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</row>
    <row r="754" spans="1:30" ht="15.75" x14ac:dyDescent="0.25">
      <c r="A754" s="13">
        <v>64253</v>
      </c>
      <c r="B754" s="67">
        <f t="shared" si="117"/>
        <v>30</v>
      </c>
      <c r="C754" s="56">
        <f>122.58</f>
        <v>122.58</v>
      </c>
      <c r="D754" s="56">
        <f>297.941</f>
        <v>297.94099999999997</v>
      </c>
      <c r="E754" s="64">
        <f>89.177</f>
        <v>89.177000000000007</v>
      </c>
      <c r="F754" s="56">
        <f>240.302-40-60-100</f>
        <v>40.301999999999992</v>
      </c>
      <c r="G754" s="59">
        <v>40</v>
      </c>
      <c r="H754" s="56">
        <f>60+100</f>
        <v>160</v>
      </c>
      <c r="I754" s="56">
        <f t="shared" si="124"/>
        <v>0</v>
      </c>
      <c r="J754" s="59">
        <v>100</v>
      </c>
      <c r="K754" s="59">
        <v>300</v>
      </c>
      <c r="L754" s="56">
        <f t="shared" si="118"/>
        <v>1150</v>
      </c>
      <c r="M754" s="66">
        <v>600</v>
      </c>
      <c r="N754" s="56">
        <f>100</f>
        <v>100</v>
      </c>
      <c r="O754" s="59">
        <v>240</v>
      </c>
      <c r="P754" s="59">
        <v>40</v>
      </c>
      <c r="Q754" s="59">
        <f t="shared" si="119"/>
        <v>315</v>
      </c>
      <c r="R754" s="59">
        <f t="shared" si="120"/>
        <v>100</v>
      </c>
      <c r="S754" s="56">
        <f t="shared" si="121"/>
        <v>695</v>
      </c>
      <c r="T754" s="56">
        <f>50</f>
        <v>50</v>
      </c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</row>
    <row r="755" spans="1:30" ht="15.75" x14ac:dyDescent="0.25">
      <c r="A755" s="13">
        <v>64284</v>
      </c>
      <c r="B755" s="67">
        <f t="shared" si="117"/>
        <v>31</v>
      </c>
      <c r="C755" s="56">
        <f>122.58</f>
        <v>122.58</v>
      </c>
      <c r="D755" s="56">
        <f>297.941</f>
        <v>297.94099999999997</v>
      </c>
      <c r="E755" s="64">
        <f>89.177</f>
        <v>89.177000000000007</v>
      </c>
      <c r="F755" s="56">
        <f>240.302-40-60-100</f>
        <v>40.301999999999992</v>
      </c>
      <c r="G755" s="59">
        <v>40</v>
      </c>
      <c r="H755" s="56">
        <f>60+100</f>
        <v>160</v>
      </c>
      <c r="I755" s="56">
        <f t="shared" si="124"/>
        <v>0</v>
      </c>
      <c r="J755" s="59">
        <v>100</v>
      </c>
      <c r="K755" s="59">
        <v>300</v>
      </c>
      <c r="L755" s="56">
        <f t="shared" si="118"/>
        <v>1150</v>
      </c>
      <c r="M755" s="66">
        <v>600</v>
      </c>
      <c r="N755" s="56">
        <f>100</f>
        <v>100</v>
      </c>
      <c r="O755" s="59">
        <v>240</v>
      </c>
      <c r="P755" s="59">
        <v>40</v>
      </c>
      <c r="Q755" s="59">
        <f t="shared" si="119"/>
        <v>315</v>
      </c>
      <c r="R755" s="59">
        <f t="shared" si="120"/>
        <v>100</v>
      </c>
      <c r="S755" s="56">
        <f t="shared" si="121"/>
        <v>695</v>
      </c>
      <c r="T755" s="56">
        <f>50</f>
        <v>50</v>
      </c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</row>
    <row r="756" spans="1:30" ht="15.75" x14ac:dyDescent="0.25">
      <c r="A756" s="13">
        <v>64315</v>
      </c>
      <c r="B756" s="67">
        <f t="shared" si="117"/>
        <v>31</v>
      </c>
      <c r="C756" s="56">
        <f>122.58</f>
        <v>122.58</v>
      </c>
      <c r="D756" s="56">
        <f>297.941</f>
        <v>297.94099999999997</v>
      </c>
      <c r="E756" s="64">
        <f>89.177</f>
        <v>89.177000000000007</v>
      </c>
      <c r="F756" s="56">
        <f>240.302-40-60-100</f>
        <v>40.301999999999992</v>
      </c>
      <c r="G756" s="59">
        <v>40</v>
      </c>
      <c r="H756" s="56">
        <f>60+100</f>
        <v>160</v>
      </c>
      <c r="I756" s="56">
        <f t="shared" si="124"/>
        <v>0</v>
      </c>
      <c r="J756" s="59">
        <v>100</v>
      </c>
      <c r="K756" s="59">
        <v>300</v>
      </c>
      <c r="L756" s="56">
        <f t="shared" si="118"/>
        <v>1150</v>
      </c>
      <c r="M756" s="66">
        <v>600</v>
      </c>
      <c r="N756" s="56">
        <f>100</f>
        <v>100</v>
      </c>
      <c r="O756" s="59">
        <v>240</v>
      </c>
      <c r="P756" s="59">
        <v>40</v>
      </c>
      <c r="Q756" s="59">
        <f t="shared" si="119"/>
        <v>315</v>
      </c>
      <c r="R756" s="59">
        <f t="shared" si="120"/>
        <v>100</v>
      </c>
      <c r="S756" s="56">
        <f t="shared" si="121"/>
        <v>695</v>
      </c>
      <c r="T756" s="56">
        <f>50</f>
        <v>50</v>
      </c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</row>
    <row r="757" spans="1:30" ht="15.75" x14ac:dyDescent="0.25">
      <c r="A757" s="13">
        <v>64344</v>
      </c>
      <c r="B757" s="67">
        <f t="shared" si="117"/>
        <v>29</v>
      </c>
      <c r="C757" s="56">
        <f>122.58</f>
        <v>122.58</v>
      </c>
      <c r="D757" s="56">
        <f>297.941</f>
        <v>297.94099999999997</v>
      </c>
      <c r="E757" s="64">
        <f>89.177</f>
        <v>89.177000000000007</v>
      </c>
      <c r="F757" s="56">
        <f>240.302-40-60-100</f>
        <v>40.301999999999992</v>
      </c>
      <c r="G757" s="59">
        <v>40</v>
      </c>
      <c r="H757" s="56">
        <f>60+100</f>
        <v>160</v>
      </c>
      <c r="I757" s="56">
        <f t="shared" si="124"/>
        <v>0</v>
      </c>
      <c r="J757" s="59">
        <v>100</v>
      </c>
      <c r="K757" s="59">
        <v>300</v>
      </c>
      <c r="L757" s="56">
        <f t="shared" si="118"/>
        <v>1150</v>
      </c>
      <c r="M757" s="66">
        <v>600</v>
      </c>
      <c r="N757" s="56">
        <f>100</f>
        <v>100</v>
      </c>
      <c r="O757" s="59">
        <v>240</v>
      </c>
      <c r="P757" s="59">
        <v>40</v>
      </c>
      <c r="Q757" s="59">
        <f t="shared" si="119"/>
        <v>315</v>
      </c>
      <c r="R757" s="59">
        <f t="shared" si="120"/>
        <v>100</v>
      </c>
      <c r="S757" s="56">
        <f t="shared" si="121"/>
        <v>695</v>
      </c>
      <c r="T757" s="56">
        <f>50</f>
        <v>50</v>
      </c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</row>
    <row r="758" spans="1:30" ht="15.75" x14ac:dyDescent="0.25">
      <c r="A758" s="13">
        <v>64375</v>
      </c>
      <c r="B758" s="67">
        <f t="shared" si="117"/>
        <v>31</v>
      </c>
      <c r="C758" s="56">
        <f>122.58</f>
        <v>122.58</v>
      </c>
      <c r="D758" s="56">
        <f>297.941</f>
        <v>297.94099999999997</v>
      </c>
      <c r="E758" s="64">
        <f>89.177</f>
        <v>89.177000000000007</v>
      </c>
      <c r="F758" s="56">
        <f>240.302-40-60-100</f>
        <v>40.301999999999992</v>
      </c>
      <c r="G758" s="59">
        <v>40</v>
      </c>
      <c r="H758" s="56">
        <f>60+100</f>
        <v>160</v>
      </c>
      <c r="I758" s="56">
        <f t="shared" si="124"/>
        <v>0</v>
      </c>
      <c r="J758" s="59">
        <v>100</v>
      </c>
      <c r="K758" s="59">
        <v>300</v>
      </c>
      <c r="L758" s="56">
        <f t="shared" si="118"/>
        <v>1150</v>
      </c>
      <c r="M758" s="66">
        <v>600</v>
      </c>
      <c r="N758" s="56">
        <f>100</f>
        <v>100</v>
      </c>
      <c r="O758" s="59">
        <v>240</v>
      </c>
      <c r="P758" s="59">
        <v>40</v>
      </c>
      <c r="Q758" s="59">
        <f t="shared" si="119"/>
        <v>315</v>
      </c>
      <c r="R758" s="59">
        <f t="shared" si="120"/>
        <v>100</v>
      </c>
      <c r="S758" s="56">
        <f t="shared" si="121"/>
        <v>695</v>
      </c>
      <c r="T758" s="56">
        <f>50</f>
        <v>50</v>
      </c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</row>
    <row r="759" spans="1:30" ht="15.75" x14ac:dyDescent="0.25">
      <c r="A759" s="13">
        <v>64405</v>
      </c>
      <c r="B759" s="67">
        <f t="shared" si="117"/>
        <v>30</v>
      </c>
      <c r="C759" s="56">
        <f>141.293</f>
        <v>141.29300000000001</v>
      </c>
      <c r="D759" s="56">
        <f>267.993</f>
        <v>267.99299999999999</v>
      </c>
      <c r="E759" s="64">
        <f>115.016</f>
        <v>115.01600000000001</v>
      </c>
      <c r="F759" s="56">
        <f>314.698-40-25-60-100</f>
        <v>89.697999999999979</v>
      </c>
      <c r="G759" s="59">
        <v>40</v>
      </c>
      <c r="H759" s="56">
        <f t="shared" ref="H759:H765" si="126">25+60+100</f>
        <v>185</v>
      </c>
      <c r="I759" s="56">
        <f t="shared" si="124"/>
        <v>0</v>
      </c>
      <c r="J759" s="59">
        <v>100</v>
      </c>
      <c r="K759" s="59">
        <v>300</v>
      </c>
      <c r="L759" s="56">
        <f t="shared" si="118"/>
        <v>1239</v>
      </c>
      <c r="M759" s="66">
        <v>600</v>
      </c>
      <c r="N759" s="56">
        <f>100</f>
        <v>100</v>
      </c>
      <c r="O759" s="59">
        <v>240</v>
      </c>
      <c r="P759" s="59">
        <v>40</v>
      </c>
      <c r="Q759" s="59">
        <f t="shared" si="119"/>
        <v>315</v>
      </c>
      <c r="R759" s="59">
        <f t="shared" si="120"/>
        <v>100</v>
      </c>
      <c r="S759" s="56">
        <f t="shared" si="121"/>
        <v>695</v>
      </c>
      <c r="T759" s="56">
        <f>50</f>
        <v>50</v>
      </c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</row>
    <row r="760" spans="1:30" ht="15.75" x14ac:dyDescent="0.25">
      <c r="A760" s="13">
        <v>64436</v>
      </c>
      <c r="B760" s="67">
        <f t="shared" si="117"/>
        <v>31</v>
      </c>
      <c r="C760" s="56">
        <f>194.205</f>
        <v>194.20500000000001</v>
      </c>
      <c r="D760" s="56">
        <f>267.466</f>
        <v>267.46600000000001</v>
      </c>
      <c r="E760" s="64">
        <f>133.845</f>
        <v>133.845</v>
      </c>
      <c r="F760" s="56">
        <f>278.484-40-25-60-100</f>
        <v>53.48399999999998</v>
      </c>
      <c r="G760" s="59">
        <v>40</v>
      </c>
      <c r="H760" s="56">
        <f t="shared" si="126"/>
        <v>185</v>
      </c>
      <c r="I760" s="56">
        <f t="shared" si="124"/>
        <v>0</v>
      </c>
      <c r="J760" s="59">
        <v>100</v>
      </c>
      <c r="K760" s="59">
        <v>300</v>
      </c>
      <c r="L760" s="56">
        <f t="shared" si="118"/>
        <v>1274</v>
      </c>
      <c r="M760" s="66">
        <v>600</v>
      </c>
      <c r="N760" s="56">
        <f>75</f>
        <v>75</v>
      </c>
      <c r="O760" s="59">
        <v>240</v>
      </c>
      <c r="P760" s="59">
        <v>40</v>
      </c>
      <c r="Q760" s="59">
        <f t="shared" si="119"/>
        <v>315</v>
      </c>
      <c r="R760" s="59">
        <f t="shared" si="120"/>
        <v>100</v>
      </c>
      <c r="S760" s="56">
        <f t="shared" si="121"/>
        <v>695</v>
      </c>
      <c r="T760" s="56">
        <f>50</f>
        <v>50</v>
      </c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</row>
    <row r="761" spans="1:30" ht="15.75" x14ac:dyDescent="0.25">
      <c r="A761" s="13">
        <v>64466</v>
      </c>
      <c r="B761" s="67">
        <f t="shared" si="117"/>
        <v>30</v>
      </c>
      <c r="C761" s="56">
        <f>194.205</f>
        <v>194.20500000000001</v>
      </c>
      <c r="D761" s="56">
        <f>267.466</f>
        <v>267.46600000000001</v>
      </c>
      <c r="E761" s="64">
        <f>133.845</f>
        <v>133.845</v>
      </c>
      <c r="F761" s="56">
        <f>278.484-40-25-60-100</f>
        <v>53.48399999999998</v>
      </c>
      <c r="G761" s="59">
        <v>40</v>
      </c>
      <c r="H761" s="56">
        <f t="shared" si="126"/>
        <v>185</v>
      </c>
      <c r="I761" s="56">
        <f t="shared" si="124"/>
        <v>0</v>
      </c>
      <c r="J761" s="59">
        <v>100</v>
      </c>
      <c r="K761" s="59">
        <v>300</v>
      </c>
      <c r="L761" s="56">
        <f t="shared" si="118"/>
        <v>1274</v>
      </c>
      <c r="M761" s="66">
        <v>600</v>
      </c>
      <c r="N761" s="56">
        <f>30</f>
        <v>30</v>
      </c>
      <c r="O761" s="59">
        <v>240</v>
      </c>
      <c r="P761" s="59">
        <v>40</v>
      </c>
      <c r="Q761" s="59">
        <f t="shared" si="119"/>
        <v>315</v>
      </c>
      <c r="R761" s="59">
        <f t="shared" si="120"/>
        <v>100</v>
      </c>
      <c r="S761" s="56">
        <f t="shared" si="121"/>
        <v>695</v>
      </c>
      <c r="T761" s="56">
        <f>50</f>
        <v>50</v>
      </c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</row>
    <row r="762" spans="1:30" ht="15.75" x14ac:dyDescent="0.25">
      <c r="A762" s="13">
        <v>64497</v>
      </c>
      <c r="B762" s="67">
        <f t="shared" si="117"/>
        <v>31</v>
      </c>
      <c r="C762" s="56">
        <f>194.205</f>
        <v>194.20500000000001</v>
      </c>
      <c r="D762" s="56">
        <f>267.466</f>
        <v>267.46600000000001</v>
      </c>
      <c r="E762" s="64">
        <f>133.845</f>
        <v>133.845</v>
      </c>
      <c r="F762" s="56">
        <f>278.484-40-25-60-100</f>
        <v>53.48399999999998</v>
      </c>
      <c r="G762" s="59">
        <v>40</v>
      </c>
      <c r="H762" s="56">
        <f t="shared" si="126"/>
        <v>185</v>
      </c>
      <c r="I762" s="56">
        <f t="shared" si="124"/>
        <v>0</v>
      </c>
      <c r="J762" s="59">
        <v>100</v>
      </c>
      <c r="K762" s="59">
        <v>300</v>
      </c>
      <c r="L762" s="56">
        <f t="shared" si="118"/>
        <v>1274</v>
      </c>
      <c r="M762" s="66">
        <v>600</v>
      </c>
      <c r="N762" s="56">
        <f>30</f>
        <v>30</v>
      </c>
      <c r="O762" s="59">
        <v>240</v>
      </c>
      <c r="P762" s="59">
        <v>40</v>
      </c>
      <c r="Q762" s="59">
        <f t="shared" si="119"/>
        <v>315</v>
      </c>
      <c r="R762" s="59">
        <f t="shared" si="120"/>
        <v>100</v>
      </c>
      <c r="S762" s="56">
        <f t="shared" si="121"/>
        <v>695</v>
      </c>
      <c r="T762" s="56">
        <f>0</f>
        <v>0</v>
      </c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</row>
    <row r="763" spans="1:30" ht="15.75" x14ac:dyDescent="0.25">
      <c r="A763" s="13">
        <v>64528</v>
      </c>
      <c r="B763" s="67">
        <f t="shared" si="117"/>
        <v>31</v>
      </c>
      <c r="C763" s="56">
        <f>194.205</f>
        <v>194.20500000000001</v>
      </c>
      <c r="D763" s="56">
        <f>267.466</f>
        <v>267.46600000000001</v>
      </c>
      <c r="E763" s="64">
        <f>133.845</f>
        <v>133.845</v>
      </c>
      <c r="F763" s="56">
        <f>278.484-40-25-60-100</f>
        <v>53.48399999999998</v>
      </c>
      <c r="G763" s="59">
        <v>40</v>
      </c>
      <c r="H763" s="56">
        <f t="shared" si="126"/>
        <v>185</v>
      </c>
      <c r="I763" s="56">
        <f t="shared" si="124"/>
        <v>0</v>
      </c>
      <c r="J763" s="59">
        <v>100</v>
      </c>
      <c r="K763" s="59">
        <v>300</v>
      </c>
      <c r="L763" s="56">
        <f t="shared" si="118"/>
        <v>1274</v>
      </c>
      <c r="M763" s="66">
        <v>600</v>
      </c>
      <c r="N763" s="56">
        <f>30</f>
        <v>30</v>
      </c>
      <c r="O763" s="59">
        <v>240</v>
      </c>
      <c r="P763" s="59">
        <v>40</v>
      </c>
      <c r="Q763" s="59">
        <f t="shared" si="119"/>
        <v>315</v>
      </c>
      <c r="R763" s="59">
        <f t="shared" si="120"/>
        <v>100</v>
      </c>
      <c r="S763" s="56">
        <f t="shared" si="121"/>
        <v>695</v>
      </c>
      <c r="T763" s="56">
        <f>0</f>
        <v>0</v>
      </c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</row>
    <row r="764" spans="1:30" ht="15.75" x14ac:dyDescent="0.25">
      <c r="A764" s="13">
        <v>64558</v>
      </c>
      <c r="B764" s="67">
        <f t="shared" si="117"/>
        <v>30</v>
      </c>
      <c r="C764" s="56">
        <f>194.205</f>
        <v>194.20500000000001</v>
      </c>
      <c r="D764" s="56">
        <f>267.466</f>
        <v>267.46600000000001</v>
      </c>
      <c r="E764" s="64">
        <f>133.845</f>
        <v>133.845</v>
      </c>
      <c r="F764" s="56">
        <f>278.484-40-25-60-100</f>
        <v>53.48399999999998</v>
      </c>
      <c r="G764" s="59">
        <v>40</v>
      </c>
      <c r="H764" s="56">
        <f t="shared" si="126"/>
        <v>185</v>
      </c>
      <c r="I764" s="56">
        <f t="shared" si="124"/>
        <v>0</v>
      </c>
      <c r="J764" s="59">
        <v>100</v>
      </c>
      <c r="K764" s="59">
        <v>300</v>
      </c>
      <c r="L764" s="56">
        <f t="shared" si="118"/>
        <v>1274</v>
      </c>
      <c r="M764" s="66">
        <v>600</v>
      </c>
      <c r="N764" s="56">
        <f>30</f>
        <v>30</v>
      </c>
      <c r="O764" s="59">
        <v>240</v>
      </c>
      <c r="P764" s="59">
        <v>40</v>
      </c>
      <c r="Q764" s="59">
        <f t="shared" si="119"/>
        <v>315</v>
      </c>
      <c r="R764" s="59">
        <f t="shared" si="120"/>
        <v>100</v>
      </c>
      <c r="S764" s="56">
        <f t="shared" si="121"/>
        <v>695</v>
      </c>
      <c r="T764" s="56">
        <f>0</f>
        <v>0</v>
      </c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</row>
    <row r="765" spans="1:30" ht="15.75" x14ac:dyDescent="0.25">
      <c r="A765" s="13">
        <v>64589</v>
      </c>
      <c r="B765" s="67">
        <f t="shared" si="117"/>
        <v>31</v>
      </c>
      <c r="C765" s="56">
        <f>131.881</f>
        <v>131.881</v>
      </c>
      <c r="D765" s="56">
        <f>277.167</f>
        <v>277.16699999999997</v>
      </c>
      <c r="E765" s="64">
        <f>79.08</f>
        <v>79.08</v>
      </c>
      <c r="F765" s="56">
        <f>350.872-40-25-60-100</f>
        <v>125.87200000000001</v>
      </c>
      <c r="G765" s="59">
        <v>40</v>
      </c>
      <c r="H765" s="56">
        <f t="shared" si="126"/>
        <v>185</v>
      </c>
      <c r="I765" s="56">
        <f t="shared" si="124"/>
        <v>0</v>
      </c>
      <c r="J765" s="59">
        <v>100</v>
      </c>
      <c r="K765" s="59">
        <v>300</v>
      </c>
      <c r="L765" s="56">
        <f t="shared" si="118"/>
        <v>1239</v>
      </c>
      <c r="M765" s="66">
        <v>600</v>
      </c>
      <c r="N765" s="56">
        <f>75</f>
        <v>75</v>
      </c>
      <c r="O765" s="59">
        <v>240</v>
      </c>
      <c r="P765" s="59">
        <v>40</v>
      </c>
      <c r="Q765" s="59">
        <f t="shared" si="119"/>
        <v>315</v>
      </c>
      <c r="R765" s="59">
        <f t="shared" si="120"/>
        <v>100</v>
      </c>
      <c r="S765" s="56">
        <f t="shared" si="121"/>
        <v>695</v>
      </c>
      <c r="T765" s="56">
        <f>0</f>
        <v>0</v>
      </c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</row>
    <row r="766" spans="1:30" ht="15.75" x14ac:dyDescent="0.25">
      <c r="A766" s="13">
        <v>64619</v>
      </c>
      <c r="B766" s="67">
        <f t="shared" si="117"/>
        <v>30</v>
      </c>
      <c r="C766" s="56">
        <f>122.58</f>
        <v>122.58</v>
      </c>
      <c r="D766" s="56">
        <f>297.941</f>
        <v>297.94099999999997</v>
      </c>
      <c r="E766" s="64">
        <f>89.177</f>
        <v>89.177000000000007</v>
      </c>
      <c r="F766" s="56">
        <f>240.302-40-60-100</f>
        <v>40.301999999999992</v>
      </c>
      <c r="G766" s="59">
        <v>40</v>
      </c>
      <c r="H766" s="56">
        <f>60+100</f>
        <v>160</v>
      </c>
      <c r="I766" s="56">
        <f t="shared" si="124"/>
        <v>0</v>
      </c>
      <c r="J766" s="59">
        <v>100</v>
      </c>
      <c r="K766" s="59">
        <v>300</v>
      </c>
      <c r="L766" s="56">
        <f t="shared" si="118"/>
        <v>1150</v>
      </c>
      <c r="M766" s="66">
        <v>600</v>
      </c>
      <c r="N766" s="56">
        <f>100</f>
        <v>100</v>
      </c>
      <c r="O766" s="59">
        <v>240</v>
      </c>
      <c r="P766" s="59">
        <v>40</v>
      </c>
      <c r="Q766" s="59">
        <f t="shared" si="119"/>
        <v>315</v>
      </c>
      <c r="R766" s="59">
        <f t="shared" si="120"/>
        <v>100</v>
      </c>
      <c r="S766" s="56">
        <f t="shared" si="121"/>
        <v>695</v>
      </c>
      <c r="T766" s="56">
        <f>50</f>
        <v>50</v>
      </c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</row>
    <row r="767" spans="1:30" ht="15.75" x14ac:dyDescent="0.25">
      <c r="A767" s="13">
        <v>64650</v>
      </c>
      <c r="B767" s="67">
        <f t="shared" si="117"/>
        <v>31</v>
      </c>
      <c r="C767" s="56">
        <f>122.58</f>
        <v>122.58</v>
      </c>
      <c r="D767" s="56">
        <f>297.941</f>
        <v>297.94099999999997</v>
      </c>
      <c r="E767" s="64">
        <f>89.177</f>
        <v>89.177000000000007</v>
      </c>
      <c r="F767" s="56">
        <f>240.302-40-60-100</f>
        <v>40.301999999999992</v>
      </c>
      <c r="G767" s="59">
        <v>40</v>
      </c>
      <c r="H767" s="56">
        <f>60+100</f>
        <v>160</v>
      </c>
      <c r="I767" s="56">
        <f t="shared" si="124"/>
        <v>0</v>
      </c>
      <c r="J767" s="59">
        <v>100</v>
      </c>
      <c r="K767" s="59">
        <v>300</v>
      </c>
      <c r="L767" s="56">
        <f t="shared" si="118"/>
        <v>1150</v>
      </c>
      <c r="M767" s="66">
        <v>600</v>
      </c>
      <c r="N767" s="56">
        <f>100</f>
        <v>100</v>
      </c>
      <c r="O767" s="59">
        <v>240</v>
      </c>
      <c r="P767" s="59">
        <v>40</v>
      </c>
      <c r="Q767" s="59">
        <f t="shared" si="119"/>
        <v>315</v>
      </c>
      <c r="R767" s="59">
        <f t="shared" si="120"/>
        <v>100</v>
      </c>
      <c r="S767" s="56">
        <f t="shared" si="121"/>
        <v>695</v>
      </c>
      <c r="T767" s="56">
        <f>50</f>
        <v>50</v>
      </c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</row>
    <row r="768" spans="1:30" ht="15.75" x14ac:dyDescent="0.25">
      <c r="A768" s="13">
        <v>64681</v>
      </c>
      <c r="B768" s="67">
        <f t="shared" si="117"/>
        <v>31</v>
      </c>
      <c r="C768" s="56">
        <f>122.58</f>
        <v>122.58</v>
      </c>
      <c r="D768" s="56">
        <f>297.941</f>
        <v>297.94099999999997</v>
      </c>
      <c r="E768" s="64">
        <f>89.177</f>
        <v>89.177000000000007</v>
      </c>
      <c r="F768" s="56">
        <f>240.302-40-60-100</f>
        <v>40.301999999999992</v>
      </c>
      <c r="G768" s="59">
        <v>40</v>
      </c>
      <c r="H768" s="56">
        <f>60+100</f>
        <v>160</v>
      </c>
      <c r="I768" s="56">
        <f t="shared" si="124"/>
        <v>0</v>
      </c>
      <c r="J768" s="59">
        <v>100</v>
      </c>
      <c r="K768" s="59">
        <v>300</v>
      </c>
      <c r="L768" s="56">
        <f t="shared" si="118"/>
        <v>1150</v>
      </c>
      <c r="M768" s="66">
        <v>600</v>
      </c>
      <c r="N768" s="56">
        <f>100</f>
        <v>100</v>
      </c>
      <c r="O768" s="59">
        <v>240</v>
      </c>
      <c r="P768" s="59">
        <v>40</v>
      </c>
      <c r="Q768" s="59">
        <f t="shared" si="119"/>
        <v>315</v>
      </c>
      <c r="R768" s="59">
        <f t="shared" si="120"/>
        <v>100</v>
      </c>
      <c r="S768" s="56">
        <f t="shared" si="121"/>
        <v>695</v>
      </c>
      <c r="T768" s="56">
        <f>50</f>
        <v>50</v>
      </c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</row>
    <row r="769" spans="1:30" ht="15.75" x14ac:dyDescent="0.25">
      <c r="A769" s="13">
        <v>64709</v>
      </c>
      <c r="B769" s="67">
        <f t="shared" si="117"/>
        <v>28</v>
      </c>
      <c r="C769" s="56">
        <f>122.58</f>
        <v>122.58</v>
      </c>
      <c r="D769" s="56">
        <f>297.941</f>
        <v>297.94099999999997</v>
      </c>
      <c r="E769" s="64">
        <f>89.177</f>
        <v>89.177000000000007</v>
      </c>
      <c r="F769" s="56">
        <f>240.302-40-60-100</f>
        <v>40.301999999999992</v>
      </c>
      <c r="G769" s="59">
        <v>40</v>
      </c>
      <c r="H769" s="56">
        <f>60+100</f>
        <v>160</v>
      </c>
      <c r="I769" s="56">
        <f t="shared" si="124"/>
        <v>0</v>
      </c>
      <c r="J769" s="59">
        <v>100</v>
      </c>
      <c r="K769" s="59">
        <v>300</v>
      </c>
      <c r="L769" s="56">
        <f t="shared" si="118"/>
        <v>1150</v>
      </c>
      <c r="M769" s="66">
        <v>600</v>
      </c>
      <c r="N769" s="56">
        <f>100</f>
        <v>100</v>
      </c>
      <c r="O769" s="59">
        <v>240</v>
      </c>
      <c r="P769" s="59">
        <v>40</v>
      </c>
      <c r="Q769" s="59">
        <f t="shared" si="119"/>
        <v>315</v>
      </c>
      <c r="R769" s="59">
        <f t="shared" si="120"/>
        <v>100</v>
      </c>
      <c r="S769" s="56">
        <f t="shared" si="121"/>
        <v>695</v>
      </c>
      <c r="T769" s="56">
        <f>50</f>
        <v>50</v>
      </c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</row>
    <row r="770" spans="1:30" ht="15.75" x14ac:dyDescent="0.25">
      <c r="A770" s="13">
        <v>64740</v>
      </c>
      <c r="B770" s="67">
        <f t="shared" si="117"/>
        <v>31</v>
      </c>
      <c r="C770" s="56">
        <f>122.58</f>
        <v>122.58</v>
      </c>
      <c r="D770" s="56">
        <f>297.941</f>
        <v>297.94099999999997</v>
      </c>
      <c r="E770" s="64">
        <f>89.177</f>
        <v>89.177000000000007</v>
      </c>
      <c r="F770" s="56">
        <f>240.302-40-60-100</f>
        <v>40.301999999999992</v>
      </c>
      <c r="G770" s="59">
        <v>40</v>
      </c>
      <c r="H770" s="56">
        <f>60+100</f>
        <v>160</v>
      </c>
      <c r="I770" s="56">
        <f t="shared" si="124"/>
        <v>0</v>
      </c>
      <c r="J770" s="59">
        <v>100</v>
      </c>
      <c r="K770" s="59">
        <v>300</v>
      </c>
      <c r="L770" s="56">
        <f t="shared" si="118"/>
        <v>1150</v>
      </c>
      <c r="M770" s="66">
        <v>600</v>
      </c>
      <c r="N770" s="56">
        <f>100</f>
        <v>100</v>
      </c>
      <c r="O770" s="59">
        <v>240</v>
      </c>
      <c r="P770" s="59">
        <v>40</v>
      </c>
      <c r="Q770" s="59">
        <f t="shared" si="119"/>
        <v>315</v>
      </c>
      <c r="R770" s="59">
        <f t="shared" si="120"/>
        <v>100</v>
      </c>
      <c r="S770" s="56">
        <f t="shared" si="121"/>
        <v>695</v>
      </c>
      <c r="T770" s="56">
        <f>50</f>
        <v>50</v>
      </c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</row>
    <row r="771" spans="1:30" ht="15.75" x14ac:dyDescent="0.25">
      <c r="A771" s="13">
        <v>64770</v>
      </c>
      <c r="B771" s="67">
        <f t="shared" si="117"/>
        <v>30</v>
      </c>
      <c r="C771" s="56">
        <f>141.293</f>
        <v>141.29300000000001</v>
      </c>
      <c r="D771" s="56">
        <f>267.993</f>
        <v>267.99299999999999</v>
      </c>
      <c r="E771" s="64">
        <f>115.016</f>
        <v>115.01600000000001</v>
      </c>
      <c r="F771" s="56">
        <f>314.698-40-25-60-100</f>
        <v>89.697999999999979</v>
      </c>
      <c r="G771" s="59">
        <v>40</v>
      </c>
      <c r="H771" s="56">
        <f t="shared" ref="H771:H777" si="127">25+60+100</f>
        <v>185</v>
      </c>
      <c r="I771" s="56">
        <f t="shared" si="124"/>
        <v>0</v>
      </c>
      <c r="J771" s="59">
        <v>100</v>
      </c>
      <c r="K771" s="59">
        <v>300</v>
      </c>
      <c r="L771" s="56">
        <f t="shared" si="118"/>
        <v>1239</v>
      </c>
      <c r="M771" s="66">
        <v>600</v>
      </c>
      <c r="N771" s="56">
        <f>100</f>
        <v>100</v>
      </c>
      <c r="O771" s="59">
        <v>240</v>
      </c>
      <c r="P771" s="59">
        <v>40</v>
      </c>
      <c r="Q771" s="59">
        <f t="shared" si="119"/>
        <v>315</v>
      </c>
      <c r="R771" s="59">
        <f t="shared" si="120"/>
        <v>100</v>
      </c>
      <c r="S771" s="56">
        <f t="shared" si="121"/>
        <v>695</v>
      </c>
      <c r="T771" s="56">
        <f>50</f>
        <v>50</v>
      </c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</row>
    <row r="772" spans="1:30" ht="15.75" x14ac:dyDescent="0.25">
      <c r="A772" s="13">
        <v>64801</v>
      </c>
      <c r="B772" s="67">
        <f t="shared" si="117"/>
        <v>31</v>
      </c>
      <c r="C772" s="56">
        <f>194.205</f>
        <v>194.20500000000001</v>
      </c>
      <c r="D772" s="56">
        <f>267.466</f>
        <v>267.46600000000001</v>
      </c>
      <c r="E772" s="64">
        <f>133.845</f>
        <v>133.845</v>
      </c>
      <c r="F772" s="56">
        <f>278.484-40-25-60-100</f>
        <v>53.48399999999998</v>
      </c>
      <c r="G772" s="59">
        <v>40</v>
      </c>
      <c r="H772" s="56">
        <f t="shared" si="127"/>
        <v>185</v>
      </c>
      <c r="I772" s="56">
        <f t="shared" si="124"/>
        <v>0</v>
      </c>
      <c r="J772" s="59">
        <v>100</v>
      </c>
      <c r="K772" s="59">
        <v>300</v>
      </c>
      <c r="L772" s="56">
        <f t="shared" si="118"/>
        <v>1274</v>
      </c>
      <c r="M772" s="66">
        <v>600</v>
      </c>
      <c r="N772" s="56">
        <f>75</f>
        <v>75</v>
      </c>
      <c r="O772" s="59">
        <v>240</v>
      </c>
      <c r="P772" s="59">
        <v>40</v>
      </c>
      <c r="Q772" s="59">
        <f t="shared" si="119"/>
        <v>315</v>
      </c>
      <c r="R772" s="59">
        <f t="shared" si="120"/>
        <v>100</v>
      </c>
      <c r="S772" s="56">
        <f t="shared" si="121"/>
        <v>695</v>
      </c>
      <c r="T772" s="56">
        <f>50</f>
        <v>50</v>
      </c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</row>
    <row r="773" spans="1:30" ht="15.75" x14ac:dyDescent="0.25">
      <c r="A773" s="13">
        <v>64831</v>
      </c>
      <c r="B773" s="67">
        <f t="shared" si="117"/>
        <v>30</v>
      </c>
      <c r="C773" s="56">
        <f>194.205</f>
        <v>194.20500000000001</v>
      </c>
      <c r="D773" s="56">
        <f>267.466</f>
        <v>267.46600000000001</v>
      </c>
      <c r="E773" s="64">
        <f>133.845</f>
        <v>133.845</v>
      </c>
      <c r="F773" s="56">
        <f>278.484-40-25-60-100</f>
        <v>53.48399999999998</v>
      </c>
      <c r="G773" s="59">
        <v>40</v>
      </c>
      <c r="H773" s="56">
        <f t="shared" si="127"/>
        <v>185</v>
      </c>
      <c r="I773" s="56">
        <f t="shared" si="124"/>
        <v>0</v>
      </c>
      <c r="J773" s="59">
        <v>100</v>
      </c>
      <c r="K773" s="59">
        <v>300</v>
      </c>
      <c r="L773" s="56">
        <f t="shared" si="118"/>
        <v>1274</v>
      </c>
      <c r="M773" s="66">
        <v>600</v>
      </c>
      <c r="N773" s="56">
        <f>30</f>
        <v>30</v>
      </c>
      <c r="O773" s="59">
        <v>240</v>
      </c>
      <c r="P773" s="59">
        <v>40</v>
      </c>
      <c r="Q773" s="59">
        <f t="shared" si="119"/>
        <v>315</v>
      </c>
      <c r="R773" s="59">
        <f t="shared" si="120"/>
        <v>100</v>
      </c>
      <c r="S773" s="56">
        <f t="shared" si="121"/>
        <v>695</v>
      </c>
      <c r="T773" s="56">
        <f>50</f>
        <v>50</v>
      </c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</row>
    <row r="774" spans="1:30" ht="15.75" x14ac:dyDescent="0.25">
      <c r="A774" s="13">
        <v>64862</v>
      </c>
      <c r="B774" s="67">
        <f t="shared" si="117"/>
        <v>31</v>
      </c>
      <c r="C774" s="56">
        <f>194.205</f>
        <v>194.20500000000001</v>
      </c>
      <c r="D774" s="56">
        <f>267.466</f>
        <v>267.46600000000001</v>
      </c>
      <c r="E774" s="64">
        <f>133.845</f>
        <v>133.845</v>
      </c>
      <c r="F774" s="56">
        <f>278.484-40-25-60-100</f>
        <v>53.48399999999998</v>
      </c>
      <c r="G774" s="59">
        <v>40</v>
      </c>
      <c r="H774" s="56">
        <f t="shared" si="127"/>
        <v>185</v>
      </c>
      <c r="I774" s="56">
        <f t="shared" si="124"/>
        <v>0</v>
      </c>
      <c r="J774" s="59">
        <v>100</v>
      </c>
      <c r="K774" s="59">
        <v>300</v>
      </c>
      <c r="L774" s="56">
        <f t="shared" si="118"/>
        <v>1274</v>
      </c>
      <c r="M774" s="66">
        <v>600</v>
      </c>
      <c r="N774" s="56">
        <f>30</f>
        <v>30</v>
      </c>
      <c r="O774" s="59">
        <v>240</v>
      </c>
      <c r="P774" s="59">
        <v>40</v>
      </c>
      <c r="Q774" s="59">
        <f t="shared" si="119"/>
        <v>315</v>
      </c>
      <c r="R774" s="59">
        <f t="shared" si="120"/>
        <v>100</v>
      </c>
      <c r="S774" s="56">
        <f t="shared" si="121"/>
        <v>695</v>
      </c>
      <c r="T774" s="56">
        <f>0</f>
        <v>0</v>
      </c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</row>
    <row r="775" spans="1:30" ht="15.75" x14ac:dyDescent="0.25">
      <c r="A775" s="13">
        <v>64893</v>
      </c>
      <c r="B775" s="67">
        <f t="shared" si="117"/>
        <v>31</v>
      </c>
      <c r="C775" s="56">
        <f>194.205</f>
        <v>194.20500000000001</v>
      </c>
      <c r="D775" s="56">
        <f>267.466</f>
        <v>267.46600000000001</v>
      </c>
      <c r="E775" s="64">
        <f>133.845</f>
        <v>133.845</v>
      </c>
      <c r="F775" s="56">
        <f>278.484-40-25-60-100</f>
        <v>53.48399999999998</v>
      </c>
      <c r="G775" s="59">
        <v>40</v>
      </c>
      <c r="H775" s="56">
        <f t="shared" si="127"/>
        <v>185</v>
      </c>
      <c r="I775" s="56">
        <f t="shared" si="124"/>
        <v>0</v>
      </c>
      <c r="J775" s="59">
        <v>100</v>
      </c>
      <c r="K775" s="59">
        <v>300</v>
      </c>
      <c r="L775" s="56">
        <f t="shared" si="118"/>
        <v>1274</v>
      </c>
      <c r="M775" s="66">
        <v>600</v>
      </c>
      <c r="N775" s="56">
        <f>30</f>
        <v>30</v>
      </c>
      <c r="O775" s="59">
        <v>240</v>
      </c>
      <c r="P775" s="59">
        <v>40</v>
      </c>
      <c r="Q775" s="59">
        <f t="shared" si="119"/>
        <v>315</v>
      </c>
      <c r="R775" s="59">
        <f t="shared" si="120"/>
        <v>100</v>
      </c>
      <c r="S775" s="56">
        <f t="shared" si="121"/>
        <v>695</v>
      </c>
      <c r="T775" s="56">
        <f>0</f>
        <v>0</v>
      </c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</row>
    <row r="776" spans="1:30" ht="15.75" x14ac:dyDescent="0.25">
      <c r="A776" s="13">
        <v>64923</v>
      </c>
      <c r="B776" s="67">
        <f t="shared" si="117"/>
        <v>30</v>
      </c>
      <c r="C776" s="56">
        <f>194.205</f>
        <v>194.20500000000001</v>
      </c>
      <c r="D776" s="56">
        <f>267.466</f>
        <v>267.46600000000001</v>
      </c>
      <c r="E776" s="64">
        <f>133.845</f>
        <v>133.845</v>
      </c>
      <c r="F776" s="56">
        <f>278.484-40-25-60-100</f>
        <v>53.48399999999998</v>
      </c>
      <c r="G776" s="59">
        <v>40</v>
      </c>
      <c r="H776" s="56">
        <f t="shared" si="127"/>
        <v>185</v>
      </c>
      <c r="I776" s="56">
        <f t="shared" si="124"/>
        <v>0</v>
      </c>
      <c r="J776" s="59">
        <v>100</v>
      </c>
      <c r="K776" s="59">
        <v>300</v>
      </c>
      <c r="L776" s="56">
        <f t="shared" si="118"/>
        <v>1274</v>
      </c>
      <c r="M776" s="66">
        <v>600</v>
      </c>
      <c r="N776" s="56">
        <f>30</f>
        <v>30</v>
      </c>
      <c r="O776" s="59">
        <v>240</v>
      </c>
      <c r="P776" s="59">
        <v>40</v>
      </c>
      <c r="Q776" s="59">
        <f t="shared" si="119"/>
        <v>315</v>
      </c>
      <c r="R776" s="59">
        <f t="shared" si="120"/>
        <v>100</v>
      </c>
      <c r="S776" s="56">
        <f t="shared" si="121"/>
        <v>695</v>
      </c>
      <c r="T776" s="56">
        <f>0</f>
        <v>0</v>
      </c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</row>
    <row r="777" spans="1:30" ht="15.75" x14ac:dyDescent="0.25">
      <c r="A777" s="13">
        <v>64954</v>
      </c>
      <c r="B777" s="67">
        <f t="shared" si="117"/>
        <v>31</v>
      </c>
      <c r="C777" s="56">
        <f>131.881</f>
        <v>131.881</v>
      </c>
      <c r="D777" s="56">
        <f>277.167</f>
        <v>277.16699999999997</v>
      </c>
      <c r="E777" s="64">
        <f>79.08</f>
        <v>79.08</v>
      </c>
      <c r="F777" s="56">
        <f>350.872-40-25-60-100</f>
        <v>125.87200000000001</v>
      </c>
      <c r="G777" s="59">
        <v>40</v>
      </c>
      <c r="H777" s="56">
        <f t="shared" si="127"/>
        <v>185</v>
      </c>
      <c r="I777" s="56">
        <f t="shared" si="124"/>
        <v>0</v>
      </c>
      <c r="J777" s="59">
        <v>100</v>
      </c>
      <c r="K777" s="59">
        <v>300</v>
      </c>
      <c r="L777" s="56">
        <f t="shared" si="118"/>
        <v>1239</v>
      </c>
      <c r="M777" s="66">
        <v>600</v>
      </c>
      <c r="N777" s="56">
        <f>75</f>
        <v>75</v>
      </c>
      <c r="O777" s="59">
        <v>240</v>
      </c>
      <c r="P777" s="59">
        <v>40</v>
      </c>
      <c r="Q777" s="59">
        <f t="shared" si="119"/>
        <v>315</v>
      </c>
      <c r="R777" s="59">
        <f t="shared" si="120"/>
        <v>100</v>
      </c>
      <c r="S777" s="56">
        <f t="shared" si="121"/>
        <v>695</v>
      </c>
      <c r="T777" s="56">
        <f>0</f>
        <v>0</v>
      </c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</row>
    <row r="778" spans="1:30" ht="15.75" x14ac:dyDescent="0.25">
      <c r="A778" s="13">
        <v>64984</v>
      </c>
      <c r="B778" s="67">
        <f t="shared" si="117"/>
        <v>30</v>
      </c>
      <c r="C778" s="56">
        <f>122.58</f>
        <v>122.58</v>
      </c>
      <c r="D778" s="56">
        <f>297.941</f>
        <v>297.94099999999997</v>
      </c>
      <c r="E778" s="64">
        <f>89.177</f>
        <v>89.177000000000007</v>
      </c>
      <c r="F778" s="56">
        <f>240.302-40-60-100</f>
        <v>40.301999999999992</v>
      </c>
      <c r="G778" s="59">
        <v>40</v>
      </c>
      <c r="H778" s="56">
        <f>60+100</f>
        <v>160</v>
      </c>
      <c r="I778" s="56">
        <f t="shared" si="124"/>
        <v>0</v>
      </c>
      <c r="J778" s="59">
        <v>100</v>
      </c>
      <c r="K778" s="59">
        <v>300</v>
      </c>
      <c r="L778" s="56">
        <f t="shared" si="118"/>
        <v>1150</v>
      </c>
      <c r="M778" s="66">
        <v>600</v>
      </c>
      <c r="N778" s="56">
        <f>100</f>
        <v>100</v>
      </c>
      <c r="O778" s="59">
        <v>240</v>
      </c>
      <c r="P778" s="59">
        <v>40</v>
      </c>
      <c r="Q778" s="59">
        <f t="shared" si="119"/>
        <v>315</v>
      </c>
      <c r="R778" s="59">
        <f t="shared" si="120"/>
        <v>100</v>
      </c>
      <c r="S778" s="56">
        <f t="shared" si="121"/>
        <v>695</v>
      </c>
      <c r="T778" s="56">
        <f>50</f>
        <v>50</v>
      </c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</row>
    <row r="779" spans="1:30" ht="15.75" x14ac:dyDescent="0.25">
      <c r="A779" s="13">
        <v>65015</v>
      </c>
      <c r="B779" s="67">
        <f t="shared" si="117"/>
        <v>31</v>
      </c>
      <c r="C779" s="56">
        <f>122.58</f>
        <v>122.58</v>
      </c>
      <c r="D779" s="56">
        <f>297.941</f>
        <v>297.94099999999997</v>
      </c>
      <c r="E779" s="64">
        <f>89.177</f>
        <v>89.177000000000007</v>
      </c>
      <c r="F779" s="56">
        <f>240.302-40-60-100</f>
        <v>40.301999999999992</v>
      </c>
      <c r="G779" s="59">
        <v>40</v>
      </c>
      <c r="H779" s="56">
        <f>60+100</f>
        <v>160</v>
      </c>
      <c r="I779" s="56">
        <f t="shared" si="124"/>
        <v>0</v>
      </c>
      <c r="J779" s="59">
        <v>100</v>
      </c>
      <c r="K779" s="59">
        <v>300</v>
      </c>
      <c r="L779" s="56">
        <f t="shared" si="118"/>
        <v>1150</v>
      </c>
      <c r="M779" s="66">
        <v>600</v>
      </c>
      <c r="N779" s="56">
        <f>100</f>
        <v>100</v>
      </c>
      <c r="O779" s="59">
        <v>240</v>
      </c>
      <c r="P779" s="59">
        <v>40</v>
      </c>
      <c r="Q779" s="59">
        <f t="shared" si="119"/>
        <v>315</v>
      </c>
      <c r="R779" s="59">
        <f t="shared" si="120"/>
        <v>100</v>
      </c>
      <c r="S779" s="56">
        <f t="shared" si="121"/>
        <v>695</v>
      </c>
      <c r="T779" s="56">
        <f>50</f>
        <v>50</v>
      </c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</row>
    <row r="780" spans="1:30" ht="15.75" x14ac:dyDescent="0.25">
      <c r="A780" s="13">
        <v>65046</v>
      </c>
      <c r="B780" s="67">
        <f t="shared" ref="B780:B843" si="128">EOMONTH(A780,0)-EOMONTH(A780,-1)</f>
        <v>31</v>
      </c>
      <c r="C780" s="56">
        <f>122.58</f>
        <v>122.58</v>
      </c>
      <c r="D780" s="56">
        <f>297.941</f>
        <v>297.94099999999997</v>
      </c>
      <c r="E780" s="64">
        <f>89.177</f>
        <v>89.177000000000007</v>
      </c>
      <c r="F780" s="56">
        <f>240.302-40-60-100</f>
        <v>40.301999999999992</v>
      </c>
      <c r="G780" s="59">
        <v>40</v>
      </c>
      <c r="H780" s="56">
        <f>60+100</f>
        <v>160</v>
      </c>
      <c r="I780" s="56">
        <f t="shared" si="124"/>
        <v>0</v>
      </c>
      <c r="J780" s="59">
        <v>100</v>
      </c>
      <c r="K780" s="59">
        <v>300</v>
      </c>
      <c r="L780" s="56">
        <f t="shared" si="118"/>
        <v>1150</v>
      </c>
      <c r="M780" s="66">
        <v>600</v>
      </c>
      <c r="N780" s="56">
        <f>100</f>
        <v>100</v>
      </c>
      <c r="O780" s="59">
        <v>240</v>
      </c>
      <c r="P780" s="59">
        <v>40</v>
      </c>
      <c r="Q780" s="59">
        <f t="shared" si="119"/>
        <v>315</v>
      </c>
      <c r="R780" s="59">
        <f t="shared" si="120"/>
        <v>100</v>
      </c>
      <c r="S780" s="56">
        <f t="shared" si="121"/>
        <v>695</v>
      </c>
      <c r="T780" s="56">
        <f>50</f>
        <v>50</v>
      </c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</row>
    <row r="781" spans="1:30" ht="15.75" x14ac:dyDescent="0.25">
      <c r="A781" s="13">
        <v>65074</v>
      </c>
      <c r="B781" s="67">
        <f t="shared" si="128"/>
        <v>28</v>
      </c>
      <c r="C781" s="56">
        <f>122.58</f>
        <v>122.58</v>
      </c>
      <c r="D781" s="56">
        <f>297.941</f>
        <v>297.94099999999997</v>
      </c>
      <c r="E781" s="64">
        <f>89.177</f>
        <v>89.177000000000007</v>
      </c>
      <c r="F781" s="56">
        <f>240.302-40-60-100</f>
        <v>40.301999999999992</v>
      </c>
      <c r="G781" s="59">
        <v>40</v>
      </c>
      <c r="H781" s="56">
        <f>60+100</f>
        <v>160</v>
      </c>
      <c r="I781" s="56">
        <f t="shared" si="124"/>
        <v>0</v>
      </c>
      <c r="J781" s="59">
        <v>100</v>
      </c>
      <c r="K781" s="59">
        <v>300</v>
      </c>
      <c r="L781" s="56">
        <f t="shared" si="118"/>
        <v>1150</v>
      </c>
      <c r="M781" s="66">
        <v>600</v>
      </c>
      <c r="N781" s="56">
        <f>100</f>
        <v>100</v>
      </c>
      <c r="O781" s="59">
        <v>240</v>
      </c>
      <c r="P781" s="59">
        <v>40</v>
      </c>
      <c r="Q781" s="59">
        <f t="shared" si="119"/>
        <v>315</v>
      </c>
      <c r="R781" s="59">
        <f t="shared" si="120"/>
        <v>100</v>
      </c>
      <c r="S781" s="56">
        <f t="shared" si="121"/>
        <v>695</v>
      </c>
      <c r="T781" s="56">
        <f>50</f>
        <v>50</v>
      </c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</row>
    <row r="782" spans="1:30" ht="15.75" x14ac:dyDescent="0.25">
      <c r="A782" s="13">
        <v>65105</v>
      </c>
      <c r="B782" s="67">
        <f t="shared" si="128"/>
        <v>31</v>
      </c>
      <c r="C782" s="56">
        <f>122.58</f>
        <v>122.58</v>
      </c>
      <c r="D782" s="56">
        <f>297.941</f>
        <v>297.94099999999997</v>
      </c>
      <c r="E782" s="64">
        <f>89.177</f>
        <v>89.177000000000007</v>
      </c>
      <c r="F782" s="56">
        <f>240.302-40-60-100</f>
        <v>40.301999999999992</v>
      </c>
      <c r="G782" s="59">
        <v>40</v>
      </c>
      <c r="H782" s="56">
        <f>60+100</f>
        <v>160</v>
      </c>
      <c r="I782" s="56">
        <f t="shared" si="124"/>
        <v>0</v>
      </c>
      <c r="J782" s="59">
        <v>100</v>
      </c>
      <c r="K782" s="59">
        <v>300</v>
      </c>
      <c r="L782" s="56">
        <f t="shared" si="118"/>
        <v>1150</v>
      </c>
      <c r="M782" s="66">
        <v>600</v>
      </c>
      <c r="N782" s="56">
        <f>100</f>
        <v>100</v>
      </c>
      <c r="O782" s="59">
        <v>240</v>
      </c>
      <c r="P782" s="59">
        <v>40</v>
      </c>
      <c r="Q782" s="59">
        <f t="shared" si="119"/>
        <v>315</v>
      </c>
      <c r="R782" s="59">
        <f t="shared" si="120"/>
        <v>100</v>
      </c>
      <c r="S782" s="56">
        <f t="shared" si="121"/>
        <v>695</v>
      </c>
      <c r="T782" s="56">
        <f>50</f>
        <v>50</v>
      </c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</row>
    <row r="783" spans="1:30" ht="15.75" x14ac:dyDescent="0.25">
      <c r="A783" s="13">
        <v>65135</v>
      </c>
      <c r="B783" s="67">
        <f t="shared" si="128"/>
        <v>30</v>
      </c>
      <c r="C783" s="56">
        <f>141.293</f>
        <v>141.29300000000001</v>
      </c>
      <c r="D783" s="56">
        <f>267.993</f>
        <v>267.99299999999999</v>
      </c>
      <c r="E783" s="64">
        <f>115.016</f>
        <v>115.01600000000001</v>
      </c>
      <c r="F783" s="56">
        <f>314.698-40-25-60-100</f>
        <v>89.697999999999979</v>
      </c>
      <c r="G783" s="59">
        <v>40</v>
      </c>
      <c r="H783" s="56">
        <f t="shared" ref="H783:H789" si="129">25+60+100</f>
        <v>185</v>
      </c>
      <c r="I783" s="56">
        <f t="shared" si="124"/>
        <v>0</v>
      </c>
      <c r="J783" s="59">
        <v>100</v>
      </c>
      <c r="K783" s="59">
        <v>300</v>
      </c>
      <c r="L783" s="56">
        <f t="shared" ref="L783:L846" si="130">SUM(C783:K783)</f>
        <v>1239</v>
      </c>
      <c r="M783" s="66">
        <v>600</v>
      </c>
      <c r="N783" s="56">
        <f>100</f>
        <v>100</v>
      </c>
      <c r="O783" s="59">
        <v>240</v>
      </c>
      <c r="P783" s="59">
        <v>40</v>
      </c>
      <c r="Q783" s="59">
        <f t="shared" ref="Q783:Q846" si="131">695-R783-O783-P783</f>
        <v>315</v>
      </c>
      <c r="R783" s="59">
        <f t="shared" ref="R783:R846" si="132">200-J783</f>
        <v>100</v>
      </c>
      <c r="S783" s="56">
        <f t="shared" ref="S783:S846" si="133">SUM(O783:R783)</f>
        <v>695</v>
      </c>
      <c r="T783" s="56">
        <f>50</f>
        <v>50</v>
      </c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</row>
    <row r="784" spans="1:30" ht="15.75" x14ac:dyDescent="0.25">
      <c r="A784" s="13">
        <v>65166</v>
      </c>
      <c r="B784" s="67">
        <f t="shared" si="128"/>
        <v>31</v>
      </c>
      <c r="C784" s="56">
        <f>194.205</f>
        <v>194.20500000000001</v>
      </c>
      <c r="D784" s="56">
        <f>267.466</f>
        <v>267.46600000000001</v>
      </c>
      <c r="E784" s="64">
        <f>133.845</f>
        <v>133.845</v>
      </c>
      <c r="F784" s="56">
        <f>278.484-40-25-60-100</f>
        <v>53.48399999999998</v>
      </c>
      <c r="G784" s="59">
        <v>40</v>
      </c>
      <c r="H784" s="56">
        <f t="shared" si="129"/>
        <v>185</v>
      </c>
      <c r="I784" s="56">
        <f t="shared" si="124"/>
        <v>0</v>
      </c>
      <c r="J784" s="59">
        <v>100</v>
      </c>
      <c r="K784" s="59">
        <v>300</v>
      </c>
      <c r="L784" s="56">
        <f t="shared" si="130"/>
        <v>1274</v>
      </c>
      <c r="M784" s="66">
        <v>600</v>
      </c>
      <c r="N784" s="56">
        <f>75</f>
        <v>75</v>
      </c>
      <c r="O784" s="59">
        <v>240</v>
      </c>
      <c r="P784" s="59">
        <v>40</v>
      </c>
      <c r="Q784" s="59">
        <f t="shared" si="131"/>
        <v>315</v>
      </c>
      <c r="R784" s="59">
        <f t="shared" si="132"/>
        <v>100</v>
      </c>
      <c r="S784" s="56">
        <f t="shared" si="133"/>
        <v>695</v>
      </c>
      <c r="T784" s="56">
        <f>50</f>
        <v>50</v>
      </c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</row>
    <row r="785" spans="1:30" ht="15.75" x14ac:dyDescent="0.25">
      <c r="A785" s="13">
        <v>65196</v>
      </c>
      <c r="B785" s="67">
        <f t="shared" si="128"/>
        <v>30</v>
      </c>
      <c r="C785" s="56">
        <f>194.205</f>
        <v>194.20500000000001</v>
      </c>
      <c r="D785" s="56">
        <f>267.466</f>
        <v>267.46600000000001</v>
      </c>
      <c r="E785" s="64">
        <f>133.845</f>
        <v>133.845</v>
      </c>
      <c r="F785" s="56">
        <f>278.484-40-25-60-100</f>
        <v>53.48399999999998</v>
      </c>
      <c r="G785" s="59">
        <v>40</v>
      </c>
      <c r="H785" s="56">
        <f t="shared" si="129"/>
        <v>185</v>
      </c>
      <c r="I785" s="56">
        <f t="shared" si="124"/>
        <v>0</v>
      </c>
      <c r="J785" s="59">
        <v>100</v>
      </c>
      <c r="K785" s="59">
        <v>300</v>
      </c>
      <c r="L785" s="56">
        <f t="shared" si="130"/>
        <v>1274</v>
      </c>
      <c r="M785" s="66">
        <v>600</v>
      </c>
      <c r="N785" s="56">
        <f>30</f>
        <v>30</v>
      </c>
      <c r="O785" s="59">
        <v>240</v>
      </c>
      <c r="P785" s="59">
        <v>40</v>
      </c>
      <c r="Q785" s="59">
        <f t="shared" si="131"/>
        <v>315</v>
      </c>
      <c r="R785" s="59">
        <f t="shared" si="132"/>
        <v>100</v>
      </c>
      <c r="S785" s="56">
        <f t="shared" si="133"/>
        <v>695</v>
      </c>
      <c r="T785" s="56">
        <f>50</f>
        <v>50</v>
      </c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</row>
    <row r="786" spans="1:30" ht="15.75" x14ac:dyDescent="0.25">
      <c r="A786" s="13">
        <v>65227</v>
      </c>
      <c r="B786" s="67">
        <f t="shared" si="128"/>
        <v>31</v>
      </c>
      <c r="C786" s="56">
        <f>194.205</f>
        <v>194.20500000000001</v>
      </c>
      <c r="D786" s="56">
        <f>267.466</f>
        <v>267.46600000000001</v>
      </c>
      <c r="E786" s="64">
        <f>133.845</f>
        <v>133.845</v>
      </c>
      <c r="F786" s="56">
        <f>278.484-40-25-60-100</f>
        <v>53.48399999999998</v>
      </c>
      <c r="G786" s="59">
        <v>40</v>
      </c>
      <c r="H786" s="56">
        <f t="shared" si="129"/>
        <v>185</v>
      </c>
      <c r="I786" s="56">
        <f t="shared" si="124"/>
        <v>0</v>
      </c>
      <c r="J786" s="59">
        <v>100</v>
      </c>
      <c r="K786" s="59">
        <v>300</v>
      </c>
      <c r="L786" s="56">
        <f t="shared" si="130"/>
        <v>1274</v>
      </c>
      <c r="M786" s="66">
        <v>600</v>
      </c>
      <c r="N786" s="56">
        <f>30</f>
        <v>30</v>
      </c>
      <c r="O786" s="59">
        <v>240</v>
      </c>
      <c r="P786" s="59">
        <v>40</v>
      </c>
      <c r="Q786" s="59">
        <f t="shared" si="131"/>
        <v>315</v>
      </c>
      <c r="R786" s="59">
        <f t="shared" si="132"/>
        <v>100</v>
      </c>
      <c r="S786" s="56">
        <f t="shared" si="133"/>
        <v>695</v>
      </c>
      <c r="T786" s="56">
        <f>0</f>
        <v>0</v>
      </c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</row>
    <row r="787" spans="1:30" ht="15.75" x14ac:dyDescent="0.25">
      <c r="A787" s="13">
        <v>65258</v>
      </c>
      <c r="B787" s="67">
        <f t="shared" si="128"/>
        <v>31</v>
      </c>
      <c r="C787" s="56">
        <f>194.205</f>
        <v>194.20500000000001</v>
      </c>
      <c r="D787" s="56">
        <f>267.466</f>
        <v>267.46600000000001</v>
      </c>
      <c r="E787" s="64">
        <f>133.845</f>
        <v>133.845</v>
      </c>
      <c r="F787" s="56">
        <f>278.484-40-25-60-100</f>
        <v>53.48399999999998</v>
      </c>
      <c r="G787" s="59">
        <v>40</v>
      </c>
      <c r="H787" s="56">
        <f t="shared" si="129"/>
        <v>185</v>
      </c>
      <c r="I787" s="56">
        <f t="shared" si="124"/>
        <v>0</v>
      </c>
      <c r="J787" s="59">
        <v>100</v>
      </c>
      <c r="K787" s="59">
        <v>300</v>
      </c>
      <c r="L787" s="56">
        <f t="shared" si="130"/>
        <v>1274</v>
      </c>
      <c r="M787" s="66">
        <v>600</v>
      </c>
      <c r="N787" s="56">
        <f>30</f>
        <v>30</v>
      </c>
      <c r="O787" s="59">
        <v>240</v>
      </c>
      <c r="P787" s="59">
        <v>40</v>
      </c>
      <c r="Q787" s="59">
        <f t="shared" si="131"/>
        <v>315</v>
      </c>
      <c r="R787" s="59">
        <f t="shared" si="132"/>
        <v>100</v>
      </c>
      <c r="S787" s="56">
        <f t="shared" si="133"/>
        <v>695</v>
      </c>
      <c r="T787" s="56">
        <f>0</f>
        <v>0</v>
      </c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</row>
    <row r="788" spans="1:30" ht="15.75" x14ac:dyDescent="0.25">
      <c r="A788" s="13">
        <v>65288</v>
      </c>
      <c r="B788" s="67">
        <f t="shared" si="128"/>
        <v>30</v>
      </c>
      <c r="C788" s="56">
        <f>194.205</f>
        <v>194.20500000000001</v>
      </c>
      <c r="D788" s="56">
        <f>267.466</f>
        <v>267.46600000000001</v>
      </c>
      <c r="E788" s="64">
        <f>133.845</f>
        <v>133.845</v>
      </c>
      <c r="F788" s="56">
        <f>278.484-40-25-60-100</f>
        <v>53.48399999999998</v>
      </c>
      <c r="G788" s="59">
        <v>40</v>
      </c>
      <c r="H788" s="56">
        <f t="shared" si="129"/>
        <v>185</v>
      </c>
      <c r="I788" s="56">
        <f t="shared" si="124"/>
        <v>0</v>
      </c>
      <c r="J788" s="59">
        <v>100</v>
      </c>
      <c r="K788" s="59">
        <v>300</v>
      </c>
      <c r="L788" s="56">
        <f t="shared" si="130"/>
        <v>1274</v>
      </c>
      <c r="M788" s="66">
        <v>600</v>
      </c>
      <c r="N788" s="56">
        <f>30</f>
        <v>30</v>
      </c>
      <c r="O788" s="59">
        <v>240</v>
      </c>
      <c r="P788" s="59">
        <v>40</v>
      </c>
      <c r="Q788" s="59">
        <f t="shared" si="131"/>
        <v>315</v>
      </c>
      <c r="R788" s="59">
        <f t="shared" si="132"/>
        <v>100</v>
      </c>
      <c r="S788" s="56">
        <f t="shared" si="133"/>
        <v>695</v>
      </c>
      <c r="T788" s="56">
        <f>0</f>
        <v>0</v>
      </c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</row>
    <row r="789" spans="1:30" ht="15.75" x14ac:dyDescent="0.25">
      <c r="A789" s="13">
        <v>65319</v>
      </c>
      <c r="B789" s="67">
        <f t="shared" si="128"/>
        <v>31</v>
      </c>
      <c r="C789" s="56">
        <f>131.881</f>
        <v>131.881</v>
      </c>
      <c r="D789" s="56">
        <f>277.167</f>
        <v>277.16699999999997</v>
      </c>
      <c r="E789" s="64">
        <f>79.08</f>
        <v>79.08</v>
      </c>
      <c r="F789" s="56">
        <f>350.872-40-25-60-100</f>
        <v>125.87200000000001</v>
      </c>
      <c r="G789" s="59">
        <v>40</v>
      </c>
      <c r="H789" s="56">
        <f t="shared" si="129"/>
        <v>185</v>
      </c>
      <c r="I789" s="56">
        <f t="shared" si="124"/>
        <v>0</v>
      </c>
      <c r="J789" s="59">
        <v>100</v>
      </c>
      <c r="K789" s="59">
        <v>300</v>
      </c>
      <c r="L789" s="56">
        <f t="shared" si="130"/>
        <v>1239</v>
      </c>
      <c r="M789" s="66">
        <v>600</v>
      </c>
      <c r="N789" s="56">
        <f>75</f>
        <v>75</v>
      </c>
      <c r="O789" s="59">
        <v>240</v>
      </c>
      <c r="P789" s="59">
        <v>40</v>
      </c>
      <c r="Q789" s="59">
        <f t="shared" si="131"/>
        <v>315</v>
      </c>
      <c r="R789" s="59">
        <f t="shared" si="132"/>
        <v>100</v>
      </c>
      <c r="S789" s="56">
        <f t="shared" si="133"/>
        <v>695</v>
      </c>
      <c r="T789" s="56">
        <f>0</f>
        <v>0</v>
      </c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</row>
    <row r="790" spans="1:30" ht="15.75" x14ac:dyDescent="0.25">
      <c r="A790" s="13">
        <v>65349</v>
      </c>
      <c r="B790" s="67">
        <f t="shared" si="128"/>
        <v>30</v>
      </c>
      <c r="C790" s="56">
        <f>122.58</f>
        <v>122.58</v>
      </c>
      <c r="D790" s="56">
        <f>297.941</f>
        <v>297.94099999999997</v>
      </c>
      <c r="E790" s="64">
        <f>89.177</f>
        <v>89.177000000000007</v>
      </c>
      <c r="F790" s="56">
        <f>240.302-40-60-100</f>
        <v>40.301999999999992</v>
      </c>
      <c r="G790" s="59">
        <v>40</v>
      </c>
      <c r="H790" s="56">
        <f>60+100</f>
        <v>160</v>
      </c>
      <c r="I790" s="56">
        <f t="shared" si="124"/>
        <v>0</v>
      </c>
      <c r="J790" s="59">
        <v>100</v>
      </c>
      <c r="K790" s="59">
        <v>300</v>
      </c>
      <c r="L790" s="56">
        <f t="shared" si="130"/>
        <v>1150</v>
      </c>
      <c r="M790" s="66">
        <v>600</v>
      </c>
      <c r="N790" s="56">
        <f>100</f>
        <v>100</v>
      </c>
      <c r="O790" s="59">
        <v>240</v>
      </c>
      <c r="P790" s="59">
        <v>40</v>
      </c>
      <c r="Q790" s="59">
        <f t="shared" si="131"/>
        <v>315</v>
      </c>
      <c r="R790" s="59">
        <f t="shared" si="132"/>
        <v>100</v>
      </c>
      <c r="S790" s="56">
        <f t="shared" si="133"/>
        <v>695</v>
      </c>
      <c r="T790" s="56">
        <f>50</f>
        <v>50</v>
      </c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</row>
    <row r="791" spans="1:30" ht="15.75" x14ac:dyDescent="0.25">
      <c r="A791" s="13">
        <v>65380</v>
      </c>
      <c r="B791" s="67">
        <f t="shared" si="128"/>
        <v>31</v>
      </c>
      <c r="C791" s="56">
        <f>122.58</f>
        <v>122.58</v>
      </c>
      <c r="D791" s="56">
        <f>297.941</f>
        <v>297.94099999999997</v>
      </c>
      <c r="E791" s="64">
        <f>89.177</f>
        <v>89.177000000000007</v>
      </c>
      <c r="F791" s="56">
        <f>240.302-40-60-100</f>
        <v>40.301999999999992</v>
      </c>
      <c r="G791" s="59">
        <v>40</v>
      </c>
      <c r="H791" s="56">
        <f>60+100</f>
        <v>160</v>
      </c>
      <c r="I791" s="56">
        <f t="shared" si="124"/>
        <v>0</v>
      </c>
      <c r="J791" s="59">
        <v>100</v>
      </c>
      <c r="K791" s="59">
        <v>300</v>
      </c>
      <c r="L791" s="56">
        <f t="shared" si="130"/>
        <v>1150</v>
      </c>
      <c r="M791" s="66">
        <v>600</v>
      </c>
      <c r="N791" s="56">
        <f>100</f>
        <v>100</v>
      </c>
      <c r="O791" s="59">
        <v>240</v>
      </c>
      <c r="P791" s="59">
        <v>40</v>
      </c>
      <c r="Q791" s="59">
        <f t="shared" si="131"/>
        <v>315</v>
      </c>
      <c r="R791" s="59">
        <f t="shared" si="132"/>
        <v>100</v>
      </c>
      <c r="S791" s="56">
        <f t="shared" si="133"/>
        <v>695</v>
      </c>
      <c r="T791" s="56">
        <f>50</f>
        <v>50</v>
      </c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</row>
    <row r="792" spans="1:30" ht="15.75" x14ac:dyDescent="0.25">
      <c r="A792" s="13">
        <v>65411</v>
      </c>
      <c r="B792" s="67">
        <f t="shared" si="128"/>
        <v>31</v>
      </c>
      <c r="C792" s="56">
        <f>122.58</f>
        <v>122.58</v>
      </c>
      <c r="D792" s="56">
        <f>297.941</f>
        <v>297.94099999999997</v>
      </c>
      <c r="E792" s="64">
        <f>89.177</f>
        <v>89.177000000000007</v>
      </c>
      <c r="F792" s="56">
        <f>240.302-40-60-100</f>
        <v>40.301999999999992</v>
      </c>
      <c r="G792" s="59">
        <v>40</v>
      </c>
      <c r="H792" s="56">
        <f>60+100</f>
        <v>160</v>
      </c>
      <c r="I792" s="56">
        <f t="shared" si="124"/>
        <v>0</v>
      </c>
      <c r="J792" s="59">
        <v>100</v>
      </c>
      <c r="K792" s="59">
        <v>300</v>
      </c>
      <c r="L792" s="56">
        <f t="shared" si="130"/>
        <v>1150</v>
      </c>
      <c r="M792" s="66">
        <v>600</v>
      </c>
      <c r="N792" s="56">
        <f>100</f>
        <v>100</v>
      </c>
      <c r="O792" s="59">
        <v>240</v>
      </c>
      <c r="P792" s="59">
        <v>40</v>
      </c>
      <c r="Q792" s="59">
        <f t="shared" si="131"/>
        <v>315</v>
      </c>
      <c r="R792" s="59">
        <f t="shared" si="132"/>
        <v>100</v>
      </c>
      <c r="S792" s="56">
        <f t="shared" si="133"/>
        <v>695</v>
      </c>
      <c r="T792" s="56">
        <f>50</f>
        <v>50</v>
      </c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</row>
    <row r="793" spans="1:30" ht="15.75" x14ac:dyDescent="0.25">
      <c r="A793" s="13">
        <v>65439</v>
      </c>
      <c r="B793" s="67">
        <f t="shared" si="128"/>
        <v>28</v>
      </c>
      <c r="C793" s="56">
        <f>122.58</f>
        <v>122.58</v>
      </c>
      <c r="D793" s="56">
        <f>297.941</f>
        <v>297.94099999999997</v>
      </c>
      <c r="E793" s="64">
        <f>89.177</f>
        <v>89.177000000000007</v>
      </c>
      <c r="F793" s="56">
        <f>240.302-40-60-100</f>
        <v>40.301999999999992</v>
      </c>
      <c r="G793" s="59">
        <v>40</v>
      </c>
      <c r="H793" s="56">
        <f>60+100</f>
        <v>160</v>
      </c>
      <c r="I793" s="56">
        <f t="shared" si="124"/>
        <v>0</v>
      </c>
      <c r="J793" s="59">
        <v>100</v>
      </c>
      <c r="K793" s="59">
        <v>300</v>
      </c>
      <c r="L793" s="56">
        <f t="shared" si="130"/>
        <v>1150</v>
      </c>
      <c r="M793" s="66">
        <v>600</v>
      </c>
      <c r="N793" s="56">
        <f>100</f>
        <v>100</v>
      </c>
      <c r="O793" s="59">
        <v>240</v>
      </c>
      <c r="P793" s="59">
        <v>40</v>
      </c>
      <c r="Q793" s="59">
        <f t="shared" si="131"/>
        <v>315</v>
      </c>
      <c r="R793" s="59">
        <f t="shared" si="132"/>
        <v>100</v>
      </c>
      <c r="S793" s="56">
        <f t="shared" si="133"/>
        <v>695</v>
      </c>
      <c r="T793" s="56">
        <f>50</f>
        <v>50</v>
      </c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</row>
    <row r="794" spans="1:30" ht="15.75" x14ac:dyDescent="0.25">
      <c r="A794" s="13">
        <v>65470</v>
      </c>
      <c r="B794" s="67">
        <f t="shared" si="128"/>
        <v>31</v>
      </c>
      <c r="C794" s="56">
        <f>122.58</f>
        <v>122.58</v>
      </c>
      <c r="D794" s="56">
        <f>297.941</f>
        <v>297.94099999999997</v>
      </c>
      <c r="E794" s="64">
        <f>89.177</f>
        <v>89.177000000000007</v>
      </c>
      <c r="F794" s="56">
        <f>240.302-40-60-100</f>
        <v>40.301999999999992</v>
      </c>
      <c r="G794" s="59">
        <v>40</v>
      </c>
      <c r="H794" s="56">
        <f>60+100</f>
        <v>160</v>
      </c>
      <c r="I794" s="56">
        <f t="shared" si="124"/>
        <v>0</v>
      </c>
      <c r="J794" s="59">
        <v>100</v>
      </c>
      <c r="K794" s="59">
        <v>300</v>
      </c>
      <c r="L794" s="56">
        <f t="shared" si="130"/>
        <v>1150</v>
      </c>
      <c r="M794" s="66">
        <v>600</v>
      </c>
      <c r="N794" s="56">
        <f>100</f>
        <v>100</v>
      </c>
      <c r="O794" s="59">
        <v>240</v>
      </c>
      <c r="P794" s="59">
        <v>40</v>
      </c>
      <c r="Q794" s="59">
        <f t="shared" si="131"/>
        <v>315</v>
      </c>
      <c r="R794" s="59">
        <f t="shared" si="132"/>
        <v>100</v>
      </c>
      <c r="S794" s="56">
        <f t="shared" si="133"/>
        <v>695</v>
      </c>
      <c r="T794" s="56">
        <f>50</f>
        <v>50</v>
      </c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</row>
    <row r="795" spans="1:30" ht="15.75" x14ac:dyDescent="0.25">
      <c r="A795" s="13">
        <v>65500</v>
      </c>
      <c r="B795" s="67">
        <f t="shared" si="128"/>
        <v>30</v>
      </c>
      <c r="C795" s="56">
        <f>141.293</f>
        <v>141.29300000000001</v>
      </c>
      <c r="D795" s="56">
        <f>267.993</f>
        <v>267.99299999999999</v>
      </c>
      <c r="E795" s="64">
        <f>115.016</f>
        <v>115.01600000000001</v>
      </c>
      <c r="F795" s="56">
        <f>314.698-40-25-60-100</f>
        <v>89.697999999999979</v>
      </c>
      <c r="G795" s="59">
        <v>40</v>
      </c>
      <c r="H795" s="56">
        <f t="shared" ref="H795:H801" si="134">25+60+100</f>
        <v>185</v>
      </c>
      <c r="I795" s="56">
        <f t="shared" si="124"/>
        <v>0</v>
      </c>
      <c r="J795" s="59">
        <v>100</v>
      </c>
      <c r="K795" s="59">
        <v>300</v>
      </c>
      <c r="L795" s="56">
        <f t="shared" si="130"/>
        <v>1239</v>
      </c>
      <c r="M795" s="66">
        <v>600</v>
      </c>
      <c r="N795" s="56">
        <f>100</f>
        <v>100</v>
      </c>
      <c r="O795" s="59">
        <v>240</v>
      </c>
      <c r="P795" s="59">
        <v>40</v>
      </c>
      <c r="Q795" s="59">
        <f t="shared" si="131"/>
        <v>315</v>
      </c>
      <c r="R795" s="59">
        <f t="shared" si="132"/>
        <v>100</v>
      </c>
      <c r="S795" s="56">
        <f t="shared" si="133"/>
        <v>695</v>
      </c>
      <c r="T795" s="56">
        <f>50</f>
        <v>50</v>
      </c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</row>
    <row r="796" spans="1:30" ht="15.75" x14ac:dyDescent="0.25">
      <c r="A796" s="13">
        <v>65531</v>
      </c>
      <c r="B796" s="67">
        <f t="shared" si="128"/>
        <v>31</v>
      </c>
      <c r="C796" s="56">
        <f>194.205</f>
        <v>194.20500000000001</v>
      </c>
      <c r="D796" s="56">
        <f>267.466</f>
        <v>267.46600000000001</v>
      </c>
      <c r="E796" s="64">
        <f>133.845</f>
        <v>133.845</v>
      </c>
      <c r="F796" s="56">
        <f>278.484-40-25-60-100</f>
        <v>53.48399999999998</v>
      </c>
      <c r="G796" s="59">
        <v>40</v>
      </c>
      <c r="H796" s="56">
        <f t="shared" si="134"/>
        <v>185</v>
      </c>
      <c r="I796" s="56">
        <f t="shared" si="124"/>
        <v>0</v>
      </c>
      <c r="J796" s="59">
        <v>100</v>
      </c>
      <c r="K796" s="59">
        <v>300</v>
      </c>
      <c r="L796" s="56">
        <f t="shared" si="130"/>
        <v>1274</v>
      </c>
      <c r="M796" s="66">
        <v>600</v>
      </c>
      <c r="N796" s="56">
        <f>75</f>
        <v>75</v>
      </c>
      <c r="O796" s="59">
        <v>240</v>
      </c>
      <c r="P796" s="59">
        <v>40</v>
      </c>
      <c r="Q796" s="59">
        <f t="shared" si="131"/>
        <v>315</v>
      </c>
      <c r="R796" s="59">
        <f t="shared" si="132"/>
        <v>100</v>
      </c>
      <c r="S796" s="56">
        <f t="shared" si="133"/>
        <v>695</v>
      </c>
      <c r="T796" s="56">
        <f>50</f>
        <v>50</v>
      </c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</row>
    <row r="797" spans="1:30" ht="15.75" x14ac:dyDescent="0.25">
      <c r="A797" s="13">
        <v>65561</v>
      </c>
      <c r="B797" s="67">
        <f t="shared" si="128"/>
        <v>30</v>
      </c>
      <c r="C797" s="56">
        <f>194.205</f>
        <v>194.20500000000001</v>
      </c>
      <c r="D797" s="56">
        <f>267.466</f>
        <v>267.46600000000001</v>
      </c>
      <c r="E797" s="64">
        <f>133.845</f>
        <v>133.845</v>
      </c>
      <c r="F797" s="56">
        <f>278.484-40-25-60-100</f>
        <v>53.48399999999998</v>
      </c>
      <c r="G797" s="59">
        <v>40</v>
      </c>
      <c r="H797" s="56">
        <f t="shared" si="134"/>
        <v>185</v>
      </c>
      <c r="I797" s="56">
        <f t="shared" si="124"/>
        <v>0</v>
      </c>
      <c r="J797" s="59">
        <v>100</v>
      </c>
      <c r="K797" s="59">
        <v>300</v>
      </c>
      <c r="L797" s="56">
        <f t="shared" si="130"/>
        <v>1274</v>
      </c>
      <c r="M797" s="66">
        <v>600</v>
      </c>
      <c r="N797" s="56">
        <f>30</f>
        <v>30</v>
      </c>
      <c r="O797" s="59">
        <v>240</v>
      </c>
      <c r="P797" s="59">
        <v>40</v>
      </c>
      <c r="Q797" s="59">
        <f t="shared" si="131"/>
        <v>315</v>
      </c>
      <c r="R797" s="59">
        <f t="shared" si="132"/>
        <v>100</v>
      </c>
      <c r="S797" s="56">
        <f t="shared" si="133"/>
        <v>695</v>
      </c>
      <c r="T797" s="56">
        <f>50</f>
        <v>50</v>
      </c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</row>
    <row r="798" spans="1:30" ht="15.75" x14ac:dyDescent="0.25">
      <c r="A798" s="13">
        <v>65592</v>
      </c>
      <c r="B798" s="67">
        <f t="shared" si="128"/>
        <v>31</v>
      </c>
      <c r="C798" s="56">
        <f>194.205</f>
        <v>194.20500000000001</v>
      </c>
      <c r="D798" s="56">
        <f>267.466</f>
        <v>267.46600000000001</v>
      </c>
      <c r="E798" s="64">
        <f>133.845</f>
        <v>133.845</v>
      </c>
      <c r="F798" s="56">
        <f>278.484-40-25-60-100</f>
        <v>53.48399999999998</v>
      </c>
      <c r="G798" s="59">
        <v>40</v>
      </c>
      <c r="H798" s="56">
        <f t="shared" si="134"/>
        <v>185</v>
      </c>
      <c r="I798" s="56">
        <f t="shared" si="124"/>
        <v>0</v>
      </c>
      <c r="J798" s="59">
        <v>100</v>
      </c>
      <c r="K798" s="59">
        <v>300</v>
      </c>
      <c r="L798" s="56">
        <f t="shared" si="130"/>
        <v>1274</v>
      </c>
      <c r="M798" s="66">
        <v>600</v>
      </c>
      <c r="N798" s="56">
        <f>30</f>
        <v>30</v>
      </c>
      <c r="O798" s="59">
        <v>240</v>
      </c>
      <c r="P798" s="59">
        <v>40</v>
      </c>
      <c r="Q798" s="59">
        <f t="shared" si="131"/>
        <v>315</v>
      </c>
      <c r="R798" s="59">
        <f t="shared" si="132"/>
        <v>100</v>
      </c>
      <c r="S798" s="56">
        <f t="shared" si="133"/>
        <v>695</v>
      </c>
      <c r="T798" s="56">
        <f>0</f>
        <v>0</v>
      </c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</row>
    <row r="799" spans="1:30" ht="15.75" x14ac:dyDescent="0.25">
      <c r="A799" s="13">
        <v>65623</v>
      </c>
      <c r="B799" s="67">
        <f t="shared" si="128"/>
        <v>31</v>
      </c>
      <c r="C799" s="56">
        <f>194.205</f>
        <v>194.20500000000001</v>
      </c>
      <c r="D799" s="56">
        <f>267.466</f>
        <v>267.46600000000001</v>
      </c>
      <c r="E799" s="64">
        <f>133.845</f>
        <v>133.845</v>
      </c>
      <c r="F799" s="56">
        <f>278.484-40-25-60-100</f>
        <v>53.48399999999998</v>
      </c>
      <c r="G799" s="59">
        <v>40</v>
      </c>
      <c r="H799" s="56">
        <f t="shared" si="134"/>
        <v>185</v>
      </c>
      <c r="I799" s="56">
        <f t="shared" si="124"/>
        <v>0</v>
      </c>
      <c r="J799" s="59">
        <v>100</v>
      </c>
      <c r="K799" s="59">
        <v>300</v>
      </c>
      <c r="L799" s="56">
        <f t="shared" si="130"/>
        <v>1274</v>
      </c>
      <c r="M799" s="66">
        <v>600</v>
      </c>
      <c r="N799" s="56">
        <f>30</f>
        <v>30</v>
      </c>
      <c r="O799" s="59">
        <v>240</v>
      </c>
      <c r="P799" s="59">
        <v>40</v>
      </c>
      <c r="Q799" s="59">
        <f t="shared" si="131"/>
        <v>315</v>
      </c>
      <c r="R799" s="59">
        <f t="shared" si="132"/>
        <v>100</v>
      </c>
      <c r="S799" s="56">
        <f t="shared" si="133"/>
        <v>695</v>
      </c>
      <c r="T799" s="56">
        <f>0</f>
        <v>0</v>
      </c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</row>
    <row r="800" spans="1:30" ht="15.75" x14ac:dyDescent="0.25">
      <c r="A800" s="13">
        <v>65653</v>
      </c>
      <c r="B800" s="67">
        <f t="shared" si="128"/>
        <v>30</v>
      </c>
      <c r="C800" s="56">
        <f>194.205</f>
        <v>194.20500000000001</v>
      </c>
      <c r="D800" s="56">
        <f>267.466</f>
        <v>267.46600000000001</v>
      </c>
      <c r="E800" s="64">
        <f>133.845</f>
        <v>133.845</v>
      </c>
      <c r="F800" s="56">
        <f>278.484-40-25-60-100</f>
        <v>53.48399999999998</v>
      </c>
      <c r="G800" s="59">
        <v>40</v>
      </c>
      <c r="H800" s="56">
        <f t="shared" si="134"/>
        <v>185</v>
      </c>
      <c r="I800" s="56">
        <f t="shared" si="124"/>
        <v>0</v>
      </c>
      <c r="J800" s="59">
        <v>100</v>
      </c>
      <c r="K800" s="59">
        <v>300</v>
      </c>
      <c r="L800" s="56">
        <f t="shared" si="130"/>
        <v>1274</v>
      </c>
      <c r="M800" s="66">
        <v>600</v>
      </c>
      <c r="N800" s="56">
        <f>30</f>
        <v>30</v>
      </c>
      <c r="O800" s="59">
        <v>240</v>
      </c>
      <c r="P800" s="59">
        <v>40</v>
      </c>
      <c r="Q800" s="59">
        <f t="shared" si="131"/>
        <v>315</v>
      </c>
      <c r="R800" s="59">
        <f t="shared" si="132"/>
        <v>100</v>
      </c>
      <c r="S800" s="56">
        <f t="shared" si="133"/>
        <v>695</v>
      </c>
      <c r="T800" s="56">
        <f>0</f>
        <v>0</v>
      </c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</row>
    <row r="801" spans="1:30" ht="15.75" x14ac:dyDescent="0.25">
      <c r="A801" s="13">
        <v>65684</v>
      </c>
      <c r="B801" s="67">
        <f t="shared" si="128"/>
        <v>31</v>
      </c>
      <c r="C801" s="56">
        <f>131.881</f>
        <v>131.881</v>
      </c>
      <c r="D801" s="56">
        <f>277.167</f>
        <v>277.16699999999997</v>
      </c>
      <c r="E801" s="64">
        <f>79.08</f>
        <v>79.08</v>
      </c>
      <c r="F801" s="56">
        <f>350.872-40-25-60-100</f>
        <v>125.87200000000001</v>
      </c>
      <c r="G801" s="59">
        <v>40</v>
      </c>
      <c r="H801" s="56">
        <f t="shared" si="134"/>
        <v>185</v>
      </c>
      <c r="I801" s="56">
        <f t="shared" si="124"/>
        <v>0</v>
      </c>
      <c r="J801" s="59">
        <v>100</v>
      </c>
      <c r="K801" s="59">
        <v>300</v>
      </c>
      <c r="L801" s="56">
        <f t="shared" si="130"/>
        <v>1239</v>
      </c>
      <c r="M801" s="66">
        <v>600</v>
      </c>
      <c r="N801" s="56">
        <f>75</f>
        <v>75</v>
      </c>
      <c r="O801" s="59">
        <v>240</v>
      </c>
      <c r="P801" s="59">
        <v>40</v>
      </c>
      <c r="Q801" s="59">
        <f t="shared" si="131"/>
        <v>315</v>
      </c>
      <c r="R801" s="59">
        <f t="shared" si="132"/>
        <v>100</v>
      </c>
      <c r="S801" s="56">
        <f t="shared" si="133"/>
        <v>695</v>
      </c>
      <c r="T801" s="56">
        <f>0</f>
        <v>0</v>
      </c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</row>
    <row r="802" spans="1:30" ht="15.75" x14ac:dyDescent="0.25">
      <c r="A802" s="13">
        <v>65714</v>
      </c>
      <c r="B802" s="67">
        <f t="shared" si="128"/>
        <v>30</v>
      </c>
      <c r="C802" s="56">
        <f>122.58</f>
        <v>122.58</v>
      </c>
      <c r="D802" s="56">
        <f>297.941</f>
        <v>297.94099999999997</v>
      </c>
      <c r="E802" s="64">
        <f>89.177</f>
        <v>89.177000000000007</v>
      </c>
      <c r="F802" s="56">
        <f>240.302-40-60-100</f>
        <v>40.301999999999992</v>
      </c>
      <c r="G802" s="59">
        <v>40</v>
      </c>
      <c r="H802" s="56">
        <f>60+100</f>
        <v>160</v>
      </c>
      <c r="I802" s="56">
        <f t="shared" si="124"/>
        <v>0</v>
      </c>
      <c r="J802" s="59">
        <v>100</v>
      </c>
      <c r="K802" s="59">
        <v>300</v>
      </c>
      <c r="L802" s="56">
        <f t="shared" si="130"/>
        <v>1150</v>
      </c>
      <c r="M802" s="66">
        <v>600</v>
      </c>
      <c r="N802" s="56">
        <f>100</f>
        <v>100</v>
      </c>
      <c r="O802" s="59">
        <v>240</v>
      </c>
      <c r="P802" s="59">
        <v>40</v>
      </c>
      <c r="Q802" s="59">
        <f t="shared" si="131"/>
        <v>315</v>
      </c>
      <c r="R802" s="59">
        <f t="shared" si="132"/>
        <v>100</v>
      </c>
      <c r="S802" s="56">
        <f t="shared" si="133"/>
        <v>695</v>
      </c>
      <c r="T802" s="56">
        <f>50</f>
        <v>50</v>
      </c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</row>
    <row r="803" spans="1:30" ht="15.75" x14ac:dyDescent="0.25">
      <c r="A803" s="13">
        <v>65745</v>
      </c>
      <c r="B803" s="67">
        <f t="shared" si="128"/>
        <v>31</v>
      </c>
      <c r="C803" s="56">
        <f>122.58</f>
        <v>122.58</v>
      </c>
      <c r="D803" s="56">
        <f>297.941</f>
        <v>297.94099999999997</v>
      </c>
      <c r="E803" s="64">
        <f>89.177</f>
        <v>89.177000000000007</v>
      </c>
      <c r="F803" s="56">
        <f>240.302-40-60-100</f>
        <v>40.301999999999992</v>
      </c>
      <c r="G803" s="59">
        <v>40</v>
      </c>
      <c r="H803" s="56">
        <f>60+100</f>
        <v>160</v>
      </c>
      <c r="I803" s="56">
        <f t="shared" si="124"/>
        <v>0</v>
      </c>
      <c r="J803" s="59">
        <v>100</v>
      </c>
      <c r="K803" s="59">
        <v>300</v>
      </c>
      <c r="L803" s="56">
        <f t="shared" si="130"/>
        <v>1150</v>
      </c>
      <c r="M803" s="66">
        <v>600</v>
      </c>
      <c r="N803" s="56">
        <f>100</f>
        <v>100</v>
      </c>
      <c r="O803" s="59">
        <v>240</v>
      </c>
      <c r="P803" s="59">
        <v>40</v>
      </c>
      <c r="Q803" s="59">
        <f t="shared" si="131"/>
        <v>315</v>
      </c>
      <c r="R803" s="59">
        <f t="shared" si="132"/>
        <v>100</v>
      </c>
      <c r="S803" s="56">
        <f t="shared" si="133"/>
        <v>695</v>
      </c>
      <c r="T803" s="56">
        <f>50</f>
        <v>50</v>
      </c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</row>
    <row r="804" spans="1:30" ht="15.75" x14ac:dyDescent="0.25">
      <c r="A804" s="13">
        <v>65776</v>
      </c>
      <c r="B804" s="67">
        <f t="shared" si="128"/>
        <v>31</v>
      </c>
      <c r="C804" s="56">
        <f>122.58</f>
        <v>122.58</v>
      </c>
      <c r="D804" s="56">
        <f>297.941</f>
        <v>297.94099999999997</v>
      </c>
      <c r="E804" s="64">
        <f>89.177</f>
        <v>89.177000000000007</v>
      </c>
      <c r="F804" s="56">
        <f>240.302-40-60-100</f>
        <v>40.301999999999992</v>
      </c>
      <c r="G804" s="59">
        <v>40</v>
      </c>
      <c r="H804" s="56">
        <f>60+100</f>
        <v>160</v>
      </c>
      <c r="I804" s="56">
        <f t="shared" si="124"/>
        <v>0</v>
      </c>
      <c r="J804" s="59">
        <v>100</v>
      </c>
      <c r="K804" s="59">
        <v>300</v>
      </c>
      <c r="L804" s="56">
        <f t="shared" si="130"/>
        <v>1150</v>
      </c>
      <c r="M804" s="66">
        <v>600</v>
      </c>
      <c r="N804" s="56">
        <f>100</f>
        <v>100</v>
      </c>
      <c r="O804" s="59">
        <v>240</v>
      </c>
      <c r="P804" s="59">
        <v>40</v>
      </c>
      <c r="Q804" s="59">
        <f t="shared" si="131"/>
        <v>315</v>
      </c>
      <c r="R804" s="59">
        <f t="shared" si="132"/>
        <v>100</v>
      </c>
      <c r="S804" s="56">
        <f t="shared" si="133"/>
        <v>695</v>
      </c>
      <c r="T804" s="56">
        <f>50</f>
        <v>50</v>
      </c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</row>
    <row r="805" spans="1:30" ht="15.75" x14ac:dyDescent="0.25">
      <c r="A805" s="13">
        <v>65805</v>
      </c>
      <c r="B805" s="67">
        <f t="shared" si="128"/>
        <v>29</v>
      </c>
      <c r="C805" s="56">
        <f>122.58</f>
        <v>122.58</v>
      </c>
      <c r="D805" s="56">
        <f>297.941</f>
        <v>297.94099999999997</v>
      </c>
      <c r="E805" s="64">
        <f>89.177</f>
        <v>89.177000000000007</v>
      </c>
      <c r="F805" s="56">
        <f>240.302-40-60-100</f>
        <v>40.301999999999992</v>
      </c>
      <c r="G805" s="59">
        <v>40</v>
      </c>
      <c r="H805" s="56">
        <f>60+100</f>
        <v>160</v>
      </c>
      <c r="I805" s="56">
        <f t="shared" si="124"/>
        <v>0</v>
      </c>
      <c r="J805" s="59">
        <v>100</v>
      </c>
      <c r="K805" s="59">
        <v>300</v>
      </c>
      <c r="L805" s="56">
        <f t="shared" si="130"/>
        <v>1150</v>
      </c>
      <c r="M805" s="66">
        <v>600</v>
      </c>
      <c r="N805" s="56">
        <f>100</f>
        <v>100</v>
      </c>
      <c r="O805" s="59">
        <v>240</v>
      </c>
      <c r="P805" s="59">
        <v>40</v>
      </c>
      <c r="Q805" s="59">
        <f t="shared" si="131"/>
        <v>315</v>
      </c>
      <c r="R805" s="59">
        <f t="shared" si="132"/>
        <v>100</v>
      </c>
      <c r="S805" s="56">
        <f t="shared" si="133"/>
        <v>695</v>
      </c>
      <c r="T805" s="56">
        <f>50</f>
        <v>50</v>
      </c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</row>
    <row r="806" spans="1:30" ht="15.75" x14ac:dyDescent="0.25">
      <c r="A806" s="13">
        <v>65836</v>
      </c>
      <c r="B806" s="67">
        <f t="shared" si="128"/>
        <v>31</v>
      </c>
      <c r="C806" s="56">
        <f>122.58</f>
        <v>122.58</v>
      </c>
      <c r="D806" s="56">
        <f>297.941</f>
        <v>297.94099999999997</v>
      </c>
      <c r="E806" s="64">
        <f>89.177</f>
        <v>89.177000000000007</v>
      </c>
      <c r="F806" s="56">
        <f>240.302-40-60-100</f>
        <v>40.301999999999992</v>
      </c>
      <c r="G806" s="59">
        <v>40</v>
      </c>
      <c r="H806" s="56">
        <f>60+100</f>
        <v>160</v>
      </c>
      <c r="I806" s="56">
        <f t="shared" si="124"/>
        <v>0</v>
      </c>
      <c r="J806" s="59">
        <v>100</v>
      </c>
      <c r="K806" s="59">
        <v>300</v>
      </c>
      <c r="L806" s="56">
        <f t="shared" si="130"/>
        <v>1150</v>
      </c>
      <c r="M806" s="66">
        <v>600</v>
      </c>
      <c r="N806" s="56">
        <f>100</f>
        <v>100</v>
      </c>
      <c r="O806" s="59">
        <v>240</v>
      </c>
      <c r="P806" s="59">
        <v>40</v>
      </c>
      <c r="Q806" s="59">
        <f t="shared" si="131"/>
        <v>315</v>
      </c>
      <c r="R806" s="59">
        <f t="shared" si="132"/>
        <v>100</v>
      </c>
      <c r="S806" s="56">
        <f t="shared" si="133"/>
        <v>695</v>
      </c>
      <c r="T806" s="56">
        <f>50</f>
        <v>50</v>
      </c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</row>
    <row r="807" spans="1:30" ht="15.75" x14ac:dyDescent="0.25">
      <c r="A807" s="13">
        <v>65866</v>
      </c>
      <c r="B807" s="67">
        <f t="shared" si="128"/>
        <v>30</v>
      </c>
      <c r="C807" s="56">
        <f>141.293</f>
        <v>141.29300000000001</v>
      </c>
      <c r="D807" s="56">
        <f>267.993</f>
        <v>267.99299999999999</v>
      </c>
      <c r="E807" s="64">
        <f>115.016</f>
        <v>115.01600000000001</v>
      </c>
      <c r="F807" s="56">
        <f>314.698-40-25-60-100</f>
        <v>89.697999999999979</v>
      </c>
      <c r="G807" s="59">
        <v>40</v>
      </c>
      <c r="H807" s="56">
        <f t="shared" ref="H807:H813" si="135">25+60+100</f>
        <v>185</v>
      </c>
      <c r="I807" s="56">
        <f t="shared" si="124"/>
        <v>0</v>
      </c>
      <c r="J807" s="59">
        <v>100</v>
      </c>
      <c r="K807" s="59">
        <v>300</v>
      </c>
      <c r="L807" s="56">
        <f t="shared" si="130"/>
        <v>1239</v>
      </c>
      <c r="M807" s="66">
        <v>600</v>
      </c>
      <c r="N807" s="56">
        <f>100</f>
        <v>100</v>
      </c>
      <c r="O807" s="59">
        <v>240</v>
      </c>
      <c r="P807" s="59">
        <v>40</v>
      </c>
      <c r="Q807" s="59">
        <f t="shared" si="131"/>
        <v>315</v>
      </c>
      <c r="R807" s="59">
        <f t="shared" si="132"/>
        <v>100</v>
      </c>
      <c r="S807" s="56">
        <f t="shared" si="133"/>
        <v>695</v>
      </c>
      <c r="T807" s="56">
        <f>50</f>
        <v>50</v>
      </c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</row>
    <row r="808" spans="1:30" ht="15.75" x14ac:dyDescent="0.25">
      <c r="A808" s="13">
        <v>65897</v>
      </c>
      <c r="B808" s="67">
        <f t="shared" si="128"/>
        <v>31</v>
      </c>
      <c r="C808" s="56">
        <f>194.205</f>
        <v>194.20500000000001</v>
      </c>
      <c r="D808" s="56">
        <f>267.466</f>
        <v>267.46600000000001</v>
      </c>
      <c r="E808" s="64">
        <f>133.845</f>
        <v>133.845</v>
      </c>
      <c r="F808" s="56">
        <f>278.484-40-25-60-100</f>
        <v>53.48399999999998</v>
      </c>
      <c r="G808" s="59">
        <v>40</v>
      </c>
      <c r="H808" s="56">
        <f t="shared" si="135"/>
        <v>185</v>
      </c>
      <c r="I808" s="56">
        <f t="shared" ref="I808:I871" si="136">400-J808-K808</f>
        <v>0</v>
      </c>
      <c r="J808" s="59">
        <v>100</v>
      </c>
      <c r="K808" s="59">
        <v>300</v>
      </c>
      <c r="L808" s="56">
        <f t="shared" si="130"/>
        <v>1274</v>
      </c>
      <c r="M808" s="66">
        <v>600</v>
      </c>
      <c r="N808" s="56">
        <f>75</f>
        <v>75</v>
      </c>
      <c r="O808" s="59">
        <v>240</v>
      </c>
      <c r="P808" s="59">
        <v>40</v>
      </c>
      <c r="Q808" s="59">
        <f t="shared" si="131"/>
        <v>315</v>
      </c>
      <c r="R808" s="59">
        <f t="shared" si="132"/>
        <v>100</v>
      </c>
      <c r="S808" s="56">
        <f t="shared" si="133"/>
        <v>695</v>
      </c>
      <c r="T808" s="56">
        <f>50</f>
        <v>50</v>
      </c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</row>
    <row r="809" spans="1:30" ht="15.75" x14ac:dyDescent="0.25">
      <c r="A809" s="13">
        <v>65927</v>
      </c>
      <c r="B809" s="67">
        <f t="shared" si="128"/>
        <v>30</v>
      </c>
      <c r="C809" s="56">
        <f>194.205</f>
        <v>194.20500000000001</v>
      </c>
      <c r="D809" s="56">
        <f>267.466</f>
        <v>267.46600000000001</v>
      </c>
      <c r="E809" s="64">
        <f>133.845</f>
        <v>133.845</v>
      </c>
      <c r="F809" s="56">
        <f>278.484-40-25-60-100</f>
        <v>53.48399999999998</v>
      </c>
      <c r="G809" s="59">
        <v>40</v>
      </c>
      <c r="H809" s="56">
        <f t="shared" si="135"/>
        <v>185</v>
      </c>
      <c r="I809" s="56">
        <f t="shared" si="136"/>
        <v>0</v>
      </c>
      <c r="J809" s="59">
        <v>100</v>
      </c>
      <c r="K809" s="59">
        <v>300</v>
      </c>
      <c r="L809" s="56">
        <f t="shared" si="130"/>
        <v>1274</v>
      </c>
      <c r="M809" s="66">
        <v>600</v>
      </c>
      <c r="N809" s="56">
        <f>30</f>
        <v>30</v>
      </c>
      <c r="O809" s="59">
        <v>240</v>
      </c>
      <c r="P809" s="59">
        <v>40</v>
      </c>
      <c r="Q809" s="59">
        <f t="shared" si="131"/>
        <v>315</v>
      </c>
      <c r="R809" s="59">
        <f t="shared" si="132"/>
        <v>100</v>
      </c>
      <c r="S809" s="56">
        <f t="shared" si="133"/>
        <v>695</v>
      </c>
      <c r="T809" s="56">
        <f>50</f>
        <v>50</v>
      </c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</row>
    <row r="810" spans="1:30" ht="15.75" x14ac:dyDescent="0.25">
      <c r="A810" s="13">
        <v>65958</v>
      </c>
      <c r="B810" s="67">
        <f t="shared" si="128"/>
        <v>31</v>
      </c>
      <c r="C810" s="56">
        <f>194.205</f>
        <v>194.20500000000001</v>
      </c>
      <c r="D810" s="56">
        <f>267.466</f>
        <v>267.46600000000001</v>
      </c>
      <c r="E810" s="64">
        <f>133.845</f>
        <v>133.845</v>
      </c>
      <c r="F810" s="56">
        <f>278.484-40-25-60-100</f>
        <v>53.48399999999998</v>
      </c>
      <c r="G810" s="59">
        <v>40</v>
      </c>
      <c r="H810" s="56">
        <f t="shared" si="135"/>
        <v>185</v>
      </c>
      <c r="I810" s="56">
        <f t="shared" si="136"/>
        <v>0</v>
      </c>
      <c r="J810" s="59">
        <v>100</v>
      </c>
      <c r="K810" s="59">
        <v>300</v>
      </c>
      <c r="L810" s="56">
        <f t="shared" si="130"/>
        <v>1274</v>
      </c>
      <c r="M810" s="66">
        <v>600</v>
      </c>
      <c r="N810" s="56">
        <f>30</f>
        <v>30</v>
      </c>
      <c r="O810" s="59">
        <v>240</v>
      </c>
      <c r="P810" s="59">
        <v>40</v>
      </c>
      <c r="Q810" s="59">
        <f t="shared" si="131"/>
        <v>315</v>
      </c>
      <c r="R810" s="59">
        <f t="shared" si="132"/>
        <v>100</v>
      </c>
      <c r="S810" s="56">
        <f t="shared" si="133"/>
        <v>695</v>
      </c>
      <c r="T810" s="56">
        <f>0</f>
        <v>0</v>
      </c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</row>
    <row r="811" spans="1:30" ht="15.75" x14ac:dyDescent="0.25">
      <c r="A811" s="13">
        <v>65989</v>
      </c>
      <c r="B811" s="67">
        <f t="shared" si="128"/>
        <v>31</v>
      </c>
      <c r="C811" s="56">
        <f>194.205</f>
        <v>194.20500000000001</v>
      </c>
      <c r="D811" s="56">
        <f>267.466</f>
        <v>267.46600000000001</v>
      </c>
      <c r="E811" s="64">
        <f>133.845</f>
        <v>133.845</v>
      </c>
      <c r="F811" s="56">
        <f>278.484-40-25-60-100</f>
        <v>53.48399999999998</v>
      </c>
      <c r="G811" s="59">
        <v>40</v>
      </c>
      <c r="H811" s="56">
        <f t="shared" si="135"/>
        <v>185</v>
      </c>
      <c r="I811" s="56">
        <f t="shared" si="136"/>
        <v>0</v>
      </c>
      <c r="J811" s="59">
        <v>100</v>
      </c>
      <c r="K811" s="59">
        <v>300</v>
      </c>
      <c r="L811" s="56">
        <f t="shared" si="130"/>
        <v>1274</v>
      </c>
      <c r="M811" s="66">
        <v>600</v>
      </c>
      <c r="N811" s="56">
        <f>30</f>
        <v>30</v>
      </c>
      <c r="O811" s="59">
        <v>240</v>
      </c>
      <c r="P811" s="59">
        <v>40</v>
      </c>
      <c r="Q811" s="59">
        <f t="shared" si="131"/>
        <v>315</v>
      </c>
      <c r="R811" s="59">
        <f t="shared" si="132"/>
        <v>100</v>
      </c>
      <c r="S811" s="56">
        <f t="shared" si="133"/>
        <v>695</v>
      </c>
      <c r="T811" s="56">
        <f>0</f>
        <v>0</v>
      </c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</row>
    <row r="812" spans="1:30" ht="15.75" x14ac:dyDescent="0.25">
      <c r="A812" s="13">
        <v>66019</v>
      </c>
      <c r="B812" s="67">
        <f t="shared" si="128"/>
        <v>30</v>
      </c>
      <c r="C812" s="56">
        <f>194.205</f>
        <v>194.20500000000001</v>
      </c>
      <c r="D812" s="56">
        <f>267.466</f>
        <v>267.46600000000001</v>
      </c>
      <c r="E812" s="64">
        <f>133.845</f>
        <v>133.845</v>
      </c>
      <c r="F812" s="56">
        <f>278.484-40-25-60-100</f>
        <v>53.48399999999998</v>
      </c>
      <c r="G812" s="59">
        <v>40</v>
      </c>
      <c r="H812" s="56">
        <f t="shared" si="135"/>
        <v>185</v>
      </c>
      <c r="I812" s="56">
        <f t="shared" si="136"/>
        <v>0</v>
      </c>
      <c r="J812" s="59">
        <v>100</v>
      </c>
      <c r="K812" s="59">
        <v>300</v>
      </c>
      <c r="L812" s="56">
        <f t="shared" si="130"/>
        <v>1274</v>
      </c>
      <c r="M812" s="66">
        <v>600</v>
      </c>
      <c r="N812" s="56">
        <f>30</f>
        <v>30</v>
      </c>
      <c r="O812" s="59">
        <v>240</v>
      </c>
      <c r="P812" s="59">
        <v>40</v>
      </c>
      <c r="Q812" s="59">
        <f t="shared" si="131"/>
        <v>315</v>
      </c>
      <c r="R812" s="59">
        <f t="shared" si="132"/>
        <v>100</v>
      </c>
      <c r="S812" s="56">
        <f t="shared" si="133"/>
        <v>695</v>
      </c>
      <c r="T812" s="56">
        <f>0</f>
        <v>0</v>
      </c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</row>
    <row r="813" spans="1:30" ht="15.75" x14ac:dyDescent="0.25">
      <c r="A813" s="13">
        <v>66050</v>
      </c>
      <c r="B813" s="67">
        <f t="shared" si="128"/>
        <v>31</v>
      </c>
      <c r="C813" s="56">
        <f>131.881</f>
        <v>131.881</v>
      </c>
      <c r="D813" s="56">
        <f>277.167</f>
        <v>277.16699999999997</v>
      </c>
      <c r="E813" s="64">
        <f>79.08</f>
        <v>79.08</v>
      </c>
      <c r="F813" s="56">
        <f>350.872-40-25-60-100</f>
        <v>125.87200000000001</v>
      </c>
      <c r="G813" s="59">
        <v>40</v>
      </c>
      <c r="H813" s="56">
        <f t="shared" si="135"/>
        <v>185</v>
      </c>
      <c r="I813" s="56">
        <f t="shared" si="136"/>
        <v>0</v>
      </c>
      <c r="J813" s="59">
        <v>100</v>
      </c>
      <c r="K813" s="59">
        <v>300</v>
      </c>
      <c r="L813" s="56">
        <f t="shared" si="130"/>
        <v>1239</v>
      </c>
      <c r="M813" s="66">
        <v>600</v>
      </c>
      <c r="N813" s="56">
        <f>75</f>
        <v>75</v>
      </c>
      <c r="O813" s="59">
        <v>240</v>
      </c>
      <c r="P813" s="59">
        <v>40</v>
      </c>
      <c r="Q813" s="59">
        <f t="shared" si="131"/>
        <v>315</v>
      </c>
      <c r="R813" s="59">
        <f t="shared" si="132"/>
        <v>100</v>
      </c>
      <c r="S813" s="56">
        <f t="shared" si="133"/>
        <v>695</v>
      </c>
      <c r="T813" s="56">
        <f>0</f>
        <v>0</v>
      </c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</row>
    <row r="814" spans="1:30" ht="15.75" x14ac:dyDescent="0.25">
      <c r="A814" s="13">
        <v>66080</v>
      </c>
      <c r="B814" s="67">
        <f t="shared" si="128"/>
        <v>30</v>
      </c>
      <c r="C814" s="56">
        <f>122.58</f>
        <v>122.58</v>
      </c>
      <c r="D814" s="56">
        <f>297.941</f>
        <v>297.94099999999997</v>
      </c>
      <c r="E814" s="64">
        <f>89.177</f>
        <v>89.177000000000007</v>
      </c>
      <c r="F814" s="56">
        <f>240.302-40-60-100</f>
        <v>40.301999999999992</v>
      </c>
      <c r="G814" s="59">
        <v>40</v>
      </c>
      <c r="H814" s="56">
        <f>60+100</f>
        <v>160</v>
      </c>
      <c r="I814" s="56">
        <f t="shared" si="136"/>
        <v>0</v>
      </c>
      <c r="J814" s="59">
        <v>100</v>
      </c>
      <c r="K814" s="59">
        <v>300</v>
      </c>
      <c r="L814" s="56">
        <f t="shared" si="130"/>
        <v>1150</v>
      </c>
      <c r="M814" s="66">
        <v>600</v>
      </c>
      <c r="N814" s="56">
        <f>100</f>
        <v>100</v>
      </c>
      <c r="O814" s="59">
        <v>240</v>
      </c>
      <c r="P814" s="59">
        <v>40</v>
      </c>
      <c r="Q814" s="59">
        <f t="shared" si="131"/>
        <v>315</v>
      </c>
      <c r="R814" s="59">
        <f t="shared" si="132"/>
        <v>100</v>
      </c>
      <c r="S814" s="56">
        <f t="shared" si="133"/>
        <v>695</v>
      </c>
      <c r="T814" s="56">
        <f>50</f>
        <v>50</v>
      </c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</row>
    <row r="815" spans="1:30" ht="15.75" x14ac:dyDescent="0.25">
      <c r="A815" s="13">
        <v>66111</v>
      </c>
      <c r="B815" s="67">
        <f t="shared" si="128"/>
        <v>31</v>
      </c>
      <c r="C815" s="56">
        <f>122.58</f>
        <v>122.58</v>
      </c>
      <c r="D815" s="56">
        <f>297.941</f>
        <v>297.94099999999997</v>
      </c>
      <c r="E815" s="64">
        <f>89.177</f>
        <v>89.177000000000007</v>
      </c>
      <c r="F815" s="56">
        <f>240.302-40-60-100</f>
        <v>40.301999999999992</v>
      </c>
      <c r="G815" s="59">
        <v>40</v>
      </c>
      <c r="H815" s="56">
        <f>60+100</f>
        <v>160</v>
      </c>
      <c r="I815" s="56">
        <f t="shared" si="136"/>
        <v>0</v>
      </c>
      <c r="J815" s="59">
        <v>100</v>
      </c>
      <c r="K815" s="59">
        <v>300</v>
      </c>
      <c r="L815" s="56">
        <f t="shared" si="130"/>
        <v>1150</v>
      </c>
      <c r="M815" s="66">
        <v>600</v>
      </c>
      <c r="N815" s="56">
        <f>100</f>
        <v>100</v>
      </c>
      <c r="O815" s="59">
        <v>240</v>
      </c>
      <c r="P815" s="59">
        <v>40</v>
      </c>
      <c r="Q815" s="59">
        <f t="shared" si="131"/>
        <v>315</v>
      </c>
      <c r="R815" s="59">
        <f t="shared" si="132"/>
        <v>100</v>
      </c>
      <c r="S815" s="56">
        <f t="shared" si="133"/>
        <v>695</v>
      </c>
      <c r="T815" s="56">
        <f>50</f>
        <v>50</v>
      </c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</row>
    <row r="816" spans="1:30" ht="15.75" x14ac:dyDescent="0.25">
      <c r="A816" s="13">
        <v>66142</v>
      </c>
      <c r="B816" s="67">
        <f t="shared" si="128"/>
        <v>31</v>
      </c>
      <c r="C816" s="56">
        <f>122.58</f>
        <v>122.58</v>
      </c>
      <c r="D816" s="56">
        <f>297.941</f>
        <v>297.94099999999997</v>
      </c>
      <c r="E816" s="64">
        <f>89.177</f>
        <v>89.177000000000007</v>
      </c>
      <c r="F816" s="56">
        <f>240.302-40-60-100</f>
        <v>40.301999999999992</v>
      </c>
      <c r="G816" s="59">
        <v>40</v>
      </c>
      <c r="H816" s="56">
        <f>60+100</f>
        <v>160</v>
      </c>
      <c r="I816" s="56">
        <f t="shared" si="136"/>
        <v>0</v>
      </c>
      <c r="J816" s="59">
        <v>100</v>
      </c>
      <c r="K816" s="59">
        <v>300</v>
      </c>
      <c r="L816" s="56">
        <f t="shared" si="130"/>
        <v>1150</v>
      </c>
      <c r="M816" s="66">
        <v>600</v>
      </c>
      <c r="N816" s="56">
        <f>100</f>
        <v>100</v>
      </c>
      <c r="O816" s="59">
        <v>240</v>
      </c>
      <c r="P816" s="59">
        <v>40</v>
      </c>
      <c r="Q816" s="59">
        <f t="shared" si="131"/>
        <v>315</v>
      </c>
      <c r="R816" s="59">
        <f t="shared" si="132"/>
        <v>100</v>
      </c>
      <c r="S816" s="56">
        <f t="shared" si="133"/>
        <v>695</v>
      </c>
      <c r="T816" s="56">
        <f>50</f>
        <v>50</v>
      </c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</row>
    <row r="817" spans="1:30" ht="15.75" x14ac:dyDescent="0.25">
      <c r="A817" s="13">
        <v>66170</v>
      </c>
      <c r="B817" s="67">
        <f t="shared" si="128"/>
        <v>28</v>
      </c>
      <c r="C817" s="56">
        <f>122.58</f>
        <v>122.58</v>
      </c>
      <c r="D817" s="56">
        <f>297.941</f>
        <v>297.94099999999997</v>
      </c>
      <c r="E817" s="64">
        <f>89.177</f>
        <v>89.177000000000007</v>
      </c>
      <c r="F817" s="56">
        <f>240.302-40-60-100</f>
        <v>40.301999999999992</v>
      </c>
      <c r="G817" s="59">
        <v>40</v>
      </c>
      <c r="H817" s="56">
        <f>60+100</f>
        <v>160</v>
      </c>
      <c r="I817" s="56">
        <f t="shared" si="136"/>
        <v>0</v>
      </c>
      <c r="J817" s="59">
        <v>100</v>
      </c>
      <c r="K817" s="59">
        <v>300</v>
      </c>
      <c r="L817" s="56">
        <f t="shared" si="130"/>
        <v>1150</v>
      </c>
      <c r="M817" s="66">
        <v>600</v>
      </c>
      <c r="N817" s="56">
        <f>100</f>
        <v>100</v>
      </c>
      <c r="O817" s="59">
        <v>240</v>
      </c>
      <c r="P817" s="59">
        <v>40</v>
      </c>
      <c r="Q817" s="59">
        <f t="shared" si="131"/>
        <v>315</v>
      </c>
      <c r="R817" s="59">
        <f t="shared" si="132"/>
        <v>100</v>
      </c>
      <c r="S817" s="56">
        <f t="shared" si="133"/>
        <v>695</v>
      </c>
      <c r="T817" s="56">
        <f>50</f>
        <v>50</v>
      </c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</row>
    <row r="818" spans="1:30" ht="15.75" x14ac:dyDescent="0.25">
      <c r="A818" s="13">
        <v>66201</v>
      </c>
      <c r="B818" s="67">
        <f t="shared" si="128"/>
        <v>31</v>
      </c>
      <c r="C818" s="56">
        <f>122.58</f>
        <v>122.58</v>
      </c>
      <c r="D818" s="56">
        <f>297.941</f>
        <v>297.94099999999997</v>
      </c>
      <c r="E818" s="64">
        <f>89.177</f>
        <v>89.177000000000007</v>
      </c>
      <c r="F818" s="56">
        <f>240.302-40-60-100</f>
        <v>40.301999999999992</v>
      </c>
      <c r="G818" s="59">
        <v>40</v>
      </c>
      <c r="H818" s="56">
        <f>60+100</f>
        <v>160</v>
      </c>
      <c r="I818" s="56">
        <f t="shared" si="136"/>
        <v>0</v>
      </c>
      <c r="J818" s="59">
        <v>100</v>
      </c>
      <c r="K818" s="59">
        <v>300</v>
      </c>
      <c r="L818" s="56">
        <f t="shared" si="130"/>
        <v>1150</v>
      </c>
      <c r="M818" s="66">
        <v>600</v>
      </c>
      <c r="N818" s="56">
        <f>100</f>
        <v>100</v>
      </c>
      <c r="O818" s="59">
        <v>240</v>
      </c>
      <c r="P818" s="59">
        <v>40</v>
      </c>
      <c r="Q818" s="59">
        <f t="shared" si="131"/>
        <v>315</v>
      </c>
      <c r="R818" s="59">
        <f t="shared" si="132"/>
        <v>100</v>
      </c>
      <c r="S818" s="56">
        <f t="shared" si="133"/>
        <v>695</v>
      </c>
      <c r="T818" s="56">
        <f>50</f>
        <v>50</v>
      </c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</row>
    <row r="819" spans="1:30" ht="15.75" x14ac:dyDescent="0.25">
      <c r="A819" s="13">
        <v>66231</v>
      </c>
      <c r="B819" s="67">
        <f t="shared" si="128"/>
        <v>30</v>
      </c>
      <c r="C819" s="56">
        <f>141.293</f>
        <v>141.29300000000001</v>
      </c>
      <c r="D819" s="56">
        <f>267.993</f>
        <v>267.99299999999999</v>
      </c>
      <c r="E819" s="64">
        <f>115.016</f>
        <v>115.01600000000001</v>
      </c>
      <c r="F819" s="56">
        <f>314.698-40-25-60-100</f>
        <v>89.697999999999979</v>
      </c>
      <c r="G819" s="59">
        <v>40</v>
      </c>
      <c r="H819" s="56">
        <f t="shared" ref="H819:H825" si="137">25+60+100</f>
        <v>185</v>
      </c>
      <c r="I819" s="56">
        <f t="shared" si="136"/>
        <v>0</v>
      </c>
      <c r="J819" s="59">
        <v>100</v>
      </c>
      <c r="K819" s="59">
        <v>300</v>
      </c>
      <c r="L819" s="56">
        <f t="shared" si="130"/>
        <v>1239</v>
      </c>
      <c r="M819" s="66">
        <v>600</v>
      </c>
      <c r="N819" s="56">
        <f>100</f>
        <v>100</v>
      </c>
      <c r="O819" s="59">
        <v>240</v>
      </c>
      <c r="P819" s="59">
        <v>40</v>
      </c>
      <c r="Q819" s="59">
        <f t="shared" si="131"/>
        <v>315</v>
      </c>
      <c r="R819" s="59">
        <f t="shared" si="132"/>
        <v>100</v>
      </c>
      <c r="S819" s="56">
        <f t="shared" si="133"/>
        <v>695</v>
      </c>
      <c r="T819" s="56">
        <f>50</f>
        <v>50</v>
      </c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</row>
    <row r="820" spans="1:30" ht="15.75" x14ac:dyDescent="0.25">
      <c r="A820" s="13">
        <v>66262</v>
      </c>
      <c r="B820" s="67">
        <f t="shared" si="128"/>
        <v>31</v>
      </c>
      <c r="C820" s="56">
        <f>194.205</f>
        <v>194.20500000000001</v>
      </c>
      <c r="D820" s="56">
        <f>267.466</f>
        <v>267.46600000000001</v>
      </c>
      <c r="E820" s="64">
        <f>133.845</f>
        <v>133.845</v>
      </c>
      <c r="F820" s="56">
        <f>278.484-40-25-60-100</f>
        <v>53.48399999999998</v>
      </c>
      <c r="G820" s="59">
        <v>40</v>
      </c>
      <c r="H820" s="56">
        <f t="shared" si="137"/>
        <v>185</v>
      </c>
      <c r="I820" s="56">
        <f t="shared" si="136"/>
        <v>0</v>
      </c>
      <c r="J820" s="59">
        <v>100</v>
      </c>
      <c r="K820" s="59">
        <v>300</v>
      </c>
      <c r="L820" s="56">
        <f t="shared" si="130"/>
        <v>1274</v>
      </c>
      <c r="M820" s="66">
        <v>600</v>
      </c>
      <c r="N820" s="56">
        <f>75</f>
        <v>75</v>
      </c>
      <c r="O820" s="59">
        <v>240</v>
      </c>
      <c r="P820" s="59">
        <v>40</v>
      </c>
      <c r="Q820" s="59">
        <f t="shared" si="131"/>
        <v>315</v>
      </c>
      <c r="R820" s="59">
        <f t="shared" si="132"/>
        <v>100</v>
      </c>
      <c r="S820" s="56">
        <f t="shared" si="133"/>
        <v>695</v>
      </c>
      <c r="T820" s="56">
        <f>50</f>
        <v>50</v>
      </c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</row>
    <row r="821" spans="1:30" ht="15.75" x14ac:dyDescent="0.25">
      <c r="A821" s="13">
        <v>66292</v>
      </c>
      <c r="B821" s="67">
        <f t="shared" si="128"/>
        <v>30</v>
      </c>
      <c r="C821" s="56">
        <f>194.205</f>
        <v>194.20500000000001</v>
      </c>
      <c r="D821" s="56">
        <f>267.466</f>
        <v>267.46600000000001</v>
      </c>
      <c r="E821" s="64">
        <f>133.845</f>
        <v>133.845</v>
      </c>
      <c r="F821" s="56">
        <f>278.484-40-25-60-100</f>
        <v>53.48399999999998</v>
      </c>
      <c r="G821" s="59">
        <v>40</v>
      </c>
      <c r="H821" s="56">
        <f t="shared" si="137"/>
        <v>185</v>
      </c>
      <c r="I821" s="56">
        <f t="shared" si="136"/>
        <v>0</v>
      </c>
      <c r="J821" s="59">
        <v>100</v>
      </c>
      <c r="K821" s="59">
        <v>300</v>
      </c>
      <c r="L821" s="56">
        <f t="shared" si="130"/>
        <v>1274</v>
      </c>
      <c r="M821" s="66">
        <v>600</v>
      </c>
      <c r="N821" s="56">
        <f>30</f>
        <v>30</v>
      </c>
      <c r="O821" s="59">
        <v>240</v>
      </c>
      <c r="P821" s="59">
        <v>40</v>
      </c>
      <c r="Q821" s="59">
        <f t="shared" si="131"/>
        <v>315</v>
      </c>
      <c r="R821" s="59">
        <f t="shared" si="132"/>
        <v>100</v>
      </c>
      <c r="S821" s="56">
        <f t="shared" si="133"/>
        <v>695</v>
      </c>
      <c r="T821" s="56">
        <f>50</f>
        <v>50</v>
      </c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</row>
    <row r="822" spans="1:30" ht="15.75" x14ac:dyDescent="0.25">
      <c r="A822" s="13">
        <v>66323</v>
      </c>
      <c r="B822" s="67">
        <f t="shared" si="128"/>
        <v>31</v>
      </c>
      <c r="C822" s="56">
        <f>194.205</f>
        <v>194.20500000000001</v>
      </c>
      <c r="D822" s="56">
        <f>267.466</f>
        <v>267.46600000000001</v>
      </c>
      <c r="E822" s="64">
        <f>133.845</f>
        <v>133.845</v>
      </c>
      <c r="F822" s="56">
        <f>278.484-40-25-60-100</f>
        <v>53.48399999999998</v>
      </c>
      <c r="G822" s="59">
        <v>40</v>
      </c>
      <c r="H822" s="56">
        <f t="shared" si="137"/>
        <v>185</v>
      </c>
      <c r="I822" s="56">
        <f t="shared" si="136"/>
        <v>0</v>
      </c>
      <c r="J822" s="59">
        <v>100</v>
      </c>
      <c r="K822" s="59">
        <v>300</v>
      </c>
      <c r="L822" s="56">
        <f t="shared" si="130"/>
        <v>1274</v>
      </c>
      <c r="M822" s="66">
        <v>600</v>
      </c>
      <c r="N822" s="56">
        <f>30</f>
        <v>30</v>
      </c>
      <c r="O822" s="59">
        <v>240</v>
      </c>
      <c r="P822" s="59">
        <v>40</v>
      </c>
      <c r="Q822" s="59">
        <f t="shared" si="131"/>
        <v>315</v>
      </c>
      <c r="R822" s="59">
        <f t="shared" si="132"/>
        <v>100</v>
      </c>
      <c r="S822" s="56">
        <f t="shared" si="133"/>
        <v>695</v>
      </c>
      <c r="T822" s="56">
        <f>0</f>
        <v>0</v>
      </c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</row>
    <row r="823" spans="1:30" ht="15.75" x14ac:dyDescent="0.25">
      <c r="A823" s="13">
        <v>66354</v>
      </c>
      <c r="B823" s="67">
        <f t="shared" si="128"/>
        <v>31</v>
      </c>
      <c r="C823" s="56">
        <f>194.205</f>
        <v>194.20500000000001</v>
      </c>
      <c r="D823" s="56">
        <f>267.466</f>
        <v>267.46600000000001</v>
      </c>
      <c r="E823" s="64">
        <f>133.845</f>
        <v>133.845</v>
      </c>
      <c r="F823" s="56">
        <f>278.484-40-25-60-100</f>
        <v>53.48399999999998</v>
      </c>
      <c r="G823" s="59">
        <v>40</v>
      </c>
      <c r="H823" s="56">
        <f t="shared" si="137"/>
        <v>185</v>
      </c>
      <c r="I823" s="56">
        <f t="shared" si="136"/>
        <v>0</v>
      </c>
      <c r="J823" s="59">
        <v>100</v>
      </c>
      <c r="K823" s="59">
        <v>300</v>
      </c>
      <c r="L823" s="56">
        <f t="shared" si="130"/>
        <v>1274</v>
      </c>
      <c r="M823" s="66">
        <v>600</v>
      </c>
      <c r="N823" s="56">
        <f>30</f>
        <v>30</v>
      </c>
      <c r="O823" s="59">
        <v>240</v>
      </c>
      <c r="P823" s="59">
        <v>40</v>
      </c>
      <c r="Q823" s="59">
        <f t="shared" si="131"/>
        <v>315</v>
      </c>
      <c r="R823" s="59">
        <f t="shared" si="132"/>
        <v>100</v>
      </c>
      <c r="S823" s="56">
        <f t="shared" si="133"/>
        <v>695</v>
      </c>
      <c r="T823" s="56">
        <f>0</f>
        <v>0</v>
      </c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</row>
    <row r="824" spans="1:30" ht="15.75" x14ac:dyDescent="0.25">
      <c r="A824" s="13">
        <v>66384</v>
      </c>
      <c r="B824" s="67">
        <f t="shared" si="128"/>
        <v>30</v>
      </c>
      <c r="C824" s="56">
        <f>194.205</f>
        <v>194.20500000000001</v>
      </c>
      <c r="D824" s="56">
        <f>267.466</f>
        <v>267.46600000000001</v>
      </c>
      <c r="E824" s="64">
        <f>133.845</f>
        <v>133.845</v>
      </c>
      <c r="F824" s="56">
        <f>278.484-40-25-60-100</f>
        <v>53.48399999999998</v>
      </c>
      <c r="G824" s="59">
        <v>40</v>
      </c>
      <c r="H824" s="56">
        <f t="shared" si="137"/>
        <v>185</v>
      </c>
      <c r="I824" s="56">
        <f t="shared" si="136"/>
        <v>0</v>
      </c>
      <c r="J824" s="59">
        <v>100</v>
      </c>
      <c r="K824" s="59">
        <v>300</v>
      </c>
      <c r="L824" s="56">
        <f t="shared" si="130"/>
        <v>1274</v>
      </c>
      <c r="M824" s="66">
        <v>600</v>
      </c>
      <c r="N824" s="56">
        <f>30</f>
        <v>30</v>
      </c>
      <c r="O824" s="59">
        <v>240</v>
      </c>
      <c r="P824" s="59">
        <v>40</v>
      </c>
      <c r="Q824" s="59">
        <f t="shared" si="131"/>
        <v>315</v>
      </c>
      <c r="R824" s="59">
        <f t="shared" si="132"/>
        <v>100</v>
      </c>
      <c r="S824" s="56">
        <f t="shared" si="133"/>
        <v>695</v>
      </c>
      <c r="T824" s="56">
        <f>0</f>
        <v>0</v>
      </c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</row>
    <row r="825" spans="1:30" ht="15.75" x14ac:dyDescent="0.25">
      <c r="A825" s="13">
        <v>66415</v>
      </c>
      <c r="B825" s="67">
        <f t="shared" si="128"/>
        <v>31</v>
      </c>
      <c r="C825" s="56">
        <f>131.881</f>
        <v>131.881</v>
      </c>
      <c r="D825" s="56">
        <f>277.167</f>
        <v>277.16699999999997</v>
      </c>
      <c r="E825" s="64">
        <f>79.08</f>
        <v>79.08</v>
      </c>
      <c r="F825" s="56">
        <f>350.872-40-25-60-100</f>
        <v>125.87200000000001</v>
      </c>
      <c r="G825" s="59">
        <v>40</v>
      </c>
      <c r="H825" s="56">
        <f t="shared" si="137"/>
        <v>185</v>
      </c>
      <c r="I825" s="56">
        <f t="shared" si="136"/>
        <v>0</v>
      </c>
      <c r="J825" s="59">
        <v>100</v>
      </c>
      <c r="K825" s="59">
        <v>300</v>
      </c>
      <c r="L825" s="56">
        <f t="shared" si="130"/>
        <v>1239</v>
      </c>
      <c r="M825" s="66">
        <v>600</v>
      </c>
      <c r="N825" s="56">
        <f>75</f>
        <v>75</v>
      </c>
      <c r="O825" s="59">
        <v>240</v>
      </c>
      <c r="P825" s="59">
        <v>40</v>
      </c>
      <c r="Q825" s="59">
        <f t="shared" si="131"/>
        <v>315</v>
      </c>
      <c r="R825" s="59">
        <f t="shared" si="132"/>
        <v>100</v>
      </c>
      <c r="S825" s="56">
        <f t="shared" si="133"/>
        <v>695</v>
      </c>
      <c r="T825" s="56">
        <f>0</f>
        <v>0</v>
      </c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</row>
    <row r="826" spans="1:30" ht="15.75" x14ac:dyDescent="0.25">
      <c r="A826" s="13">
        <v>66445</v>
      </c>
      <c r="B826" s="67">
        <f t="shared" si="128"/>
        <v>30</v>
      </c>
      <c r="C826" s="56">
        <f>122.58</f>
        <v>122.58</v>
      </c>
      <c r="D826" s="56">
        <f>297.941</f>
        <v>297.94099999999997</v>
      </c>
      <c r="E826" s="64">
        <f>89.177</f>
        <v>89.177000000000007</v>
      </c>
      <c r="F826" s="56">
        <f>240.302-40-60-100</f>
        <v>40.301999999999992</v>
      </c>
      <c r="G826" s="59">
        <v>40</v>
      </c>
      <c r="H826" s="56">
        <f>60+100</f>
        <v>160</v>
      </c>
      <c r="I826" s="56">
        <f t="shared" si="136"/>
        <v>0</v>
      </c>
      <c r="J826" s="59">
        <v>100</v>
      </c>
      <c r="K826" s="59">
        <v>300</v>
      </c>
      <c r="L826" s="56">
        <f t="shared" si="130"/>
        <v>1150</v>
      </c>
      <c r="M826" s="66">
        <v>600</v>
      </c>
      <c r="N826" s="56">
        <f>100</f>
        <v>100</v>
      </c>
      <c r="O826" s="59">
        <v>240</v>
      </c>
      <c r="P826" s="59">
        <v>40</v>
      </c>
      <c r="Q826" s="59">
        <f t="shared" si="131"/>
        <v>315</v>
      </c>
      <c r="R826" s="59">
        <f t="shared" si="132"/>
        <v>100</v>
      </c>
      <c r="S826" s="56">
        <f t="shared" si="133"/>
        <v>695</v>
      </c>
      <c r="T826" s="56">
        <f>50</f>
        <v>50</v>
      </c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</row>
    <row r="827" spans="1:30" ht="15.75" x14ac:dyDescent="0.25">
      <c r="A827" s="13">
        <v>66476</v>
      </c>
      <c r="B827" s="67">
        <f t="shared" si="128"/>
        <v>31</v>
      </c>
      <c r="C827" s="56">
        <f>122.58</f>
        <v>122.58</v>
      </c>
      <c r="D827" s="56">
        <f>297.941</f>
        <v>297.94099999999997</v>
      </c>
      <c r="E827" s="64">
        <f>89.177</f>
        <v>89.177000000000007</v>
      </c>
      <c r="F827" s="56">
        <f>240.302-40-60-100</f>
        <v>40.301999999999992</v>
      </c>
      <c r="G827" s="59">
        <v>40</v>
      </c>
      <c r="H827" s="56">
        <f>60+100</f>
        <v>160</v>
      </c>
      <c r="I827" s="56">
        <f t="shared" si="136"/>
        <v>0</v>
      </c>
      <c r="J827" s="59">
        <v>100</v>
      </c>
      <c r="K827" s="59">
        <v>300</v>
      </c>
      <c r="L827" s="56">
        <f t="shared" si="130"/>
        <v>1150</v>
      </c>
      <c r="M827" s="66">
        <v>600</v>
      </c>
      <c r="N827" s="56">
        <f>100</f>
        <v>100</v>
      </c>
      <c r="O827" s="59">
        <v>240</v>
      </c>
      <c r="P827" s="59">
        <v>40</v>
      </c>
      <c r="Q827" s="59">
        <f t="shared" si="131"/>
        <v>315</v>
      </c>
      <c r="R827" s="59">
        <f t="shared" si="132"/>
        <v>100</v>
      </c>
      <c r="S827" s="56">
        <f t="shared" si="133"/>
        <v>695</v>
      </c>
      <c r="T827" s="56">
        <f>50</f>
        <v>50</v>
      </c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</row>
    <row r="828" spans="1:30" ht="15.75" x14ac:dyDescent="0.25">
      <c r="A828" s="13">
        <v>66507</v>
      </c>
      <c r="B828" s="67">
        <f t="shared" si="128"/>
        <v>31</v>
      </c>
      <c r="C828" s="56">
        <f>122.58</f>
        <v>122.58</v>
      </c>
      <c r="D828" s="56">
        <f>297.941</f>
        <v>297.94099999999997</v>
      </c>
      <c r="E828" s="64">
        <f>89.177</f>
        <v>89.177000000000007</v>
      </c>
      <c r="F828" s="56">
        <f>240.302-40-60-100</f>
        <v>40.301999999999992</v>
      </c>
      <c r="G828" s="59">
        <v>40</v>
      </c>
      <c r="H828" s="56">
        <f>60+100</f>
        <v>160</v>
      </c>
      <c r="I828" s="56">
        <f t="shared" si="136"/>
        <v>0</v>
      </c>
      <c r="J828" s="59">
        <v>100</v>
      </c>
      <c r="K828" s="59">
        <v>300</v>
      </c>
      <c r="L828" s="56">
        <f t="shared" si="130"/>
        <v>1150</v>
      </c>
      <c r="M828" s="66">
        <v>600</v>
      </c>
      <c r="N828" s="56">
        <f>100</f>
        <v>100</v>
      </c>
      <c r="O828" s="59">
        <v>240</v>
      </c>
      <c r="P828" s="59">
        <v>40</v>
      </c>
      <c r="Q828" s="59">
        <f t="shared" si="131"/>
        <v>315</v>
      </c>
      <c r="R828" s="59">
        <f t="shared" si="132"/>
        <v>100</v>
      </c>
      <c r="S828" s="56">
        <f t="shared" si="133"/>
        <v>695</v>
      </c>
      <c r="T828" s="56">
        <f>50</f>
        <v>50</v>
      </c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</row>
    <row r="829" spans="1:30" ht="15.75" x14ac:dyDescent="0.25">
      <c r="A829" s="13">
        <v>66535</v>
      </c>
      <c r="B829" s="67">
        <f t="shared" si="128"/>
        <v>28</v>
      </c>
      <c r="C829" s="56">
        <f>122.58</f>
        <v>122.58</v>
      </c>
      <c r="D829" s="56">
        <f>297.941</f>
        <v>297.94099999999997</v>
      </c>
      <c r="E829" s="64">
        <f>89.177</f>
        <v>89.177000000000007</v>
      </c>
      <c r="F829" s="56">
        <f>240.302-40-60-100</f>
        <v>40.301999999999992</v>
      </c>
      <c r="G829" s="59">
        <v>40</v>
      </c>
      <c r="H829" s="56">
        <f>60+100</f>
        <v>160</v>
      </c>
      <c r="I829" s="56">
        <f t="shared" si="136"/>
        <v>0</v>
      </c>
      <c r="J829" s="59">
        <v>100</v>
      </c>
      <c r="K829" s="59">
        <v>300</v>
      </c>
      <c r="L829" s="56">
        <f t="shared" si="130"/>
        <v>1150</v>
      </c>
      <c r="M829" s="66">
        <v>600</v>
      </c>
      <c r="N829" s="56">
        <f>100</f>
        <v>100</v>
      </c>
      <c r="O829" s="59">
        <v>240</v>
      </c>
      <c r="P829" s="59">
        <v>40</v>
      </c>
      <c r="Q829" s="59">
        <f t="shared" si="131"/>
        <v>315</v>
      </c>
      <c r="R829" s="59">
        <f t="shared" si="132"/>
        <v>100</v>
      </c>
      <c r="S829" s="56">
        <f t="shared" si="133"/>
        <v>695</v>
      </c>
      <c r="T829" s="56">
        <f>50</f>
        <v>50</v>
      </c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</row>
    <row r="830" spans="1:30" ht="15.75" x14ac:dyDescent="0.25">
      <c r="A830" s="13">
        <v>66566</v>
      </c>
      <c r="B830" s="67">
        <f t="shared" si="128"/>
        <v>31</v>
      </c>
      <c r="C830" s="56">
        <f>122.58</f>
        <v>122.58</v>
      </c>
      <c r="D830" s="56">
        <f>297.941</f>
        <v>297.94099999999997</v>
      </c>
      <c r="E830" s="64">
        <f>89.177</f>
        <v>89.177000000000007</v>
      </c>
      <c r="F830" s="56">
        <f>240.302-40-60-100</f>
        <v>40.301999999999992</v>
      </c>
      <c r="G830" s="59">
        <v>40</v>
      </c>
      <c r="H830" s="56">
        <f>60+100</f>
        <v>160</v>
      </c>
      <c r="I830" s="56">
        <f t="shared" si="136"/>
        <v>0</v>
      </c>
      <c r="J830" s="59">
        <v>100</v>
      </c>
      <c r="K830" s="59">
        <v>300</v>
      </c>
      <c r="L830" s="56">
        <f t="shared" si="130"/>
        <v>1150</v>
      </c>
      <c r="M830" s="66">
        <v>600</v>
      </c>
      <c r="N830" s="56">
        <f>100</f>
        <v>100</v>
      </c>
      <c r="O830" s="59">
        <v>240</v>
      </c>
      <c r="P830" s="59">
        <v>40</v>
      </c>
      <c r="Q830" s="59">
        <f t="shared" si="131"/>
        <v>315</v>
      </c>
      <c r="R830" s="59">
        <f t="shared" si="132"/>
        <v>100</v>
      </c>
      <c r="S830" s="56">
        <f t="shared" si="133"/>
        <v>695</v>
      </c>
      <c r="T830" s="56">
        <f>50</f>
        <v>50</v>
      </c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</row>
    <row r="831" spans="1:30" ht="15.75" x14ac:dyDescent="0.25">
      <c r="A831" s="13">
        <v>66596</v>
      </c>
      <c r="B831" s="67">
        <f t="shared" si="128"/>
        <v>30</v>
      </c>
      <c r="C831" s="56">
        <f>141.293</f>
        <v>141.29300000000001</v>
      </c>
      <c r="D831" s="56">
        <f>267.993</f>
        <v>267.99299999999999</v>
      </c>
      <c r="E831" s="64">
        <f>115.016</f>
        <v>115.01600000000001</v>
      </c>
      <c r="F831" s="56">
        <f>314.698-40-25-60-100</f>
        <v>89.697999999999979</v>
      </c>
      <c r="G831" s="59">
        <v>40</v>
      </c>
      <c r="H831" s="56">
        <f t="shared" ref="H831:H837" si="138">25+60+100</f>
        <v>185</v>
      </c>
      <c r="I831" s="56">
        <f t="shared" si="136"/>
        <v>0</v>
      </c>
      <c r="J831" s="59">
        <v>100</v>
      </c>
      <c r="K831" s="59">
        <v>300</v>
      </c>
      <c r="L831" s="56">
        <f t="shared" si="130"/>
        <v>1239</v>
      </c>
      <c r="M831" s="66">
        <v>600</v>
      </c>
      <c r="N831" s="56">
        <f>100</f>
        <v>100</v>
      </c>
      <c r="O831" s="59">
        <v>240</v>
      </c>
      <c r="P831" s="59">
        <v>40</v>
      </c>
      <c r="Q831" s="59">
        <f t="shared" si="131"/>
        <v>315</v>
      </c>
      <c r="R831" s="59">
        <f t="shared" si="132"/>
        <v>100</v>
      </c>
      <c r="S831" s="56">
        <f t="shared" si="133"/>
        <v>695</v>
      </c>
      <c r="T831" s="56">
        <f>50</f>
        <v>50</v>
      </c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</row>
    <row r="832" spans="1:30" ht="15.75" x14ac:dyDescent="0.25">
      <c r="A832" s="13">
        <v>66627</v>
      </c>
      <c r="B832" s="67">
        <f t="shared" si="128"/>
        <v>31</v>
      </c>
      <c r="C832" s="56">
        <f>194.205</f>
        <v>194.20500000000001</v>
      </c>
      <c r="D832" s="56">
        <f>267.466</f>
        <v>267.46600000000001</v>
      </c>
      <c r="E832" s="64">
        <f>133.845</f>
        <v>133.845</v>
      </c>
      <c r="F832" s="56">
        <f>278.484-40-25-60-100</f>
        <v>53.48399999999998</v>
      </c>
      <c r="G832" s="59">
        <v>40</v>
      </c>
      <c r="H832" s="56">
        <f t="shared" si="138"/>
        <v>185</v>
      </c>
      <c r="I832" s="56">
        <f t="shared" si="136"/>
        <v>0</v>
      </c>
      <c r="J832" s="59">
        <v>100</v>
      </c>
      <c r="K832" s="59">
        <v>300</v>
      </c>
      <c r="L832" s="56">
        <f t="shared" si="130"/>
        <v>1274</v>
      </c>
      <c r="M832" s="66">
        <v>600</v>
      </c>
      <c r="N832" s="56">
        <f>75</f>
        <v>75</v>
      </c>
      <c r="O832" s="59">
        <v>240</v>
      </c>
      <c r="P832" s="59">
        <v>40</v>
      </c>
      <c r="Q832" s="59">
        <f t="shared" si="131"/>
        <v>315</v>
      </c>
      <c r="R832" s="59">
        <f t="shared" si="132"/>
        <v>100</v>
      </c>
      <c r="S832" s="56">
        <f t="shared" si="133"/>
        <v>695</v>
      </c>
      <c r="T832" s="56">
        <f>50</f>
        <v>50</v>
      </c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</row>
    <row r="833" spans="1:30" ht="15.75" x14ac:dyDescent="0.25">
      <c r="A833" s="13">
        <v>66657</v>
      </c>
      <c r="B833" s="67">
        <f t="shared" si="128"/>
        <v>30</v>
      </c>
      <c r="C833" s="56">
        <f>194.205</f>
        <v>194.20500000000001</v>
      </c>
      <c r="D833" s="56">
        <f>267.466</f>
        <v>267.46600000000001</v>
      </c>
      <c r="E833" s="64">
        <f>133.845</f>
        <v>133.845</v>
      </c>
      <c r="F833" s="56">
        <f>278.484-40-25-60-100</f>
        <v>53.48399999999998</v>
      </c>
      <c r="G833" s="59">
        <v>40</v>
      </c>
      <c r="H833" s="56">
        <f t="shared" si="138"/>
        <v>185</v>
      </c>
      <c r="I833" s="56">
        <f t="shared" si="136"/>
        <v>0</v>
      </c>
      <c r="J833" s="59">
        <v>100</v>
      </c>
      <c r="K833" s="59">
        <v>300</v>
      </c>
      <c r="L833" s="56">
        <f t="shared" si="130"/>
        <v>1274</v>
      </c>
      <c r="M833" s="66">
        <v>600</v>
      </c>
      <c r="N833" s="56">
        <f>30</f>
        <v>30</v>
      </c>
      <c r="O833" s="59">
        <v>240</v>
      </c>
      <c r="P833" s="59">
        <v>40</v>
      </c>
      <c r="Q833" s="59">
        <f t="shared" si="131"/>
        <v>315</v>
      </c>
      <c r="R833" s="59">
        <f t="shared" si="132"/>
        <v>100</v>
      </c>
      <c r="S833" s="56">
        <f t="shared" si="133"/>
        <v>695</v>
      </c>
      <c r="T833" s="56">
        <f>50</f>
        <v>50</v>
      </c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</row>
    <row r="834" spans="1:30" ht="15.75" x14ac:dyDescent="0.25">
      <c r="A834" s="13">
        <v>66688</v>
      </c>
      <c r="B834" s="67">
        <f t="shared" si="128"/>
        <v>31</v>
      </c>
      <c r="C834" s="56">
        <f>194.205</f>
        <v>194.20500000000001</v>
      </c>
      <c r="D834" s="56">
        <f>267.466</f>
        <v>267.46600000000001</v>
      </c>
      <c r="E834" s="64">
        <f>133.845</f>
        <v>133.845</v>
      </c>
      <c r="F834" s="56">
        <f>278.484-40-25-60-100</f>
        <v>53.48399999999998</v>
      </c>
      <c r="G834" s="59">
        <v>40</v>
      </c>
      <c r="H834" s="56">
        <f t="shared" si="138"/>
        <v>185</v>
      </c>
      <c r="I834" s="56">
        <f t="shared" si="136"/>
        <v>0</v>
      </c>
      <c r="J834" s="59">
        <v>100</v>
      </c>
      <c r="K834" s="59">
        <v>300</v>
      </c>
      <c r="L834" s="56">
        <f t="shared" si="130"/>
        <v>1274</v>
      </c>
      <c r="M834" s="66">
        <v>600</v>
      </c>
      <c r="N834" s="56">
        <f>30</f>
        <v>30</v>
      </c>
      <c r="O834" s="59">
        <v>240</v>
      </c>
      <c r="P834" s="59">
        <v>40</v>
      </c>
      <c r="Q834" s="59">
        <f t="shared" si="131"/>
        <v>315</v>
      </c>
      <c r="R834" s="59">
        <f t="shared" si="132"/>
        <v>100</v>
      </c>
      <c r="S834" s="56">
        <f t="shared" si="133"/>
        <v>695</v>
      </c>
      <c r="T834" s="56">
        <f>0</f>
        <v>0</v>
      </c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</row>
    <row r="835" spans="1:30" ht="15.75" x14ac:dyDescent="0.25">
      <c r="A835" s="13">
        <v>66719</v>
      </c>
      <c r="B835" s="67">
        <f t="shared" si="128"/>
        <v>31</v>
      </c>
      <c r="C835" s="56">
        <f>194.205</f>
        <v>194.20500000000001</v>
      </c>
      <c r="D835" s="56">
        <f>267.466</f>
        <v>267.46600000000001</v>
      </c>
      <c r="E835" s="64">
        <f>133.845</f>
        <v>133.845</v>
      </c>
      <c r="F835" s="56">
        <f>278.484-40-25-60-100</f>
        <v>53.48399999999998</v>
      </c>
      <c r="G835" s="59">
        <v>40</v>
      </c>
      <c r="H835" s="56">
        <f t="shared" si="138"/>
        <v>185</v>
      </c>
      <c r="I835" s="56">
        <f t="shared" si="136"/>
        <v>0</v>
      </c>
      <c r="J835" s="59">
        <v>100</v>
      </c>
      <c r="K835" s="59">
        <v>300</v>
      </c>
      <c r="L835" s="56">
        <f t="shared" si="130"/>
        <v>1274</v>
      </c>
      <c r="M835" s="66">
        <v>600</v>
      </c>
      <c r="N835" s="56">
        <f>30</f>
        <v>30</v>
      </c>
      <c r="O835" s="59">
        <v>240</v>
      </c>
      <c r="P835" s="59">
        <v>40</v>
      </c>
      <c r="Q835" s="59">
        <f t="shared" si="131"/>
        <v>315</v>
      </c>
      <c r="R835" s="59">
        <f t="shared" si="132"/>
        <v>100</v>
      </c>
      <c r="S835" s="56">
        <f t="shared" si="133"/>
        <v>695</v>
      </c>
      <c r="T835" s="56">
        <f>0</f>
        <v>0</v>
      </c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</row>
    <row r="836" spans="1:30" ht="15.75" x14ac:dyDescent="0.25">
      <c r="A836" s="13">
        <v>66749</v>
      </c>
      <c r="B836" s="67">
        <f t="shared" si="128"/>
        <v>30</v>
      </c>
      <c r="C836" s="56">
        <f>194.205</f>
        <v>194.20500000000001</v>
      </c>
      <c r="D836" s="56">
        <f>267.466</f>
        <v>267.46600000000001</v>
      </c>
      <c r="E836" s="64">
        <f>133.845</f>
        <v>133.845</v>
      </c>
      <c r="F836" s="56">
        <f>278.484-40-25-60-100</f>
        <v>53.48399999999998</v>
      </c>
      <c r="G836" s="59">
        <v>40</v>
      </c>
      <c r="H836" s="56">
        <f t="shared" si="138"/>
        <v>185</v>
      </c>
      <c r="I836" s="56">
        <f t="shared" si="136"/>
        <v>0</v>
      </c>
      <c r="J836" s="59">
        <v>100</v>
      </c>
      <c r="K836" s="59">
        <v>300</v>
      </c>
      <c r="L836" s="56">
        <f t="shared" si="130"/>
        <v>1274</v>
      </c>
      <c r="M836" s="66">
        <v>600</v>
      </c>
      <c r="N836" s="56">
        <f>30</f>
        <v>30</v>
      </c>
      <c r="O836" s="59">
        <v>240</v>
      </c>
      <c r="P836" s="59">
        <v>40</v>
      </c>
      <c r="Q836" s="59">
        <f t="shared" si="131"/>
        <v>315</v>
      </c>
      <c r="R836" s="59">
        <f t="shared" si="132"/>
        <v>100</v>
      </c>
      <c r="S836" s="56">
        <f t="shared" si="133"/>
        <v>695</v>
      </c>
      <c r="T836" s="56">
        <f>0</f>
        <v>0</v>
      </c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</row>
    <row r="837" spans="1:30" ht="15.75" x14ac:dyDescent="0.25">
      <c r="A837" s="13">
        <v>66780</v>
      </c>
      <c r="B837" s="67">
        <f t="shared" si="128"/>
        <v>31</v>
      </c>
      <c r="C837" s="56">
        <f>131.881</f>
        <v>131.881</v>
      </c>
      <c r="D837" s="56">
        <f>277.167</f>
        <v>277.16699999999997</v>
      </c>
      <c r="E837" s="64">
        <f>79.08</f>
        <v>79.08</v>
      </c>
      <c r="F837" s="56">
        <f>350.872-40-25-60-100</f>
        <v>125.87200000000001</v>
      </c>
      <c r="G837" s="59">
        <v>40</v>
      </c>
      <c r="H837" s="56">
        <f t="shared" si="138"/>
        <v>185</v>
      </c>
      <c r="I837" s="56">
        <f t="shared" si="136"/>
        <v>0</v>
      </c>
      <c r="J837" s="59">
        <v>100</v>
      </c>
      <c r="K837" s="59">
        <v>300</v>
      </c>
      <c r="L837" s="56">
        <f t="shared" si="130"/>
        <v>1239</v>
      </c>
      <c r="M837" s="66">
        <v>600</v>
      </c>
      <c r="N837" s="56">
        <f>75</f>
        <v>75</v>
      </c>
      <c r="O837" s="59">
        <v>240</v>
      </c>
      <c r="P837" s="59">
        <v>40</v>
      </c>
      <c r="Q837" s="59">
        <f t="shared" si="131"/>
        <v>315</v>
      </c>
      <c r="R837" s="59">
        <f t="shared" si="132"/>
        <v>100</v>
      </c>
      <c r="S837" s="56">
        <f t="shared" si="133"/>
        <v>695</v>
      </c>
      <c r="T837" s="56">
        <f>0</f>
        <v>0</v>
      </c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</row>
    <row r="838" spans="1:30" ht="15.75" x14ac:dyDescent="0.25">
      <c r="A838" s="13">
        <v>66810</v>
      </c>
      <c r="B838" s="67">
        <f t="shared" si="128"/>
        <v>30</v>
      </c>
      <c r="C838" s="56">
        <f>122.58</f>
        <v>122.58</v>
      </c>
      <c r="D838" s="56">
        <f>297.941</f>
        <v>297.94099999999997</v>
      </c>
      <c r="E838" s="64">
        <f>89.177</f>
        <v>89.177000000000007</v>
      </c>
      <c r="F838" s="56">
        <f>240.302-40-60-100</f>
        <v>40.301999999999992</v>
      </c>
      <c r="G838" s="59">
        <v>40</v>
      </c>
      <c r="H838" s="56">
        <f>60+100</f>
        <v>160</v>
      </c>
      <c r="I838" s="56">
        <f t="shared" si="136"/>
        <v>0</v>
      </c>
      <c r="J838" s="59">
        <v>100</v>
      </c>
      <c r="K838" s="59">
        <v>300</v>
      </c>
      <c r="L838" s="56">
        <f t="shared" si="130"/>
        <v>1150</v>
      </c>
      <c r="M838" s="66">
        <v>600</v>
      </c>
      <c r="N838" s="56">
        <f>100</f>
        <v>100</v>
      </c>
      <c r="O838" s="59">
        <v>240</v>
      </c>
      <c r="P838" s="59">
        <v>40</v>
      </c>
      <c r="Q838" s="59">
        <f t="shared" si="131"/>
        <v>315</v>
      </c>
      <c r="R838" s="59">
        <f t="shared" si="132"/>
        <v>100</v>
      </c>
      <c r="S838" s="56">
        <f t="shared" si="133"/>
        <v>695</v>
      </c>
      <c r="T838" s="56">
        <f>50</f>
        <v>50</v>
      </c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</row>
    <row r="839" spans="1:30" ht="15.75" x14ac:dyDescent="0.25">
      <c r="A839" s="13">
        <v>66841</v>
      </c>
      <c r="B839" s="67">
        <f t="shared" si="128"/>
        <v>31</v>
      </c>
      <c r="C839" s="56">
        <f>122.58</f>
        <v>122.58</v>
      </c>
      <c r="D839" s="56">
        <f>297.941</f>
        <v>297.94099999999997</v>
      </c>
      <c r="E839" s="64">
        <f>89.177</f>
        <v>89.177000000000007</v>
      </c>
      <c r="F839" s="56">
        <f>240.302-40-60-100</f>
        <v>40.301999999999992</v>
      </c>
      <c r="G839" s="59">
        <v>40</v>
      </c>
      <c r="H839" s="56">
        <f>60+100</f>
        <v>160</v>
      </c>
      <c r="I839" s="56">
        <f t="shared" si="136"/>
        <v>0</v>
      </c>
      <c r="J839" s="59">
        <v>100</v>
      </c>
      <c r="K839" s="59">
        <v>300</v>
      </c>
      <c r="L839" s="56">
        <f t="shared" si="130"/>
        <v>1150</v>
      </c>
      <c r="M839" s="66">
        <v>600</v>
      </c>
      <c r="N839" s="56">
        <f>100</f>
        <v>100</v>
      </c>
      <c r="O839" s="59">
        <v>240</v>
      </c>
      <c r="P839" s="59">
        <v>40</v>
      </c>
      <c r="Q839" s="59">
        <f t="shared" si="131"/>
        <v>315</v>
      </c>
      <c r="R839" s="59">
        <f t="shared" si="132"/>
        <v>100</v>
      </c>
      <c r="S839" s="56">
        <f t="shared" si="133"/>
        <v>695</v>
      </c>
      <c r="T839" s="56">
        <f>50</f>
        <v>50</v>
      </c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</row>
    <row r="840" spans="1:30" ht="15.75" x14ac:dyDescent="0.25">
      <c r="A840" s="13">
        <v>66872</v>
      </c>
      <c r="B840" s="67">
        <f t="shared" si="128"/>
        <v>31</v>
      </c>
      <c r="C840" s="56">
        <f>122.58</f>
        <v>122.58</v>
      </c>
      <c r="D840" s="56">
        <f>297.941</f>
        <v>297.94099999999997</v>
      </c>
      <c r="E840" s="64">
        <f>89.177</f>
        <v>89.177000000000007</v>
      </c>
      <c r="F840" s="56">
        <f>240.302-40-60-100</f>
        <v>40.301999999999992</v>
      </c>
      <c r="G840" s="59">
        <v>40</v>
      </c>
      <c r="H840" s="56">
        <f>60+100</f>
        <v>160</v>
      </c>
      <c r="I840" s="56">
        <f t="shared" si="136"/>
        <v>0</v>
      </c>
      <c r="J840" s="59">
        <v>100</v>
      </c>
      <c r="K840" s="59">
        <v>300</v>
      </c>
      <c r="L840" s="56">
        <f t="shared" si="130"/>
        <v>1150</v>
      </c>
      <c r="M840" s="66">
        <v>600</v>
      </c>
      <c r="N840" s="56">
        <f>100</f>
        <v>100</v>
      </c>
      <c r="O840" s="59">
        <v>240</v>
      </c>
      <c r="P840" s="59">
        <v>40</v>
      </c>
      <c r="Q840" s="59">
        <f t="shared" si="131"/>
        <v>315</v>
      </c>
      <c r="R840" s="59">
        <f t="shared" si="132"/>
        <v>100</v>
      </c>
      <c r="S840" s="56">
        <f t="shared" si="133"/>
        <v>695</v>
      </c>
      <c r="T840" s="56">
        <f>50</f>
        <v>50</v>
      </c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</row>
    <row r="841" spans="1:30" ht="15.75" x14ac:dyDescent="0.25">
      <c r="A841" s="13">
        <v>66900</v>
      </c>
      <c r="B841" s="67">
        <f t="shared" si="128"/>
        <v>28</v>
      </c>
      <c r="C841" s="56">
        <f>122.58</f>
        <v>122.58</v>
      </c>
      <c r="D841" s="56">
        <f>297.941</f>
        <v>297.94099999999997</v>
      </c>
      <c r="E841" s="64">
        <f>89.177</f>
        <v>89.177000000000007</v>
      </c>
      <c r="F841" s="56">
        <f>240.302-40-60-100</f>
        <v>40.301999999999992</v>
      </c>
      <c r="G841" s="59">
        <v>40</v>
      </c>
      <c r="H841" s="56">
        <f>60+100</f>
        <v>160</v>
      </c>
      <c r="I841" s="56">
        <f t="shared" si="136"/>
        <v>0</v>
      </c>
      <c r="J841" s="59">
        <v>100</v>
      </c>
      <c r="K841" s="59">
        <v>300</v>
      </c>
      <c r="L841" s="56">
        <f t="shared" si="130"/>
        <v>1150</v>
      </c>
      <c r="M841" s="66">
        <v>600</v>
      </c>
      <c r="N841" s="56">
        <f>100</f>
        <v>100</v>
      </c>
      <c r="O841" s="59">
        <v>240</v>
      </c>
      <c r="P841" s="59">
        <v>40</v>
      </c>
      <c r="Q841" s="59">
        <f t="shared" si="131"/>
        <v>315</v>
      </c>
      <c r="R841" s="59">
        <f t="shared" si="132"/>
        <v>100</v>
      </c>
      <c r="S841" s="56">
        <f t="shared" si="133"/>
        <v>695</v>
      </c>
      <c r="T841" s="56">
        <f>50</f>
        <v>50</v>
      </c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</row>
    <row r="842" spans="1:30" ht="15.75" x14ac:dyDescent="0.25">
      <c r="A842" s="13">
        <v>66931</v>
      </c>
      <c r="B842" s="67">
        <f t="shared" si="128"/>
        <v>31</v>
      </c>
      <c r="C842" s="56">
        <f>122.58</f>
        <v>122.58</v>
      </c>
      <c r="D842" s="56">
        <f>297.941</f>
        <v>297.94099999999997</v>
      </c>
      <c r="E842" s="64">
        <f>89.177</f>
        <v>89.177000000000007</v>
      </c>
      <c r="F842" s="56">
        <f>240.302-40-60-100</f>
        <v>40.301999999999992</v>
      </c>
      <c r="G842" s="59">
        <v>40</v>
      </c>
      <c r="H842" s="56">
        <f>60+100</f>
        <v>160</v>
      </c>
      <c r="I842" s="56">
        <f t="shared" si="136"/>
        <v>0</v>
      </c>
      <c r="J842" s="59">
        <v>100</v>
      </c>
      <c r="K842" s="59">
        <v>300</v>
      </c>
      <c r="L842" s="56">
        <f t="shared" si="130"/>
        <v>1150</v>
      </c>
      <c r="M842" s="66">
        <v>600</v>
      </c>
      <c r="N842" s="56">
        <f>100</f>
        <v>100</v>
      </c>
      <c r="O842" s="59">
        <v>240</v>
      </c>
      <c r="P842" s="59">
        <v>40</v>
      </c>
      <c r="Q842" s="59">
        <f t="shared" si="131"/>
        <v>315</v>
      </c>
      <c r="R842" s="59">
        <f t="shared" si="132"/>
        <v>100</v>
      </c>
      <c r="S842" s="56">
        <f t="shared" si="133"/>
        <v>695</v>
      </c>
      <c r="T842" s="56">
        <f>50</f>
        <v>50</v>
      </c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</row>
    <row r="843" spans="1:30" ht="15.75" x14ac:dyDescent="0.25">
      <c r="A843" s="13">
        <v>66961</v>
      </c>
      <c r="B843" s="67">
        <f t="shared" si="128"/>
        <v>30</v>
      </c>
      <c r="C843" s="56">
        <f>141.293</f>
        <v>141.29300000000001</v>
      </c>
      <c r="D843" s="56">
        <f>267.993</f>
        <v>267.99299999999999</v>
      </c>
      <c r="E843" s="64">
        <f>115.016</f>
        <v>115.01600000000001</v>
      </c>
      <c r="F843" s="56">
        <f>314.698-40-25-60-100</f>
        <v>89.697999999999979</v>
      </c>
      <c r="G843" s="59">
        <v>40</v>
      </c>
      <c r="H843" s="56">
        <f t="shared" ref="H843:H849" si="139">25+60+100</f>
        <v>185</v>
      </c>
      <c r="I843" s="56">
        <f t="shared" si="136"/>
        <v>0</v>
      </c>
      <c r="J843" s="59">
        <v>100</v>
      </c>
      <c r="K843" s="59">
        <v>300</v>
      </c>
      <c r="L843" s="56">
        <f t="shared" si="130"/>
        <v>1239</v>
      </c>
      <c r="M843" s="66">
        <v>600</v>
      </c>
      <c r="N843" s="56">
        <f>100</f>
        <v>100</v>
      </c>
      <c r="O843" s="59">
        <v>240</v>
      </c>
      <c r="P843" s="59">
        <v>40</v>
      </c>
      <c r="Q843" s="59">
        <f t="shared" si="131"/>
        <v>315</v>
      </c>
      <c r="R843" s="59">
        <f t="shared" si="132"/>
        <v>100</v>
      </c>
      <c r="S843" s="56">
        <f t="shared" si="133"/>
        <v>695</v>
      </c>
      <c r="T843" s="56">
        <f>50</f>
        <v>50</v>
      </c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</row>
    <row r="844" spans="1:30" ht="15.75" x14ac:dyDescent="0.25">
      <c r="A844" s="13">
        <v>66992</v>
      </c>
      <c r="B844" s="67">
        <f t="shared" ref="B844:B907" si="140">EOMONTH(A844,0)-EOMONTH(A844,-1)</f>
        <v>31</v>
      </c>
      <c r="C844" s="56">
        <f>194.205</f>
        <v>194.20500000000001</v>
      </c>
      <c r="D844" s="56">
        <f>267.466</f>
        <v>267.46600000000001</v>
      </c>
      <c r="E844" s="64">
        <f>133.845</f>
        <v>133.845</v>
      </c>
      <c r="F844" s="56">
        <f>278.484-40-25-60-100</f>
        <v>53.48399999999998</v>
      </c>
      <c r="G844" s="59">
        <v>40</v>
      </c>
      <c r="H844" s="56">
        <f t="shared" si="139"/>
        <v>185</v>
      </c>
      <c r="I844" s="56">
        <f t="shared" si="136"/>
        <v>0</v>
      </c>
      <c r="J844" s="59">
        <v>100</v>
      </c>
      <c r="K844" s="59">
        <v>300</v>
      </c>
      <c r="L844" s="56">
        <f t="shared" si="130"/>
        <v>1274</v>
      </c>
      <c r="M844" s="66">
        <v>600</v>
      </c>
      <c r="N844" s="56">
        <f>75</f>
        <v>75</v>
      </c>
      <c r="O844" s="59">
        <v>240</v>
      </c>
      <c r="P844" s="59">
        <v>40</v>
      </c>
      <c r="Q844" s="59">
        <f t="shared" si="131"/>
        <v>315</v>
      </c>
      <c r="R844" s="59">
        <f t="shared" si="132"/>
        <v>100</v>
      </c>
      <c r="S844" s="56">
        <f t="shared" si="133"/>
        <v>695</v>
      </c>
      <c r="T844" s="56">
        <f>50</f>
        <v>50</v>
      </c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</row>
    <row r="845" spans="1:30" ht="15.75" x14ac:dyDescent="0.25">
      <c r="A845" s="13">
        <v>67022</v>
      </c>
      <c r="B845" s="67">
        <f t="shared" si="140"/>
        <v>30</v>
      </c>
      <c r="C845" s="56">
        <f>194.205</f>
        <v>194.20500000000001</v>
      </c>
      <c r="D845" s="56">
        <f>267.466</f>
        <v>267.46600000000001</v>
      </c>
      <c r="E845" s="64">
        <f>133.845</f>
        <v>133.845</v>
      </c>
      <c r="F845" s="56">
        <f>278.484-40-25-60-100</f>
        <v>53.48399999999998</v>
      </c>
      <c r="G845" s="59">
        <v>40</v>
      </c>
      <c r="H845" s="56">
        <f t="shared" si="139"/>
        <v>185</v>
      </c>
      <c r="I845" s="56">
        <f t="shared" si="136"/>
        <v>0</v>
      </c>
      <c r="J845" s="59">
        <v>100</v>
      </c>
      <c r="K845" s="59">
        <v>300</v>
      </c>
      <c r="L845" s="56">
        <f t="shared" si="130"/>
        <v>1274</v>
      </c>
      <c r="M845" s="66">
        <v>600</v>
      </c>
      <c r="N845" s="56">
        <f>30</f>
        <v>30</v>
      </c>
      <c r="O845" s="59">
        <v>240</v>
      </c>
      <c r="P845" s="59">
        <v>40</v>
      </c>
      <c r="Q845" s="59">
        <f t="shared" si="131"/>
        <v>315</v>
      </c>
      <c r="R845" s="59">
        <f t="shared" si="132"/>
        <v>100</v>
      </c>
      <c r="S845" s="56">
        <f t="shared" si="133"/>
        <v>695</v>
      </c>
      <c r="T845" s="56">
        <f>50</f>
        <v>50</v>
      </c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</row>
    <row r="846" spans="1:30" ht="15.75" x14ac:dyDescent="0.25">
      <c r="A846" s="13">
        <v>67053</v>
      </c>
      <c r="B846" s="67">
        <f t="shared" si="140"/>
        <v>31</v>
      </c>
      <c r="C846" s="56">
        <f>194.205</f>
        <v>194.20500000000001</v>
      </c>
      <c r="D846" s="56">
        <f>267.466</f>
        <v>267.46600000000001</v>
      </c>
      <c r="E846" s="64">
        <f>133.845</f>
        <v>133.845</v>
      </c>
      <c r="F846" s="56">
        <f>278.484-40-25-60-100</f>
        <v>53.48399999999998</v>
      </c>
      <c r="G846" s="59">
        <v>40</v>
      </c>
      <c r="H846" s="56">
        <f t="shared" si="139"/>
        <v>185</v>
      </c>
      <c r="I846" s="56">
        <f t="shared" si="136"/>
        <v>0</v>
      </c>
      <c r="J846" s="59">
        <v>100</v>
      </c>
      <c r="K846" s="59">
        <v>300</v>
      </c>
      <c r="L846" s="56">
        <f t="shared" si="130"/>
        <v>1274</v>
      </c>
      <c r="M846" s="66">
        <v>600</v>
      </c>
      <c r="N846" s="56">
        <f>30</f>
        <v>30</v>
      </c>
      <c r="O846" s="59">
        <v>240</v>
      </c>
      <c r="P846" s="59">
        <v>40</v>
      </c>
      <c r="Q846" s="59">
        <f t="shared" si="131"/>
        <v>315</v>
      </c>
      <c r="R846" s="59">
        <f t="shared" si="132"/>
        <v>100</v>
      </c>
      <c r="S846" s="56">
        <f t="shared" si="133"/>
        <v>695</v>
      </c>
      <c r="T846" s="56">
        <f>0</f>
        <v>0</v>
      </c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</row>
    <row r="847" spans="1:30" ht="15.75" x14ac:dyDescent="0.25">
      <c r="A847" s="13">
        <v>67084</v>
      </c>
      <c r="B847" s="67">
        <f t="shared" si="140"/>
        <v>31</v>
      </c>
      <c r="C847" s="56">
        <f>194.205</f>
        <v>194.20500000000001</v>
      </c>
      <c r="D847" s="56">
        <f>267.466</f>
        <v>267.46600000000001</v>
      </c>
      <c r="E847" s="64">
        <f>133.845</f>
        <v>133.845</v>
      </c>
      <c r="F847" s="56">
        <f>278.484-40-25-60-100</f>
        <v>53.48399999999998</v>
      </c>
      <c r="G847" s="59">
        <v>40</v>
      </c>
      <c r="H847" s="56">
        <f t="shared" si="139"/>
        <v>185</v>
      </c>
      <c r="I847" s="56">
        <f t="shared" si="136"/>
        <v>0</v>
      </c>
      <c r="J847" s="59">
        <v>100</v>
      </c>
      <c r="K847" s="59">
        <v>300</v>
      </c>
      <c r="L847" s="56">
        <f t="shared" ref="L847:L910" si="141">SUM(C847:K847)</f>
        <v>1274</v>
      </c>
      <c r="M847" s="66">
        <v>600</v>
      </c>
      <c r="N847" s="56">
        <f>30</f>
        <v>30</v>
      </c>
      <c r="O847" s="59">
        <v>240</v>
      </c>
      <c r="P847" s="59">
        <v>40</v>
      </c>
      <c r="Q847" s="59">
        <f t="shared" ref="Q847:Q910" si="142">695-R847-O847-P847</f>
        <v>315</v>
      </c>
      <c r="R847" s="59">
        <f t="shared" ref="R847:R910" si="143">200-J847</f>
        <v>100</v>
      </c>
      <c r="S847" s="56">
        <f t="shared" ref="S847:S910" si="144">SUM(O847:R847)</f>
        <v>695</v>
      </c>
      <c r="T847" s="56">
        <f>0</f>
        <v>0</v>
      </c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</row>
    <row r="848" spans="1:30" ht="15.75" x14ac:dyDescent="0.25">
      <c r="A848" s="13">
        <v>67114</v>
      </c>
      <c r="B848" s="67">
        <f t="shared" si="140"/>
        <v>30</v>
      </c>
      <c r="C848" s="56">
        <f>194.205</f>
        <v>194.20500000000001</v>
      </c>
      <c r="D848" s="56">
        <f>267.466</f>
        <v>267.46600000000001</v>
      </c>
      <c r="E848" s="64">
        <f>133.845</f>
        <v>133.845</v>
      </c>
      <c r="F848" s="56">
        <f>278.484-40-25-60-100</f>
        <v>53.48399999999998</v>
      </c>
      <c r="G848" s="59">
        <v>40</v>
      </c>
      <c r="H848" s="56">
        <f t="shared" si="139"/>
        <v>185</v>
      </c>
      <c r="I848" s="56">
        <f t="shared" si="136"/>
        <v>0</v>
      </c>
      <c r="J848" s="59">
        <v>100</v>
      </c>
      <c r="K848" s="59">
        <v>300</v>
      </c>
      <c r="L848" s="56">
        <f t="shared" si="141"/>
        <v>1274</v>
      </c>
      <c r="M848" s="66">
        <v>600</v>
      </c>
      <c r="N848" s="56">
        <f>30</f>
        <v>30</v>
      </c>
      <c r="O848" s="59">
        <v>240</v>
      </c>
      <c r="P848" s="59">
        <v>40</v>
      </c>
      <c r="Q848" s="59">
        <f t="shared" si="142"/>
        <v>315</v>
      </c>
      <c r="R848" s="59">
        <f t="shared" si="143"/>
        <v>100</v>
      </c>
      <c r="S848" s="56">
        <f t="shared" si="144"/>
        <v>695</v>
      </c>
      <c r="T848" s="56">
        <f>0</f>
        <v>0</v>
      </c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</row>
    <row r="849" spans="1:30" ht="15.75" x14ac:dyDescent="0.25">
      <c r="A849" s="13">
        <v>67145</v>
      </c>
      <c r="B849" s="67">
        <f t="shared" si="140"/>
        <v>31</v>
      </c>
      <c r="C849" s="56">
        <f>131.881</f>
        <v>131.881</v>
      </c>
      <c r="D849" s="56">
        <f>277.167</f>
        <v>277.16699999999997</v>
      </c>
      <c r="E849" s="64">
        <f>79.08</f>
        <v>79.08</v>
      </c>
      <c r="F849" s="56">
        <f>350.872-40-25-60-100</f>
        <v>125.87200000000001</v>
      </c>
      <c r="G849" s="59">
        <v>40</v>
      </c>
      <c r="H849" s="56">
        <f t="shared" si="139"/>
        <v>185</v>
      </c>
      <c r="I849" s="56">
        <f t="shared" si="136"/>
        <v>0</v>
      </c>
      <c r="J849" s="59">
        <v>100</v>
      </c>
      <c r="K849" s="59">
        <v>300</v>
      </c>
      <c r="L849" s="56">
        <f t="shared" si="141"/>
        <v>1239</v>
      </c>
      <c r="M849" s="66">
        <v>600</v>
      </c>
      <c r="N849" s="56">
        <f>75</f>
        <v>75</v>
      </c>
      <c r="O849" s="59">
        <v>240</v>
      </c>
      <c r="P849" s="59">
        <v>40</v>
      </c>
      <c r="Q849" s="59">
        <f t="shared" si="142"/>
        <v>315</v>
      </c>
      <c r="R849" s="59">
        <f t="shared" si="143"/>
        <v>100</v>
      </c>
      <c r="S849" s="56">
        <f t="shared" si="144"/>
        <v>695</v>
      </c>
      <c r="T849" s="56">
        <f>0</f>
        <v>0</v>
      </c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</row>
    <row r="850" spans="1:30" ht="15.75" x14ac:dyDescent="0.25">
      <c r="A850" s="13">
        <v>67175</v>
      </c>
      <c r="B850" s="67">
        <f t="shared" si="140"/>
        <v>30</v>
      </c>
      <c r="C850" s="56">
        <f>122.58</f>
        <v>122.58</v>
      </c>
      <c r="D850" s="56">
        <f>297.941</f>
        <v>297.94099999999997</v>
      </c>
      <c r="E850" s="64">
        <f>89.177</f>
        <v>89.177000000000007</v>
      </c>
      <c r="F850" s="56">
        <f>240.302-40-60-100</f>
        <v>40.301999999999992</v>
      </c>
      <c r="G850" s="59">
        <v>40</v>
      </c>
      <c r="H850" s="56">
        <f>60+100</f>
        <v>160</v>
      </c>
      <c r="I850" s="56">
        <f t="shared" si="136"/>
        <v>0</v>
      </c>
      <c r="J850" s="59">
        <v>100</v>
      </c>
      <c r="K850" s="59">
        <v>300</v>
      </c>
      <c r="L850" s="56">
        <f t="shared" si="141"/>
        <v>1150</v>
      </c>
      <c r="M850" s="66">
        <v>600</v>
      </c>
      <c r="N850" s="56">
        <f>100</f>
        <v>100</v>
      </c>
      <c r="O850" s="59">
        <v>240</v>
      </c>
      <c r="P850" s="59">
        <v>40</v>
      </c>
      <c r="Q850" s="59">
        <f t="shared" si="142"/>
        <v>315</v>
      </c>
      <c r="R850" s="59">
        <f t="shared" si="143"/>
        <v>100</v>
      </c>
      <c r="S850" s="56">
        <f t="shared" si="144"/>
        <v>695</v>
      </c>
      <c r="T850" s="56">
        <f>50</f>
        <v>50</v>
      </c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</row>
    <row r="851" spans="1:30" ht="15.75" x14ac:dyDescent="0.25">
      <c r="A851" s="13">
        <v>67206</v>
      </c>
      <c r="B851" s="67">
        <f t="shared" si="140"/>
        <v>31</v>
      </c>
      <c r="C851" s="56">
        <f>122.58</f>
        <v>122.58</v>
      </c>
      <c r="D851" s="56">
        <f>297.941</f>
        <v>297.94099999999997</v>
      </c>
      <c r="E851" s="64">
        <f>89.177</f>
        <v>89.177000000000007</v>
      </c>
      <c r="F851" s="56">
        <f>240.302-40-60-100</f>
        <v>40.301999999999992</v>
      </c>
      <c r="G851" s="59">
        <v>40</v>
      </c>
      <c r="H851" s="56">
        <f>60+100</f>
        <v>160</v>
      </c>
      <c r="I851" s="56">
        <f t="shared" si="136"/>
        <v>0</v>
      </c>
      <c r="J851" s="59">
        <v>100</v>
      </c>
      <c r="K851" s="59">
        <v>300</v>
      </c>
      <c r="L851" s="56">
        <f t="shared" si="141"/>
        <v>1150</v>
      </c>
      <c r="M851" s="66">
        <v>600</v>
      </c>
      <c r="N851" s="56">
        <f>100</f>
        <v>100</v>
      </c>
      <c r="O851" s="59">
        <v>240</v>
      </c>
      <c r="P851" s="59">
        <v>40</v>
      </c>
      <c r="Q851" s="59">
        <f t="shared" si="142"/>
        <v>315</v>
      </c>
      <c r="R851" s="59">
        <f t="shared" si="143"/>
        <v>100</v>
      </c>
      <c r="S851" s="56">
        <f t="shared" si="144"/>
        <v>695</v>
      </c>
      <c r="T851" s="56">
        <f>50</f>
        <v>50</v>
      </c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</row>
    <row r="852" spans="1:30" ht="15.75" x14ac:dyDescent="0.25">
      <c r="A852" s="13">
        <v>67237</v>
      </c>
      <c r="B852" s="67">
        <f t="shared" si="140"/>
        <v>31</v>
      </c>
      <c r="C852" s="56">
        <f>122.58</f>
        <v>122.58</v>
      </c>
      <c r="D852" s="56">
        <f>297.941</f>
        <v>297.94099999999997</v>
      </c>
      <c r="E852" s="64">
        <f>89.177</f>
        <v>89.177000000000007</v>
      </c>
      <c r="F852" s="56">
        <f>240.302-40-60-100</f>
        <v>40.301999999999992</v>
      </c>
      <c r="G852" s="59">
        <v>40</v>
      </c>
      <c r="H852" s="56">
        <f>60+100</f>
        <v>160</v>
      </c>
      <c r="I852" s="56">
        <f t="shared" si="136"/>
        <v>0</v>
      </c>
      <c r="J852" s="59">
        <v>100</v>
      </c>
      <c r="K852" s="59">
        <v>300</v>
      </c>
      <c r="L852" s="56">
        <f t="shared" si="141"/>
        <v>1150</v>
      </c>
      <c r="M852" s="66">
        <v>600</v>
      </c>
      <c r="N852" s="56">
        <f>100</f>
        <v>100</v>
      </c>
      <c r="O852" s="59">
        <v>240</v>
      </c>
      <c r="P852" s="59">
        <v>40</v>
      </c>
      <c r="Q852" s="59">
        <f t="shared" si="142"/>
        <v>315</v>
      </c>
      <c r="R852" s="59">
        <f t="shared" si="143"/>
        <v>100</v>
      </c>
      <c r="S852" s="56">
        <f t="shared" si="144"/>
        <v>695</v>
      </c>
      <c r="T852" s="56">
        <f>50</f>
        <v>50</v>
      </c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</row>
    <row r="853" spans="1:30" ht="15.75" x14ac:dyDescent="0.25">
      <c r="A853" s="13">
        <v>67266</v>
      </c>
      <c r="B853" s="67">
        <f t="shared" si="140"/>
        <v>29</v>
      </c>
      <c r="C853" s="56">
        <f>122.58</f>
        <v>122.58</v>
      </c>
      <c r="D853" s="56">
        <f>297.941</f>
        <v>297.94099999999997</v>
      </c>
      <c r="E853" s="64">
        <f>89.177</f>
        <v>89.177000000000007</v>
      </c>
      <c r="F853" s="56">
        <f>240.302-40-60-100</f>
        <v>40.301999999999992</v>
      </c>
      <c r="G853" s="59">
        <v>40</v>
      </c>
      <c r="H853" s="56">
        <f>60+100</f>
        <v>160</v>
      </c>
      <c r="I853" s="56">
        <f t="shared" si="136"/>
        <v>0</v>
      </c>
      <c r="J853" s="59">
        <v>100</v>
      </c>
      <c r="K853" s="59">
        <v>300</v>
      </c>
      <c r="L853" s="56">
        <f t="shared" si="141"/>
        <v>1150</v>
      </c>
      <c r="M853" s="66">
        <v>600</v>
      </c>
      <c r="N853" s="56">
        <f>100</f>
        <v>100</v>
      </c>
      <c r="O853" s="59">
        <v>240</v>
      </c>
      <c r="P853" s="59">
        <v>40</v>
      </c>
      <c r="Q853" s="59">
        <f t="shared" si="142"/>
        <v>315</v>
      </c>
      <c r="R853" s="59">
        <f t="shared" si="143"/>
        <v>100</v>
      </c>
      <c r="S853" s="56">
        <f t="shared" si="144"/>
        <v>695</v>
      </c>
      <c r="T853" s="56">
        <f>50</f>
        <v>50</v>
      </c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</row>
    <row r="854" spans="1:30" ht="15.75" x14ac:dyDescent="0.25">
      <c r="A854" s="13">
        <v>67297</v>
      </c>
      <c r="B854" s="67">
        <f t="shared" si="140"/>
        <v>31</v>
      </c>
      <c r="C854" s="56">
        <f>122.58</f>
        <v>122.58</v>
      </c>
      <c r="D854" s="56">
        <f>297.941</f>
        <v>297.94099999999997</v>
      </c>
      <c r="E854" s="64">
        <f>89.177</f>
        <v>89.177000000000007</v>
      </c>
      <c r="F854" s="56">
        <f>240.302-40-60-100</f>
        <v>40.301999999999992</v>
      </c>
      <c r="G854" s="59">
        <v>40</v>
      </c>
      <c r="H854" s="56">
        <f>60+100</f>
        <v>160</v>
      </c>
      <c r="I854" s="56">
        <f t="shared" si="136"/>
        <v>0</v>
      </c>
      <c r="J854" s="59">
        <v>100</v>
      </c>
      <c r="K854" s="59">
        <v>300</v>
      </c>
      <c r="L854" s="56">
        <f t="shared" si="141"/>
        <v>1150</v>
      </c>
      <c r="M854" s="66">
        <v>600</v>
      </c>
      <c r="N854" s="56">
        <f>100</f>
        <v>100</v>
      </c>
      <c r="O854" s="59">
        <v>240</v>
      </c>
      <c r="P854" s="59">
        <v>40</v>
      </c>
      <c r="Q854" s="59">
        <f t="shared" si="142"/>
        <v>315</v>
      </c>
      <c r="R854" s="59">
        <f t="shared" si="143"/>
        <v>100</v>
      </c>
      <c r="S854" s="56">
        <f t="shared" si="144"/>
        <v>695</v>
      </c>
      <c r="T854" s="56">
        <f>50</f>
        <v>50</v>
      </c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</row>
    <row r="855" spans="1:30" ht="15.75" x14ac:dyDescent="0.25">
      <c r="A855" s="13">
        <v>67327</v>
      </c>
      <c r="B855" s="67">
        <f t="shared" si="140"/>
        <v>30</v>
      </c>
      <c r="C855" s="56">
        <f>141.293</f>
        <v>141.29300000000001</v>
      </c>
      <c r="D855" s="56">
        <f>267.993</f>
        <v>267.99299999999999</v>
      </c>
      <c r="E855" s="64">
        <f>115.016</f>
        <v>115.01600000000001</v>
      </c>
      <c r="F855" s="56">
        <f>314.698-40-25-60-100</f>
        <v>89.697999999999979</v>
      </c>
      <c r="G855" s="59">
        <v>40</v>
      </c>
      <c r="H855" s="56">
        <f t="shared" ref="H855:H861" si="145">25+60+100</f>
        <v>185</v>
      </c>
      <c r="I855" s="56">
        <f t="shared" si="136"/>
        <v>0</v>
      </c>
      <c r="J855" s="59">
        <v>100</v>
      </c>
      <c r="K855" s="59">
        <v>300</v>
      </c>
      <c r="L855" s="56">
        <f t="shared" si="141"/>
        <v>1239</v>
      </c>
      <c r="M855" s="66">
        <v>600</v>
      </c>
      <c r="N855" s="56">
        <f>100</f>
        <v>100</v>
      </c>
      <c r="O855" s="59">
        <v>240</v>
      </c>
      <c r="P855" s="59">
        <v>40</v>
      </c>
      <c r="Q855" s="59">
        <f t="shared" si="142"/>
        <v>315</v>
      </c>
      <c r="R855" s="59">
        <f t="shared" si="143"/>
        <v>100</v>
      </c>
      <c r="S855" s="56">
        <f t="shared" si="144"/>
        <v>695</v>
      </c>
      <c r="T855" s="56">
        <f>50</f>
        <v>50</v>
      </c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</row>
    <row r="856" spans="1:30" ht="15.75" x14ac:dyDescent="0.25">
      <c r="A856" s="13">
        <v>67358</v>
      </c>
      <c r="B856" s="67">
        <f t="shared" si="140"/>
        <v>31</v>
      </c>
      <c r="C856" s="56">
        <f>194.205</f>
        <v>194.20500000000001</v>
      </c>
      <c r="D856" s="56">
        <f>267.466</f>
        <v>267.46600000000001</v>
      </c>
      <c r="E856" s="64">
        <f>133.845</f>
        <v>133.845</v>
      </c>
      <c r="F856" s="56">
        <f>278.484-40-25-60-100</f>
        <v>53.48399999999998</v>
      </c>
      <c r="G856" s="59">
        <v>40</v>
      </c>
      <c r="H856" s="56">
        <f t="shared" si="145"/>
        <v>185</v>
      </c>
      <c r="I856" s="56">
        <f t="shared" si="136"/>
        <v>0</v>
      </c>
      <c r="J856" s="59">
        <v>100</v>
      </c>
      <c r="K856" s="59">
        <v>300</v>
      </c>
      <c r="L856" s="56">
        <f t="shared" si="141"/>
        <v>1274</v>
      </c>
      <c r="M856" s="66">
        <v>600</v>
      </c>
      <c r="N856" s="56">
        <f>75</f>
        <v>75</v>
      </c>
      <c r="O856" s="59">
        <v>240</v>
      </c>
      <c r="P856" s="59">
        <v>40</v>
      </c>
      <c r="Q856" s="59">
        <f t="shared" si="142"/>
        <v>315</v>
      </c>
      <c r="R856" s="59">
        <f t="shared" si="143"/>
        <v>100</v>
      </c>
      <c r="S856" s="56">
        <f t="shared" si="144"/>
        <v>695</v>
      </c>
      <c r="T856" s="56">
        <f>50</f>
        <v>50</v>
      </c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</row>
    <row r="857" spans="1:30" ht="15.75" x14ac:dyDescent="0.25">
      <c r="A857" s="13">
        <v>67388</v>
      </c>
      <c r="B857" s="67">
        <f t="shared" si="140"/>
        <v>30</v>
      </c>
      <c r="C857" s="56">
        <f>194.205</f>
        <v>194.20500000000001</v>
      </c>
      <c r="D857" s="56">
        <f>267.466</f>
        <v>267.46600000000001</v>
      </c>
      <c r="E857" s="64">
        <f>133.845</f>
        <v>133.845</v>
      </c>
      <c r="F857" s="56">
        <f>278.484-40-25-60-100</f>
        <v>53.48399999999998</v>
      </c>
      <c r="G857" s="59">
        <v>40</v>
      </c>
      <c r="H857" s="56">
        <f t="shared" si="145"/>
        <v>185</v>
      </c>
      <c r="I857" s="56">
        <f t="shared" si="136"/>
        <v>0</v>
      </c>
      <c r="J857" s="59">
        <v>100</v>
      </c>
      <c r="K857" s="59">
        <v>300</v>
      </c>
      <c r="L857" s="56">
        <f t="shared" si="141"/>
        <v>1274</v>
      </c>
      <c r="M857" s="66">
        <v>600</v>
      </c>
      <c r="N857" s="56">
        <f>30</f>
        <v>30</v>
      </c>
      <c r="O857" s="59">
        <v>240</v>
      </c>
      <c r="P857" s="59">
        <v>40</v>
      </c>
      <c r="Q857" s="59">
        <f t="shared" si="142"/>
        <v>315</v>
      </c>
      <c r="R857" s="59">
        <f t="shared" si="143"/>
        <v>100</v>
      </c>
      <c r="S857" s="56">
        <f t="shared" si="144"/>
        <v>695</v>
      </c>
      <c r="T857" s="56">
        <f>50</f>
        <v>50</v>
      </c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</row>
    <row r="858" spans="1:30" ht="15.75" x14ac:dyDescent="0.25">
      <c r="A858" s="13">
        <v>67419</v>
      </c>
      <c r="B858" s="67">
        <f t="shared" si="140"/>
        <v>31</v>
      </c>
      <c r="C858" s="56">
        <f>194.205</f>
        <v>194.20500000000001</v>
      </c>
      <c r="D858" s="56">
        <f>267.466</f>
        <v>267.46600000000001</v>
      </c>
      <c r="E858" s="64">
        <f>133.845</f>
        <v>133.845</v>
      </c>
      <c r="F858" s="56">
        <f>278.484-40-25-60-100</f>
        <v>53.48399999999998</v>
      </c>
      <c r="G858" s="59">
        <v>40</v>
      </c>
      <c r="H858" s="56">
        <f t="shared" si="145"/>
        <v>185</v>
      </c>
      <c r="I858" s="56">
        <f t="shared" si="136"/>
        <v>0</v>
      </c>
      <c r="J858" s="59">
        <v>100</v>
      </c>
      <c r="K858" s="59">
        <v>300</v>
      </c>
      <c r="L858" s="56">
        <f t="shared" si="141"/>
        <v>1274</v>
      </c>
      <c r="M858" s="66">
        <v>600</v>
      </c>
      <c r="N858" s="56">
        <f>30</f>
        <v>30</v>
      </c>
      <c r="O858" s="59">
        <v>240</v>
      </c>
      <c r="P858" s="59">
        <v>40</v>
      </c>
      <c r="Q858" s="59">
        <f t="shared" si="142"/>
        <v>315</v>
      </c>
      <c r="R858" s="59">
        <f t="shared" si="143"/>
        <v>100</v>
      </c>
      <c r="S858" s="56">
        <f t="shared" si="144"/>
        <v>695</v>
      </c>
      <c r="T858" s="56">
        <f>0</f>
        <v>0</v>
      </c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</row>
    <row r="859" spans="1:30" ht="15.75" x14ac:dyDescent="0.25">
      <c r="A859" s="13">
        <v>67450</v>
      </c>
      <c r="B859" s="67">
        <f t="shared" si="140"/>
        <v>31</v>
      </c>
      <c r="C859" s="56">
        <f>194.205</f>
        <v>194.20500000000001</v>
      </c>
      <c r="D859" s="56">
        <f>267.466</f>
        <v>267.46600000000001</v>
      </c>
      <c r="E859" s="64">
        <f>133.845</f>
        <v>133.845</v>
      </c>
      <c r="F859" s="56">
        <f>278.484-40-25-60-100</f>
        <v>53.48399999999998</v>
      </c>
      <c r="G859" s="59">
        <v>40</v>
      </c>
      <c r="H859" s="56">
        <f t="shared" si="145"/>
        <v>185</v>
      </c>
      <c r="I859" s="56">
        <f t="shared" si="136"/>
        <v>0</v>
      </c>
      <c r="J859" s="59">
        <v>100</v>
      </c>
      <c r="K859" s="59">
        <v>300</v>
      </c>
      <c r="L859" s="56">
        <f t="shared" si="141"/>
        <v>1274</v>
      </c>
      <c r="M859" s="66">
        <v>600</v>
      </c>
      <c r="N859" s="56">
        <f>30</f>
        <v>30</v>
      </c>
      <c r="O859" s="59">
        <v>240</v>
      </c>
      <c r="P859" s="59">
        <v>40</v>
      </c>
      <c r="Q859" s="59">
        <f t="shared" si="142"/>
        <v>315</v>
      </c>
      <c r="R859" s="59">
        <f t="shared" si="143"/>
        <v>100</v>
      </c>
      <c r="S859" s="56">
        <f t="shared" si="144"/>
        <v>695</v>
      </c>
      <c r="T859" s="56">
        <f>0</f>
        <v>0</v>
      </c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</row>
    <row r="860" spans="1:30" ht="15.75" x14ac:dyDescent="0.25">
      <c r="A860" s="13">
        <v>67480</v>
      </c>
      <c r="B860" s="67">
        <f t="shared" si="140"/>
        <v>30</v>
      </c>
      <c r="C860" s="56">
        <f>194.205</f>
        <v>194.20500000000001</v>
      </c>
      <c r="D860" s="56">
        <f>267.466</f>
        <v>267.46600000000001</v>
      </c>
      <c r="E860" s="64">
        <f>133.845</f>
        <v>133.845</v>
      </c>
      <c r="F860" s="56">
        <f>278.484-40-25-60-100</f>
        <v>53.48399999999998</v>
      </c>
      <c r="G860" s="59">
        <v>40</v>
      </c>
      <c r="H860" s="56">
        <f t="shared" si="145"/>
        <v>185</v>
      </c>
      <c r="I860" s="56">
        <f t="shared" si="136"/>
        <v>0</v>
      </c>
      <c r="J860" s="59">
        <v>100</v>
      </c>
      <c r="K860" s="59">
        <v>300</v>
      </c>
      <c r="L860" s="56">
        <f t="shared" si="141"/>
        <v>1274</v>
      </c>
      <c r="M860" s="66">
        <v>600</v>
      </c>
      <c r="N860" s="56">
        <f>30</f>
        <v>30</v>
      </c>
      <c r="O860" s="59">
        <v>240</v>
      </c>
      <c r="P860" s="59">
        <v>40</v>
      </c>
      <c r="Q860" s="59">
        <f t="shared" si="142"/>
        <v>315</v>
      </c>
      <c r="R860" s="59">
        <f t="shared" si="143"/>
        <v>100</v>
      </c>
      <c r="S860" s="56">
        <f t="shared" si="144"/>
        <v>695</v>
      </c>
      <c r="T860" s="56">
        <f>0</f>
        <v>0</v>
      </c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</row>
    <row r="861" spans="1:30" ht="15.75" x14ac:dyDescent="0.25">
      <c r="A861" s="13">
        <v>67511</v>
      </c>
      <c r="B861" s="67">
        <f t="shared" si="140"/>
        <v>31</v>
      </c>
      <c r="C861" s="56">
        <f>131.881</f>
        <v>131.881</v>
      </c>
      <c r="D861" s="56">
        <f>277.167</f>
        <v>277.16699999999997</v>
      </c>
      <c r="E861" s="64">
        <f>79.08</f>
        <v>79.08</v>
      </c>
      <c r="F861" s="56">
        <f>350.872-40-25-60-100</f>
        <v>125.87200000000001</v>
      </c>
      <c r="G861" s="59">
        <v>40</v>
      </c>
      <c r="H861" s="56">
        <f t="shared" si="145"/>
        <v>185</v>
      </c>
      <c r="I861" s="56">
        <f t="shared" si="136"/>
        <v>0</v>
      </c>
      <c r="J861" s="59">
        <v>100</v>
      </c>
      <c r="K861" s="59">
        <v>300</v>
      </c>
      <c r="L861" s="56">
        <f t="shared" si="141"/>
        <v>1239</v>
      </c>
      <c r="M861" s="66">
        <v>600</v>
      </c>
      <c r="N861" s="56">
        <f>75</f>
        <v>75</v>
      </c>
      <c r="O861" s="59">
        <v>240</v>
      </c>
      <c r="P861" s="59">
        <v>40</v>
      </c>
      <c r="Q861" s="59">
        <f t="shared" si="142"/>
        <v>315</v>
      </c>
      <c r="R861" s="59">
        <f t="shared" si="143"/>
        <v>100</v>
      </c>
      <c r="S861" s="56">
        <f t="shared" si="144"/>
        <v>695</v>
      </c>
      <c r="T861" s="56">
        <f>0</f>
        <v>0</v>
      </c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</row>
    <row r="862" spans="1:30" ht="15.75" x14ac:dyDescent="0.25">
      <c r="A862" s="13">
        <v>67541</v>
      </c>
      <c r="B862" s="67">
        <f t="shared" si="140"/>
        <v>30</v>
      </c>
      <c r="C862" s="56">
        <f>122.58</f>
        <v>122.58</v>
      </c>
      <c r="D862" s="56">
        <f>297.941</f>
        <v>297.94099999999997</v>
      </c>
      <c r="E862" s="64">
        <f>89.177</f>
        <v>89.177000000000007</v>
      </c>
      <c r="F862" s="56">
        <f>240.302-40-60-100</f>
        <v>40.301999999999992</v>
      </c>
      <c r="G862" s="59">
        <v>40</v>
      </c>
      <c r="H862" s="56">
        <f>60+100</f>
        <v>160</v>
      </c>
      <c r="I862" s="56">
        <f t="shared" si="136"/>
        <v>0</v>
      </c>
      <c r="J862" s="59">
        <v>100</v>
      </c>
      <c r="K862" s="59">
        <v>300</v>
      </c>
      <c r="L862" s="56">
        <f t="shared" si="141"/>
        <v>1150</v>
      </c>
      <c r="M862" s="66">
        <v>600</v>
      </c>
      <c r="N862" s="56">
        <f>100</f>
        <v>100</v>
      </c>
      <c r="O862" s="59">
        <v>240</v>
      </c>
      <c r="P862" s="59">
        <v>40</v>
      </c>
      <c r="Q862" s="59">
        <f t="shared" si="142"/>
        <v>315</v>
      </c>
      <c r="R862" s="59">
        <f t="shared" si="143"/>
        <v>100</v>
      </c>
      <c r="S862" s="56">
        <f t="shared" si="144"/>
        <v>695</v>
      </c>
      <c r="T862" s="56">
        <f>50</f>
        <v>50</v>
      </c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</row>
    <row r="863" spans="1:30" ht="15.75" x14ac:dyDescent="0.25">
      <c r="A863" s="13">
        <v>67572</v>
      </c>
      <c r="B863" s="67">
        <f t="shared" si="140"/>
        <v>31</v>
      </c>
      <c r="C863" s="56">
        <f>122.58</f>
        <v>122.58</v>
      </c>
      <c r="D863" s="56">
        <f>297.941</f>
        <v>297.94099999999997</v>
      </c>
      <c r="E863" s="64">
        <f>89.177</f>
        <v>89.177000000000007</v>
      </c>
      <c r="F863" s="56">
        <f>240.302-40-60-100</f>
        <v>40.301999999999992</v>
      </c>
      <c r="G863" s="59">
        <v>40</v>
      </c>
      <c r="H863" s="56">
        <f>60+100</f>
        <v>160</v>
      </c>
      <c r="I863" s="56">
        <f t="shared" si="136"/>
        <v>0</v>
      </c>
      <c r="J863" s="59">
        <v>100</v>
      </c>
      <c r="K863" s="59">
        <v>300</v>
      </c>
      <c r="L863" s="56">
        <f t="shared" si="141"/>
        <v>1150</v>
      </c>
      <c r="M863" s="66">
        <v>600</v>
      </c>
      <c r="N863" s="56">
        <f>100</f>
        <v>100</v>
      </c>
      <c r="O863" s="59">
        <v>240</v>
      </c>
      <c r="P863" s="59">
        <v>40</v>
      </c>
      <c r="Q863" s="59">
        <f t="shared" si="142"/>
        <v>315</v>
      </c>
      <c r="R863" s="59">
        <f t="shared" si="143"/>
        <v>100</v>
      </c>
      <c r="S863" s="56">
        <f t="shared" si="144"/>
        <v>695</v>
      </c>
      <c r="T863" s="56">
        <f>50</f>
        <v>50</v>
      </c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</row>
    <row r="864" spans="1:30" ht="15.75" x14ac:dyDescent="0.25">
      <c r="A864" s="13">
        <v>67603</v>
      </c>
      <c r="B864" s="67">
        <f t="shared" si="140"/>
        <v>31</v>
      </c>
      <c r="C864" s="56">
        <f>122.58</f>
        <v>122.58</v>
      </c>
      <c r="D864" s="56">
        <f>297.941</f>
        <v>297.94099999999997</v>
      </c>
      <c r="E864" s="64">
        <f>89.177</f>
        <v>89.177000000000007</v>
      </c>
      <c r="F864" s="56">
        <f>240.302-40-60-100</f>
        <v>40.301999999999992</v>
      </c>
      <c r="G864" s="59">
        <v>40</v>
      </c>
      <c r="H864" s="56">
        <f>60+100</f>
        <v>160</v>
      </c>
      <c r="I864" s="56">
        <f t="shared" si="136"/>
        <v>0</v>
      </c>
      <c r="J864" s="59">
        <v>100</v>
      </c>
      <c r="K864" s="59">
        <v>300</v>
      </c>
      <c r="L864" s="56">
        <f t="shared" si="141"/>
        <v>1150</v>
      </c>
      <c r="M864" s="66">
        <v>600</v>
      </c>
      <c r="N864" s="56">
        <f>100</f>
        <v>100</v>
      </c>
      <c r="O864" s="59">
        <v>240</v>
      </c>
      <c r="P864" s="59">
        <v>40</v>
      </c>
      <c r="Q864" s="59">
        <f t="shared" si="142"/>
        <v>315</v>
      </c>
      <c r="R864" s="59">
        <f t="shared" si="143"/>
        <v>100</v>
      </c>
      <c r="S864" s="56">
        <f t="shared" si="144"/>
        <v>695</v>
      </c>
      <c r="T864" s="56">
        <f>50</f>
        <v>50</v>
      </c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</row>
    <row r="865" spans="1:30" ht="15.75" x14ac:dyDescent="0.25">
      <c r="A865" s="13">
        <v>67631</v>
      </c>
      <c r="B865" s="67">
        <f t="shared" si="140"/>
        <v>28</v>
      </c>
      <c r="C865" s="56">
        <f>122.58</f>
        <v>122.58</v>
      </c>
      <c r="D865" s="56">
        <f>297.941</f>
        <v>297.94099999999997</v>
      </c>
      <c r="E865" s="64">
        <f>89.177</f>
        <v>89.177000000000007</v>
      </c>
      <c r="F865" s="56">
        <f>240.302-40-60-100</f>
        <v>40.301999999999992</v>
      </c>
      <c r="G865" s="59">
        <v>40</v>
      </c>
      <c r="H865" s="56">
        <f>60+100</f>
        <v>160</v>
      </c>
      <c r="I865" s="56">
        <f t="shared" si="136"/>
        <v>0</v>
      </c>
      <c r="J865" s="59">
        <v>100</v>
      </c>
      <c r="K865" s="59">
        <v>300</v>
      </c>
      <c r="L865" s="56">
        <f t="shared" si="141"/>
        <v>1150</v>
      </c>
      <c r="M865" s="66">
        <v>600</v>
      </c>
      <c r="N865" s="56">
        <f>100</f>
        <v>100</v>
      </c>
      <c r="O865" s="59">
        <v>240</v>
      </c>
      <c r="P865" s="59">
        <v>40</v>
      </c>
      <c r="Q865" s="59">
        <f t="shared" si="142"/>
        <v>315</v>
      </c>
      <c r="R865" s="59">
        <f t="shared" si="143"/>
        <v>100</v>
      </c>
      <c r="S865" s="56">
        <f t="shared" si="144"/>
        <v>695</v>
      </c>
      <c r="T865" s="56">
        <f>50</f>
        <v>50</v>
      </c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</row>
    <row r="866" spans="1:30" ht="15.75" x14ac:dyDescent="0.25">
      <c r="A866" s="13">
        <v>67662</v>
      </c>
      <c r="B866" s="67">
        <f t="shared" si="140"/>
        <v>31</v>
      </c>
      <c r="C866" s="56">
        <f>122.58</f>
        <v>122.58</v>
      </c>
      <c r="D866" s="56">
        <f>297.941</f>
        <v>297.94099999999997</v>
      </c>
      <c r="E866" s="64">
        <f>89.177</f>
        <v>89.177000000000007</v>
      </c>
      <c r="F866" s="56">
        <f>240.302-40-60-100</f>
        <v>40.301999999999992</v>
      </c>
      <c r="G866" s="59">
        <v>40</v>
      </c>
      <c r="H866" s="56">
        <f>60+100</f>
        <v>160</v>
      </c>
      <c r="I866" s="56">
        <f t="shared" si="136"/>
        <v>0</v>
      </c>
      <c r="J866" s="59">
        <v>100</v>
      </c>
      <c r="K866" s="59">
        <v>300</v>
      </c>
      <c r="L866" s="56">
        <f t="shared" si="141"/>
        <v>1150</v>
      </c>
      <c r="M866" s="66">
        <v>600</v>
      </c>
      <c r="N866" s="56">
        <f>100</f>
        <v>100</v>
      </c>
      <c r="O866" s="59">
        <v>240</v>
      </c>
      <c r="P866" s="59">
        <v>40</v>
      </c>
      <c r="Q866" s="59">
        <f t="shared" si="142"/>
        <v>315</v>
      </c>
      <c r="R866" s="59">
        <f t="shared" si="143"/>
        <v>100</v>
      </c>
      <c r="S866" s="56">
        <f t="shared" si="144"/>
        <v>695</v>
      </c>
      <c r="T866" s="56">
        <f>50</f>
        <v>50</v>
      </c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</row>
    <row r="867" spans="1:30" ht="15.75" x14ac:dyDescent="0.25">
      <c r="A867" s="13">
        <v>67692</v>
      </c>
      <c r="B867" s="67">
        <f t="shared" si="140"/>
        <v>30</v>
      </c>
      <c r="C867" s="56">
        <f>141.293</f>
        <v>141.29300000000001</v>
      </c>
      <c r="D867" s="56">
        <f>267.993</f>
        <v>267.99299999999999</v>
      </c>
      <c r="E867" s="64">
        <f>115.016</f>
        <v>115.01600000000001</v>
      </c>
      <c r="F867" s="56">
        <f>314.698-40-25-60-100</f>
        <v>89.697999999999979</v>
      </c>
      <c r="G867" s="59">
        <v>40</v>
      </c>
      <c r="H867" s="56">
        <f t="shared" ref="H867:H873" si="146">25+60+100</f>
        <v>185</v>
      </c>
      <c r="I867" s="56">
        <f t="shared" si="136"/>
        <v>0</v>
      </c>
      <c r="J867" s="59">
        <v>100</v>
      </c>
      <c r="K867" s="59">
        <v>300</v>
      </c>
      <c r="L867" s="56">
        <f t="shared" si="141"/>
        <v>1239</v>
      </c>
      <c r="M867" s="66">
        <v>600</v>
      </c>
      <c r="N867" s="56">
        <f>100</f>
        <v>100</v>
      </c>
      <c r="O867" s="59">
        <v>240</v>
      </c>
      <c r="P867" s="59">
        <v>40</v>
      </c>
      <c r="Q867" s="59">
        <f t="shared" si="142"/>
        <v>315</v>
      </c>
      <c r="R867" s="59">
        <f t="shared" si="143"/>
        <v>100</v>
      </c>
      <c r="S867" s="56">
        <f t="shared" si="144"/>
        <v>695</v>
      </c>
      <c r="T867" s="56">
        <f>50</f>
        <v>50</v>
      </c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</row>
    <row r="868" spans="1:30" ht="15.75" x14ac:dyDescent="0.25">
      <c r="A868" s="13">
        <v>67723</v>
      </c>
      <c r="B868" s="67">
        <f t="shared" si="140"/>
        <v>31</v>
      </c>
      <c r="C868" s="56">
        <f>194.205</f>
        <v>194.20500000000001</v>
      </c>
      <c r="D868" s="56">
        <f>267.466</f>
        <v>267.46600000000001</v>
      </c>
      <c r="E868" s="64">
        <f>133.845</f>
        <v>133.845</v>
      </c>
      <c r="F868" s="56">
        <f>278.484-40-25-60-100</f>
        <v>53.48399999999998</v>
      </c>
      <c r="G868" s="59">
        <v>40</v>
      </c>
      <c r="H868" s="56">
        <f t="shared" si="146"/>
        <v>185</v>
      </c>
      <c r="I868" s="56">
        <f t="shared" si="136"/>
        <v>0</v>
      </c>
      <c r="J868" s="59">
        <v>100</v>
      </c>
      <c r="K868" s="59">
        <v>300</v>
      </c>
      <c r="L868" s="56">
        <f t="shared" si="141"/>
        <v>1274</v>
      </c>
      <c r="M868" s="66">
        <v>600</v>
      </c>
      <c r="N868" s="56">
        <f>75</f>
        <v>75</v>
      </c>
      <c r="O868" s="59">
        <v>240</v>
      </c>
      <c r="P868" s="59">
        <v>40</v>
      </c>
      <c r="Q868" s="59">
        <f t="shared" si="142"/>
        <v>315</v>
      </c>
      <c r="R868" s="59">
        <f t="shared" si="143"/>
        <v>100</v>
      </c>
      <c r="S868" s="56">
        <f t="shared" si="144"/>
        <v>695</v>
      </c>
      <c r="T868" s="56">
        <f>50</f>
        <v>50</v>
      </c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</row>
    <row r="869" spans="1:30" ht="15.75" x14ac:dyDescent="0.25">
      <c r="A869" s="13">
        <v>67753</v>
      </c>
      <c r="B869" s="67">
        <f t="shared" si="140"/>
        <v>30</v>
      </c>
      <c r="C869" s="56">
        <f>194.205</f>
        <v>194.20500000000001</v>
      </c>
      <c r="D869" s="56">
        <f>267.466</f>
        <v>267.46600000000001</v>
      </c>
      <c r="E869" s="64">
        <f>133.845</f>
        <v>133.845</v>
      </c>
      <c r="F869" s="56">
        <f>278.484-40-25-60-100</f>
        <v>53.48399999999998</v>
      </c>
      <c r="G869" s="59">
        <v>40</v>
      </c>
      <c r="H869" s="56">
        <f t="shared" si="146"/>
        <v>185</v>
      </c>
      <c r="I869" s="56">
        <f t="shared" si="136"/>
        <v>0</v>
      </c>
      <c r="J869" s="59">
        <v>100</v>
      </c>
      <c r="K869" s="59">
        <v>300</v>
      </c>
      <c r="L869" s="56">
        <f t="shared" si="141"/>
        <v>1274</v>
      </c>
      <c r="M869" s="66">
        <v>600</v>
      </c>
      <c r="N869" s="56">
        <f>30</f>
        <v>30</v>
      </c>
      <c r="O869" s="59">
        <v>240</v>
      </c>
      <c r="P869" s="59">
        <v>40</v>
      </c>
      <c r="Q869" s="59">
        <f t="shared" si="142"/>
        <v>315</v>
      </c>
      <c r="R869" s="59">
        <f t="shared" si="143"/>
        <v>100</v>
      </c>
      <c r="S869" s="56">
        <f t="shared" si="144"/>
        <v>695</v>
      </c>
      <c r="T869" s="56">
        <f>50</f>
        <v>50</v>
      </c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</row>
    <row r="870" spans="1:30" ht="15.75" x14ac:dyDescent="0.25">
      <c r="A870" s="13">
        <v>67784</v>
      </c>
      <c r="B870" s="67">
        <f t="shared" si="140"/>
        <v>31</v>
      </c>
      <c r="C870" s="56">
        <f>194.205</f>
        <v>194.20500000000001</v>
      </c>
      <c r="D870" s="56">
        <f>267.466</f>
        <v>267.46600000000001</v>
      </c>
      <c r="E870" s="64">
        <f>133.845</f>
        <v>133.845</v>
      </c>
      <c r="F870" s="56">
        <f>278.484-40-25-60-100</f>
        <v>53.48399999999998</v>
      </c>
      <c r="G870" s="59">
        <v>40</v>
      </c>
      <c r="H870" s="56">
        <f t="shared" si="146"/>
        <v>185</v>
      </c>
      <c r="I870" s="56">
        <f t="shared" si="136"/>
        <v>0</v>
      </c>
      <c r="J870" s="59">
        <v>100</v>
      </c>
      <c r="K870" s="59">
        <v>300</v>
      </c>
      <c r="L870" s="56">
        <f t="shared" si="141"/>
        <v>1274</v>
      </c>
      <c r="M870" s="66">
        <v>600</v>
      </c>
      <c r="N870" s="56">
        <f>30</f>
        <v>30</v>
      </c>
      <c r="O870" s="59">
        <v>240</v>
      </c>
      <c r="P870" s="59">
        <v>40</v>
      </c>
      <c r="Q870" s="59">
        <f t="shared" si="142"/>
        <v>315</v>
      </c>
      <c r="R870" s="59">
        <f t="shared" si="143"/>
        <v>100</v>
      </c>
      <c r="S870" s="56">
        <f t="shared" si="144"/>
        <v>695</v>
      </c>
      <c r="T870" s="56">
        <f>0</f>
        <v>0</v>
      </c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</row>
    <row r="871" spans="1:30" ht="15.75" x14ac:dyDescent="0.25">
      <c r="A871" s="13">
        <v>67815</v>
      </c>
      <c r="B871" s="67">
        <f t="shared" si="140"/>
        <v>31</v>
      </c>
      <c r="C871" s="56">
        <f>194.205</f>
        <v>194.20500000000001</v>
      </c>
      <c r="D871" s="56">
        <f>267.466</f>
        <v>267.46600000000001</v>
      </c>
      <c r="E871" s="64">
        <f>133.845</f>
        <v>133.845</v>
      </c>
      <c r="F871" s="56">
        <f>278.484-40-25-60-100</f>
        <v>53.48399999999998</v>
      </c>
      <c r="G871" s="59">
        <v>40</v>
      </c>
      <c r="H871" s="56">
        <f t="shared" si="146"/>
        <v>185</v>
      </c>
      <c r="I871" s="56">
        <f t="shared" si="136"/>
        <v>0</v>
      </c>
      <c r="J871" s="59">
        <v>100</v>
      </c>
      <c r="K871" s="59">
        <v>300</v>
      </c>
      <c r="L871" s="56">
        <f t="shared" si="141"/>
        <v>1274</v>
      </c>
      <c r="M871" s="66">
        <v>600</v>
      </c>
      <c r="N871" s="56">
        <f>30</f>
        <v>30</v>
      </c>
      <c r="O871" s="59">
        <v>240</v>
      </c>
      <c r="P871" s="59">
        <v>40</v>
      </c>
      <c r="Q871" s="59">
        <f t="shared" si="142"/>
        <v>315</v>
      </c>
      <c r="R871" s="59">
        <f t="shared" si="143"/>
        <v>100</v>
      </c>
      <c r="S871" s="56">
        <f t="shared" si="144"/>
        <v>695</v>
      </c>
      <c r="T871" s="56">
        <f>0</f>
        <v>0</v>
      </c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</row>
    <row r="872" spans="1:30" ht="15.75" x14ac:dyDescent="0.25">
      <c r="A872" s="13">
        <v>67845</v>
      </c>
      <c r="B872" s="67">
        <f t="shared" si="140"/>
        <v>30</v>
      </c>
      <c r="C872" s="56">
        <f>194.205</f>
        <v>194.20500000000001</v>
      </c>
      <c r="D872" s="56">
        <f>267.466</f>
        <v>267.46600000000001</v>
      </c>
      <c r="E872" s="64">
        <f>133.845</f>
        <v>133.845</v>
      </c>
      <c r="F872" s="56">
        <f>278.484-40-25-60-100</f>
        <v>53.48399999999998</v>
      </c>
      <c r="G872" s="59">
        <v>40</v>
      </c>
      <c r="H872" s="56">
        <f t="shared" si="146"/>
        <v>185</v>
      </c>
      <c r="I872" s="56">
        <f t="shared" ref="I872:I935" si="147">400-J872-K872</f>
        <v>0</v>
      </c>
      <c r="J872" s="59">
        <v>100</v>
      </c>
      <c r="K872" s="59">
        <v>300</v>
      </c>
      <c r="L872" s="56">
        <f t="shared" si="141"/>
        <v>1274</v>
      </c>
      <c r="M872" s="66">
        <v>600</v>
      </c>
      <c r="N872" s="56">
        <f>30</f>
        <v>30</v>
      </c>
      <c r="O872" s="59">
        <v>240</v>
      </c>
      <c r="P872" s="59">
        <v>40</v>
      </c>
      <c r="Q872" s="59">
        <f t="shared" si="142"/>
        <v>315</v>
      </c>
      <c r="R872" s="59">
        <f t="shared" si="143"/>
        <v>100</v>
      </c>
      <c r="S872" s="56">
        <f t="shared" si="144"/>
        <v>695</v>
      </c>
      <c r="T872" s="56">
        <f>0</f>
        <v>0</v>
      </c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</row>
    <row r="873" spans="1:30" ht="15.75" x14ac:dyDescent="0.25">
      <c r="A873" s="13">
        <v>67876</v>
      </c>
      <c r="B873" s="67">
        <f t="shared" si="140"/>
        <v>31</v>
      </c>
      <c r="C873" s="56">
        <f>131.881</f>
        <v>131.881</v>
      </c>
      <c r="D873" s="56">
        <f>277.167</f>
        <v>277.16699999999997</v>
      </c>
      <c r="E873" s="64">
        <f>79.08</f>
        <v>79.08</v>
      </c>
      <c r="F873" s="56">
        <f>350.872-40-25-60-100</f>
        <v>125.87200000000001</v>
      </c>
      <c r="G873" s="59">
        <v>40</v>
      </c>
      <c r="H873" s="56">
        <f t="shared" si="146"/>
        <v>185</v>
      </c>
      <c r="I873" s="56">
        <f t="shared" si="147"/>
        <v>0</v>
      </c>
      <c r="J873" s="59">
        <v>100</v>
      </c>
      <c r="K873" s="59">
        <v>300</v>
      </c>
      <c r="L873" s="56">
        <f t="shared" si="141"/>
        <v>1239</v>
      </c>
      <c r="M873" s="66">
        <v>600</v>
      </c>
      <c r="N873" s="56">
        <f>75</f>
        <v>75</v>
      </c>
      <c r="O873" s="59">
        <v>240</v>
      </c>
      <c r="P873" s="59">
        <v>40</v>
      </c>
      <c r="Q873" s="59">
        <f t="shared" si="142"/>
        <v>315</v>
      </c>
      <c r="R873" s="59">
        <f t="shared" si="143"/>
        <v>100</v>
      </c>
      <c r="S873" s="56">
        <f t="shared" si="144"/>
        <v>695</v>
      </c>
      <c r="T873" s="56">
        <f>0</f>
        <v>0</v>
      </c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</row>
    <row r="874" spans="1:30" ht="15.75" x14ac:dyDescent="0.25">
      <c r="A874" s="13">
        <v>67906</v>
      </c>
      <c r="B874" s="67">
        <f t="shared" si="140"/>
        <v>30</v>
      </c>
      <c r="C874" s="56">
        <f>122.58</f>
        <v>122.58</v>
      </c>
      <c r="D874" s="56">
        <f>297.941</f>
        <v>297.94099999999997</v>
      </c>
      <c r="E874" s="64">
        <f>89.177</f>
        <v>89.177000000000007</v>
      </c>
      <c r="F874" s="56">
        <f>240.302-40-60-100</f>
        <v>40.301999999999992</v>
      </c>
      <c r="G874" s="59">
        <v>40</v>
      </c>
      <c r="H874" s="56">
        <f>60+100</f>
        <v>160</v>
      </c>
      <c r="I874" s="56">
        <f t="shared" si="147"/>
        <v>0</v>
      </c>
      <c r="J874" s="59">
        <v>100</v>
      </c>
      <c r="K874" s="59">
        <v>300</v>
      </c>
      <c r="L874" s="56">
        <f t="shared" si="141"/>
        <v>1150</v>
      </c>
      <c r="M874" s="66">
        <v>600</v>
      </c>
      <c r="N874" s="56">
        <f>100</f>
        <v>100</v>
      </c>
      <c r="O874" s="59">
        <v>240</v>
      </c>
      <c r="P874" s="59">
        <v>40</v>
      </c>
      <c r="Q874" s="59">
        <f t="shared" si="142"/>
        <v>315</v>
      </c>
      <c r="R874" s="59">
        <f t="shared" si="143"/>
        <v>100</v>
      </c>
      <c r="S874" s="56">
        <f t="shared" si="144"/>
        <v>695</v>
      </c>
      <c r="T874" s="56">
        <f>50</f>
        <v>50</v>
      </c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</row>
    <row r="875" spans="1:30" ht="15.75" x14ac:dyDescent="0.25">
      <c r="A875" s="13">
        <v>67937</v>
      </c>
      <c r="B875" s="67">
        <f t="shared" si="140"/>
        <v>31</v>
      </c>
      <c r="C875" s="56">
        <f>122.58</f>
        <v>122.58</v>
      </c>
      <c r="D875" s="56">
        <f>297.941</f>
        <v>297.94099999999997</v>
      </c>
      <c r="E875" s="64">
        <f>89.177</f>
        <v>89.177000000000007</v>
      </c>
      <c r="F875" s="56">
        <f>240.302-40-60-100</f>
        <v>40.301999999999992</v>
      </c>
      <c r="G875" s="59">
        <v>40</v>
      </c>
      <c r="H875" s="56">
        <f>60+100</f>
        <v>160</v>
      </c>
      <c r="I875" s="56">
        <f t="shared" si="147"/>
        <v>0</v>
      </c>
      <c r="J875" s="59">
        <v>100</v>
      </c>
      <c r="K875" s="59">
        <v>300</v>
      </c>
      <c r="L875" s="56">
        <f t="shared" si="141"/>
        <v>1150</v>
      </c>
      <c r="M875" s="66">
        <v>600</v>
      </c>
      <c r="N875" s="56">
        <f>100</f>
        <v>100</v>
      </c>
      <c r="O875" s="59">
        <v>240</v>
      </c>
      <c r="P875" s="59">
        <v>40</v>
      </c>
      <c r="Q875" s="59">
        <f t="shared" si="142"/>
        <v>315</v>
      </c>
      <c r="R875" s="59">
        <f t="shared" si="143"/>
        <v>100</v>
      </c>
      <c r="S875" s="56">
        <f t="shared" si="144"/>
        <v>695</v>
      </c>
      <c r="T875" s="56">
        <f>50</f>
        <v>50</v>
      </c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</row>
    <row r="876" spans="1:30" ht="15.75" x14ac:dyDescent="0.25">
      <c r="A876" s="13">
        <v>67968</v>
      </c>
      <c r="B876" s="67">
        <f t="shared" si="140"/>
        <v>31</v>
      </c>
      <c r="C876" s="56">
        <f>122.58</f>
        <v>122.58</v>
      </c>
      <c r="D876" s="56">
        <f>297.941</f>
        <v>297.94099999999997</v>
      </c>
      <c r="E876" s="64">
        <f>89.177</f>
        <v>89.177000000000007</v>
      </c>
      <c r="F876" s="56">
        <f>240.302-40-60-100</f>
        <v>40.301999999999992</v>
      </c>
      <c r="G876" s="59">
        <v>40</v>
      </c>
      <c r="H876" s="56">
        <f>60+100</f>
        <v>160</v>
      </c>
      <c r="I876" s="56">
        <f t="shared" si="147"/>
        <v>0</v>
      </c>
      <c r="J876" s="59">
        <v>100</v>
      </c>
      <c r="K876" s="59">
        <v>300</v>
      </c>
      <c r="L876" s="56">
        <f t="shared" si="141"/>
        <v>1150</v>
      </c>
      <c r="M876" s="66">
        <v>600</v>
      </c>
      <c r="N876" s="56">
        <f>100</f>
        <v>100</v>
      </c>
      <c r="O876" s="59">
        <v>240</v>
      </c>
      <c r="P876" s="59">
        <v>40</v>
      </c>
      <c r="Q876" s="59">
        <f t="shared" si="142"/>
        <v>315</v>
      </c>
      <c r="R876" s="59">
        <f t="shared" si="143"/>
        <v>100</v>
      </c>
      <c r="S876" s="56">
        <f t="shared" si="144"/>
        <v>695</v>
      </c>
      <c r="T876" s="56">
        <f>50</f>
        <v>50</v>
      </c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</row>
    <row r="877" spans="1:30" ht="15.75" x14ac:dyDescent="0.25">
      <c r="A877" s="13">
        <v>67996</v>
      </c>
      <c r="B877" s="67">
        <f t="shared" si="140"/>
        <v>28</v>
      </c>
      <c r="C877" s="56">
        <f>122.58</f>
        <v>122.58</v>
      </c>
      <c r="D877" s="56">
        <f>297.941</f>
        <v>297.94099999999997</v>
      </c>
      <c r="E877" s="64">
        <f>89.177</f>
        <v>89.177000000000007</v>
      </c>
      <c r="F877" s="56">
        <f>240.302-40-60-100</f>
        <v>40.301999999999992</v>
      </c>
      <c r="G877" s="59">
        <v>40</v>
      </c>
      <c r="H877" s="56">
        <f>60+100</f>
        <v>160</v>
      </c>
      <c r="I877" s="56">
        <f t="shared" si="147"/>
        <v>0</v>
      </c>
      <c r="J877" s="59">
        <v>100</v>
      </c>
      <c r="K877" s="59">
        <v>300</v>
      </c>
      <c r="L877" s="56">
        <f t="shared" si="141"/>
        <v>1150</v>
      </c>
      <c r="M877" s="66">
        <v>600</v>
      </c>
      <c r="N877" s="56">
        <f>100</f>
        <v>100</v>
      </c>
      <c r="O877" s="59">
        <v>240</v>
      </c>
      <c r="P877" s="59">
        <v>40</v>
      </c>
      <c r="Q877" s="59">
        <f t="shared" si="142"/>
        <v>315</v>
      </c>
      <c r="R877" s="59">
        <f t="shared" si="143"/>
        <v>100</v>
      </c>
      <c r="S877" s="56">
        <f t="shared" si="144"/>
        <v>695</v>
      </c>
      <c r="T877" s="56">
        <f>50</f>
        <v>50</v>
      </c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</row>
    <row r="878" spans="1:30" ht="15.75" x14ac:dyDescent="0.25">
      <c r="A878" s="13">
        <v>68027</v>
      </c>
      <c r="B878" s="67">
        <f t="shared" si="140"/>
        <v>31</v>
      </c>
      <c r="C878" s="56">
        <f>122.58</f>
        <v>122.58</v>
      </c>
      <c r="D878" s="56">
        <f>297.941</f>
        <v>297.94099999999997</v>
      </c>
      <c r="E878" s="64">
        <f>89.177</f>
        <v>89.177000000000007</v>
      </c>
      <c r="F878" s="56">
        <f>240.302-40-60-100</f>
        <v>40.301999999999992</v>
      </c>
      <c r="G878" s="59">
        <v>40</v>
      </c>
      <c r="H878" s="56">
        <f>60+100</f>
        <v>160</v>
      </c>
      <c r="I878" s="56">
        <f t="shared" si="147"/>
        <v>0</v>
      </c>
      <c r="J878" s="59">
        <v>100</v>
      </c>
      <c r="K878" s="59">
        <v>300</v>
      </c>
      <c r="L878" s="56">
        <f t="shared" si="141"/>
        <v>1150</v>
      </c>
      <c r="M878" s="66">
        <v>600</v>
      </c>
      <c r="N878" s="56">
        <f>100</f>
        <v>100</v>
      </c>
      <c r="O878" s="59">
        <v>240</v>
      </c>
      <c r="P878" s="59">
        <v>40</v>
      </c>
      <c r="Q878" s="59">
        <f t="shared" si="142"/>
        <v>315</v>
      </c>
      <c r="R878" s="59">
        <f t="shared" si="143"/>
        <v>100</v>
      </c>
      <c r="S878" s="56">
        <f t="shared" si="144"/>
        <v>695</v>
      </c>
      <c r="T878" s="56">
        <f>50</f>
        <v>50</v>
      </c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</row>
    <row r="879" spans="1:30" ht="15.75" x14ac:dyDescent="0.25">
      <c r="A879" s="13">
        <v>68057</v>
      </c>
      <c r="B879" s="67">
        <f t="shared" si="140"/>
        <v>30</v>
      </c>
      <c r="C879" s="56">
        <f>141.293</f>
        <v>141.29300000000001</v>
      </c>
      <c r="D879" s="56">
        <f>267.993</f>
        <v>267.99299999999999</v>
      </c>
      <c r="E879" s="64">
        <f>115.016</f>
        <v>115.01600000000001</v>
      </c>
      <c r="F879" s="56">
        <f>314.698-40-25-60-100</f>
        <v>89.697999999999979</v>
      </c>
      <c r="G879" s="59">
        <v>40</v>
      </c>
      <c r="H879" s="56">
        <f t="shared" ref="H879:H885" si="148">25+60+100</f>
        <v>185</v>
      </c>
      <c r="I879" s="56">
        <f t="shared" si="147"/>
        <v>0</v>
      </c>
      <c r="J879" s="59">
        <v>100</v>
      </c>
      <c r="K879" s="59">
        <v>300</v>
      </c>
      <c r="L879" s="56">
        <f t="shared" si="141"/>
        <v>1239</v>
      </c>
      <c r="M879" s="66">
        <v>600</v>
      </c>
      <c r="N879" s="56">
        <f>100</f>
        <v>100</v>
      </c>
      <c r="O879" s="59">
        <v>240</v>
      </c>
      <c r="P879" s="59">
        <v>40</v>
      </c>
      <c r="Q879" s="59">
        <f t="shared" si="142"/>
        <v>315</v>
      </c>
      <c r="R879" s="59">
        <f t="shared" si="143"/>
        <v>100</v>
      </c>
      <c r="S879" s="56">
        <f t="shared" si="144"/>
        <v>695</v>
      </c>
      <c r="T879" s="56">
        <f>50</f>
        <v>50</v>
      </c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</row>
    <row r="880" spans="1:30" ht="15.75" x14ac:dyDescent="0.25">
      <c r="A880" s="13">
        <v>68088</v>
      </c>
      <c r="B880" s="67">
        <f t="shared" si="140"/>
        <v>31</v>
      </c>
      <c r="C880" s="56">
        <f>194.205</f>
        <v>194.20500000000001</v>
      </c>
      <c r="D880" s="56">
        <f>267.466</f>
        <v>267.46600000000001</v>
      </c>
      <c r="E880" s="64">
        <f>133.845</f>
        <v>133.845</v>
      </c>
      <c r="F880" s="56">
        <f>278.484-40-25-60-100</f>
        <v>53.48399999999998</v>
      </c>
      <c r="G880" s="59">
        <v>40</v>
      </c>
      <c r="H880" s="56">
        <f t="shared" si="148"/>
        <v>185</v>
      </c>
      <c r="I880" s="56">
        <f t="shared" si="147"/>
        <v>0</v>
      </c>
      <c r="J880" s="59">
        <v>100</v>
      </c>
      <c r="K880" s="59">
        <v>300</v>
      </c>
      <c r="L880" s="56">
        <f t="shared" si="141"/>
        <v>1274</v>
      </c>
      <c r="M880" s="66">
        <v>600</v>
      </c>
      <c r="N880" s="56">
        <f>75</f>
        <v>75</v>
      </c>
      <c r="O880" s="59">
        <v>240</v>
      </c>
      <c r="P880" s="59">
        <v>40</v>
      </c>
      <c r="Q880" s="59">
        <f t="shared" si="142"/>
        <v>315</v>
      </c>
      <c r="R880" s="59">
        <f t="shared" si="143"/>
        <v>100</v>
      </c>
      <c r="S880" s="56">
        <f t="shared" si="144"/>
        <v>695</v>
      </c>
      <c r="T880" s="56">
        <f>50</f>
        <v>50</v>
      </c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</row>
    <row r="881" spans="1:30" ht="15.75" x14ac:dyDescent="0.25">
      <c r="A881" s="13">
        <v>68118</v>
      </c>
      <c r="B881" s="67">
        <f t="shared" si="140"/>
        <v>30</v>
      </c>
      <c r="C881" s="56">
        <f>194.205</f>
        <v>194.20500000000001</v>
      </c>
      <c r="D881" s="56">
        <f>267.466</f>
        <v>267.46600000000001</v>
      </c>
      <c r="E881" s="64">
        <f>133.845</f>
        <v>133.845</v>
      </c>
      <c r="F881" s="56">
        <f>278.484-40-25-60-100</f>
        <v>53.48399999999998</v>
      </c>
      <c r="G881" s="59">
        <v>40</v>
      </c>
      <c r="H881" s="56">
        <f t="shared" si="148"/>
        <v>185</v>
      </c>
      <c r="I881" s="56">
        <f t="shared" si="147"/>
        <v>0</v>
      </c>
      <c r="J881" s="59">
        <v>100</v>
      </c>
      <c r="K881" s="59">
        <v>300</v>
      </c>
      <c r="L881" s="56">
        <f t="shared" si="141"/>
        <v>1274</v>
      </c>
      <c r="M881" s="66">
        <v>600</v>
      </c>
      <c r="N881" s="56">
        <f>30</f>
        <v>30</v>
      </c>
      <c r="O881" s="59">
        <v>240</v>
      </c>
      <c r="P881" s="59">
        <v>40</v>
      </c>
      <c r="Q881" s="59">
        <f t="shared" si="142"/>
        <v>315</v>
      </c>
      <c r="R881" s="59">
        <f t="shared" si="143"/>
        <v>100</v>
      </c>
      <c r="S881" s="56">
        <f t="shared" si="144"/>
        <v>695</v>
      </c>
      <c r="T881" s="56">
        <f>50</f>
        <v>50</v>
      </c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</row>
    <row r="882" spans="1:30" ht="15.75" x14ac:dyDescent="0.25">
      <c r="A882" s="13">
        <v>68149</v>
      </c>
      <c r="B882" s="67">
        <f t="shared" si="140"/>
        <v>31</v>
      </c>
      <c r="C882" s="56">
        <f>194.205</f>
        <v>194.20500000000001</v>
      </c>
      <c r="D882" s="56">
        <f>267.466</f>
        <v>267.46600000000001</v>
      </c>
      <c r="E882" s="64">
        <f>133.845</f>
        <v>133.845</v>
      </c>
      <c r="F882" s="56">
        <f>278.484-40-25-60-100</f>
        <v>53.48399999999998</v>
      </c>
      <c r="G882" s="59">
        <v>40</v>
      </c>
      <c r="H882" s="56">
        <f t="shared" si="148"/>
        <v>185</v>
      </c>
      <c r="I882" s="56">
        <f t="shared" si="147"/>
        <v>0</v>
      </c>
      <c r="J882" s="59">
        <v>100</v>
      </c>
      <c r="K882" s="59">
        <v>300</v>
      </c>
      <c r="L882" s="56">
        <f t="shared" si="141"/>
        <v>1274</v>
      </c>
      <c r="M882" s="66">
        <v>600</v>
      </c>
      <c r="N882" s="56">
        <f>30</f>
        <v>30</v>
      </c>
      <c r="O882" s="59">
        <v>240</v>
      </c>
      <c r="P882" s="59">
        <v>40</v>
      </c>
      <c r="Q882" s="59">
        <f t="shared" si="142"/>
        <v>315</v>
      </c>
      <c r="R882" s="59">
        <f t="shared" si="143"/>
        <v>100</v>
      </c>
      <c r="S882" s="56">
        <f t="shared" si="144"/>
        <v>695</v>
      </c>
      <c r="T882" s="56">
        <f>0</f>
        <v>0</v>
      </c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</row>
    <row r="883" spans="1:30" ht="15.75" x14ac:dyDescent="0.25">
      <c r="A883" s="13">
        <v>68180</v>
      </c>
      <c r="B883" s="67">
        <f t="shared" si="140"/>
        <v>31</v>
      </c>
      <c r="C883" s="56">
        <f>194.205</f>
        <v>194.20500000000001</v>
      </c>
      <c r="D883" s="56">
        <f>267.466</f>
        <v>267.46600000000001</v>
      </c>
      <c r="E883" s="64">
        <f>133.845</f>
        <v>133.845</v>
      </c>
      <c r="F883" s="56">
        <f>278.484-40-25-60-100</f>
        <v>53.48399999999998</v>
      </c>
      <c r="G883" s="59">
        <v>40</v>
      </c>
      <c r="H883" s="56">
        <f t="shared" si="148"/>
        <v>185</v>
      </c>
      <c r="I883" s="56">
        <f t="shared" si="147"/>
        <v>0</v>
      </c>
      <c r="J883" s="59">
        <v>100</v>
      </c>
      <c r="K883" s="59">
        <v>300</v>
      </c>
      <c r="L883" s="56">
        <f t="shared" si="141"/>
        <v>1274</v>
      </c>
      <c r="M883" s="66">
        <v>600</v>
      </c>
      <c r="N883" s="56">
        <f>30</f>
        <v>30</v>
      </c>
      <c r="O883" s="59">
        <v>240</v>
      </c>
      <c r="P883" s="59">
        <v>40</v>
      </c>
      <c r="Q883" s="59">
        <f t="shared" si="142"/>
        <v>315</v>
      </c>
      <c r="R883" s="59">
        <f t="shared" si="143"/>
        <v>100</v>
      </c>
      <c r="S883" s="56">
        <f t="shared" si="144"/>
        <v>695</v>
      </c>
      <c r="T883" s="56">
        <f>0</f>
        <v>0</v>
      </c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</row>
    <row r="884" spans="1:30" ht="15.75" x14ac:dyDescent="0.25">
      <c r="A884" s="13">
        <v>68210</v>
      </c>
      <c r="B884" s="67">
        <f t="shared" si="140"/>
        <v>30</v>
      </c>
      <c r="C884" s="56">
        <f>194.205</f>
        <v>194.20500000000001</v>
      </c>
      <c r="D884" s="56">
        <f>267.466</f>
        <v>267.46600000000001</v>
      </c>
      <c r="E884" s="64">
        <f>133.845</f>
        <v>133.845</v>
      </c>
      <c r="F884" s="56">
        <f>278.484-40-25-60-100</f>
        <v>53.48399999999998</v>
      </c>
      <c r="G884" s="59">
        <v>40</v>
      </c>
      <c r="H884" s="56">
        <f t="shared" si="148"/>
        <v>185</v>
      </c>
      <c r="I884" s="56">
        <f t="shared" si="147"/>
        <v>0</v>
      </c>
      <c r="J884" s="59">
        <v>100</v>
      </c>
      <c r="K884" s="59">
        <v>300</v>
      </c>
      <c r="L884" s="56">
        <f t="shared" si="141"/>
        <v>1274</v>
      </c>
      <c r="M884" s="66">
        <v>600</v>
      </c>
      <c r="N884" s="56">
        <f>30</f>
        <v>30</v>
      </c>
      <c r="O884" s="59">
        <v>240</v>
      </c>
      <c r="P884" s="59">
        <v>40</v>
      </c>
      <c r="Q884" s="59">
        <f t="shared" si="142"/>
        <v>315</v>
      </c>
      <c r="R884" s="59">
        <f t="shared" si="143"/>
        <v>100</v>
      </c>
      <c r="S884" s="56">
        <f t="shared" si="144"/>
        <v>695</v>
      </c>
      <c r="T884" s="56">
        <f>0</f>
        <v>0</v>
      </c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</row>
    <row r="885" spans="1:30" ht="15.75" x14ac:dyDescent="0.25">
      <c r="A885" s="13">
        <v>68241</v>
      </c>
      <c r="B885" s="67">
        <f t="shared" si="140"/>
        <v>31</v>
      </c>
      <c r="C885" s="56">
        <f>131.881</f>
        <v>131.881</v>
      </c>
      <c r="D885" s="56">
        <f>277.167</f>
        <v>277.16699999999997</v>
      </c>
      <c r="E885" s="64">
        <f>79.08</f>
        <v>79.08</v>
      </c>
      <c r="F885" s="56">
        <f>350.872-40-25-60-100</f>
        <v>125.87200000000001</v>
      </c>
      <c r="G885" s="59">
        <v>40</v>
      </c>
      <c r="H885" s="56">
        <f t="shared" si="148"/>
        <v>185</v>
      </c>
      <c r="I885" s="56">
        <f t="shared" si="147"/>
        <v>0</v>
      </c>
      <c r="J885" s="59">
        <v>100</v>
      </c>
      <c r="K885" s="59">
        <v>300</v>
      </c>
      <c r="L885" s="56">
        <f t="shared" si="141"/>
        <v>1239</v>
      </c>
      <c r="M885" s="66">
        <v>600</v>
      </c>
      <c r="N885" s="56">
        <f>75</f>
        <v>75</v>
      </c>
      <c r="O885" s="59">
        <v>240</v>
      </c>
      <c r="P885" s="59">
        <v>40</v>
      </c>
      <c r="Q885" s="59">
        <f t="shared" si="142"/>
        <v>315</v>
      </c>
      <c r="R885" s="59">
        <f t="shared" si="143"/>
        <v>100</v>
      </c>
      <c r="S885" s="56">
        <f t="shared" si="144"/>
        <v>695</v>
      </c>
      <c r="T885" s="56">
        <f>0</f>
        <v>0</v>
      </c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</row>
    <row r="886" spans="1:30" ht="15.75" x14ac:dyDescent="0.25">
      <c r="A886" s="13">
        <v>68271</v>
      </c>
      <c r="B886" s="67">
        <f t="shared" si="140"/>
        <v>30</v>
      </c>
      <c r="C886" s="56">
        <f>122.58</f>
        <v>122.58</v>
      </c>
      <c r="D886" s="56">
        <f>297.941</f>
        <v>297.94099999999997</v>
      </c>
      <c r="E886" s="64">
        <f>89.177</f>
        <v>89.177000000000007</v>
      </c>
      <c r="F886" s="56">
        <f>240.302-40-60-100</f>
        <v>40.301999999999992</v>
      </c>
      <c r="G886" s="59">
        <v>40</v>
      </c>
      <c r="H886" s="56">
        <f>60+100</f>
        <v>160</v>
      </c>
      <c r="I886" s="56">
        <f t="shared" si="147"/>
        <v>0</v>
      </c>
      <c r="J886" s="59">
        <v>100</v>
      </c>
      <c r="K886" s="59">
        <v>300</v>
      </c>
      <c r="L886" s="56">
        <f t="shared" si="141"/>
        <v>1150</v>
      </c>
      <c r="M886" s="66">
        <v>600</v>
      </c>
      <c r="N886" s="56">
        <f>100</f>
        <v>100</v>
      </c>
      <c r="O886" s="59">
        <v>240</v>
      </c>
      <c r="P886" s="59">
        <v>40</v>
      </c>
      <c r="Q886" s="59">
        <f t="shared" si="142"/>
        <v>315</v>
      </c>
      <c r="R886" s="59">
        <f t="shared" si="143"/>
        <v>100</v>
      </c>
      <c r="S886" s="56">
        <f t="shared" si="144"/>
        <v>695</v>
      </c>
      <c r="T886" s="56">
        <f>50</f>
        <v>50</v>
      </c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</row>
    <row r="887" spans="1:30" ht="15.75" x14ac:dyDescent="0.25">
      <c r="A887" s="13">
        <v>68302</v>
      </c>
      <c r="B887" s="67">
        <f t="shared" si="140"/>
        <v>31</v>
      </c>
      <c r="C887" s="56">
        <f>122.58</f>
        <v>122.58</v>
      </c>
      <c r="D887" s="56">
        <f>297.941</f>
        <v>297.94099999999997</v>
      </c>
      <c r="E887" s="64">
        <f>89.177</f>
        <v>89.177000000000007</v>
      </c>
      <c r="F887" s="56">
        <f>240.302-40-60-100</f>
        <v>40.301999999999992</v>
      </c>
      <c r="G887" s="59">
        <v>40</v>
      </c>
      <c r="H887" s="56">
        <f>60+100</f>
        <v>160</v>
      </c>
      <c r="I887" s="56">
        <f t="shared" si="147"/>
        <v>0</v>
      </c>
      <c r="J887" s="59">
        <v>100</v>
      </c>
      <c r="K887" s="59">
        <v>300</v>
      </c>
      <c r="L887" s="56">
        <f t="shared" si="141"/>
        <v>1150</v>
      </c>
      <c r="M887" s="66">
        <v>600</v>
      </c>
      <c r="N887" s="56">
        <f>100</f>
        <v>100</v>
      </c>
      <c r="O887" s="59">
        <v>240</v>
      </c>
      <c r="P887" s="59">
        <v>40</v>
      </c>
      <c r="Q887" s="59">
        <f t="shared" si="142"/>
        <v>315</v>
      </c>
      <c r="R887" s="59">
        <f t="shared" si="143"/>
        <v>100</v>
      </c>
      <c r="S887" s="56">
        <f t="shared" si="144"/>
        <v>695</v>
      </c>
      <c r="T887" s="56">
        <f>50</f>
        <v>50</v>
      </c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</row>
    <row r="888" spans="1:30" ht="15.75" x14ac:dyDescent="0.25">
      <c r="A888" s="13">
        <v>68333</v>
      </c>
      <c r="B888" s="67">
        <f t="shared" si="140"/>
        <v>31</v>
      </c>
      <c r="C888" s="56">
        <f>122.58</f>
        <v>122.58</v>
      </c>
      <c r="D888" s="56">
        <f>297.941</f>
        <v>297.94099999999997</v>
      </c>
      <c r="E888" s="64">
        <f>89.177</f>
        <v>89.177000000000007</v>
      </c>
      <c r="F888" s="56">
        <f>240.302-40-60-100</f>
        <v>40.301999999999992</v>
      </c>
      <c r="G888" s="59">
        <v>40</v>
      </c>
      <c r="H888" s="56">
        <f>60+100</f>
        <v>160</v>
      </c>
      <c r="I888" s="56">
        <f t="shared" si="147"/>
        <v>0</v>
      </c>
      <c r="J888" s="59">
        <v>100</v>
      </c>
      <c r="K888" s="59">
        <v>300</v>
      </c>
      <c r="L888" s="56">
        <f t="shared" si="141"/>
        <v>1150</v>
      </c>
      <c r="M888" s="66">
        <v>600</v>
      </c>
      <c r="N888" s="56">
        <f>100</f>
        <v>100</v>
      </c>
      <c r="O888" s="59">
        <v>240</v>
      </c>
      <c r="P888" s="59">
        <v>40</v>
      </c>
      <c r="Q888" s="59">
        <f t="shared" si="142"/>
        <v>315</v>
      </c>
      <c r="R888" s="59">
        <f t="shared" si="143"/>
        <v>100</v>
      </c>
      <c r="S888" s="56">
        <f t="shared" si="144"/>
        <v>695</v>
      </c>
      <c r="T888" s="56">
        <f>50</f>
        <v>50</v>
      </c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</row>
    <row r="889" spans="1:30" ht="15.75" x14ac:dyDescent="0.25">
      <c r="A889" s="13">
        <v>68361</v>
      </c>
      <c r="B889" s="67">
        <f t="shared" si="140"/>
        <v>28</v>
      </c>
      <c r="C889" s="56">
        <f>122.58</f>
        <v>122.58</v>
      </c>
      <c r="D889" s="56">
        <f>297.941</f>
        <v>297.94099999999997</v>
      </c>
      <c r="E889" s="64">
        <f>89.177</f>
        <v>89.177000000000007</v>
      </c>
      <c r="F889" s="56">
        <f>240.302-40-60-100</f>
        <v>40.301999999999992</v>
      </c>
      <c r="G889" s="59">
        <v>40</v>
      </c>
      <c r="H889" s="56">
        <f>60+100</f>
        <v>160</v>
      </c>
      <c r="I889" s="56">
        <f t="shared" si="147"/>
        <v>0</v>
      </c>
      <c r="J889" s="59">
        <v>100</v>
      </c>
      <c r="K889" s="59">
        <v>300</v>
      </c>
      <c r="L889" s="56">
        <f t="shared" si="141"/>
        <v>1150</v>
      </c>
      <c r="M889" s="66">
        <v>600</v>
      </c>
      <c r="N889" s="56">
        <f>100</f>
        <v>100</v>
      </c>
      <c r="O889" s="59">
        <v>240</v>
      </c>
      <c r="P889" s="59">
        <v>40</v>
      </c>
      <c r="Q889" s="59">
        <f t="shared" si="142"/>
        <v>315</v>
      </c>
      <c r="R889" s="59">
        <f t="shared" si="143"/>
        <v>100</v>
      </c>
      <c r="S889" s="56">
        <f t="shared" si="144"/>
        <v>695</v>
      </c>
      <c r="T889" s="56">
        <f>50</f>
        <v>50</v>
      </c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</row>
    <row r="890" spans="1:30" ht="15.75" x14ac:dyDescent="0.25">
      <c r="A890" s="13">
        <v>68392</v>
      </c>
      <c r="B890" s="67">
        <f t="shared" si="140"/>
        <v>31</v>
      </c>
      <c r="C890" s="56">
        <f>122.58</f>
        <v>122.58</v>
      </c>
      <c r="D890" s="56">
        <f>297.941</f>
        <v>297.94099999999997</v>
      </c>
      <c r="E890" s="64">
        <f>89.177</f>
        <v>89.177000000000007</v>
      </c>
      <c r="F890" s="56">
        <f>240.302-40-60-100</f>
        <v>40.301999999999992</v>
      </c>
      <c r="G890" s="59">
        <v>40</v>
      </c>
      <c r="H890" s="56">
        <f>60+100</f>
        <v>160</v>
      </c>
      <c r="I890" s="56">
        <f t="shared" si="147"/>
        <v>0</v>
      </c>
      <c r="J890" s="59">
        <v>100</v>
      </c>
      <c r="K890" s="59">
        <v>300</v>
      </c>
      <c r="L890" s="56">
        <f t="shared" si="141"/>
        <v>1150</v>
      </c>
      <c r="M890" s="66">
        <v>600</v>
      </c>
      <c r="N890" s="56">
        <f>100</f>
        <v>100</v>
      </c>
      <c r="O890" s="59">
        <v>240</v>
      </c>
      <c r="P890" s="59">
        <v>40</v>
      </c>
      <c r="Q890" s="59">
        <f t="shared" si="142"/>
        <v>315</v>
      </c>
      <c r="R890" s="59">
        <f t="shared" si="143"/>
        <v>100</v>
      </c>
      <c r="S890" s="56">
        <f t="shared" si="144"/>
        <v>695</v>
      </c>
      <c r="T890" s="56">
        <f>50</f>
        <v>50</v>
      </c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</row>
    <row r="891" spans="1:30" ht="15.75" x14ac:dyDescent="0.25">
      <c r="A891" s="13">
        <v>68422</v>
      </c>
      <c r="B891" s="67">
        <f t="shared" si="140"/>
        <v>30</v>
      </c>
      <c r="C891" s="56">
        <f>141.293</f>
        <v>141.29300000000001</v>
      </c>
      <c r="D891" s="56">
        <f>267.993</f>
        <v>267.99299999999999</v>
      </c>
      <c r="E891" s="64">
        <f>115.016</f>
        <v>115.01600000000001</v>
      </c>
      <c r="F891" s="56">
        <f>314.698-40-25-60-100</f>
        <v>89.697999999999979</v>
      </c>
      <c r="G891" s="59">
        <v>40</v>
      </c>
      <c r="H891" s="56">
        <f t="shared" ref="H891:H897" si="149">25+60+100</f>
        <v>185</v>
      </c>
      <c r="I891" s="56">
        <f t="shared" si="147"/>
        <v>0</v>
      </c>
      <c r="J891" s="59">
        <v>100</v>
      </c>
      <c r="K891" s="59">
        <v>300</v>
      </c>
      <c r="L891" s="56">
        <f t="shared" si="141"/>
        <v>1239</v>
      </c>
      <c r="M891" s="66">
        <v>600</v>
      </c>
      <c r="N891" s="56">
        <f>100</f>
        <v>100</v>
      </c>
      <c r="O891" s="59">
        <v>240</v>
      </c>
      <c r="P891" s="59">
        <v>40</v>
      </c>
      <c r="Q891" s="59">
        <f t="shared" si="142"/>
        <v>315</v>
      </c>
      <c r="R891" s="59">
        <f t="shared" si="143"/>
        <v>100</v>
      </c>
      <c r="S891" s="56">
        <f t="shared" si="144"/>
        <v>695</v>
      </c>
      <c r="T891" s="56">
        <f>50</f>
        <v>50</v>
      </c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</row>
    <row r="892" spans="1:30" ht="15.75" x14ac:dyDescent="0.25">
      <c r="A892" s="13">
        <v>68453</v>
      </c>
      <c r="B892" s="67">
        <f t="shared" si="140"/>
        <v>31</v>
      </c>
      <c r="C892" s="56">
        <f>194.205</f>
        <v>194.20500000000001</v>
      </c>
      <c r="D892" s="56">
        <f>267.466</f>
        <v>267.46600000000001</v>
      </c>
      <c r="E892" s="64">
        <f>133.845</f>
        <v>133.845</v>
      </c>
      <c r="F892" s="56">
        <f>278.484-40-25-60-100</f>
        <v>53.48399999999998</v>
      </c>
      <c r="G892" s="59">
        <v>40</v>
      </c>
      <c r="H892" s="56">
        <f t="shared" si="149"/>
        <v>185</v>
      </c>
      <c r="I892" s="56">
        <f t="shared" si="147"/>
        <v>0</v>
      </c>
      <c r="J892" s="59">
        <v>100</v>
      </c>
      <c r="K892" s="59">
        <v>300</v>
      </c>
      <c r="L892" s="56">
        <f t="shared" si="141"/>
        <v>1274</v>
      </c>
      <c r="M892" s="66">
        <v>600</v>
      </c>
      <c r="N892" s="56">
        <f>75</f>
        <v>75</v>
      </c>
      <c r="O892" s="59">
        <v>240</v>
      </c>
      <c r="P892" s="59">
        <v>40</v>
      </c>
      <c r="Q892" s="59">
        <f t="shared" si="142"/>
        <v>315</v>
      </c>
      <c r="R892" s="59">
        <f t="shared" si="143"/>
        <v>100</v>
      </c>
      <c r="S892" s="56">
        <f t="shared" si="144"/>
        <v>695</v>
      </c>
      <c r="T892" s="56">
        <f>50</f>
        <v>50</v>
      </c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</row>
    <row r="893" spans="1:30" ht="15.75" x14ac:dyDescent="0.25">
      <c r="A893" s="13">
        <v>68483</v>
      </c>
      <c r="B893" s="67">
        <f t="shared" si="140"/>
        <v>30</v>
      </c>
      <c r="C893" s="56">
        <f>194.205</f>
        <v>194.20500000000001</v>
      </c>
      <c r="D893" s="56">
        <f>267.466</f>
        <v>267.46600000000001</v>
      </c>
      <c r="E893" s="64">
        <f>133.845</f>
        <v>133.845</v>
      </c>
      <c r="F893" s="56">
        <f>278.484-40-25-60-100</f>
        <v>53.48399999999998</v>
      </c>
      <c r="G893" s="59">
        <v>40</v>
      </c>
      <c r="H893" s="56">
        <f t="shared" si="149"/>
        <v>185</v>
      </c>
      <c r="I893" s="56">
        <f t="shared" si="147"/>
        <v>0</v>
      </c>
      <c r="J893" s="59">
        <v>100</v>
      </c>
      <c r="K893" s="59">
        <v>300</v>
      </c>
      <c r="L893" s="56">
        <f t="shared" si="141"/>
        <v>1274</v>
      </c>
      <c r="M893" s="66">
        <v>600</v>
      </c>
      <c r="N893" s="56">
        <f>30</f>
        <v>30</v>
      </c>
      <c r="O893" s="59">
        <v>240</v>
      </c>
      <c r="P893" s="59">
        <v>40</v>
      </c>
      <c r="Q893" s="59">
        <f t="shared" si="142"/>
        <v>315</v>
      </c>
      <c r="R893" s="59">
        <f t="shared" si="143"/>
        <v>100</v>
      </c>
      <c r="S893" s="56">
        <f t="shared" si="144"/>
        <v>695</v>
      </c>
      <c r="T893" s="56">
        <f>50</f>
        <v>50</v>
      </c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</row>
    <row r="894" spans="1:30" ht="15.75" x14ac:dyDescent="0.25">
      <c r="A894" s="13">
        <v>68514</v>
      </c>
      <c r="B894" s="67">
        <f t="shared" si="140"/>
        <v>31</v>
      </c>
      <c r="C894" s="56">
        <f>194.205</f>
        <v>194.20500000000001</v>
      </c>
      <c r="D894" s="56">
        <f>267.466</f>
        <v>267.46600000000001</v>
      </c>
      <c r="E894" s="64">
        <f>133.845</f>
        <v>133.845</v>
      </c>
      <c r="F894" s="56">
        <f>278.484-40-25-60-100</f>
        <v>53.48399999999998</v>
      </c>
      <c r="G894" s="59">
        <v>40</v>
      </c>
      <c r="H894" s="56">
        <f t="shared" si="149"/>
        <v>185</v>
      </c>
      <c r="I894" s="56">
        <f t="shared" si="147"/>
        <v>0</v>
      </c>
      <c r="J894" s="59">
        <v>100</v>
      </c>
      <c r="K894" s="59">
        <v>300</v>
      </c>
      <c r="L894" s="56">
        <f t="shared" si="141"/>
        <v>1274</v>
      </c>
      <c r="M894" s="66">
        <v>600</v>
      </c>
      <c r="N894" s="56">
        <f>30</f>
        <v>30</v>
      </c>
      <c r="O894" s="59">
        <v>240</v>
      </c>
      <c r="P894" s="59">
        <v>40</v>
      </c>
      <c r="Q894" s="59">
        <f t="shared" si="142"/>
        <v>315</v>
      </c>
      <c r="R894" s="59">
        <f t="shared" si="143"/>
        <v>100</v>
      </c>
      <c r="S894" s="56">
        <f t="shared" si="144"/>
        <v>695</v>
      </c>
      <c r="T894" s="56">
        <f>0</f>
        <v>0</v>
      </c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</row>
    <row r="895" spans="1:30" ht="15.75" x14ac:dyDescent="0.25">
      <c r="A895" s="13">
        <v>68545</v>
      </c>
      <c r="B895" s="67">
        <f t="shared" si="140"/>
        <v>31</v>
      </c>
      <c r="C895" s="56">
        <f>194.205</f>
        <v>194.20500000000001</v>
      </c>
      <c r="D895" s="56">
        <f>267.466</f>
        <v>267.46600000000001</v>
      </c>
      <c r="E895" s="64">
        <f>133.845</f>
        <v>133.845</v>
      </c>
      <c r="F895" s="56">
        <f>278.484-40-25-60-100</f>
        <v>53.48399999999998</v>
      </c>
      <c r="G895" s="59">
        <v>40</v>
      </c>
      <c r="H895" s="56">
        <f t="shared" si="149"/>
        <v>185</v>
      </c>
      <c r="I895" s="56">
        <f t="shared" si="147"/>
        <v>0</v>
      </c>
      <c r="J895" s="59">
        <v>100</v>
      </c>
      <c r="K895" s="59">
        <v>300</v>
      </c>
      <c r="L895" s="56">
        <f t="shared" si="141"/>
        <v>1274</v>
      </c>
      <c r="M895" s="66">
        <v>600</v>
      </c>
      <c r="N895" s="56">
        <f>30</f>
        <v>30</v>
      </c>
      <c r="O895" s="59">
        <v>240</v>
      </c>
      <c r="P895" s="59">
        <v>40</v>
      </c>
      <c r="Q895" s="59">
        <f t="shared" si="142"/>
        <v>315</v>
      </c>
      <c r="R895" s="59">
        <f t="shared" si="143"/>
        <v>100</v>
      </c>
      <c r="S895" s="56">
        <f t="shared" si="144"/>
        <v>695</v>
      </c>
      <c r="T895" s="56">
        <f>0</f>
        <v>0</v>
      </c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</row>
    <row r="896" spans="1:30" ht="15.75" x14ac:dyDescent="0.25">
      <c r="A896" s="13">
        <v>68575</v>
      </c>
      <c r="B896" s="67">
        <f t="shared" si="140"/>
        <v>30</v>
      </c>
      <c r="C896" s="56">
        <f>194.205</f>
        <v>194.20500000000001</v>
      </c>
      <c r="D896" s="56">
        <f>267.466</f>
        <v>267.46600000000001</v>
      </c>
      <c r="E896" s="64">
        <f>133.845</f>
        <v>133.845</v>
      </c>
      <c r="F896" s="56">
        <f>278.484-40-25-60-100</f>
        <v>53.48399999999998</v>
      </c>
      <c r="G896" s="59">
        <v>40</v>
      </c>
      <c r="H896" s="56">
        <f t="shared" si="149"/>
        <v>185</v>
      </c>
      <c r="I896" s="56">
        <f t="shared" si="147"/>
        <v>0</v>
      </c>
      <c r="J896" s="59">
        <v>100</v>
      </c>
      <c r="K896" s="59">
        <v>300</v>
      </c>
      <c r="L896" s="56">
        <f t="shared" si="141"/>
        <v>1274</v>
      </c>
      <c r="M896" s="66">
        <v>600</v>
      </c>
      <c r="N896" s="56">
        <f>30</f>
        <v>30</v>
      </c>
      <c r="O896" s="59">
        <v>240</v>
      </c>
      <c r="P896" s="59">
        <v>40</v>
      </c>
      <c r="Q896" s="59">
        <f t="shared" si="142"/>
        <v>315</v>
      </c>
      <c r="R896" s="59">
        <f t="shared" si="143"/>
        <v>100</v>
      </c>
      <c r="S896" s="56">
        <f t="shared" si="144"/>
        <v>695</v>
      </c>
      <c r="T896" s="56">
        <f>0</f>
        <v>0</v>
      </c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</row>
    <row r="897" spans="1:30" ht="15.75" x14ac:dyDescent="0.25">
      <c r="A897" s="13">
        <v>68606</v>
      </c>
      <c r="B897" s="67">
        <f t="shared" si="140"/>
        <v>31</v>
      </c>
      <c r="C897" s="56">
        <f>131.881</f>
        <v>131.881</v>
      </c>
      <c r="D897" s="56">
        <f>277.167</f>
        <v>277.16699999999997</v>
      </c>
      <c r="E897" s="64">
        <f>79.08</f>
        <v>79.08</v>
      </c>
      <c r="F897" s="56">
        <f>350.872-40-25-60-100</f>
        <v>125.87200000000001</v>
      </c>
      <c r="G897" s="59">
        <v>40</v>
      </c>
      <c r="H897" s="56">
        <f t="shared" si="149"/>
        <v>185</v>
      </c>
      <c r="I897" s="56">
        <f t="shared" si="147"/>
        <v>0</v>
      </c>
      <c r="J897" s="59">
        <v>100</v>
      </c>
      <c r="K897" s="59">
        <v>300</v>
      </c>
      <c r="L897" s="56">
        <f t="shared" si="141"/>
        <v>1239</v>
      </c>
      <c r="M897" s="66">
        <v>600</v>
      </c>
      <c r="N897" s="56">
        <f>75</f>
        <v>75</v>
      </c>
      <c r="O897" s="59">
        <v>240</v>
      </c>
      <c r="P897" s="59">
        <v>40</v>
      </c>
      <c r="Q897" s="59">
        <f t="shared" si="142"/>
        <v>315</v>
      </c>
      <c r="R897" s="59">
        <f t="shared" si="143"/>
        <v>100</v>
      </c>
      <c r="S897" s="56">
        <f t="shared" si="144"/>
        <v>695</v>
      </c>
      <c r="T897" s="56">
        <f>0</f>
        <v>0</v>
      </c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</row>
    <row r="898" spans="1:30" ht="15.75" x14ac:dyDescent="0.25">
      <c r="A898" s="13">
        <v>68636</v>
      </c>
      <c r="B898" s="67">
        <f t="shared" si="140"/>
        <v>30</v>
      </c>
      <c r="C898" s="56">
        <f>122.58</f>
        <v>122.58</v>
      </c>
      <c r="D898" s="56">
        <f>297.941</f>
        <v>297.94099999999997</v>
      </c>
      <c r="E898" s="64">
        <f>89.177</f>
        <v>89.177000000000007</v>
      </c>
      <c r="F898" s="56">
        <f>240.302-40-60-100</f>
        <v>40.301999999999992</v>
      </c>
      <c r="G898" s="59">
        <v>40</v>
      </c>
      <c r="H898" s="56">
        <f>60+100</f>
        <v>160</v>
      </c>
      <c r="I898" s="56">
        <f t="shared" si="147"/>
        <v>0</v>
      </c>
      <c r="J898" s="59">
        <v>100</v>
      </c>
      <c r="K898" s="59">
        <v>300</v>
      </c>
      <c r="L898" s="56">
        <f t="shared" si="141"/>
        <v>1150</v>
      </c>
      <c r="M898" s="66">
        <v>600</v>
      </c>
      <c r="N898" s="56">
        <f>100</f>
        <v>100</v>
      </c>
      <c r="O898" s="59">
        <v>240</v>
      </c>
      <c r="P898" s="59">
        <v>40</v>
      </c>
      <c r="Q898" s="59">
        <f t="shared" si="142"/>
        <v>315</v>
      </c>
      <c r="R898" s="59">
        <f t="shared" si="143"/>
        <v>100</v>
      </c>
      <c r="S898" s="56">
        <f t="shared" si="144"/>
        <v>695</v>
      </c>
      <c r="T898" s="56">
        <f>50</f>
        <v>50</v>
      </c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</row>
    <row r="899" spans="1:30" ht="15.75" x14ac:dyDescent="0.25">
      <c r="A899" s="13">
        <v>68667</v>
      </c>
      <c r="B899" s="67">
        <f t="shared" si="140"/>
        <v>31</v>
      </c>
      <c r="C899" s="56">
        <f>122.58</f>
        <v>122.58</v>
      </c>
      <c r="D899" s="56">
        <f>297.941</f>
        <v>297.94099999999997</v>
      </c>
      <c r="E899" s="64">
        <f>89.177</f>
        <v>89.177000000000007</v>
      </c>
      <c r="F899" s="56">
        <f>240.302-40-60-100</f>
        <v>40.301999999999992</v>
      </c>
      <c r="G899" s="59">
        <v>40</v>
      </c>
      <c r="H899" s="56">
        <f>60+100</f>
        <v>160</v>
      </c>
      <c r="I899" s="56">
        <f t="shared" si="147"/>
        <v>0</v>
      </c>
      <c r="J899" s="59">
        <v>100</v>
      </c>
      <c r="K899" s="59">
        <v>300</v>
      </c>
      <c r="L899" s="56">
        <f t="shared" si="141"/>
        <v>1150</v>
      </c>
      <c r="M899" s="66">
        <v>600</v>
      </c>
      <c r="N899" s="56">
        <f>100</f>
        <v>100</v>
      </c>
      <c r="O899" s="59">
        <v>240</v>
      </c>
      <c r="P899" s="59">
        <v>40</v>
      </c>
      <c r="Q899" s="59">
        <f t="shared" si="142"/>
        <v>315</v>
      </c>
      <c r="R899" s="59">
        <f t="shared" si="143"/>
        <v>100</v>
      </c>
      <c r="S899" s="56">
        <f t="shared" si="144"/>
        <v>695</v>
      </c>
      <c r="T899" s="56">
        <f>50</f>
        <v>50</v>
      </c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</row>
    <row r="900" spans="1:30" ht="15.75" x14ac:dyDescent="0.25">
      <c r="A900" s="13">
        <v>68698</v>
      </c>
      <c r="B900" s="67">
        <f t="shared" si="140"/>
        <v>31</v>
      </c>
      <c r="C900" s="56">
        <f>122.58</f>
        <v>122.58</v>
      </c>
      <c r="D900" s="56">
        <f>297.941</f>
        <v>297.94099999999997</v>
      </c>
      <c r="E900" s="64">
        <f>89.177</f>
        <v>89.177000000000007</v>
      </c>
      <c r="F900" s="56">
        <f>240.302-40-60-100</f>
        <v>40.301999999999992</v>
      </c>
      <c r="G900" s="59">
        <v>40</v>
      </c>
      <c r="H900" s="56">
        <f>60+100</f>
        <v>160</v>
      </c>
      <c r="I900" s="56">
        <f t="shared" si="147"/>
        <v>0</v>
      </c>
      <c r="J900" s="59">
        <v>100</v>
      </c>
      <c r="K900" s="59">
        <v>300</v>
      </c>
      <c r="L900" s="56">
        <f t="shared" si="141"/>
        <v>1150</v>
      </c>
      <c r="M900" s="66">
        <v>600</v>
      </c>
      <c r="N900" s="56">
        <f>100</f>
        <v>100</v>
      </c>
      <c r="O900" s="59">
        <v>240</v>
      </c>
      <c r="P900" s="59">
        <v>40</v>
      </c>
      <c r="Q900" s="59">
        <f t="shared" si="142"/>
        <v>315</v>
      </c>
      <c r="R900" s="59">
        <f t="shared" si="143"/>
        <v>100</v>
      </c>
      <c r="S900" s="56">
        <f t="shared" si="144"/>
        <v>695</v>
      </c>
      <c r="T900" s="56">
        <f>50</f>
        <v>50</v>
      </c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</row>
    <row r="901" spans="1:30" ht="15.75" x14ac:dyDescent="0.25">
      <c r="A901" s="13">
        <v>68727</v>
      </c>
      <c r="B901" s="67">
        <f t="shared" si="140"/>
        <v>29</v>
      </c>
      <c r="C901" s="56">
        <f>122.58</f>
        <v>122.58</v>
      </c>
      <c r="D901" s="56">
        <f>297.941</f>
        <v>297.94099999999997</v>
      </c>
      <c r="E901" s="64">
        <f>89.177</f>
        <v>89.177000000000007</v>
      </c>
      <c r="F901" s="56">
        <f>240.302-40-60-100</f>
        <v>40.301999999999992</v>
      </c>
      <c r="G901" s="59">
        <v>40</v>
      </c>
      <c r="H901" s="56">
        <f>60+100</f>
        <v>160</v>
      </c>
      <c r="I901" s="56">
        <f t="shared" si="147"/>
        <v>0</v>
      </c>
      <c r="J901" s="59">
        <v>100</v>
      </c>
      <c r="K901" s="59">
        <v>300</v>
      </c>
      <c r="L901" s="56">
        <f t="shared" si="141"/>
        <v>1150</v>
      </c>
      <c r="M901" s="66">
        <v>600</v>
      </c>
      <c r="N901" s="56">
        <f>100</f>
        <v>100</v>
      </c>
      <c r="O901" s="59">
        <v>240</v>
      </c>
      <c r="P901" s="59">
        <v>40</v>
      </c>
      <c r="Q901" s="59">
        <f t="shared" si="142"/>
        <v>315</v>
      </c>
      <c r="R901" s="59">
        <f t="shared" si="143"/>
        <v>100</v>
      </c>
      <c r="S901" s="56">
        <f t="shared" si="144"/>
        <v>695</v>
      </c>
      <c r="T901" s="56">
        <f>50</f>
        <v>50</v>
      </c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</row>
    <row r="902" spans="1:30" ht="15.75" x14ac:dyDescent="0.25">
      <c r="A902" s="13">
        <v>68758</v>
      </c>
      <c r="B902" s="67">
        <f t="shared" si="140"/>
        <v>31</v>
      </c>
      <c r="C902" s="56">
        <f>122.58</f>
        <v>122.58</v>
      </c>
      <c r="D902" s="56">
        <f>297.941</f>
        <v>297.94099999999997</v>
      </c>
      <c r="E902" s="64">
        <f>89.177</f>
        <v>89.177000000000007</v>
      </c>
      <c r="F902" s="56">
        <f>240.302-40-60-100</f>
        <v>40.301999999999992</v>
      </c>
      <c r="G902" s="59">
        <v>40</v>
      </c>
      <c r="H902" s="56">
        <f>60+100</f>
        <v>160</v>
      </c>
      <c r="I902" s="56">
        <f t="shared" si="147"/>
        <v>0</v>
      </c>
      <c r="J902" s="59">
        <v>100</v>
      </c>
      <c r="K902" s="59">
        <v>300</v>
      </c>
      <c r="L902" s="56">
        <f t="shared" si="141"/>
        <v>1150</v>
      </c>
      <c r="M902" s="66">
        <v>600</v>
      </c>
      <c r="N902" s="56">
        <f>100</f>
        <v>100</v>
      </c>
      <c r="O902" s="59">
        <v>240</v>
      </c>
      <c r="P902" s="59">
        <v>40</v>
      </c>
      <c r="Q902" s="59">
        <f t="shared" si="142"/>
        <v>315</v>
      </c>
      <c r="R902" s="59">
        <f t="shared" si="143"/>
        <v>100</v>
      </c>
      <c r="S902" s="56">
        <f t="shared" si="144"/>
        <v>695</v>
      </c>
      <c r="T902" s="56">
        <f>50</f>
        <v>50</v>
      </c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</row>
    <row r="903" spans="1:30" ht="15.75" x14ac:dyDescent="0.25">
      <c r="A903" s="13">
        <v>68788</v>
      </c>
      <c r="B903" s="67">
        <f t="shared" si="140"/>
        <v>30</v>
      </c>
      <c r="C903" s="56">
        <f>141.293</f>
        <v>141.29300000000001</v>
      </c>
      <c r="D903" s="56">
        <f>267.993</f>
        <v>267.99299999999999</v>
      </c>
      <c r="E903" s="64">
        <f>115.016</f>
        <v>115.01600000000001</v>
      </c>
      <c r="F903" s="56">
        <f>314.698-40-25-60-100</f>
        <v>89.697999999999979</v>
      </c>
      <c r="G903" s="59">
        <v>40</v>
      </c>
      <c r="H903" s="56">
        <f t="shared" ref="H903:H909" si="150">25+60+100</f>
        <v>185</v>
      </c>
      <c r="I903" s="56">
        <f t="shared" si="147"/>
        <v>0</v>
      </c>
      <c r="J903" s="59">
        <v>100</v>
      </c>
      <c r="K903" s="59">
        <v>300</v>
      </c>
      <c r="L903" s="56">
        <f t="shared" si="141"/>
        <v>1239</v>
      </c>
      <c r="M903" s="66">
        <v>600</v>
      </c>
      <c r="N903" s="56">
        <f>100</f>
        <v>100</v>
      </c>
      <c r="O903" s="59">
        <v>240</v>
      </c>
      <c r="P903" s="59">
        <v>40</v>
      </c>
      <c r="Q903" s="59">
        <f t="shared" si="142"/>
        <v>315</v>
      </c>
      <c r="R903" s="59">
        <f t="shared" si="143"/>
        <v>100</v>
      </c>
      <c r="S903" s="56">
        <f t="shared" si="144"/>
        <v>695</v>
      </c>
      <c r="T903" s="56">
        <f>50</f>
        <v>50</v>
      </c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</row>
    <row r="904" spans="1:30" ht="15.75" x14ac:dyDescent="0.25">
      <c r="A904" s="13">
        <v>68819</v>
      </c>
      <c r="B904" s="67">
        <f t="shared" si="140"/>
        <v>31</v>
      </c>
      <c r="C904" s="56">
        <f>194.205</f>
        <v>194.20500000000001</v>
      </c>
      <c r="D904" s="56">
        <f>267.466</f>
        <v>267.46600000000001</v>
      </c>
      <c r="E904" s="64">
        <f>133.845</f>
        <v>133.845</v>
      </c>
      <c r="F904" s="56">
        <f>278.484-40-25-60-100</f>
        <v>53.48399999999998</v>
      </c>
      <c r="G904" s="59">
        <v>40</v>
      </c>
      <c r="H904" s="56">
        <f t="shared" si="150"/>
        <v>185</v>
      </c>
      <c r="I904" s="56">
        <f t="shared" si="147"/>
        <v>0</v>
      </c>
      <c r="J904" s="59">
        <v>100</v>
      </c>
      <c r="K904" s="59">
        <v>300</v>
      </c>
      <c r="L904" s="56">
        <f t="shared" si="141"/>
        <v>1274</v>
      </c>
      <c r="M904" s="66">
        <v>600</v>
      </c>
      <c r="N904" s="56">
        <f>75</f>
        <v>75</v>
      </c>
      <c r="O904" s="59">
        <v>240</v>
      </c>
      <c r="P904" s="59">
        <v>40</v>
      </c>
      <c r="Q904" s="59">
        <f t="shared" si="142"/>
        <v>315</v>
      </c>
      <c r="R904" s="59">
        <f t="shared" si="143"/>
        <v>100</v>
      </c>
      <c r="S904" s="56">
        <f t="shared" si="144"/>
        <v>695</v>
      </c>
      <c r="T904" s="56">
        <f>50</f>
        <v>50</v>
      </c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</row>
    <row r="905" spans="1:30" ht="15.75" x14ac:dyDescent="0.25">
      <c r="A905" s="13">
        <v>68849</v>
      </c>
      <c r="B905" s="67">
        <f t="shared" si="140"/>
        <v>30</v>
      </c>
      <c r="C905" s="56">
        <f>194.205</f>
        <v>194.20500000000001</v>
      </c>
      <c r="D905" s="56">
        <f>267.466</f>
        <v>267.46600000000001</v>
      </c>
      <c r="E905" s="64">
        <f>133.845</f>
        <v>133.845</v>
      </c>
      <c r="F905" s="56">
        <f>278.484-40-25-60-100</f>
        <v>53.48399999999998</v>
      </c>
      <c r="G905" s="59">
        <v>40</v>
      </c>
      <c r="H905" s="56">
        <f t="shared" si="150"/>
        <v>185</v>
      </c>
      <c r="I905" s="56">
        <f t="shared" si="147"/>
        <v>0</v>
      </c>
      <c r="J905" s="59">
        <v>100</v>
      </c>
      <c r="K905" s="59">
        <v>300</v>
      </c>
      <c r="L905" s="56">
        <f t="shared" si="141"/>
        <v>1274</v>
      </c>
      <c r="M905" s="66">
        <v>600</v>
      </c>
      <c r="N905" s="56">
        <f>30</f>
        <v>30</v>
      </c>
      <c r="O905" s="59">
        <v>240</v>
      </c>
      <c r="P905" s="59">
        <v>40</v>
      </c>
      <c r="Q905" s="59">
        <f t="shared" si="142"/>
        <v>315</v>
      </c>
      <c r="R905" s="59">
        <f t="shared" si="143"/>
        <v>100</v>
      </c>
      <c r="S905" s="56">
        <f t="shared" si="144"/>
        <v>695</v>
      </c>
      <c r="T905" s="56">
        <f>50</f>
        <v>50</v>
      </c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</row>
    <row r="906" spans="1:30" ht="15.75" x14ac:dyDescent="0.25">
      <c r="A906" s="13">
        <v>68880</v>
      </c>
      <c r="B906" s="67">
        <f t="shared" si="140"/>
        <v>31</v>
      </c>
      <c r="C906" s="56">
        <f>194.205</f>
        <v>194.20500000000001</v>
      </c>
      <c r="D906" s="56">
        <f>267.466</f>
        <v>267.46600000000001</v>
      </c>
      <c r="E906" s="64">
        <f>133.845</f>
        <v>133.845</v>
      </c>
      <c r="F906" s="56">
        <f>278.484-40-25-60-100</f>
        <v>53.48399999999998</v>
      </c>
      <c r="G906" s="59">
        <v>40</v>
      </c>
      <c r="H906" s="56">
        <f t="shared" si="150"/>
        <v>185</v>
      </c>
      <c r="I906" s="56">
        <f t="shared" si="147"/>
        <v>0</v>
      </c>
      <c r="J906" s="59">
        <v>100</v>
      </c>
      <c r="K906" s="59">
        <v>300</v>
      </c>
      <c r="L906" s="56">
        <f t="shared" si="141"/>
        <v>1274</v>
      </c>
      <c r="M906" s="66">
        <v>600</v>
      </c>
      <c r="N906" s="56">
        <f>30</f>
        <v>30</v>
      </c>
      <c r="O906" s="59">
        <v>240</v>
      </c>
      <c r="P906" s="59">
        <v>40</v>
      </c>
      <c r="Q906" s="59">
        <f t="shared" si="142"/>
        <v>315</v>
      </c>
      <c r="R906" s="59">
        <f t="shared" si="143"/>
        <v>100</v>
      </c>
      <c r="S906" s="56">
        <f t="shared" si="144"/>
        <v>695</v>
      </c>
      <c r="T906" s="56">
        <f>0</f>
        <v>0</v>
      </c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</row>
    <row r="907" spans="1:30" ht="15.75" x14ac:dyDescent="0.25">
      <c r="A907" s="13">
        <v>68911</v>
      </c>
      <c r="B907" s="67">
        <f t="shared" si="140"/>
        <v>31</v>
      </c>
      <c r="C907" s="56">
        <f>194.205</f>
        <v>194.20500000000001</v>
      </c>
      <c r="D907" s="56">
        <f>267.466</f>
        <v>267.46600000000001</v>
      </c>
      <c r="E907" s="64">
        <f>133.845</f>
        <v>133.845</v>
      </c>
      <c r="F907" s="56">
        <f>278.484-40-25-60-100</f>
        <v>53.48399999999998</v>
      </c>
      <c r="G907" s="59">
        <v>40</v>
      </c>
      <c r="H907" s="56">
        <f t="shared" si="150"/>
        <v>185</v>
      </c>
      <c r="I907" s="56">
        <f t="shared" si="147"/>
        <v>0</v>
      </c>
      <c r="J907" s="59">
        <v>100</v>
      </c>
      <c r="K907" s="59">
        <v>300</v>
      </c>
      <c r="L907" s="56">
        <f t="shared" si="141"/>
        <v>1274</v>
      </c>
      <c r="M907" s="66">
        <v>600</v>
      </c>
      <c r="N907" s="56">
        <f>30</f>
        <v>30</v>
      </c>
      <c r="O907" s="59">
        <v>240</v>
      </c>
      <c r="P907" s="59">
        <v>40</v>
      </c>
      <c r="Q907" s="59">
        <f t="shared" si="142"/>
        <v>315</v>
      </c>
      <c r="R907" s="59">
        <f t="shared" si="143"/>
        <v>100</v>
      </c>
      <c r="S907" s="56">
        <f t="shared" si="144"/>
        <v>695</v>
      </c>
      <c r="T907" s="56">
        <f>0</f>
        <v>0</v>
      </c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</row>
    <row r="908" spans="1:30" ht="15.75" x14ac:dyDescent="0.25">
      <c r="A908" s="13">
        <v>68941</v>
      </c>
      <c r="B908" s="67">
        <f t="shared" ref="B908:B971" si="151">EOMONTH(A908,0)-EOMONTH(A908,-1)</f>
        <v>30</v>
      </c>
      <c r="C908" s="56">
        <f>194.205</f>
        <v>194.20500000000001</v>
      </c>
      <c r="D908" s="56">
        <f>267.466</f>
        <v>267.46600000000001</v>
      </c>
      <c r="E908" s="64">
        <f>133.845</f>
        <v>133.845</v>
      </c>
      <c r="F908" s="56">
        <f>278.484-40-25-60-100</f>
        <v>53.48399999999998</v>
      </c>
      <c r="G908" s="59">
        <v>40</v>
      </c>
      <c r="H908" s="56">
        <f t="shared" si="150"/>
        <v>185</v>
      </c>
      <c r="I908" s="56">
        <f t="shared" si="147"/>
        <v>0</v>
      </c>
      <c r="J908" s="59">
        <v>100</v>
      </c>
      <c r="K908" s="59">
        <v>300</v>
      </c>
      <c r="L908" s="56">
        <f t="shared" si="141"/>
        <v>1274</v>
      </c>
      <c r="M908" s="66">
        <v>600</v>
      </c>
      <c r="N908" s="56">
        <f>30</f>
        <v>30</v>
      </c>
      <c r="O908" s="59">
        <v>240</v>
      </c>
      <c r="P908" s="59">
        <v>40</v>
      </c>
      <c r="Q908" s="59">
        <f t="shared" si="142"/>
        <v>315</v>
      </c>
      <c r="R908" s="59">
        <f t="shared" si="143"/>
        <v>100</v>
      </c>
      <c r="S908" s="56">
        <f t="shared" si="144"/>
        <v>695</v>
      </c>
      <c r="T908" s="56">
        <f>0</f>
        <v>0</v>
      </c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</row>
    <row r="909" spans="1:30" ht="15.75" x14ac:dyDescent="0.25">
      <c r="A909" s="13">
        <v>68972</v>
      </c>
      <c r="B909" s="67">
        <f t="shared" si="151"/>
        <v>31</v>
      </c>
      <c r="C909" s="56">
        <f>131.881</f>
        <v>131.881</v>
      </c>
      <c r="D909" s="56">
        <f>277.167</f>
        <v>277.16699999999997</v>
      </c>
      <c r="E909" s="64">
        <f>79.08</f>
        <v>79.08</v>
      </c>
      <c r="F909" s="56">
        <f>350.872-40-25-60-100</f>
        <v>125.87200000000001</v>
      </c>
      <c r="G909" s="59">
        <v>40</v>
      </c>
      <c r="H909" s="56">
        <f t="shared" si="150"/>
        <v>185</v>
      </c>
      <c r="I909" s="56">
        <f t="shared" si="147"/>
        <v>0</v>
      </c>
      <c r="J909" s="59">
        <v>100</v>
      </c>
      <c r="K909" s="59">
        <v>300</v>
      </c>
      <c r="L909" s="56">
        <f t="shared" si="141"/>
        <v>1239</v>
      </c>
      <c r="M909" s="66">
        <v>600</v>
      </c>
      <c r="N909" s="56">
        <f>75</f>
        <v>75</v>
      </c>
      <c r="O909" s="59">
        <v>240</v>
      </c>
      <c r="P909" s="59">
        <v>40</v>
      </c>
      <c r="Q909" s="59">
        <f t="shared" si="142"/>
        <v>315</v>
      </c>
      <c r="R909" s="59">
        <f t="shared" si="143"/>
        <v>100</v>
      </c>
      <c r="S909" s="56">
        <f t="shared" si="144"/>
        <v>695</v>
      </c>
      <c r="T909" s="56">
        <f>0</f>
        <v>0</v>
      </c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</row>
    <row r="910" spans="1:30" ht="15.75" x14ac:dyDescent="0.25">
      <c r="A910" s="13">
        <v>69002</v>
      </c>
      <c r="B910" s="67">
        <f t="shared" si="151"/>
        <v>30</v>
      </c>
      <c r="C910" s="56">
        <f>122.58</f>
        <v>122.58</v>
      </c>
      <c r="D910" s="56">
        <f>297.941</f>
        <v>297.94099999999997</v>
      </c>
      <c r="E910" s="64">
        <f>89.177</f>
        <v>89.177000000000007</v>
      </c>
      <c r="F910" s="56">
        <f>240.302-40-60-100</f>
        <v>40.301999999999992</v>
      </c>
      <c r="G910" s="59">
        <v>40</v>
      </c>
      <c r="H910" s="56">
        <f>60+100</f>
        <v>160</v>
      </c>
      <c r="I910" s="56">
        <f t="shared" si="147"/>
        <v>0</v>
      </c>
      <c r="J910" s="59">
        <v>100</v>
      </c>
      <c r="K910" s="59">
        <v>300</v>
      </c>
      <c r="L910" s="56">
        <f t="shared" si="141"/>
        <v>1150</v>
      </c>
      <c r="M910" s="66">
        <v>600</v>
      </c>
      <c r="N910" s="56">
        <f>100</f>
        <v>100</v>
      </c>
      <c r="O910" s="59">
        <v>240</v>
      </c>
      <c r="P910" s="59">
        <v>40</v>
      </c>
      <c r="Q910" s="59">
        <f t="shared" si="142"/>
        <v>315</v>
      </c>
      <c r="R910" s="59">
        <f t="shared" si="143"/>
        <v>100</v>
      </c>
      <c r="S910" s="56">
        <f t="shared" si="144"/>
        <v>695</v>
      </c>
      <c r="T910" s="56">
        <f>50</f>
        <v>50</v>
      </c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</row>
    <row r="911" spans="1:30" ht="15.75" x14ac:dyDescent="0.25">
      <c r="A911" s="13">
        <v>69033</v>
      </c>
      <c r="B911" s="67">
        <f t="shared" si="151"/>
        <v>31</v>
      </c>
      <c r="C911" s="56">
        <f>122.58</f>
        <v>122.58</v>
      </c>
      <c r="D911" s="56">
        <f>297.941</f>
        <v>297.94099999999997</v>
      </c>
      <c r="E911" s="64">
        <f>89.177</f>
        <v>89.177000000000007</v>
      </c>
      <c r="F911" s="56">
        <f>240.302-40-60-100</f>
        <v>40.301999999999992</v>
      </c>
      <c r="G911" s="59">
        <v>40</v>
      </c>
      <c r="H911" s="56">
        <f>60+100</f>
        <v>160</v>
      </c>
      <c r="I911" s="56">
        <f t="shared" si="147"/>
        <v>0</v>
      </c>
      <c r="J911" s="59">
        <v>100</v>
      </c>
      <c r="K911" s="59">
        <v>300</v>
      </c>
      <c r="L911" s="56">
        <f t="shared" ref="L911:L974" si="152">SUM(C911:K911)</f>
        <v>1150</v>
      </c>
      <c r="M911" s="66">
        <v>600</v>
      </c>
      <c r="N911" s="56">
        <f>100</f>
        <v>100</v>
      </c>
      <c r="O911" s="59">
        <v>240</v>
      </c>
      <c r="P911" s="59">
        <v>40</v>
      </c>
      <c r="Q911" s="59">
        <f t="shared" ref="Q911:Q974" si="153">695-R911-O911-P911</f>
        <v>315</v>
      </c>
      <c r="R911" s="59">
        <f t="shared" ref="R911:R974" si="154">200-J911</f>
        <v>100</v>
      </c>
      <c r="S911" s="56">
        <f t="shared" ref="S911:S974" si="155">SUM(O911:R911)</f>
        <v>695</v>
      </c>
      <c r="T911" s="56">
        <f>50</f>
        <v>50</v>
      </c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</row>
    <row r="912" spans="1:30" ht="15.75" x14ac:dyDescent="0.25">
      <c r="A912" s="13">
        <v>69064</v>
      </c>
      <c r="B912" s="67">
        <f t="shared" si="151"/>
        <v>31</v>
      </c>
      <c r="C912" s="56">
        <f>122.58</f>
        <v>122.58</v>
      </c>
      <c r="D912" s="56">
        <f>297.941</f>
        <v>297.94099999999997</v>
      </c>
      <c r="E912" s="64">
        <f>89.177</f>
        <v>89.177000000000007</v>
      </c>
      <c r="F912" s="56">
        <f>240.302-40-60-100</f>
        <v>40.301999999999992</v>
      </c>
      <c r="G912" s="59">
        <v>40</v>
      </c>
      <c r="H912" s="56">
        <f>60+100</f>
        <v>160</v>
      </c>
      <c r="I912" s="56">
        <f t="shared" si="147"/>
        <v>0</v>
      </c>
      <c r="J912" s="59">
        <v>100</v>
      </c>
      <c r="K912" s="59">
        <v>300</v>
      </c>
      <c r="L912" s="56">
        <f t="shared" si="152"/>
        <v>1150</v>
      </c>
      <c r="M912" s="66">
        <v>600</v>
      </c>
      <c r="N912" s="56">
        <f>100</f>
        <v>100</v>
      </c>
      <c r="O912" s="59">
        <v>240</v>
      </c>
      <c r="P912" s="59">
        <v>40</v>
      </c>
      <c r="Q912" s="59">
        <f t="shared" si="153"/>
        <v>315</v>
      </c>
      <c r="R912" s="59">
        <f t="shared" si="154"/>
        <v>100</v>
      </c>
      <c r="S912" s="56">
        <f t="shared" si="155"/>
        <v>695</v>
      </c>
      <c r="T912" s="56">
        <f>50</f>
        <v>50</v>
      </c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</row>
    <row r="913" spans="1:30" ht="15.75" x14ac:dyDescent="0.25">
      <c r="A913" s="13">
        <v>69092</v>
      </c>
      <c r="B913" s="67">
        <f t="shared" si="151"/>
        <v>28</v>
      </c>
      <c r="C913" s="56">
        <f>122.58</f>
        <v>122.58</v>
      </c>
      <c r="D913" s="56">
        <f>297.941</f>
        <v>297.94099999999997</v>
      </c>
      <c r="E913" s="64">
        <f>89.177</f>
        <v>89.177000000000007</v>
      </c>
      <c r="F913" s="56">
        <f>240.302-40-60-100</f>
        <v>40.301999999999992</v>
      </c>
      <c r="G913" s="59">
        <v>40</v>
      </c>
      <c r="H913" s="56">
        <f>60+100</f>
        <v>160</v>
      </c>
      <c r="I913" s="56">
        <f t="shared" si="147"/>
        <v>0</v>
      </c>
      <c r="J913" s="59">
        <v>100</v>
      </c>
      <c r="K913" s="59">
        <v>300</v>
      </c>
      <c r="L913" s="56">
        <f t="shared" si="152"/>
        <v>1150</v>
      </c>
      <c r="M913" s="66">
        <v>600</v>
      </c>
      <c r="N913" s="56">
        <f>100</f>
        <v>100</v>
      </c>
      <c r="O913" s="59">
        <v>240</v>
      </c>
      <c r="P913" s="59">
        <v>40</v>
      </c>
      <c r="Q913" s="59">
        <f t="shared" si="153"/>
        <v>315</v>
      </c>
      <c r="R913" s="59">
        <f t="shared" si="154"/>
        <v>100</v>
      </c>
      <c r="S913" s="56">
        <f t="shared" si="155"/>
        <v>695</v>
      </c>
      <c r="T913" s="56">
        <f>50</f>
        <v>50</v>
      </c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</row>
    <row r="914" spans="1:30" ht="15.75" x14ac:dyDescent="0.25">
      <c r="A914" s="13">
        <v>69123</v>
      </c>
      <c r="B914" s="67">
        <f t="shared" si="151"/>
        <v>31</v>
      </c>
      <c r="C914" s="56">
        <f>122.58</f>
        <v>122.58</v>
      </c>
      <c r="D914" s="56">
        <f>297.941</f>
        <v>297.94099999999997</v>
      </c>
      <c r="E914" s="64">
        <f>89.177</f>
        <v>89.177000000000007</v>
      </c>
      <c r="F914" s="56">
        <f>240.302-40-60-100</f>
        <v>40.301999999999992</v>
      </c>
      <c r="G914" s="59">
        <v>40</v>
      </c>
      <c r="H914" s="56">
        <f>60+100</f>
        <v>160</v>
      </c>
      <c r="I914" s="56">
        <f t="shared" si="147"/>
        <v>0</v>
      </c>
      <c r="J914" s="59">
        <v>100</v>
      </c>
      <c r="K914" s="59">
        <v>300</v>
      </c>
      <c r="L914" s="56">
        <f t="shared" si="152"/>
        <v>1150</v>
      </c>
      <c r="M914" s="66">
        <v>600</v>
      </c>
      <c r="N914" s="56">
        <f>100</f>
        <v>100</v>
      </c>
      <c r="O914" s="59">
        <v>240</v>
      </c>
      <c r="P914" s="59">
        <v>40</v>
      </c>
      <c r="Q914" s="59">
        <f t="shared" si="153"/>
        <v>315</v>
      </c>
      <c r="R914" s="59">
        <f t="shared" si="154"/>
        <v>100</v>
      </c>
      <c r="S914" s="56">
        <f t="shared" si="155"/>
        <v>695</v>
      </c>
      <c r="T914" s="56">
        <f>50</f>
        <v>50</v>
      </c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</row>
    <row r="915" spans="1:30" ht="15.75" x14ac:dyDescent="0.25">
      <c r="A915" s="13">
        <v>69153</v>
      </c>
      <c r="B915" s="67">
        <f t="shared" si="151"/>
        <v>30</v>
      </c>
      <c r="C915" s="56">
        <f>141.293</f>
        <v>141.29300000000001</v>
      </c>
      <c r="D915" s="56">
        <f>267.993</f>
        <v>267.99299999999999</v>
      </c>
      <c r="E915" s="64">
        <f>115.016</f>
        <v>115.01600000000001</v>
      </c>
      <c r="F915" s="56">
        <f>314.698-40-25-60-100</f>
        <v>89.697999999999979</v>
      </c>
      <c r="G915" s="59">
        <v>40</v>
      </c>
      <c r="H915" s="56">
        <f t="shared" ref="H915:H921" si="156">25+60+100</f>
        <v>185</v>
      </c>
      <c r="I915" s="56">
        <f t="shared" si="147"/>
        <v>0</v>
      </c>
      <c r="J915" s="59">
        <v>100</v>
      </c>
      <c r="K915" s="59">
        <v>300</v>
      </c>
      <c r="L915" s="56">
        <f t="shared" si="152"/>
        <v>1239</v>
      </c>
      <c r="M915" s="66">
        <v>600</v>
      </c>
      <c r="N915" s="56">
        <f>100</f>
        <v>100</v>
      </c>
      <c r="O915" s="59">
        <v>240</v>
      </c>
      <c r="P915" s="59">
        <v>40</v>
      </c>
      <c r="Q915" s="59">
        <f t="shared" si="153"/>
        <v>315</v>
      </c>
      <c r="R915" s="59">
        <f t="shared" si="154"/>
        <v>100</v>
      </c>
      <c r="S915" s="56">
        <f t="shared" si="155"/>
        <v>695</v>
      </c>
      <c r="T915" s="56">
        <f>50</f>
        <v>50</v>
      </c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</row>
    <row r="916" spans="1:30" ht="15.75" x14ac:dyDescent="0.25">
      <c r="A916" s="13">
        <v>69184</v>
      </c>
      <c r="B916" s="67">
        <f t="shared" si="151"/>
        <v>31</v>
      </c>
      <c r="C916" s="56">
        <f>194.205</f>
        <v>194.20500000000001</v>
      </c>
      <c r="D916" s="56">
        <f>267.466</f>
        <v>267.46600000000001</v>
      </c>
      <c r="E916" s="64">
        <f>133.845</f>
        <v>133.845</v>
      </c>
      <c r="F916" s="56">
        <f>278.484-40-25-60-100</f>
        <v>53.48399999999998</v>
      </c>
      <c r="G916" s="59">
        <v>40</v>
      </c>
      <c r="H916" s="56">
        <f t="shared" si="156"/>
        <v>185</v>
      </c>
      <c r="I916" s="56">
        <f t="shared" si="147"/>
        <v>0</v>
      </c>
      <c r="J916" s="59">
        <v>100</v>
      </c>
      <c r="K916" s="59">
        <v>300</v>
      </c>
      <c r="L916" s="56">
        <f t="shared" si="152"/>
        <v>1274</v>
      </c>
      <c r="M916" s="66">
        <v>600</v>
      </c>
      <c r="N916" s="56">
        <f>75</f>
        <v>75</v>
      </c>
      <c r="O916" s="59">
        <v>240</v>
      </c>
      <c r="P916" s="59">
        <v>40</v>
      </c>
      <c r="Q916" s="59">
        <f t="shared" si="153"/>
        <v>315</v>
      </c>
      <c r="R916" s="59">
        <f t="shared" si="154"/>
        <v>100</v>
      </c>
      <c r="S916" s="56">
        <f t="shared" si="155"/>
        <v>695</v>
      </c>
      <c r="T916" s="56">
        <f>50</f>
        <v>50</v>
      </c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</row>
    <row r="917" spans="1:30" ht="15.75" x14ac:dyDescent="0.25">
      <c r="A917" s="13">
        <v>69214</v>
      </c>
      <c r="B917" s="67">
        <f t="shared" si="151"/>
        <v>30</v>
      </c>
      <c r="C917" s="56">
        <f>194.205</f>
        <v>194.20500000000001</v>
      </c>
      <c r="D917" s="56">
        <f>267.466</f>
        <v>267.46600000000001</v>
      </c>
      <c r="E917" s="64">
        <f>133.845</f>
        <v>133.845</v>
      </c>
      <c r="F917" s="56">
        <f>278.484-40-25-60-100</f>
        <v>53.48399999999998</v>
      </c>
      <c r="G917" s="59">
        <v>40</v>
      </c>
      <c r="H917" s="56">
        <f t="shared" si="156"/>
        <v>185</v>
      </c>
      <c r="I917" s="56">
        <f t="shared" si="147"/>
        <v>0</v>
      </c>
      <c r="J917" s="59">
        <v>100</v>
      </c>
      <c r="K917" s="59">
        <v>300</v>
      </c>
      <c r="L917" s="56">
        <f t="shared" si="152"/>
        <v>1274</v>
      </c>
      <c r="M917" s="66">
        <v>600</v>
      </c>
      <c r="N917" s="56">
        <f>30</f>
        <v>30</v>
      </c>
      <c r="O917" s="59">
        <v>240</v>
      </c>
      <c r="P917" s="59">
        <v>40</v>
      </c>
      <c r="Q917" s="59">
        <f t="shared" si="153"/>
        <v>315</v>
      </c>
      <c r="R917" s="59">
        <f t="shared" si="154"/>
        <v>100</v>
      </c>
      <c r="S917" s="56">
        <f t="shared" si="155"/>
        <v>695</v>
      </c>
      <c r="T917" s="56">
        <f>50</f>
        <v>50</v>
      </c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</row>
    <row r="918" spans="1:30" ht="15.75" x14ac:dyDescent="0.25">
      <c r="A918" s="13">
        <v>69245</v>
      </c>
      <c r="B918" s="67">
        <f t="shared" si="151"/>
        <v>31</v>
      </c>
      <c r="C918" s="56">
        <f>194.205</f>
        <v>194.20500000000001</v>
      </c>
      <c r="D918" s="56">
        <f>267.466</f>
        <v>267.46600000000001</v>
      </c>
      <c r="E918" s="64">
        <f>133.845</f>
        <v>133.845</v>
      </c>
      <c r="F918" s="56">
        <f>278.484-40-25-60-100</f>
        <v>53.48399999999998</v>
      </c>
      <c r="G918" s="59">
        <v>40</v>
      </c>
      <c r="H918" s="56">
        <f t="shared" si="156"/>
        <v>185</v>
      </c>
      <c r="I918" s="56">
        <f t="shared" si="147"/>
        <v>0</v>
      </c>
      <c r="J918" s="59">
        <v>100</v>
      </c>
      <c r="K918" s="59">
        <v>300</v>
      </c>
      <c r="L918" s="56">
        <f t="shared" si="152"/>
        <v>1274</v>
      </c>
      <c r="M918" s="66">
        <v>600</v>
      </c>
      <c r="N918" s="56">
        <f>30</f>
        <v>30</v>
      </c>
      <c r="O918" s="59">
        <v>240</v>
      </c>
      <c r="P918" s="59">
        <v>40</v>
      </c>
      <c r="Q918" s="59">
        <f t="shared" si="153"/>
        <v>315</v>
      </c>
      <c r="R918" s="59">
        <f t="shared" si="154"/>
        <v>100</v>
      </c>
      <c r="S918" s="56">
        <f t="shared" si="155"/>
        <v>695</v>
      </c>
      <c r="T918" s="56">
        <f>0</f>
        <v>0</v>
      </c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</row>
    <row r="919" spans="1:30" ht="15.75" x14ac:dyDescent="0.25">
      <c r="A919" s="13">
        <v>69276</v>
      </c>
      <c r="B919" s="67">
        <f t="shared" si="151"/>
        <v>31</v>
      </c>
      <c r="C919" s="56">
        <f>194.205</f>
        <v>194.20500000000001</v>
      </c>
      <c r="D919" s="56">
        <f>267.466</f>
        <v>267.46600000000001</v>
      </c>
      <c r="E919" s="64">
        <f>133.845</f>
        <v>133.845</v>
      </c>
      <c r="F919" s="56">
        <f>278.484-40-25-60-100</f>
        <v>53.48399999999998</v>
      </c>
      <c r="G919" s="59">
        <v>40</v>
      </c>
      <c r="H919" s="56">
        <f t="shared" si="156"/>
        <v>185</v>
      </c>
      <c r="I919" s="56">
        <f t="shared" si="147"/>
        <v>0</v>
      </c>
      <c r="J919" s="59">
        <v>100</v>
      </c>
      <c r="K919" s="59">
        <v>300</v>
      </c>
      <c r="L919" s="56">
        <f t="shared" si="152"/>
        <v>1274</v>
      </c>
      <c r="M919" s="66">
        <v>600</v>
      </c>
      <c r="N919" s="56">
        <f>30</f>
        <v>30</v>
      </c>
      <c r="O919" s="59">
        <v>240</v>
      </c>
      <c r="P919" s="59">
        <v>40</v>
      </c>
      <c r="Q919" s="59">
        <f t="shared" si="153"/>
        <v>315</v>
      </c>
      <c r="R919" s="59">
        <f t="shared" si="154"/>
        <v>100</v>
      </c>
      <c r="S919" s="56">
        <f t="shared" si="155"/>
        <v>695</v>
      </c>
      <c r="T919" s="56">
        <f>0</f>
        <v>0</v>
      </c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</row>
    <row r="920" spans="1:30" ht="15.75" x14ac:dyDescent="0.25">
      <c r="A920" s="13">
        <v>69306</v>
      </c>
      <c r="B920" s="67">
        <f t="shared" si="151"/>
        <v>30</v>
      </c>
      <c r="C920" s="56">
        <f>194.205</f>
        <v>194.20500000000001</v>
      </c>
      <c r="D920" s="56">
        <f>267.466</f>
        <v>267.46600000000001</v>
      </c>
      <c r="E920" s="64">
        <f>133.845</f>
        <v>133.845</v>
      </c>
      <c r="F920" s="56">
        <f>278.484-40-25-60-100</f>
        <v>53.48399999999998</v>
      </c>
      <c r="G920" s="59">
        <v>40</v>
      </c>
      <c r="H920" s="56">
        <f t="shared" si="156"/>
        <v>185</v>
      </c>
      <c r="I920" s="56">
        <f t="shared" si="147"/>
        <v>0</v>
      </c>
      <c r="J920" s="59">
        <v>100</v>
      </c>
      <c r="K920" s="59">
        <v>300</v>
      </c>
      <c r="L920" s="56">
        <f t="shared" si="152"/>
        <v>1274</v>
      </c>
      <c r="M920" s="66">
        <v>600</v>
      </c>
      <c r="N920" s="56">
        <f>30</f>
        <v>30</v>
      </c>
      <c r="O920" s="59">
        <v>240</v>
      </c>
      <c r="P920" s="59">
        <v>40</v>
      </c>
      <c r="Q920" s="59">
        <f t="shared" si="153"/>
        <v>315</v>
      </c>
      <c r="R920" s="59">
        <f t="shared" si="154"/>
        <v>100</v>
      </c>
      <c r="S920" s="56">
        <f t="shared" si="155"/>
        <v>695</v>
      </c>
      <c r="T920" s="56">
        <f>0</f>
        <v>0</v>
      </c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</row>
    <row r="921" spans="1:30" ht="15.75" x14ac:dyDescent="0.25">
      <c r="A921" s="13">
        <v>69337</v>
      </c>
      <c r="B921" s="67">
        <f t="shared" si="151"/>
        <v>31</v>
      </c>
      <c r="C921" s="56">
        <f>131.881</f>
        <v>131.881</v>
      </c>
      <c r="D921" s="56">
        <f>277.167</f>
        <v>277.16699999999997</v>
      </c>
      <c r="E921" s="64">
        <f>79.08</f>
        <v>79.08</v>
      </c>
      <c r="F921" s="56">
        <f>350.872-40-25-60-100</f>
        <v>125.87200000000001</v>
      </c>
      <c r="G921" s="59">
        <v>40</v>
      </c>
      <c r="H921" s="56">
        <f t="shared" si="156"/>
        <v>185</v>
      </c>
      <c r="I921" s="56">
        <f t="shared" si="147"/>
        <v>0</v>
      </c>
      <c r="J921" s="59">
        <v>100</v>
      </c>
      <c r="K921" s="59">
        <v>300</v>
      </c>
      <c r="L921" s="56">
        <f t="shared" si="152"/>
        <v>1239</v>
      </c>
      <c r="M921" s="66">
        <v>600</v>
      </c>
      <c r="N921" s="56">
        <f>75</f>
        <v>75</v>
      </c>
      <c r="O921" s="59">
        <v>240</v>
      </c>
      <c r="P921" s="59">
        <v>40</v>
      </c>
      <c r="Q921" s="59">
        <f t="shared" si="153"/>
        <v>315</v>
      </c>
      <c r="R921" s="59">
        <f t="shared" si="154"/>
        <v>100</v>
      </c>
      <c r="S921" s="56">
        <f t="shared" si="155"/>
        <v>695</v>
      </c>
      <c r="T921" s="56">
        <f>0</f>
        <v>0</v>
      </c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</row>
    <row r="922" spans="1:30" ht="15.75" x14ac:dyDescent="0.25">
      <c r="A922" s="13">
        <v>69367</v>
      </c>
      <c r="B922" s="67">
        <f t="shared" si="151"/>
        <v>30</v>
      </c>
      <c r="C922" s="56">
        <f>122.58</f>
        <v>122.58</v>
      </c>
      <c r="D922" s="56">
        <f>297.941</f>
        <v>297.94099999999997</v>
      </c>
      <c r="E922" s="64">
        <f>89.177</f>
        <v>89.177000000000007</v>
      </c>
      <c r="F922" s="56">
        <f>240.302-40-60-100</f>
        <v>40.301999999999992</v>
      </c>
      <c r="G922" s="59">
        <v>40</v>
      </c>
      <c r="H922" s="56">
        <f>60+100</f>
        <v>160</v>
      </c>
      <c r="I922" s="56">
        <f t="shared" si="147"/>
        <v>0</v>
      </c>
      <c r="J922" s="59">
        <v>100</v>
      </c>
      <c r="K922" s="59">
        <v>300</v>
      </c>
      <c r="L922" s="56">
        <f t="shared" si="152"/>
        <v>1150</v>
      </c>
      <c r="M922" s="66">
        <v>600</v>
      </c>
      <c r="N922" s="56">
        <f>100</f>
        <v>100</v>
      </c>
      <c r="O922" s="59">
        <v>240</v>
      </c>
      <c r="P922" s="59">
        <v>40</v>
      </c>
      <c r="Q922" s="59">
        <f t="shared" si="153"/>
        <v>315</v>
      </c>
      <c r="R922" s="59">
        <f t="shared" si="154"/>
        <v>100</v>
      </c>
      <c r="S922" s="56">
        <f t="shared" si="155"/>
        <v>695</v>
      </c>
      <c r="T922" s="56">
        <f>50</f>
        <v>50</v>
      </c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</row>
    <row r="923" spans="1:30" ht="15.75" x14ac:dyDescent="0.25">
      <c r="A923" s="13">
        <v>69398</v>
      </c>
      <c r="B923" s="67">
        <f t="shared" si="151"/>
        <v>31</v>
      </c>
      <c r="C923" s="56">
        <f>122.58</f>
        <v>122.58</v>
      </c>
      <c r="D923" s="56">
        <f>297.941</f>
        <v>297.94099999999997</v>
      </c>
      <c r="E923" s="64">
        <f>89.177</f>
        <v>89.177000000000007</v>
      </c>
      <c r="F923" s="56">
        <f>240.302-40-60-100</f>
        <v>40.301999999999992</v>
      </c>
      <c r="G923" s="59">
        <v>40</v>
      </c>
      <c r="H923" s="56">
        <f>60+100</f>
        <v>160</v>
      </c>
      <c r="I923" s="56">
        <f t="shared" si="147"/>
        <v>0</v>
      </c>
      <c r="J923" s="59">
        <v>100</v>
      </c>
      <c r="K923" s="59">
        <v>300</v>
      </c>
      <c r="L923" s="56">
        <f t="shared" si="152"/>
        <v>1150</v>
      </c>
      <c r="M923" s="66">
        <v>600</v>
      </c>
      <c r="N923" s="56">
        <f>100</f>
        <v>100</v>
      </c>
      <c r="O923" s="59">
        <v>240</v>
      </c>
      <c r="P923" s="59">
        <v>40</v>
      </c>
      <c r="Q923" s="59">
        <f t="shared" si="153"/>
        <v>315</v>
      </c>
      <c r="R923" s="59">
        <f t="shared" si="154"/>
        <v>100</v>
      </c>
      <c r="S923" s="56">
        <f t="shared" si="155"/>
        <v>695</v>
      </c>
      <c r="T923" s="56">
        <f>50</f>
        <v>50</v>
      </c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</row>
    <row r="924" spans="1:30" ht="15.75" x14ac:dyDescent="0.25">
      <c r="A924" s="13">
        <v>69429</v>
      </c>
      <c r="B924" s="67">
        <f t="shared" si="151"/>
        <v>31</v>
      </c>
      <c r="C924" s="56">
        <f>122.58</f>
        <v>122.58</v>
      </c>
      <c r="D924" s="56">
        <f>297.941</f>
        <v>297.94099999999997</v>
      </c>
      <c r="E924" s="64">
        <f>89.177</f>
        <v>89.177000000000007</v>
      </c>
      <c r="F924" s="56">
        <f>240.302-40-60-100</f>
        <v>40.301999999999992</v>
      </c>
      <c r="G924" s="59">
        <v>40</v>
      </c>
      <c r="H924" s="56">
        <f>60+100</f>
        <v>160</v>
      </c>
      <c r="I924" s="56">
        <f t="shared" si="147"/>
        <v>0</v>
      </c>
      <c r="J924" s="59">
        <v>100</v>
      </c>
      <c r="K924" s="59">
        <v>300</v>
      </c>
      <c r="L924" s="56">
        <f t="shared" si="152"/>
        <v>1150</v>
      </c>
      <c r="M924" s="66">
        <v>600</v>
      </c>
      <c r="N924" s="56">
        <f>100</f>
        <v>100</v>
      </c>
      <c r="O924" s="59">
        <v>240</v>
      </c>
      <c r="P924" s="59">
        <v>40</v>
      </c>
      <c r="Q924" s="59">
        <f t="shared" si="153"/>
        <v>315</v>
      </c>
      <c r="R924" s="59">
        <f t="shared" si="154"/>
        <v>100</v>
      </c>
      <c r="S924" s="56">
        <f t="shared" si="155"/>
        <v>695</v>
      </c>
      <c r="T924" s="56">
        <f>50</f>
        <v>50</v>
      </c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</row>
    <row r="925" spans="1:30" ht="15.75" x14ac:dyDescent="0.25">
      <c r="A925" s="13">
        <v>69457</v>
      </c>
      <c r="B925" s="67">
        <f t="shared" si="151"/>
        <v>28</v>
      </c>
      <c r="C925" s="56">
        <f>122.58</f>
        <v>122.58</v>
      </c>
      <c r="D925" s="56">
        <f>297.941</f>
        <v>297.94099999999997</v>
      </c>
      <c r="E925" s="64">
        <f>89.177</f>
        <v>89.177000000000007</v>
      </c>
      <c r="F925" s="56">
        <f>240.302-40-60-100</f>
        <v>40.301999999999992</v>
      </c>
      <c r="G925" s="59">
        <v>40</v>
      </c>
      <c r="H925" s="56">
        <f>60+100</f>
        <v>160</v>
      </c>
      <c r="I925" s="56">
        <f t="shared" si="147"/>
        <v>0</v>
      </c>
      <c r="J925" s="59">
        <v>100</v>
      </c>
      <c r="K925" s="59">
        <v>300</v>
      </c>
      <c r="L925" s="56">
        <f t="shared" si="152"/>
        <v>1150</v>
      </c>
      <c r="M925" s="66">
        <v>600</v>
      </c>
      <c r="N925" s="56">
        <f>100</f>
        <v>100</v>
      </c>
      <c r="O925" s="59">
        <v>240</v>
      </c>
      <c r="P925" s="59">
        <v>40</v>
      </c>
      <c r="Q925" s="59">
        <f t="shared" si="153"/>
        <v>315</v>
      </c>
      <c r="R925" s="59">
        <f t="shared" si="154"/>
        <v>100</v>
      </c>
      <c r="S925" s="56">
        <f t="shared" si="155"/>
        <v>695</v>
      </c>
      <c r="T925" s="56">
        <f>50</f>
        <v>50</v>
      </c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</row>
    <row r="926" spans="1:30" ht="15.75" x14ac:dyDescent="0.25">
      <c r="A926" s="13">
        <v>69488</v>
      </c>
      <c r="B926" s="67">
        <f t="shared" si="151"/>
        <v>31</v>
      </c>
      <c r="C926" s="56">
        <f>122.58</f>
        <v>122.58</v>
      </c>
      <c r="D926" s="56">
        <f>297.941</f>
        <v>297.94099999999997</v>
      </c>
      <c r="E926" s="64">
        <f>89.177</f>
        <v>89.177000000000007</v>
      </c>
      <c r="F926" s="56">
        <f>240.302-40-60-100</f>
        <v>40.301999999999992</v>
      </c>
      <c r="G926" s="59">
        <v>40</v>
      </c>
      <c r="H926" s="56">
        <f>60+100</f>
        <v>160</v>
      </c>
      <c r="I926" s="56">
        <f t="shared" si="147"/>
        <v>0</v>
      </c>
      <c r="J926" s="59">
        <v>100</v>
      </c>
      <c r="K926" s="59">
        <v>300</v>
      </c>
      <c r="L926" s="56">
        <f t="shared" si="152"/>
        <v>1150</v>
      </c>
      <c r="M926" s="66">
        <v>600</v>
      </c>
      <c r="N926" s="56">
        <f>100</f>
        <v>100</v>
      </c>
      <c r="O926" s="59">
        <v>240</v>
      </c>
      <c r="P926" s="59">
        <v>40</v>
      </c>
      <c r="Q926" s="59">
        <f t="shared" si="153"/>
        <v>315</v>
      </c>
      <c r="R926" s="59">
        <f t="shared" si="154"/>
        <v>100</v>
      </c>
      <c r="S926" s="56">
        <f t="shared" si="155"/>
        <v>695</v>
      </c>
      <c r="T926" s="56">
        <f>50</f>
        <v>50</v>
      </c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</row>
    <row r="927" spans="1:30" ht="15.75" x14ac:dyDescent="0.25">
      <c r="A927" s="13">
        <v>69518</v>
      </c>
      <c r="B927" s="67">
        <f t="shared" si="151"/>
        <v>30</v>
      </c>
      <c r="C927" s="56">
        <f>141.293</f>
        <v>141.29300000000001</v>
      </c>
      <c r="D927" s="56">
        <f>267.993</f>
        <v>267.99299999999999</v>
      </c>
      <c r="E927" s="64">
        <f>115.016</f>
        <v>115.01600000000001</v>
      </c>
      <c r="F927" s="56">
        <f>314.698-40-25-60-100</f>
        <v>89.697999999999979</v>
      </c>
      <c r="G927" s="59">
        <v>40</v>
      </c>
      <c r="H927" s="56">
        <f t="shared" ref="H927:H933" si="157">25+60+100</f>
        <v>185</v>
      </c>
      <c r="I927" s="56">
        <f t="shared" si="147"/>
        <v>0</v>
      </c>
      <c r="J927" s="59">
        <v>100</v>
      </c>
      <c r="K927" s="59">
        <v>300</v>
      </c>
      <c r="L927" s="56">
        <f t="shared" si="152"/>
        <v>1239</v>
      </c>
      <c r="M927" s="66">
        <v>600</v>
      </c>
      <c r="N927" s="56">
        <f>100</f>
        <v>100</v>
      </c>
      <c r="O927" s="59">
        <v>240</v>
      </c>
      <c r="P927" s="59">
        <v>40</v>
      </c>
      <c r="Q927" s="59">
        <f t="shared" si="153"/>
        <v>315</v>
      </c>
      <c r="R927" s="59">
        <f t="shared" si="154"/>
        <v>100</v>
      </c>
      <c r="S927" s="56">
        <f t="shared" si="155"/>
        <v>695</v>
      </c>
      <c r="T927" s="56">
        <f>50</f>
        <v>50</v>
      </c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</row>
    <row r="928" spans="1:30" ht="15.75" x14ac:dyDescent="0.25">
      <c r="A928" s="13">
        <v>69549</v>
      </c>
      <c r="B928" s="67">
        <f t="shared" si="151"/>
        <v>31</v>
      </c>
      <c r="C928" s="56">
        <f>194.205</f>
        <v>194.20500000000001</v>
      </c>
      <c r="D928" s="56">
        <f>267.466</f>
        <v>267.46600000000001</v>
      </c>
      <c r="E928" s="64">
        <f>133.845</f>
        <v>133.845</v>
      </c>
      <c r="F928" s="56">
        <f>278.484-40-25-60-100</f>
        <v>53.48399999999998</v>
      </c>
      <c r="G928" s="59">
        <v>40</v>
      </c>
      <c r="H928" s="56">
        <f t="shared" si="157"/>
        <v>185</v>
      </c>
      <c r="I928" s="56">
        <f t="shared" si="147"/>
        <v>0</v>
      </c>
      <c r="J928" s="59">
        <v>100</v>
      </c>
      <c r="K928" s="59">
        <v>300</v>
      </c>
      <c r="L928" s="56">
        <f t="shared" si="152"/>
        <v>1274</v>
      </c>
      <c r="M928" s="66">
        <v>600</v>
      </c>
      <c r="N928" s="56">
        <f>75</f>
        <v>75</v>
      </c>
      <c r="O928" s="59">
        <v>240</v>
      </c>
      <c r="P928" s="59">
        <v>40</v>
      </c>
      <c r="Q928" s="59">
        <f t="shared" si="153"/>
        <v>315</v>
      </c>
      <c r="R928" s="59">
        <f t="shared" si="154"/>
        <v>100</v>
      </c>
      <c r="S928" s="56">
        <f t="shared" si="155"/>
        <v>695</v>
      </c>
      <c r="T928" s="56">
        <f>50</f>
        <v>50</v>
      </c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</row>
    <row r="929" spans="1:30" ht="15.75" x14ac:dyDescent="0.25">
      <c r="A929" s="13">
        <v>69579</v>
      </c>
      <c r="B929" s="67">
        <f t="shared" si="151"/>
        <v>30</v>
      </c>
      <c r="C929" s="56">
        <f>194.205</f>
        <v>194.20500000000001</v>
      </c>
      <c r="D929" s="56">
        <f>267.466</f>
        <v>267.46600000000001</v>
      </c>
      <c r="E929" s="64">
        <f>133.845</f>
        <v>133.845</v>
      </c>
      <c r="F929" s="56">
        <f>278.484-40-25-60-100</f>
        <v>53.48399999999998</v>
      </c>
      <c r="G929" s="59">
        <v>40</v>
      </c>
      <c r="H929" s="56">
        <f t="shared" si="157"/>
        <v>185</v>
      </c>
      <c r="I929" s="56">
        <f t="shared" si="147"/>
        <v>0</v>
      </c>
      <c r="J929" s="59">
        <v>100</v>
      </c>
      <c r="K929" s="59">
        <v>300</v>
      </c>
      <c r="L929" s="56">
        <f t="shared" si="152"/>
        <v>1274</v>
      </c>
      <c r="M929" s="66">
        <v>600</v>
      </c>
      <c r="N929" s="56">
        <f>30</f>
        <v>30</v>
      </c>
      <c r="O929" s="59">
        <v>240</v>
      </c>
      <c r="P929" s="59">
        <v>40</v>
      </c>
      <c r="Q929" s="59">
        <f t="shared" si="153"/>
        <v>315</v>
      </c>
      <c r="R929" s="59">
        <f t="shared" si="154"/>
        <v>100</v>
      </c>
      <c r="S929" s="56">
        <f t="shared" si="155"/>
        <v>695</v>
      </c>
      <c r="T929" s="56">
        <f>50</f>
        <v>50</v>
      </c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</row>
    <row r="930" spans="1:30" ht="15.75" x14ac:dyDescent="0.25">
      <c r="A930" s="13">
        <v>69610</v>
      </c>
      <c r="B930" s="67">
        <f t="shared" si="151"/>
        <v>31</v>
      </c>
      <c r="C930" s="56">
        <f>194.205</f>
        <v>194.20500000000001</v>
      </c>
      <c r="D930" s="56">
        <f>267.466</f>
        <v>267.46600000000001</v>
      </c>
      <c r="E930" s="64">
        <f>133.845</f>
        <v>133.845</v>
      </c>
      <c r="F930" s="56">
        <f>278.484-40-25-60-100</f>
        <v>53.48399999999998</v>
      </c>
      <c r="G930" s="59">
        <v>40</v>
      </c>
      <c r="H930" s="56">
        <f t="shared" si="157"/>
        <v>185</v>
      </c>
      <c r="I930" s="56">
        <f t="shared" si="147"/>
        <v>0</v>
      </c>
      <c r="J930" s="59">
        <v>100</v>
      </c>
      <c r="K930" s="59">
        <v>300</v>
      </c>
      <c r="L930" s="56">
        <f t="shared" si="152"/>
        <v>1274</v>
      </c>
      <c r="M930" s="66">
        <v>600</v>
      </c>
      <c r="N930" s="56">
        <f>30</f>
        <v>30</v>
      </c>
      <c r="O930" s="59">
        <v>240</v>
      </c>
      <c r="P930" s="59">
        <v>40</v>
      </c>
      <c r="Q930" s="59">
        <f t="shared" si="153"/>
        <v>315</v>
      </c>
      <c r="R930" s="59">
        <f t="shared" si="154"/>
        <v>100</v>
      </c>
      <c r="S930" s="56">
        <f t="shared" si="155"/>
        <v>695</v>
      </c>
      <c r="T930" s="56">
        <f>0</f>
        <v>0</v>
      </c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</row>
    <row r="931" spans="1:30" ht="15.75" x14ac:dyDescent="0.25">
      <c r="A931" s="13">
        <v>69641</v>
      </c>
      <c r="B931" s="67">
        <f t="shared" si="151"/>
        <v>31</v>
      </c>
      <c r="C931" s="56">
        <f>194.205</f>
        <v>194.20500000000001</v>
      </c>
      <c r="D931" s="56">
        <f>267.466</f>
        <v>267.46600000000001</v>
      </c>
      <c r="E931" s="64">
        <f>133.845</f>
        <v>133.845</v>
      </c>
      <c r="F931" s="56">
        <f>278.484-40-25-60-100</f>
        <v>53.48399999999998</v>
      </c>
      <c r="G931" s="59">
        <v>40</v>
      </c>
      <c r="H931" s="56">
        <f t="shared" si="157"/>
        <v>185</v>
      </c>
      <c r="I931" s="56">
        <f t="shared" si="147"/>
        <v>0</v>
      </c>
      <c r="J931" s="59">
        <v>100</v>
      </c>
      <c r="K931" s="59">
        <v>300</v>
      </c>
      <c r="L931" s="56">
        <f t="shared" si="152"/>
        <v>1274</v>
      </c>
      <c r="M931" s="66">
        <v>600</v>
      </c>
      <c r="N931" s="56">
        <f>30</f>
        <v>30</v>
      </c>
      <c r="O931" s="59">
        <v>240</v>
      </c>
      <c r="P931" s="59">
        <v>40</v>
      </c>
      <c r="Q931" s="59">
        <f t="shared" si="153"/>
        <v>315</v>
      </c>
      <c r="R931" s="59">
        <f t="shared" si="154"/>
        <v>100</v>
      </c>
      <c r="S931" s="56">
        <f t="shared" si="155"/>
        <v>695</v>
      </c>
      <c r="T931" s="56">
        <f>0</f>
        <v>0</v>
      </c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</row>
    <row r="932" spans="1:30" ht="15.75" x14ac:dyDescent="0.25">
      <c r="A932" s="13">
        <v>69671</v>
      </c>
      <c r="B932" s="67">
        <f t="shared" si="151"/>
        <v>30</v>
      </c>
      <c r="C932" s="56">
        <f>194.205</f>
        <v>194.20500000000001</v>
      </c>
      <c r="D932" s="56">
        <f>267.466</f>
        <v>267.46600000000001</v>
      </c>
      <c r="E932" s="64">
        <f>133.845</f>
        <v>133.845</v>
      </c>
      <c r="F932" s="56">
        <f>278.484-40-25-60-100</f>
        <v>53.48399999999998</v>
      </c>
      <c r="G932" s="59">
        <v>40</v>
      </c>
      <c r="H932" s="56">
        <f t="shared" si="157"/>
        <v>185</v>
      </c>
      <c r="I932" s="56">
        <f t="shared" si="147"/>
        <v>0</v>
      </c>
      <c r="J932" s="59">
        <v>100</v>
      </c>
      <c r="K932" s="59">
        <v>300</v>
      </c>
      <c r="L932" s="56">
        <f t="shared" si="152"/>
        <v>1274</v>
      </c>
      <c r="M932" s="66">
        <v>600</v>
      </c>
      <c r="N932" s="56">
        <f>30</f>
        <v>30</v>
      </c>
      <c r="O932" s="59">
        <v>240</v>
      </c>
      <c r="P932" s="59">
        <v>40</v>
      </c>
      <c r="Q932" s="59">
        <f t="shared" si="153"/>
        <v>315</v>
      </c>
      <c r="R932" s="59">
        <f t="shared" si="154"/>
        <v>100</v>
      </c>
      <c r="S932" s="56">
        <f t="shared" si="155"/>
        <v>695</v>
      </c>
      <c r="T932" s="56">
        <f>0</f>
        <v>0</v>
      </c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</row>
    <row r="933" spans="1:30" ht="15.75" x14ac:dyDescent="0.25">
      <c r="A933" s="13">
        <v>69702</v>
      </c>
      <c r="B933" s="67">
        <f t="shared" si="151"/>
        <v>31</v>
      </c>
      <c r="C933" s="56">
        <f>131.881</f>
        <v>131.881</v>
      </c>
      <c r="D933" s="56">
        <f>277.167</f>
        <v>277.16699999999997</v>
      </c>
      <c r="E933" s="64">
        <f>79.08</f>
        <v>79.08</v>
      </c>
      <c r="F933" s="56">
        <f>350.872-40-25-60-100</f>
        <v>125.87200000000001</v>
      </c>
      <c r="G933" s="59">
        <v>40</v>
      </c>
      <c r="H933" s="56">
        <f t="shared" si="157"/>
        <v>185</v>
      </c>
      <c r="I933" s="56">
        <f t="shared" si="147"/>
        <v>0</v>
      </c>
      <c r="J933" s="59">
        <v>100</v>
      </c>
      <c r="K933" s="59">
        <v>300</v>
      </c>
      <c r="L933" s="56">
        <f t="shared" si="152"/>
        <v>1239</v>
      </c>
      <c r="M933" s="66">
        <v>600</v>
      </c>
      <c r="N933" s="56">
        <f>75</f>
        <v>75</v>
      </c>
      <c r="O933" s="59">
        <v>240</v>
      </c>
      <c r="P933" s="59">
        <v>40</v>
      </c>
      <c r="Q933" s="59">
        <f t="shared" si="153"/>
        <v>315</v>
      </c>
      <c r="R933" s="59">
        <f t="shared" si="154"/>
        <v>100</v>
      </c>
      <c r="S933" s="56">
        <f t="shared" si="155"/>
        <v>695</v>
      </c>
      <c r="T933" s="56">
        <f>0</f>
        <v>0</v>
      </c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</row>
    <row r="934" spans="1:30" ht="15.75" x14ac:dyDescent="0.25">
      <c r="A934" s="13">
        <v>69732</v>
      </c>
      <c r="B934" s="67">
        <f t="shared" si="151"/>
        <v>30</v>
      </c>
      <c r="C934" s="56">
        <f>122.58</f>
        <v>122.58</v>
      </c>
      <c r="D934" s="56">
        <f>297.941</f>
        <v>297.94099999999997</v>
      </c>
      <c r="E934" s="64">
        <f>89.177</f>
        <v>89.177000000000007</v>
      </c>
      <c r="F934" s="56">
        <f>240.302-40-60-100</f>
        <v>40.301999999999992</v>
      </c>
      <c r="G934" s="59">
        <v>40</v>
      </c>
      <c r="H934" s="56">
        <f>60+100</f>
        <v>160</v>
      </c>
      <c r="I934" s="56">
        <f t="shared" si="147"/>
        <v>0</v>
      </c>
      <c r="J934" s="59">
        <v>100</v>
      </c>
      <c r="K934" s="59">
        <v>300</v>
      </c>
      <c r="L934" s="56">
        <f t="shared" si="152"/>
        <v>1150</v>
      </c>
      <c r="M934" s="66">
        <v>600</v>
      </c>
      <c r="N934" s="56">
        <f>100</f>
        <v>100</v>
      </c>
      <c r="O934" s="59">
        <v>240</v>
      </c>
      <c r="P934" s="59">
        <v>40</v>
      </c>
      <c r="Q934" s="59">
        <f t="shared" si="153"/>
        <v>315</v>
      </c>
      <c r="R934" s="59">
        <f t="shared" si="154"/>
        <v>100</v>
      </c>
      <c r="S934" s="56">
        <f t="shared" si="155"/>
        <v>695</v>
      </c>
      <c r="T934" s="56">
        <f>50</f>
        <v>50</v>
      </c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</row>
    <row r="935" spans="1:30" ht="15.75" x14ac:dyDescent="0.25">
      <c r="A935" s="13">
        <v>69763</v>
      </c>
      <c r="B935" s="67">
        <f t="shared" si="151"/>
        <v>31</v>
      </c>
      <c r="C935" s="56">
        <f>122.58</f>
        <v>122.58</v>
      </c>
      <c r="D935" s="56">
        <f>297.941</f>
        <v>297.94099999999997</v>
      </c>
      <c r="E935" s="64">
        <f>89.177</f>
        <v>89.177000000000007</v>
      </c>
      <c r="F935" s="56">
        <f>240.302-40-60-100</f>
        <v>40.301999999999992</v>
      </c>
      <c r="G935" s="59">
        <v>40</v>
      </c>
      <c r="H935" s="56">
        <f>60+100</f>
        <v>160</v>
      </c>
      <c r="I935" s="56">
        <f t="shared" si="147"/>
        <v>0</v>
      </c>
      <c r="J935" s="59">
        <v>100</v>
      </c>
      <c r="K935" s="59">
        <v>300</v>
      </c>
      <c r="L935" s="56">
        <f t="shared" si="152"/>
        <v>1150</v>
      </c>
      <c r="M935" s="66">
        <v>600</v>
      </c>
      <c r="N935" s="56">
        <f>100</f>
        <v>100</v>
      </c>
      <c r="O935" s="59">
        <v>240</v>
      </c>
      <c r="P935" s="59">
        <v>40</v>
      </c>
      <c r="Q935" s="59">
        <f t="shared" si="153"/>
        <v>315</v>
      </c>
      <c r="R935" s="59">
        <f t="shared" si="154"/>
        <v>100</v>
      </c>
      <c r="S935" s="56">
        <f t="shared" si="155"/>
        <v>695</v>
      </c>
      <c r="T935" s="56">
        <f>50</f>
        <v>50</v>
      </c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</row>
    <row r="936" spans="1:30" ht="15.75" x14ac:dyDescent="0.25">
      <c r="A936" s="13">
        <v>69794</v>
      </c>
      <c r="B936" s="67">
        <f t="shared" si="151"/>
        <v>31</v>
      </c>
      <c r="C936" s="56">
        <f>122.58</f>
        <v>122.58</v>
      </c>
      <c r="D936" s="56">
        <f>297.941</f>
        <v>297.94099999999997</v>
      </c>
      <c r="E936" s="64">
        <f>89.177</f>
        <v>89.177000000000007</v>
      </c>
      <c r="F936" s="56">
        <f>240.302-40-60-100</f>
        <v>40.301999999999992</v>
      </c>
      <c r="G936" s="59">
        <v>40</v>
      </c>
      <c r="H936" s="56">
        <f>60+100</f>
        <v>160</v>
      </c>
      <c r="I936" s="56">
        <f t="shared" ref="I936:I999" si="158">400-J936-K936</f>
        <v>0</v>
      </c>
      <c r="J936" s="59">
        <v>100</v>
      </c>
      <c r="K936" s="59">
        <v>300</v>
      </c>
      <c r="L936" s="56">
        <f t="shared" si="152"/>
        <v>1150</v>
      </c>
      <c r="M936" s="66">
        <v>600</v>
      </c>
      <c r="N936" s="56">
        <f>100</f>
        <v>100</v>
      </c>
      <c r="O936" s="59">
        <v>240</v>
      </c>
      <c r="P936" s="59">
        <v>40</v>
      </c>
      <c r="Q936" s="59">
        <f t="shared" si="153"/>
        <v>315</v>
      </c>
      <c r="R936" s="59">
        <f t="shared" si="154"/>
        <v>100</v>
      </c>
      <c r="S936" s="56">
        <f t="shared" si="155"/>
        <v>695</v>
      </c>
      <c r="T936" s="56">
        <f>50</f>
        <v>50</v>
      </c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</row>
    <row r="937" spans="1:30" ht="15.75" x14ac:dyDescent="0.25">
      <c r="A937" s="13">
        <v>69822</v>
      </c>
      <c r="B937" s="67">
        <f t="shared" si="151"/>
        <v>28</v>
      </c>
      <c r="C937" s="56">
        <f>122.58</f>
        <v>122.58</v>
      </c>
      <c r="D937" s="56">
        <f>297.941</f>
        <v>297.94099999999997</v>
      </c>
      <c r="E937" s="64">
        <f>89.177</f>
        <v>89.177000000000007</v>
      </c>
      <c r="F937" s="56">
        <f>240.302-40-60-100</f>
        <v>40.301999999999992</v>
      </c>
      <c r="G937" s="59">
        <v>40</v>
      </c>
      <c r="H937" s="56">
        <f>60+100</f>
        <v>160</v>
      </c>
      <c r="I937" s="56">
        <f t="shared" si="158"/>
        <v>0</v>
      </c>
      <c r="J937" s="59">
        <v>100</v>
      </c>
      <c r="K937" s="59">
        <v>300</v>
      </c>
      <c r="L937" s="56">
        <f t="shared" si="152"/>
        <v>1150</v>
      </c>
      <c r="M937" s="66">
        <v>600</v>
      </c>
      <c r="N937" s="56">
        <f>100</f>
        <v>100</v>
      </c>
      <c r="O937" s="59">
        <v>240</v>
      </c>
      <c r="P937" s="59">
        <v>40</v>
      </c>
      <c r="Q937" s="59">
        <f t="shared" si="153"/>
        <v>315</v>
      </c>
      <c r="R937" s="59">
        <f t="shared" si="154"/>
        <v>100</v>
      </c>
      <c r="S937" s="56">
        <f t="shared" si="155"/>
        <v>695</v>
      </c>
      <c r="T937" s="56">
        <f>50</f>
        <v>50</v>
      </c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</row>
    <row r="938" spans="1:30" ht="15.75" x14ac:dyDescent="0.25">
      <c r="A938" s="13">
        <v>69853</v>
      </c>
      <c r="B938" s="67">
        <f t="shared" si="151"/>
        <v>31</v>
      </c>
      <c r="C938" s="56">
        <f>122.58</f>
        <v>122.58</v>
      </c>
      <c r="D938" s="56">
        <f>297.941</f>
        <v>297.94099999999997</v>
      </c>
      <c r="E938" s="64">
        <f>89.177</f>
        <v>89.177000000000007</v>
      </c>
      <c r="F938" s="56">
        <f>240.302-40-60-100</f>
        <v>40.301999999999992</v>
      </c>
      <c r="G938" s="59">
        <v>40</v>
      </c>
      <c r="H938" s="56">
        <f>60+100</f>
        <v>160</v>
      </c>
      <c r="I938" s="56">
        <f t="shared" si="158"/>
        <v>0</v>
      </c>
      <c r="J938" s="59">
        <v>100</v>
      </c>
      <c r="K938" s="59">
        <v>300</v>
      </c>
      <c r="L938" s="56">
        <f t="shared" si="152"/>
        <v>1150</v>
      </c>
      <c r="M938" s="66">
        <v>600</v>
      </c>
      <c r="N938" s="56">
        <f>100</f>
        <v>100</v>
      </c>
      <c r="O938" s="59">
        <v>240</v>
      </c>
      <c r="P938" s="59">
        <v>40</v>
      </c>
      <c r="Q938" s="59">
        <f t="shared" si="153"/>
        <v>315</v>
      </c>
      <c r="R938" s="59">
        <f t="shared" si="154"/>
        <v>100</v>
      </c>
      <c r="S938" s="56">
        <f t="shared" si="155"/>
        <v>695</v>
      </c>
      <c r="T938" s="56">
        <f>50</f>
        <v>50</v>
      </c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</row>
    <row r="939" spans="1:30" ht="15.75" x14ac:dyDescent="0.25">
      <c r="A939" s="13">
        <v>69883</v>
      </c>
      <c r="B939" s="67">
        <f t="shared" si="151"/>
        <v>30</v>
      </c>
      <c r="C939" s="56">
        <f>141.293</f>
        <v>141.29300000000001</v>
      </c>
      <c r="D939" s="56">
        <f>267.993</f>
        <v>267.99299999999999</v>
      </c>
      <c r="E939" s="64">
        <f>115.016</f>
        <v>115.01600000000001</v>
      </c>
      <c r="F939" s="56">
        <f>314.698-40-25-60-100</f>
        <v>89.697999999999979</v>
      </c>
      <c r="G939" s="59">
        <v>40</v>
      </c>
      <c r="H939" s="56">
        <f t="shared" ref="H939:H945" si="159">25+60+100</f>
        <v>185</v>
      </c>
      <c r="I939" s="56">
        <f t="shared" si="158"/>
        <v>0</v>
      </c>
      <c r="J939" s="59">
        <v>100</v>
      </c>
      <c r="K939" s="59">
        <v>300</v>
      </c>
      <c r="L939" s="56">
        <f t="shared" si="152"/>
        <v>1239</v>
      </c>
      <c r="M939" s="66">
        <v>600</v>
      </c>
      <c r="N939" s="56">
        <f>100</f>
        <v>100</v>
      </c>
      <c r="O939" s="59">
        <v>240</v>
      </c>
      <c r="P939" s="59">
        <v>40</v>
      </c>
      <c r="Q939" s="59">
        <f t="shared" si="153"/>
        <v>315</v>
      </c>
      <c r="R939" s="59">
        <f t="shared" si="154"/>
        <v>100</v>
      </c>
      <c r="S939" s="56">
        <f t="shared" si="155"/>
        <v>695</v>
      </c>
      <c r="T939" s="56">
        <f>50</f>
        <v>50</v>
      </c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</row>
    <row r="940" spans="1:30" ht="15.75" x14ac:dyDescent="0.25">
      <c r="A940" s="13">
        <v>69914</v>
      </c>
      <c r="B940" s="67">
        <f t="shared" si="151"/>
        <v>31</v>
      </c>
      <c r="C940" s="56">
        <f>194.205</f>
        <v>194.20500000000001</v>
      </c>
      <c r="D940" s="56">
        <f>267.466</f>
        <v>267.46600000000001</v>
      </c>
      <c r="E940" s="64">
        <f>133.845</f>
        <v>133.845</v>
      </c>
      <c r="F940" s="56">
        <f>278.484-40-25-60-100</f>
        <v>53.48399999999998</v>
      </c>
      <c r="G940" s="59">
        <v>40</v>
      </c>
      <c r="H940" s="56">
        <f t="shared" si="159"/>
        <v>185</v>
      </c>
      <c r="I940" s="56">
        <f t="shared" si="158"/>
        <v>0</v>
      </c>
      <c r="J940" s="59">
        <v>100</v>
      </c>
      <c r="K940" s="59">
        <v>300</v>
      </c>
      <c r="L940" s="56">
        <f t="shared" si="152"/>
        <v>1274</v>
      </c>
      <c r="M940" s="66">
        <v>600</v>
      </c>
      <c r="N940" s="56">
        <f>75</f>
        <v>75</v>
      </c>
      <c r="O940" s="59">
        <v>240</v>
      </c>
      <c r="P940" s="59">
        <v>40</v>
      </c>
      <c r="Q940" s="59">
        <f t="shared" si="153"/>
        <v>315</v>
      </c>
      <c r="R940" s="59">
        <f t="shared" si="154"/>
        <v>100</v>
      </c>
      <c r="S940" s="56">
        <f t="shared" si="155"/>
        <v>695</v>
      </c>
      <c r="T940" s="56">
        <f>50</f>
        <v>50</v>
      </c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</row>
    <row r="941" spans="1:30" ht="15.75" x14ac:dyDescent="0.25">
      <c r="A941" s="13">
        <v>69944</v>
      </c>
      <c r="B941" s="67">
        <f t="shared" si="151"/>
        <v>30</v>
      </c>
      <c r="C941" s="56">
        <f>194.205</f>
        <v>194.20500000000001</v>
      </c>
      <c r="D941" s="56">
        <f>267.466</f>
        <v>267.46600000000001</v>
      </c>
      <c r="E941" s="64">
        <f>133.845</f>
        <v>133.845</v>
      </c>
      <c r="F941" s="56">
        <f>278.484-40-25-60-100</f>
        <v>53.48399999999998</v>
      </c>
      <c r="G941" s="59">
        <v>40</v>
      </c>
      <c r="H941" s="56">
        <f t="shared" si="159"/>
        <v>185</v>
      </c>
      <c r="I941" s="56">
        <f t="shared" si="158"/>
        <v>0</v>
      </c>
      <c r="J941" s="59">
        <v>100</v>
      </c>
      <c r="K941" s="59">
        <v>300</v>
      </c>
      <c r="L941" s="56">
        <f t="shared" si="152"/>
        <v>1274</v>
      </c>
      <c r="M941" s="66">
        <v>600</v>
      </c>
      <c r="N941" s="56">
        <f>30</f>
        <v>30</v>
      </c>
      <c r="O941" s="59">
        <v>240</v>
      </c>
      <c r="P941" s="59">
        <v>40</v>
      </c>
      <c r="Q941" s="59">
        <f t="shared" si="153"/>
        <v>315</v>
      </c>
      <c r="R941" s="59">
        <f t="shared" si="154"/>
        <v>100</v>
      </c>
      <c r="S941" s="56">
        <f t="shared" si="155"/>
        <v>695</v>
      </c>
      <c r="T941" s="56">
        <f>50</f>
        <v>50</v>
      </c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</row>
    <row r="942" spans="1:30" ht="15.75" x14ac:dyDescent="0.25">
      <c r="A942" s="13">
        <v>69975</v>
      </c>
      <c r="B942" s="67">
        <f t="shared" si="151"/>
        <v>31</v>
      </c>
      <c r="C942" s="56">
        <f>194.205</f>
        <v>194.20500000000001</v>
      </c>
      <c r="D942" s="56">
        <f>267.466</f>
        <v>267.46600000000001</v>
      </c>
      <c r="E942" s="64">
        <f>133.845</f>
        <v>133.845</v>
      </c>
      <c r="F942" s="56">
        <f>278.484-40-25-60-100</f>
        <v>53.48399999999998</v>
      </c>
      <c r="G942" s="59">
        <v>40</v>
      </c>
      <c r="H942" s="56">
        <f t="shared" si="159"/>
        <v>185</v>
      </c>
      <c r="I942" s="56">
        <f t="shared" si="158"/>
        <v>0</v>
      </c>
      <c r="J942" s="59">
        <v>100</v>
      </c>
      <c r="K942" s="59">
        <v>300</v>
      </c>
      <c r="L942" s="56">
        <f t="shared" si="152"/>
        <v>1274</v>
      </c>
      <c r="M942" s="66">
        <v>600</v>
      </c>
      <c r="N942" s="56">
        <f>30</f>
        <v>30</v>
      </c>
      <c r="O942" s="59">
        <v>240</v>
      </c>
      <c r="P942" s="59">
        <v>40</v>
      </c>
      <c r="Q942" s="59">
        <f t="shared" si="153"/>
        <v>315</v>
      </c>
      <c r="R942" s="59">
        <f t="shared" si="154"/>
        <v>100</v>
      </c>
      <c r="S942" s="56">
        <f t="shared" si="155"/>
        <v>695</v>
      </c>
      <c r="T942" s="56">
        <f>0</f>
        <v>0</v>
      </c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</row>
    <row r="943" spans="1:30" ht="15.75" x14ac:dyDescent="0.25">
      <c r="A943" s="13">
        <v>70006</v>
      </c>
      <c r="B943" s="67">
        <f t="shared" si="151"/>
        <v>31</v>
      </c>
      <c r="C943" s="56">
        <f>194.205</f>
        <v>194.20500000000001</v>
      </c>
      <c r="D943" s="56">
        <f>267.466</f>
        <v>267.46600000000001</v>
      </c>
      <c r="E943" s="64">
        <f>133.845</f>
        <v>133.845</v>
      </c>
      <c r="F943" s="56">
        <f>278.484-40-25-60-100</f>
        <v>53.48399999999998</v>
      </c>
      <c r="G943" s="59">
        <v>40</v>
      </c>
      <c r="H943" s="56">
        <f t="shared" si="159"/>
        <v>185</v>
      </c>
      <c r="I943" s="56">
        <f t="shared" si="158"/>
        <v>0</v>
      </c>
      <c r="J943" s="59">
        <v>100</v>
      </c>
      <c r="K943" s="59">
        <v>300</v>
      </c>
      <c r="L943" s="56">
        <f t="shared" si="152"/>
        <v>1274</v>
      </c>
      <c r="M943" s="66">
        <v>600</v>
      </c>
      <c r="N943" s="56">
        <f>30</f>
        <v>30</v>
      </c>
      <c r="O943" s="59">
        <v>240</v>
      </c>
      <c r="P943" s="59">
        <v>40</v>
      </c>
      <c r="Q943" s="59">
        <f t="shared" si="153"/>
        <v>315</v>
      </c>
      <c r="R943" s="59">
        <f t="shared" si="154"/>
        <v>100</v>
      </c>
      <c r="S943" s="56">
        <f t="shared" si="155"/>
        <v>695</v>
      </c>
      <c r="T943" s="56">
        <f>0</f>
        <v>0</v>
      </c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</row>
    <row r="944" spans="1:30" ht="15.75" x14ac:dyDescent="0.25">
      <c r="A944" s="13">
        <v>70036</v>
      </c>
      <c r="B944" s="67">
        <f t="shared" si="151"/>
        <v>30</v>
      </c>
      <c r="C944" s="56">
        <f>194.205</f>
        <v>194.20500000000001</v>
      </c>
      <c r="D944" s="56">
        <f>267.466</f>
        <v>267.46600000000001</v>
      </c>
      <c r="E944" s="64">
        <f>133.845</f>
        <v>133.845</v>
      </c>
      <c r="F944" s="56">
        <f>278.484-40-25-60-100</f>
        <v>53.48399999999998</v>
      </c>
      <c r="G944" s="59">
        <v>40</v>
      </c>
      <c r="H944" s="56">
        <f t="shared" si="159"/>
        <v>185</v>
      </c>
      <c r="I944" s="56">
        <f t="shared" si="158"/>
        <v>0</v>
      </c>
      <c r="J944" s="59">
        <v>100</v>
      </c>
      <c r="K944" s="59">
        <v>300</v>
      </c>
      <c r="L944" s="56">
        <f t="shared" si="152"/>
        <v>1274</v>
      </c>
      <c r="M944" s="66">
        <v>600</v>
      </c>
      <c r="N944" s="56">
        <f>30</f>
        <v>30</v>
      </c>
      <c r="O944" s="59">
        <v>240</v>
      </c>
      <c r="P944" s="59">
        <v>40</v>
      </c>
      <c r="Q944" s="59">
        <f t="shared" si="153"/>
        <v>315</v>
      </c>
      <c r="R944" s="59">
        <f t="shared" si="154"/>
        <v>100</v>
      </c>
      <c r="S944" s="56">
        <f t="shared" si="155"/>
        <v>695</v>
      </c>
      <c r="T944" s="56">
        <f>0</f>
        <v>0</v>
      </c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</row>
    <row r="945" spans="1:30" ht="15.75" x14ac:dyDescent="0.25">
      <c r="A945" s="13">
        <v>70067</v>
      </c>
      <c r="B945" s="67">
        <f t="shared" si="151"/>
        <v>31</v>
      </c>
      <c r="C945" s="56">
        <f>131.881</f>
        <v>131.881</v>
      </c>
      <c r="D945" s="56">
        <f>277.167</f>
        <v>277.16699999999997</v>
      </c>
      <c r="E945" s="64">
        <f>79.08</f>
        <v>79.08</v>
      </c>
      <c r="F945" s="56">
        <f>350.872-40-25-60-100</f>
        <v>125.87200000000001</v>
      </c>
      <c r="G945" s="59">
        <v>40</v>
      </c>
      <c r="H945" s="56">
        <f t="shared" si="159"/>
        <v>185</v>
      </c>
      <c r="I945" s="56">
        <f t="shared" si="158"/>
        <v>0</v>
      </c>
      <c r="J945" s="59">
        <v>100</v>
      </c>
      <c r="K945" s="59">
        <v>300</v>
      </c>
      <c r="L945" s="56">
        <f t="shared" si="152"/>
        <v>1239</v>
      </c>
      <c r="M945" s="66">
        <v>600</v>
      </c>
      <c r="N945" s="56">
        <f>75</f>
        <v>75</v>
      </c>
      <c r="O945" s="59">
        <v>240</v>
      </c>
      <c r="P945" s="59">
        <v>40</v>
      </c>
      <c r="Q945" s="59">
        <f t="shared" si="153"/>
        <v>315</v>
      </c>
      <c r="R945" s="59">
        <f t="shared" si="154"/>
        <v>100</v>
      </c>
      <c r="S945" s="56">
        <f t="shared" si="155"/>
        <v>695</v>
      </c>
      <c r="T945" s="56">
        <f>0</f>
        <v>0</v>
      </c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</row>
    <row r="946" spans="1:30" ht="15.75" x14ac:dyDescent="0.25">
      <c r="A946" s="13">
        <v>70097</v>
      </c>
      <c r="B946" s="67">
        <f t="shared" si="151"/>
        <v>30</v>
      </c>
      <c r="C946" s="56">
        <f>122.58</f>
        <v>122.58</v>
      </c>
      <c r="D946" s="56">
        <f>297.941</f>
        <v>297.94099999999997</v>
      </c>
      <c r="E946" s="64">
        <f>89.177</f>
        <v>89.177000000000007</v>
      </c>
      <c r="F946" s="56">
        <f>240.302-40-60-100</f>
        <v>40.301999999999992</v>
      </c>
      <c r="G946" s="59">
        <v>40</v>
      </c>
      <c r="H946" s="56">
        <f>60+100</f>
        <v>160</v>
      </c>
      <c r="I946" s="56">
        <f t="shared" si="158"/>
        <v>0</v>
      </c>
      <c r="J946" s="59">
        <v>100</v>
      </c>
      <c r="K946" s="59">
        <v>300</v>
      </c>
      <c r="L946" s="56">
        <f t="shared" si="152"/>
        <v>1150</v>
      </c>
      <c r="M946" s="66">
        <v>600</v>
      </c>
      <c r="N946" s="56">
        <f>100</f>
        <v>100</v>
      </c>
      <c r="O946" s="59">
        <v>240</v>
      </c>
      <c r="P946" s="59">
        <v>40</v>
      </c>
      <c r="Q946" s="59">
        <f t="shared" si="153"/>
        <v>315</v>
      </c>
      <c r="R946" s="59">
        <f t="shared" si="154"/>
        <v>100</v>
      </c>
      <c r="S946" s="56">
        <f t="shared" si="155"/>
        <v>695</v>
      </c>
      <c r="T946" s="56">
        <f>50</f>
        <v>50</v>
      </c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</row>
    <row r="947" spans="1:30" ht="15.75" x14ac:dyDescent="0.25">
      <c r="A947" s="13">
        <v>70128</v>
      </c>
      <c r="B947" s="67">
        <f t="shared" si="151"/>
        <v>31</v>
      </c>
      <c r="C947" s="56">
        <f>122.58</f>
        <v>122.58</v>
      </c>
      <c r="D947" s="56">
        <f>297.941</f>
        <v>297.94099999999997</v>
      </c>
      <c r="E947" s="64">
        <f>89.177</f>
        <v>89.177000000000007</v>
      </c>
      <c r="F947" s="56">
        <f>240.302-40-60-100</f>
        <v>40.301999999999992</v>
      </c>
      <c r="G947" s="59">
        <v>40</v>
      </c>
      <c r="H947" s="56">
        <f>60+100</f>
        <v>160</v>
      </c>
      <c r="I947" s="56">
        <f t="shared" si="158"/>
        <v>0</v>
      </c>
      <c r="J947" s="59">
        <v>100</v>
      </c>
      <c r="K947" s="59">
        <v>300</v>
      </c>
      <c r="L947" s="56">
        <f t="shared" si="152"/>
        <v>1150</v>
      </c>
      <c r="M947" s="66">
        <v>600</v>
      </c>
      <c r="N947" s="56">
        <f>100</f>
        <v>100</v>
      </c>
      <c r="O947" s="59">
        <v>240</v>
      </c>
      <c r="P947" s="59">
        <v>40</v>
      </c>
      <c r="Q947" s="59">
        <f t="shared" si="153"/>
        <v>315</v>
      </c>
      <c r="R947" s="59">
        <f t="shared" si="154"/>
        <v>100</v>
      </c>
      <c r="S947" s="56">
        <f t="shared" si="155"/>
        <v>695</v>
      </c>
      <c r="T947" s="56">
        <f>50</f>
        <v>50</v>
      </c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</row>
    <row r="948" spans="1:30" ht="15.75" x14ac:dyDescent="0.25">
      <c r="A948" s="13">
        <v>70159</v>
      </c>
      <c r="B948" s="67">
        <f t="shared" si="151"/>
        <v>31</v>
      </c>
      <c r="C948" s="56">
        <f>122.58</f>
        <v>122.58</v>
      </c>
      <c r="D948" s="56">
        <f>297.941</f>
        <v>297.94099999999997</v>
      </c>
      <c r="E948" s="64">
        <f>89.177</f>
        <v>89.177000000000007</v>
      </c>
      <c r="F948" s="56">
        <f>240.302-40-60-100</f>
        <v>40.301999999999992</v>
      </c>
      <c r="G948" s="59">
        <v>40</v>
      </c>
      <c r="H948" s="56">
        <f>60+100</f>
        <v>160</v>
      </c>
      <c r="I948" s="56">
        <f t="shared" si="158"/>
        <v>0</v>
      </c>
      <c r="J948" s="59">
        <v>100</v>
      </c>
      <c r="K948" s="59">
        <v>300</v>
      </c>
      <c r="L948" s="56">
        <f t="shared" si="152"/>
        <v>1150</v>
      </c>
      <c r="M948" s="66">
        <v>600</v>
      </c>
      <c r="N948" s="56">
        <f>100</f>
        <v>100</v>
      </c>
      <c r="O948" s="59">
        <v>240</v>
      </c>
      <c r="P948" s="59">
        <v>40</v>
      </c>
      <c r="Q948" s="59">
        <f t="shared" si="153"/>
        <v>315</v>
      </c>
      <c r="R948" s="59">
        <f t="shared" si="154"/>
        <v>100</v>
      </c>
      <c r="S948" s="56">
        <f t="shared" si="155"/>
        <v>695</v>
      </c>
      <c r="T948" s="56">
        <f>50</f>
        <v>50</v>
      </c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</row>
    <row r="949" spans="1:30" ht="15.75" x14ac:dyDescent="0.25">
      <c r="A949" s="13">
        <v>70188</v>
      </c>
      <c r="B949" s="67">
        <f t="shared" si="151"/>
        <v>29</v>
      </c>
      <c r="C949" s="56">
        <f>122.58</f>
        <v>122.58</v>
      </c>
      <c r="D949" s="56">
        <f>297.941</f>
        <v>297.94099999999997</v>
      </c>
      <c r="E949" s="64">
        <f>89.177</f>
        <v>89.177000000000007</v>
      </c>
      <c r="F949" s="56">
        <f>240.302-40-60-100</f>
        <v>40.301999999999992</v>
      </c>
      <c r="G949" s="59">
        <v>40</v>
      </c>
      <c r="H949" s="56">
        <f>60+100</f>
        <v>160</v>
      </c>
      <c r="I949" s="56">
        <f t="shared" si="158"/>
        <v>0</v>
      </c>
      <c r="J949" s="59">
        <v>100</v>
      </c>
      <c r="K949" s="59">
        <v>300</v>
      </c>
      <c r="L949" s="56">
        <f t="shared" si="152"/>
        <v>1150</v>
      </c>
      <c r="M949" s="66">
        <v>600</v>
      </c>
      <c r="N949" s="56">
        <f>100</f>
        <v>100</v>
      </c>
      <c r="O949" s="59">
        <v>240</v>
      </c>
      <c r="P949" s="59">
        <v>40</v>
      </c>
      <c r="Q949" s="59">
        <f t="shared" si="153"/>
        <v>315</v>
      </c>
      <c r="R949" s="59">
        <f t="shared" si="154"/>
        <v>100</v>
      </c>
      <c r="S949" s="56">
        <f t="shared" si="155"/>
        <v>695</v>
      </c>
      <c r="T949" s="56">
        <f>50</f>
        <v>50</v>
      </c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</row>
    <row r="950" spans="1:30" ht="15.75" x14ac:dyDescent="0.25">
      <c r="A950" s="13">
        <v>70219</v>
      </c>
      <c r="B950" s="67">
        <f t="shared" si="151"/>
        <v>31</v>
      </c>
      <c r="C950" s="56">
        <f>122.58</f>
        <v>122.58</v>
      </c>
      <c r="D950" s="56">
        <f>297.941</f>
        <v>297.94099999999997</v>
      </c>
      <c r="E950" s="64">
        <f>89.177</f>
        <v>89.177000000000007</v>
      </c>
      <c r="F950" s="56">
        <f>240.302-40-60-100</f>
        <v>40.301999999999992</v>
      </c>
      <c r="G950" s="59">
        <v>40</v>
      </c>
      <c r="H950" s="56">
        <f>60+100</f>
        <v>160</v>
      </c>
      <c r="I950" s="56">
        <f t="shared" si="158"/>
        <v>0</v>
      </c>
      <c r="J950" s="59">
        <v>100</v>
      </c>
      <c r="K950" s="59">
        <v>300</v>
      </c>
      <c r="L950" s="56">
        <f t="shared" si="152"/>
        <v>1150</v>
      </c>
      <c r="M950" s="66">
        <v>600</v>
      </c>
      <c r="N950" s="56">
        <f>100</f>
        <v>100</v>
      </c>
      <c r="O950" s="59">
        <v>240</v>
      </c>
      <c r="P950" s="59">
        <v>40</v>
      </c>
      <c r="Q950" s="59">
        <f t="shared" si="153"/>
        <v>315</v>
      </c>
      <c r="R950" s="59">
        <f t="shared" si="154"/>
        <v>100</v>
      </c>
      <c r="S950" s="56">
        <f t="shared" si="155"/>
        <v>695</v>
      </c>
      <c r="T950" s="56">
        <f>50</f>
        <v>50</v>
      </c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</row>
    <row r="951" spans="1:30" ht="15.75" x14ac:dyDescent="0.25">
      <c r="A951" s="13">
        <v>70249</v>
      </c>
      <c r="B951" s="67">
        <f t="shared" si="151"/>
        <v>30</v>
      </c>
      <c r="C951" s="56">
        <f>141.293</f>
        <v>141.29300000000001</v>
      </c>
      <c r="D951" s="56">
        <f>267.993</f>
        <v>267.99299999999999</v>
      </c>
      <c r="E951" s="64">
        <f>115.016</f>
        <v>115.01600000000001</v>
      </c>
      <c r="F951" s="56">
        <f>314.698-40-25-60-100</f>
        <v>89.697999999999979</v>
      </c>
      <c r="G951" s="59">
        <v>40</v>
      </c>
      <c r="H951" s="56">
        <f t="shared" ref="H951:H957" si="160">25+60+100</f>
        <v>185</v>
      </c>
      <c r="I951" s="56">
        <f t="shared" si="158"/>
        <v>0</v>
      </c>
      <c r="J951" s="59">
        <v>100</v>
      </c>
      <c r="K951" s="59">
        <v>300</v>
      </c>
      <c r="L951" s="56">
        <f t="shared" si="152"/>
        <v>1239</v>
      </c>
      <c r="M951" s="66">
        <v>600</v>
      </c>
      <c r="N951" s="56">
        <f>100</f>
        <v>100</v>
      </c>
      <c r="O951" s="59">
        <v>240</v>
      </c>
      <c r="P951" s="59">
        <v>40</v>
      </c>
      <c r="Q951" s="59">
        <f t="shared" si="153"/>
        <v>315</v>
      </c>
      <c r="R951" s="59">
        <f t="shared" si="154"/>
        <v>100</v>
      </c>
      <c r="S951" s="56">
        <f t="shared" si="155"/>
        <v>695</v>
      </c>
      <c r="T951" s="56">
        <f>50</f>
        <v>50</v>
      </c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</row>
    <row r="952" spans="1:30" ht="15.75" x14ac:dyDescent="0.25">
      <c r="A952" s="13">
        <v>70280</v>
      </c>
      <c r="B952" s="67">
        <f t="shared" si="151"/>
        <v>31</v>
      </c>
      <c r="C952" s="56">
        <f>194.205</f>
        <v>194.20500000000001</v>
      </c>
      <c r="D952" s="56">
        <f>267.466</f>
        <v>267.46600000000001</v>
      </c>
      <c r="E952" s="64">
        <f>133.845</f>
        <v>133.845</v>
      </c>
      <c r="F952" s="56">
        <f>278.484-40-25-60-100</f>
        <v>53.48399999999998</v>
      </c>
      <c r="G952" s="59">
        <v>40</v>
      </c>
      <c r="H952" s="56">
        <f t="shared" si="160"/>
        <v>185</v>
      </c>
      <c r="I952" s="56">
        <f t="shared" si="158"/>
        <v>0</v>
      </c>
      <c r="J952" s="59">
        <v>100</v>
      </c>
      <c r="K952" s="59">
        <v>300</v>
      </c>
      <c r="L952" s="56">
        <f t="shared" si="152"/>
        <v>1274</v>
      </c>
      <c r="M952" s="66">
        <v>600</v>
      </c>
      <c r="N952" s="56">
        <f>75</f>
        <v>75</v>
      </c>
      <c r="O952" s="59">
        <v>240</v>
      </c>
      <c r="P952" s="59">
        <v>40</v>
      </c>
      <c r="Q952" s="59">
        <f t="shared" si="153"/>
        <v>315</v>
      </c>
      <c r="R952" s="59">
        <f t="shared" si="154"/>
        <v>100</v>
      </c>
      <c r="S952" s="56">
        <f t="shared" si="155"/>
        <v>695</v>
      </c>
      <c r="T952" s="56">
        <f>50</f>
        <v>50</v>
      </c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</row>
    <row r="953" spans="1:30" ht="15.75" x14ac:dyDescent="0.25">
      <c r="A953" s="13">
        <v>70310</v>
      </c>
      <c r="B953" s="67">
        <f t="shared" si="151"/>
        <v>30</v>
      </c>
      <c r="C953" s="56">
        <f>194.205</f>
        <v>194.20500000000001</v>
      </c>
      <c r="D953" s="56">
        <f>267.466</f>
        <v>267.46600000000001</v>
      </c>
      <c r="E953" s="64">
        <f>133.845</f>
        <v>133.845</v>
      </c>
      <c r="F953" s="56">
        <f>278.484-40-25-60-100</f>
        <v>53.48399999999998</v>
      </c>
      <c r="G953" s="59">
        <v>40</v>
      </c>
      <c r="H953" s="56">
        <f t="shared" si="160"/>
        <v>185</v>
      </c>
      <c r="I953" s="56">
        <f t="shared" si="158"/>
        <v>0</v>
      </c>
      <c r="J953" s="59">
        <v>100</v>
      </c>
      <c r="K953" s="59">
        <v>300</v>
      </c>
      <c r="L953" s="56">
        <f t="shared" si="152"/>
        <v>1274</v>
      </c>
      <c r="M953" s="66">
        <v>600</v>
      </c>
      <c r="N953" s="56">
        <f>30</f>
        <v>30</v>
      </c>
      <c r="O953" s="59">
        <v>240</v>
      </c>
      <c r="P953" s="59">
        <v>40</v>
      </c>
      <c r="Q953" s="59">
        <f t="shared" si="153"/>
        <v>315</v>
      </c>
      <c r="R953" s="59">
        <f t="shared" si="154"/>
        <v>100</v>
      </c>
      <c r="S953" s="56">
        <f t="shared" si="155"/>
        <v>695</v>
      </c>
      <c r="T953" s="56">
        <f>50</f>
        <v>50</v>
      </c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</row>
    <row r="954" spans="1:30" ht="15.75" x14ac:dyDescent="0.25">
      <c r="A954" s="13">
        <v>70341</v>
      </c>
      <c r="B954" s="67">
        <f t="shared" si="151"/>
        <v>31</v>
      </c>
      <c r="C954" s="56">
        <f>194.205</f>
        <v>194.20500000000001</v>
      </c>
      <c r="D954" s="56">
        <f>267.466</f>
        <v>267.46600000000001</v>
      </c>
      <c r="E954" s="64">
        <f>133.845</f>
        <v>133.845</v>
      </c>
      <c r="F954" s="56">
        <f>278.484-40-25-60-100</f>
        <v>53.48399999999998</v>
      </c>
      <c r="G954" s="59">
        <v>40</v>
      </c>
      <c r="H954" s="56">
        <f t="shared" si="160"/>
        <v>185</v>
      </c>
      <c r="I954" s="56">
        <f t="shared" si="158"/>
        <v>0</v>
      </c>
      <c r="J954" s="59">
        <v>100</v>
      </c>
      <c r="K954" s="59">
        <v>300</v>
      </c>
      <c r="L954" s="56">
        <f t="shared" si="152"/>
        <v>1274</v>
      </c>
      <c r="M954" s="66">
        <v>600</v>
      </c>
      <c r="N954" s="56">
        <f>30</f>
        <v>30</v>
      </c>
      <c r="O954" s="59">
        <v>240</v>
      </c>
      <c r="P954" s="59">
        <v>40</v>
      </c>
      <c r="Q954" s="59">
        <f t="shared" si="153"/>
        <v>315</v>
      </c>
      <c r="R954" s="59">
        <f t="shared" si="154"/>
        <v>100</v>
      </c>
      <c r="S954" s="56">
        <f t="shared" si="155"/>
        <v>695</v>
      </c>
      <c r="T954" s="56">
        <f>0</f>
        <v>0</v>
      </c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</row>
    <row r="955" spans="1:30" ht="15.75" x14ac:dyDescent="0.25">
      <c r="A955" s="13">
        <v>70372</v>
      </c>
      <c r="B955" s="67">
        <f t="shared" si="151"/>
        <v>31</v>
      </c>
      <c r="C955" s="56">
        <f>194.205</f>
        <v>194.20500000000001</v>
      </c>
      <c r="D955" s="56">
        <f>267.466</f>
        <v>267.46600000000001</v>
      </c>
      <c r="E955" s="64">
        <f>133.845</f>
        <v>133.845</v>
      </c>
      <c r="F955" s="56">
        <f>278.484-40-25-60-100</f>
        <v>53.48399999999998</v>
      </c>
      <c r="G955" s="59">
        <v>40</v>
      </c>
      <c r="H955" s="56">
        <f t="shared" si="160"/>
        <v>185</v>
      </c>
      <c r="I955" s="56">
        <f t="shared" si="158"/>
        <v>0</v>
      </c>
      <c r="J955" s="59">
        <v>100</v>
      </c>
      <c r="K955" s="59">
        <v>300</v>
      </c>
      <c r="L955" s="56">
        <f t="shared" si="152"/>
        <v>1274</v>
      </c>
      <c r="M955" s="66">
        <v>600</v>
      </c>
      <c r="N955" s="56">
        <f>30</f>
        <v>30</v>
      </c>
      <c r="O955" s="59">
        <v>240</v>
      </c>
      <c r="P955" s="59">
        <v>40</v>
      </c>
      <c r="Q955" s="59">
        <f t="shared" si="153"/>
        <v>315</v>
      </c>
      <c r="R955" s="59">
        <f t="shared" si="154"/>
        <v>100</v>
      </c>
      <c r="S955" s="56">
        <f t="shared" si="155"/>
        <v>695</v>
      </c>
      <c r="T955" s="56">
        <f>0</f>
        <v>0</v>
      </c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</row>
    <row r="956" spans="1:30" ht="15.75" x14ac:dyDescent="0.25">
      <c r="A956" s="13">
        <v>70402</v>
      </c>
      <c r="B956" s="67">
        <f t="shared" si="151"/>
        <v>30</v>
      </c>
      <c r="C956" s="56">
        <f>194.205</f>
        <v>194.20500000000001</v>
      </c>
      <c r="D956" s="56">
        <f>267.466</f>
        <v>267.46600000000001</v>
      </c>
      <c r="E956" s="64">
        <f>133.845</f>
        <v>133.845</v>
      </c>
      <c r="F956" s="56">
        <f>278.484-40-25-60-100</f>
        <v>53.48399999999998</v>
      </c>
      <c r="G956" s="59">
        <v>40</v>
      </c>
      <c r="H956" s="56">
        <f t="shared" si="160"/>
        <v>185</v>
      </c>
      <c r="I956" s="56">
        <f t="shared" si="158"/>
        <v>0</v>
      </c>
      <c r="J956" s="59">
        <v>100</v>
      </c>
      <c r="K956" s="59">
        <v>300</v>
      </c>
      <c r="L956" s="56">
        <f t="shared" si="152"/>
        <v>1274</v>
      </c>
      <c r="M956" s="66">
        <v>600</v>
      </c>
      <c r="N956" s="56">
        <f>30</f>
        <v>30</v>
      </c>
      <c r="O956" s="59">
        <v>240</v>
      </c>
      <c r="P956" s="59">
        <v>40</v>
      </c>
      <c r="Q956" s="59">
        <f t="shared" si="153"/>
        <v>315</v>
      </c>
      <c r="R956" s="59">
        <f t="shared" si="154"/>
        <v>100</v>
      </c>
      <c r="S956" s="56">
        <f t="shared" si="155"/>
        <v>695</v>
      </c>
      <c r="T956" s="56">
        <f>0</f>
        <v>0</v>
      </c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</row>
    <row r="957" spans="1:30" ht="15.75" x14ac:dyDescent="0.25">
      <c r="A957" s="13">
        <v>70433</v>
      </c>
      <c r="B957" s="67">
        <f t="shared" si="151"/>
        <v>31</v>
      </c>
      <c r="C957" s="56">
        <f>131.881</f>
        <v>131.881</v>
      </c>
      <c r="D957" s="56">
        <f>277.167</f>
        <v>277.16699999999997</v>
      </c>
      <c r="E957" s="64">
        <f>79.08</f>
        <v>79.08</v>
      </c>
      <c r="F957" s="56">
        <f>350.872-40-25-60-100</f>
        <v>125.87200000000001</v>
      </c>
      <c r="G957" s="59">
        <v>40</v>
      </c>
      <c r="H957" s="56">
        <f t="shared" si="160"/>
        <v>185</v>
      </c>
      <c r="I957" s="56">
        <f t="shared" si="158"/>
        <v>0</v>
      </c>
      <c r="J957" s="59">
        <v>100</v>
      </c>
      <c r="K957" s="59">
        <v>300</v>
      </c>
      <c r="L957" s="56">
        <f t="shared" si="152"/>
        <v>1239</v>
      </c>
      <c r="M957" s="66">
        <v>600</v>
      </c>
      <c r="N957" s="56">
        <f>75</f>
        <v>75</v>
      </c>
      <c r="O957" s="59">
        <v>240</v>
      </c>
      <c r="P957" s="59">
        <v>40</v>
      </c>
      <c r="Q957" s="59">
        <f t="shared" si="153"/>
        <v>315</v>
      </c>
      <c r="R957" s="59">
        <f t="shared" si="154"/>
        <v>100</v>
      </c>
      <c r="S957" s="56">
        <f t="shared" si="155"/>
        <v>695</v>
      </c>
      <c r="T957" s="56">
        <f>0</f>
        <v>0</v>
      </c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</row>
    <row r="958" spans="1:30" ht="15.75" x14ac:dyDescent="0.25">
      <c r="A958" s="13">
        <v>70463</v>
      </c>
      <c r="B958" s="67">
        <f t="shared" si="151"/>
        <v>30</v>
      </c>
      <c r="C958" s="56">
        <f>122.58</f>
        <v>122.58</v>
      </c>
      <c r="D958" s="56">
        <f>297.941</f>
        <v>297.94099999999997</v>
      </c>
      <c r="E958" s="64">
        <f>89.177</f>
        <v>89.177000000000007</v>
      </c>
      <c r="F958" s="56">
        <f>240.302-40-60-100</f>
        <v>40.301999999999992</v>
      </c>
      <c r="G958" s="59">
        <v>40</v>
      </c>
      <c r="H958" s="56">
        <f>60+100</f>
        <v>160</v>
      </c>
      <c r="I958" s="56">
        <f t="shared" si="158"/>
        <v>0</v>
      </c>
      <c r="J958" s="59">
        <v>100</v>
      </c>
      <c r="K958" s="59">
        <v>300</v>
      </c>
      <c r="L958" s="56">
        <f t="shared" si="152"/>
        <v>1150</v>
      </c>
      <c r="M958" s="66">
        <v>600</v>
      </c>
      <c r="N958" s="56">
        <f>100</f>
        <v>100</v>
      </c>
      <c r="O958" s="59">
        <v>240</v>
      </c>
      <c r="P958" s="59">
        <v>40</v>
      </c>
      <c r="Q958" s="59">
        <f t="shared" si="153"/>
        <v>315</v>
      </c>
      <c r="R958" s="59">
        <f t="shared" si="154"/>
        <v>100</v>
      </c>
      <c r="S958" s="56">
        <f t="shared" si="155"/>
        <v>695</v>
      </c>
      <c r="T958" s="56">
        <f>50</f>
        <v>50</v>
      </c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</row>
    <row r="959" spans="1:30" ht="15.75" x14ac:dyDescent="0.25">
      <c r="A959" s="13">
        <v>70494</v>
      </c>
      <c r="B959" s="67">
        <f t="shared" si="151"/>
        <v>31</v>
      </c>
      <c r="C959" s="56">
        <f>122.58</f>
        <v>122.58</v>
      </c>
      <c r="D959" s="56">
        <f>297.941</f>
        <v>297.94099999999997</v>
      </c>
      <c r="E959" s="64">
        <f>89.177</f>
        <v>89.177000000000007</v>
      </c>
      <c r="F959" s="56">
        <f>240.302-40-60-100</f>
        <v>40.301999999999992</v>
      </c>
      <c r="G959" s="59">
        <v>40</v>
      </c>
      <c r="H959" s="56">
        <f>60+100</f>
        <v>160</v>
      </c>
      <c r="I959" s="56">
        <f t="shared" si="158"/>
        <v>0</v>
      </c>
      <c r="J959" s="59">
        <v>100</v>
      </c>
      <c r="K959" s="59">
        <v>300</v>
      </c>
      <c r="L959" s="56">
        <f t="shared" si="152"/>
        <v>1150</v>
      </c>
      <c r="M959" s="66">
        <v>600</v>
      </c>
      <c r="N959" s="56">
        <f>100</f>
        <v>100</v>
      </c>
      <c r="O959" s="59">
        <v>240</v>
      </c>
      <c r="P959" s="59">
        <v>40</v>
      </c>
      <c r="Q959" s="59">
        <f t="shared" si="153"/>
        <v>315</v>
      </c>
      <c r="R959" s="59">
        <f t="shared" si="154"/>
        <v>100</v>
      </c>
      <c r="S959" s="56">
        <f t="shared" si="155"/>
        <v>695</v>
      </c>
      <c r="T959" s="56">
        <f>50</f>
        <v>50</v>
      </c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</row>
    <row r="960" spans="1:30" ht="15.75" x14ac:dyDescent="0.25">
      <c r="A960" s="13">
        <v>70525</v>
      </c>
      <c r="B960" s="67">
        <f t="shared" si="151"/>
        <v>31</v>
      </c>
      <c r="C960" s="56">
        <f>122.58</f>
        <v>122.58</v>
      </c>
      <c r="D960" s="56">
        <f>297.941</f>
        <v>297.94099999999997</v>
      </c>
      <c r="E960" s="64">
        <f>89.177</f>
        <v>89.177000000000007</v>
      </c>
      <c r="F960" s="56">
        <f>240.302-40-60-100</f>
        <v>40.301999999999992</v>
      </c>
      <c r="G960" s="59">
        <v>40</v>
      </c>
      <c r="H960" s="56">
        <f>60+100</f>
        <v>160</v>
      </c>
      <c r="I960" s="56">
        <f t="shared" si="158"/>
        <v>0</v>
      </c>
      <c r="J960" s="59">
        <v>100</v>
      </c>
      <c r="K960" s="59">
        <v>300</v>
      </c>
      <c r="L960" s="56">
        <f t="shared" si="152"/>
        <v>1150</v>
      </c>
      <c r="M960" s="66">
        <v>600</v>
      </c>
      <c r="N960" s="56">
        <f>100</f>
        <v>100</v>
      </c>
      <c r="O960" s="59">
        <v>240</v>
      </c>
      <c r="P960" s="59">
        <v>40</v>
      </c>
      <c r="Q960" s="59">
        <f t="shared" si="153"/>
        <v>315</v>
      </c>
      <c r="R960" s="59">
        <f t="shared" si="154"/>
        <v>100</v>
      </c>
      <c r="S960" s="56">
        <f t="shared" si="155"/>
        <v>695</v>
      </c>
      <c r="T960" s="56">
        <f>50</f>
        <v>50</v>
      </c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</row>
    <row r="961" spans="1:30" ht="15.75" x14ac:dyDescent="0.25">
      <c r="A961" s="13">
        <v>70553</v>
      </c>
      <c r="B961" s="67">
        <f t="shared" si="151"/>
        <v>28</v>
      </c>
      <c r="C961" s="56">
        <f>122.58</f>
        <v>122.58</v>
      </c>
      <c r="D961" s="56">
        <f>297.941</f>
        <v>297.94099999999997</v>
      </c>
      <c r="E961" s="64">
        <f>89.177</f>
        <v>89.177000000000007</v>
      </c>
      <c r="F961" s="56">
        <f>240.302-40-60-100</f>
        <v>40.301999999999992</v>
      </c>
      <c r="G961" s="59">
        <v>40</v>
      </c>
      <c r="H961" s="56">
        <f>60+100</f>
        <v>160</v>
      </c>
      <c r="I961" s="56">
        <f t="shared" si="158"/>
        <v>0</v>
      </c>
      <c r="J961" s="59">
        <v>100</v>
      </c>
      <c r="K961" s="59">
        <v>300</v>
      </c>
      <c r="L961" s="56">
        <f t="shared" si="152"/>
        <v>1150</v>
      </c>
      <c r="M961" s="66">
        <v>600</v>
      </c>
      <c r="N961" s="56">
        <f>100</f>
        <v>100</v>
      </c>
      <c r="O961" s="59">
        <v>240</v>
      </c>
      <c r="P961" s="59">
        <v>40</v>
      </c>
      <c r="Q961" s="59">
        <f t="shared" si="153"/>
        <v>315</v>
      </c>
      <c r="R961" s="59">
        <f t="shared" si="154"/>
        <v>100</v>
      </c>
      <c r="S961" s="56">
        <f t="shared" si="155"/>
        <v>695</v>
      </c>
      <c r="T961" s="56">
        <f>50</f>
        <v>50</v>
      </c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</row>
    <row r="962" spans="1:30" ht="15.75" x14ac:dyDescent="0.25">
      <c r="A962" s="13">
        <v>70584</v>
      </c>
      <c r="B962" s="67">
        <f t="shared" si="151"/>
        <v>31</v>
      </c>
      <c r="C962" s="56">
        <f>122.58</f>
        <v>122.58</v>
      </c>
      <c r="D962" s="56">
        <f>297.941</f>
        <v>297.94099999999997</v>
      </c>
      <c r="E962" s="64">
        <f>89.177</f>
        <v>89.177000000000007</v>
      </c>
      <c r="F962" s="56">
        <f>240.302-40-60-100</f>
        <v>40.301999999999992</v>
      </c>
      <c r="G962" s="59">
        <v>40</v>
      </c>
      <c r="H962" s="56">
        <f>60+100</f>
        <v>160</v>
      </c>
      <c r="I962" s="56">
        <f t="shared" si="158"/>
        <v>0</v>
      </c>
      <c r="J962" s="59">
        <v>100</v>
      </c>
      <c r="K962" s="59">
        <v>300</v>
      </c>
      <c r="L962" s="56">
        <f t="shared" si="152"/>
        <v>1150</v>
      </c>
      <c r="M962" s="66">
        <v>600</v>
      </c>
      <c r="N962" s="56">
        <f>100</f>
        <v>100</v>
      </c>
      <c r="O962" s="59">
        <v>240</v>
      </c>
      <c r="P962" s="59">
        <v>40</v>
      </c>
      <c r="Q962" s="59">
        <f t="shared" si="153"/>
        <v>315</v>
      </c>
      <c r="R962" s="59">
        <f t="shared" si="154"/>
        <v>100</v>
      </c>
      <c r="S962" s="56">
        <f t="shared" si="155"/>
        <v>695</v>
      </c>
      <c r="T962" s="56">
        <f>50</f>
        <v>50</v>
      </c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</row>
    <row r="963" spans="1:30" ht="15.75" x14ac:dyDescent="0.25">
      <c r="A963" s="13">
        <v>70614</v>
      </c>
      <c r="B963" s="67">
        <f t="shared" si="151"/>
        <v>30</v>
      </c>
      <c r="C963" s="56">
        <f>141.293</f>
        <v>141.29300000000001</v>
      </c>
      <c r="D963" s="56">
        <f>267.993</f>
        <v>267.99299999999999</v>
      </c>
      <c r="E963" s="64">
        <f>115.016</f>
        <v>115.01600000000001</v>
      </c>
      <c r="F963" s="56">
        <f>314.698-40-25-60-100</f>
        <v>89.697999999999979</v>
      </c>
      <c r="G963" s="59">
        <v>40</v>
      </c>
      <c r="H963" s="56">
        <f t="shared" ref="H963:H969" si="161">25+60+100</f>
        <v>185</v>
      </c>
      <c r="I963" s="56">
        <f t="shared" si="158"/>
        <v>0</v>
      </c>
      <c r="J963" s="59">
        <v>100</v>
      </c>
      <c r="K963" s="59">
        <v>300</v>
      </c>
      <c r="L963" s="56">
        <f t="shared" si="152"/>
        <v>1239</v>
      </c>
      <c r="M963" s="66">
        <v>600</v>
      </c>
      <c r="N963" s="56">
        <f>100</f>
        <v>100</v>
      </c>
      <c r="O963" s="59">
        <v>240</v>
      </c>
      <c r="P963" s="59">
        <v>40</v>
      </c>
      <c r="Q963" s="59">
        <f t="shared" si="153"/>
        <v>315</v>
      </c>
      <c r="R963" s="59">
        <f t="shared" si="154"/>
        <v>100</v>
      </c>
      <c r="S963" s="56">
        <f t="shared" si="155"/>
        <v>695</v>
      </c>
      <c r="T963" s="56">
        <f>50</f>
        <v>50</v>
      </c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</row>
    <row r="964" spans="1:30" ht="15.75" x14ac:dyDescent="0.25">
      <c r="A964" s="13">
        <v>70645</v>
      </c>
      <c r="B964" s="67">
        <f t="shared" si="151"/>
        <v>31</v>
      </c>
      <c r="C964" s="56">
        <f>194.205</f>
        <v>194.20500000000001</v>
      </c>
      <c r="D964" s="56">
        <f>267.466</f>
        <v>267.46600000000001</v>
      </c>
      <c r="E964" s="64">
        <f>133.845</f>
        <v>133.845</v>
      </c>
      <c r="F964" s="56">
        <f>278.484-40-25-60-100</f>
        <v>53.48399999999998</v>
      </c>
      <c r="G964" s="59">
        <v>40</v>
      </c>
      <c r="H964" s="56">
        <f t="shared" si="161"/>
        <v>185</v>
      </c>
      <c r="I964" s="56">
        <f t="shared" si="158"/>
        <v>0</v>
      </c>
      <c r="J964" s="59">
        <v>100</v>
      </c>
      <c r="K964" s="59">
        <v>300</v>
      </c>
      <c r="L964" s="56">
        <f t="shared" si="152"/>
        <v>1274</v>
      </c>
      <c r="M964" s="66">
        <v>600</v>
      </c>
      <c r="N964" s="56">
        <f>75</f>
        <v>75</v>
      </c>
      <c r="O964" s="59">
        <v>240</v>
      </c>
      <c r="P964" s="59">
        <v>40</v>
      </c>
      <c r="Q964" s="59">
        <f t="shared" si="153"/>
        <v>315</v>
      </c>
      <c r="R964" s="59">
        <f t="shared" si="154"/>
        <v>100</v>
      </c>
      <c r="S964" s="56">
        <f t="shared" si="155"/>
        <v>695</v>
      </c>
      <c r="T964" s="56">
        <f>50</f>
        <v>50</v>
      </c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</row>
    <row r="965" spans="1:30" ht="15.75" x14ac:dyDescent="0.25">
      <c r="A965" s="13">
        <v>70675</v>
      </c>
      <c r="B965" s="67">
        <f t="shared" si="151"/>
        <v>30</v>
      </c>
      <c r="C965" s="56">
        <f>194.205</f>
        <v>194.20500000000001</v>
      </c>
      <c r="D965" s="56">
        <f>267.466</f>
        <v>267.46600000000001</v>
      </c>
      <c r="E965" s="64">
        <f>133.845</f>
        <v>133.845</v>
      </c>
      <c r="F965" s="56">
        <f>278.484-40-25-60-100</f>
        <v>53.48399999999998</v>
      </c>
      <c r="G965" s="59">
        <v>40</v>
      </c>
      <c r="H965" s="56">
        <f t="shared" si="161"/>
        <v>185</v>
      </c>
      <c r="I965" s="56">
        <f t="shared" si="158"/>
        <v>0</v>
      </c>
      <c r="J965" s="59">
        <v>100</v>
      </c>
      <c r="K965" s="59">
        <v>300</v>
      </c>
      <c r="L965" s="56">
        <f t="shared" si="152"/>
        <v>1274</v>
      </c>
      <c r="M965" s="66">
        <v>600</v>
      </c>
      <c r="N965" s="56">
        <f>30</f>
        <v>30</v>
      </c>
      <c r="O965" s="59">
        <v>240</v>
      </c>
      <c r="P965" s="59">
        <v>40</v>
      </c>
      <c r="Q965" s="59">
        <f t="shared" si="153"/>
        <v>315</v>
      </c>
      <c r="R965" s="59">
        <f t="shared" si="154"/>
        <v>100</v>
      </c>
      <c r="S965" s="56">
        <f t="shared" si="155"/>
        <v>695</v>
      </c>
      <c r="T965" s="56">
        <f>50</f>
        <v>50</v>
      </c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</row>
    <row r="966" spans="1:30" ht="15.75" x14ac:dyDescent="0.25">
      <c r="A966" s="13">
        <v>70706</v>
      </c>
      <c r="B966" s="67">
        <f t="shared" si="151"/>
        <v>31</v>
      </c>
      <c r="C966" s="56">
        <f>194.205</f>
        <v>194.20500000000001</v>
      </c>
      <c r="D966" s="56">
        <f>267.466</f>
        <v>267.46600000000001</v>
      </c>
      <c r="E966" s="64">
        <f>133.845</f>
        <v>133.845</v>
      </c>
      <c r="F966" s="56">
        <f>278.484-40-25-60-100</f>
        <v>53.48399999999998</v>
      </c>
      <c r="G966" s="59">
        <v>40</v>
      </c>
      <c r="H966" s="56">
        <f t="shared" si="161"/>
        <v>185</v>
      </c>
      <c r="I966" s="56">
        <f t="shared" si="158"/>
        <v>0</v>
      </c>
      <c r="J966" s="59">
        <v>100</v>
      </c>
      <c r="K966" s="59">
        <v>300</v>
      </c>
      <c r="L966" s="56">
        <f t="shared" si="152"/>
        <v>1274</v>
      </c>
      <c r="M966" s="66">
        <v>600</v>
      </c>
      <c r="N966" s="56">
        <f>30</f>
        <v>30</v>
      </c>
      <c r="O966" s="59">
        <v>240</v>
      </c>
      <c r="P966" s="59">
        <v>40</v>
      </c>
      <c r="Q966" s="59">
        <f t="shared" si="153"/>
        <v>315</v>
      </c>
      <c r="R966" s="59">
        <f t="shared" si="154"/>
        <v>100</v>
      </c>
      <c r="S966" s="56">
        <f t="shared" si="155"/>
        <v>695</v>
      </c>
      <c r="T966" s="56">
        <f>0</f>
        <v>0</v>
      </c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</row>
    <row r="967" spans="1:30" ht="15.75" x14ac:dyDescent="0.25">
      <c r="A967" s="13">
        <v>70737</v>
      </c>
      <c r="B967" s="67">
        <f t="shared" si="151"/>
        <v>31</v>
      </c>
      <c r="C967" s="56">
        <f>194.205</f>
        <v>194.20500000000001</v>
      </c>
      <c r="D967" s="56">
        <f>267.466</f>
        <v>267.46600000000001</v>
      </c>
      <c r="E967" s="64">
        <f>133.845</f>
        <v>133.845</v>
      </c>
      <c r="F967" s="56">
        <f>278.484-40-25-60-100</f>
        <v>53.48399999999998</v>
      </c>
      <c r="G967" s="59">
        <v>40</v>
      </c>
      <c r="H967" s="56">
        <f t="shared" si="161"/>
        <v>185</v>
      </c>
      <c r="I967" s="56">
        <f t="shared" si="158"/>
        <v>0</v>
      </c>
      <c r="J967" s="59">
        <v>100</v>
      </c>
      <c r="K967" s="59">
        <v>300</v>
      </c>
      <c r="L967" s="56">
        <f t="shared" si="152"/>
        <v>1274</v>
      </c>
      <c r="M967" s="66">
        <v>600</v>
      </c>
      <c r="N967" s="56">
        <f>30</f>
        <v>30</v>
      </c>
      <c r="O967" s="59">
        <v>240</v>
      </c>
      <c r="P967" s="59">
        <v>40</v>
      </c>
      <c r="Q967" s="59">
        <f t="shared" si="153"/>
        <v>315</v>
      </c>
      <c r="R967" s="59">
        <f t="shared" si="154"/>
        <v>100</v>
      </c>
      <c r="S967" s="56">
        <f t="shared" si="155"/>
        <v>695</v>
      </c>
      <c r="T967" s="56">
        <f>0</f>
        <v>0</v>
      </c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</row>
    <row r="968" spans="1:30" ht="15.75" x14ac:dyDescent="0.25">
      <c r="A968" s="13">
        <v>70767</v>
      </c>
      <c r="B968" s="67">
        <f t="shared" si="151"/>
        <v>30</v>
      </c>
      <c r="C968" s="56">
        <f>194.205</f>
        <v>194.20500000000001</v>
      </c>
      <c r="D968" s="56">
        <f>267.466</f>
        <v>267.46600000000001</v>
      </c>
      <c r="E968" s="64">
        <f>133.845</f>
        <v>133.845</v>
      </c>
      <c r="F968" s="56">
        <f>278.484-40-25-60-100</f>
        <v>53.48399999999998</v>
      </c>
      <c r="G968" s="59">
        <v>40</v>
      </c>
      <c r="H968" s="56">
        <f t="shared" si="161"/>
        <v>185</v>
      </c>
      <c r="I968" s="56">
        <f t="shared" si="158"/>
        <v>0</v>
      </c>
      <c r="J968" s="59">
        <v>100</v>
      </c>
      <c r="K968" s="59">
        <v>300</v>
      </c>
      <c r="L968" s="56">
        <f t="shared" si="152"/>
        <v>1274</v>
      </c>
      <c r="M968" s="66">
        <v>600</v>
      </c>
      <c r="N968" s="56">
        <f>30</f>
        <v>30</v>
      </c>
      <c r="O968" s="59">
        <v>240</v>
      </c>
      <c r="P968" s="59">
        <v>40</v>
      </c>
      <c r="Q968" s="59">
        <f t="shared" si="153"/>
        <v>315</v>
      </c>
      <c r="R968" s="59">
        <f t="shared" si="154"/>
        <v>100</v>
      </c>
      <c r="S968" s="56">
        <f t="shared" si="155"/>
        <v>695</v>
      </c>
      <c r="T968" s="56">
        <f>0</f>
        <v>0</v>
      </c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</row>
    <row r="969" spans="1:30" ht="15.75" x14ac:dyDescent="0.25">
      <c r="A969" s="13">
        <v>70798</v>
      </c>
      <c r="B969" s="67">
        <f t="shared" si="151"/>
        <v>31</v>
      </c>
      <c r="C969" s="56">
        <f>131.881</f>
        <v>131.881</v>
      </c>
      <c r="D969" s="56">
        <f>277.167</f>
        <v>277.16699999999997</v>
      </c>
      <c r="E969" s="64">
        <f>79.08</f>
        <v>79.08</v>
      </c>
      <c r="F969" s="56">
        <f>350.872-40-25-60-100</f>
        <v>125.87200000000001</v>
      </c>
      <c r="G969" s="59">
        <v>40</v>
      </c>
      <c r="H969" s="56">
        <f t="shared" si="161"/>
        <v>185</v>
      </c>
      <c r="I969" s="56">
        <f t="shared" si="158"/>
        <v>0</v>
      </c>
      <c r="J969" s="59">
        <v>100</v>
      </c>
      <c r="K969" s="59">
        <v>300</v>
      </c>
      <c r="L969" s="56">
        <f t="shared" si="152"/>
        <v>1239</v>
      </c>
      <c r="M969" s="66">
        <v>600</v>
      </c>
      <c r="N969" s="56">
        <f>75</f>
        <v>75</v>
      </c>
      <c r="O969" s="59">
        <v>240</v>
      </c>
      <c r="P969" s="59">
        <v>40</v>
      </c>
      <c r="Q969" s="59">
        <f t="shared" si="153"/>
        <v>315</v>
      </c>
      <c r="R969" s="59">
        <f t="shared" si="154"/>
        <v>100</v>
      </c>
      <c r="S969" s="56">
        <f t="shared" si="155"/>
        <v>695</v>
      </c>
      <c r="T969" s="56">
        <f>0</f>
        <v>0</v>
      </c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</row>
    <row r="970" spans="1:30" ht="15.75" x14ac:dyDescent="0.25">
      <c r="A970" s="13">
        <v>70828</v>
      </c>
      <c r="B970" s="67">
        <f t="shared" si="151"/>
        <v>30</v>
      </c>
      <c r="C970" s="56">
        <f>122.58</f>
        <v>122.58</v>
      </c>
      <c r="D970" s="56">
        <f>297.941</f>
        <v>297.94099999999997</v>
      </c>
      <c r="E970" s="64">
        <f>89.177</f>
        <v>89.177000000000007</v>
      </c>
      <c r="F970" s="56">
        <f>240.302-40-60-100</f>
        <v>40.301999999999992</v>
      </c>
      <c r="G970" s="59">
        <v>40</v>
      </c>
      <c r="H970" s="56">
        <f>60+100</f>
        <v>160</v>
      </c>
      <c r="I970" s="56">
        <f t="shared" si="158"/>
        <v>0</v>
      </c>
      <c r="J970" s="59">
        <v>100</v>
      </c>
      <c r="K970" s="59">
        <v>300</v>
      </c>
      <c r="L970" s="56">
        <f t="shared" si="152"/>
        <v>1150</v>
      </c>
      <c r="M970" s="66">
        <v>600</v>
      </c>
      <c r="N970" s="56">
        <f>100</f>
        <v>100</v>
      </c>
      <c r="O970" s="59">
        <v>240</v>
      </c>
      <c r="P970" s="59">
        <v>40</v>
      </c>
      <c r="Q970" s="59">
        <f t="shared" si="153"/>
        <v>315</v>
      </c>
      <c r="R970" s="59">
        <f t="shared" si="154"/>
        <v>100</v>
      </c>
      <c r="S970" s="56">
        <f t="shared" si="155"/>
        <v>695</v>
      </c>
      <c r="T970" s="56">
        <f>50</f>
        <v>50</v>
      </c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</row>
    <row r="971" spans="1:30" ht="15.75" x14ac:dyDescent="0.25">
      <c r="A971" s="13">
        <v>70859</v>
      </c>
      <c r="B971" s="67">
        <f t="shared" si="151"/>
        <v>31</v>
      </c>
      <c r="C971" s="56">
        <f>122.58</f>
        <v>122.58</v>
      </c>
      <c r="D971" s="56">
        <f>297.941</f>
        <v>297.94099999999997</v>
      </c>
      <c r="E971" s="64">
        <f>89.177</f>
        <v>89.177000000000007</v>
      </c>
      <c r="F971" s="56">
        <f>240.302-40-60-100</f>
        <v>40.301999999999992</v>
      </c>
      <c r="G971" s="59">
        <v>40</v>
      </c>
      <c r="H971" s="56">
        <f>60+100</f>
        <v>160</v>
      </c>
      <c r="I971" s="56">
        <f t="shared" si="158"/>
        <v>0</v>
      </c>
      <c r="J971" s="59">
        <v>100</v>
      </c>
      <c r="K971" s="59">
        <v>300</v>
      </c>
      <c r="L971" s="56">
        <f t="shared" si="152"/>
        <v>1150</v>
      </c>
      <c r="M971" s="66">
        <v>600</v>
      </c>
      <c r="N971" s="56">
        <f>100</f>
        <v>100</v>
      </c>
      <c r="O971" s="59">
        <v>240</v>
      </c>
      <c r="P971" s="59">
        <v>40</v>
      </c>
      <c r="Q971" s="59">
        <f t="shared" si="153"/>
        <v>315</v>
      </c>
      <c r="R971" s="59">
        <f t="shared" si="154"/>
        <v>100</v>
      </c>
      <c r="S971" s="56">
        <f t="shared" si="155"/>
        <v>695</v>
      </c>
      <c r="T971" s="56">
        <f>50</f>
        <v>50</v>
      </c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</row>
    <row r="972" spans="1:30" ht="15.75" x14ac:dyDescent="0.25">
      <c r="A972" s="13">
        <v>70890</v>
      </c>
      <c r="B972" s="67">
        <f t="shared" ref="B972:B1035" si="162">EOMONTH(A972,0)-EOMONTH(A972,-1)</f>
        <v>31</v>
      </c>
      <c r="C972" s="56">
        <f>122.58</f>
        <v>122.58</v>
      </c>
      <c r="D972" s="56">
        <f>297.941</f>
        <v>297.94099999999997</v>
      </c>
      <c r="E972" s="64">
        <f>89.177</f>
        <v>89.177000000000007</v>
      </c>
      <c r="F972" s="56">
        <f>240.302-40-60-100</f>
        <v>40.301999999999992</v>
      </c>
      <c r="G972" s="59">
        <v>40</v>
      </c>
      <c r="H972" s="56">
        <f>60+100</f>
        <v>160</v>
      </c>
      <c r="I972" s="56">
        <f t="shared" si="158"/>
        <v>0</v>
      </c>
      <c r="J972" s="59">
        <v>100</v>
      </c>
      <c r="K972" s="59">
        <v>300</v>
      </c>
      <c r="L972" s="56">
        <f t="shared" si="152"/>
        <v>1150</v>
      </c>
      <c r="M972" s="66">
        <v>600</v>
      </c>
      <c r="N972" s="56">
        <f>100</f>
        <v>100</v>
      </c>
      <c r="O972" s="59">
        <v>240</v>
      </c>
      <c r="P972" s="59">
        <v>40</v>
      </c>
      <c r="Q972" s="59">
        <f t="shared" si="153"/>
        <v>315</v>
      </c>
      <c r="R972" s="59">
        <f t="shared" si="154"/>
        <v>100</v>
      </c>
      <c r="S972" s="56">
        <f t="shared" si="155"/>
        <v>695</v>
      </c>
      <c r="T972" s="56">
        <f>50</f>
        <v>50</v>
      </c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</row>
    <row r="973" spans="1:30" ht="15.75" x14ac:dyDescent="0.25">
      <c r="A973" s="13">
        <v>70918</v>
      </c>
      <c r="B973" s="67">
        <f t="shared" si="162"/>
        <v>28</v>
      </c>
      <c r="C973" s="56">
        <f>122.58</f>
        <v>122.58</v>
      </c>
      <c r="D973" s="56">
        <f>297.941</f>
        <v>297.94099999999997</v>
      </c>
      <c r="E973" s="64">
        <f>89.177</f>
        <v>89.177000000000007</v>
      </c>
      <c r="F973" s="56">
        <f>240.302-40-60-100</f>
        <v>40.301999999999992</v>
      </c>
      <c r="G973" s="59">
        <v>40</v>
      </c>
      <c r="H973" s="56">
        <f>60+100</f>
        <v>160</v>
      </c>
      <c r="I973" s="56">
        <f t="shared" si="158"/>
        <v>0</v>
      </c>
      <c r="J973" s="59">
        <v>100</v>
      </c>
      <c r="K973" s="59">
        <v>300</v>
      </c>
      <c r="L973" s="56">
        <f t="shared" si="152"/>
        <v>1150</v>
      </c>
      <c r="M973" s="66">
        <v>600</v>
      </c>
      <c r="N973" s="56">
        <f>100</f>
        <v>100</v>
      </c>
      <c r="O973" s="59">
        <v>240</v>
      </c>
      <c r="P973" s="59">
        <v>40</v>
      </c>
      <c r="Q973" s="59">
        <f t="shared" si="153"/>
        <v>315</v>
      </c>
      <c r="R973" s="59">
        <f t="shared" si="154"/>
        <v>100</v>
      </c>
      <c r="S973" s="56">
        <f t="shared" si="155"/>
        <v>695</v>
      </c>
      <c r="T973" s="56">
        <f>50</f>
        <v>50</v>
      </c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</row>
    <row r="974" spans="1:30" ht="15.75" x14ac:dyDescent="0.25">
      <c r="A974" s="13">
        <v>70949</v>
      </c>
      <c r="B974" s="67">
        <f t="shared" si="162"/>
        <v>31</v>
      </c>
      <c r="C974" s="56">
        <f>122.58</f>
        <v>122.58</v>
      </c>
      <c r="D974" s="56">
        <f>297.941</f>
        <v>297.94099999999997</v>
      </c>
      <c r="E974" s="64">
        <f>89.177</f>
        <v>89.177000000000007</v>
      </c>
      <c r="F974" s="56">
        <f>240.302-40-60-100</f>
        <v>40.301999999999992</v>
      </c>
      <c r="G974" s="59">
        <v>40</v>
      </c>
      <c r="H974" s="56">
        <f>60+100</f>
        <v>160</v>
      </c>
      <c r="I974" s="56">
        <f t="shared" si="158"/>
        <v>0</v>
      </c>
      <c r="J974" s="59">
        <v>100</v>
      </c>
      <c r="K974" s="59">
        <v>300</v>
      </c>
      <c r="L974" s="56">
        <f t="shared" si="152"/>
        <v>1150</v>
      </c>
      <c r="M974" s="66">
        <v>600</v>
      </c>
      <c r="N974" s="56">
        <f>100</f>
        <v>100</v>
      </c>
      <c r="O974" s="59">
        <v>240</v>
      </c>
      <c r="P974" s="59">
        <v>40</v>
      </c>
      <c r="Q974" s="59">
        <f t="shared" si="153"/>
        <v>315</v>
      </c>
      <c r="R974" s="59">
        <f t="shared" si="154"/>
        <v>100</v>
      </c>
      <c r="S974" s="56">
        <f t="shared" si="155"/>
        <v>695</v>
      </c>
      <c r="T974" s="56">
        <f>50</f>
        <v>50</v>
      </c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</row>
    <row r="975" spans="1:30" ht="15.75" x14ac:dyDescent="0.25">
      <c r="A975" s="13">
        <v>70979</v>
      </c>
      <c r="B975" s="67">
        <f t="shared" si="162"/>
        <v>30</v>
      </c>
      <c r="C975" s="56">
        <f>141.293</f>
        <v>141.29300000000001</v>
      </c>
      <c r="D975" s="56">
        <f>267.993</f>
        <v>267.99299999999999</v>
      </c>
      <c r="E975" s="64">
        <f>115.016</f>
        <v>115.01600000000001</v>
      </c>
      <c r="F975" s="56">
        <f>314.698-40-25-60-100</f>
        <v>89.697999999999979</v>
      </c>
      <c r="G975" s="59">
        <v>40</v>
      </c>
      <c r="H975" s="56">
        <f t="shared" ref="H975:H981" si="163">25+60+100</f>
        <v>185</v>
      </c>
      <c r="I975" s="56">
        <f t="shared" si="158"/>
        <v>0</v>
      </c>
      <c r="J975" s="59">
        <v>100</v>
      </c>
      <c r="K975" s="59">
        <v>300</v>
      </c>
      <c r="L975" s="56">
        <f t="shared" ref="L975:L1038" si="164">SUM(C975:K975)</f>
        <v>1239</v>
      </c>
      <c r="M975" s="66">
        <v>600</v>
      </c>
      <c r="N975" s="56">
        <f>100</f>
        <v>100</v>
      </c>
      <c r="O975" s="59">
        <v>240</v>
      </c>
      <c r="P975" s="59">
        <v>40</v>
      </c>
      <c r="Q975" s="59">
        <f t="shared" ref="Q975:Q1038" si="165">695-R975-O975-P975</f>
        <v>315</v>
      </c>
      <c r="R975" s="59">
        <f t="shared" ref="R975:R1038" si="166">200-J975</f>
        <v>100</v>
      </c>
      <c r="S975" s="56">
        <f t="shared" ref="S975:S1038" si="167">SUM(O975:R975)</f>
        <v>695</v>
      </c>
      <c r="T975" s="56">
        <f>50</f>
        <v>50</v>
      </c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</row>
    <row r="976" spans="1:30" ht="15.75" x14ac:dyDescent="0.25">
      <c r="A976" s="13">
        <v>71010</v>
      </c>
      <c r="B976" s="67">
        <f t="shared" si="162"/>
        <v>31</v>
      </c>
      <c r="C976" s="56">
        <f>194.205</f>
        <v>194.20500000000001</v>
      </c>
      <c r="D976" s="56">
        <f>267.466</f>
        <v>267.46600000000001</v>
      </c>
      <c r="E976" s="64">
        <f>133.845</f>
        <v>133.845</v>
      </c>
      <c r="F976" s="56">
        <f>278.484-40-25-60-100</f>
        <v>53.48399999999998</v>
      </c>
      <c r="G976" s="59">
        <v>40</v>
      </c>
      <c r="H976" s="56">
        <f t="shared" si="163"/>
        <v>185</v>
      </c>
      <c r="I976" s="56">
        <f t="shared" si="158"/>
        <v>0</v>
      </c>
      <c r="J976" s="59">
        <v>100</v>
      </c>
      <c r="K976" s="59">
        <v>300</v>
      </c>
      <c r="L976" s="56">
        <f t="shared" si="164"/>
        <v>1274</v>
      </c>
      <c r="M976" s="66">
        <v>600</v>
      </c>
      <c r="N976" s="56">
        <f>75</f>
        <v>75</v>
      </c>
      <c r="O976" s="59">
        <v>240</v>
      </c>
      <c r="P976" s="59">
        <v>40</v>
      </c>
      <c r="Q976" s="59">
        <f t="shared" si="165"/>
        <v>315</v>
      </c>
      <c r="R976" s="59">
        <f t="shared" si="166"/>
        <v>100</v>
      </c>
      <c r="S976" s="56">
        <f t="shared" si="167"/>
        <v>695</v>
      </c>
      <c r="T976" s="56">
        <f>50</f>
        <v>50</v>
      </c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</row>
    <row r="977" spans="1:30" ht="15.75" x14ac:dyDescent="0.25">
      <c r="A977" s="13">
        <v>71040</v>
      </c>
      <c r="B977" s="67">
        <f t="shared" si="162"/>
        <v>30</v>
      </c>
      <c r="C977" s="56">
        <f>194.205</f>
        <v>194.20500000000001</v>
      </c>
      <c r="D977" s="56">
        <f>267.466</f>
        <v>267.46600000000001</v>
      </c>
      <c r="E977" s="64">
        <f>133.845</f>
        <v>133.845</v>
      </c>
      <c r="F977" s="56">
        <f>278.484-40-25-60-100</f>
        <v>53.48399999999998</v>
      </c>
      <c r="G977" s="59">
        <v>40</v>
      </c>
      <c r="H977" s="56">
        <f t="shared" si="163"/>
        <v>185</v>
      </c>
      <c r="I977" s="56">
        <f t="shared" si="158"/>
        <v>0</v>
      </c>
      <c r="J977" s="59">
        <v>100</v>
      </c>
      <c r="K977" s="59">
        <v>300</v>
      </c>
      <c r="L977" s="56">
        <f t="shared" si="164"/>
        <v>1274</v>
      </c>
      <c r="M977" s="66">
        <v>600</v>
      </c>
      <c r="N977" s="56">
        <f>30</f>
        <v>30</v>
      </c>
      <c r="O977" s="59">
        <v>240</v>
      </c>
      <c r="P977" s="59">
        <v>40</v>
      </c>
      <c r="Q977" s="59">
        <f t="shared" si="165"/>
        <v>315</v>
      </c>
      <c r="R977" s="59">
        <f t="shared" si="166"/>
        <v>100</v>
      </c>
      <c r="S977" s="56">
        <f t="shared" si="167"/>
        <v>695</v>
      </c>
      <c r="T977" s="56">
        <f>50</f>
        <v>50</v>
      </c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</row>
    <row r="978" spans="1:30" ht="15.75" x14ac:dyDescent="0.25">
      <c r="A978" s="13">
        <v>71071</v>
      </c>
      <c r="B978" s="67">
        <f t="shared" si="162"/>
        <v>31</v>
      </c>
      <c r="C978" s="56">
        <f>194.205</f>
        <v>194.20500000000001</v>
      </c>
      <c r="D978" s="56">
        <f>267.466</f>
        <v>267.46600000000001</v>
      </c>
      <c r="E978" s="64">
        <f>133.845</f>
        <v>133.845</v>
      </c>
      <c r="F978" s="56">
        <f>278.484-40-25-60-100</f>
        <v>53.48399999999998</v>
      </c>
      <c r="G978" s="59">
        <v>40</v>
      </c>
      <c r="H978" s="56">
        <f t="shared" si="163"/>
        <v>185</v>
      </c>
      <c r="I978" s="56">
        <f t="shared" si="158"/>
        <v>0</v>
      </c>
      <c r="J978" s="59">
        <v>100</v>
      </c>
      <c r="K978" s="59">
        <v>300</v>
      </c>
      <c r="L978" s="56">
        <f t="shared" si="164"/>
        <v>1274</v>
      </c>
      <c r="M978" s="66">
        <v>600</v>
      </c>
      <c r="N978" s="56">
        <f>30</f>
        <v>30</v>
      </c>
      <c r="O978" s="59">
        <v>240</v>
      </c>
      <c r="P978" s="59">
        <v>40</v>
      </c>
      <c r="Q978" s="59">
        <f t="shared" si="165"/>
        <v>315</v>
      </c>
      <c r="R978" s="59">
        <f t="shared" si="166"/>
        <v>100</v>
      </c>
      <c r="S978" s="56">
        <f t="shared" si="167"/>
        <v>695</v>
      </c>
      <c r="T978" s="56">
        <f>0</f>
        <v>0</v>
      </c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</row>
    <row r="979" spans="1:30" ht="15.75" x14ac:dyDescent="0.25">
      <c r="A979" s="13">
        <v>71102</v>
      </c>
      <c r="B979" s="67">
        <f t="shared" si="162"/>
        <v>31</v>
      </c>
      <c r="C979" s="56">
        <f>194.205</f>
        <v>194.20500000000001</v>
      </c>
      <c r="D979" s="56">
        <f>267.466</f>
        <v>267.46600000000001</v>
      </c>
      <c r="E979" s="64">
        <f>133.845</f>
        <v>133.845</v>
      </c>
      <c r="F979" s="56">
        <f>278.484-40-25-60-100</f>
        <v>53.48399999999998</v>
      </c>
      <c r="G979" s="59">
        <v>40</v>
      </c>
      <c r="H979" s="56">
        <f t="shared" si="163"/>
        <v>185</v>
      </c>
      <c r="I979" s="56">
        <f t="shared" si="158"/>
        <v>0</v>
      </c>
      <c r="J979" s="59">
        <v>100</v>
      </c>
      <c r="K979" s="59">
        <v>300</v>
      </c>
      <c r="L979" s="56">
        <f t="shared" si="164"/>
        <v>1274</v>
      </c>
      <c r="M979" s="66">
        <v>600</v>
      </c>
      <c r="N979" s="56">
        <f>30</f>
        <v>30</v>
      </c>
      <c r="O979" s="59">
        <v>240</v>
      </c>
      <c r="P979" s="59">
        <v>40</v>
      </c>
      <c r="Q979" s="59">
        <f t="shared" si="165"/>
        <v>315</v>
      </c>
      <c r="R979" s="59">
        <f t="shared" si="166"/>
        <v>100</v>
      </c>
      <c r="S979" s="56">
        <f t="shared" si="167"/>
        <v>695</v>
      </c>
      <c r="T979" s="56">
        <f>0</f>
        <v>0</v>
      </c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</row>
    <row r="980" spans="1:30" ht="15.75" x14ac:dyDescent="0.25">
      <c r="A980" s="13">
        <v>71132</v>
      </c>
      <c r="B980" s="67">
        <f t="shared" si="162"/>
        <v>30</v>
      </c>
      <c r="C980" s="56">
        <f>194.205</f>
        <v>194.20500000000001</v>
      </c>
      <c r="D980" s="56">
        <f>267.466</f>
        <v>267.46600000000001</v>
      </c>
      <c r="E980" s="64">
        <f>133.845</f>
        <v>133.845</v>
      </c>
      <c r="F980" s="56">
        <f>278.484-40-25-60-100</f>
        <v>53.48399999999998</v>
      </c>
      <c r="G980" s="59">
        <v>40</v>
      </c>
      <c r="H980" s="56">
        <f t="shared" si="163"/>
        <v>185</v>
      </c>
      <c r="I980" s="56">
        <f t="shared" si="158"/>
        <v>0</v>
      </c>
      <c r="J980" s="59">
        <v>100</v>
      </c>
      <c r="K980" s="59">
        <v>300</v>
      </c>
      <c r="L980" s="56">
        <f t="shared" si="164"/>
        <v>1274</v>
      </c>
      <c r="M980" s="66">
        <v>600</v>
      </c>
      <c r="N980" s="56">
        <f>30</f>
        <v>30</v>
      </c>
      <c r="O980" s="59">
        <v>240</v>
      </c>
      <c r="P980" s="59">
        <v>40</v>
      </c>
      <c r="Q980" s="59">
        <f t="shared" si="165"/>
        <v>315</v>
      </c>
      <c r="R980" s="59">
        <f t="shared" si="166"/>
        <v>100</v>
      </c>
      <c r="S980" s="56">
        <f t="shared" si="167"/>
        <v>695</v>
      </c>
      <c r="T980" s="56">
        <f>0</f>
        <v>0</v>
      </c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</row>
    <row r="981" spans="1:30" ht="15.75" x14ac:dyDescent="0.25">
      <c r="A981" s="13">
        <v>71163</v>
      </c>
      <c r="B981" s="67">
        <f t="shared" si="162"/>
        <v>31</v>
      </c>
      <c r="C981" s="56">
        <f>131.881</f>
        <v>131.881</v>
      </c>
      <c r="D981" s="56">
        <f>277.167</f>
        <v>277.16699999999997</v>
      </c>
      <c r="E981" s="64">
        <f>79.08</f>
        <v>79.08</v>
      </c>
      <c r="F981" s="56">
        <f>350.872-40-25-60-100</f>
        <v>125.87200000000001</v>
      </c>
      <c r="G981" s="59">
        <v>40</v>
      </c>
      <c r="H981" s="56">
        <f t="shared" si="163"/>
        <v>185</v>
      </c>
      <c r="I981" s="56">
        <f t="shared" si="158"/>
        <v>0</v>
      </c>
      <c r="J981" s="59">
        <v>100</v>
      </c>
      <c r="K981" s="59">
        <v>300</v>
      </c>
      <c r="L981" s="56">
        <f t="shared" si="164"/>
        <v>1239</v>
      </c>
      <c r="M981" s="66">
        <v>600</v>
      </c>
      <c r="N981" s="56">
        <f>75</f>
        <v>75</v>
      </c>
      <c r="O981" s="59">
        <v>240</v>
      </c>
      <c r="P981" s="59">
        <v>40</v>
      </c>
      <c r="Q981" s="59">
        <f t="shared" si="165"/>
        <v>315</v>
      </c>
      <c r="R981" s="59">
        <f t="shared" si="166"/>
        <v>100</v>
      </c>
      <c r="S981" s="56">
        <f t="shared" si="167"/>
        <v>695</v>
      </c>
      <c r="T981" s="56">
        <f>0</f>
        <v>0</v>
      </c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</row>
    <row r="982" spans="1:30" ht="15.75" x14ac:dyDescent="0.25">
      <c r="A982" s="13">
        <v>71193</v>
      </c>
      <c r="B982" s="67">
        <f t="shared" si="162"/>
        <v>30</v>
      </c>
      <c r="C982" s="56">
        <f>122.58</f>
        <v>122.58</v>
      </c>
      <c r="D982" s="56">
        <f>297.941</f>
        <v>297.94099999999997</v>
      </c>
      <c r="E982" s="64">
        <f>89.177</f>
        <v>89.177000000000007</v>
      </c>
      <c r="F982" s="56">
        <f>240.302-40-60-100</f>
        <v>40.301999999999992</v>
      </c>
      <c r="G982" s="59">
        <v>40</v>
      </c>
      <c r="H982" s="56">
        <f>60+100</f>
        <v>160</v>
      </c>
      <c r="I982" s="56">
        <f t="shared" si="158"/>
        <v>0</v>
      </c>
      <c r="J982" s="59">
        <v>100</v>
      </c>
      <c r="K982" s="59">
        <v>300</v>
      </c>
      <c r="L982" s="56">
        <f t="shared" si="164"/>
        <v>1150</v>
      </c>
      <c r="M982" s="66">
        <v>600</v>
      </c>
      <c r="N982" s="56">
        <f>100</f>
        <v>100</v>
      </c>
      <c r="O982" s="59">
        <v>240</v>
      </c>
      <c r="P982" s="59">
        <v>40</v>
      </c>
      <c r="Q982" s="59">
        <f t="shared" si="165"/>
        <v>315</v>
      </c>
      <c r="R982" s="59">
        <f t="shared" si="166"/>
        <v>100</v>
      </c>
      <c r="S982" s="56">
        <f t="shared" si="167"/>
        <v>695</v>
      </c>
      <c r="T982" s="56">
        <f>50</f>
        <v>50</v>
      </c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</row>
    <row r="983" spans="1:30" ht="15.75" x14ac:dyDescent="0.25">
      <c r="A983" s="13">
        <v>71224</v>
      </c>
      <c r="B983" s="67">
        <f t="shared" si="162"/>
        <v>31</v>
      </c>
      <c r="C983" s="56">
        <f>122.58</f>
        <v>122.58</v>
      </c>
      <c r="D983" s="56">
        <f>297.941</f>
        <v>297.94099999999997</v>
      </c>
      <c r="E983" s="64">
        <f>89.177</f>
        <v>89.177000000000007</v>
      </c>
      <c r="F983" s="56">
        <f>240.302-40-60-100</f>
        <v>40.301999999999992</v>
      </c>
      <c r="G983" s="59">
        <v>40</v>
      </c>
      <c r="H983" s="56">
        <f>60+100</f>
        <v>160</v>
      </c>
      <c r="I983" s="56">
        <f t="shared" si="158"/>
        <v>0</v>
      </c>
      <c r="J983" s="59">
        <v>100</v>
      </c>
      <c r="K983" s="59">
        <v>300</v>
      </c>
      <c r="L983" s="56">
        <f t="shared" si="164"/>
        <v>1150</v>
      </c>
      <c r="M983" s="66">
        <v>600</v>
      </c>
      <c r="N983" s="56">
        <f>100</f>
        <v>100</v>
      </c>
      <c r="O983" s="59">
        <v>240</v>
      </c>
      <c r="P983" s="59">
        <v>40</v>
      </c>
      <c r="Q983" s="59">
        <f t="shared" si="165"/>
        <v>315</v>
      </c>
      <c r="R983" s="59">
        <f t="shared" si="166"/>
        <v>100</v>
      </c>
      <c r="S983" s="56">
        <f t="shared" si="167"/>
        <v>695</v>
      </c>
      <c r="T983" s="56">
        <f>50</f>
        <v>50</v>
      </c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</row>
    <row r="984" spans="1:30" ht="15.75" x14ac:dyDescent="0.25">
      <c r="A984" s="13">
        <v>71255</v>
      </c>
      <c r="B984" s="67">
        <f t="shared" si="162"/>
        <v>31</v>
      </c>
      <c r="C984" s="56">
        <f>122.58</f>
        <v>122.58</v>
      </c>
      <c r="D984" s="56">
        <f>297.941</f>
        <v>297.94099999999997</v>
      </c>
      <c r="E984" s="64">
        <f>89.177</f>
        <v>89.177000000000007</v>
      </c>
      <c r="F984" s="56">
        <f>240.302-40-60-100</f>
        <v>40.301999999999992</v>
      </c>
      <c r="G984" s="59">
        <v>40</v>
      </c>
      <c r="H984" s="56">
        <f>60+100</f>
        <v>160</v>
      </c>
      <c r="I984" s="56">
        <f t="shared" si="158"/>
        <v>0</v>
      </c>
      <c r="J984" s="59">
        <v>100</v>
      </c>
      <c r="K984" s="59">
        <v>300</v>
      </c>
      <c r="L984" s="56">
        <f t="shared" si="164"/>
        <v>1150</v>
      </c>
      <c r="M984" s="66">
        <v>600</v>
      </c>
      <c r="N984" s="56">
        <f>100</f>
        <v>100</v>
      </c>
      <c r="O984" s="59">
        <v>240</v>
      </c>
      <c r="P984" s="59">
        <v>40</v>
      </c>
      <c r="Q984" s="59">
        <f t="shared" si="165"/>
        <v>315</v>
      </c>
      <c r="R984" s="59">
        <f t="shared" si="166"/>
        <v>100</v>
      </c>
      <c r="S984" s="56">
        <f t="shared" si="167"/>
        <v>695</v>
      </c>
      <c r="T984" s="56">
        <f>50</f>
        <v>50</v>
      </c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</row>
    <row r="985" spans="1:30" ht="15.75" x14ac:dyDescent="0.25">
      <c r="A985" s="13">
        <v>71283</v>
      </c>
      <c r="B985" s="67">
        <f t="shared" si="162"/>
        <v>28</v>
      </c>
      <c r="C985" s="56">
        <f>122.58</f>
        <v>122.58</v>
      </c>
      <c r="D985" s="56">
        <f>297.941</f>
        <v>297.94099999999997</v>
      </c>
      <c r="E985" s="64">
        <f>89.177</f>
        <v>89.177000000000007</v>
      </c>
      <c r="F985" s="56">
        <f>240.302-40-60-100</f>
        <v>40.301999999999992</v>
      </c>
      <c r="G985" s="59">
        <v>40</v>
      </c>
      <c r="H985" s="56">
        <f>60+100</f>
        <v>160</v>
      </c>
      <c r="I985" s="56">
        <f t="shared" si="158"/>
        <v>0</v>
      </c>
      <c r="J985" s="59">
        <v>100</v>
      </c>
      <c r="K985" s="59">
        <v>300</v>
      </c>
      <c r="L985" s="56">
        <f t="shared" si="164"/>
        <v>1150</v>
      </c>
      <c r="M985" s="66">
        <v>600</v>
      </c>
      <c r="N985" s="56">
        <f>100</f>
        <v>100</v>
      </c>
      <c r="O985" s="59">
        <v>240</v>
      </c>
      <c r="P985" s="59">
        <v>40</v>
      </c>
      <c r="Q985" s="59">
        <f t="shared" si="165"/>
        <v>315</v>
      </c>
      <c r="R985" s="59">
        <f t="shared" si="166"/>
        <v>100</v>
      </c>
      <c r="S985" s="56">
        <f t="shared" si="167"/>
        <v>695</v>
      </c>
      <c r="T985" s="56">
        <f>50</f>
        <v>50</v>
      </c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</row>
    <row r="986" spans="1:30" ht="15.75" x14ac:dyDescent="0.25">
      <c r="A986" s="13">
        <v>71314</v>
      </c>
      <c r="B986" s="67">
        <f t="shared" si="162"/>
        <v>31</v>
      </c>
      <c r="C986" s="56">
        <f>122.58</f>
        <v>122.58</v>
      </c>
      <c r="D986" s="56">
        <f>297.941</f>
        <v>297.94099999999997</v>
      </c>
      <c r="E986" s="64">
        <f>89.177</f>
        <v>89.177000000000007</v>
      </c>
      <c r="F986" s="56">
        <f>240.302-40-60-100</f>
        <v>40.301999999999992</v>
      </c>
      <c r="G986" s="59">
        <v>40</v>
      </c>
      <c r="H986" s="56">
        <f>60+100</f>
        <v>160</v>
      </c>
      <c r="I986" s="56">
        <f t="shared" si="158"/>
        <v>0</v>
      </c>
      <c r="J986" s="59">
        <v>100</v>
      </c>
      <c r="K986" s="59">
        <v>300</v>
      </c>
      <c r="L986" s="56">
        <f t="shared" si="164"/>
        <v>1150</v>
      </c>
      <c r="M986" s="66">
        <v>600</v>
      </c>
      <c r="N986" s="56">
        <f>100</f>
        <v>100</v>
      </c>
      <c r="O986" s="59">
        <v>240</v>
      </c>
      <c r="P986" s="59">
        <v>40</v>
      </c>
      <c r="Q986" s="59">
        <f t="shared" si="165"/>
        <v>315</v>
      </c>
      <c r="R986" s="59">
        <f t="shared" si="166"/>
        <v>100</v>
      </c>
      <c r="S986" s="56">
        <f t="shared" si="167"/>
        <v>695</v>
      </c>
      <c r="T986" s="56">
        <f>50</f>
        <v>50</v>
      </c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</row>
    <row r="987" spans="1:30" ht="15.75" x14ac:dyDescent="0.25">
      <c r="A987" s="13">
        <v>71344</v>
      </c>
      <c r="B987" s="67">
        <f t="shared" si="162"/>
        <v>30</v>
      </c>
      <c r="C987" s="56">
        <f>141.293</f>
        <v>141.29300000000001</v>
      </c>
      <c r="D987" s="56">
        <f>267.993</f>
        <v>267.99299999999999</v>
      </c>
      <c r="E987" s="64">
        <f>115.016</f>
        <v>115.01600000000001</v>
      </c>
      <c r="F987" s="56">
        <f>314.698-40-25-60-100</f>
        <v>89.697999999999979</v>
      </c>
      <c r="G987" s="59">
        <v>40</v>
      </c>
      <c r="H987" s="56">
        <f t="shared" ref="H987:H993" si="168">25+60+100</f>
        <v>185</v>
      </c>
      <c r="I987" s="56">
        <f t="shared" si="158"/>
        <v>0</v>
      </c>
      <c r="J987" s="59">
        <v>100</v>
      </c>
      <c r="K987" s="59">
        <v>300</v>
      </c>
      <c r="L987" s="56">
        <f t="shared" si="164"/>
        <v>1239</v>
      </c>
      <c r="M987" s="66">
        <v>600</v>
      </c>
      <c r="N987" s="56">
        <f>100</f>
        <v>100</v>
      </c>
      <c r="O987" s="59">
        <v>240</v>
      </c>
      <c r="P987" s="59">
        <v>40</v>
      </c>
      <c r="Q987" s="59">
        <f t="shared" si="165"/>
        <v>315</v>
      </c>
      <c r="R987" s="59">
        <f t="shared" si="166"/>
        <v>100</v>
      </c>
      <c r="S987" s="56">
        <f t="shared" si="167"/>
        <v>695</v>
      </c>
      <c r="T987" s="56">
        <f>50</f>
        <v>50</v>
      </c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</row>
    <row r="988" spans="1:30" ht="15.75" x14ac:dyDescent="0.25">
      <c r="A988" s="13">
        <v>71375</v>
      </c>
      <c r="B988" s="67">
        <f t="shared" si="162"/>
        <v>31</v>
      </c>
      <c r="C988" s="56">
        <f>194.205</f>
        <v>194.20500000000001</v>
      </c>
      <c r="D988" s="56">
        <f>267.466</f>
        <v>267.46600000000001</v>
      </c>
      <c r="E988" s="64">
        <f>133.845</f>
        <v>133.845</v>
      </c>
      <c r="F988" s="56">
        <f>278.484-40-25-60-100</f>
        <v>53.48399999999998</v>
      </c>
      <c r="G988" s="59">
        <v>40</v>
      </c>
      <c r="H988" s="56">
        <f t="shared" si="168"/>
        <v>185</v>
      </c>
      <c r="I988" s="56">
        <f t="shared" si="158"/>
        <v>0</v>
      </c>
      <c r="J988" s="59">
        <v>100</v>
      </c>
      <c r="K988" s="59">
        <v>300</v>
      </c>
      <c r="L988" s="56">
        <f t="shared" si="164"/>
        <v>1274</v>
      </c>
      <c r="M988" s="66">
        <v>600</v>
      </c>
      <c r="N988" s="56">
        <f>75</f>
        <v>75</v>
      </c>
      <c r="O988" s="59">
        <v>240</v>
      </c>
      <c r="P988" s="59">
        <v>40</v>
      </c>
      <c r="Q988" s="59">
        <f t="shared" si="165"/>
        <v>315</v>
      </c>
      <c r="R988" s="59">
        <f t="shared" si="166"/>
        <v>100</v>
      </c>
      <c r="S988" s="56">
        <f t="shared" si="167"/>
        <v>695</v>
      </c>
      <c r="T988" s="56">
        <f>50</f>
        <v>50</v>
      </c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</row>
    <row r="989" spans="1:30" ht="15.75" x14ac:dyDescent="0.25">
      <c r="A989" s="13">
        <v>71405</v>
      </c>
      <c r="B989" s="67">
        <f t="shared" si="162"/>
        <v>30</v>
      </c>
      <c r="C989" s="56">
        <f>194.205</f>
        <v>194.20500000000001</v>
      </c>
      <c r="D989" s="56">
        <f>267.466</f>
        <v>267.46600000000001</v>
      </c>
      <c r="E989" s="64">
        <f>133.845</f>
        <v>133.845</v>
      </c>
      <c r="F989" s="56">
        <f>278.484-40-25-60-100</f>
        <v>53.48399999999998</v>
      </c>
      <c r="G989" s="59">
        <v>40</v>
      </c>
      <c r="H989" s="56">
        <f t="shared" si="168"/>
        <v>185</v>
      </c>
      <c r="I989" s="56">
        <f t="shared" si="158"/>
        <v>0</v>
      </c>
      <c r="J989" s="59">
        <v>100</v>
      </c>
      <c r="K989" s="59">
        <v>300</v>
      </c>
      <c r="L989" s="56">
        <f t="shared" si="164"/>
        <v>1274</v>
      </c>
      <c r="M989" s="66">
        <v>600</v>
      </c>
      <c r="N989" s="56">
        <f>30</f>
        <v>30</v>
      </c>
      <c r="O989" s="59">
        <v>240</v>
      </c>
      <c r="P989" s="59">
        <v>40</v>
      </c>
      <c r="Q989" s="59">
        <f t="shared" si="165"/>
        <v>315</v>
      </c>
      <c r="R989" s="59">
        <f t="shared" si="166"/>
        <v>100</v>
      </c>
      <c r="S989" s="56">
        <f t="shared" si="167"/>
        <v>695</v>
      </c>
      <c r="T989" s="56">
        <f>50</f>
        <v>50</v>
      </c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</row>
    <row r="990" spans="1:30" ht="15.75" x14ac:dyDescent="0.25">
      <c r="A990" s="13">
        <v>71436</v>
      </c>
      <c r="B990" s="67">
        <f t="shared" si="162"/>
        <v>31</v>
      </c>
      <c r="C990" s="56">
        <f>194.205</f>
        <v>194.20500000000001</v>
      </c>
      <c r="D990" s="56">
        <f>267.466</f>
        <v>267.46600000000001</v>
      </c>
      <c r="E990" s="64">
        <f>133.845</f>
        <v>133.845</v>
      </c>
      <c r="F990" s="56">
        <f>278.484-40-25-60-100</f>
        <v>53.48399999999998</v>
      </c>
      <c r="G990" s="59">
        <v>40</v>
      </c>
      <c r="H990" s="56">
        <f t="shared" si="168"/>
        <v>185</v>
      </c>
      <c r="I990" s="56">
        <f t="shared" si="158"/>
        <v>0</v>
      </c>
      <c r="J990" s="59">
        <v>100</v>
      </c>
      <c r="K990" s="59">
        <v>300</v>
      </c>
      <c r="L990" s="56">
        <f t="shared" si="164"/>
        <v>1274</v>
      </c>
      <c r="M990" s="66">
        <v>600</v>
      </c>
      <c r="N990" s="56">
        <f>30</f>
        <v>30</v>
      </c>
      <c r="O990" s="59">
        <v>240</v>
      </c>
      <c r="P990" s="59">
        <v>40</v>
      </c>
      <c r="Q990" s="59">
        <f t="shared" si="165"/>
        <v>315</v>
      </c>
      <c r="R990" s="59">
        <f t="shared" si="166"/>
        <v>100</v>
      </c>
      <c r="S990" s="56">
        <f t="shared" si="167"/>
        <v>695</v>
      </c>
      <c r="T990" s="56">
        <f>0</f>
        <v>0</v>
      </c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</row>
    <row r="991" spans="1:30" ht="15.75" x14ac:dyDescent="0.25">
      <c r="A991" s="13">
        <v>71467</v>
      </c>
      <c r="B991" s="67">
        <f t="shared" si="162"/>
        <v>31</v>
      </c>
      <c r="C991" s="56">
        <f>194.205</f>
        <v>194.20500000000001</v>
      </c>
      <c r="D991" s="56">
        <f>267.466</f>
        <v>267.46600000000001</v>
      </c>
      <c r="E991" s="64">
        <f>133.845</f>
        <v>133.845</v>
      </c>
      <c r="F991" s="56">
        <f>278.484-40-25-60-100</f>
        <v>53.48399999999998</v>
      </c>
      <c r="G991" s="59">
        <v>40</v>
      </c>
      <c r="H991" s="56">
        <f t="shared" si="168"/>
        <v>185</v>
      </c>
      <c r="I991" s="56">
        <f t="shared" si="158"/>
        <v>0</v>
      </c>
      <c r="J991" s="59">
        <v>100</v>
      </c>
      <c r="K991" s="59">
        <v>300</v>
      </c>
      <c r="L991" s="56">
        <f t="shared" si="164"/>
        <v>1274</v>
      </c>
      <c r="M991" s="66">
        <v>600</v>
      </c>
      <c r="N991" s="56">
        <f>30</f>
        <v>30</v>
      </c>
      <c r="O991" s="59">
        <v>240</v>
      </c>
      <c r="P991" s="59">
        <v>40</v>
      </c>
      <c r="Q991" s="59">
        <f t="shared" si="165"/>
        <v>315</v>
      </c>
      <c r="R991" s="59">
        <f t="shared" si="166"/>
        <v>100</v>
      </c>
      <c r="S991" s="56">
        <f t="shared" si="167"/>
        <v>695</v>
      </c>
      <c r="T991" s="56">
        <f>0</f>
        <v>0</v>
      </c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</row>
    <row r="992" spans="1:30" ht="15.75" x14ac:dyDescent="0.25">
      <c r="A992" s="13">
        <v>71497</v>
      </c>
      <c r="B992" s="67">
        <f t="shared" si="162"/>
        <v>30</v>
      </c>
      <c r="C992" s="56">
        <f>194.205</f>
        <v>194.20500000000001</v>
      </c>
      <c r="D992" s="56">
        <f>267.466</f>
        <v>267.46600000000001</v>
      </c>
      <c r="E992" s="64">
        <f>133.845</f>
        <v>133.845</v>
      </c>
      <c r="F992" s="56">
        <f>278.484-40-25-60-100</f>
        <v>53.48399999999998</v>
      </c>
      <c r="G992" s="59">
        <v>40</v>
      </c>
      <c r="H992" s="56">
        <f t="shared" si="168"/>
        <v>185</v>
      </c>
      <c r="I992" s="56">
        <f t="shared" si="158"/>
        <v>0</v>
      </c>
      <c r="J992" s="59">
        <v>100</v>
      </c>
      <c r="K992" s="59">
        <v>300</v>
      </c>
      <c r="L992" s="56">
        <f t="shared" si="164"/>
        <v>1274</v>
      </c>
      <c r="M992" s="66">
        <v>600</v>
      </c>
      <c r="N992" s="56">
        <f>30</f>
        <v>30</v>
      </c>
      <c r="O992" s="59">
        <v>240</v>
      </c>
      <c r="P992" s="59">
        <v>40</v>
      </c>
      <c r="Q992" s="59">
        <f t="shared" si="165"/>
        <v>315</v>
      </c>
      <c r="R992" s="59">
        <f t="shared" si="166"/>
        <v>100</v>
      </c>
      <c r="S992" s="56">
        <f t="shared" si="167"/>
        <v>695</v>
      </c>
      <c r="T992" s="56">
        <f>0</f>
        <v>0</v>
      </c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</row>
    <row r="993" spans="1:30" ht="15.75" x14ac:dyDescent="0.25">
      <c r="A993" s="13">
        <v>71528</v>
      </c>
      <c r="B993" s="67">
        <f t="shared" si="162"/>
        <v>31</v>
      </c>
      <c r="C993" s="56">
        <f>131.881</f>
        <v>131.881</v>
      </c>
      <c r="D993" s="56">
        <f>277.167</f>
        <v>277.16699999999997</v>
      </c>
      <c r="E993" s="64">
        <f>79.08</f>
        <v>79.08</v>
      </c>
      <c r="F993" s="56">
        <f>350.872-40-25-60-100</f>
        <v>125.87200000000001</v>
      </c>
      <c r="G993" s="59">
        <v>40</v>
      </c>
      <c r="H993" s="56">
        <f t="shared" si="168"/>
        <v>185</v>
      </c>
      <c r="I993" s="56">
        <f t="shared" si="158"/>
        <v>0</v>
      </c>
      <c r="J993" s="59">
        <v>100</v>
      </c>
      <c r="K993" s="59">
        <v>300</v>
      </c>
      <c r="L993" s="56">
        <f t="shared" si="164"/>
        <v>1239</v>
      </c>
      <c r="M993" s="66">
        <v>600</v>
      </c>
      <c r="N993" s="56">
        <f>75</f>
        <v>75</v>
      </c>
      <c r="O993" s="59">
        <v>240</v>
      </c>
      <c r="P993" s="59">
        <v>40</v>
      </c>
      <c r="Q993" s="59">
        <f t="shared" si="165"/>
        <v>315</v>
      </c>
      <c r="R993" s="59">
        <f t="shared" si="166"/>
        <v>100</v>
      </c>
      <c r="S993" s="56">
        <f t="shared" si="167"/>
        <v>695</v>
      </c>
      <c r="T993" s="56">
        <f>0</f>
        <v>0</v>
      </c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</row>
    <row r="994" spans="1:30" ht="15.75" x14ac:dyDescent="0.25">
      <c r="A994" s="13">
        <v>71558</v>
      </c>
      <c r="B994" s="67">
        <f t="shared" si="162"/>
        <v>30</v>
      </c>
      <c r="C994" s="56">
        <f>122.58</f>
        <v>122.58</v>
      </c>
      <c r="D994" s="56">
        <f>297.941</f>
        <v>297.94099999999997</v>
      </c>
      <c r="E994" s="64">
        <f>89.177</f>
        <v>89.177000000000007</v>
      </c>
      <c r="F994" s="56">
        <f>240.302-40-60-100</f>
        <v>40.301999999999992</v>
      </c>
      <c r="G994" s="59">
        <v>40</v>
      </c>
      <c r="H994" s="56">
        <f>60+100</f>
        <v>160</v>
      </c>
      <c r="I994" s="56">
        <f t="shared" si="158"/>
        <v>0</v>
      </c>
      <c r="J994" s="59">
        <v>100</v>
      </c>
      <c r="K994" s="59">
        <v>300</v>
      </c>
      <c r="L994" s="56">
        <f t="shared" si="164"/>
        <v>1150</v>
      </c>
      <c r="M994" s="66">
        <v>600</v>
      </c>
      <c r="N994" s="56">
        <f>100</f>
        <v>100</v>
      </c>
      <c r="O994" s="59">
        <v>240</v>
      </c>
      <c r="P994" s="59">
        <v>40</v>
      </c>
      <c r="Q994" s="59">
        <f t="shared" si="165"/>
        <v>315</v>
      </c>
      <c r="R994" s="59">
        <f t="shared" si="166"/>
        <v>100</v>
      </c>
      <c r="S994" s="56">
        <f t="shared" si="167"/>
        <v>695</v>
      </c>
      <c r="T994" s="56">
        <f>50</f>
        <v>50</v>
      </c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</row>
    <row r="995" spans="1:30" ht="15.75" x14ac:dyDescent="0.25">
      <c r="A995" s="13">
        <v>71589</v>
      </c>
      <c r="B995" s="67">
        <f t="shared" si="162"/>
        <v>31</v>
      </c>
      <c r="C995" s="56">
        <f>122.58</f>
        <v>122.58</v>
      </c>
      <c r="D995" s="56">
        <f>297.941</f>
        <v>297.94099999999997</v>
      </c>
      <c r="E995" s="64">
        <f>89.177</f>
        <v>89.177000000000007</v>
      </c>
      <c r="F995" s="56">
        <f>240.302-40-60-100</f>
        <v>40.301999999999992</v>
      </c>
      <c r="G995" s="59">
        <v>40</v>
      </c>
      <c r="H995" s="56">
        <f>60+100</f>
        <v>160</v>
      </c>
      <c r="I995" s="56">
        <f t="shared" si="158"/>
        <v>0</v>
      </c>
      <c r="J995" s="59">
        <v>100</v>
      </c>
      <c r="K995" s="59">
        <v>300</v>
      </c>
      <c r="L995" s="56">
        <f t="shared" si="164"/>
        <v>1150</v>
      </c>
      <c r="M995" s="66">
        <v>600</v>
      </c>
      <c r="N995" s="56">
        <f>100</f>
        <v>100</v>
      </c>
      <c r="O995" s="59">
        <v>240</v>
      </c>
      <c r="P995" s="59">
        <v>40</v>
      </c>
      <c r="Q995" s="59">
        <f t="shared" si="165"/>
        <v>315</v>
      </c>
      <c r="R995" s="59">
        <f t="shared" si="166"/>
        <v>100</v>
      </c>
      <c r="S995" s="56">
        <f t="shared" si="167"/>
        <v>695</v>
      </c>
      <c r="T995" s="56">
        <f>50</f>
        <v>50</v>
      </c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</row>
    <row r="996" spans="1:30" ht="15.75" x14ac:dyDescent="0.25">
      <c r="A996" s="13">
        <v>71620</v>
      </c>
      <c r="B996" s="67">
        <f t="shared" si="162"/>
        <v>31</v>
      </c>
      <c r="C996" s="56">
        <f>122.58</f>
        <v>122.58</v>
      </c>
      <c r="D996" s="56">
        <f>297.941</f>
        <v>297.94099999999997</v>
      </c>
      <c r="E996" s="64">
        <f>89.177</f>
        <v>89.177000000000007</v>
      </c>
      <c r="F996" s="56">
        <f>240.302-40-60-100</f>
        <v>40.301999999999992</v>
      </c>
      <c r="G996" s="59">
        <v>40</v>
      </c>
      <c r="H996" s="56">
        <f>60+100</f>
        <v>160</v>
      </c>
      <c r="I996" s="56">
        <f t="shared" si="158"/>
        <v>0</v>
      </c>
      <c r="J996" s="59">
        <v>100</v>
      </c>
      <c r="K996" s="59">
        <v>300</v>
      </c>
      <c r="L996" s="56">
        <f t="shared" si="164"/>
        <v>1150</v>
      </c>
      <c r="M996" s="66">
        <v>600</v>
      </c>
      <c r="N996" s="56">
        <f>100</f>
        <v>100</v>
      </c>
      <c r="O996" s="59">
        <v>240</v>
      </c>
      <c r="P996" s="59">
        <v>40</v>
      </c>
      <c r="Q996" s="59">
        <f t="shared" si="165"/>
        <v>315</v>
      </c>
      <c r="R996" s="59">
        <f t="shared" si="166"/>
        <v>100</v>
      </c>
      <c r="S996" s="56">
        <f t="shared" si="167"/>
        <v>695</v>
      </c>
      <c r="T996" s="56">
        <f>50</f>
        <v>50</v>
      </c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</row>
    <row r="997" spans="1:30" ht="15.75" x14ac:dyDescent="0.25">
      <c r="A997" s="13">
        <v>71649</v>
      </c>
      <c r="B997" s="67">
        <f t="shared" si="162"/>
        <v>29</v>
      </c>
      <c r="C997" s="56">
        <f>122.58</f>
        <v>122.58</v>
      </c>
      <c r="D997" s="56">
        <f>297.941</f>
        <v>297.94099999999997</v>
      </c>
      <c r="E997" s="64">
        <f>89.177</f>
        <v>89.177000000000007</v>
      </c>
      <c r="F997" s="56">
        <f>240.302-40-60-100</f>
        <v>40.301999999999992</v>
      </c>
      <c r="G997" s="59">
        <v>40</v>
      </c>
      <c r="H997" s="56">
        <f>60+100</f>
        <v>160</v>
      </c>
      <c r="I997" s="56">
        <f t="shared" si="158"/>
        <v>0</v>
      </c>
      <c r="J997" s="59">
        <v>100</v>
      </c>
      <c r="K997" s="59">
        <v>300</v>
      </c>
      <c r="L997" s="56">
        <f t="shared" si="164"/>
        <v>1150</v>
      </c>
      <c r="M997" s="66">
        <v>600</v>
      </c>
      <c r="N997" s="56">
        <f>100</f>
        <v>100</v>
      </c>
      <c r="O997" s="59">
        <v>240</v>
      </c>
      <c r="P997" s="59">
        <v>40</v>
      </c>
      <c r="Q997" s="59">
        <f t="shared" si="165"/>
        <v>315</v>
      </c>
      <c r="R997" s="59">
        <f t="shared" si="166"/>
        <v>100</v>
      </c>
      <c r="S997" s="56">
        <f t="shared" si="167"/>
        <v>695</v>
      </c>
      <c r="T997" s="56">
        <f>50</f>
        <v>50</v>
      </c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</row>
    <row r="998" spans="1:30" ht="15.75" x14ac:dyDescent="0.25">
      <c r="A998" s="13">
        <v>71680</v>
      </c>
      <c r="B998" s="67">
        <f t="shared" si="162"/>
        <v>31</v>
      </c>
      <c r="C998" s="56">
        <f>122.58</f>
        <v>122.58</v>
      </c>
      <c r="D998" s="56">
        <f>297.941</f>
        <v>297.94099999999997</v>
      </c>
      <c r="E998" s="64">
        <f>89.177</f>
        <v>89.177000000000007</v>
      </c>
      <c r="F998" s="56">
        <f>240.302-40-60-100</f>
        <v>40.301999999999992</v>
      </c>
      <c r="G998" s="59">
        <v>40</v>
      </c>
      <c r="H998" s="56">
        <f>60+100</f>
        <v>160</v>
      </c>
      <c r="I998" s="56">
        <f t="shared" si="158"/>
        <v>0</v>
      </c>
      <c r="J998" s="59">
        <v>100</v>
      </c>
      <c r="K998" s="59">
        <v>300</v>
      </c>
      <c r="L998" s="56">
        <f t="shared" si="164"/>
        <v>1150</v>
      </c>
      <c r="M998" s="66">
        <v>600</v>
      </c>
      <c r="N998" s="56">
        <f>100</f>
        <v>100</v>
      </c>
      <c r="O998" s="59">
        <v>240</v>
      </c>
      <c r="P998" s="59">
        <v>40</v>
      </c>
      <c r="Q998" s="59">
        <f t="shared" si="165"/>
        <v>315</v>
      </c>
      <c r="R998" s="59">
        <f t="shared" si="166"/>
        <v>100</v>
      </c>
      <c r="S998" s="56">
        <f t="shared" si="167"/>
        <v>695</v>
      </c>
      <c r="T998" s="56">
        <f>50</f>
        <v>50</v>
      </c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</row>
    <row r="999" spans="1:30" ht="15.75" x14ac:dyDescent="0.25">
      <c r="A999" s="13">
        <v>71710</v>
      </c>
      <c r="B999" s="67">
        <f t="shared" si="162"/>
        <v>30</v>
      </c>
      <c r="C999" s="56">
        <f>141.293</f>
        <v>141.29300000000001</v>
      </c>
      <c r="D999" s="56">
        <f>267.993</f>
        <v>267.99299999999999</v>
      </c>
      <c r="E999" s="64">
        <f>115.016</f>
        <v>115.01600000000001</v>
      </c>
      <c r="F999" s="56">
        <f>314.698-40-25-60-100</f>
        <v>89.697999999999979</v>
      </c>
      <c r="G999" s="59">
        <v>40</v>
      </c>
      <c r="H999" s="56">
        <f t="shared" ref="H999:H1005" si="169">25+60+100</f>
        <v>185</v>
      </c>
      <c r="I999" s="56">
        <f t="shared" si="158"/>
        <v>0</v>
      </c>
      <c r="J999" s="59">
        <v>100</v>
      </c>
      <c r="K999" s="59">
        <v>300</v>
      </c>
      <c r="L999" s="56">
        <f t="shared" si="164"/>
        <v>1239</v>
      </c>
      <c r="M999" s="66">
        <v>600</v>
      </c>
      <c r="N999" s="56">
        <f>100</f>
        <v>100</v>
      </c>
      <c r="O999" s="59">
        <v>240</v>
      </c>
      <c r="P999" s="59">
        <v>40</v>
      </c>
      <c r="Q999" s="59">
        <f t="shared" si="165"/>
        <v>315</v>
      </c>
      <c r="R999" s="59">
        <f t="shared" si="166"/>
        <v>100</v>
      </c>
      <c r="S999" s="56">
        <f t="shared" si="167"/>
        <v>695</v>
      </c>
      <c r="T999" s="56">
        <f>50</f>
        <v>50</v>
      </c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</row>
    <row r="1000" spans="1:30" ht="15.75" x14ac:dyDescent="0.25">
      <c r="A1000" s="13">
        <v>71741</v>
      </c>
      <c r="B1000" s="67">
        <f t="shared" si="162"/>
        <v>31</v>
      </c>
      <c r="C1000" s="56">
        <f>194.205</f>
        <v>194.20500000000001</v>
      </c>
      <c r="D1000" s="56">
        <f>267.466</f>
        <v>267.46600000000001</v>
      </c>
      <c r="E1000" s="64">
        <f>133.845</f>
        <v>133.845</v>
      </c>
      <c r="F1000" s="56">
        <f>278.484-40-25-60-100</f>
        <v>53.48399999999998</v>
      </c>
      <c r="G1000" s="59">
        <v>40</v>
      </c>
      <c r="H1000" s="56">
        <f t="shared" si="169"/>
        <v>185</v>
      </c>
      <c r="I1000" s="56">
        <f t="shared" ref="I1000:I1055" si="170">400-J1000-K1000</f>
        <v>0</v>
      </c>
      <c r="J1000" s="59">
        <v>100</v>
      </c>
      <c r="K1000" s="59">
        <v>300</v>
      </c>
      <c r="L1000" s="56">
        <f t="shared" si="164"/>
        <v>1274</v>
      </c>
      <c r="M1000" s="66">
        <v>600</v>
      </c>
      <c r="N1000" s="56">
        <f>75</f>
        <v>75</v>
      </c>
      <c r="O1000" s="59">
        <v>240</v>
      </c>
      <c r="P1000" s="59">
        <v>40</v>
      </c>
      <c r="Q1000" s="59">
        <f t="shared" si="165"/>
        <v>315</v>
      </c>
      <c r="R1000" s="59">
        <f t="shared" si="166"/>
        <v>100</v>
      </c>
      <c r="S1000" s="56">
        <f t="shared" si="167"/>
        <v>695</v>
      </c>
      <c r="T1000" s="56">
        <f>50</f>
        <v>50</v>
      </c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</row>
    <row r="1001" spans="1:30" ht="15.75" x14ac:dyDescent="0.25">
      <c r="A1001" s="13">
        <v>71771</v>
      </c>
      <c r="B1001" s="67">
        <f t="shared" si="162"/>
        <v>30</v>
      </c>
      <c r="C1001" s="56">
        <f>194.205</f>
        <v>194.20500000000001</v>
      </c>
      <c r="D1001" s="56">
        <f>267.466</f>
        <v>267.46600000000001</v>
      </c>
      <c r="E1001" s="64">
        <f>133.845</f>
        <v>133.845</v>
      </c>
      <c r="F1001" s="56">
        <f>278.484-40-25-60-100</f>
        <v>53.48399999999998</v>
      </c>
      <c r="G1001" s="59">
        <v>40</v>
      </c>
      <c r="H1001" s="56">
        <f t="shared" si="169"/>
        <v>185</v>
      </c>
      <c r="I1001" s="56">
        <f t="shared" si="170"/>
        <v>0</v>
      </c>
      <c r="J1001" s="59">
        <v>100</v>
      </c>
      <c r="K1001" s="59">
        <v>300</v>
      </c>
      <c r="L1001" s="56">
        <f t="shared" si="164"/>
        <v>1274</v>
      </c>
      <c r="M1001" s="66">
        <v>600</v>
      </c>
      <c r="N1001" s="56">
        <f>30</f>
        <v>30</v>
      </c>
      <c r="O1001" s="59">
        <v>240</v>
      </c>
      <c r="P1001" s="59">
        <v>40</v>
      </c>
      <c r="Q1001" s="59">
        <f t="shared" si="165"/>
        <v>315</v>
      </c>
      <c r="R1001" s="59">
        <f t="shared" si="166"/>
        <v>100</v>
      </c>
      <c r="S1001" s="56">
        <f t="shared" si="167"/>
        <v>695</v>
      </c>
      <c r="T1001" s="56">
        <f>50</f>
        <v>50</v>
      </c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</row>
    <row r="1002" spans="1:30" ht="15.75" x14ac:dyDescent="0.25">
      <c r="A1002" s="13">
        <v>71802</v>
      </c>
      <c r="B1002" s="67">
        <f t="shared" si="162"/>
        <v>31</v>
      </c>
      <c r="C1002" s="56">
        <f>194.205</f>
        <v>194.20500000000001</v>
      </c>
      <c r="D1002" s="56">
        <f>267.466</f>
        <v>267.46600000000001</v>
      </c>
      <c r="E1002" s="64">
        <f>133.845</f>
        <v>133.845</v>
      </c>
      <c r="F1002" s="56">
        <f>278.484-40-25-60-100</f>
        <v>53.48399999999998</v>
      </c>
      <c r="G1002" s="59">
        <v>40</v>
      </c>
      <c r="H1002" s="56">
        <f t="shared" si="169"/>
        <v>185</v>
      </c>
      <c r="I1002" s="56">
        <f t="shared" si="170"/>
        <v>0</v>
      </c>
      <c r="J1002" s="59">
        <v>100</v>
      </c>
      <c r="K1002" s="59">
        <v>300</v>
      </c>
      <c r="L1002" s="56">
        <f t="shared" si="164"/>
        <v>1274</v>
      </c>
      <c r="M1002" s="66">
        <v>600</v>
      </c>
      <c r="N1002" s="56">
        <f>30</f>
        <v>30</v>
      </c>
      <c r="O1002" s="59">
        <v>240</v>
      </c>
      <c r="P1002" s="59">
        <v>40</v>
      </c>
      <c r="Q1002" s="59">
        <f t="shared" si="165"/>
        <v>315</v>
      </c>
      <c r="R1002" s="59">
        <f t="shared" si="166"/>
        <v>100</v>
      </c>
      <c r="S1002" s="56">
        <f t="shared" si="167"/>
        <v>695</v>
      </c>
      <c r="T1002" s="56">
        <f>0</f>
        <v>0</v>
      </c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</row>
    <row r="1003" spans="1:30" ht="15.75" x14ac:dyDescent="0.25">
      <c r="A1003" s="13">
        <v>71833</v>
      </c>
      <c r="B1003" s="67">
        <f t="shared" si="162"/>
        <v>31</v>
      </c>
      <c r="C1003" s="56">
        <f>194.205</f>
        <v>194.20500000000001</v>
      </c>
      <c r="D1003" s="56">
        <f>267.466</f>
        <v>267.46600000000001</v>
      </c>
      <c r="E1003" s="64">
        <f>133.845</f>
        <v>133.845</v>
      </c>
      <c r="F1003" s="56">
        <f>278.484-40-25-60-100</f>
        <v>53.48399999999998</v>
      </c>
      <c r="G1003" s="59">
        <v>40</v>
      </c>
      <c r="H1003" s="56">
        <f t="shared" si="169"/>
        <v>185</v>
      </c>
      <c r="I1003" s="56">
        <f t="shared" si="170"/>
        <v>0</v>
      </c>
      <c r="J1003" s="59">
        <v>100</v>
      </c>
      <c r="K1003" s="59">
        <v>300</v>
      </c>
      <c r="L1003" s="56">
        <f t="shared" si="164"/>
        <v>1274</v>
      </c>
      <c r="M1003" s="66">
        <v>600</v>
      </c>
      <c r="N1003" s="56">
        <f>30</f>
        <v>30</v>
      </c>
      <c r="O1003" s="59">
        <v>240</v>
      </c>
      <c r="P1003" s="59">
        <v>40</v>
      </c>
      <c r="Q1003" s="59">
        <f t="shared" si="165"/>
        <v>315</v>
      </c>
      <c r="R1003" s="59">
        <f t="shared" si="166"/>
        <v>100</v>
      </c>
      <c r="S1003" s="56">
        <f t="shared" si="167"/>
        <v>695</v>
      </c>
      <c r="T1003" s="56">
        <f>0</f>
        <v>0</v>
      </c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</row>
    <row r="1004" spans="1:30" ht="15.75" x14ac:dyDescent="0.25">
      <c r="A1004" s="13">
        <v>71863</v>
      </c>
      <c r="B1004" s="67">
        <f t="shared" si="162"/>
        <v>30</v>
      </c>
      <c r="C1004" s="56">
        <f>194.205</f>
        <v>194.20500000000001</v>
      </c>
      <c r="D1004" s="56">
        <f>267.466</f>
        <v>267.46600000000001</v>
      </c>
      <c r="E1004" s="64">
        <f>133.845</f>
        <v>133.845</v>
      </c>
      <c r="F1004" s="56">
        <f>278.484-40-25-60-100</f>
        <v>53.48399999999998</v>
      </c>
      <c r="G1004" s="59">
        <v>40</v>
      </c>
      <c r="H1004" s="56">
        <f t="shared" si="169"/>
        <v>185</v>
      </c>
      <c r="I1004" s="56">
        <f t="shared" si="170"/>
        <v>0</v>
      </c>
      <c r="J1004" s="59">
        <v>100</v>
      </c>
      <c r="K1004" s="59">
        <v>300</v>
      </c>
      <c r="L1004" s="56">
        <f t="shared" si="164"/>
        <v>1274</v>
      </c>
      <c r="M1004" s="66">
        <v>600</v>
      </c>
      <c r="N1004" s="56">
        <f>30</f>
        <v>30</v>
      </c>
      <c r="O1004" s="59">
        <v>240</v>
      </c>
      <c r="P1004" s="59">
        <v>40</v>
      </c>
      <c r="Q1004" s="59">
        <f t="shared" si="165"/>
        <v>315</v>
      </c>
      <c r="R1004" s="59">
        <f t="shared" si="166"/>
        <v>100</v>
      </c>
      <c r="S1004" s="56">
        <f t="shared" si="167"/>
        <v>695</v>
      </c>
      <c r="T1004" s="56">
        <f>0</f>
        <v>0</v>
      </c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</row>
    <row r="1005" spans="1:30" ht="15.75" x14ac:dyDescent="0.25">
      <c r="A1005" s="13">
        <v>71894</v>
      </c>
      <c r="B1005" s="67">
        <f t="shared" si="162"/>
        <v>31</v>
      </c>
      <c r="C1005" s="56">
        <f>131.881</f>
        <v>131.881</v>
      </c>
      <c r="D1005" s="56">
        <f>277.167</f>
        <v>277.16699999999997</v>
      </c>
      <c r="E1005" s="64">
        <f>79.08</f>
        <v>79.08</v>
      </c>
      <c r="F1005" s="56">
        <f>350.872-40-25-60-100</f>
        <v>125.87200000000001</v>
      </c>
      <c r="G1005" s="59">
        <v>40</v>
      </c>
      <c r="H1005" s="56">
        <f t="shared" si="169"/>
        <v>185</v>
      </c>
      <c r="I1005" s="56">
        <f t="shared" si="170"/>
        <v>0</v>
      </c>
      <c r="J1005" s="59">
        <v>100</v>
      </c>
      <c r="K1005" s="59">
        <v>300</v>
      </c>
      <c r="L1005" s="56">
        <f t="shared" si="164"/>
        <v>1239</v>
      </c>
      <c r="M1005" s="66">
        <v>600</v>
      </c>
      <c r="N1005" s="56">
        <f>75</f>
        <v>75</v>
      </c>
      <c r="O1005" s="59">
        <v>240</v>
      </c>
      <c r="P1005" s="59">
        <v>40</v>
      </c>
      <c r="Q1005" s="59">
        <f t="shared" si="165"/>
        <v>315</v>
      </c>
      <c r="R1005" s="59">
        <f t="shared" si="166"/>
        <v>100</v>
      </c>
      <c r="S1005" s="56">
        <f t="shared" si="167"/>
        <v>695</v>
      </c>
      <c r="T1005" s="56">
        <f>0</f>
        <v>0</v>
      </c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</row>
    <row r="1006" spans="1:30" ht="15.75" x14ac:dyDescent="0.25">
      <c r="A1006" s="13">
        <v>71924</v>
      </c>
      <c r="B1006" s="67">
        <f t="shared" si="162"/>
        <v>30</v>
      </c>
      <c r="C1006" s="56">
        <f>122.58</f>
        <v>122.58</v>
      </c>
      <c r="D1006" s="56">
        <f>297.941</f>
        <v>297.94099999999997</v>
      </c>
      <c r="E1006" s="64">
        <f>89.177</f>
        <v>89.177000000000007</v>
      </c>
      <c r="F1006" s="56">
        <f>240.302-40-60-100</f>
        <v>40.301999999999992</v>
      </c>
      <c r="G1006" s="59">
        <v>40</v>
      </c>
      <c r="H1006" s="56">
        <f>60+100</f>
        <v>160</v>
      </c>
      <c r="I1006" s="56">
        <f t="shared" si="170"/>
        <v>0</v>
      </c>
      <c r="J1006" s="59">
        <v>100</v>
      </c>
      <c r="K1006" s="59">
        <v>300</v>
      </c>
      <c r="L1006" s="56">
        <f t="shared" si="164"/>
        <v>1150</v>
      </c>
      <c r="M1006" s="66">
        <v>600</v>
      </c>
      <c r="N1006" s="56">
        <f>100</f>
        <v>100</v>
      </c>
      <c r="O1006" s="59">
        <v>240</v>
      </c>
      <c r="P1006" s="59">
        <v>40</v>
      </c>
      <c r="Q1006" s="59">
        <f t="shared" si="165"/>
        <v>315</v>
      </c>
      <c r="R1006" s="59">
        <f t="shared" si="166"/>
        <v>100</v>
      </c>
      <c r="S1006" s="56">
        <f t="shared" si="167"/>
        <v>695</v>
      </c>
      <c r="T1006" s="56">
        <f>50</f>
        <v>50</v>
      </c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</row>
    <row r="1007" spans="1:30" ht="15.75" x14ac:dyDescent="0.25">
      <c r="A1007" s="13">
        <v>71955</v>
      </c>
      <c r="B1007" s="67">
        <f t="shared" si="162"/>
        <v>31</v>
      </c>
      <c r="C1007" s="56">
        <f>122.58</f>
        <v>122.58</v>
      </c>
      <c r="D1007" s="56">
        <f>297.941</f>
        <v>297.94099999999997</v>
      </c>
      <c r="E1007" s="64">
        <f>89.177</f>
        <v>89.177000000000007</v>
      </c>
      <c r="F1007" s="56">
        <f>240.302-40-60-100</f>
        <v>40.301999999999992</v>
      </c>
      <c r="G1007" s="59">
        <v>40</v>
      </c>
      <c r="H1007" s="56">
        <f>60+100</f>
        <v>160</v>
      </c>
      <c r="I1007" s="56">
        <f t="shared" si="170"/>
        <v>0</v>
      </c>
      <c r="J1007" s="59">
        <v>100</v>
      </c>
      <c r="K1007" s="59">
        <v>300</v>
      </c>
      <c r="L1007" s="56">
        <f t="shared" si="164"/>
        <v>1150</v>
      </c>
      <c r="M1007" s="66">
        <v>600</v>
      </c>
      <c r="N1007" s="56">
        <f>100</f>
        <v>100</v>
      </c>
      <c r="O1007" s="59">
        <v>240</v>
      </c>
      <c r="P1007" s="59">
        <v>40</v>
      </c>
      <c r="Q1007" s="59">
        <f t="shared" si="165"/>
        <v>315</v>
      </c>
      <c r="R1007" s="59">
        <f t="shared" si="166"/>
        <v>100</v>
      </c>
      <c r="S1007" s="56">
        <f t="shared" si="167"/>
        <v>695</v>
      </c>
      <c r="T1007" s="56">
        <f>50</f>
        <v>50</v>
      </c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</row>
    <row r="1008" spans="1:30" ht="15.75" x14ac:dyDescent="0.25">
      <c r="A1008" s="13">
        <v>71986</v>
      </c>
      <c r="B1008" s="67">
        <f t="shared" si="162"/>
        <v>31</v>
      </c>
      <c r="C1008" s="56">
        <f>122.58</f>
        <v>122.58</v>
      </c>
      <c r="D1008" s="56">
        <f>297.941</f>
        <v>297.94099999999997</v>
      </c>
      <c r="E1008" s="64">
        <f>89.177</f>
        <v>89.177000000000007</v>
      </c>
      <c r="F1008" s="56">
        <f>240.302-40-60-100</f>
        <v>40.301999999999992</v>
      </c>
      <c r="G1008" s="59">
        <v>40</v>
      </c>
      <c r="H1008" s="56">
        <f>60+100</f>
        <v>160</v>
      </c>
      <c r="I1008" s="56">
        <f t="shared" si="170"/>
        <v>0</v>
      </c>
      <c r="J1008" s="59">
        <v>100</v>
      </c>
      <c r="K1008" s="59">
        <v>300</v>
      </c>
      <c r="L1008" s="56">
        <f t="shared" si="164"/>
        <v>1150</v>
      </c>
      <c r="M1008" s="66">
        <v>600</v>
      </c>
      <c r="N1008" s="56">
        <f>100</f>
        <v>100</v>
      </c>
      <c r="O1008" s="59">
        <v>240</v>
      </c>
      <c r="P1008" s="59">
        <v>40</v>
      </c>
      <c r="Q1008" s="59">
        <f t="shared" si="165"/>
        <v>315</v>
      </c>
      <c r="R1008" s="59">
        <f t="shared" si="166"/>
        <v>100</v>
      </c>
      <c r="S1008" s="56">
        <f t="shared" si="167"/>
        <v>695</v>
      </c>
      <c r="T1008" s="56">
        <f>50</f>
        <v>50</v>
      </c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</row>
    <row r="1009" spans="1:30" ht="15.75" x14ac:dyDescent="0.25">
      <c r="A1009" s="13">
        <v>72014</v>
      </c>
      <c r="B1009" s="67">
        <f t="shared" si="162"/>
        <v>28</v>
      </c>
      <c r="C1009" s="56">
        <f>122.58</f>
        <v>122.58</v>
      </c>
      <c r="D1009" s="56">
        <f>297.941</f>
        <v>297.94099999999997</v>
      </c>
      <c r="E1009" s="64">
        <f>89.177</f>
        <v>89.177000000000007</v>
      </c>
      <c r="F1009" s="56">
        <f>240.302-40-60-100</f>
        <v>40.301999999999992</v>
      </c>
      <c r="G1009" s="59">
        <v>40</v>
      </c>
      <c r="H1009" s="56">
        <f>60+100</f>
        <v>160</v>
      </c>
      <c r="I1009" s="56">
        <f t="shared" si="170"/>
        <v>0</v>
      </c>
      <c r="J1009" s="59">
        <v>100</v>
      </c>
      <c r="K1009" s="59">
        <v>300</v>
      </c>
      <c r="L1009" s="56">
        <f t="shared" si="164"/>
        <v>1150</v>
      </c>
      <c r="M1009" s="66">
        <v>600</v>
      </c>
      <c r="N1009" s="56">
        <f>100</f>
        <v>100</v>
      </c>
      <c r="O1009" s="59">
        <v>240</v>
      </c>
      <c r="P1009" s="59">
        <v>40</v>
      </c>
      <c r="Q1009" s="59">
        <f t="shared" si="165"/>
        <v>315</v>
      </c>
      <c r="R1009" s="59">
        <f t="shared" si="166"/>
        <v>100</v>
      </c>
      <c r="S1009" s="56">
        <f t="shared" si="167"/>
        <v>695</v>
      </c>
      <c r="T1009" s="56">
        <f>50</f>
        <v>50</v>
      </c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</row>
    <row r="1010" spans="1:30" ht="15.75" x14ac:dyDescent="0.25">
      <c r="A1010" s="13">
        <v>72045</v>
      </c>
      <c r="B1010" s="67">
        <f t="shared" si="162"/>
        <v>31</v>
      </c>
      <c r="C1010" s="56">
        <f>122.58</f>
        <v>122.58</v>
      </c>
      <c r="D1010" s="56">
        <f>297.941</f>
        <v>297.94099999999997</v>
      </c>
      <c r="E1010" s="64">
        <f>89.177</f>
        <v>89.177000000000007</v>
      </c>
      <c r="F1010" s="56">
        <f>240.302-40-60-100</f>
        <v>40.301999999999992</v>
      </c>
      <c r="G1010" s="59">
        <v>40</v>
      </c>
      <c r="H1010" s="56">
        <f>60+100</f>
        <v>160</v>
      </c>
      <c r="I1010" s="56">
        <f t="shared" si="170"/>
        <v>0</v>
      </c>
      <c r="J1010" s="59">
        <v>100</v>
      </c>
      <c r="K1010" s="59">
        <v>300</v>
      </c>
      <c r="L1010" s="56">
        <f t="shared" si="164"/>
        <v>1150</v>
      </c>
      <c r="M1010" s="66">
        <v>600</v>
      </c>
      <c r="N1010" s="56">
        <f>100</f>
        <v>100</v>
      </c>
      <c r="O1010" s="59">
        <v>240</v>
      </c>
      <c r="P1010" s="59">
        <v>40</v>
      </c>
      <c r="Q1010" s="59">
        <f t="shared" si="165"/>
        <v>315</v>
      </c>
      <c r="R1010" s="59">
        <f t="shared" si="166"/>
        <v>100</v>
      </c>
      <c r="S1010" s="56">
        <f t="shared" si="167"/>
        <v>695</v>
      </c>
      <c r="T1010" s="56">
        <f>50</f>
        <v>50</v>
      </c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</row>
    <row r="1011" spans="1:30" ht="15.75" x14ac:dyDescent="0.25">
      <c r="A1011" s="13">
        <v>72075</v>
      </c>
      <c r="B1011" s="67">
        <f t="shared" si="162"/>
        <v>30</v>
      </c>
      <c r="C1011" s="56">
        <f>141.293</f>
        <v>141.29300000000001</v>
      </c>
      <c r="D1011" s="56">
        <f>267.993</f>
        <v>267.99299999999999</v>
      </c>
      <c r="E1011" s="64">
        <f>115.016</f>
        <v>115.01600000000001</v>
      </c>
      <c r="F1011" s="56">
        <f>314.698-40-25-60-100</f>
        <v>89.697999999999979</v>
      </c>
      <c r="G1011" s="59">
        <v>40</v>
      </c>
      <c r="H1011" s="56">
        <f t="shared" ref="H1011:H1017" si="171">25+60+100</f>
        <v>185</v>
      </c>
      <c r="I1011" s="56">
        <f t="shared" si="170"/>
        <v>0</v>
      </c>
      <c r="J1011" s="59">
        <v>100</v>
      </c>
      <c r="K1011" s="59">
        <v>300</v>
      </c>
      <c r="L1011" s="56">
        <f t="shared" si="164"/>
        <v>1239</v>
      </c>
      <c r="M1011" s="66">
        <v>600</v>
      </c>
      <c r="N1011" s="56">
        <f>100</f>
        <v>100</v>
      </c>
      <c r="O1011" s="59">
        <v>240</v>
      </c>
      <c r="P1011" s="59">
        <v>40</v>
      </c>
      <c r="Q1011" s="59">
        <f t="shared" si="165"/>
        <v>315</v>
      </c>
      <c r="R1011" s="59">
        <f t="shared" si="166"/>
        <v>100</v>
      </c>
      <c r="S1011" s="56">
        <f t="shared" si="167"/>
        <v>695</v>
      </c>
      <c r="T1011" s="56">
        <f>50</f>
        <v>50</v>
      </c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</row>
    <row r="1012" spans="1:30" ht="15.75" x14ac:dyDescent="0.25">
      <c r="A1012" s="13">
        <v>72106</v>
      </c>
      <c r="B1012" s="67">
        <f t="shared" si="162"/>
        <v>31</v>
      </c>
      <c r="C1012" s="56">
        <f>194.205</f>
        <v>194.20500000000001</v>
      </c>
      <c r="D1012" s="56">
        <f>267.466</f>
        <v>267.46600000000001</v>
      </c>
      <c r="E1012" s="64">
        <f>133.845</f>
        <v>133.845</v>
      </c>
      <c r="F1012" s="56">
        <f>278.484-40-25-60-100</f>
        <v>53.48399999999998</v>
      </c>
      <c r="G1012" s="59">
        <v>40</v>
      </c>
      <c r="H1012" s="56">
        <f t="shared" si="171"/>
        <v>185</v>
      </c>
      <c r="I1012" s="56">
        <f t="shared" si="170"/>
        <v>0</v>
      </c>
      <c r="J1012" s="59">
        <v>100</v>
      </c>
      <c r="K1012" s="59">
        <v>300</v>
      </c>
      <c r="L1012" s="56">
        <f t="shared" si="164"/>
        <v>1274</v>
      </c>
      <c r="M1012" s="66">
        <v>600</v>
      </c>
      <c r="N1012" s="56">
        <f>75</f>
        <v>75</v>
      </c>
      <c r="O1012" s="59">
        <v>240</v>
      </c>
      <c r="P1012" s="59">
        <v>40</v>
      </c>
      <c r="Q1012" s="59">
        <f t="shared" si="165"/>
        <v>315</v>
      </c>
      <c r="R1012" s="59">
        <f t="shared" si="166"/>
        <v>100</v>
      </c>
      <c r="S1012" s="56">
        <f t="shared" si="167"/>
        <v>695</v>
      </c>
      <c r="T1012" s="56">
        <f>50</f>
        <v>50</v>
      </c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</row>
    <row r="1013" spans="1:30" ht="15.75" x14ac:dyDescent="0.25">
      <c r="A1013" s="13">
        <v>72136</v>
      </c>
      <c r="B1013" s="67">
        <f t="shared" si="162"/>
        <v>30</v>
      </c>
      <c r="C1013" s="56">
        <f>194.205</f>
        <v>194.20500000000001</v>
      </c>
      <c r="D1013" s="56">
        <f>267.466</f>
        <v>267.46600000000001</v>
      </c>
      <c r="E1013" s="64">
        <f>133.845</f>
        <v>133.845</v>
      </c>
      <c r="F1013" s="56">
        <f>278.484-40-25-60-100</f>
        <v>53.48399999999998</v>
      </c>
      <c r="G1013" s="59">
        <v>40</v>
      </c>
      <c r="H1013" s="56">
        <f t="shared" si="171"/>
        <v>185</v>
      </c>
      <c r="I1013" s="56">
        <f t="shared" si="170"/>
        <v>0</v>
      </c>
      <c r="J1013" s="59">
        <v>100</v>
      </c>
      <c r="K1013" s="59">
        <v>300</v>
      </c>
      <c r="L1013" s="56">
        <f t="shared" si="164"/>
        <v>1274</v>
      </c>
      <c r="M1013" s="66">
        <v>600</v>
      </c>
      <c r="N1013" s="56">
        <f>30</f>
        <v>30</v>
      </c>
      <c r="O1013" s="59">
        <v>240</v>
      </c>
      <c r="P1013" s="59">
        <v>40</v>
      </c>
      <c r="Q1013" s="59">
        <f t="shared" si="165"/>
        <v>315</v>
      </c>
      <c r="R1013" s="59">
        <f t="shared" si="166"/>
        <v>100</v>
      </c>
      <c r="S1013" s="56">
        <f t="shared" si="167"/>
        <v>695</v>
      </c>
      <c r="T1013" s="56">
        <f>50</f>
        <v>50</v>
      </c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</row>
    <row r="1014" spans="1:30" ht="15.75" x14ac:dyDescent="0.25">
      <c r="A1014" s="13">
        <v>72167</v>
      </c>
      <c r="B1014" s="67">
        <f t="shared" si="162"/>
        <v>31</v>
      </c>
      <c r="C1014" s="56">
        <f>194.205</f>
        <v>194.20500000000001</v>
      </c>
      <c r="D1014" s="56">
        <f>267.466</f>
        <v>267.46600000000001</v>
      </c>
      <c r="E1014" s="64">
        <f>133.845</f>
        <v>133.845</v>
      </c>
      <c r="F1014" s="56">
        <f>278.484-40-25-60-100</f>
        <v>53.48399999999998</v>
      </c>
      <c r="G1014" s="59">
        <v>40</v>
      </c>
      <c r="H1014" s="56">
        <f t="shared" si="171"/>
        <v>185</v>
      </c>
      <c r="I1014" s="56">
        <f t="shared" si="170"/>
        <v>0</v>
      </c>
      <c r="J1014" s="59">
        <v>100</v>
      </c>
      <c r="K1014" s="59">
        <v>300</v>
      </c>
      <c r="L1014" s="56">
        <f t="shared" si="164"/>
        <v>1274</v>
      </c>
      <c r="M1014" s="66">
        <v>600</v>
      </c>
      <c r="N1014" s="56">
        <f>30</f>
        <v>30</v>
      </c>
      <c r="O1014" s="59">
        <v>240</v>
      </c>
      <c r="P1014" s="59">
        <v>40</v>
      </c>
      <c r="Q1014" s="59">
        <f t="shared" si="165"/>
        <v>315</v>
      </c>
      <c r="R1014" s="59">
        <f t="shared" si="166"/>
        <v>100</v>
      </c>
      <c r="S1014" s="56">
        <f t="shared" si="167"/>
        <v>695</v>
      </c>
      <c r="T1014" s="56">
        <f>0</f>
        <v>0</v>
      </c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</row>
    <row r="1015" spans="1:30" ht="15.75" x14ac:dyDescent="0.25">
      <c r="A1015" s="13">
        <v>72198</v>
      </c>
      <c r="B1015" s="67">
        <f t="shared" si="162"/>
        <v>31</v>
      </c>
      <c r="C1015" s="56">
        <f>194.205</f>
        <v>194.20500000000001</v>
      </c>
      <c r="D1015" s="56">
        <f>267.466</f>
        <v>267.46600000000001</v>
      </c>
      <c r="E1015" s="64">
        <f>133.845</f>
        <v>133.845</v>
      </c>
      <c r="F1015" s="56">
        <f>278.484-40-25-60-100</f>
        <v>53.48399999999998</v>
      </c>
      <c r="G1015" s="59">
        <v>40</v>
      </c>
      <c r="H1015" s="56">
        <f t="shared" si="171"/>
        <v>185</v>
      </c>
      <c r="I1015" s="56">
        <f t="shared" si="170"/>
        <v>0</v>
      </c>
      <c r="J1015" s="59">
        <v>100</v>
      </c>
      <c r="K1015" s="59">
        <v>300</v>
      </c>
      <c r="L1015" s="56">
        <f t="shared" si="164"/>
        <v>1274</v>
      </c>
      <c r="M1015" s="66">
        <v>600</v>
      </c>
      <c r="N1015" s="56">
        <f>30</f>
        <v>30</v>
      </c>
      <c r="O1015" s="59">
        <v>240</v>
      </c>
      <c r="P1015" s="59">
        <v>40</v>
      </c>
      <c r="Q1015" s="59">
        <f t="shared" si="165"/>
        <v>315</v>
      </c>
      <c r="R1015" s="59">
        <f t="shared" si="166"/>
        <v>100</v>
      </c>
      <c r="S1015" s="56">
        <f t="shared" si="167"/>
        <v>695</v>
      </c>
      <c r="T1015" s="56">
        <f>0</f>
        <v>0</v>
      </c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</row>
    <row r="1016" spans="1:30" ht="15.75" x14ac:dyDescent="0.25">
      <c r="A1016" s="13">
        <v>72228</v>
      </c>
      <c r="B1016" s="67">
        <f t="shared" si="162"/>
        <v>30</v>
      </c>
      <c r="C1016" s="56">
        <f>194.205</f>
        <v>194.20500000000001</v>
      </c>
      <c r="D1016" s="56">
        <f>267.466</f>
        <v>267.46600000000001</v>
      </c>
      <c r="E1016" s="64">
        <f>133.845</f>
        <v>133.845</v>
      </c>
      <c r="F1016" s="56">
        <f>278.484-40-25-60-100</f>
        <v>53.48399999999998</v>
      </c>
      <c r="G1016" s="59">
        <v>40</v>
      </c>
      <c r="H1016" s="56">
        <f t="shared" si="171"/>
        <v>185</v>
      </c>
      <c r="I1016" s="56">
        <f t="shared" si="170"/>
        <v>0</v>
      </c>
      <c r="J1016" s="59">
        <v>100</v>
      </c>
      <c r="K1016" s="59">
        <v>300</v>
      </c>
      <c r="L1016" s="56">
        <f t="shared" si="164"/>
        <v>1274</v>
      </c>
      <c r="M1016" s="66">
        <v>600</v>
      </c>
      <c r="N1016" s="56">
        <f>30</f>
        <v>30</v>
      </c>
      <c r="O1016" s="59">
        <v>240</v>
      </c>
      <c r="P1016" s="59">
        <v>40</v>
      </c>
      <c r="Q1016" s="59">
        <f t="shared" si="165"/>
        <v>315</v>
      </c>
      <c r="R1016" s="59">
        <f t="shared" si="166"/>
        <v>100</v>
      </c>
      <c r="S1016" s="56">
        <f t="shared" si="167"/>
        <v>695</v>
      </c>
      <c r="T1016" s="56">
        <f>0</f>
        <v>0</v>
      </c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</row>
    <row r="1017" spans="1:30" ht="15.75" x14ac:dyDescent="0.25">
      <c r="A1017" s="13">
        <v>72259</v>
      </c>
      <c r="B1017" s="67">
        <f t="shared" si="162"/>
        <v>31</v>
      </c>
      <c r="C1017" s="56">
        <f>131.881</f>
        <v>131.881</v>
      </c>
      <c r="D1017" s="56">
        <f>277.167</f>
        <v>277.16699999999997</v>
      </c>
      <c r="E1017" s="64">
        <f>79.08</f>
        <v>79.08</v>
      </c>
      <c r="F1017" s="56">
        <f>350.872-40-25-60-100</f>
        <v>125.87200000000001</v>
      </c>
      <c r="G1017" s="59">
        <v>40</v>
      </c>
      <c r="H1017" s="56">
        <f t="shared" si="171"/>
        <v>185</v>
      </c>
      <c r="I1017" s="56">
        <f t="shared" si="170"/>
        <v>0</v>
      </c>
      <c r="J1017" s="59">
        <v>100</v>
      </c>
      <c r="K1017" s="59">
        <v>300</v>
      </c>
      <c r="L1017" s="56">
        <f t="shared" si="164"/>
        <v>1239</v>
      </c>
      <c r="M1017" s="66">
        <v>600</v>
      </c>
      <c r="N1017" s="56">
        <f>75</f>
        <v>75</v>
      </c>
      <c r="O1017" s="59">
        <v>240</v>
      </c>
      <c r="P1017" s="59">
        <v>40</v>
      </c>
      <c r="Q1017" s="59">
        <f t="shared" si="165"/>
        <v>315</v>
      </c>
      <c r="R1017" s="59">
        <f t="shared" si="166"/>
        <v>100</v>
      </c>
      <c r="S1017" s="56">
        <f t="shared" si="167"/>
        <v>695</v>
      </c>
      <c r="T1017" s="56">
        <f>0</f>
        <v>0</v>
      </c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</row>
    <row r="1018" spans="1:30" ht="15.75" x14ac:dyDescent="0.25">
      <c r="A1018" s="13">
        <v>72289</v>
      </c>
      <c r="B1018" s="67">
        <f t="shared" si="162"/>
        <v>30</v>
      </c>
      <c r="C1018" s="56">
        <f>122.58</f>
        <v>122.58</v>
      </c>
      <c r="D1018" s="56">
        <f>297.941</f>
        <v>297.94099999999997</v>
      </c>
      <c r="E1018" s="64">
        <f>89.177</f>
        <v>89.177000000000007</v>
      </c>
      <c r="F1018" s="56">
        <f>240.302-40-60-100</f>
        <v>40.301999999999992</v>
      </c>
      <c r="G1018" s="59">
        <v>40</v>
      </c>
      <c r="H1018" s="56">
        <f>60+100</f>
        <v>160</v>
      </c>
      <c r="I1018" s="56">
        <f t="shared" si="170"/>
        <v>0</v>
      </c>
      <c r="J1018" s="59">
        <v>100</v>
      </c>
      <c r="K1018" s="59">
        <v>300</v>
      </c>
      <c r="L1018" s="56">
        <f t="shared" si="164"/>
        <v>1150</v>
      </c>
      <c r="M1018" s="66">
        <v>600</v>
      </c>
      <c r="N1018" s="56">
        <f>100</f>
        <v>100</v>
      </c>
      <c r="O1018" s="59">
        <v>240</v>
      </c>
      <c r="P1018" s="59">
        <v>40</v>
      </c>
      <c r="Q1018" s="59">
        <f t="shared" si="165"/>
        <v>315</v>
      </c>
      <c r="R1018" s="59">
        <f t="shared" si="166"/>
        <v>100</v>
      </c>
      <c r="S1018" s="56">
        <f t="shared" si="167"/>
        <v>695</v>
      </c>
      <c r="T1018" s="56">
        <f>50</f>
        <v>50</v>
      </c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</row>
    <row r="1019" spans="1:30" ht="15.75" x14ac:dyDescent="0.25">
      <c r="A1019" s="13">
        <v>72320</v>
      </c>
      <c r="B1019" s="67">
        <f t="shared" si="162"/>
        <v>31</v>
      </c>
      <c r="C1019" s="56">
        <f>122.58</f>
        <v>122.58</v>
      </c>
      <c r="D1019" s="56">
        <f>297.941</f>
        <v>297.94099999999997</v>
      </c>
      <c r="E1019" s="64">
        <f>89.177</f>
        <v>89.177000000000007</v>
      </c>
      <c r="F1019" s="56">
        <f>240.302-40-60-100</f>
        <v>40.301999999999992</v>
      </c>
      <c r="G1019" s="59">
        <v>40</v>
      </c>
      <c r="H1019" s="56">
        <f>60+100</f>
        <v>160</v>
      </c>
      <c r="I1019" s="56">
        <f t="shared" si="170"/>
        <v>0</v>
      </c>
      <c r="J1019" s="59">
        <v>100</v>
      </c>
      <c r="K1019" s="59">
        <v>300</v>
      </c>
      <c r="L1019" s="56">
        <f t="shared" si="164"/>
        <v>1150</v>
      </c>
      <c r="M1019" s="66">
        <v>600</v>
      </c>
      <c r="N1019" s="56">
        <f>100</f>
        <v>100</v>
      </c>
      <c r="O1019" s="59">
        <v>240</v>
      </c>
      <c r="P1019" s="59">
        <v>40</v>
      </c>
      <c r="Q1019" s="59">
        <f t="shared" si="165"/>
        <v>315</v>
      </c>
      <c r="R1019" s="59">
        <f t="shared" si="166"/>
        <v>100</v>
      </c>
      <c r="S1019" s="56">
        <f t="shared" si="167"/>
        <v>695</v>
      </c>
      <c r="T1019" s="56">
        <f>50</f>
        <v>50</v>
      </c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</row>
    <row r="1020" spans="1:30" ht="15.75" x14ac:dyDescent="0.25">
      <c r="A1020" s="13">
        <v>72351</v>
      </c>
      <c r="B1020" s="67">
        <f t="shared" si="162"/>
        <v>31</v>
      </c>
      <c r="C1020" s="56">
        <f>122.58</f>
        <v>122.58</v>
      </c>
      <c r="D1020" s="56">
        <f>297.941</f>
        <v>297.94099999999997</v>
      </c>
      <c r="E1020" s="64">
        <f>89.177</f>
        <v>89.177000000000007</v>
      </c>
      <c r="F1020" s="56">
        <f>240.302-40-60-100</f>
        <v>40.301999999999992</v>
      </c>
      <c r="G1020" s="59">
        <v>40</v>
      </c>
      <c r="H1020" s="56">
        <f>60+100</f>
        <v>160</v>
      </c>
      <c r="I1020" s="56">
        <f t="shared" si="170"/>
        <v>0</v>
      </c>
      <c r="J1020" s="59">
        <v>100</v>
      </c>
      <c r="K1020" s="59">
        <v>300</v>
      </c>
      <c r="L1020" s="56">
        <f t="shared" si="164"/>
        <v>1150</v>
      </c>
      <c r="M1020" s="66">
        <v>600</v>
      </c>
      <c r="N1020" s="56">
        <f>100</f>
        <v>100</v>
      </c>
      <c r="O1020" s="59">
        <v>240</v>
      </c>
      <c r="P1020" s="59">
        <v>40</v>
      </c>
      <c r="Q1020" s="59">
        <f t="shared" si="165"/>
        <v>315</v>
      </c>
      <c r="R1020" s="59">
        <f t="shared" si="166"/>
        <v>100</v>
      </c>
      <c r="S1020" s="56">
        <f t="shared" si="167"/>
        <v>695</v>
      </c>
      <c r="T1020" s="56">
        <f>50</f>
        <v>50</v>
      </c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</row>
    <row r="1021" spans="1:30" ht="15.75" x14ac:dyDescent="0.25">
      <c r="A1021" s="13">
        <v>72379</v>
      </c>
      <c r="B1021" s="67">
        <f t="shared" si="162"/>
        <v>28</v>
      </c>
      <c r="C1021" s="56">
        <f>122.58</f>
        <v>122.58</v>
      </c>
      <c r="D1021" s="56">
        <f>297.941</f>
        <v>297.94099999999997</v>
      </c>
      <c r="E1021" s="64">
        <f>89.177</f>
        <v>89.177000000000007</v>
      </c>
      <c r="F1021" s="56">
        <f>240.302-40-60-100</f>
        <v>40.301999999999992</v>
      </c>
      <c r="G1021" s="59">
        <v>40</v>
      </c>
      <c r="H1021" s="56">
        <f>60+100</f>
        <v>160</v>
      </c>
      <c r="I1021" s="56">
        <f t="shared" si="170"/>
        <v>0</v>
      </c>
      <c r="J1021" s="59">
        <v>100</v>
      </c>
      <c r="K1021" s="59">
        <v>300</v>
      </c>
      <c r="L1021" s="56">
        <f t="shared" si="164"/>
        <v>1150</v>
      </c>
      <c r="M1021" s="66">
        <v>600</v>
      </c>
      <c r="N1021" s="56">
        <f>100</f>
        <v>100</v>
      </c>
      <c r="O1021" s="59">
        <v>240</v>
      </c>
      <c r="P1021" s="59">
        <v>40</v>
      </c>
      <c r="Q1021" s="59">
        <f t="shared" si="165"/>
        <v>315</v>
      </c>
      <c r="R1021" s="59">
        <f t="shared" si="166"/>
        <v>100</v>
      </c>
      <c r="S1021" s="56">
        <f t="shared" si="167"/>
        <v>695</v>
      </c>
      <c r="T1021" s="56">
        <f>50</f>
        <v>50</v>
      </c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</row>
    <row r="1022" spans="1:30" ht="15.75" x14ac:dyDescent="0.25">
      <c r="A1022" s="13">
        <v>72410</v>
      </c>
      <c r="B1022" s="67">
        <f t="shared" si="162"/>
        <v>31</v>
      </c>
      <c r="C1022" s="56">
        <f>122.58</f>
        <v>122.58</v>
      </c>
      <c r="D1022" s="56">
        <f>297.941</f>
        <v>297.94099999999997</v>
      </c>
      <c r="E1022" s="64">
        <f>89.177</f>
        <v>89.177000000000007</v>
      </c>
      <c r="F1022" s="56">
        <f>240.302-40-60-100</f>
        <v>40.301999999999992</v>
      </c>
      <c r="G1022" s="59">
        <v>40</v>
      </c>
      <c r="H1022" s="56">
        <f>60+100</f>
        <v>160</v>
      </c>
      <c r="I1022" s="56">
        <f t="shared" si="170"/>
        <v>0</v>
      </c>
      <c r="J1022" s="59">
        <v>100</v>
      </c>
      <c r="K1022" s="59">
        <v>300</v>
      </c>
      <c r="L1022" s="56">
        <f t="shared" si="164"/>
        <v>1150</v>
      </c>
      <c r="M1022" s="66">
        <v>600</v>
      </c>
      <c r="N1022" s="56">
        <f>100</f>
        <v>100</v>
      </c>
      <c r="O1022" s="59">
        <v>240</v>
      </c>
      <c r="P1022" s="59">
        <v>40</v>
      </c>
      <c r="Q1022" s="59">
        <f t="shared" si="165"/>
        <v>315</v>
      </c>
      <c r="R1022" s="59">
        <f t="shared" si="166"/>
        <v>100</v>
      </c>
      <c r="S1022" s="56">
        <f t="shared" si="167"/>
        <v>695</v>
      </c>
      <c r="T1022" s="56">
        <f>50</f>
        <v>50</v>
      </c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</row>
    <row r="1023" spans="1:30" ht="15.75" x14ac:dyDescent="0.25">
      <c r="A1023" s="13">
        <v>72440</v>
      </c>
      <c r="B1023" s="67">
        <f t="shared" si="162"/>
        <v>30</v>
      </c>
      <c r="C1023" s="56">
        <f>141.293</f>
        <v>141.29300000000001</v>
      </c>
      <c r="D1023" s="56">
        <f>267.993</f>
        <v>267.99299999999999</v>
      </c>
      <c r="E1023" s="64">
        <f>115.016</f>
        <v>115.01600000000001</v>
      </c>
      <c r="F1023" s="56">
        <f>314.698-40-25-60-100</f>
        <v>89.697999999999979</v>
      </c>
      <c r="G1023" s="59">
        <v>40</v>
      </c>
      <c r="H1023" s="56">
        <f t="shared" ref="H1023:H1029" si="172">25+60+100</f>
        <v>185</v>
      </c>
      <c r="I1023" s="56">
        <f t="shared" si="170"/>
        <v>0</v>
      </c>
      <c r="J1023" s="59">
        <v>100</v>
      </c>
      <c r="K1023" s="59">
        <v>300</v>
      </c>
      <c r="L1023" s="56">
        <f t="shared" si="164"/>
        <v>1239</v>
      </c>
      <c r="M1023" s="66">
        <v>600</v>
      </c>
      <c r="N1023" s="56">
        <f>100</f>
        <v>100</v>
      </c>
      <c r="O1023" s="59">
        <v>240</v>
      </c>
      <c r="P1023" s="59">
        <v>40</v>
      </c>
      <c r="Q1023" s="59">
        <f t="shared" si="165"/>
        <v>315</v>
      </c>
      <c r="R1023" s="59">
        <f t="shared" si="166"/>
        <v>100</v>
      </c>
      <c r="S1023" s="56">
        <f t="shared" si="167"/>
        <v>695</v>
      </c>
      <c r="T1023" s="56">
        <f>50</f>
        <v>50</v>
      </c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</row>
    <row r="1024" spans="1:30" ht="15.75" x14ac:dyDescent="0.25">
      <c r="A1024" s="13">
        <v>72471</v>
      </c>
      <c r="B1024" s="67">
        <f t="shared" si="162"/>
        <v>31</v>
      </c>
      <c r="C1024" s="56">
        <f>194.205</f>
        <v>194.20500000000001</v>
      </c>
      <c r="D1024" s="56">
        <f>267.466</f>
        <v>267.46600000000001</v>
      </c>
      <c r="E1024" s="64">
        <f>133.845</f>
        <v>133.845</v>
      </c>
      <c r="F1024" s="56">
        <f>278.484-40-25-60-100</f>
        <v>53.48399999999998</v>
      </c>
      <c r="G1024" s="59">
        <v>40</v>
      </c>
      <c r="H1024" s="56">
        <f t="shared" si="172"/>
        <v>185</v>
      </c>
      <c r="I1024" s="56">
        <f t="shared" si="170"/>
        <v>0</v>
      </c>
      <c r="J1024" s="59">
        <v>100</v>
      </c>
      <c r="K1024" s="59">
        <v>300</v>
      </c>
      <c r="L1024" s="56">
        <f t="shared" si="164"/>
        <v>1274</v>
      </c>
      <c r="M1024" s="66">
        <v>600</v>
      </c>
      <c r="N1024" s="56">
        <f>75</f>
        <v>75</v>
      </c>
      <c r="O1024" s="59">
        <v>240</v>
      </c>
      <c r="P1024" s="59">
        <v>40</v>
      </c>
      <c r="Q1024" s="59">
        <f t="shared" si="165"/>
        <v>315</v>
      </c>
      <c r="R1024" s="59">
        <f t="shared" si="166"/>
        <v>100</v>
      </c>
      <c r="S1024" s="56">
        <f t="shared" si="167"/>
        <v>695</v>
      </c>
      <c r="T1024" s="56">
        <f>50</f>
        <v>50</v>
      </c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</row>
    <row r="1025" spans="1:30" ht="15.75" x14ac:dyDescent="0.25">
      <c r="A1025" s="13">
        <v>72501</v>
      </c>
      <c r="B1025" s="67">
        <f t="shared" si="162"/>
        <v>30</v>
      </c>
      <c r="C1025" s="56">
        <f>194.205</f>
        <v>194.20500000000001</v>
      </c>
      <c r="D1025" s="56">
        <f>267.466</f>
        <v>267.46600000000001</v>
      </c>
      <c r="E1025" s="64">
        <f>133.845</f>
        <v>133.845</v>
      </c>
      <c r="F1025" s="56">
        <f>278.484-40-25-60-100</f>
        <v>53.48399999999998</v>
      </c>
      <c r="G1025" s="59">
        <v>40</v>
      </c>
      <c r="H1025" s="56">
        <f t="shared" si="172"/>
        <v>185</v>
      </c>
      <c r="I1025" s="56">
        <f t="shared" si="170"/>
        <v>0</v>
      </c>
      <c r="J1025" s="59">
        <v>100</v>
      </c>
      <c r="K1025" s="59">
        <v>300</v>
      </c>
      <c r="L1025" s="56">
        <f t="shared" si="164"/>
        <v>1274</v>
      </c>
      <c r="M1025" s="66">
        <v>600</v>
      </c>
      <c r="N1025" s="56">
        <f>30</f>
        <v>30</v>
      </c>
      <c r="O1025" s="59">
        <v>240</v>
      </c>
      <c r="P1025" s="59">
        <v>40</v>
      </c>
      <c r="Q1025" s="59">
        <f t="shared" si="165"/>
        <v>315</v>
      </c>
      <c r="R1025" s="59">
        <f t="shared" si="166"/>
        <v>100</v>
      </c>
      <c r="S1025" s="56">
        <f t="shared" si="167"/>
        <v>695</v>
      </c>
      <c r="T1025" s="56">
        <f>50</f>
        <v>50</v>
      </c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</row>
    <row r="1026" spans="1:30" ht="15.75" x14ac:dyDescent="0.25">
      <c r="A1026" s="13">
        <v>72532</v>
      </c>
      <c r="B1026" s="67">
        <f t="shared" si="162"/>
        <v>31</v>
      </c>
      <c r="C1026" s="56">
        <f>194.205</f>
        <v>194.20500000000001</v>
      </c>
      <c r="D1026" s="56">
        <f>267.466</f>
        <v>267.46600000000001</v>
      </c>
      <c r="E1026" s="64">
        <f>133.845</f>
        <v>133.845</v>
      </c>
      <c r="F1026" s="56">
        <f>278.484-40-25-60-100</f>
        <v>53.48399999999998</v>
      </c>
      <c r="G1026" s="59">
        <v>40</v>
      </c>
      <c r="H1026" s="56">
        <f t="shared" si="172"/>
        <v>185</v>
      </c>
      <c r="I1026" s="56">
        <f t="shared" si="170"/>
        <v>0</v>
      </c>
      <c r="J1026" s="59">
        <v>100</v>
      </c>
      <c r="K1026" s="59">
        <v>300</v>
      </c>
      <c r="L1026" s="56">
        <f t="shared" si="164"/>
        <v>1274</v>
      </c>
      <c r="M1026" s="66">
        <v>600</v>
      </c>
      <c r="N1026" s="56">
        <f>30</f>
        <v>30</v>
      </c>
      <c r="O1026" s="59">
        <v>240</v>
      </c>
      <c r="P1026" s="59">
        <v>40</v>
      </c>
      <c r="Q1026" s="59">
        <f t="shared" si="165"/>
        <v>315</v>
      </c>
      <c r="R1026" s="59">
        <f t="shared" si="166"/>
        <v>100</v>
      </c>
      <c r="S1026" s="56">
        <f t="shared" si="167"/>
        <v>695</v>
      </c>
      <c r="T1026" s="56">
        <f>0</f>
        <v>0</v>
      </c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</row>
    <row r="1027" spans="1:30" ht="15.75" x14ac:dyDescent="0.25">
      <c r="A1027" s="13">
        <v>72563</v>
      </c>
      <c r="B1027" s="67">
        <f t="shared" si="162"/>
        <v>31</v>
      </c>
      <c r="C1027" s="56">
        <f>194.205</f>
        <v>194.20500000000001</v>
      </c>
      <c r="D1027" s="56">
        <f>267.466</f>
        <v>267.46600000000001</v>
      </c>
      <c r="E1027" s="64">
        <f>133.845</f>
        <v>133.845</v>
      </c>
      <c r="F1027" s="56">
        <f>278.484-40-25-60-100</f>
        <v>53.48399999999998</v>
      </c>
      <c r="G1027" s="59">
        <v>40</v>
      </c>
      <c r="H1027" s="56">
        <f t="shared" si="172"/>
        <v>185</v>
      </c>
      <c r="I1027" s="56">
        <f t="shared" si="170"/>
        <v>0</v>
      </c>
      <c r="J1027" s="59">
        <v>100</v>
      </c>
      <c r="K1027" s="59">
        <v>300</v>
      </c>
      <c r="L1027" s="56">
        <f t="shared" si="164"/>
        <v>1274</v>
      </c>
      <c r="M1027" s="66">
        <v>600</v>
      </c>
      <c r="N1027" s="56">
        <f>30</f>
        <v>30</v>
      </c>
      <c r="O1027" s="59">
        <v>240</v>
      </c>
      <c r="P1027" s="59">
        <v>40</v>
      </c>
      <c r="Q1027" s="59">
        <f t="shared" si="165"/>
        <v>315</v>
      </c>
      <c r="R1027" s="59">
        <f t="shared" si="166"/>
        <v>100</v>
      </c>
      <c r="S1027" s="56">
        <f t="shared" si="167"/>
        <v>695</v>
      </c>
      <c r="T1027" s="56">
        <f>0</f>
        <v>0</v>
      </c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</row>
    <row r="1028" spans="1:30" ht="15.75" x14ac:dyDescent="0.25">
      <c r="A1028" s="13">
        <v>72593</v>
      </c>
      <c r="B1028" s="67">
        <f t="shared" si="162"/>
        <v>30</v>
      </c>
      <c r="C1028" s="56">
        <f>194.205</f>
        <v>194.20500000000001</v>
      </c>
      <c r="D1028" s="56">
        <f>267.466</f>
        <v>267.46600000000001</v>
      </c>
      <c r="E1028" s="64">
        <f>133.845</f>
        <v>133.845</v>
      </c>
      <c r="F1028" s="56">
        <f>278.484-40-25-60-100</f>
        <v>53.48399999999998</v>
      </c>
      <c r="G1028" s="59">
        <v>40</v>
      </c>
      <c r="H1028" s="56">
        <f t="shared" si="172"/>
        <v>185</v>
      </c>
      <c r="I1028" s="56">
        <f t="shared" si="170"/>
        <v>0</v>
      </c>
      <c r="J1028" s="59">
        <v>100</v>
      </c>
      <c r="K1028" s="59">
        <v>300</v>
      </c>
      <c r="L1028" s="56">
        <f t="shared" si="164"/>
        <v>1274</v>
      </c>
      <c r="M1028" s="66">
        <v>600</v>
      </c>
      <c r="N1028" s="56">
        <f>30</f>
        <v>30</v>
      </c>
      <c r="O1028" s="59">
        <v>240</v>
      </c>
      <c r="P1028" s="59">
        <v>40</v>
      </c>
      <c r="Q1028" s="59">
        <f t="shared" si="165"/>
        <v>315</v>
      </c>
      <c r="R1028" s="59">
        <f t="shared" si="166"/>
        <v>100</v>
      </c>
      <c r="S1028" s="56">
        <f t="shared" si="167"/>
        <v>695</v>
      </c>
      <c r="T1028" s="56">
        <f>0</f>
        <v>0</v>
      </c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</row>
    <row r="1029" spans="1:30" ht="15.75" x14ac:dyDescent="0.25">
      <c r="A1029" s="13">
        <v>72624</v>
      </c>
      <c r="B1029" s="67">
        <f t="shared" si="162"/>
        <v>31</v>
      </c>
      <c r="C1029" s="56">
        <f>131.881</f>
        <v>131.881</v>
      </c>
      <c r="D1029" s="56">
        <f>277.167</f>
        <v>277.16699999999997</v>
      </c>
      <c r="E1029" s="64">
        <f>79.08</f>
        <v>79.08</v>
      </c>
      <c r="F1029" s="56">
        <f>350.872-40-25-60-100</f>
        <v>125.87200000000001</v>
      </c>
      <c r="G1029" s="59">
        <v>40</v>
      </c>
      <c r="H1029" s="56">
        <f t="shared" si="172"/>
        <v>185</v>
      </c>
      <c r="I1029" s="56">
        <f t="shared" si="170"/>
        <v>0</v>
      </c>
      <c r="J1029" s="59">
        <v>100</v>
      </c>
      <c r="K1029" s="59">
        <v>300</v>
      </c>
      <c r="L1029" s="56">
        <f t="shared" si="164"/>
        <v>1239</v>
      </c>
      <c r="M1029" s="66">
        <v>600</v>
      </c>
      <c r="N1029" s="56">
        <f>75</f>
        <v>75</v>
      </c>
      <c r="O1029" s="59">
        <v>240</v>
      </c>
      <c r="P1029" s="59">
        <v>40</v>
      </c>
      <c r="Q1029" s="59">
        <f t="shared" si="165"/>
        <v>315</v>
      </c>
      <c r="R1029" s="59">
        <f t="shared" si="166"/>
        <v>100</v>
      </c>
      <c r="S1029" s="56">
        <f t="shared" si="167"/>
        <v>695</v>
      </c>
      <c r="T1029" s="56">
        <f>0</f>
        <v>0</v>
      </c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</row>
    <row r="1030" spans="1:30" ht="15.75" x14ac:dyDescent="0.25">
      <c r="A1030" s="13">
        <v>72654</v>
      </c>
      <c r="B1030" s="67">
        <f t="shared" si="162"/>
        <v>30</v>
      </c>
      <c r="C1030" s="56">
        <f>122.58</f>
        <v>122.58</v>
      </c>
      <c r="D1030" s="56">
        <f>297.941</f>
        <v>297.94099999999997</v>
      </c>
      <c r="E1030" s="64">
        <f>89.177</f>
        <v>89.177000000000007</v>
      </c>
      <c r="F1030" s="56">
        <f>240.302-40-60-100</f>
        <v>40.301999999999992</v>
      </c>
      <c r="G1030" s="59">
        <v>40</v>
      </c>
      <c r="H1030" s="56">
        <f>60+100</f>
        <v>160</v>
      </c>
      <c r="I1030" s="56">
        <f t="shared" si="170"/>
        <v>0</v>
      </c>
      <c r="J1030" s="59">
        <v>100</v>
      </c>
      <c r="K1030" s="59">
        <v>300</v>
      </c>
      <c r="L1030" s="56">
        <f t="shared" si="164"/>
        <v>1150</v>
      </c>
      <c r="M1030" s="66">
        <v>600</v>
      </c>
      <c r="N1030" s="56">
        <f>100</f>
        <v>100</v>
      </c>
      <c r="O1030" s="59">
        <v>240</v>
      </c>
      <c r="P1030" s="59">
        <v>40</v>
      </c>
      <c r="Q1030" s="59">
        <f t="shared" si="165"/>
        <v>315</v>
      </c>
      <c r="R1030" s="59">
        <f t="shared" si="166"/>
        <v>100</v>
      </c>
      <c r="S1030" s="56">
        <f t="shared" si="167"/>
        <v>695</v>
      </c>
      <c r="T1030" s="56">
        <f>50</f>
        <v>50</v>
      </c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</row>
    <row r="1031" spans="1:30" ht="15.75" x14ac:dyDescent="0.25">
      <c r="A1031" s="13">
        <v>72685</v>
      </c>
      <c r="B1031" s="67">
        <f t="shared" si="162"/>
        <v>31</v>
      </c>
      <c r="C1031" s="56">
        <f>122.58</f>
        <v>122.58</v>
      </c>
      <c r="D1031" s="56">
        <f>297.941</f>
        <v>297.94099999999997</v>
      </c>
      <c r="E1031" s="64">
        <f>89.177</f>
        <v>89.177000000000007</v>
      </c>
      <c r="F1031" s="56">
        <f>240.302-40-60-100</f>
        <v>40.301999999999992</v>
      </c>
      <c r="G1031" s="59">
        <v>40</v>
      </c>
      <c r="H1031" s="56">
        <f>60+100</f>
        <v>160</v>
      </c>
      <c r="I1031" s="56">
        <f t="shared" si="170"/>
        <v>0</v>
      </c>
      <c r="J1031" s="59">
        <v>100</v>
      </c>
      <c r="K1031" s="59">
        <v>300</v>
      </c>
      <c r="L1031" s="56">
        <f t="shared" si="164"/>
        <v>1150</v>
      </c>
      <c r="M1031" s="66">
        <v>600</v>
      </c>
      <c r="N1031" s="56">
        <f>100</f>
        <v>100</v>
      </c>
      <c r="O1031" s="59">
        <v>240</v>
      </c>
      <c r="P1031" s="59">
        <v>40</v>
      </c>
      <c r="Q1031" s="59">
        <f t="shared" si="165"/>
        <v>315</v>
      </c>
      <c r="R1031" s="59">
        <f t="shared" si="166"/>
        <v>100</v>
      </c>
      <c r="S1031" s="56">
        <f t="shared" si="167"/>
        <v>695</v>
      </c>
      <c r="T1031" s="56">
        <f>50</f>
        <v>50</v>
      </c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</row>
    <row r="1032" spans="1:30" ht="15.75" x14ac:dyDescent="0.25">
      <c r="A1032" s="13">
        <v>72716</v>
      </c>
      <c r="B1032" s="67">
        <f t="shared" si="162"/>
        <v>31</v>
      </c>
      <c r="C1032" s="56">
        <f>122.58</f>
        <v>122.58</v>
      </c>
      <c r="D1032" s="56">
        <f>297.941</f>
        <v>297.94099999999997</v>
      </c>
      <c r="E1032" s="64">
        <f>89.177</f>
        <v>89.177000000000007</v>
      </c>
      <c r="F1032" s="56">
        <f>240.302-40-60-100</f>
        <v>40.301999999999992</v>
      </c>
      <c r="G1032" s="59">
        <v>40</v>
      </c>
      <c r="H1032" s="56">
        <f>60+100</f>
        <v>160</v>
      </c>
      <c r="I1032" s="56">
        <f t="shared" si="170"/>
        <v>0</v>
      </c>
      <c r="J1032" s="59">
        <v>100</v>
      </c>
      <c r="K1032" s="59">
        <v>300</v>
      </c>
      <c r="L1032" s="56">
        <f t="shared" si="164"/>
        <v>1150</v>
      </c>
      <c r="M1032" s="66">
        <v>600</v>
      </c>
      <c r="N1032" s="56">
        <f>100</f>
        <v>100</v>
      </c>
      <c r="O1032" s="59">
        <v>240</v>
      </c>
      <c r="P1032" s="59">
        <v>40</v>
      </c>
      <c r="Q1032" s="59">
        <f t="shared" si="165"/>
        <v>315</v>
      </c>
      <c r="R1032" s="59">
        <f t="shared" si="166"/>
        <v>100</v>
      </c>
      <c r="S1032" s="56">
        <f t="shared" si="167"/>
        <v>695</v>
      </c>
      <c r="T1032" s="56">
        <f>50</f>
        <v>50</v>
      </c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</row>
    <row r="1033" spans="1:30" ht="15.75" x14ac:dyDescent="0.25">
      <c r="A1033" s="13">
        <v>72744</v>
      </c>
      <c r="B1033" s="67">
        <f t="shared" si="162"/>
        <v>28</v>
      </c>
      <c r="C1033" s="56">
        <f>122.58</f>
        <v>122.58</v>
      </c>
      <c r="D1033" s="56">
        <f>297.941</f>
        <v>297.94099999999997</v>
      </c>
      <c r="E1033" s="64">
        <f>89.177</f>
        <v>89.177000000000007</v>
      </c>
      <c r="F1033" s="56">
        <f>240.302-40-60-100</f>
        <v>40.301999999999992</v>
      </c>
      <c r="G1033" s="59">
        <v>40</v>
      </c>
      <c r="H1033" s="56">
        <f>60+100</f>
        <v>160</v>
      </c>
      <c r="I1033" s="56">
        <f t="shared" si="170"/>
        <v>0</v>
      </c>
      <c r="J1033" s="59">
        <v>100</v>
      </c>
      <c r="K1033" s="59">
        <v>300</v>
      </c>
      <c r="L1033" s="56">
        <f t="shared" si="164"/>
        <v>1150</v>
      </c>
      <c r="M1033" s="66">
        <v>600</v>
      </c>
      <c r="N1033" s="56">
        <f>100</f>
        <v>100</v>
      </c>
      <c r="O1033" s="59">
        <v>240</v>
      </c>
      <c r="P1033" s="59">
        <v>40</v>
      </c>
      <c r="Q1033" s="59">
        <f t="shared" si="165"/>
        <v>315</v>
      </c>
      <c r="R1033" s="59">
        <f t="shared" si="166"/>
        <v>100</v>
      </c>
      <c r="S1033" s="56">
        <f t="shared" si="167"/>
        <v>695</v>
      </c>
      <c r="T1033" s="56">
        <f>50</f>
        <v>50</v>
      </c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</row>
    <row r="1034" spans="1:30" ht="15.75" x14ac:dyDescent="0.25">
      <c r="A1034" s="13">
        <v>72775</v>
      </c>
      <c r="B1034" s="67">
        <f t="shared" si="162"/>
        <v>31</v>
      </c>
      <c r="C1034" s="56">
        <f>122.58</f>
        <v>122.58</v>
      </c>
      <c r="D1034" s="56">
        <f>297.941</f>
        <v>297.94099999999997</v>
      </c>
      <c r="E1034" s="64">
        <f>89.177</f>
        <v>89.177000000000007</v>
      </c>
      <c r="F1034" s="56">
        <f>240.302-40-60-100</f>
        <v>40.301999999999992</v>
      </c>
      <c r="G1034" s="59">
        <v>40</v>
      </c>
      <c r="H1034" s="56">
        <f>60+100</f>
        <v>160</v>
      </c>
      <c r="I1034" s="56">
        <f t="shared" si="170"/>
        <v>0</v>
      </c>
      <c r="J1034" s="59">
        <v>100</v>
      </c>
      <c r="K1034" s="59">
        <v>300</v>
      </c>
      <c r="L1034" s="56">
        <f t="shared" si="164"/>
        <v>1150</v>
      </c>
      <c r="M1034" s="66">
        <v>600</v>
      </c>
      <c r="N1034" s="56">
        <f>100</f>
        <v>100</v>
      </c>
      <c r="O1034" s="59">
        <v>240</v>
      </c>
      <c r="P1034" s="59">
        <v>40</v>
      </c>
      <c r="Q1034" s="59">
        <f t="shared" si="165"/>
        <v>315</v>
      </c>
      <c r="R1034" s="59">
        <f t="shared" si="166"/>
        <v>100</v>
      </c>
      <c r="S1034" s="56">
        <f t="shared" si="167"/>
        <v>695</v>
      </c>
      <c r="T1034" s="56">
        <f>50</f>
        <v>50</v>
      </c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</row>
    <row r="1035" spans="1:30" ht="15.75" x14ac:dyDescent="0.25">
      <c r="A1035" s="13">
        <v>72805</v>
      </c>
      <c r="B1035" s="67">
        <f t="shared" si="162"/>
        <v>30</v>
      </c>
      <c r="C1035" s="56">
        <f>141.293</f>
        <v>141.29300000000001</v>
      </c>
      <c r="D1035" s="56">
        <f>267.993</f>
        <v>267.99299999999999</v>
      </c>
      <c r="E1035" s="64">
        <f>115.016</f>
        <v>115.01600000000001</v>
      </c>
      <c r="F1035" s="56">
        <f>314.698-40-25-60-100</f>
        <v>89.697999999999979</v>
      </c>
      <c r="G1035" s="59">
        <v>40</v>
      </c>
      <c r="H1035" s="56">
        <f t="shared" ref="H1035:H1041" si="173">25+60+100</f>
        <v>185</v>
      </c>
      <c r="I1035" s="56">
        <f t="shared" si="170"/>
        <v>0</v>
      </c>
      <c r="J1035" s="59">
        <v>100</v>
      </c>
      <c r="K1035" s="59">
        <v>300</v>
      </c>
      <c r="L1035" s="56">
        <f t="shared" si="164"/>
        <v>1239</v>
      </c>
      <c r="M1035" s="66">
        <v>600</v>
      </c>
      <c r="N1035" s="56">
        <f>100</f>
        <v>100</v>
      </c>
      <c r="O1035" s="59">
        <v>240</v>
      </c>
      <c r="P1035" s="59">
        <v>40</v>
      </c>
      <c r="Q1035" s="59">
        <f t="shared" si="165"/>
        <v>315</v>
      </c>
      <c r="R1035" s="59">
        <f t="shared" si="166"/>
        <v>100</v>
      </c>
      <c r="S1035" s="56">
        <f t="shared" si="167"/>
        <v>695</v>
      </c>
      <c r="T1035" s="56">
        <f>50</f>
        <v>50</v>
      </c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</row>
    <row r="1036" spans="1:30" ht="15.75" x14ac:dyDescent="0.25">
      <c r="A1036" s="13">
        <v>72836</v>
      </c>
      <c r="B1036" s="67">
        <f t="shared" ref="B1036:B1055" si="174">EOMONTH(A1036,0)-EOMONTH(A1036,-1)</f>
        <v>31</v>
      </c>
      <c r="C1036" s="56">
        <f>194.205</f>
        <v>194.20500000000001</v>
      </c>
      <c r="D1036" s="56">
        <f>267.466</f>
        <v>267.46600000000001</v>
      </c>
      <c r="E1036" s="64">
        <f>133.845</f>
        <v>133.845</v>
      </c>
      <c r="F1036" s="56">
        <f>278.484-40-25-60-100</f>
        <v>53.48399999999998</v>
      </c>
      <c r="G1036" s="59">
        <v>40</v>
      </c>
      <c r="H1036" s="56">
        <f t="shared" si="173"/>
        <v>185</v>
      </c>
      <c r="I1036" s="56">
        <f t="shared" si="170"/>
        <v>0</v>
      </c>
      <c r="J1036" s="59">
        <v>100</v>
      </c>
      <c r="K1036" s="59">
        <v>300</v>
      </c>
      <c r="L1036" s="56">
        <f t="shared" si="164"/>
        <v>1274</v>
      </c>
      <c r="M1036" s="66">
        <v>600</v>
      </c>
      <c r="N1036" s="56">
        <f>75</f>
        <v>75</v>
      </c>
      <c r="O1036" s="59">
        <v>240</v>
      </c>
      <c r="P1036" s="59">
        <v>40</v>
      </c>
      <c r="Q1036" s="59">
        <f t="shared" si="165"/>
        <v>315</v>
      </c>
      <c r="R1036" s="59">
        <f t="shared" si="166"/>
        <v>100</v>
      </c>
      <c r="S1036" s="56">
        <f t="shared" si="167"/>
        <v>695</v>
      </c>
      <c r="T1036" s="56">
        <f>50</f>
        <v>50</v>
      </c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</row>
    <row r="1037" spans="1:30" ht="15.75" x14ac:dyDescent="0.25">
      <c r="A1037" s="13">
        <v>72866</v>
      </c>
      <c r="B1037" s="67">
        <f t="shared" si="174"/>
        <v>30</v>
      </c>
      <c r="C1037" s="56">
        <f>194.205</f>
        <v>194.20500000000001</v>
      </c>
      <c r="D1037" s="56">
        <f>267.466</f>
        <v>267.46600000000001</v>
      </c>
      <c r="E1037" s="64">
        <f>133.845</f>
        <v>133.845</v>
      </c>
      <c r="F1037" s="56">
        <f>278.484-40-25-60-100</f>
        <v>53.48399999999998</v>
      </c>
      <c r="G1037" s="59">
        <v>40</v>
      </c>
      <c r="H1037" s="56">
        <f t="shared" si="173"/>
        <v>185</v>
      </c>
      <c r="I1037" s="56">
        <f t="shared" si="170"/>
        <v>0</v>
      </c>
      <c r="J1037" s="59">
        <v>100</v>
      </c>
      <c r="K1037" s="59">
        <v>300</v>
      </c>
      <c r="L1037" s="56">
        <f t="shared" si="164"/>
        <v>1274</v>
      </c>
      <c r="M1037" s="66">
        <v>600</v>
      </c>
      <c r="N1037" s="56">
        <f>30</f>
        <v>30</v>
      </c>
      <c r="O1037" s="59">
        <v>240</v>
      </c>
      <c r="P1037" s="59">
        <v>40</v>
      </c>
      <c r="Q1037" s="59">
        <f t="shared" si="165"/>
        <v>315</v>
      </c>
      <c r="R1037" s="59">
        <f t="shared" si="166"/>
        <v>100</v>
      </c>
      <c r="S1037" s="56">
        <f t="shared" si="167"/>
        <v>695</v>
      </c>
      <c r="T1037" s="56">
        <f>50</f>
        <v>50</v>
      </c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</row>
    <row r="1038" spans="1:30" ht="15.75" x14ac:dyDescent="0.25">
      <c r="A1038" s="13">
        <v>72897</v>
      </c>
      <c r="B1038" s="67">
        <f t="shared" si="174"/>
        <v>31</v>
      </c>
      <c r="C1038" s="56">
        <f>194.205</f>
        <v>194.20500000000001</v>
      </c>
      <c r="D1038" s="56">
        <f>267.466</f>
        <v>267.46600000000001</v>
      </c>
      <c r="E1038" s="64">
        <f>133.845</f>
        <v>133.845</v>
      </c>
      <c r="F1038" s="56">
        <f>278.484-40-25-60-100</f>
        <v>53.48399999999998</v>
      </c>
      <c r="G1038" s="59">
        <v>40</v>
      </c>
      <c r="H1038" s="56">
        <f t="shared" si="173"/>
        <v>185</v>
      </c>
      <c r="I1038" s="56">
        <f t="shared" si="170"/>
        <v>0</v>
      </c>
      <c r="J1038" s="59">
        <v>100</v>
      </c>
      <c r="K1038" s="59">
        <v>300</v>
      </c>
      <c r="L1038" s="56">
        <f t="shared" si="164"/>
        <v>1274</v>
      </c>
      <c r="M1038" s="66">
        <v>600</v>
      </c>
      <c r="N1038" s="56">
        <f>30</f>
        <v>30</v>
      </c>
      <c r="O1038" s="59">
        <v>240</v>
      </c>
      <c r="P1038" s="59">
        <v>40</v>
      </c>
      <c r="Q1038" s="59">
        <f t="shared" si="165"/>
        <v>315</v>
      </c>
      <c r="R1038" s="59">
        <f t="shared" si="166"/>
        <v>100</v>
      </c>
      <c r="S1038" s="56">
        <f t="shared" si="167"/>
        <v>695</v>
      </c>
      <c r="T1038" s="56">
        <f>0</f>
        <v>0</v>
      </c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</row>
    <row r="1039" spans="1:30" ht="15.75" x14ac:dyDescent="0.25">
      <c r="A1039" s="13">
        <v>72928</v>
      </c>
      <c r="B1039" s="67">
        <f t="shared" si="174"/>
        <v>31</v>
      </c>
      <c r="C1039" s="56">
        <f>194.205</f>
        <v>194.20500000000001</v>
      </c>
      <c r="D1039" s="56">
        <f>267.466</f>
        <v>267.46600000000001</v>
      </c>
      <c r="E1039" s="64">
        <f>133.845</f>
        <v>133.845</v>
      </c>
      <c r="F1039" s="56">
        <f>278.484-40-25-60-100</f>
        <v>53.48399999999998</v>
      </c>
      <c r="G1039" s="59">
        <v>40</v>
      </c>
      <c r="H1039" s="56">
        <f t="shared" si="173"/>
        <v>185</v>
      </c>
      <c r="I1039" s="56">
        <f t="shared" si="170"/>
        <v>0</v>
      </c>
      <c r="J1039" s="59">
        <v>100</v>
      </c>
      <c r="K1039" s="59">
        <v>300</v>
      </c>
      <c r="L1039" s="56">
        <f t="shared" ref="L1039:L1055" si="175">SUM(C1039:K1039)</f>
        <v>1274</v>
      </c>
      <c r="M1039" s="66">
        <v>600</v>
      </c>
      <c r="N1039" s="56">
        <f>30</f>
        <v>30</v>
      </c>
      <c r="O1039" s="59">
        <v>240</v>
      </c>
      <c r="P1039" s="59">
        <v>40</v>
      </c>
      <c r="Q1039" s="59">
        <f t="shared" ref="Q1039:Q1055" si="176">695-R1039-O1039-P1039</f>
        <v>315</v>
      </c>
      <c r="R1039" s="59">
        <f t="shared" ref="R1039:R1055" si="177">200-J1039</f>
        <v>100</v>
      </c>
      <c r="S1039" s="56">
        <f t="shared" ref="S1039:S1055" si="178">SUM(O1039:R1039)</f>
        <v>695</v>
      </c>
      <c r="T1039" s="56">
        <f>0</f>
        <v>0</v>
      </c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</row>
    <row r="1040" spans="1:30" ht="15.75" x14ac:dyDescent="0.25">
      <c r="A1040" s="13">
        <v>72958</v>
      </c>
      <c r="B1040" s="67">
        <f t="shared" si="174"/>
        <v>30</v>
      </c>
      <c r="C1040" s="56">
        <f>194.205</f>
        <v>194.20500000000001</v>
      </c>
      <c r="D1040" s="56">
        <f>267.466</f>
        <v>267.46600000000001</v>
      </c>
      <c r="E1040" s="64">
        <f>133.845</f>
        <v>133.845</v>
      </c>
      <c r="F1040" s="56">
        <f>278.484-40-25-60-100</f>
        <v>53.48399999999998</v>
      </c>
      <c r="G1040" s="59">
        <v>40</v>
      </c>
      <c r="H1040" s="56">
        <f t="shared" si="173"/>
        <v>185</v>
      </c>
      <c r="I1040" s="56">
        <f t="shared" si="170"/>
        <v>0</v>
      </c>
      <c r="J1040" s="59">
        <v>100</v>
      </c>
      <c r="K1040" s="59">
        <v>300</v>
      </c>
      <c r="L1040" s="56">
        <f t="shared" si="175"/>
        <v>1274</v>
      </c>
      <c r="M1040" s="66">
        <v>600</v>
      </c>
      <c r="N1040" s="56">
        <f>30</f>
        <v>30</v>
      </c>
      <c r="O1040" s="59">
        <v>240</v>
      </c>
      <c r="P1040" s="59">
        <v>40</v>
      </c>
      <c r="Q1040" s="59">
        <f t="shared" si="176"/>
        <v>315</v>
      </c>
      <c r="R1040" s="59">
        <f t="shared" si="177"/>
        <v>100</v>
      </c>
      <c r="S1040" s="56">
        <f t="shared" si="178"/>
        <v>695</v>
      </c>
      <c r="T1040" s="56">
        <f>0</f>
        <v>0</v>
      </c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</row>
    <row r="1041" spans="1:30" ht="15.75" x14ac:dyDescent="0.25">
      <c r="A1041" s="13">
        <v>72989</v>
      </c>
      <c r="B1041" s="67">
        <f t="shared" si="174"/>
        <v>31</v>
      </c>
      <c r="C1041" s="56">
        <f>131.881</f>
        <v>131.881</v>
      </c>
      <c r="D1041" s="56">
        <f>277.167</f>
        <v>277.16699999999997</v>
      </c>
      <c r="E1041" s="64">
        <f>79.08</f>
        <v>79.08</v>
      </c>
      <c r="F1041" s="56">
        <f>350.872-40-25-60-100</f>
        <v>125.87200000000001</v>
      </c>
      <c r="G1041" s="59">
        <v>40</v>
      </c>
      <c r="H1041" s="56">
        <f t="shared" si="173"/>
        <v>185</v>
      </c>
      <c r="I1041" s="56">
        <f t="shared" si="170"/>
        <v>0</v>
      </c>
      <c r="J1041" s="59">
        <v>100</v>
      </c>
      <c r="K1041" s="59">
        <v>300</v>
      </c>
      <c r="L1041" s="56">
        <f t="shared" si="175"/>
        <v>1239</v>
      </c>
      <c r="M1041" s="66">
        <v>600</v>
      </c>
      <c r="N1041" s="56">
        <f>75</f>
        <v>75</v>
      </c>
      <c r="O1041" s="59">
        <v>240</v>
      </c>
      <c r="P1041" s="59">
        <v>40</v>
      </c>
      <c r="Q1041" s="59">
        <f t="shared" si="176"/>
        <v>315</v>
      </c>
      <c r="R1041" s="59">
        <f t="shared" si="177"/>
        <v>100</v>
      </c>
      <c r="S1041" s="56">
        <f t="shared" si="178"/>
        <v>695</v>
      </c>
      <c r="T1041" s="56">
        <f>0</f>
        <v>0</v>
      </c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</row>
    <row r="1042" spans="1:30" ht="15.75" x14ac:dyDescent="0.25">
      <c r="A1042" s="13">
        <v>73019</v>
      </c>
      <c r="B1042" s="67">
        <f t="shared" si="174"/>
        <v>30</v>
      </c>
      <c r="C1042" s="56">
        <f>122.58</f>
        <v>122.58</v>
      </c>
      <c r="D1042" s="56">
        <f>297.941</f>
        <v>297.94099999999997</v>
      </c>
      <c r="E1042" s="64">
        <f>89.177</f>
        <v>89.177000000000007</v>
      </c>
      <c r="F1042" s="56">
        <f>240.302-40-60-100</f>
        <v>40.301999999999992</v>
      </c>
      <c r="G1042" s="59">
        <v>40</v>
      </c>
      <c r="H1042" s="56">
        <f>60+100</f>
        <v>160</v>
      </c>
      <c r="I1042" s="56">
        <f t="shared" si="170"/>
        <v>0</v>
      </c>
      <c r="J1042" s="59">
        <v>100</v>
      </c>
      <c r="K1042" s="59">
        <v>300</v>
      </c>
      <c r="L1042" s="56">
        <f t="shared" si="175"/>
        <v>1150</v>
      </c>
      <c r="M1042" s="66">
        <v>600</v>
      </c>
      <c r="N1042" s="56">
        <f>100</f>
        <v>100</v>
      </c>
      <c r="O1042" s="59">
        <v>240</v>
      </c>
      <c r="P1042" s="59">
        <v>40</v>
      </c>
      <c r="Q1042" s="59">
        <f t="shared" si="176"/>
        <v>315</v>
      </c>
      <c r="R1042" s="59">
        <f t="shared" si="177"/>
        <v>100</v>
      </c>
      <c r="S1042" s="56">
        <f t="shared" si="178"/>
        <v>695</v>
      </c>
      <c r="T1042" s="56">
        <f>50</f>
        <v>50</v>
      </c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</row>
    <row r="1043" spans="1:30" ht="15.75" x14ac:dyDescent="0.25">
      <c r="A1043" s="13">
        <v>73050</v>
      </c>
      <c r="B1043" s="67">
        <f t="shared" si="174"/>
        <v>31</v>
      </c>
      <c r="C1043" s="56">
        <f>122.58</f>
        <v>122.58</v>
      </c>
      <c r="D1043" s="56">
        <f>297.941</f>
        <v>297.94099999999997</v>
      </c>
      <c r="E1043" s="64">
        <f>89.177</f>
        <v>89.177000000000007</v>
      </c>
      <c r="F1043" s="56">
        <f>240.302-40-60-100</f>
        <v>40.301999999999992</v>
      </c>
      <c r="G1043" s="59">
        <v>40</v>
      </c>
      <c r="H1043" s="56">
        <f>60+100</f>
        <v>160</v>
      </c>
      <c r="I1043" s="56">
        <f t="shared" si="170"/>
        <v>0</v>
      </c>
      <c r="J1043" s="59">
        <v>100</v>
      </c>
      <c r="K1043" s="59">
        <v>300</v>
      </c>
      <c r="L1043" s="56">
        <f t="shared" si="175"/>
        <v>1150</v>
      </c>
      <c r="M1043" s="66">
        <v>600</v>
      </c>
      <c r="N1043" s="56">
        <f>100</f>
        <v>100</v>
      </c>
      <c r="O1043" s="59">
        <v>240</v>
      </c>
      <c r="P1043" s="59">
        <v>40</v>
      </c>
      <c r="Q1043" s="59">
        <f t="shared" si="176"/>
        <v>315</v>
      </c>
      <c r="R1043" s="59">
        <f t="shared" si="177"/>
        <v>100</v>
      </c>
      <c r="S1043" s="56">
        <f t="shared" si="178"/>
        <v>695</v>
      </c>
      <c r="T1043" s="56">
        <f>50</f>
        <v>50</v>
      </c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</row>
    <row r="1044" spans="1:30" ht="15.75" x14ac:dyDescent="0.25">
      <c r="A1044" s="13">
        <v>73081</v>
      </c>
      <c r="B1044" s="67">
        <f t="shared" si="174"/>
        <v>31</v>
      </c>
      <c r="C1044" s="56">
        <f>122.58</f>
        <v>122.58</v>
      </c>
      <c r="D1044" s="56">
        <f>297.941</f>
        <v>297.94099999999997</v>
      </c>
      <c r="E1044" s="64">
        <f>89.177</f>
        <v>89.177000000000007</v>
      </c>
      <c r="F1044" s="56">
        <f>240.302-40-60-100</f>
        <v>40.301999999999992</v>
      </c>
      <c r="G1044" s="59">
        <v>40</v>
      </c>
      <c r="H1044" s="56">
        <f>60+100</f>
        <v>160</v>
      </c>
      <c r="I1044" s="56">
        <f t="shared" si="170"/>
        <v>0</v>
      </c>
      <c r="J1044" s="59">
        <v>100</v>
      </c>
      <c r="K1044" s="59">
        <v>300</v>
      </c>
      <c r="L1044" s="56">
        <f t="shared" si="175"/>
        <v>1150</v>
      </c>
      <c r="M1044" s="66">
        <v>600</v>
      </c>
      <c r="N1044" s="56">
        <f>100</f>
        <v>100</v>
      </c>
      <c r="O1044" s="59">
        <v>240</v>
      </c>
      <c r="P1044" s="59">
        <v>40</v>
      </c>
      <c r="Q1044" s="59">
        <f t="shared" si="176"/>
        <v>315</v>
      </c>
      <c r="R1044" s="59">
        <f t="shared" si="177"/>
        <v>100</v>
      </c>
      <c r="S1044" s="56">
        <f t="shared" si="178"/>
        <v>695</v>
      </c>
      <c r="T1044" s="56">
        <f>50</f>
        <v>50</v>
      </c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</row>
    <row r="1045" spans="1:30" ht="15.75" x14ac:dyDescent="0.25">
      <c r="A1045" s="13">
        <v>73109</v>
      </c>
      <c r="B1045" s="67">
        <f t="shared" si="174"/>
        <v>28</v>
      </c>
      <c r="C1045" s="56">
        <f>122.58</f>
        <v>122.58</v>
      </c>
      <c r="D1045" s="56">
        <f>297.941</f>
        <v>297.94099999999997</v>
      </c>
      <c r="E1045" s="64">
        <f>89.177</f>
        <v>89.177000000000007</v>
      </c>
      <c r="F1045" s="56">
        <f>240.302-40-60-100</f>
        <v>40.301999999999992</v>
      </c>
      <c r="G1045" s="59">
        <v>40</v>
      </c>
      <c r="H1045" s="56">
        <f>60+100</f>
        <v>160</v>
      </c>
      <c r="I1045" s="56">
        <f t="shared" si="170"/>
        <v>0</v>
      </c>
      <c r="J1045" s="59">
        <v>100</v>
      </c>
      <c r="K1045" s="59">
        <v>300</v>
      </c>
      <c r="L1045" s="56">
        <f t="shared" si="175"/>
        <v>1150</v>
      </c>
      <c r="M1045" s="66">
        <v>600</v>
      </c>
      <c r="N1045" s="56">
        <f>100</f>
        <v>100</v>
      </c>
      <c r="O1045" s="59">
        <v>240</v>
      </c>
      <c r="P1045" s="59">
        <v>40</v>
      </c>
      <c r="Q1045" s="59">
        <f t="shared" si="176"/>
        <v>315</v>
      </c>
      <c r="R1045" s="59">
        <f t="shared" si="177"/>
        <v>100</v>
      </c>
      <c r="S1045" s="56">
        <f t="shared" si="178"/>
        <v>695</v>
      </c>
      <c r="T1045" s="56">
        <f>50</f>
        <v>50</v>
      </c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</row>
    <row r="1046" spans="1:30" ht="15.75" x14ac:dyDescent="0.25">
      <c r="A1046" s="13">
        <v>73140</v>
      </c>
      <c r="B1046" s="67">
        <f t="shared" si="174"/>
        <v>31</v>
      </c>
      <c r="C1046" s="56">
        <f>122.58</f>
        <v>122.58</v>
      </c>
      <c r="D1046" s="56">
        <f>297.941</f>
        <v>297.94099999999997</v>
      </c>
      <c r="E1046" s="64">
        <f>89.177</f>
        <v>89.177000000000007</v>
      </c>
      <c r="F1046" s="56">
        <f>240.302-40-60-100</f>
        <v>40.301999999999992</v>
      </c>
      <c r="G1046" s="59">
        <v>40</v>
      </c>
      <c r="H1046" s="56">
        <f>60+100</f>
        <v>160</v>
      </c>
      <c r="I1046" s="56">
        <f t="shared" si="170"/>
        <v>0</v>
      </c>
      <c r="J1046" s="59">
        <v>100</v>
      </c>
      <c r="K1046" s="59">
        <v>300</v>
      </c>
      <c r="L1046" s="56">
        <f t="shared" si="175"/>
        <v>1150</v>
      </c>
      <c r="M1046" s="66">
        <v>600</v>
      </c>
      <c r="N1046" s="56">
        <f>100</f>
        <v>100</v>
      </c>
      <c r="O1046" s="59">
        <v>240</v>
      </c>
      <c r="P1046" s="59">
        <v>40</v>
      </c>
      <c r="Q1046" s="59">
        <f t="shared" si="176"/>
        <v>315</v>
      </c>
      <c r="R1046" s="59">
        <f t="shared" si="177"/>
        <v>100</v>
      </c>
      <c r="S1046" s="56">
        <f t="shared" si="178"/>
        <v>695</v>
      </c>
      <c r="T1046" s="56">
        <f>50</f>
        <v>50</v>
      </c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</row>
    <row r="1047" spans="1:30" ht="15.75" x14ac:dyDescent="0.25">
      <c r="A1047" s="13">
        <v>73170</v>
      </c>
      <c r="B1047" s="67">
        <f t="shared" si="174"/>
        <v>30</v>
      </c>
      <c r="C1047" s="56">
        <f>141.293</f>
        <v>141.29300000000001</v>
      </c>
      <c r="D1047" s="56">
        <f>267.993</f>
        <v>267.99299999999999</v>
      </c>
      <c r="E1047" s="64">
        <f>115.016</f>
        <v>115.01600000000001</v>
      </c>
      <c r="F1047" s="56">
        <f>314.698-40-25-60-100</f>
        <v>89.697999999999979</v>
      </c>
      <c r="G1047" s="59">
        <v>40</v>
      </c>
      <c r="H1047" s="56">
        <f t="shared" ref="H1047:H1053" si="179">25+60+100</f>
        <v>185</v>
      </c>
      <c r="I1047" s="56">
        <f t="shared" si="170"/>
        <v>0</v>
      </c>
      <c r="J1047" s="59">
        <v>100</v>
      </c>
      <c r="K1047" s="59">
        <v>300</v>
      </c>
      <c r="L1047" s="56">
        <f t="shared" si="175"/>
        <v>1239</v>
      </c>
      <c r="M1047" s="66">
        <v>600</v>
      </c>
      <c r="N1047" s="56">
        <f>100</f>
        <v>100</v>
      </c>
      <c r="O1047" s="59">
        <v>240</v>
      </c>
      <c r="P1047" s="59">
        <v>40</v>
      </c>
      <c r="Q1047" s="59">
        <f t="shared" si="176"/>
        <v>315</v>
      </c>
      <c r="R1047" s="59">
        <f t="shared" si="177"/>
        <v>100</v>
      </c>
      <c r="S1047" s="56">
        <f t="shared" si="178"/>
        <v>695</v>
      </c>
      <c r="T1047" s="56">
        <f>50</f>
        <v>50</v>
      </c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</row>
    <row r="1048" spans="1:30" ht="15.75" x14ac:dyDescent="0.25">
      <c r="A1048" s="13">
        <v>73201</v>
      </c>
      <c r="B1048" s="67">
        <f t="shared" si="174"/>
        <v>31</v>
      </c>
      <c r="C1048" s="56">
        <f>194.205</f>
        <v>194.20500000000001</v>
      </c>
      <c r="D1048" s="56">
        <f>267.466</f>
        <v>267.46600000000001</v>
      </c>
      <c r="E1048" s="64">
        <f>133.845</f>
        <v>133.845</v>
      </c>
      <c r="F1048" s="56">
        <f>278.484-40-25-60-100</f>
        <v>53.48399999999998</v>
      </c>
      <c r="G1048" s="59">
        <v>40</v>
      </c>
      <c r="H1048" s="56">
        <f t="shared" si="179"/>
        <v>185</v>
      </c>
      <c r="I1048" s="56">
        <f t="shared" si="170"/>
        <v>0</v>
      </c>
      <c r="J1048" s="59">
        <v>100</v>
      </c>
      <c r="K1048" s="59">
        <v>300</v>
      </c>
      <c r="L1048" s="56">
        <f t="shared" si="175"/>
        <v>1274</v>
      </c>
      <c r="M1048" s="66">
        <v>600</v>
      </c>
      <c r="N1048" s="56">
        <f>75</f>
        <v>75</v>
      </c>
      <c r="O1048" s="59">
        <v>240</v>
      </c>
      <c r="P1048" s="59">
        <v>40</v>
      </c>
      <c r="Q1048" s="59">
        <f t="shared" si="176"/>
        <v>315</v>
      </c>
      <c r="R1048" s="59">
        <f t="shared" si="177"/>
        <v>100</v>
      </c>
      <c r="S1048" s="56">
        <f t="shared" si="178"/>
        <v>695</v>
      </c>
      <c r="T1048" s="56">
        <f>50</f>
        <v>50</v>
      </c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</row>
    <row r="1049" spans="1:30" ht="15.75" x14ac:dyDescent="0.25">
      <c r="A1049" s="13">
        <v>73231</v>
      </c>
      <c r="B1049" s="67">
        <f t="shared" si="174"/>
        <v>30</v>
      </c>
      <c r="C1049" s="56">
        <f>194.205</f>
        <v>194.20500000000001</v>
      </c>
      <c r="D1049" s="56">
        <f>267.466</f>
        <v>267.46600000000001</v>
      </c>
      <c r="E1049" s="64">
        <f>133.845</f>
        <v>133.845</v>
      </c>
      <c r="F1049" s="56">
        <f>278.484-40-25-60-100</f>
        <v>53.48399999999998</v>
      </c>
      <c r="G1049" s="59">
        <v>40</v>
      </c>
      <c r="H1049" s="56">
        <f t="shared" si="179"/>
        <v>185</v>
      </c>
      <c r="I1049" s="56">
        <f t="shared" si="170"/>
        <v>0</v>
      </c>
      <c r="J1049" s="59">
        <v>100</v>
      </c>
      <c r="K1049" s="59">
        <v>300</v>
      </c>
      <c r="L1049" s="56">
        <f t="shared" si="175"/>
        <v>1274</v>
      </c>
      <c r="M1049" s="66">
        <v>600</v>
      </c>
      <c r="N1049" s="56">
        <f>30</f>
        <v>30</v>
      </c>
      <c r="O1049" s="59">
        <v>240</v>
      </c>
      <c r="P1049" s="59">
        <v>40</v>
      </c>
      <c r="Q1049" s="59">
        <f t="shared" si="176"/>
        <v>315</v>
      </c>
      <c r="R1049" s="59">
        <f t="shared" si="177"/>
        <v>100</v>
      </c>
      <c r="S1049" s="56">
        <f t="shared" si="178"/>
        <v>695</v>
      </c>
      <c r="T1049" s="56">
        <f>50</f>
        <v>50</v>
      </c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</row>
    <row r="1050" spans="1:30" ht="15.75" x14ac:dyDescent="0.25">
      <c r="A1050" s="13">
        <v>73262</v>
      </c>
      <c r="B1050" s="67">
        <f t="shared" si="174"/>
        <v>31</v>
      </c>
      <c r="C1050" s="56">
        <f>194.205</f>
        <v>194.20500000000001</v>
      </c>
      <c r="D1050" s="56">
        <f>267.466</f>
        <v>267.46600000000001</v>
      </c>
      <c r="E1050" s="64">
        <f>133.845</f>
        <v>133.845</v>
      </c>
      <c r="F1050" s="56">
        <f>278.484-40-25-60-100</f>
        <v>53.48399999999998</v>
      </c>
      <c r="G1050" s="59">
        <v>40</v>
      </c>
      <c r="H1050" s="56">
        <f t="shared" si="179"/>
        <v>185</v>
      </c>
      <c r="I1050" s="56">
        <f t="shared" si="170"/>
        <v>0</v>
      </c>
      <c r="J1050" s="59">
        <v>100</v>
      </c>
      <c r="K1050" s="59">
        <v>300</v>
      </c>
      <c r="L1050" s="56">
        <f t="shared" si="175"/>
        <v>1274</v>
      </c>
      <c r="M1050" s="66">
        <v>600</v>
      </c>
      <c r="N1050" s="56">
        <f>30</f>
        <v>30</v>
      </c>
      <c r="O1050" s="59">
        <v>240</v>
      </c>
      <c r="P1050" s="59">
        <v>40</v>
      </c>
      <c r="Q1050" s="59">
        <f t="shared" si="176"/>
        <v>315</v>
      </c>
      <c r="R1050" s="59">
        <f t="shared" si="177"/>
        <v>100</v>
      </c>
      <c r="S1050" s="56">
        <f t="shared" si="178"/>
        <v>695</v>
      </c>
      <c r="T1050" s="56">
        <f>0</f>
        <v>0</v>
      </c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</row>
    <row r="1051" spans="1:30" ht="15.75" x14ac:dyDescent="0.25">
      <c r="A1051" s="13">
        <v>73293</v>
      </c>
      <c r="B1051" s="67">
        <f t="shared" si="174"/>
        <v>31</v>
      </c>
      <c r="C1051" s="56">
        <f>194.205</f>
        <v>194.20500000000001</v>
      </c>
      <c r="D1051" s="56">
        <f>267.466</f>
        <v>267.46600000000001</v>
      </c>
      <c r="E1051" s="64">
        <f>133.845</f>
        <v>133.845</v>
      </c>
      <c r="F1051" s="56">
        <f>278.484-40-25-60-100</f>
        <v>53.48399999999998</v>
      </c>
      <c r="G1051" s="59">
        <v>40</v>
      </c>
      <c r="H1051" s="56">
        <f t="shared" si="179"/>
        <v>185</v>
      </c>
      <c r="I1051" s="56">
        <f t="shared" si="170"/>
        <v>0</v>
      </c>
      <c r="J1051" s="59">
        <v>100</v>
      </c>
      <c r="K1051" s="59">
        <v>300</v>
      </c>
      <c r="L1051" s="56">
        <f t="shared" si="175"/>
        <v>1274</v>
      </c>
      <c r="M1051" s="66">
        <v>600</v>
      </c>
      <c r="N1051" s="56">
        <f>30</f>
        <v>30</v>
      </c>
      <c r="O1051" s="59">
        <v>240</v>
      </c>
      <c r="P1051" s="59">
        <v>40</v>
      </c>
      <c r="Q1051" s="59">
        <f t="shared" si="176"/>
        <v>315</v>
      </c>
      <c r="R1051" s="59">
        <f t="shared" si="177"/>
        <v>100</v>
      </c>
      <c r="S1051" s="56">
        <f t="shared" si="178"/>
        <v>695</v>
      </c>
      <c r="T1051" s="56">
        <f>0</f>
        <v>0</v>
      </c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</row>
    <row r="1052" spans="1:30" ht="15.75" x14ac:dyDescent="0.25">
      <c r="A1052" s="13">
        <v>73323</v>
      </c>
      <c r="B1052" s="67">
        <f t="shared" si="174"/>
        <v>30</v>
      </c>
      <c r="C1052" s="56">
        <f>194.205</f>
        <v>194.20500000000001</v>
      </c>
      <c r="D1052" s="56">
        <f>267.466</f>
        <v>267.46600000000001</v>
      </c>
      <c r="E1052" s="64">
        <f>133.845</f>
        <v>133.845</v>
      </c>
      <c r="F1052" s="56">
        <f>278.484-40-25-60-100</f>
        <v>53.48399999999998</v>
      </c>
      <c r="G1052" s="59">
        <v>40</v>
      </c>
      <c r="H1052" s="56">
        <f t="shared" si="179"/>
        <v>185</v>
      </c>
      <c r="I1052" s="56">
        <f t="shared" si="170"/>
        <v>0</v>
      </c>
      <c r="J1052" s="59">
        <v>100</v>
      </c>
      <c r="K1052" s="59">
        <v>300</v>
      </c>
      <c r="L1052" s="56">
        <f t="shared" si="175"/>
        <v>1274</v>
      </c>
      <c r="M1052" s="66">
        <v>600</v>
      </c>
      <c r="N1052" s="56">
        <f>30</f>
        <v>30</v>
      </c>
      <c r="O1052" s="59">
        <v>240</v>
      </c>
      <c r="P1052" s="59">
        <v>40</v>
      </c>
      <c r="Q1052" s="59">
        <f t="shared" si="176"/>
        <v>315</v>
      </c>
      <c r="R1052" s="59">
        <f t="shared" si="177"/>
        <v>100</v>
      </c>
      <c r="S1052" s="56">
        <f t="shared" si="178"/>
        <v>695</v>
      </c>
      <c r="T1052" s="56">
        <f>0</f>
        <v>0</v>
      </c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</row>
    <row r="1053" spans="1:30" ht="15.75" x14ac:dyDescent="0.25">
      <c r="A1053" s="13">
        <v>73354</v>
      </c>
      <c r="B1053" s="67">
        <f t="shared" si="174"/>
        <v>31</v>
      </c>
      <c r="C1053" s="56">
        <f>131.881</f>
        <v>131.881</v>
      </c>
      <c r="D1053" s="56">
        <f>277.167</f>
        <v>277.16699999999997</v>
      </c>
      <c r="E1053" s="64">
        <f>79.08</f>
        <v>79.08</v>
      </c>
      <c r="F1053" s="56">
        <f>350.872-40-25-60-100</f>
        <v>125.87200000000001</v>
      </c>
      <c r="G1053" s="59">
        <v>40</v>
      </c>
      <c r="H1053" s="56">
        <f t="shared" si="179"/>
        <v>185</v>
      </c>
      <c r="I1053" s="56">
        <f t="shared" si="170"/>
        <v>0</v>
      </c>
      <c r="J1053" s="59">
        <v>100</v>
      </c>
      <c r="K1053" s="59">
        <v>300</v>
      </c>
      <c r="L1053" s="56">
        <f t="shared" si="175"/>
        <v>1239</v>
      </c>
      <c r="M1053" s="66">
        <v>600</v>
      </c>
      <c r="N1053" s="56">
        <f>75</f>
        <v>75</v>
      </c>
      <c r="O1053" s="59">
        <v>240</v>
      </c>
      <c r="P1053" s="59">
        <v>40</v>
      </c>
      <c r="Q1053" s="59">
        <f t="shared" si="176"/>
        <v>315</v>
      </c>
      <c r="R1053" s="59">
        <f t="shared" si="177"/>
        <v>100</v>
      </c>
      <c r="S1053" s="56">
        <f t="shared" si="178"/>
        <v>695</v>
      </c>
      <c r="T1053" s="56">
        <f>0</f>
        <v>0</v>
      </c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</row>
    <row r="1054" spans="1:30" ht="15.75" x14ac:dyDescent="0.25">
      <c r="A1054" s="13">
        <v>73384</v>
      </c>
      <c r="B1054" s="67">
        <f t="shared" si="174"/>
        <v>30</v>
      </c>
      <c r="C1054" s="56">
        <f>122.58</f>
        <v>122.58</v>
      </c>
      <c r="D1054" s="56">
        <f>297.941</f>
        <v>297.94099999999997</v>
      </c>
      <c r="E1054" s="64">
        <f>89.177</f>
        <v>89.177000000000007</v>
      </c>
      <c r="F1054" s="56">
        <f>240.302-40-60-100</f>
        <v>40.301999999999992</v>
      </c>
      <c r="G1054" s="59">
        <v>40</v>
      </c>
      <c r="H1054" s="56">
        <f>60+100</f>
        <v>160</v>
      </c>
      <c r="I1054" s="56">
        <f t="shared" si="170"/>
        <v>0</v>
      </c>
      <c r="J1054" s="59">
        <v>100</v>
      </c>
      <c r="K1054" s="59">
        <v>300</v>
      </c>
      <c r="L1054" s="56">
        <f t="shared" si="175"/>
        <v>1150</v>
      </c>
      <c r="M1054" s="66">
        <v>600</v>
      </c>
      <c r="N1054" s="56">
        <f>100</f>
        <v>100</v>
      </c>
      <c r="O1054" s="59">
        <v>240</v>
      </c>
      <c r="P1054" s="59">
        <v>40</v>
      </c>
      <c r="Q1054" s="59">
        <f t="shared" si="176"/>
        <v>315</v>
      </c>
      <c r="R1054" s="59">
        <f t="shared" si="177"/>
        <v>100</v>
      </c>
      <c r="S1054" s="56">
        <f t="shared" si="178"/>
        <v>695</v>
      </c>
      <c r="T1054" s="56">
        <f>50</f>
        <v>50</v>
      </c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</row>
    <row r="1055" spans="1:30" ht="15.75" x14ac:dyDescent="0.25">
      <c r="A1055" s="13">
        <v>73415</v>
      </c>
      <c r="B1055" s="67">
        <f t="shared" si="174"/>
        <v>31</v>
      </c>
      <c r="C1055" s="56">
        <f>122.58</f>
        <v>122.58</v>
      </c>
      <c r="D1055" s="56">
        <f>297.941</f>
        <v>297.94099999999997</v>
      </c>
      <c r="E1055" s="64">
        <f>89.177</f>
        <v>89.177000000000007</v>
      </c>
      <c r="F1055" s="56">
        <f>240.302-40-60-100</f>
        <v>40.301999999999992</v>
      </c>
      <c r="G1055" s="59">
        <v>40</v>
      </c>
      <c r="H1055" s="56">
        <f>60+100</f>
        <v>160</v>
      </c>
      <c r="I1055" s="56">
        <f t="shared" si="170"/>
        <v>0</v>
      </c>
      <c r="J1055" s="59">
        <v>100</v>
      </c>
      <c r="K1055" s="59">
        <v>300</v>
      </c>
      <c r="L1055" s="56">
        <f t="shared" si="175"/>
        <v>1150</v>
      </c>
      <c r="M1055" s="66">
        <v>600</v>
      </c>
      <c r="N1055" s="56">
        <f>100</f>
        <v>100</v>
      </c>
      <c r="O1055" s="59">
        <v>240</v>
      </c>
      <c r="P1055" s="59">
        <v>40</v>
      </c>
      <c r="Q1055" s="59">
        <f t="shared" si="176"/>
        <v>315</v>
      </c>
      <c r="R1055" s="59">
        <f t="shared" si="177"/>
        <v>100</v>
      </c>
      <c r="S1055" s="56">
        <f t="shared" si="178"/>
        <v>695</v>
      </c>
      <c r="T1055" s="56">
        <f>50</f>
        <v>50</v>
      </c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</row>
    <row r="1056" spans="1:30" ht="15" x14ac:dyDescent="0.2">
      <c r="A1056" s="12"/>
      <c r="B1056" s="65"/>
      <c r="C1056" s="56"/>
      <c r="D1056" s="56"/>
      <c r="E1056" s="64"/>
      <c r="F1056" s="56"/>
      <c r="G1056" s="56"/>
      <c r="H1056" s="56"/>
      <c r="I1056" s="56"/>
      <c r="J1056" s="56"/>
      <c r="K1056" s="56"/>
      <c r="L1056" s="56"/>
      <c r="M1056" s="56"/>
      <c r="N1056" s="56"/>
      <c r="O1056" s="59"/>
      <c r="P1056" s="59"/>
      <c r="Q1056" s="59"/>
      <c r="R1056" s="59"/>
      <c r="S1056" s="56"/>
      <c r="T1056" s="56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</row>
    <row r="1057" spans="1:30" ht="15.75" x14ac:dyDescent="0.25">
      <c r="A1057" s="11">
        <v>2014</v>
      </c>
      <c r="B1057" s="11">
        <f t="shared" ref="B1057:B1088" si="180">DATE(A1057+1,1,1)-DATE(A1057,1,1)</f>
        <v>365</v>
      </c>
      <c r="C1057" s="60">
        <f t="shared" ref="C1057:L1057" si="181">AVERAGE(C12:C23)</f>
        <v>154.75825</v>
      </c>
      <c r="D1057" s="60">
        <f t="shared" si="181"/>
        <v>281.0162499999999</v>
      </c>
      <c r="E1057" s="60">
        <f t="shared" si="181"/>
        <v>109.1005</v>
      </c>
      <c r="F1057" s="60">
        <f t="shared" si="181"/>
        <v>217.04166666666666</v>
      </c>
      <c r="G1057" s="60">
        <f t="shared" si="181"/>
        <v>40</v>
      </c>
      <c r="H1057" s="60">
        <f t="shared" si="181"/>
        <v>14.583333333333334</v>
      </c>
      <c r="I1057" s="60">
        <f t="shared" si="181"/>
        <v>20.833333333333332</v>
      </c>
      <c r="J1057" s="60">
        <f t="shared" si="181"/>
        <v>100</v>
      </c>
      <c r="K1057" s="60">
        <f t="shared" si="181"/>
        <v>300</v>
      </c>
      <c r="L1057" s="60">
        <f t="shared" si="181"/>
        <v>1237.3333333333333</v>
      </c>
      <c r="M1057" s="63"/>
      <c r="N1057" s="60">
        <f t="shared" ref="N1057:T1057" si="182">AVERAGE(N12:N23)</f>
        <v>72.5</v>
      </c>
      <c r="O1057" s="61">
        <f t="shared" si="182"/>
        <v>240</v>
      </c>
      <c r="P1057" s="61">
        <f t="shared" si="182"/>
        <v>70</v>
      </c>
      <c r="Q1057" s="61">
        <f t="shared" si="182"/>
        <v>285</v>
      </c>
      <c r="R1057" s="61">
        <f t="shared" si="182"/>
        <v>100</v>
      </c>
      <c r="S1057" s="60">
        <f t="shared" si="182"/>
        <v>695</v>
      </c>
      <c r="T1057" s="60">
        <f t="shared" si="182"/>
        <v>33.333333333333336</v>
      </c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</row>
    <row r="1058" spans="1:30" ht="15.75" x14ac:dyDescent="0.25">
      <c r="A1058" s="11">
        <v>2015</v>
      </c>
      <c r="B1058" s="11">
        <f t="shared" si="180"/>
        <v>365</v>
      </c>
      <c r="C1058" s="60">
        <f t="shared" ref="C1058:L1058" si="183">AVERAGE(C24:C35)</f>
        <v>154.75825</v>
      </c>
      <c r="D1058" s="60">
        <f t="shared" si="183"/>
        <v>281.0162499999999</v>
      </c>
      <c r="E1058" s="60">
        <f t="shared" si="183"/>
        <v>109.1005</v>
      </c>
      <c r="F1058" s="60">
        <f t="shared" si="183"/>
        <v>97.041666666666629</v>
      </c>
      <c r="G1058" s="60">
        <f t="shared" si="183"/>
        <v>40</v>
      </c>
      <c r="H1058" s="60">
        <f t="shared" si="183"/>
        <v>134.58333333333334</v>
      </c>
      <c r="I1058" s="60">
        <f t="shared" si="183"/>
        <v>20.833333333333332</v>
      </c>
      <c r="J1058" s="60">
        <f t="shared" si="183"/>
        <v>100</v>
      </c>
      <c r="K1058" s="60">
        <f t="shared" si="183"/>
        <v>300</v>
      </c>
      <c r="L1058" s="60">
        <f t="shared" si="183"/>
        <v>1237.3333333333333</v>
      </c>
      <c r="M1058" s="63"/>
      <c r="N1058" s="60">
        <f t="shared" ref="N1058:T1058" si="184">AVERAGE(N24:N35)</f>
        <v>72.5</v>
      </c>
      <c r="O1058" s="61">
        <f t="shared" si="184"/>
        <v>240</v>
      </c>
      <c r="P1058" s="61">
        <f t="shared" si="184"/>
        <v>100</v>
      </c>
      <c r="Q1058" s="61">
        <f t="shared" si="184"/>
        <v>255</v>
      </c>
      <c r="R1058" s="61">
        <f t="shared" si="184"/>
        <v>100</v>
      </c>
      <c r="S1058" s="60">
        <f t="shared" si="184"/>
        <v>695</v>
      </c>
      <c r="T1058" s="60">
        <f t="shared" si="184"/>
        <v>33.333333333333336</v>
      </c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</row>
    <row r="1059" spans="1:30" ht="15.75" x14ac:dyDescent="0.25">
      <c r="A1059" s="11">
        <v>2016</v>
      </c>
      <c r="B1059" s="11">
        <f t="shared" si="180"/>
        <v>366</v>
      </c>
      <c r="C1059" s="60">
        <f t="shared" ref="C1059:L1059" si="185">AVERAGE(C36:C47)</f>
        <v>154.75825</v>
      </c>
      <c r="D1059" s="60">
        <f t="shared" si="185"/>
        <v>281.0162499999999</v>
      </c>
      <c r="E1059" s="60">
        <f t="shared" si="185"/>
        <v>109.1005</v>
      </c>
      <c r="F1059" s="60">
        <f t="shared" si="185"/>
        <v>57.041666666666664</v>
      </c>
      <c r="G1059" s="60">
        <f t="shared" si="185"/>
        <v>40</v>
      </c>
      <c r="H1059" s="60">
        <f t="shared" si="185"/>
        <v>174.58333333333334</v>
      </c>
      <c r="I1059" s="60">
        <f t="shared" si="185"/>
        <v>0</v>
      </c>
      <c r="J1059" s="60">
        <f t="shared" si="185"/>
        <v>100</v>
      </c>
      <c r="K1059" s="60">
        <f t="shared" si="185"/>
        <v>300</v>
      </c>
      <c r="L1059" s="60">
        <f t="shared" si="185"/>
        <v>1216.5</v>
      </c>
      <c r="M1059" s="63"/>
      <c r="N1059" s="60">
        <f t="shared" ref="N1059:T1059" si="186">AVERAGE(N36:N47)</f>
        <v>72.5</v>
      </c>
      <c r="O1059" s="61">
        <f t="shared" si="186"/>
        <v>240</v>
      </c>
      <c r="P1059" s="61">
        <f t="shared" si="186"/>
        <v>110</v>
      </c>
      <c r="Q1059" s="61">
        <f t="shared" si="186"/>
        <v>245</v>
      </c>
      <c r="R1059" s="61">
        <f t="shared" si="186"/>
        <v>100</v>
      </c>
      <c r="S1059" s="60">
        <f t="shared" si="186"/>
        <v>695</v>
      </c>
      <c r="T1059" s="60">
        <f t="shared" si="186"/>
        <v>33.333333333333336</v>
      </c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</row>
    <row r="1060" spans="1:30" ht="15" x14ac:dyDescent="0.2">
      <c r="A1060" s="11">
        <v>2017</v>
      </c>
      <c r="B1060" s="11">
        <f t="shared" si="180"/>
        <v>365</v>
      </c>
      <c r="C1060" s="60">
        <f t="shared" ref="C1060:T1060" si="187">AVERAGE(C48:C59)</f>
        <v>154.75825</v>
      </c>
      <c r="D1060" s="60">
        <f t="shared" si="187"/>
        <v>281.0162499999999</v>
      </c>
      <c r="E1060" s="60">
        <f t="shared" si="187"/>
        <v>109.1005</v>
      </c>
      <c r="F1060" s="60">
        <f t="shared" si="187"/>
        <v>57.041666666666664</v>
      </c>
      <c r="G1060" s="60">
        <f t="shared" si="187"/>
        <v>40</v>
      </c>
      <c r="H1060" s="60">
        <f t="shared" si="187"/>
        <v>174.58333333333334</v>
      </c>
      <c r="I1060" s="60">
        <f t="shared" si="187"/>
        <v>0</v>
      </c>
      <c r="J1060" s="60">
        <f t="shared" si="187"/>
        <v>100</v>
      </c>
      <c r="K1060" s="60">
        <f t="shared" si="187"/>
        <v>300</v>
      </c>
      <c r="L1060" s="60">
        <f t="shared" si="187"/>
        <v>1216.5</v>
      </c>
      <c r="M1060" s="62">
        <f t="shared" si="187"/>
        <v>400</v>
      </c>
      <c r="N1060" s="60">
        <f t="shared" si="187"/>
        <v>72.5</v>
      </c>
      <c r="O1060" s="61">
        <f t="shared" si="187"/>
        <v>240</v>
      </c>
      <c r="P1060" s="61">
        <f t="shared" si="187"/>
        <v>110</v>
      </c>
      <c r="Q1060" s="61">
        <f t="shared" si="187"/>
        <v>245</v>
      </c>
      <c r="R1060" s="61">
        <f t="shared" si="187"/>
        <v>100</v>
      </c>
      <c r="S1060" s="60">
        <f t="shared" si="187"/>
        <v>695</v>
      </c>
      <c r="T1060" s="60">
        <f t="shared" si="187"/>
        <v>33.333333333333336</v>
      </c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</row>
    <row r="1061" spans="1:30" ht="15" x14ac:dyDescent="0.2">
      <c r="A1061" s="11">
        <v>2018</v>
      </c>
      <c r="B1061" s="11">
        <f t="shared" si="180"/>
        <v>365</v>
      </c>
      <c r="C1061" s="60">
        <f t="shared" ref="C1061:T1061" si="188">AVERAGE(C60:C71)</f>
        <v>154.75825</v>
      </c>
      <c r="D1061" s="60">
        <f t="shared" si="188"/>
        <v>281.0162499999999</v>
      </c>
      <c r="E1061" s="60">
        <f t="shared" si="188"/>
        <v>109.1005</v>
      </c>
      <c r="F1061" s="60">
        <f t="shared" si="188"/>
        <v>57.041666666666664</v>
      </c>
      <c r="G1061" s="60">
        <f t="shared" si="188"/>
        <v>40</v>
      </c>
      <c r="H1061" s="60">
        <f t="shared" si="188"/>
        <v>174.58333333333334</v>
      </c>
      <c r="I1061" s="60">
        <f t="shared" si="188"/>
        <v>0</v>
      </c>
      <c r="J1061" s="60">
        <f t="shared" si="188"/>
        <v>100</v>
      </c>
      <c r="K1061" s="60">
        <f t="shared" si="188"/>
        <v>300</v>
      </c>
      <c r="L1061" s="60">
        <f t="shared" si="188"/>
        <v>1216.5</v>
      </c>
      <c r="M1061" s="62">
        <f t="shared" si="188"/>
        <v>400</v>
      </c>
      <c r="N1061" s="60">
        <f t="shared" si="188"/>
        <v>72.5</v>
      </c>
      <c r="O1061" s="61">
        <f t="shared" si="188"/>
        <v>240</v>
      </c>
      <c r="P1061" s="61">
        <f t="shared" si="188"/>
        <v>110</v>
      </c>
      <c r="Q1061" s="61">
        <f t="shared" si="188"/>
        <v>245</v>
      </c>
      <c r="R1061" s="61">
        <f t="shared" si="188"/>
        <v>100</v>
      </c>
      <c r="S1061" s="60">
        <f t="shared" si="188"/>
        <v>695</v>
      </c>
      <c r="T1061" s="60">
        <f t="shared" si="188"/>
        <v>33.333333333333336</v>
      </c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</row>
    <row r="1062" spans="1:30" ht="15" x14ac:dyDescent="0.2">
      <c r="A1062" s="11">
        <v>2019</v>
      </c>
      <c r="B1062" s="11">
        <f t="shared" si="180"/>
        <v>365</v>
      </c>
      <c r="C1062" s="60">
        <f t="shared" ref="C1062:T1062" si="189">AVERAGE(C72:C83)</f>
        <v>154.75825</v>
      </c>
      <c r="D1062" s="60">
        <f t="shared" si="189"/>
        <v>281.0162499999999</v>
      </c>
      <c r="E1062" s="60">
        <f t="shared" si="189"/>
        <v>109.1005</v>
      </c>
      <c r="F1062" s="60">
        <f t="shared" si="189"/>
        <v>57.041666666666664</v>
      </c>
      <c r="G1062" s="60">
        <f t="shared" si="189"/>
        <v>40</v>
      </c>
      <c r="H1062" s="60">
        <f t="shared" si="189"/>
        <v>174.58333333333334</v>
      </c>
      <c r="I1062" s="60">
        <f t="shared" si="189"/>
        <v>0</v>
      </c>
      <c r="J1062" s="60">
        <f t="shared" si="189"/>
        <v>100</v>
      </c>
      <c r="K1062" s="60">
        <f t="shared" si="189"/>
        <v>300</v>
      </c>
      <c r="L1062" s="60">
        <f t="shared" si="189"/>
        <v>1216.5</v>
      </c>
      <c r="M1062" s="62">
        <f t="shared" si="189"/>
        <v>400</v>
      </c>
      <c r="N1062" s="60">
        <f t="shared" si="189"/>
        <v>72.5</v>
      </c>
      <c r="O1062" s="61">
        <f t="shared" si="189"/>
        <v>240</v>
      </c>
      <c r="P1062" s="61">
        <f t="shared" si="189"/>
        <v>110</v>
      </c>
      <c r="Q1062" s="61">
        <f t="shared" si="189"/>
        <v>245</v>
      </c>
      <c r="R1062" s="61">
        <f t="shared" si="189"/>
        <v>100</v>
      </c>
      <c r="S1062" s="60">
        <f t="shared" si="189"/>
        <v>695</v>
      </c>
      <c r="T1062" s="60">
        <f t="shared" si="189"/>
        <v>33.333333333333336</v>
      </c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</row>
    <row r="1063" spans="1:30" ht="15" x14ac:dyDescent="0.2">
      <c r="A1063" s="11">
        <v>2020</v>
      </c>
      <c r="B1063" s="11">
        <f t="shared" si="180"/>
        <v>366</v>
      </c>
      <c r="C1063" s="60">
        <f t="shared" ref="C1063:T1063" si="190">AVERAGE(C84:C95)</f>
        <v>154.75825</v>
      </c>
      <c r="D1063" s="60">
        <f t="shared" si="190"/>
        <v>281.0162499999999</v>
      </c>
      <c r="E1063" s="60">
        <f t="shared" si="190"/>
        <v>109.1005</v>
      </c>
      <c r="F1063" s="60">
        <f t="shared" si="190"/>
        <v>57.041666666666664</v>
      </c>
      <c r="G1063" s="60">
        <f t="shared" si="190"/>
        <v>40</v>
      </c>
      <c r="H1063" s="60">
        <f t="shared" si="190"/>
        <v>174.58333333333334</v>
      </c>
      <c r="I1063" s="60">
        <f t="shared" si="190"/>
        <v>0</v>
      </c>
      <c r="J1063" s="60">
        <f t="shared" si="190"/>
        <v>100</v>
      </c>
      <c r="K1063" s="60">
        <f t="shared" si="190"/>
        <v>300</v>
      </c>
      <c r="L1063" s="60">
        <f t="shared" si="190"/>
        <v>1216.5</v>
      </c>
      <c r="M1063" s="62">
        <f t="shared" si="190"/>
        <v>533.33333333333337</v>
      </c>
      <c r="N1063" s="60">
        <f t="shared" si="190"/>
        <v>72.5</v>
      </c>
      <c r="O1063" s="61">
        <f t="shared" si="190"/>
        <v>240</v>
      </c>
      <c r="P1063" s="61">
        <f t="shared" si="190"/>
        <v>110</v>
      </c>
      <c r="Q1063" s="61">
        <f t="shared" si="190"/>
        <v>245</v>
      </c>
      <c r="R1063" s="61">
        <f t="shared" si="190"/>
        <v>100</v>
      </c>
      <c r="S1063" s="60">
        <f t="shared" si="190"/>
        <v>695</v>
      </c>
      <c r="T1063" s="60">
        <f t="shared" si="190"/>
        <v>33.333333333333336</v>
      </c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</row>
    <row r="1064" spans="1:30" ht="15" x14ac:dyDescent="0.2">
      <c r="A1064" s="11">
        <v>2021</v>
      </c>
      <c r="B1064" s="11">
        <f t="shared" si="180"/>
        <v>365</v>
      </c>
      <c r="C1064" s="60">
        <f t="shared" ref="C1064:T1064" si="191">AVERAGE(C96:C107)</f>
        <v>154.75825</v>
      </c>
      <c r="D1064" s="60">
        <f t="shared" si="191"/>
        <v>281.0162499999999</v>
      </c>
      <c r="E1064" s="60">
        <f t="shared" si="191"/>
        <v>109.1005</v>
      </c>
      <c r="F1064" s="60">
        <f t="shared" si="191"/>
        <v>57.041666666666664</v>
      </c>
      <c r="G1064" s="60">
        <f t="shared" si="191"/>
        <v>40</v>
      </c>
      <c r="H1064" s="60">
        <f t="shared" si="191"/>
        <v>174.58333333333334</v>
      </c>
      <c r="I1064" s="60">
        <f t="shared" si="191"/>
        <v>0</v>
      </c>
      <c r="J1064" s="60">
        <f t="shared" si="191"/>
        <v>100</v>
      </c>
      <c r="K1064" s="60">
        <f t="shared" si="191"/>
        <v>300</v>
      </c>
      <c r="L1064" s="60">
        <f t="shared" si="191"/>
        <v>1216.5</v>
      </c>
      <c r="M1064" s="62">
        <f t="shared" si="191"/>
        <v>600</v>
      </c>
      <c r="N1064" s="60">
        <f t="shared" si="191"/>
        <v>72.5</v>
      </c>
      <c r="O1064" s="61">
        <f t="shared" si="191"/>
        <v>240</v>
      </c>
      <c r="P1064" s="61">
        <f t="shared" si="191"/>
        <v>110</v>
      </c>
      <c r="Q1064" s="61">
        <f t="shared" si="191"/>
        <v>245</v>
      </c>
      <c r="R1064" s="61">
        <f t="shared" si="191"/>
        <v>100</v>
      </c>
      <c r="S1064" s="60">
        <f t="shared" si="191"/>
        <v>695</v>
      </c>
      <c r="T1064" s="60">
        <f t="shared" si="191"/>
        <v>33.333333333333336</v>
      </c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</row>
    <row r="1065" spans="1:30" ht="15" x14ac:dyDescent="0.2">
      <c r="A1065" s="11">
        <v>2022</v>
      </c>
      <c r="B1065" s="11">
        <f t="shared" si="180"/>
        <v>365</v>
      </c>
      <c r="C1065" s="60">
        <f t="shared" ref="C1065:T1065" si="192">AVERAGE(C108:C119)</f>
        <v>154.75825</v>
      </c>
      <c r="D1065" s="60">
        <f t="shared" si="192"/>
        <v>281.0162499999999</v>
      </c>
      <c r="E1065" s="60">
        <f t="shared" si="192"/>
        <v>109.1005</v>
      </c>
      <c r="F1065" s="60">
        <f t="shared" si="192"/>
        <v>57.041666666666664</v>
      </c>
      <c r="G1065" s="60">
        <f t="shared" si="192"/>
        <v>40</v>
      </c>
      <c r="H1065" s="60">
        <f t="shared" si="192"/>
        <v>174.58333333333334</v>
      </c>
      <c r="I1065" s="60">
        <f t="shared" si="192"/>
        <v>0</v>
      </c>
      <c r="J1065" s="60">
        <f t="shared" si="192"/>
        <v>100</v>
      </c>
      <c r="K1065" s="60">
        <f t="shared" si="192"/>
        <v>300</v>
      </c>
      <c r="L1065" s="60">
        <f t="shared" si="192"/>
        <v>1216.5</v>
      </c>
      <c r="M1065" s="62">
        <f t="shared" si="192"/>
        <v>600</v>
      </c>
      <c r="N1065" s="60">
        <f t="shared" si="192"/>
        <v>72.5</v>
      </c>
      <c r="O1065" s="61">
        <f t="shared" si="192"/>
        <v>240</v>
      </c>
      <c r="P1065" s="61">
        <f t="shared" si="192"/>
        <v>110</v>
      </c>
      <c r="Q1065" s="61">
        <f t="shared" si="192"/>
        <v>245</v>
      </c>
      <c r="R1065" s="61">
        <f t="shared" si="192"/>
        <v>100</v>
      </c>
      <c r="S1065" s="60">
        <f t="shared" si="192"/>
        <v>695</v>
      </c>
      <c r="T1065" s="60">
        <f t="shared" si="192"/>
        <v>33.333333333333336</v>
      </c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</row>
    <row r="1066" spans="1:30" ht="15" x14ac:dyDescent="0.2">
      <c r="A1066" s="11">
        <v>2023</v>
      </c>
      <c r="B1066" s="11">
        <f t="shared" si="180"/>
        <v>365</v>
      </c>
      <c r="C1066" s="60">
        <f t="shared" ref="C1066:T1066" si="193">AVERAGE(C120:C131)</f>
        <v>154.75825</v>
      </c>
      <c r="D1066" s="60">
        <f t="shared" si="193"/>
        <v>281.0162499999999</v>
      </c>
      <c r="E1066" s="60">
        <f t="shared" si="193"/>
        <v>109.1005</v>
      </c>
      <c r="F1066" s="60">
        <f t="shared" si="193"/>
        <v>57.041666666666664</v>
      </c>
      <c r="G1066" s="60">
        <f t="shared" si="193"/>
        <v>40</v>
      </c>
      <c r="H1066" s="60">
        <f t="shared" si="193"/>
        <v>174.58333333333334</v>
      </c>
      <c r="I1066" s="60">
        <f t="shared" si="193"/>
        <v>0</v>
      </c>
      <c r="J1066" s="60">
        <f t="shared" si="193"/>
        <v>100</v>
      </c>
      <c r="K1066" s="60">
        <f t="shared" si="193"/>
        <v>300</v>
      </c>
      <c r="L1066" s="60">
        <f t="shared" si="193"/>
        <v>1216.5</v>
      </c>
      <c r="M1066" s="62">
        <f t="shared" si="193"/>
        <v>600</v>
      </c>
      <c r="N1066" s="60">
        <f t="shared" si="193"/>
        <v>72.5</v>
      </c>
      <c r="O1066" s="61">
        <f t="shared" si="193"/>
        <v>240</v>
      </c>
      <c r="P1066" s="61">
        <f t="shared" si="193"/>
        <v>110</v>
      </c>
      <c r="Q1066" s="61">
        <f t="shared" si="193"/>
        <v>245</v>
      </c>
      <c r="R1066" s="61">
        <f t="shared" si="193"/>
        <v>100</v>
      </c>
      <c r="S1066" s="60">
        <f t="shared" si="193"/>
        <v>695</v>
      </c>
      <c r="T1066" s="60">
        <f t="shared" si="193"/>
        <v>33.333333333333336</v>
      </c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</row>
    <row r="1067" spans="1:30" ht="15" x14ac:dyDescent="0.2">
      <c r="A1067" s="11">
        <v>2024</v>
      </c>
      <c r="B1067" s="11">
        <f t="shared" si="180"/>
        <v>366</v>
      </c>
      <c r="C1067" s="60">
        <f t="shared" ref="C1067:T1067" si="194">AVERAGE(C132:C143)</f>
        <v>154.75825</v>
      </c>
      <c r="D1067" s="60">
        <f t="shared" si="194"/>
        <v>281.0162499999999</v>
      </c>
      <c r="E1067" s="60">
        <f t="shared" si="194"/>
        <v>109.1005</v>
      </c>
      <c r="F1067" s="60">
        <f t="shared" si="194"/>
        <v>57.041666666666664</v>
      </c>
      <c r="G1067" s="60">
        <f t="shared" si="194"/>
        <v>40</v>
      </c>
      <c r="H1067" s="60">
        <f t="shared" si="194"/>
        <v>174.58333333333334</v>
      </c>
      <c r="I1067" s="60">
        <f t="shared" si="194"/>
        <v>0</v>
      </c>
      <c r="J1067" s="60">
        <f t="shared" si="194"/>
        <v>100</v>
      </c>
      <c r="K1067" s="60">
        <f t="shared" si="194"/>
        <v>300</v>
      </c>
      <c r="L1067" s="60">
        <f t="shared" si="194"/>
        <v>1216.5</v>
      </c>
      <c r="M1067" s="62">
        <f t="shared" si="194"/>
        <v>600</v>
      </c>
      <c r="N1067" s="60">
        <f t="shared" si="194"/>
        <v>72.5</v>
      </c>
      <c r="O1067" s="61">
        <f t="shared" si="194"/>
        <v>240</v>
      </c>
      <c r="P1067" s="61">
        <f t="shared" si="194"/>
        <v>110</v>
      </c>
      <c r="Q1067" s="61">
        <f t="shared" si="194"/>
        <v>245</v>
      </c>
      <c r="R1067" s="61">
        <f t="shared" si="194"/>
        <v>100</v>
      </c>
      <c r="S1067" s="60">
        <f t="shared" si="194"/>
        <v>695</v>
      </c>
      <c r="T1067" s="60">
        <f t="shared" si="194"/>
        <v>33.333333333333336</v>
      </c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</row>
    <row r="1068" spans="1:30" ht="15" x14ac:dyDescent="0.2">
      <c r="A1068" s="11">
        <v>2025</v>
      </c>
      <c r="B1068" s="11">
        <f t="shared" si="180"/>
        <v>365</v>
      </c>
      <c r="C1068" s="60">
        <f t="shared" ref="C1068:T1068" si="195">AVERAGE(C144:C155)</f>
        <v>154.75825</v>
      </c>
      <c r="D1068" s="60">
        <f t="shared" si="195"/>
        <v>281.0162499999999</v>
      </c>
      <c r="E1068" s="60">
        <f t="shared" si="195"/>
        <v>109.1005</v>
      </c>
      <c r="F1068" s="60">
        <f t="shared" si="195"/>
        <v>57.041666666666664</v>
      </c>
      <c r="G1068" s="60">
        <f t="shared" si="195"/>
        <v>40</v>
      </c>
      <c r="H1068" s="60">
        <f t="shared" si="195"/>
        <v>174.58333333333334</v>
      </c>
      <c r="I1068" s="60">
        <f t="shared" si="195"/>
        <v>0</v>
      </c>
      <c r="J1068" s="60">
        <f t="shared" si="195"/>
        <v>100</v>
      </c>
      <c r="K1068" s="60">
        <f t="shared" si="195"/>
        <v>300</v>
      </c>
      <c r="L1068" s="60">
        <f t="shared" si="195"/>
        <v>1216.5</v>
      </c>
      <c r="M1068" s="62">
        <f t="shared" si="195"/>
        <v>600</v>
      </c>
      <c r="N1068" s="60">
        <f t="shared" si="195"/>
        <v>72.5</v>
      </c>
      <c r="O1068" s="61">
        <f t="shared" si="195"/>
        <v>240</v>
      </c>
      <c r="P1068" s="61">
        <f t="shared" si="195"/>
        <v>110</v>
      </c>
      <c r="Q1068" s="61">
        <f t="shared" si="195"/>
        <v>245</v>
      </c>
      <c r="R1068" s="61">
        <f t="shared" si="195"/>
        <v>100</v>
      </c>
      <c r="S1068" s="60">
        <f t="shared" si="195"/>
        <v>695</v>
      </c>
      <c r="T1068" s="60">
        <f t="shared" si="195"/>
        <v>33.333333333333336</v>
      </c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</row>
    <row r="1069" spans="1:30" ht="15" x14ac:dyDescent="0.2">
      <c r="A1069" s="11">
        <v>2026</v>
      </c>
      <c r="B1069" s="11">
        <f t="shared" si="180"/>
        <v>365</v>
      </c>
      <c r="C1069" s="60">
        <f t="shared" ref="C1069:T1069" si="196">AVERAGE(C156:C167)</f>
        <v>154.75825</v>
      </c>
      <c r="D1069" s="60">
        <f t="shared" si="196"/>
        <v>281.0162499999999</v>
      </c>
      <c r="E1069" s="60">
        <f t="shared" si="196"/>
        <v>109.1005</v>
      </c>
      <c r="F1069" s="60">
        <f t="shared" si="196"/>
        <v>57.041666666666664</v>
      </c>
      <c r="G1069" s="60">
        <f t="shared" si="196"/>
        <v>40</v>
      </c>
      <c r="H1069" s="60">
        <f t="shared" si="196"/>
        <v>174.58333333333334</v>
      </c>
      <c r="I1069" s="60">
        <f t="shared" si="196"/>
        <v>0</v>
      </c>
      <c r="J1069" s="60">
        <f t="shared" si="196"/>
        <v>100</v>
      </c>
      <c r="K1069" s="60">
        <f t="shared" si="196"/>
        <v>300</v>
      </c>
      <c r="L1069" s="60">
        <f t="shared" si="196"/>
        <v>1216.5</v>
      </c>
      <c r="M1069" s="62">
        <f t="shared" si="196"/>
        <v>600</v>
      </c>
      <c r="N1069" s="60">
        <f t="shared" si="196"/>
        <v>72.5</v>
      </c>
      <c r="O1069" s="61">
        <f t="shared" si="196"/>
        <v>240</v>
      </c>
      <c r="P1069" s="61">
        <f t="shared" si="196"/>
        <v>110</v>
      </c>
      <c r="Q1069" s="61">
        <f t="shared" si="196"/>
        <v>245</v>
      </c>
      <c r="R1069" s="61">
        <f t="shared" si="196"/>
        <v>100</v>
      </c>
      <c r="S1069" s="60">
        <f t="shared" si="196"/>
        <v>695</v>
      </c>
      <c r="T1069" s="60">
        <f t="shared" si="196"/>
        <v>33.333333333333336</v>
      </c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</row>
    <row r="1070" spans="1:30" ht="15" x14ac:dyDescent="0.2">
      <c r="A1070" s="11">
        <v>2027</v>
      </c>
      <c r="B1070" s="11">
        <f t="shared" si="180"/>
        <v>365</v>
      </c>
      <c r="C1070" s="60">
        <f t="shared" ref="C1070:T1070" si="197">AVERAGE(C168:C179)</f>
        <v>154.75825</v>
      </c>
      <c r="D1070" s="60">
        <f t="shared" si="197"/>
        <v>281.0162499999999</v>
      </c>
      <c r="E1070" s="60">
        <f t="shared" si="197"/>
        <v>109.1005</v>
      </c>
      <c r="F1070" s="60">
        <f t="shared" si="197"/>
        <v>57.041666666666664</v>
      </c>
      <c r="G1070" s="60">
        <f t="shared" si="197"/>
        <v>40</v>
      </c>
      <c r="H1070" s="60">
        <f t="shared" si="197"/>
        <v>174.58333333333334</v>
      </c>
      <c r="I1070" s="60">
        <f t="shared" si="197"/>
        <v>0</v>
      </c>
      <c r="J1070" s="60">
        <f t="shared" si="197"/>
        <v>100</v>
      </c>
      <c r="K1070" s="60">
        <f t="shared" si="197"/>
        <v>300</v>
      </c>
      <c r="L1070" s="60">
        <f t="shared" si="197"/>
        <v>1216.5</v>
      </c>
      <c r="M1070" s="62">
        <f t="shared" si="197"/>
        <v>600</v>
      </c>
      <c r="N1070" s="60">
        <f t="shared" si="197"/>
        <v>72.5</v>
      </c>
      <c r="O1070" s="61">
        <f t="shared" si="197"/>
        <v>240</v>
      </c>
      <c r="P1070" s="61">
        <f t="shared" si="197"/>
        <v>110</v>
      </c>
      <c r="Q1070" s="61">
        <f t="shared" si="197"/>
        <v>245</v>
      </c>
      <c r="R1070" s="61">
        <f t="shared" si="197"/>
        <v>100</v>
      </c>
      <c r="S1070" s="60">
        <f t="shared" si="197"/>
        <v>695</v>
      </c>
      <c r="T1070" s="60">
        <f t="shared" si="197"/>
        <v>33.333333333333336</v>
      </c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</row>
    <row r="1071" spans="1:30" ht="15" x14ac:dyDescent="0.2">
      <c r="A1071" s="11">
        <v>2028</v>
      </c>
      <c r="B1071" s="11">
        <f t="shared" si="180"/>
        <v>366</v>
      </c>
      <c r="C1071" s="60">
        <f t="shared" ref="C1071:T1071" si="198">AVERAGE(C180:C191)</f>
        <v>154.75825</v>
      </c>
      <c r="D1071" s="60">
        <f t="shared" si="198"/>
        <v>281.0162499999999</v>
      </c>
      <c r="E1071" s="60">
        <f t="shared" si="198"/>
        <v>109.1005</v>
      </c>
      <c r="F1071" s="60">
        <f t="shared" si="198"/>
        <v>57.041666666666664</v>
      </c>
      <c r="G1071" s="60">
        <f t="shared" si="198"/>
        <v>40</v>
      </c>
      <c r="H1071" s="60">
        <f t="shared" si="198"/>
        <v>174.58333333333334</v>
      </c>
      <c r="I1071" s="60">
        <f t="shared" si="198"/>
        <v>0</v>
      </c>
      <c r="J1071" s="60">
        <f t="shared" si="198"/>
        <v>100</v>
      </c>
      <c r="K1071" s="60">
        <f t="shared" si="198"/>
        <v>300</v>
      </c>
      <c r="L1071" s="60">
        <f t="shared" si="198"/>
        <v>1216.5</v>
      </c>
      <c r="M1071" s="62">
        <f t="shared" si="198"/>
        <v>600</v>
      </c>
      <c r="N1071" s="60">
        <f t="shared" si="198"/>
        <v>72.5</v>
      </c>
      <c r="O1071" s="61">
        <f t="shared" si="198"/>
        <v>240</v>
      </c>
      <c r="P1071" s="61">
        <f t="shared" si="198"/>
        <v>110</v>
      </c>
      <c r="Q1071" s="61">
        <f t="shared" si="198"/>
        <v>245</v>
      </c>
      <c r="R1071" s="61">
        <f t="shared" si="198"/>
        <v>100</v>
      </c>
      <c r="S1071" s="60">
        <f t="shared" si="198"/>
        <v>695</v>
      </c>
      <c r="T1071" s="60">
        <f t="shared" si="198"/>
        <v>33.333333333333336</v>
      </c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</row>
    <row r="1072" spans="1:30" ht="15" x14ac:dyDescent="0.2">
      <c r="A1072" s="11">
        <v>2029</v>
      </c>
      <c r="B1072" s="11">
        <f t="shared" si="180"/>
        <v>365</v>
      </c>
      <c r="C1072" s="60">
        <f t="shared" ref="C1072:T1072" si="199">AVERAGE(C192:C203)</f>
        <v>154.75825</v>
      </c>
      <c r="D1072" s="60">
        <f t="shared" si="199"/>
        <v>281.0162499999999</v>
      </c>
      <c r="E1072" s="60">
        <f t="shared" si="199"/>
        <v>109.1005</v>
      </c>
      <c r="F1072" s="60">
        <f t="shared" si="199"/>
        <v>57.041666666666664</v>
      </c>
      <c r="G1072" s="60">
        <f t="shared" si="199"/>
        <v>40</v>
      </c>
      <c r="H1072" s="60">
        <f t="shared" si="199"/>
        <v>174.58333333333334</v>
      </c>
      <c r="I1072" s="60">
        <f t="shared" si="199"/>
        <v>0</v>
      </c>
      <c r="J1072" s="60">
        <f t="shared" si="199"/>
        <v>100</v>
      </c>
      <c r="K1072" s="60">
        <f t="shared" si="199"/>
        <v>300</v>
      </c>
      <c r="L1072" s="60">
        <f t="shared" si="199"/>
        <v>1216.5</v>
      </c>
      <c r="M1072" s="62">
        <f t="shared" si="199"/>
        <v>600</v>
      </c>
      <c r="N1072" s="60">
        <f t="shared" si="199"/>
        <v>72.5</v>
      </c>
      <c r="O1072" s="61">
        <f t="shared" si="199"/>
        <v>240</v>
      </c>
      <c r="P1072" s="61">
        <f t="shared" si="199"/>
        <v>110</v>
      </c>
      <c r="Q1072" s="61">
        <f t="shared" si="199"/>
        <v>245</v>
      </c>
      <c r="R1072" s="61">
        <f t="shared" si="199"/>
        <v>100</v>
      </c>
      <c r="S1072" s="60">
        <f t="shared" si="199"/>
        <v>695</v>
      </c>
      <c r="T1072" s="60">
        <f t="shared" si="199"/>
        <v>33.333333333333336</v>
      </c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</row>
    <row r="1073" spans="1:30" ht="15" x14ac:dyDescent="0.2">
      <c r="A1073" s="11">
        <v>2030</v>
      </c>
      <c r="B1073" s="11">
        <f t="shared" si="180"/>
        <v>365</v>
      </c>
      <c r="C1073" s="60">
        <f t="shared" ref="C1073:T1073" si="200">AVERAGE(C204:C215)</f>
        <v>154.75825</v>
      </c>
      <c r="D1073" s="60">
        <f t="shared" si="200"/>
        <v>281.0162499999999</v>
      </c>
      <c r="E1073" s="60">
        <f t="shared" si="200"/>
        <v>109.1005</v>
      </c>
      <c r="F1073" s="60">
        <f t="shared" si="200"/>
        <v>57.041666666666664</v>
      </c>
      <c r="G1073" s="60">
        <f t="shared" si="200"/>
        <v>40</v>
      </c>
      <c r="H1073" s="60">
        <f t="shared" si="200"/>
        <v>174.58333333333334</v>
      </c>
      <c r="I1073" s="60">
        <f t="shared" si="200"/>
        <v>0</v>
      </c>
      <c r="J1073" s="60">
        <f t="shared" si="200"/>
        <v>100</v>
      </c>
      <c r="K1073" s="60">
        <f t="shared" si="200"/>
        <v>300</v>
      </c>
      <c r="L1073" s="60">
        <f t="shared" si="200"/>
        <v>1216.5</v>
      </c>
      <c r="M1073" s="62">
        <f t="shared" si="200"/>
        <v>600</v>
      </c>
      <c r="N1073" s="60">
        <f t="shared" si="200"/>
        <v>72.5</v>
      </c>
      <c r="O1073" s="61">
        <f t="shared" si="200"/>
        <v>240</v>
      </c>
      <c r="P1073" s="61">
        <f t="shared" si="200"/>
        <v>110</v>
      </c>
      <c r="Q1073" s="61">
        <f t="shared" si="200"/>
        <v>245</v>
      </c>
      <c r="R1073" s="61">
        <f t="shared" si="200"/>
        <v>100</v>
      </c>
      <c r="S1073" s="60">
        <f t="shared" si="200"/>
        <v>695</v>
      </c>
      <c r="T1073" s="60">
        <f t="shared" si="200"/>
        <v>33.333333333333336</v>
      </c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</row>
    <row r="1074" spans="1:30" ht="15" x14ac:dyDescent="0.2">
      <c r="A1074" s="11">
        <v>2031</v>
      </c>
      <c r="B1074" s="11">
        <f t="shared" si="180"/>
        <v>365</v>
      </c>
      <c r="C1074" s="60">
        <f t="shared" ref="C1074:T1074" si="201">AVERAGE(C216:C227)</f>
        <v>154.75825</v>
      </c>
      <c r="D1074" s="60">
        <f t="shared" si="201"/>
        <v>281.0162499999999</v>
      </c>
      <c r="E1074" s="60">
        <f t="shared" si="201"/>
        <v>109.1005</v>
      </c>
      <c r="F1074" s="60">
        <f t="shared" si="201"/>
        <v>57.041666666666664</v>
      </c>
      <c r="G1074" s="60">
        <f t="shared" si="201"/>
        <v>40</v>
      </c>
      <c r="H1074" s="60">
        <f t="shared" si="201"/>
        <v>174.58333333333334</v>
      </c>
      <c r="I1074" s="60">
        <f t="shared" si="201"/>
        <v>0</v>
      </c>
      <c r="J1074" s="60">
        <f t="shared" si="201"/>
        <v>100</v>
      </c>
      <c r="K1074" s="60">
        <f t="shared" si="201"/>
        <v>300</v>
      </c>
      <c r="L1074" s="60">
        <f t="shared" si="201"/>
        <v>1216.5</v>
      </c>
      <c r="M1074" s="62">
        <f t="shared" si="201"/>
        <v>600</v>
      </c>
      <c r="N1074" s="60">
        <f t="shared" si="201"/>
        <v>72.5</v>
      </c>
      <c r="O1074" s="61">
        <f t="shared" si="201"/>
        <v>240</v>
      </c>
      <c r="P1074" s="61">
        <f t="shared" si="201"/>
        <v>110</v>
      </c>
      <c r="Q1074" s="61">
        <f t="shared" si="201"/>
        <v>245</v>
      </c>
      <c r="R1074" s="61">
        <f t="shared" si="201"/>
        <v>100</v>
      </c>
      <c r="S1074" s="60">
        <f t="shared" si="201"/>
        <v>695</v>
      </c>
      <c r="T1074" s="60">
        <f t="shared" si="201"/>
        <v>33.333333333333336</v>
      </c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</row>
    <row r="1075" spans="1:30" ht="15" x14ac:dyDescent="0.2">
      <c r="A1075" s="11">
        <v>2032</v>
      </c>
      <c r="B1075" s="11">
        <f t="shared" si="180"/>
        <v>366</v>
      </c>
      <c r="C1075" s="60">
        <f t="shared" ref="C1075:T1075" si="202">AVERAGE(C228:C239)</f>
        <v>154.75825</v>
      </c>
      <c r="D1075" s="60">
        <f t="shared" si="202"/>
        <v>281.0162499999999</v>
      </c>
      <c r="E1075" s="60">
        <f t="shared" si="202"/>
        <v>109.1005</v>
      </c>
      <c r="F1075" s="60">
        <f t="shared" si="202"/>
        <v>57.041666666666664</v>
      </c>
      <c r="G1075" s="60">
        <f t="shared" si="202"/>
        <v>40</v>
      </c>
      <c r="H1075" s="60">
        <f t="shared" si="202"/>
        <v>174.58333333333334</v>
      </c>
      <c r="I1075" s="60">
        <f t="shared" si="202"/>
        <v>0</v>
      </c>
      <c r="J1075" s="60">
        <f t="shared" si="202"/>
        <v>100</v>
      </c>
      <c r="K1075" s="60">
        <f t="shared" si="202"/>
        <v>300</v>
      </c>
      <c r="L1075" s="60">
        <f t="shared" si="202"/>
        <v>1216.5</v>
      </c>
      <c r="M1075" s="62">
        <f t="shared" si="202"/>
        <v>600</v>
      </c>
      <c r="N1075" s="60">
        <f t="shared" si="202"/>
        <v>72.5</v>
      </c>
      <c r="O1075" s="61">
        <f t="shared" si="202"/>
        <v>240</v>
      </c>
      <c r="P1075" s="61">
        <f t="shared" si="202"/>
        <v>110</v>
      </c>
      <c r="Q1075" s="61">
        <f t="shared" si="202"/>
        <v>245</v>
      </c>
      <c r="R1075" s="61">
        <f t="shared" si="202"/>
        <v>100</v>
      </c>
      <c r="S1075" s="60">
        <f t="shared" si="202"/>
        <v>695</v>
      </c>
      <c r="T1075" s="60">
        <f t="shared" si="202"/>
        <v>33.333333333333336</v>
      </c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</row>
    <row r="1076" spans="1:30" ht="15" x14ac:dyDescent="0.2">
      <c r="A1076" s="11">
        <v>2033</v>
      </c>
      <c r="B1076" s="11">
        <f t="shared" si="180"/>
        <v>365</v>
      </c>
      <c r="C1076" s="60">
        <f t="shared" ref="C1076:T1076" si="203">AVERAGE(C240:C251)</f>
        <v>154.75825</v>
      </c>
      <c r="D1076" s="60">
        <f t="shared" si="203"/>
        <v>281.0162499999999</v>
      </c>
      <c r="E1076" s="60">
        <f t="shared" si="203"/>
        <v>109.1005</v>
      </c>
      <c r="F1076" s="60">
        <f t="shared" si="203"/>
        <v>57.041666666666664</v>
      </c>
      <c r="G1076" s="60">
        <f t="shared" si="203"/>
        <v>40</v>
      </c>
      <c r="H1076" s="60">
        <f t="shared" si="203"/>
        <v>174.58333333333334</v>
      </c>
      <c r="I1076" s="60">
        <f t="shared" si="203"/>
        <v>0</v>
      </c>
      <c r="J1076" s="60">
        <f t="shared" si="203"/>
        <v>100</v>
      </c>
      <c r="K1076" s="60">
        <f t="shared" si="203"/>
        <v>300</v>
      </c>
      <c r="L1076" s="60">
        <f t="shared" si="203"/>
        <v>1216.5</v>
      </c>
      <c r="M1076" s="62">
        <f t="shared" si="203"/>
        <v>600</v>
      </c>
      <c r="N1076" s="60">
        <f t="shared" si="203"/>
        <v>72.5</v>
      </c>
      <c r="O1076" s="61">
        <f t="shared" si="203"/>
        <v>240</v>
      </c>
      <c r="P1076" s="61">
        <f t="shared" si="203"/>
        <v>110</v>
      </c>
      <c r="Q1076" s="61">
        <f t="shared" si="203"/>
        <v>245</v>
      </c>
      <c r="R1076" s="61">
        <f t="shared" si="203"/>
        <v>100</v>
      </c>
      <c r="S1076" s="60">
        <f t="shared" si="203"/>
        <v>695</v>
      </c>
      <c r="T1076" s="60">
        <f t="shared" si="203"/>
        <v>33.333333333333336</v>
      </c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</row>
    <row r="1077" spans="1:30" ht="15" x14ac:dyDescent="0.2">
      <c r="A1077" s="11">
        <v>2034</v>
      </c>
      <c r="B1077" s="11">
        <f t="shared" si="180"/>
        <v>365</v>
      </c>
      <c r="C1077" s="60">
        <f t="shared" ref="C1077:T1077" si="204">AVERAGE(C252:C263)</f>
        <v>154.75825</v>
      </c>
      <c r="D1077" s="60">
        <f t="shared" si="204"/>
        <v>281.0162499999999</v>
      </c>
      <c r="E1077" s="60">
        <f t="shared" si="204"/>
        <v>109.1005</v>
      </c>
      <c r="F1077" s="60">
        <f t="shared" si="204"/>
        <v>57.041666666666664</v>
      </c>
      <c r="G1077" s="60">
        <f t="shared" si="204"/>
        <v>40</v>
      </c>
      <c r="H1077" s="60">
        <f t="shared" si="204"/>
        <v>174.58333333333334</v>
      </c>
      <c r="I1077" s="60">
        <f t="shared" si="204"/>
        <v>0</v>
      </c>
      <c r="J1077" s="60">
        <f t="shared" si="204"/>
        <v>100</v>
      </c>
      <c r="K1077" s="60">
        <f t="shared" si="204"/>
        <v>300</v>
      </c>
      <c r="L1077" s="60">
        <f t="shared" si="204"/>
        <v>1216.5</v>
      </c>
      <c r="M1077" s="62">
        <f t="shared" si="204"/>
        <v>600</v>
      </c>
      <c r="N1077" s="60">
        <f t="shared" si="204"/>
        <v>72.5</v>
      </c>
      <c r="O1077" s="61">
        <f t="shared" si="204"/>
        <v>240</v>
      </c>
      <c r="P1077" s="61">
        <f t="shared" si="204"/>
        <v>110</v>
      </c>
      <c r="Q1077" s="61">
        <f t="shared" si="204"/>
        <v>245</v>
      </c>
      <c r="R1077" s="61">
        <f t="shared" si="204"/>
        <v>100</v>
      </c>
      <c r="S1077" s="60">
        <f t="shared" si="204"/>
        <v>695</v>
      </c>
      <c r="T1077" s="60">
        <f t="shared" si="204"/>
        <v>33.333333333333336</v>
      </c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</row>
    <row r="1078" spans="1:30" ht="15" x14ac:dyDescent="0.2">
      <c r="A1078" s="11">
        <v>2035</v>
      </c>
      <c r="B1078" s="11">
        <f t="shared" si="180"/>
        <v>365</v>
      </c>
      <c r="C1078" s="60">
        <f t="shared" ref="C1078:T1078" si="205">AVERAGE(C264:C275)</f>
        <v>154.75825</v>
      </c>
      <c r="D1078" s="60">
        <f t="shared" si="205"/>
        <v>281.0162499999999</v>
      </c>
      <c r="E1078" s="60">
        <f t="shared" si="205"/>
        <v>109.1005</v>
      </c>
      <c r="F1078" s="60">
        <f t="shared" si="205"/>
        <v>57.041666666666664</v>
      </c>
      <c r="G1078" s="60">
        <f t="shared" si="205"/>
        <v>40</v>
      </c>
      <c r="H1078" s="60">
        <f t="shared" si="205"/>
        <v>174.58333333333334</v>
      </c>
      <c r="I1078" s="60">
        <f t="shared" si="205"/>
        <v>0</v>
      </c>
      <c r="J1078" s="60">
        <f t="shared" si="205"/>
        <v>100</v>
      </c>
      <c r="K1078" s="60">
        <f t="shared" si="205"/>
        <v>300</v>
      </c>
      <c r="L1078" s="60">
        <f t="shared" si="205"/>
        <v>1216.5</v>
      </c>
      <c r="M1078" s="62">
        <f t="shared" si="205"/>
        <v>600</v>
      </c>
      <c r="N1078" s="60">
        <f t="shared" si="205"/>
        <v>72.5</v>
      </c>
      <c r="O1078" s="61">
        <f t="shared" si="205"/>
        <v>240</v>
      </c>
      <c r="P1078" s="61">
        <f t="shared" si="205"/>
        <v>110</v>
      </c>
      <c r="Q1078" s="61">
        <f t="shared" si="205"/>
        <v>245</v>
      </c>
      <c r="R1078" s="61">
        <f t="shared" si="205"/>
        <v>100</v>
      </c>
      <c r="S1078" s="60">
        <f t="shared" si="205"/>
        <v>695</v>
      </c>
      <c r="T1078" s="60">
        <f t="shared" si="205"/>
        <v>33.333333333333336</v>
      </c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</row>
    <row r="1079" spans="1:30" ht="15" x14ac:dyDescent="0.2">
      <c r="A1079" s="11">
        <v>2036</v>
      </c>
      <c r="B1079" s="11">
        <f t="shared" si="180"/>
        <v>366</v>
      </c>
      <c r="C1079" s="60">
        <f t="shared" ref="C1079:T1079" si="206">AVERAGE(C276:C287)</f>
        <v>154.75825</v>
      </c>
      <c r="D1079" s="60">
        <f t="shared" si="206"/>
        <v>281.0162499999999</v>
      </c>
      <c r="E1079" s="60">
        <f t="shared" si="206"/>
        <v>109.1005</v>
      </c>
      <c r="F1079" s="60">
        <f t="shared" si="206"/>
        <v>57.041666666666664</v>
      </c>
      <c r="G1079" s="60">
        <f t="shared" si="206"/>
        <v>40</v>
      </c>
      <c r="H1079" s="60">
        <f t="shared" si="206"/>
        <v>174.58333333333334</v>
      </c>
      <c r="I1079" s="60">
        <f t="shared" si="206"/>
        <v>0</v>
      </c>
      <c r="J1079" s="60">
        <f t="shared" si="206"/>
        <v>100</v>
      </c>
      <c r="K1079" s="60">
        <f t="shared" si="206"/>
        <v>300</v>
      </c>
      <c r="L1079" s="60">
        <f t="shared" si="206"/>
        <v>1216.5</v>
      </c>
      <c r="M1079" s="62">
        <f t="shared" si="206"/>
        <v>600</v>
      </c>
      <c r="N1079" s="60">
        <f t="shared" si="206"/>
        <v>72.5</v>
      </c>
      <c r="O1079" s="61">
        <f t="shared" si="206"/>
        <v>240</v>
      </c>
      <c r="P1079" s="61">
        <f t="shared" si="206"/>
        <v>110</v>
      </c>
      <c r="Q1079" s="61">
        <f t="shared" si="206"/>
        <v>245</v>
      </c>
      <c r="R1079" s="61">
        <f t="shared" si="206"/>
        <v>100</v>
      </c>
      <c r="S1079" s="60">
        <f t="shared" si="206"/>
        <v>695</v>
      </c>
      <c r="T1079" s="60">
        <f t="shared" si="206"/>
        <v>33.333333333333336</v>
      </c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</row>
    <row r="1080" spans="1:30" ht="15" x14ac:dyDescent="0.2">
      <c r="A1080" s="11">
        <v>2037</v>
      </c>
      <c r="B1080" s="11">
        <f t="shared" si="180"/>
        <v>365</v>
      </c>
      <c r="C1080" s="60">
        <f t="shared" ref="C1080:T1080" si="207">AVERAGE(C288:C299)</f>
        <v>154.75825</v>
      </c>
      <c r="D1080" s="60">
        <f t="shared" si="207"/>
        <v>281.0162499999999</v>
      </c>
      <c r="E1080" s="60">
        <f t="shared" si="207"/>
        <v>109.1005</v>
      </c>
      <c r="F1080" s="60">
        <f t="shared" si="207"/>
        <v>57.041666666666664</v>
      </c>
      <c r="G1080" s="60">
        <f t="shared" si="207"/>
        <v>40</v>
      </c>
      <c r="H1080" s="60">
        <f t="shared" si="207"/>
        <v>174.58333333333334</v>
      </c>
      <c r="I1080" s="60">
        <f t="shared" si="207"/>
        <v>0</v>
      </c>
      <c r="J1080" s="60">
        <f t="shared" si="207"/>
        <v>100</v>
      </c>
      <c r="K1080" s="60">
        <f t="shared" si="207"/>
        <v>300</v>
      </c>
      <c r="L1080" s="60">
        <f t="shared" si="207"/>
        <v>1216.5</v>
      </c>
      <c r="M1080" s="62">
        <f t="shared" si="207"/>
        <v>600</v>
      </c>
      <c r="N1080" s="60">
        <f t="shared" si="207"/>
        <v>72.5</v>
      </c>
      <c r="O1080" s="61">
        <f t="shared" si="207"/>
        <v>240</v>
      </c>
      <c r="P1080" s="61">
        <f t="shared" si="207"/>
        <v>110</v>
      </c>
      <c r="Q1080" s="61">
        <f t="shared" si="207"/>
        <v>245</v>
      </c>
      <c r="R1080" s="61">
        <f t="shared" si="207"/>
        <v>100</v>
      </c>
      <c r="S1080" s="60">
        <f t="shared" si="207"/>
        <v>695</v>
      </c>
      <c r="T1080" s="60">
        <f t="shared" si="207"/>
        <v>33.333333333333336</v>
      </c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</row>
    <row r="1081" spans="1:30" ht="15" x14ac:dyDescent="0.2">
      <c r="A1081" s="11">
        <f t="shared" ref="A1081:A1112" si="208">A1080+1</f>
        <v>2038</v>
      </c>
      <c r="B1081" s="11">
        <f t="shared" si="180"/>
        <v>365</v>
      </c>
      <c r="C1081" s="56">
        <f t="shared" ref="C1081:T1081" si="209">AVERAGE(C300:C311)</f>
        <v>154.75825</v>
      </c>
      <c r="D1081" s="56">
        <f t="shared" si="209"/>
        <v>281.0162499999999</v>
      </c>
      <c r="E1081" s="56">
        <f t="shared" si="209"/>
        <v>109.1005</v>
      </c>
      <c r="F1081" s="56">
        <f t="shared" si="209"/>
        <v>57.041666666666664</v>
      </c>
      <c r="G1081" s="56">
        <f t="shared" si="209"/>
        <v>40</v>
      </c>
      <c r="H1081" s="56">
        <f t="shared" si="209"/>
        <v>174.58333333333334</v>
      </c>
      <c r="I1081" s="56">
        <f t="shared" si="209"/>
        <v>0</v>
      </c>
      <c r="J1081" s="56">
        <f t="shared" si="209"/>
        <v>100</v>
      </c>
      <c r="K1081" s="56">
        <f t="shared" si="209"/>
        <v>300</v>
      </c>
      <c r="L1081" s="56">
        <f t="shared" si="209"/>
        <v>1216.5</v>
      </c>
      <c r="M1081" s="58">
        <f t="shared" si="209"/>
        <v>600</v>
      </c>
      <c r="N1081" s="56">
        <f t="shared" si="209"/>
        <v>72.5</v>
      </c>
      <c r="O1081" s="59">
        <f t="shared" si="209"/>
        <v>240</v>
      </c>
      <c r="P1081" s="59">
        <f t="shared" si="209"/>
        <v>110</v>
      </c>
      <c r="Q1081" s="59">
        <f t="shared" si="209"/>
        <v>245</v>
      </c>
      <c r="R1081" s="59">
        <f t="shared" si="209"/>
        <v>100</v>
      </c>
      <c r="S1081" s="56">
        <f t="shared" si="209"/>
        <v>695</v>
      </c>
      <c r="T1081" s="56">
        <f t="shared" si="209"/>
        <v>33.333333333333336</v>
      </c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</row>
    <row r="1082" spans="1:30" ht="15" x14ac:dyDescent="0.2">
      <c r="A1082" s="11">
        <f t="shared" si="208"/>
        <v>2039</v>
      </c>
      <c r="B1082" s="11">
        <f t="shared" si="180"/>
        <v>365</v>
      </c>
      <c r="C1082" s="56">
        <f t="shared" ref="C1082:T1082" si="210">AVERAGE(C312:C323)</f>
        <v>154.75825</v>
      </c>
      <c r="D1082" s="56">
        <f t="shared" si="210"/>
        <v>281.0162499999999</v>
      </c>
      <c r="E1082" s="56">
        <f t="shared" si="210"/>
        <v>109.1005</v>
      </c>
      <c r="F1082" s="56">
        <f t="shared" si="210"/>
        <v>57.041666666666664</v>
      </c>
      <c r="G1082" s="56">
        <f t="shared" si="210"/>
        <v>40</v>
      </c>
      <c r="H1082" s="56">
        <f t="shared" si="210"/>
        <v>174.58333333333334</v>
      </c>
      <c r="I1082" s="56">
        <f t="shared" si="210"/>
        <v>0</v>
      </c>
      <c r="J1082" s="56">
        <f t="shared" si="210"/>
        <v>100</v>
      </c>
      <c r="K1082" s="56">
        <f t="shared" si="210"/>
        <v>300</v>
      </c>
      <c r="L1082" s="56">
        <f t="shared" si="210"/>
        <v>1216.5</v>
      </c>
      <c r="M1082" s="58">
        <f t="shared" si="210"/>
        <v>600</v>
      </c>
      <c r="N1082" s="56">
        <f t="shared" si="210"/>
        <v>72.5</v>
      </c>
      <c r="O1082" s="59">
        <f t="shared" si="210"/>
        <v>240</v>
      </c>
      <c r="P1082" s="59">
        <f t="shared" si="210"/>
        <v>110</v>
      </c>
      <c r="Q1082" s="59">
        <f t="shared" si="210"/>
        <v>245</v>
      </c>
      <c r="R1082" s="59">
        <f t="shared" si="210"/>
        <v>100</v>
      </c>
      <c r="S1082" s="56">
        <f t="shared" si="210"/>
        <v>695</v>
      </c>
      <c r="T1082" s="56">
        <f t="shared" si="210"/>
        <v>33.333333333333336</v>
      </c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</row>
    <row r="1083" spans="1:30" ht="15" x14ac:dyDescent="0.2">
      <c r="A1083" s="11">
        <f t="shared" si="208"/>
        <v>2040</v>
      </c>
      <c r="B1083" s="11">
        <f t="shared" si="180"/>
        <v>366</v>
      </c>
      <c r="C1083" s="56">
        <f t="shared" ref="C1083:T1083" si="211">AVERAGE(C324:C335)</f>
        <v>154.75825</v>
      </c>
      <c r="D1083" s="56">
        <f t="shared" si="211"/>
        <v>281.0162499999999</v>
      </c>
      <c r="E1083" s="56">
        <f t="shared" si="211"/>
        <v>109.1005</v>
      </c>
      <c r="F1083" s="56">
        <f t="shared" si="211"/>
        <v>57.041666666666664</v>
      </c>
      <c r="G1083" s="56">
        <f t="shared" si="211"/>
        <v>40</v>
      </c>
      <c r="H1083" s="56">
        <f t="shared" si="211"/>
        <v>174.58333333333334</v>
      </c>
      <c r="I1083" s="56">
        <f t="shared" si="211"/>
        <v>0</v>
      </c>
      <c r="J1083" s="56">
        <f t="shared" si="211"/>
        <v>100</v>
      </c>
      <c r="K1083" s="56">
        <f t="shared" si="211"/>
        <v>300</v>
      </c>
      <c r="L1083" s="56">
        <f t="shared" si="211"/>
        <v>1216.5</v>
      </c>
      <c r="M1083" s="58">
        <f t="shared" si="211"/>
        <v>600</v>
      </c>
      <c r="N1083" s="56">
        <f t="shared" si="211"/>
        <v>72.5</v>
      </c>
      <c r="O1083" s="59">
        <f t="shared" si="211"/>
        <v>240</v>
      </c>
      <c r="P1083" s="59">
        <f t="shared" si="211"/>
        <v>110</v>
      </c>
      <c r="Q1083" s="59">
        <f t="shared" si="211"/>
        <v>245</v>
      </c>
      <c r="R1083" s="59">
        <f t="shared" si="211"/>
        <v>100</v>
      </c>
      <c r="S1083" s="56">
        <f t="shared" si="211"/>
        <v>695</v>
      </c>
      <c r="T1083" s="56">
        <f t="shared" si="211"/>
        <v>33.333333333333336</v>
      </c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</row>
    <row r="1084" spans="1:30" ht="15" x14ac:dyDescent="0.2">
      <c r="A1084" s="11">
        <f t="shared" si="208"/>
        <v>2041</v>
      </c>
      <c r="B1084" s="11">
        <f t="shared" si="180"/>
        <v>365</v>
      </c>
      <c r="C1084" s="56">
        <f t="shared" ref="C1084:T1084" si="212">AVERAGE(C336:C347)</f>
        <v>154.75825</v>
      </c>
      <c r="D1084" s="56">
        <f t="shared" si="212"/>
        <v>281.0162499999999</v>
      </c>
      <c r="E1084" s="56">
        <f t="shared" si="212"/>
        <v>109.1005</v>
      </c>
      <c r="F1084" s="56">
        <f t="shared" si="212"/>
        <v>57.041666666666664</v>
      </c>
      <c r="G1084" s="56">
        <f t="shared" si="212"/>
        <v>40</v>
      </c>
      <c r="H1084" s="56">
        <f t="shared" si="212"/>
        <v>174.58333333333334</v>
      </c>
      <c r="I1084" s="56">
        <f t="shared" si="212"/>
        <v>0</v>
      </c>
      <c r="J1084" s="56">
        <f t="shared" si="212"/>
        <v>100</v>
      </c>
      <c r="K1084" s="56">
        <f t="shared" si="212"/>
        <v>300</v>
      </c>
      <c r="L1084" s="56">
        <f t="shared" si="212"/>
        <v>1216.5</v>
      </c>
      <c r="M1084" s="58">
        <f t="shared" si="212"/>
        <v>600</v>
      </c>
      <c r="N1084" s="56">
        <f t="shared" si="212"/>
        <v>72.5</v>
      </c>
      <c r="O1084" s="59">
        <f t="shared" si="212"/>
        <v>240</v>
      </c>
      <c r="P1084" s="59">
        <f t="shared" si="212"/>
        <v>110</v>
      </c>
      <c r="Q1084" s="59">
        <f t="shared" si="212"/>
        <v>245</v>
      </c>
      <c r="R1084" s="59">
        <f t="shared" si="212"/>
        <v>100</v>
      </c>
      <c r="S1084" s="56">
        <f t="shared" si="212"/>
        <v>695</v>
      </c>
      <c r="T1084" s="56">
        <f t="shared" si="212"/>
        <v>33.333333333333336</v>
      </c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</row>
    <row r="1085" spans="1:30" ht="15" x14ac:dyDescent="0.2">
      <c r="A1085" s="11">
        <f t="shared" si="208"/>
        <v>2042</v>
      </c>
      <c r="B1085" s="11">
        <f t="shared" si="180"/>
        <v>365</v>
      </c>
      <c r="C1085" s="56">
        <f t="shared" ref="C1085:T1085" si="213">AVERAGE(C348:C359)</f>
        <v>154.75825</v>
      </c>
      <c r="D1085" s="56">
        <f t="shared" si="213"/>
        <v>281.0162499999999</v>
      </c>
      <c r="E1085" s="56">
        <f t="shared" si="213"/>
        <v>109.1005</v>
      </c>
      <c r="F1085" s="56">
        <f t="shared" si="213"/>
        <v>57.041666666666664</v>
      </c>
      <c r="G1085" s="56">
        <f t="shared" si="213"/>
        <v>40</v>
      </c>
      <c r="H1085" s="56">
        <f t="shared" si="213"/>
        <v>174.58333333333334</v>
      </c>
      <c r="I1085" s="56">
        <f t="shared" si="213"/>
        <v>0</v>
      </c>
      <c r="J1085" s="56">
        <f t="shared" si="213"/>
        <v>100</v>
      </c>
      <c r="K1085" s="56">
        <f t="shared" si="213"/>
        <v>300</v>
      </c>
      <c r="L1085" s="56">
        <f t="shared" si="213"/>
        <v>1216.5</v>
      </c>
      <c r="M1085" s="58">
        <f t="shared" si="213"/>
        <v>600</v>
      </c>
      <c r="N1085" s="56">
        <f t="shared" si="213"/>
        <v>72.5</v>
      </c>
      <c r="O1085" s="59">
        <f t="shared" si="213"/>
        <v>240</v>
      </c>
      <c r="P1085" s="59">
        <f t="shared" si="213"/>
        <v>110</v>
      </c>
      <c r="Q1085" s="59">
        <f t="shared" si="213"/>
        <v>245</v>
      </c>
      <c r="R1085" s="59">
        <f t="shared" si="213"/>
        <v>100</v>
      </c>
      <c r="S1085" s="56">
        <f t="shared" si="213"/>
        <v>695</v>
      </c>
      <c r="T1085" s="56">
        <f t="shared" si="213"/>
        <v>33.333333333333336</v>
      </c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</row>
    <row r="1086" spans="1:30" ht="15" x14ac:dyDescent="0.2">
      <c r="A1086" s="11">
        <f t="shared" si="208"/>
        <v>2043</v>
      </c>
      <c r="B1086" s="11">
        <f t="shared" si="180"/>
        <v>365</v>
      </c>
      <c r="C1086" s="56">
        <f t="shared" ref="C1086:T1086" si="214">AVERAGE(C360:C371)</f>
        <v>154.75825</v>
      </c>
      <c r="D1086" s="56">
        <f t="shared" si="214"/>
        <v>281.0162499999999</v>
      </c>
      <c r="E1086" s="56">
        <f t="shared" si="214"/>
        <v>109.1005</v>
      </c>
      <c r="F1086" s="56">
        <f t="shared" si="214"/>
        <v>57.041666666666664</v>
      </c>
      <c r="G1086" s="56">
        <f t="shared" si="214"/>
        <v>40</v>
      </c>
      <c r="H1086" s="56">
        <f t="shared" si="214"/>
        <v>174.58333333333334</v>
      </c>
      <c r="I1086" s="56">
        <f t="shared" si="214"/>
        <v>0</v>
      </c>
      <c r="J1086" s="56">
        <f t="shared" si="214"/>
        <v>100</v>
      </c>
      <c r="K1086" s="56">
        <f t="shared" si="214"/>
        <v>300</v>
      </c>
      <c r="L1086" s="56">
        <f t="shared" si="214"/>
        <v>1216.5</v>
      </c>
      <c r="M1086" s="58">
        <f t="shared" si="214"/>
        <v>600</v>
      </c>
      <c r="N1086" s="56">
        <f t="shared" si="214"/>
        <v>72.5</v>
      </c>
      <c r="O1086" s="59">
        <f t="shared" si="214"/>
        <v>240</v>
      </c>
      <c r="P1086" s="59">
        <f t="shared" si="214"/>
        <v>110</v>
      </c>
      <c r="Q1086" s="59">
        <f t="shared" si="214"/>
        <v>245</v>
      </c>
      <c r="R1086" s="59">
        <f t="shared" si="214"/>
        <v>100</v>
      </c>
      <c r="S1086" s="56">
        <f t="shared" si="214"/>
        <v>695</v>
      </c>
      <c r="T1086" s="56">
        <f t="shared" si="214"/>
        <v>33.333333333333336</v>
      </c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</row>
    <row r="1087" spans="1:30" ht="15" x14ac:dyDescent="0.2">
      <c r="A1087" s="11">
        <f t="shared" si="208"/>
        <v>2044</v>
      </c>
      <c r="B1087" s="11">
        <f t="shared" si="180"/>
        <v>366</v>
      </c>
      <c r="C1087" s="56">
        <f t="shared" ref="C1087:T1087" si="215">AVERAGE(C372:C383)</f>
        <v>154.75825</v>
      </c>
      <c r="D1087" s="56">
        <f t="shared" si="215"/>
        <v>281.0162499999999</v>
      </c>
      <c r="E1087" s="56">
        <f t="shared" si="215"/>
        <v>109.1005</v>
      </c>
      <c r="F1087" s="56">
        <f t="shared" si="215"/>
        <v>57.041666666666664</v>
      </c>
      <c r="G1087" s="56">
        <f t="shared" si="215"/>
        <v>40</v>
      </c>
      <c r="H1087" s="56">
        <f t="shared" si="215"/>
        <v>174.58333333333334</v>
      </c>
      <c r="I1087" s="56">
        <f t="shared" si="215"/>
        <v>0</v>
      </c>
      <c r="J1087" s="56">
        <f t="shared" si="215"/>
        <v>100</v>
      </c>
      <c r="K1087" s="56">
        <f t="shared" si="215"/>
        <v>300</v>
      </c>
      <c r="L1087" s="56">
        <f t="shared" si="215"/>
        <v>1216.5</v>
      </c>
      <c r="M1087" s="58">
        <f t="shared" si="215"/>
        <v>600</v>
      </c>
      <c r="N1087" s="56">
        <f t="shared" si="215"/>
        <v>72.5</v>
      </c>
      <c r="O1087" s="59">
        <f t="shared" si="215"/>
        <v>240</v>
      </c>
      <c r="P1087" s="59">
        <f t="shared" si="215"/>
        <v>110</v>
      </c>
      <c r="Q1087" s="59">
        <f t="shared" si="215"/>
        <v>245</v>
      </c>
      <c r="R1087" s="59">
        <f t="shared" si="215"/>
        <v>100</v>
      </c>
      <c r="S1087" s="56">
        <f t="shared" si="215"/>
        <v>695</v>
      </c>
      <c r="T1087" s="56">
        <f t="shared" si="215"/>
        <v>33.333333333333336</v>
      </c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</row>
    <row r="1088" spans="1:30" ht="15" x14ac:dyDescent="0.2">
      <c r="A1088" s="11">
        <f t="shared" si="208"/>
        <v>2045</v>
      </c>
      <c r="B1088" s="11">
        <f t="shared" si="180"/>
        <v>365</v>
      </c>
      <c r="C1088" s="56">
        <f t="shared" ref="C1088:T1088" si="216">AVERAGE(C384:C395)</f>
        <v>154.75825</v>
      </c>
      <c r="D1088" s="56">
        <f t="shared" si="216"/>
        <v>281.0162499999999</v>
      </c>
      <c r="E1088" s="56">
        <f t="shared" si="216"/>
        <v>109.1005</v>
      </c>
      <c r="F1088" s="56">
        <f t="shared" si="216"/>
        <v>57.041666666666664</v>
      </c>
      <c r="G1088" s="56">
        <f t="shared" si="216"/>
        <v>40</v>
      </c>
      <c r="H1088" s="56">
        <f t="shared" si="216"/>
        <v>174.58333333333334</v>
      </c>
      <c r="I1088" s="56">
        <f t="shared" si="216"/>
        <v>0</v>
      </c>
      <c r="J1088" s="56">
        <f t="shared" si="216"/>
        <v>100</v>
      </c>
      <c r="K1088" s="56">
        <f t="shared" si="216"/>
        <v>300</v>
      </c>
      <c r="L1088" s="56">
        <f t="shared" si="216"/>
        <v>1216.5</v>
      </c>
      <c r="M1088" s="58">
        <f t="shared" si="216"/>
        <v>600</v>
      </c>
      <c r="N1088" s="56">
        <f t="shared" si="216"/>
        <v>72.5</v>
      </c>
      <c r="O1088" s="59">
        <f t="shared" si="216"/>
        <v>240</v>
      </c>
      <c r="P1088" s="59">
        <f t="shared" si="216"/>
        <v>110</v>
      </c>
      <c r="Q1088" s="59">
        <f t="shared" si="216"/>
        <v>245</v>
      </c>
      <c r="R1088" s="59">
        <f t="shared" si="216"/>
        <v>100</v>
      </c>
      <c r="S1088" s="56">
        <f t="shared" si="216"/>
        <v>695</v>
      </c>
      <c r="T1088" s="56">
        <f t="shared" si="216"/>
        <v>33.333333333333336</v>
      </c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</row>
    <row r="1089" spans="1:30" ht="15" x14ac:dyDescent="0.2">
      <c r="A1089" s="11">
        <f t="shared" si="208"/>
        <v>2046</v>
      </c>
      <c r="B1089" s="11">
        <f t="shared" ref="B1089:B1120" si="217">DATE(A1089+1,1,1)-DATE(A1089,1,1)</f>
        <v>365</v>
      </c>
      <c r="C1089" s="56">
        <f t="shared" ref="C1089:T1089" si="218">AVERAGE(C396:C407)</f>
        <v>154.75825</v>
      </c>
      <c r="D1089" s="56">
        <f t="shared" si="218"/>
        <v>281.0162499999999</v>
      </c>
      <c r="E1089" s="56">
        <f t="shared" si="218"/>
        <v>109.1005</v>
      </c>
      <c r="F1089" s="56">
        <f t="shared" si="218"/>
        <v>57.041666666666664</v>
      </c>
      <c r="G1089" s="56">
        <f t="shared" si="218"/>
        <v>40</v>
      </c>
      <c r="H1089" s="56">
        <f t="shared" si="218"/>
        <v>174.58333333333334</v>
      </c>
      <c r="I1089" s="56">
        <f t="shared" si="218"/>
        <v>0</v>
      </c>
      <c r="J1089" s="56">
        <f t="shared" si="218"/>
        <v>100</v>
      </c>
      <c r="K1089" s="56">
        <f t="shared" si="218"/>
        <v>300</v>
      </c>
      <c r="L1089" s="56">
        <f t="shared" si="218"/>
        <v>1216.5</v>
      </c>
      <c r="M1089" s="58">
        <f t="shared" si="218"/>
        <v>600</v>
      </c>
      <c r="N1089" s="56">
        <f t="shared" si="218"/>
        <v>72.5</v>
      </c>
      <c r="O1089" s="59">
        <f t="shared" si="218"/>
        <v>240</v>
      </c>
      <c r="P1089" s="59">
        <f t="shared" si="218"/>
        <v>110</v>
      </c>
      <c r="Q1089" s="59">
        <f t="shared" si="218"/>
        <v>245</v>
      </c>
      <c r="R1089" s="59">
        <f t="shared" si="218"/>
        <v>100</v>
      </c>
      <c r="S1089" s="56">
        <f t="shared" si="218"/>
        <v>695</v>
      </c>
      <c r="T1089" s="56">
        <f t="shared" si="218"/>
        <v>33.333333333333336</v>
      </c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</row>
    <row r="1090" spans="1:30" ht="15" x14ac:dyDescent="0.2">
      <c r="A1090" s="11">
        <f t="shared" si="208"/>
        <v>2047</v>
      </c>
      <c r="B1090" s="11">
        <f t="shared" si="217"/>
        <v>365</v>
      </c>
      <c r="C1090" s="56">
        <f t="shared" ref="C1090:T1090" si="219">AVERAGE(C408:C419)</f>
        <v>154.75825</v>
      </c>
      <c r="D1090" s="56">
        <f t="shared" si="219"/>
        <v>281.0162499999999</v>
      </c>
      <c r="E1090" s="56">
        <f t="shared" si="219"/>
        <v>109.1005</v>
      </c>
      <c r="F1090" s="56">
        <f t="shared" si="219"/>
        <v>57.041666666666664</v>
      </c>
      <c r="G1090" s="56">
        <f t="shared" si="219"/>
        <v>40</v>
      </c>
      <c r="H1090" s="56">
        <f t="shared" si="219"/>
        <v>174.58333333333334</v>
      </c>
      <c r="I1090" s="56">
        <f t="shared" si="219"/>
        <v>0</v>
      </c>
      <c r="J1090" s="56">
        <f t="shared" si="219"/>
        <v>100</v>
      </c>
      <c r="K1090" s="56">
        <f t="shared" si="219"/>
        <v>300</v>
      </c>
      <c r="L1090" s="56">
        <f t="shared" si="219"/>
        <v>1216.5</v>
      </c>
      <c r="M1090" s="58">
        <f t="shared" si="219"/>
        <v>600</v>
      </c>
      <c r="N1090" s="56">
        <f t="shared" si="219"/>
        <v>72.5</v>
      </c>
      <c r="O1090" s="59">
        <f t="shared" si="219"/>
        <v>240</v>
      </c>
      <c r="P1090" s="59">
        <f t="shared" si="219"/>
        <v>110</v>
      </c>
      <c r="Q1090" s="59">
        <f t="shared" si="219"/>
        <v>245</v>
      </c>
      <c r="R1090" s="59">
        <f t="shared" si="219"/>
        <v>100</v>
      </c>
      <c r="S1090" s="56">
        <f t="shared" si="219"/>
        <v>695</v>
      </c>
      <c r="T1090" s="56">
        <f t="shared" si="219"/>
        <v>33.333333333333336</v>
      </c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</row>
    <row r="1091" spans="1:30" ht="15" x14ac:dyDescent="0.2">
      <c r="A1091" s="11">
        <f t="shared" si="208"/>
        <v>2048</v>
      </c>
      <c r="B1091" s="11">
        <f t="shared" si="217"/>
        <v>366</v>
      </c>
      <c r="C1091" s="56">
        <f t="shared" ref="C1091:T1091" si="220">AVERAGE(C420:C431)</f>
        <v>154.75825</v>
      </c>
      <c r="D1091" s="56">
        <f t="shared" si="220"/>
        <v>281.0162499999999</v>
      </c>
      <c r="E1091" s="56">
        <f t="shared" si="220"/>
        <v>109.1005</v>
      </c>
      <c r="F1091" s="56">
        <f t="shared" si="220"/>
        <v>57.041666666666664</v>
      </c>
      <c r="G1091" s="56">
        <f t="shared" si="220"/>
        <v>40</v>
      </c>
      <c r="H1091" s="56">
        <f t="shared" si="220"/>
        <v>174.58333333333334</v>
      </c>
      <c r="I1091" s="56">
        <f t="shared" si="220"/>
        <v>0</v>
      </c>
      <c r="J1091" s="56">
        <f t="shared" si="220"/>
        <v>100</v>
      </c>
      <c r="K1091" s="56">
        <f t="shared" si="220"/>
        <v>300</v>
      </c>
      <c r="L1091" s="56">
        <f t="shared" si="220"/>
        <v>1216.5</v>
      </c>
      <c r="M1091" s="58">
        <f t="shared" si="220"/>
        <v>600</v>
      </c>
      <c r="N1091" s="56">
        <f t="shared" si="220"/>
        <v>72.5</v>
      </c>
      <c r="O1091" s="59">
        <f t="shared" si="220"/>
        <v>240</v>
      </c>
      <c r="P1091" s="59">
        <f t="shared" si="220"/>
        <v>110</v>
      </c>
      <c r="Q1091" s="59">
        <f t="shared" si="220"/>
        <v>245</v>
      </c>
      <c r="R1091" s="59">
        <f t="shared" si="220"/>
        <v>100</v>
      </c>
      <c r="S1091" s="56">
        <f t="shared" si="220"/>
        <v>695</v>
      </c>
      <c r="T1091" s="56">
        <f t="shared" si="220"/>
        <v>33.333333333333336</v>
      </c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</row>
    <row r="1092" spans="1:30" ht="15" x14ac:dyDescent="0.2">
      <c r="A1092" s="11">
        <f t="shared" si="208"/>
        <v>2049</v>
      </c>
      <c r="B1092" s="11">
        <f t="shared" si="217"/>
        <v>365</v>
      </c>
      <c r="C1092" s="56">
        <f t="shared" ref="C1092:T1092" si="221">AVERAGE(C432:C443)</f>
        <v>154.75825</v>
      </c>
      <c r="D1092" s="56">
        <f t="shared" si="221"/>
        <v>281.0162499999999</v>
      </c>
      <c r="E1092" s="56">
        <f t="shared" si="221"/>
        <v>109.1005</v>
      </c>
      <c r="F1092" s="56">
        <f t="shared" si="221"/>
        <v>57.041666666666664</v>
      </c>
      <c r="G1092" s="56">
        <f t="shared" si="221"/>
        <v>40</v>
      </c>
      <c r="H1092" s="56">
        <f t="shared" si="221"/>
        <v>174.58333333333334</v>
      </c>
      <c r="I1092" s="56">
        <f t="shared" si="221"/>
        <v>0</v>
      </c>
      <c r="J1092" s="56">
        <f t="shared" si="221"/>
        <v>100</v>
      </c>
      <c r="K1092" s="56">
        <f t="shared" si="221"/>
        <v>300</v>
      </c>
      <c r="L1092" s="56">
        <f t="shared" si="221"/>
        <v>1216.5</v>
      </c>
      <c r="M1092" s="58">
        <f t="shared" si="221"/>
        <v>600</v>
      </c>
      <c r="N1092" s="56">
        <f t="shared" si="221"/>
        <v>72.5</v>
      </c>
      <c r="O1092" s="59">
        <f t="shared" si="221"/>
        <v>240</v>
      </c>
      <c r="P1092" s="59">
        <f t="shared" si="221"/>
        <v>110</v>
      </c>
      <c r="Q1092" s="59">
        <f t="shared" si="221"/>
        <v>245</v>
      </c>
      <c r="R1092" s="59">
        <f t="shared" si="221"/>
        <v>100</v>
      </c>
      <c r="S1092" s="56">
        <f t="shared" si="221"/>
        <v>695</v>
      </c>
      <c r="T1092" s="56">
        <f t="shared" si="221"/>
        <v>33.333333333333336</v>
      </c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</row>
    <row r="1093" spans="1:30" ht="15" x14ac:dyDescent="0.2">
      <c r="A1093" s="11">
        <f t="shared" si="208"/>
        <v>2050</v>
      </c>
      <c r="B1093" s="11">
        <f t="shared" si="217"/>
        <v>365</v>
      </c>
      <c r="C1093" s="56">
        <f t="shared" ref="C1093:T1093" si="222">AVERAGE(C444:C455)</f>
        <v>154.75825</v>
      </c>
      <c r="D1093" s="56">
        <f t="shared" si="222"/>
        <v>281.0162499999999</v>
      </c>
      <c r="E1093" s="56">
        <f t="shared" si="222"/>
        <v>109.1005</v>
      </c>
      <c r="F1093" s="56">
        <f t="shared" si="222"/>
        <v>57.041666666666664</v>
      </c>
      <c r="G1093" s="56">
        <f t="shared" si="222"/>
        <v>40</v>
      </c>
      <c r="H1093" s="56">
        <f t="shared" si="222"/>
        <v>174.58333333333334</v>
      </c>
      <c r="I1093" s="56">
        <f t="shared" si="222"/>
        <v>0</v>
      </c>
      <c r="J1093" s="56">
        <f t="shared" si="222"/>
        <v>100</v>
      </c>
      <c r="K1093" s="56">
        <f t="shared" si="222"/>
        <v>300</v>
      </c>
      <c r="L1093" s="56">
        <f t="shared" si="222"/>
        <v>1216.5</v>
      </c>
      <c r="M1093" s="58">
        <f t="shared" si="222"/>
        <v>600</v>
      </c>
      <c r="N1093" s="56">
        <f t="shared" si="222"/>
        <v>72.5</v>
      </c>
      <c r="O1093" s="59">
        <f t="shared" si="222"/>
        <v>240</v>
      </c>
      <c r="P1093" s="59">
        <f t="shared" si="222"/>
        <v>110</v>
      </c>
      <c r="Q1093" s="59">
        <f t="shared" si="222"/>
        <v>245</v>
      </c>
      <c r="R1093" s="59">
        <f t="shared" si="222"/>
        <v>100</v>
      </c>
      <c r="S1093" s="56">
        <f t="shared" si="222"/>
        <v>695</v>
      </c>
      <c r="T1093" s="56">
        <f t="shared" si="222"/>
        <v>33.333333333333336</v>
      </c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</row>
    <row r="1094" spans="1:30" ht="15" x14ac:dyDescent="0.2">
      <c r="A1094" s="11">
        <f t="shared" si="208"/>
        <v>2051</v>
      </c>
      <c r="B1094" s="11">
        <f t="shared" si="217"/>
        <v>365</v>
      </c>
      <c r="C1094" s="56">
        <f t="shared" ref="C1094:T1094" si="223">AVERAGE(C456:C467)</f>
        <v>154.75825</v>
      </c>
      <c r="D1094" s="56">
        <f t="shared" si="223"/>
        <v>281.0162499999999</v>
      </c>
      <c r="E1094" s="56">
        <f t="shared" si="223"/>
        <v>109.1005</v>
      </c>
      <c r="F1094" s="56">
        <f t="shared" si="223"/>
        <v>57.041666666666664</v>
      </c>
      <c r="G1094" s="56">
        <f t="shared" si="223"/>
        <v>40</v>
      </c>
      <c r="H1094" s="56">
        <f t="shared" si="223"/>
        <v>174.58333333333334</v>
      </c>
      <c r="I1094" s="56">
        <f t="shared" si="223"/>
        <v>0</v>
      </c>
      <c r="J1094" s="56">
        <f t="shared" si="223"/>
        <v>100</v>
      </c>
      <c r="K1094" s="56">
        <f t="shared" si="223"/>
        <v>300</v>
      </c>
      <c r="L1094" s="56">
        <f t="shared" si="223"/>
        <v>1216.5</v>
      </c>
      <c r="M1094" s="58">
        <f t="shared" si="223"/>
        <v>600</v>
      </c>
      <c r="N1094" s="56">
        <f t="shared" si="223"/>
        <v>72.5</v>
      </c>
      <c r="O1094" s="59">
        <f t="shared" si="223"/>
        <v>240</v>
      </c>
      <c r="P1094" s="59">
        <f t="shared" si="223"/>
        <v>110</v>
      </c>
      <c r="Q1094" s="59">
        <f t="shared" si="223"/>
        <v>245</v>
      </c>
      <c r="R1094" s="59">
        <f t="shared" si="223"/>
        <v>100</v>
      </c>
      <c r="S1094" s="56">
        <f t="shared" si="223"/>
        <v>695</v>
      </c>
      <c r="T1094" s="56">
        <f t="shared" si="223"/>
        <v>33.333333333333336</v>
      </c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</row>
    <row r="1095" spans="1:30" ht="15" x14ac:dyDescent="0.2">
      <c r="A1095" s="11">
        <f t="shared" si="208"/>
        <v>2052</v>
      </c>
      <c r="B1095" s="11">
        <f t="shared" si="217"/>
        <v>366</v>
      </c>
      <c r="C1095" s="56">
        <f t="shared" ref="C1095:T1095" si="224">AVERAGE(C468:C479)</f>
        <v>154.75825</v>
      </c>
      <c r="D1095" s="56">
        <f t="shared" si="224"/>
        <v>281.0162499999999</v>
      </c>
      <c r="E1095" s="56">
        <f t="shared" si="224"/>
        <v>109.1005</v>
      </c>
      <c r="F1095" s="56">
        <f t="shared" si="224"/>
        <v>57.041666666666664</v>
      </c>
      <c r="G1095" s="56">
        <f t="shared" si="224"/>
        <v>40</v>
      </c>
      <c r="H1095" s="56">
        <f t="shared" si="224"/>
        <v>174.58333333333334</v>
      </c>
      <c r="I1095" s="56">
        <f t="shared" si="224"/>
        <v>0</v>
      </c>
      <c r="J1095" s="56">
        <f t="shared" si="224"/>
        <v>100</v>
      </c>
      <c r="K1095" s="56">
        <f t="shared" si="224"/>
        <v>300</v>
      </c>
      <c r="L1095" s="56">
        <f t="shared" si="224"/>
        <v>1216.5</v>
      </c>
      <c r="M1095" s="58">
        <f t="shared" si="224"/>
        <v>600</v>
      </c>
      <c r="N1095" s="56">
        <f t="shared" si="224"/>
        <v>72.5</v>
      </c>
      <c r="O1095" s="59">
        <f t="shared" si="224"/>
        <v>240</v>
      </c>
      <c r="P1095" s="59">
        <f t="shared" si="224"/>
        <v>110</v>
      </c>
      <c r="Q1095" s="59">
        <f t="shared" si="224"/>
        <v>245</v>
      </c>
      <c r="R1095" s="59">
        <f t="shared" si="224"/>
        <v>100</v>
      </c>
      <c r="S1095" s="56">
        <f t="shared" si="224"/>
        <v>695</v>
      </c>
      <c r="T1095" s="56">
        <f t="shared" si="224"/>
        <v>33.333333333333336</v>
      </c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</row>
    <row r="1096" spans="1:30" ht="15" x14ac:dyDescent="0.2">
      <c r="A1096" s="11">
        <f t="shared" si="208"/>
        <v>2053</v>
      </c>
      <c r="B1096" s="11">
        <f t="shared" si="217"/>
        <v>365</v>
      </c>
      <c r="C1096" s="56">
        <f t="shared" ref="C1096:T1096" si="225">AVERAGE(C480:C491)</f>
        <v>154.75825</v>
      </c>
      <c r="D1096" s="56">
        <f t="shared" si="225"/>
        <v>281.0162499999999</v>
      </c>
      <c r="E1096" s="56">
        <f t="shared" si="225"/>
        <v>109.1005</v>
      </c>
      <c r="F1096" s="56">
        <f t="shared" si="225"/>
        <v>57.041666666666664</v>
      </c>
      <c r="G1096" s="56">
        <f t="shared" si="225"/>
        <v>40</v>
      </c>
      <c r="H1096" s="56">
        <f t="shared" si="225"/>
        <v>174.58333333333334</v>
      </c>
      <c r="I1096" s="56">
        <f t="shared" si="225"/>
        <v>0</v>
      </c>
      <c r="J1096" s="56">
        <f t="shared" si="225"/>
        <v>100</v>
      </c>
      <c r="K1096" s="56">
        <f t="shared" si="225"/>
        <v>300</v>
      </c>
      <c r="L1096" s="56">
        <f t="shared" si="225"/>
        <v>1216.5</v>
      </c>
      <c r="M1096" s="58">
        <f t="shared" si="225"/>
        <v>600</v>
      </c>
      <c r="N1096" s="56">
        <f t="shared" si="225"/>
        <v>72.5</v>
      </c>
      <c r="O1096" s="59">
        <f t="shared" si="225"/>
        <v>240</v>
      </c>
      <c r="P1096" s="59">
        <f t="shared" si="225"/>
        <v>110</v>
      </c>
      <c r="Q1096" s="59">
        <f t="shared" si="225"/>
        <v>245</v>
      </c>
      <c r="R1096" s="59">
        <f t="shared" si="225"/>
        <v>100</v>
      </c>
      <c r="S1096" s="56">
        <f t="shared" si="225"/>
        <v>695</v>
      </c>
      <c r="T1096" s="56">
        <f t="shared" si="225"/>
        <v>33.333333333333336</v>
      </c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</row>
    <row r="1097" spans="1:30" ht="15" x14ac:dyDescent="0.2">
      <c r="A1097" s="11">
        <f t="shared" si="208"/>
        <v>2054</v>
      </c>
      <c r="B1097" s="11">
        <f t="shared" si="217"/>
        <v>365</v>
      </c>
      <c r="C1097" s="56">
        <f t="shared" ref="C1097:T1097" si="226">AVERAGE(C492:C503)</f>
        <v>154.75825</v>
      </c>
      <c r="D1097" s="56">
        <f t="shared" si="226"/>
        <v>281.0162499999999</v>
      </c>
      <c r="E1097" s="56">
        <f t="shared" si="226"/>
        <v>109.1005</v>
      </c>
      <c r="F1097" s="56">
        <f t="shared" si="226"/>
        <v>57.041666666666664</v>
      </c>
      <c r="G1097" s="56">
        <f t="shared" si="226"/>
        <v>40</v>
      </c>
      <c r="H1097" s="56">
        <f t="shared" si="226"/>
        <v>174.58333333333334</v>
      </c>
      <c r="I1097" s="56">
        <f t="shared" si="226"/>
        <v>0</v>
      </c>
      <c r="J1097" s="56">
        <f t="shared" si="226"/>
        <v>100</v>
      </c>
      <c r="K1097" s="56">
        <f t="shared" si="226"/>
        <v>300</v>
      </c>
      <c r="L1097" s="56">
        <f t="shared" si="226"/>
        <v>1216.5</v>
      </c>
      <c r="M1097" s="58">
        <f t="shared" si="226"/>
        <v>600</v>
      </c>
      <c r="N1097" s="56">
        <f t="shared" si="226"/>
        <v>72.5</v>
      </c>
      <c r="O1097" s="56">
        <f t="shared" si="226"/>
        <v>240</v>
      </c>
      <c r="P1097" s="56">
        <f t="shared" si="226"/>
        <v>110</v>
      </c>
      <c r="Q1097" s="56">
        <f t="shared" si="226"/>
        <v>245</v>
      </c>
      <c r="R1097" s="56">
        <f t="shared" si="226"/>
        <v>100</v>
      </c>
      <c r="S1097" s="56">
        <f t="shared" si="226"/>
        <v>695</v>
      </c>
      <c r="T1097" s="56">
        <f t="shared" si="226"/>
        <v>33.333333333333336</v>
      </c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</row>
    <row r="1098" spans="1:30" ht="15" x14ac:dyDescent="0.2">
      <c r="A1098" s="11">
        <f t="shared" si="208"/>
        <v>2055</v>
      </c>
      <c r="B1098" s="11">
        <f t="shared" si="217"/>
        <v>365</v>
      </c>
      <c r="C1098" s="56">
        <f t="shared" ref="C1098:T1098" si="227">AVERAGE(C493:C504)</f>
        <v>154.75825</v>
      </c>
      <c r="D1098" s="56">
        <f t="shared" si="227"/>
        <v>281.0162499999999</v>
      </c>
      <c r="E1098" s="56">
        <f t="shared" si="227"/>
        <v>109.1005</v>
      </c>
      <c r="F1098" s="56">
        <f t="shared" si="227"/>
        <v>57.041666666666657</v>
      </c>
      <c r="G1098" s="56">
        <f t="shared" si="227"/>
        <v>40</v>
      </c>
      <c r="H1098" s="56">
        <f t="shared" si="227"/>
        <v>174.58333333333334</v>
      </c>
      <c r="I1098" s="56">
        <f t="shared" si="227"/>
        <v>0</v>
      </c>
      <c r="J1098" s="56">
        <f t="shared" si="227"/>
        <v>100</v>
      </c>
      <c r="K1098" s="56">
        <f t="shared" si="227"/>
        <v>300</v>
      </c>
      <c r="L1098" s="56">
        <f t="shared" si="227"/>
        <v>1216.5</v>
      </c>
      <c r="M1098" s="58">
        <f t="shared" si="227"/>
        <v>600</v>
      </c>
      <c r="N1098" s="56">
        <f t="shared" si="227"/>
        <v>72.5</v>
      </c>
      <c r="O1098" s="56">
        <f t="shared" si="227"/>
        <v>240</v>
      </c>
      <c r="P1098" s="56">
        <f t="shared" si="227"/>
        <v>110</v>
      </c>
      <c r="Q1098" s="56">
        <f t="shared" si="227"/>
        <v>245</v>
      </c>
      <c r="R1098" s="56">
        <f t="shared" si="227"/>
        <v>100</v>
      </c>
      <c r="S1098" s="56">
        <f t="shared" si="227"/>
        <v>695</v>
      </c>
      <c r="T1098" s="56">
        <f t="shared" si="227"/>
        <v>33.333333333333336</v>
      </c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</row>
    <row r="1099" spans="1:30" ht="15" x14ac:dyDescent="0.2">
      <c r="A1099" s="11">
        <f t="shared" si="208"/>
        <v>2056</v>
      </c>
      <c r="B1099" s="11">
        <f t="shared" si="217"/>
        <v>366</v>
      </c>
      <c r="C1099" s="56">
        <f t="shared" ref="C1099:T1099" si="228">AVERAGE(C494:C505)</f>
        <v>154.75824999999998</v>
      </c>
      <c r="D1099" s="56">
        <f t="shared" si="228"/>
        <v>281.0162499999999</v>
      </c>
      <c r="E1099" s="56">
        <f t="shared" si="228"/>
        <v>109.1005</v>
      </c>
      <c r="F1099" s="56">
        <f t="shared" si="228"/>
        <v>57.041666666666664</v>
      </c>
      <c r="G1099" s="56">
        <f t="shared" si="228"/>
        <v>40</v>
      </c>
      <c r="H1099" s="56">
        <f t="shared" si="228"/>
        <v>174.58333333333334</v>
      </c>
      <c r="I1099" s="56">
        <f t="shared" si="228"/>
        <v>0</v>
      </c>
      <c r="J1099" s="56">
        <f t="shared" si="228"/>
        <v>100</v>
      </c>
      <c r="K1099" s="56">
        <f t="shared" si="228"/>
        <v>300</v>
      </c>
      <c r="L1099" s="56">
        <f t="shared" si="228"/>
        <v>1216.5</v>
      </c>
      <c r="M1099" s="58">
        <f t="shared" si="228"/>
        <v>600</v>
      </c>
      <c r="N1099" s="56">
        <f t="shared" si="228"/>
        <v>72.5</v>
      </c>
      <c r="O1099" s="56">
        <f t="shared" si="228"/>
        <v>240</v>
      </c>
      <c r="P1099" s="56">
        <f t="shared" si="228"/>
        <v>110</v>
      </c>
      <c r="Q1099" s="56">
        <f t="shared" si="228"/>
        <v>245</v>
      </c>
      <c r="R1099" s="56">
        <f t="shared" si="228"/>
        <v>100</v>
      </c>
      <c r="S1099" s="56">
        <f t="shared" si="228"/>
        <v>695</v>
      </c>
      <c r="T1099" s="56">
        <f t="shared" si="228"/>
        <v>33.333333333333336</v>
      </c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</row>
    <row r="1100" spans="1:30" ht="15" x14ac:dyDescent="0.2">
      <c r="A1100" s="11">
        <f t="shared" si="208"/>
        <v>2057</v>
      </c>
      <c r="B1100" s="11">
        <f t="shared" si="217"/>
        <v>365</v>
      </c>
      <c r="C1100" s="56">
        <f t="shared" ref="C1100:T1100" si="229">AVERAGE(C495:C506)</f>
        <v>154.75825</v>
      </c>
      <c r="D1100" s="56">
        <f t="shared" si="229"/>
        <v>281.0162499999999</v>
      </c>
      <c r="E1100" s="56">
        <f t="shared" si="229"/>
        <v>109.1005</v>
      </c>
      <c r="F1100" s="56">
        <f t="shared" si="229"/>
        <v>57.041666666666664</v>
      </c>
      <c r="G1100" s="56">
        <f t="shared" si="229"/>
        <v>40</v>
      </c>
      <c r="H1100" s="56">
        <f t="shared" si="229"/>
        <v>174.58333333333334</v>
      </c>
      <c r="I1100" s="56">
        <f t="shared" si="229"/>
        <v>0</v>
      </c>
      <c r="J1100" s="56">
        <f t="shared" si="229"/>
        <v>100</v>
      </c>
      <c r="K1100" s="56">
        <f t="shared" si="229"/>
        <v>300</v>
      </c>
      <c r="L1100" s="56">
        <f t="shared" si="229"/>
        <v>1216.5</v>
      </c>
      <c r="M1100" s="58">
        <f t="shared" si="229"/>
        <v>600</v>
      </c>
      <c r="N1100" s="56">
        <f t="shared" si="229"/>
        <v>72.5</v>
      </c>
      <c r="O1100" s="56">
        <f t="shared" si="229"/>
        <v>240</v>
      </c>
      <c r="P1100" s="56">
        <f t="shared" si="229"/>
        <v>110</v>
      </c>
      <c r="Q1100" s="56">
        <f t="shared" si="229"/>
        <v>245</v>
      </c>
      <c r="R1100" s="56">
        <f t="shared" si="229"/>
        <v>100</v>
      </c>
      <c r="S1100" s="56">
        <f t="shared" si="229"/>
        <v>695</v>
      </c>
      <c r="T1100" s="56">
        <f t="shared" si="229"/>
        <v>33.333333333333336</v>
      </c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</row>
    <row r="1101" spans="1:30" ht="15" x14ac:dyDescent="0.2">
      <c r="A1101" s="11">
        <f t="shared" si="208"/>
        <v>2058</v>
      </c>
      <c r="B1101" s="11">
        <f t="shared" si="217"/>
        <v>365</v>
      </c>
      <c r="C1101" s="56">
        <f t="shared" ref="C1101:T1101" si="230">AVERAGE(C496:C507)</f>
        <v>154.75824999999998</v>
      </c>
      <c r="D1101" s="56">
        <f t="shared" si="230"/>
        <v>281.01624999999996</v>
      </c>
      <c r="E1101" s="56">
        <f t="shared" si="230"/>
        <v>109.10050000000001</v>
      </c>
      <c r="F1101" s="56">
        <f t="shared" si="230"/>
        <v>57.041666666666664</v>
      </c>
      <c r="G1101" s="56">
        <f t="shared" si="230"/>
        <v>40</v>
      </c>
      <c r="H1101" s="56">
        <f t="shared" si="230"/>
        <v>174.58333333333334</v>
      </c>
      <c r="I1101" s="56">
        <f t="shared" si="230"/>
        <v>0</v>
      </c>
      <c r="J1101" s="56">
        <f t="shared" si="230"/>
        <v>100</v>
      </c>
      <c r="K1101" s="56">
        <f t="shared" si="230"/>
        <v>300</v>
      </c>
      <c r="L1101" s="56">
        <f t="shared" si="230"/>
        <v>1216.5</v>
      </c>
      <c r="M1101" s="58">
        <f t="shared" si="230"/>
        <v>600</v>
      </c>
      <c r="N1101" s="56">
        <f t="shared" si="230"/>
        <v>72.5</v>
      </c>
      <c r="O1101" s="56">
        <f t="shared" si="230"/>
        <v>240</v>
      </c>
      <c r="P1101" s="56">
        <f t="shared" si="230"/>
        <v>110</v>
      </c>
      <c r="Q1101" s="56">
        <f t="shared" si="230"/>
        <v>245</v>
      </c>
      <c r="R1101" s="56">
        <f t="shared" si="230"/>
        <v>100</v>
      </c>
      <c r="S1101" s="56">
        <f t="shared" si="230"/>
        <v>695</v>
      </c>
      <c r="T1101" s="56">
        <f t="shared" si="230"/>
        <v>33.333333333333336</v>
      </c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</row>
    <row r="1102" spans="1:30" ht="15" x14ac:dyDescent="0.2">
      <c r="A1102" s="11">
        <f t="shared" si="208"/>
        <v>2059</v>
      </c>
      <c r="B1102" s="11">
        <f t="shared" si="217"/>
        <v>365</v>
      </c>
      <c r="C1102" s="56">
        <f t="shared" ref="C1102:T1102" si="231">AVERAGE(C497:C508)</f>
        <v>154.75824999999998</v>
      </c>
      <c r="D1102" s="56">
        <f t="shared" si="231"/>
        <v>281.01624999999996</v>
      </c>
      <c r="E1102" s="56">
        <f t="shared" si="231"/>
        <v>109.10050000000001</v>
      </c>
      <c r="F1102" s="56">
        <f t="shared" si="231"/>
        <v>57.041666666666664</v>
      </c>
      <c r="G1102" s="56">
        <f t="shared" si="231"/>
        <v>40</v>
      </c>
      <c r="H1102" s="56">
        <f t="shared" si="231"/>
        <v>174.58333333333334</v>
      </c>
      <c r="I1102" s="56">
        <f t="shared" si="231"/>
        <v>0</v>
      </c>
      <c r="J1102" s="56">
        <f t="shared" si="231"/>
        <v>100</v>
      </c>
      <c r="K1102" s="56">
        <f t="shared" si="231"/>
        <v>300</v>
      </c>
      <c r="L1102" s="56">
        <f t="shared" si="231"/>
        <v>1216.5</v>
      </c>
      <c r="M1102" s="58">
        <f t="shared" si="231"/>
        <v>600</v>
      </c>
      <c r="N1102" s="56">
        <f t="shared" si="231"/>
        <v>72.5</v>
      </c>
      <c r="O1102" s="56">
        <f t="shared" si="231"/>
        <v>240</v>
      </c>
      <c r="P1102" s="56">
        <f t="shared" si="231"/>
        <v>110</v>
      </c>
      <c r="Q1102" s="56">
        <f t="shared" si="231"/>
        <v>245</v>
      </c>
      <c r="R1102" s="56">
        <f t="shared" si="231"/>
        <v>100</v>
      </c>
      <c r="S1102" s="56">
        <f t="shared" si="231"/>
        <v>695</v>
      </c>
      <c r="T1102" s="56">
        <f t="shared" si="231"/>
        <v>33.333333333333336</v>
      </c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</row>
    <row r="1103" spans="1:30" ht="15" x14ac:dyDescent="0.2">
      <c r="A1103" s="11">
        <f t="shared" si="208"/>
        <v>2060</v>
      </c>
      <c r="B1103" s="11">
        <f t="shared" si="217"/>
        <v>366</v>
      </c>
      <c r="C1103" s="56">
        <f t="shared" ref="C1103:T1103" si="232">AVERAGE(C498:C509)</f>
        <v>154.75824999999998</v>
      </c>
      <c r="D1103" s="56">
        <f t="shared" si="232"/>
        <v>281.01624999999996</v>
      </c>
      <c r="E1103" s="56">
        <f t="shared" si="232"/>
        <v>109.10050000000001</v>
      </c>
      <c r="F1103" s="56">
        <f t="shared" si="232"/>
        <v>57.041666666666664</v>
      </c>
      <c r="G1103" s="56">
        <f t="shared" si="232"/>
        <v>40</v>
      </c>
      <c r="H1103" s="56">
        <f t="shared" si="232"/>
        <v>174.58333333333334</v>
      </c>
      <c r="I1103" s="56">
        <f t="shared" si="232"/>
        <v>0</v>
      </c>
      <c r="J1103" s="56">
        <f t="shared" si="232"/>
        <v>100</v>
      </c>
      <c r="K1103" s="56">
        <f t="shared" si="232"/>
        <v>300</v>
      </c>
      <c r="L1103" s="56">
        <f t="shared" si="232"/>
        <v>1216.5</v>
      </c>
      <c r="M1103" s="58">
        <f t="shared" si="232"/>
        <v>600</v>
      </c>
      <c r="N1103" s="56">
        <f t="shared" si="232"/>
        <v>72.5</v>
      </c>
      <c r="O1103" s="56">
        <f t="shared" si="232"/>
        <v>240</v>
      </c>
      <c r="P1103" s="56">
        <f t="shared" si="232"/>
        <v>110</v>
      </c>
      <c r="Q1103" s="56">
        <f t="shared" si="232"/>
        <v>245</v>
      </c>
      <c r="R1103" s="56">
        <f t="shared" si="232"/>
        <v>100</v>
      </c>
      <c r="S1103" s="56">
        <f t="shared" si="232"/>
        <v>695</v>
      </c>
      <c r="T1103" s="56">
        <f t="shared" si="232"/>
        <v>33.333333333333336</v>
      </c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</row>
    <row r="1104" spans="1:30" ht="15" x14ac:dyDescent="0.2">
      <c r="A1104" s="11">
        <f t="shared" si="208"/>
        <v>2061</v>
      </c>
      <c r="B1104" s="11">
        <f t="shared" si="217"/>
        <v>365</v>
      </c>
      <c r="C1104" s="56">
        <f t="shared" ref="C1104:T1104" si="233">AVERAGE(C499:C510)</f>
        <v>154.75825</v>
      </c>
      <c r="D1104" s="56">
        <f t="shared" si="233"/>
        <v>281.01624999999996</v>
      </c>
      <c r="E1104" s="56">
        <f t="shared" si="233"/>
        <v>109.10050000000001</v>
      </c>
      <c r="F1104" s="56">
        <f t="shared" si="233"/>
        <v>57.04166666666665</v>
      </c>
      <c r="G1104" s="56">
        <f t="shared" si="233"/>
        <v>40</v>
      </c>
      <c r="H1104" s="56">
        <f t="shared" si="233"/>
        <v>174.58333333333334</v>
      </c>
      <c r="I1104" s="56">
        <f t="shared" si="233"/>
        <v>0</v>
      </c>
      <c r="J1104" s="56">
        <f t="shared" si="233"/>
        <v>100</v>
      </c>
      <c r="K1104" s="56">
        <f t="shared" si="233"/>
        <v>300</v>
      </c>
      <c r="L1104" s="56">
        <f t="shared" si="233"/>
        <v>1216.5</v>
      </c>
      <c r="M1104" s="58">
        <f t="shared" si="233"/>
        <v>600</v>
      </c>
      <c r="N1104" s="56">
        <f t="shared" si="233"/>
        <v>72.5</v>
      </c>
      <c r="O1104" s="56">
        <f t="shared" si="233"/>
        <v>240</v>
      </c>
      <c r="P1104" s="56">
        <f t="shared" si="233"/>
        <v>110</v>
      </c>
      <c r="Q1104" s="56">
        <f t="shared" si="233"/>
        <v>245</v>
      </c>
      <c r="R1104" s="56">
        <f t="shared" si="233"/>
        <v>100</v>
      </c>
      <c r="S1104" s="56">
        <f t="shared" si="233"/>
        <v>695</v>
      </c>
      <c r="T1104" s="56">
        <f t="shared" si="233"/>
        <v>33.333333333333336</v>
      </c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</row>
    <row r="1105" spans="1:30" ht="15" x14ac:dyDescent="0.2">
      <c r="A1105" s="11">
        <f t="shared" si="208"/>
        <v>2062</v>
      </c>
      <c r="B1105" s="11">
        <f t="shared" si="217"/>
        <v>365</v>
      </c>
      <c r="C1105" s="56">
        <f t="shared" ref="C1105:L1114" ca="1" si="234">AVERAGE(OFFSET(C$588,($A1105-$A$1105)*12,0,12,1))</f>
        <v>154.75825</v>
      </c>
      <c r="D1105" s="56">
        <f t="shared" ca="1" si="234"/>
        <v>281.0162499999999</v>
      </c>
      <c r="E1105" s="56">
        <f t="shared" ca="1" si="234"/>
        <v>109.1005</v>
      </c>
      <c r="F1105" s="56">
        <f t="shared" ca="1" si="234"/>
        <v>57.041666666666664</v>
      </c>
      <c r="G1105" s="56">
        <f t="shared" ca="1" si="234"/>
        <v>40</v>
      </c>
      <c r="H1105" s="56">
        <f t="shared" ca="1" si="234"/>
        <v>174.58333333333334</v>
      </c>
      <c r="I1105" s="56">
        <f t="shared" ca="1" si="234"/>
        <v>0</v>
      </c>
      <c r="J1105" s="56">
        <f t="shared" ca="1" si="234"/>
        <v>100</v>
      </c>
      <c r="K1105" s="56">
        <f t="shared" ca="1" si="234"/>
        <v>300</v>
      </c>
      <c r="L1105" s="56">
        <f t="shared" ca="1" si="234"/>
        <v>1216.5</v>
      </c>
      <c r="M1105" s="56">
        <f t="shared" ref="M1105:T1114" ca="1" si="235">AVERAGE(OFFSET(M$588,($A1105-$A$1105)*12,0,12,1))</f>
        <v>600</v>
      </c>
      <c r="N1105" s="56">
        <f t="shared" ca="1" si="235"/>
        <v>72.5</v>
      </c>
      <c r="O1105" s="56">
        <f t="shared" ca="1" si="235"/>
        <v>240</v>
      </c>
      <c r="P1105" s="56">
        <f t="shared" ca="1" si="235"/>
        <v>40</v>
      </c>
      <c r="Q1105" s="56">
        <f t="shared" ca="1" si="235"/>
        <v>315</v>
      </c>
      <c r="R1105" s="56">
        <f t="shared" ca="1" si="235"/>
        <v>100</v>
      </c>
      <c r="S1105" s="56">
        <f t="shared" ca="1" si="235"/>
        <v>695</v>
      </c>
      <c r="T1105" s="56">
        <f t="shared" ca="1" si="235"/>
        <v>33.333333333333336</v>
      </c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</row>
    <row r="1106" spans="1:30" ht="15" x14ac:dyDescent="0.2">
      <c r="A1106" s="11">
        <f t="shared" si="208"/>
        <v>2063</v>
      </c>
      <c r="B1106" s="11">
        <f t="shared" si="217"/>
        <v>365</v>
      </c>
      <c r="C1106" s="56">
        <f t="shared" ca="1" si="234"/>
        <v>154.75825</v>
      </c>
      <c r="D1106" s="56">
        <f t="shared" ca="1" si="234"/>
        <v>281.0162499999999</v>
      </c>
      <c r="E1106" s="56">
        <f t="shared" ca="1" si="234"/>
        <v>109.1005</v>
      </c>
      <c r="F1106" s="56">
        <f t="shared" ca="1" si="234"/>
        <v>57.041666666666664</v>
      </c>
      <c r="G1106" s="56">
        <f t="shared" ca="1" si="234"/>
        <v>40</v>
      </c>
      <c r="H1106" s="56">
        <f t="shared" ca="1" si="234"/>
        <v>174.58333333333334</v>
      </c>
      <c r="I1106" s="56">
        <f t="shared" ca="1" si="234"/>
        <v>0</v>
      </c>
      <c r="J1106" s="56">
        <f t="shared" ca="1" si="234"/>
        <v>100</v>
      </c>
      <c r="K1106" s="56">
        <f t="shared" ca="1" si="234"/>
        <v>300</v>
      </c>
      <c r="L1106" s="56">
        <f t="shared" ca="1" si="234"/>
        <v>1216.5</v>
      </c>
      <c r="M1106" s="56">
        <f t="shared" ca="1" si="235"/>
        <v>600</v>
      </c>
      <c r="N1106" s="56">
        <f t="shared" ca="1" si="235"/>
        <v>72.5</v>
      </c>
      <c r="O1106" s="56">
        <f t="shared" ca="1" si="235"/>
        <v>240</v>
      </c>
      <c r="P1106" s="56">
        <f t="shared" ca="1" si="235"/>
        <v>40</v>
      </c>
      <c r="Q1106" s="56">
        <f t="shared" ca="1" si="235"/>
        <v>315</v>
      </c>
      <c r="R1106" s="56">
        <f t="shared" ca="1" si="235"/>
        <v>100</v>
      </c>
      <c r="S1106" s="56">
        <f t="shared" ca="1" si="235"/>
        <v>695</v>
      </c>
      <c r="T1106" s="56">
        <f t="shared" ca="1" si="235"/>
        <v>33.333333333333336</v>
      </c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</row>
    <row r="1107" spans="1:30" ht="15" x14ac:dyDescent="0.2">
      <c r="A1107" s="11">
        <f t="shared" si="208"/>
        <v>2064</v>
      </c>
      <c r="B1107" s="11">
        <f t="shared" si="217"/>
        <v>366</v>
      </c>
      <c r="C1107" s="56">
        <f t="shared" ca="1" si="234"/>
        <v>154.75825</v>
      </c>
      <c r="D1107" s="56">
        <f t="shared" ca="1" si="234"/>
        <v>281.0162499999999</v>
      </c>
      <c r="E1107" s="56">
        <f t="shared" ca="1" si="234"/>
        <v>109.1005</v>
      </c>
      <c r="F1107" s="56">
        <f t="shared" ca="1" si="234"/>
        <v>57.041666666666664</v>
      </c>
      <c r="G1107" s="56">
        <f t="shared" ca="1" si="234"/>
        <v>40</v>
      </c>
      <c r="H1107" s="56">
        <f t="shared" ca="1" si="234"/>
        <v>174.58333333333334</v>
      </c>
      <c r="I1107" s="56">
        <f t="shared" ca="1" si="234"/>
        <v>0</v>
      </c>
      <c r="J1107" s="56">
        <f t="shared" ca="1" si="234"/>
        <v>100</v>
      </c>
      <c r="K1107" s="56">
        <f t="shared" ca="1" si="234"/>
        <v>300</v>
      </c>
      <c r="L1107" s="56">
        <f t="shared" ca="1" si="234"/>
        <v>1216.5</v>
      </c>
      <c r="M1107" s="56">
        <f t="shared" ca="1" si="235"/>
        <v>600</v>
      </c>
      <c r="N1107" s="56">
        <f t="shared" ca="1" si="235"/>
        <v>72.5</v>
      </c>
      <c r="O1107" s="56">
        <f t="shared" ca="1" si="235"/>
        <v>240</v>
      </c>
      <c r="P1107" s="56">
        <f t="shared" ca="1" si="235"/>
        <v>40</v>
      </c>
      <c r="Q1107" s="56">
        <f t="shared" ca="1" si="235"/>
        <v>315</v>
      </c>
      <c r="R1107" s="56">
        <f t="shared" ca="1" si="235"/>
        <v>100</v>
      </c>
      <c r="S1107" s="56">
        <f t="shared" ca="1" si="235"/>
        <v>695</v>
      </c>
      <c r="T1107" s="56">
        <f t="shared" ca="1" si="235"/>
        <v>33.333333333333336</v>
      </c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</row>
    <row r="1108" spans="1:30" ht="15" x14ac:dyDescent="0.2">
      <c r="A1108" s="11">
        <f t="shared" si="208"/>
        <v>2065</v>
      </c>
      <c r="B1108" s="11">
        <f t="shared" si="217"/>
        <v>365</v>
      </c>
      <c r="C1108" s="56">
        <f t="shared" ca="1" si="234"/>
        <v>154.75825</v>
      </c>
      <c r="D1108" s="56">
        <f t="shared" ca="1" si="234"/>
        <v>281.0162499999999</v>
      </c>
      <c r="E1108" s="56">
        <f t="shared" ca="1" si="234"/>
        <v>109.1005</v>
      </c>
      <c r="F1108" s="56">
        <f t="shared" ca="1" si="234"/>
        <v>57.041666666666664</v>
      </c>
      <c r="G1108" s="56">
        <f t="shared" ca="1" si="234"/>
        <v>40</v>
      </c>
      <c r="H1108" s="56">
        <f t="shared" ca="1" si="234"/>
        <v>174.58333333333334</v>
      </c>
      <c r="I1108" s="56">
        <f t="shared" ca="1" si="234"/>
        <v>0</v>
      </c>
      <c r="J1108" s="56">
        <f t="shared" ca="1" si="234"/>
        <v>100</v>
      </c>
      <c r="K1108" s="56">
        <f t="shared" ca="1" si="234"/>
        <v>300</v>
      </c>
      <c r="L1108" s="56">
        <f t="shared" ca="1" si="234"/>
        <v>1216.5</v>
      </c>
      <c r="M1108" s="56">
        <f t="shared" ca="1" si="235"/>
        <v>600</v>
      </c>
      <c r="N1108" s="56">
        <f t="shared" ca="1" si="235"/>
        <v>72.5</v>
      </c>
      <c r="O1108" s="56">
        <f t="shared" ca="1" si="235"/>
        <v>240</v>
      </c>
      <c r="P1108" s="56">
        <f t="shared" ca="1" si="235"/>
        <v>40</v>
      </c>
      <c r="Q1108" s="56">
        <f t="shared" ca="1" si="235"/>
        <v>315</v>
      </c>
      <c r="R1108" s="56">
        <f t="shared" ca="1" si="235"/>
        <v>100</v>
      </c>
      <c r="S1108" s="56">
        <f t="shared" ca="1" si="235"/>
        <v>695</v>
      </c>
      <c r="T1108" s="56">
        <f t="shared" ca="1" si="235"/>
        <v>33.333333333333336</v>
      </c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</row>
    <row r="1109" spans="1:30" ht="15" x14ac:dyDescent="0.2">
      <c r="A1109" s="11">
        <f t="shared" si="208"/>
        <v>2066</v>
      </c>
      <c r="B1109" s="11">
        <f t="shared" si="217"/>
        <v>365</v>
      </c>
      <c r="C1109" s="56">
        <f t="shared" ca="1" si="234"/>
        <v>154.75825</v>
      </c>
      <c r="D1109" s="56">
        <f t="shared" ca="1" si="234"/>
        <v>281.0162499999999</v>
      </c>
      <c r="E1109" s="56">
        <f t="shared" ca="1" si="234"/>
        <v>109.1005</v>
      </c>
      <c r="F1109" s="56">
        <f t="shared" ca="1" si="234"/>
        <v>57.041666666666664</v>
      </c>
      <c r="G1109" s="56">
        <f t="shared" ca="1" si="234"/>
        <v>40</v>
      </c>
      <c r="H1109" s="56">
        <f t="shared" ca="1" si="234"/>
        <v>174.58333333333334</v>
      </c>
      <c r="I1109" s="56">
        <f t="shared" ca="1" si="234"/>
        <v>0</v>
      </c>
      <c r="J1109" s="56">
        <f t="shared" ca="1" si="234"/>
        <v>100</v>
      </c>
      <c r="K1109" s="56">
        <f t="shared" ca="1" si="234"/>
        <v>300</v>
      </c>
      <c r="L1109" s="56">
        <f t="shared" ca="1" si="234"/>
        <v>1216.5</v>
      </c>
      <c r="M1109" s="56">
        <f t="shared" ca="1" si="235"/>
        <v>600</v>
      </c>
      <c r="N1109" s="56">
        <f t="shared" ca="1" si="235"/>
        <v>72.5</v>
      </c>
      <c r="O1109" s="56">
        <f t="shared" ca="1" si="235"/>
        <v>240</v>
      </c>
      <c r="P1109" s="56">
        <f t="shared" ca="1" si="235"/>
        <v>40</v>
      </c>
      <c r="Q1109" s="56">
        <f t="shared" ca="1" si="235"/>
        <v>315</v>
      </c>
      <c r="R1109" s="56">
        <f t="shared" ca="1" si="235"/>
        <v>100</v>
      </c>
      <c r="S1109" s="56">
        <f t="shared" ca="1" si="235"/>
        <v>695</v>
      </c>
      <c r="T1109" s="56">
        <f t="shared" ca="1" si="235"/>
        <v>33.333333333333336</v>
      </c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</row>
    <row r="1110" spans="1:30" ht="15" x14ac:dyDescent="0.2">
      <c r="A1110" s="11">
        <f t="shared" si="208"/>
        <v>2067</v>
      </c>
      <c r="B1110" s="11">
        <f t="shared" si="217"/>
        <v>365</v>
      </c>
      <c r="C1110" s="56">
        <f t="shared" ca="1" si="234"/>
        <v>154.75825</v>
      </c>
      <c r="D1110" s="56">
        <f t="shared" ca="1" si="234"/>
        <v>281.0162499999999</v>
      </c>
      <c r="E1110" s="56">
        <f t="shared" ca="1" si="234"/>
        <v>109.1005</v>
      </c>
      <c r="F1110" s="56">
        <f t="shared" ca="1" si="234"/>
        <v>57.041666666666664</v>
      </c>
      <c r="G1110" s="56">
        <f t="shared" ca="1" si="234"/>
        <v>40</v>
      </c>
      <c r="H1110" s="56">
        <f t="shared" ca="1" si="234"/>
        <v>174.58333333333334</v>
      </c>
      <c r="I1110" s="56">
        <f t="shared" ca="1" si="234"/>
        <v>0</v>
      </c>
      <c r="J1110" s="56">
        <f t="shared" ca="1" si="234"/>
        <v>100</v>
      </c>
      <c r="K1110" s="56">
        <f t="shared" ca="1" si="234"/>
        <v>300</v>
      </c>
      <c r="L1110" s="56">
        <f t="shared" ca="1" si="234"/>
        <v>1216.5</v>
      </c>
      <c r="M1110" s="56">
        <f t="shared" ca="1" si="235"/>
        <v>600</v>
      </c>
      <c r="N1110" s="56">
        <f t="shared" ca="1" si="235"/>
        <v>72.5</v>
      </c>
      <c r="O1110" s="56">
        <f t="shared" ca="1" si="235"/>
        <v>240</v>
      </c>
      <c r="P1110" s="56">
        <f t="shared" ca="1" si="235"/>
        <v>40</v>
      </c>
      <c r="Q1110" s="56">
        <f t="shared" ca="1" si="235"/>
        <v>315</v>
      </c>
      <c r="R1110" s="56">
        <f t="shared" ca="1" si="235"/>
        <v>100</v>
      </c>
      <c r="S1110" s="56">
        <f t="shared" ca="1" si="235"/>
        <v>695</v>
      </c>
      <c r="T1110" s="56">
        <f t="shared" ca="1" si="235"/>
        <v>33.333333333333336</v>
      </c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</row>
    <row r="1111" spans="1:30" ht="15" x14ac:dyDescent="0.2">
      <c r="A1111" s="11">
        <f t="shared" si="208"/>
        <v>2068</v>
      </c>
      <c r="B1111" s="11">
        <f t="shared" si="217"/>
        <v>366</v>
      </c>
      <c r="C1111" s="56">
        <f t="shared" ca="1" si="234"/>
        <v>154.75825</v>
      </c>
      <c r="D1111" s="56">
        <f t="shared" ca="1" si="234"/>
        <v>281.0162499999999</v>
      </c>
      <c r="E1111" s="56">
        <f t="shared" ca="1" si="234"/>
        <v>109.1005</v>
      </c>
      <c r="F1111" s="56">
        <f t="shared" ca="1" si="234"/>
        <v>57.041666666666664</v>
      </c>
      <c r="G1111" s="56">
        <f t="shared" ca="1" si="234"/>
        <v>40</v>
      </c>
      <c r="H1111" s="56">
        <f t="shared" ca="1" si="234"/>
        <v>174.58333333333334</v>
      </c>
      <c r="I1111" s="56">
        <f t="shared" ca="1" si="234"/>
        <v>0</v>
      </c>
      <c r="J1111" s="56">
        <f t="shared" ca="1" si="234"/>
        <v>100</v>
      </c>
      <c r="K1111" s="56">
        <f t="shared" ca="1" si="234"/>
        <v>300</v>
      </c>
      <c r="L1111" s="56">
        <f t="shared" ca="1" si="234"/>
        <v>1216.5</v>
      </c>
      <c r="M1111" s="56">
        <f t="shared" ca="1" si="235"/>
        <v>600</v>
      </c>
      <c r="N1111" s="56">
        <f t="shared" ca="1" si="235"/>
        <v>72.5</v>
      </c>
      <c r="O1111" s="56">
        <f t="shared" ca="1" si="235"/>
        <v>240</v>
      </c>
      <c r="P1111" s="56">
        <f t="shared" ca="1" si="235"/>
        <v>40</v>
      </c>
      <c r="Q1111" s="56">
        <f t="shared" ca="1" si="235"/>
        <v>315</v>
      </c>
      <c r="R1111" s="56">
        <f t="shared" ca="1" si="235"/>
        <v>100</v>
      </c>
      <c r="S1111" s="56">
        <f t="shared" ca="1" si="235"/>
        <v>695</v>
      </c>
      <c r="T1111" s="56">
        <f t="shared" ca="1" si="235"/>
        <v>33.333333333333336</v>
      </c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</row>
    <row r="1112" spans="1:30" ht="15" x14ac:dyDescent="0.2">
      <c r="A1112" s="11">
        <f t="shared" si="208"/>
        <v>2069</v>
      </c>
      <c r="B1112" s="11">
        <f t="shared" si="217"/>
        <v>365</v>
      </c>
      <c r="C1112" s="56">
        <f t="shared" ca="1" si="234"/>
        <v>154.75825</v>
      </c>
      <c r="D1112" s="56">
        <f t="shared" ca="1" si="234"/>
        <v>281.0162499999999</v>
      </c>
      <c r="E1112" s="56">
        <f t="shared" ca="1" si="234"/>
        <v>109.1005</v>
      </c>
      <c r="F1112" s="56">
        <f t="shared" ca="1" si="234"/>
        <v>57.041666666666664</v>
      </c>
      <c r="G1112" s="56">
        <f t="shared" ca="1" si="234"/>
        <v>40</v>
      </c>
      <c r="H1112" s="56">
        <f t="shared" ca="1" si="234"/>
        <v>174.58333333333334</v>
      </c>
      <c r="I1112" s="56">
        <f t="shared" ca="1" si="234"/>
        <v>0</v>
      </c>
      <c r="J1112" s="56">
        <f t="shared" ca="1" si="234"/>
        <v>100</v>
      </c>
      <c r="K1112" s="56">
        <f t="shared" ca="1" si="234"/>
        <v>300</v>
      </c>
      <c r="L1112" s="56">
        <f t="shared" ca="1" si="234"/>
        <v>1216.5</v>
      </c>
      <c r="M1112" s="56">
        <f t="shared" ca="1" si="235"/>
        <v>600</v>
      </c>
      <c r="N1112" s="56">
        <f t="shared" ca="1" si="235"/>
        <v>72.5</v>
      </c>
      <c r="O1112" s="56">
        <f t="shared" ca="1" si="235"/>
        <v>240</v>
      </c>
      <c r="P1112" s="56">
        <f t="shared" ca="1" si="235"/>
        <v>40</v>
      </c>
      <c r="Q1112" s="56">
        <f t="shared" ca="1" si="235"/>
        <v>315</v>
      </c>
      <c r="R1112" s="56">
        <f t="shared" ca="1" si="235"/>
        <v>100</v>
      </c>
      <c r="S1112" s="56">
        <f t="shared" ca="1" si="235"/>
        <v>695</v>
      </c>
      <c r="T1112" s="56">
        <f t="shared" ca="1" si="235"/>
        <v>33.333333333333336</v>
      </c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</row>
    <row r="1113" spans="1:30" ht="15" x14ac:dyDescent="0.2">
      <c r="A1113" s="11">
        <f t="shared" ref="A1113:A1143" si="236">A1112+1</f>
        <v>2070</v>
      </c>
      <c r="B1113" s="11">
        <f t="shared" si="217"/>
        <v>365</v>
      </c>
      <c r="C1113" s="56">
        <f t="shared" ca="1" si="234"/>
        <v>154.75825</v>
      </c>
      <c r="D1113" s="56">
        <f t="shared" ca="1" si="234"/>
        <v>281.0162499999999</v>
      </c>
      <c r="E1113" s="56">
        <f t="shared" ca="1" si="234"/>
        <v>109.1005</v>
      </c>
      <c r="F1113" s="56">
        <f t="shared" ca="1" si="234"/>
        <v>57.041666666666664</v>
      </c>
      <c r="G1113" s="56">
        <f t="shared" ca="1" si="234"/>
        <v>40</v>
      </c>
      <c r="H1113" s="56">
        <f t="shared" ca="1" si="234"/>
        <v>174.58333333333334</v>
      </c>
      <c r="I1113" s="56">
        <f t="shared" ca="1" si="234"/>
        <v>0</v>
      </c>
      <c r="J1113" s="56">
        <f t="shared" ca="1" si="234"/>
        <v>100</v>
      </c>
      <c r="K1113" s="56">
        <f t="shared" ca="1" si="234"/>
        <v>300</v>
      </c>
      <c r="L1113" s="56">
        <f t="shared" ca="1" si="234"/>
        <v>1216.5</v>
      </c>
      <c r="M1113" s="56">
        <f t="shared" ca="1" si="235"/>
        <v>600</v>
      </c>
      <c r="N1113" s="56">
        <f t="shared" ca="1" si="235"/>
        <v>72.5</v>
      </c>
      <c r="O1113" s="56">
        <f t="shared" ca="1" si="235"/>
        <v>240</v>
      </c>
      <c r="P1113" s="56">
        <f t="shared" ca="1" si="235"/>
        <v>40</v>
      </c>
      <c r="Q1113" s="56">
        <f t="shared" ca="1" si="235"/>
        <v>315</v>
      </c>
      <c r="R1113" s="56">
        <f t="shared" ca="1" si="235"/>
        <v>100</v>
      </c>
      <c r="S1113" s="56">
        <f t="shared" ca="1" si="235"/>
        <v>695</v>
      </c>
      <c r="T1113" s="56">
        <f t="shared" ca="1" si="235"/>
        <v>33.333333333333336</v>
      </c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</row>
    <row r="1114" spans="1:30" ht="15" x14ac:dyDescent="0.2">
      <c r="A1114" s="11">
        <f t="shared" si="236"/>
        <v>2071</v>
      </c>
      <c r="B1114" s="11">
        <f t="shared" si="217"/>
        <v>365</v>
      </c>
      <c r="C1114" s="56">
        <f t="shared" ca="1" si="234"/>
        <v>154.75825</v>
      </c>
      <c r="D1114" s="56">
        <f t="shared" ca="1" si="234"/>
        <v>281.0162499999999</v>
      </c>
      <c r="E1114" s="56">
        <f t="shared" ca="1" si="234"/>
        <v>109.1005</v>
      </c>
      <c r="F1114" s="56">
        <f t="shared" ca="1" si="234"/>
        <v>57.041666666666664</v>
      </c>
      <c r="G1114" s="56">
        <f t="shared" ca="1" si="234"/>
        <v>40</v>
      </c>
      <c r="H1114" s="56">
        <f t="shared" ca="1" si="234"/>
        <v>174.58333333333334</v>
      </c>
      <c r="I1114" s="56">
        <f t="shared" ca="1" si="234"/>
        <v>0</v>
      </c>
      <c r="J1114" s="56">
        <f t="shared" ca="1" si="234"/>
        <v>100</v>
      </c>
      <c r="K1114" s="56">
        <f t="shared" ca="1" si="234"/>
        <v>300</v>
      </c>
      <c r="L1114" s="56">
        <f t="shared" ca="1" si="234"/>
        <v>1216.5</v>
      </c>
      <c r="M1114" s="56">
        <f t="shared" ca="1" si="235"/>
        <v>600</v>
      </c>
      <c r="N1114" s="56">
        <f t="shared" ca="1" si="235"/>
        <v>72.5</v>
      </c>
      <c r="O1114" s="56">
        <f t="shared" ca="1" si="235"/>
        <v>240</v>
      </c>
      <c r="P1114" s="56">
        <f t="shared" ca="1" si="235"/>
        <v>40</v>
      </c>
      <c r="Q1114" s="56">
        <f t="shared" ca="1" si="235"/>
        <v>315</v>
      </c>
      <c r="R1114" s="56">
        <f t="shared" ca="1" si="235"/>
        <v>100</v>
      </c>
      <c r="S1114" s="56">
        <f t="shared" ca="1" si="235"/>
        <v>695</v>
      </c>
      <c r="T1114" s="56">
        <f t="shared" ca="1" si="235"/>
        <v>33.333333333333336</v>
      </c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</row>
    <row r="1115" spans="1:30" ht="15" x14ac:dyDescent="0.2">
      <c r="A1115" s="11">
        <f t="shared" si="236"/>
        <v>2072</v>
      </c>
      <c r="B1115" s="11">
        <f t="shared" si="217"/>
        <v>366</v>
      </c>
      <c r="C1115" s="56">
        <f t="shared" ref="C1115:L1124" ca="1" si="237">AVERAGE(OFFSET(C$588,($A1115-$A$1105)*12,0,12,1))</f>
        <v>154.75825</v>
      </c>
      <c r="D1115" s="56">
        <f t="shared" ca="1" si="237"/>
        <v>281.0162499999999</v>
      </c>
      <c r="E1115" s="56">
        <f t="shared" ca="1" si="237"/>
        <v>109.1005</v>
      </c>
      <c r="F1115" s="56">
        <f t="shared" ca="1" si="237"/>
        <v>57.041666666666664</v>
      </c>
      <c r="G1115" s="56">
        <f t="shared" ca="1" si="237"/>
        <v>40</v>
      </c>
      <c r="H1115" s="56">
        <f t="shared" ca="1" si="237"/>
        <v>174.58333333333334</v>
      </c>
      <c r="I1115" s="56">
        <f t="shared" ca="1" si="237"/>
        <v>0</v>
      </c>
      <c r="J1115" s="56">
        <f t="shared" ca="1" si="237"/>
        <v>100</v>
      </c>
      <c r="K1115" s="56">
        <f t="shared" ca="1" si="237"/>
        <v>300</v>
      </c>
      <c r="L1115" s="56">
        <f t="shared" ca="1" si="237"/>
        <v>1216.5</v>
      </c>
      <c r="M1115" s="56">
        <f t="shared" ref="M1115:T1124" ca="1" si="238">AVERAGE(OFFSET(M$588,($A1115-$A$1105)*12,0,12,1))</f>
        <v>600</v>
      </c>
      <c r="N1115" s="56">
        <f t="shared" ca="1" si="238"/>
        <v>72.5</v>
      </c>
      <c r="O1115" s="56">
        <f t="shared" ca="1" si="238"/>
        <v>240</v>
      </c>
      <c r="P1115" s="56">
        <f t="shared" ca="1" si="238"/>
        <v>40</v>
      </c>
      <c r="Q1115" s="56">
        <f t="shared" ca="1" si="238"/>
        <v>315</v>
      </c>
      <c r="R1115" s="56">
        <f t="shared" ca="1" si="238"/>
        <v>100</v>
      </c>
      <c r="S1115" s="56">
        <f t="shared" ca="1" si="238"/>
        <v>695</v>
      </c>
      <c r="T1115" s="56">
        <f t="shared" ca="1" si="238"/>
        <v>33.333333333333336</v>
      </c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</row>
    <row r="1116" spans="1:30" ht="15" x14ac:dyDescent="0.2">
      <c r="A1116" s="11">
        <f t="shared" si="236"/>
        <v>2073</v>
      </c>
      <c r="B1116" s="11">
        <f t="shared" si="217"/>
        <v>365</v>
      </c>
      <c r="C1116" s="56">
        <f t="shared" ca="1" si="237"/>
        <v>154.75825</v>
      </c>
      <c r="D1116" s="56">
        <f t="shared" ca="1" si="237"/>
        <v>281.0162499999999</v>
      </c>
      <c r="E1116" s="56">
        <f t="shared" ca="1" si="237"/>
        <v>109.1005</v>
      </c>
      <c r="F1116" s="56">
        <f t="shared" ca="1" si="237"/>
        <v>57.041666666666664</v>
      </c>
      <c r="G1116" s="56">
        <f t="shared" ca="1" si="237"/>
        <v>40</v>
      </c>
      <c r="H1116" s="56">
        <f t="shared" ca="1" si="237"/>
        <v>174.58333333333334</v>
      </c>
      <c r="I1116" s="56">
        <f t="shared" ca="1" si="237"/>
        <v>0</v>
      </c>
      <c r="J1116" s="56">
        <f t="shared" ca="1" si="237"/>
        <v>100</v>
      </c>
      <c r="K1116" s="56">
        <f t="shared" ca="1" si="237"/>
        <v>300</v>
      </c>
      <c r="L1116" s="56">
        <f t="shared" ca="1" si="237"/>
        <v>1216.5</v>
      </c>
      <c r="M1116" s="56">
        <f t="shared" ca="1" si="238"/>
        <v>600</v>
      </c>
      <c r="N1116" s="56">
        <f t="shared" ca="1" si="238"/>
        <v>72.5</v>
      </c>
      <c r="O1116" s="56">
        <f t="shared" ca="1" si="238"/>
        <v>240</v>
      </c>
      <c r="P1116" s="56">
        <f t="shared" ca="1" si="238"/>
        <v>40</v>
      </c>
      <c r="Q1116" s="56">
        <f t="shared" ca="1" si="238"/>
        <v>315</v>
      </c>
      <c r="R1116" s="56">
        <f t="shared" ca="1" si="238"/>
        <v>100</v>
      </c>
      <c r="S1116" s="56">
        <f t="shared" ca="1" si="238"/>
        <v>695</v>
      </c>
      <c r="T1116" s="56">
        <f t="shared" ca="1" si="238"/>
        <v>33.333333333333336</v>
      </c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</row>
    <row r="1117" spans="1:30" ht="15" x14ac:dyDescent="0.2">
      <c r="A1117" s="11">
        <f t="shared" si="236"/>
        <v>2074</v>
      </c>
      <c r="B1117" s="11">
        <f t="shared" si="217"/>
        <v>365</v>
      </c>
      <c r="C1117" s="56">
        <f t="shared" ca="1" si="237"/>
        <v>154.75825</v>
      </c>
      <c r="D1117" s="56">
        <f t="shared" ca="1" si="237"/>
        <v>281.0162499999999</v>
      </c>
      <c r="E1117" s="56">
        <f t="shared" ca="1" si="237"/>
        <v>109.1005</v>
      </c>
      <c r="F1117" s="56">
        <f t="shared" ca="1" si="237"/>
        <v>57.041666666666664</v>
      </c>
      <c r="G1117" s="56">
        <f t="shared" ca="1" si="237"/>
        <v>40</v>
      </c>
      <c r="H1117" s="56">
        <f t="shared" ca="1" si="237"/>
        <v>174.58333333333334</v>
      </c>
      <c r="I1117" s="56">
        <f t="shared" ca="1" si="237"/>
        <v>0</v>
      </c>
      <c r="J1117" s="56">
        <f t="shared" ca="1" si="237"/>
        <v>100</v>
      </c>
      <c r="K1117" s="56">
        <f t="shared" ca="1" si="237"/>
        <v>300</v>
      </c>
      <c r="L1117" s="56">
        <f t="shared" ca="1" si="237"/>
        <v>1216.5</v>
      </c>
      <c r="M1117" s="56">
        <f t="shared" ca="1" si="238"/>
        <v>600</v>
      </c>
      <c r="N1117" s="56">
        <f t="shared" ca="1" si="238"/>
        <v>72.5</v>
      </c>
      <c r="O1117" s="56">
        <f t="shared" ca="1" si="238"/>
        <v>240</v>
      </c>
      <c r="P1117" s="56">
        <f t="shared" ca="1" si="238"/>
        <v>40</v>
      </c>
      <c r="Q1117" s="56">
        <f t="shared" ca="1" si="238"/>
        <v>315</v>
      </c>
      <c r="R1117" s="56">
        <f t="shared" ca="1" si="238"/>
        <v>100</v>
      </c>
      <c r="S1117" s="56">
        <f t="shared" ca="1" si="238"/>
        <v>695</v>
      </c>
      <c r="T1117" s="56">
        <f t="shared" ca="1" si="238"/>
        <v>33.333333333333336</v>
      </c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</row>
    <row r="1118" spans="1:30" ht="15" x14ac:dyDescent="0.2">
      <c r="A1118" s="11">
        <f t="shared" si="236"/>
        <v>2075</v>
      </c>
      <c r="B1118" s="11">
        <f t="shared" si="217"/>
        <v>365</v>
      </c>
      <c r="C1118" s="56">
        <f t="shared" ca="1" si="237"/>
        <v>154.75825</v>
      </c>
      <c r="D1118" s="56">
        <f t="shared" ca="1" si="237"/>
        <v>281.0162499999999</v>
      </c>
      <c r="E1118" s="56">
        <f t="shared" ca="1" si="237"/>
        <v>109.1005</v>
      </c>
      <c r="F1118" s="56">
        <f t="shared" ca="1" si="237"/>
        <v>57.041666666666664</v>
      </c>
      <c r="G1118" s="56">
        <f t="shared" ca="1" si="237"/>
        <v>40</v>
      </c>
      <c r="H1118" s="56">
        <f t="shared" ca="1" si="237"/>
        <v>174.58333333333334</v>
      </c>
      <c r="I1118" s="56">
        <f t="shared" ca="1" si="237"/>
        <v>0</v>
      </c>
      <c r="J1118" s="56">
        <f t="shared" ca="1" si="237"/>
        <v>100</v>
      </c>
      <c r="K1118" s="56">
        <f t="shared" ca="1" si="237"/>
        <v>300</v>
      </c>
      <c r="L1118" s="56">
        <f t="shared" ca="1" si="237"/>
        <v>1216.5</v>
      </c>
      <c r="M1118" s="56">
        <f t="shared" ca="1" si="238"/>
        <v>600</v>
      </c>
      <c r="N1118" s="56">
        <f t="shared" ca="1" si="238"/>
        <v>72.5</v>
      </c>
      <c r="O1118" s="56">
        <f t="shared" ca="1" si="238"/>
        <v>240</v>
      </c>
      <c r="P1118" s="56">
        <f t="shared" ca="1" si="238"/>
        <v>40</v>
      </c>
      <c r="Q1118" s="56">
        <f t="shared" ca="1" si="238"/>
        <v>315</v>
      </c>
      <c r="R1118" s="56">
        <f t="shared" ca="1" si="238"/>
        <v>100</v>
      </c>
      <c r="S1118" s="56">
        <f t="shared" ca="1" si="238"/>
        <v>695</v>
      </c>
      <c r="T1118" s="56">
        <f t="shared" ca="1" si="238"/>
        <v>33.333333333333336</v>
      </c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</row>
    <row r="1119" spans="1:30" ht="15" x14ac:dyDescent="0.2">
      <c r="A1119" s="11">
        <f t="shared" si="236"/>
        <v>2076</v>
      </c>
      <c r="B1119" s="11">
        <f t="shared" si="217"/>
        <v>366</v>
      </c>
      <c r="C1119" s="56">
        <f t="shared" ca="1" si="237"/>
        <v>154.75825</v>
      </c>
      <c r="D1119" s="56">
        <f t="shared" ca="1" si="237"/>
        <v>281.0162499999999</v>
      </c>
      <c r="E1119" s="56">
        <f t="shared" ca="1" si="237"/>
        <v>109.1005</v>
      </c>
      <c r="F1119" s="56">
        <f t="shared" ca="1" si="237"/>
        <v>57.041666666666664</v>
      </c>
      <c r="G1119" s="56">
        <f t="shared" ca="1" si="237"/>
        <v>40</v>
      </c>
      <c r="H1119" s="56">
        <f t="shared" ca="1" si="237"/>
        <v>174.58333333333334</v>
      </c>
      <c r="I1119" s="56">
        <f t="shared" ca="1" si="237"/>
        <v>0</v>
      </c>
      <c r="J1119" s="56">
        <f t="shared" ca="1" si="237"/>
        <v>100</v>
      </c>
      <c r="K1119" s="56">
        <f t="shared" ca="1" si="237"/>
        <v>300</v>
      </c>
      <c r="L1119" s="56">
        <f t="shared" ca="1" si="237"/>
        <v>1216.5</v>
      </c>
      <c r="M1119" s="56">
        <f t="shared" ca="1" si="238"/>
        <v>600</v>
      </c>
      <c r="N1119" s="56">
        <f t="shared" ca="1" si="238"/>
        <v>72.5</v>
      </c>
      <c r="O1119" s="56">
        <f t="shared" ca="1" si="238"/>
        <v>240</v>
      </c>
      <c r="P1119" s="56">
        <f t="shared" ca="1" si="238"/>
        <v>40</v>
      </c>
      <c r="Q1119" s="56">
        <f t="shared" ca="1" si="238"/>
        <v>315</v>
      </c>
      <c r="R1119" s="56">
        <f t="shared" ca="1" si="238"/>
        <v>100</v>
      </c>
      <c r="S1119" s="56">
        <f t="shared" ca="1" si="238"/>
        <v>695</v>
      </c>
      <c r="T1119" s="56">
        <f t="shared" ca="1" si="238"/>
        <v>33.333333333333336</v>
      </c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</row>
    <row r="1120" spans="1:30" ht="15" x14ac:dyDescent="0.2">
      <c r="A1120" s="11">
        <f t="shared" si="236"/>
        <v>2077</v>
      </c>
      <c r="B1120" s="11">
        <f t="shared" si="217"/>
        <v>365</v>
      </c>
      <c r="C1120" s="56">
        <f t="shared" ca="1" si="237"/>
        <v>154.75825</v>
      </c>
      <c r="D1120" s="56">
        <f t="shared" ca="1" si="237"/>
        <v>281.0162499999999</v>
      </c>
      <c r="E1120" s="56">
        <f t="shared" ca="1" si="237"/>
        <v>109.1005</v>
      </c>
      <c r="F1120" s="56">
        <f t="shared" ca="1" si="237"/>
        <v>57.041666666666664</v>
      </c>
      <c r="G1120" s="56">
        <f t="shared" ca="1" si="237"/>
        <v>40</v>
      </c>
      <c r="H1120" s="56">
        <f t="shared" ca="1" si="237"/>
        <v>174.58333333333334</v>
      </c>
      <c r="I1120" s="56">
        <f t="shared" ca="1" si="237"/>
        <v>0</v>
      </c>
      <c r="J1120" s="56">
        <f t="shared" ca="1" si="237"/>
        <v>100</v>
      </c>
      <c r="K1120" s="56">
        <f t="shared" ca="1" si="237"/>
        <v>300</v>
      </c>
      <c r="L1120" s="56">
        <f t="shared" ca="1" si="237"/>
        <v>1216.5</v>
      </c>
      <c r="M1120" s="56">
        <f t="shared" ca="1" si="238"/>
        <v>600</v>
      </c>
      <c r="N1120" s="56">
        <f t="shared" ca="1" si="238"/>
        <v>72.5</v>
      </c>
      <c r="O1120" s="56">
        <f t="shared" ca="1" si="238"/>
        <v>240</v>
      </c>
      <c r="P1120" s="56">
        <f t="shared" ca="1" si="238"/>
        <v>40</v>
      </c>
      <c r="Q1120" s="56">
        <f t="shared" ca="1" si="238"/>
        <v>315</v>
      </c>
      <c r="R1120" s="56">
        <f t="shared" ca="1" si="238"/>
        <v>100</v>
      </c>
      <c r="S1120" s="56">
        <f t="shared" ca="1" si="238"/>
        <v>695</v>
      </c>
      <c r="T1120" s="56">
        <f t="shared" ca="1" si="238"/>
        <v>33.333333333333336</v>
      </c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</row>
    <row r="1121" spans="1:30" ht="15" x14ac:dyDescent="0.2">
      <c r="A1121" s="11">
        <f t="shared" si="236"/>
        <v>2078</v>
      </c>
      <c r="B1121" s="11">
        <f t="shared" ref="B1121:B1143" si="239">DATE(A1121+1,1,1)-DATE(A1121,1,1)</f>
        <v>365</v>
      </c>
      <c r="C1121" s="56">
        <f t="shared" ca="1" si="237"/>
        <v>154.75825</v>
      </c>
      <c r="D1121" s="56">
        <f t="shared" ca="1" si="237"/>
        <v>281.0162499999999</v>
      </c>
      <c r="E1121" s="56">
        <f t="shared" ca="1" si="237"/>
        <v>109.1005</v>
      </c>
      <c r="F1121" s="56">
        <f t="shared" ca="1" si="237"/>
        <v>57.041666666666664</v>
      </c>
      <c r="G1121" s="56">
        <f t="shared" ca="1" si="237"/>
        <v>40</v>
      </c>
      <c r="H1121" s="56">
        <f t="shared" ca="1" si="237"/>
        <v>174.58333333333334</v>
      </c>
      <c r="I1121" s="56">
        <f t="shared" ca="1" si="237"/>
        <v>0</v>
      </c>
      <c r="J1121" s="56">
        <f t="shared" ca="1" si="237"/>
        <v>100</v>
      </c>
      <c r="K1121" s="56">
        <f t="shared" ca="1" si="237"/>
        <v>300</v>
      </c>
      <c r="L1121" s="56">
        <f t="shared" ca="1" si="237"/>
        <v>1216.5</v>
      </c>
      <c r="M1121" s="56">
        <f t="shared" ca="1" si="238"/>
        <v>600</v>
      </c>
      <c r="N1121" s="56">
        <f t="shared" ca="1" si="238"/>
        <v>72.5</v>
      </c>
      <c r="O1121" s="56">
        <f t="shared" ca="1" si="238"/>
        <v>240</v>
      </c>
      <c r="P1121" s="56">
        <f t="shared" ca="1" si="238"/>
        <v>40</v>
      </c>
      <c r="Q1121" s="56">
        <f t="shared" ca="1" si="238"/>
        <v>315</v>
      </c>
      <c r="R1121" s="56">
        <f t="shared" ca="1" si="238"/>
        <v>100</v>
      </c>
      <c r="S1121" s="56">
        <f t="shared" ca="1" si="238"/>
        <v>695</v>
      </c>
      <c r="T1121" s="56">
        <f t="shared" ca="1" si="238"/>
        <v>33.333333333333336</v>
      </c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</row>
    <row r="1122" spans="1:30" ht="15" x14ac:dyDescent="0.2">
      <c r="A1122" s="11">
        <f t="shared" si="236"/>
        <v>2079</v>
      </c>
      <c r="B1122" s="11">
        <f t="shared" si="239"/>
        <v>365</v>
      </c>
      <c r="C1122" s="56">
        <f t="shared" ca="1" si="237"/>
        <v>154.75825</v>
      </c>
      <c r="D1122" s="56">
        <f t="shared" ca="1" si="237"/>
        <v>281.0162499999999</v>
      </c>
      <c r="E1122" s="56">
        <f t="shared" ca="1" si="237"/>
        <v>109.1005</v>
      </c>
      <c r="F1122" s="56">
        <f t="shared" ca="1" si="237"/>
        <v>57.041666666666664</v>
      </c>
      <c r="G1122" s="56">
        <f t="shared" ca="1" si="237"/>
        <v>40</v>
      </c>
      <c r="H1122" s="56">
        <f t="shared" ca="1" si="237"/>
        <v>174.58333333333334</v>
      </c>
      <c r="I1122" s="56">
        <f t="shared" ca="1" si="237"/>
        <v>0</v>
      </c>
      <c r="J1122" s="56">
        <f t="shared" ca="1" si="237"/>
        <v>100</v>
      </c>
      <c r="K1122" s="56">
        <f t="shared" ca="1" si="237"/>
        <v>300</v>
      </c>
      <c r="L1122" s="56">
        <f t="shared" ca="1" si="237"/>
        <v>1216.5</v>
      </c>
      <c r="M1122" s="56">
        <f t="shared" ca="1" si="238"/>
        <v>600</v>
      </c>
      <c r="N1122" s="56">
        <f t="shared" ca="1" si="238"/>
        <v>72.5</v>
      </c>
      <c r="O1122" s="56">
        <f t="shared" ca="1" si="238"/>
        <v>240</v>
      </c>
      <c r="P1122" s="56">
        <f t="shared" ca="1" si="238"/>
        <v>40</v>
      </c>
      <c r="Q1122" s="56">
        <f t="shared" ca="1" si="238"/>
        <v>315</v>
      </c>
      <c r="R1122" s="56">
        <f t="shared" ca="1" si="238"/>
        <v>100</v>
      </c>
      <c r="S1122" s="56">
        <f t="shared" ca="1" si="238"/>
        <v>695</v>
      </c>
      <c r="T1122" s="56">
        <f t="shared" ca="1" si="238"/>
        <v>33.333333333333336</v>
      </c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</row>
    <row r="1123" spans="1:30" ht="15" x14ac:dyDescent="0.2">
      <c r="A1123" s="11">
        <f t="shared" si="236"/>
        <v>2080</v>
      </c>
      <c r="B1123" s="11">
        <f t="shared" si="239"/>
        <v>366</v>
      </c>
      <c r="C1123" s="56">
        <f t="shared" ca="1" si="237"/>
        <v>154.75825</v>
      </c>
      <c r="D1123" s="56">
        <f t="shared" ca="1" si="237"/>
        <v>281.0162499999999</v>
      </c>
      <c r="E1123" s="56">
        <f t="shared" ca="1" si="237"/>
        <v>109.1005</v>
      </c>
      <c r="F1123" s="56">
        <f t="shared" ca="1" si="237"/>
        <v>57.041666666666664</v>
      </c>
      <c r="G1123" s="56">
        <f t="shared" ca="1" si="237"/>
        <v>40</v>
      </c>
      <c r="H1123" s="56">
        <f t="shared" ca="1" si="237"/>
        <v>174.58333333333334</v>
      </c>
      <c r="I1123" s="56">
        <f t="shared" ca="1" si="237"/>
        <v>0</v>
      </c>
      <c r="J1123" s="56">
        <f t="shared" ca="1" si="237"/>
        <v>100</v>
      </c>
      <c r="K1123" s="56">
        <f t="shared" ca="1" si="237"/>
        <v>300</v>
      </c>
      <c r="L1123" s="56">
        <f t="shared" ca="1" si="237"/>
        <v>1216.5</v>
      </c>
      <c r="M1123" s="56">
        <f t="shared" ca="1" si="238"/>
        <v>600</v>
      </c>
      <c r="N1123" s="56">
        <f t="shared" ca="1" si="238"/>
        <v>72.5</v>
      </c>
      <c r="O1123" s="56">
        <f t="shared" ca="1" si="238"/>
        <v>240</v>
      </c>
      <c r="P1123" s="56">
        <f t="shared" ca="1" si="238"/>
        <v>40</v>
      </c>
      <c r="Q1123" s="56">
        <f t="shared" ca="1" si="238"/>
        <v>315</v>
      </c>
      <c r="R1123" s="56">
        <f t="shared" ca="1" si="238"/>
        <v>100</v>
      </c>
      <c r="S1123" s="56">
        <f t="shared" ca="1" si="238"/>
        <v>695</v>
      </c>
      <c r="T1123" s="56">
        <f t="shared" ca="1" si="238"/>
        <v>33.333333333333336</v>
      </c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</row>
    <row r="1124" spans="1:30" ht="15" x14ac:dyDescent="0.2">
      <c r="A1124" s="11">
        <f t="shared" si="236"/>
        <v>2081</v>
      </c>
      <c r="B1124" s="11">
        <f t="shared" si="239"/>
        <v>365</v>
      </c>
      <c r="C1124" s="56">
        <f t="shared" ca="1" si="237"/>
        <v>154.75825</v>
      </c>
      <c r="D1124" s="56">
        <f t="shared" ca="1" si="237"/>
        <v>281.0162499999999</v>
      </c>
      <c r="E1124" s="56">
        <f t="shared" ca="1" si="237"/>
        <v>109.1005</v>
      </c>
      <c r="F1124" s="56">
        <f t="shared" ca="1" si="237"/>
        <v>57.041666666666664</v>
      </c>
      <c r="G1124" s="56">
        <f t="shared" ca="1" si="237"/>
        <v>40</v>
      </c>
      <c r="H1124" s="56">
        <f t="shared" ca="1" si="237"/>
        <v>174.58333333333334</v>
      </c>
      <c r="I1124" s="56">
        <f t="shared" ca="1" si="237"/>
        <v>0</v>
      </c>
      <c r="J1124" s="56">
        <f t="shared" ca="1" si="237"/>
        <v>100</v>
      </c>
      <c r="K1124" s="56">
        <f t="shared" ca="1" si="237"/>
        <v>300</v>
      </c>
      <c r="L1124" s="56">
        <f t="shared" ca="1" si="237"/>
        <v>1216.5</v>
      </c>
      <c r="M1124" s="56">
        <f t="shared" ca="1" si="238"/>
        <v>600</v>
      </c>
      <c r="N1124" s="56">
        <f t="shared" ca="1" si="238"/>
        <v>72.5</v>
      </c>
      <c r="O1124" s="56">
        <f t="shared" ca="1" si="238"/>
        <v>240</v>
      </c>
      <c r="P1124" s="56">
        <f t="shared" ca="1" si="238"/>
        <v>40</v>
      </c>
      <c r="Q1124" s="56">
        <f t="shared" ca="1" si="238"/>
        <v>315</v>
      </c>
      <c r="R1124" s="56">
        <f t="shared" ca="1" si="238"/>
        <v>100</v>
      </c>
      <c r="S1124" s="56">
        <f t="shared" ca="1" si="238"/>
        <v>695</v>
      </c>
      <c r="T1124" s="56">
        <f t="shared" ca="1" si="238"/>
        <v>33.333333333333336</v>
      </c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</row>
    <row r="1125" spans="1:30" ht="15" x14ac:dyDescent="0.2">
      <c r="A1125" s="11">
        <f t="shared" si="236"/>
        <v>2082</v>
      </c>
      <c r="B1125" s="11">
        <f t="shared" si="239"/>
        <v>365</v>
      </c>
      <c r="C1125" s="56">
        <f t="shared" ref="C1125:L1134" ca="1" si="240">AVERAGE(OFFSET(C$588,($A1125-$A$1105)*12,0,12,1))</f>
        <v>154.75825</v>
      </c>
      <c r="D1125" s="56">
        <f t="shared" ca="1" si="240"/>
        <v>281.0162499999999</v>
      </c>
      <c r="E1125" s="56">
        <f t="shared" ca="1" si="240"/>
        <v>109.1005</v>
      </c>
      <c r="F1125" s="56">
        <f t="shared" ca="1" si="240"/>
        <v>57.041666666666664</v>
      </c>
      <c r="G1125" s="56">
        <f t="shared" ca="1" si="240"/>
        <v>40</v>
      </c>
      <c r="H1125" s="56">
        <f t="shared" ca="1" si="240"/>
        <v>174.58333333333334</v>
      </c>
      <c r="I1125" s="56">
        <f t="shared" ca="1" si="240"/>
        <v>0</v>
      </c>
      <c r="J1125" s="56">
        <f t="shared" ca="1" si="240"/>
        <v>100</v>
      </c>
      <c r="K1125" s="56">
        <f t="shared" ca="1" si="240"/>
        <v>300</v>
      </c>
      <c r="L1125" s="56">
        <f t="shared" ca="1" si="240"/>
        <v>1216.5</v>
      </c>
      <c r="M1125" s="56">
        <f t="shared" ref="M1125:T1134" ca="1" si="241">AVERAGE(OFFSET(M$588,($A1125-$A$1105)*12,0,12,1))</f>
        <v>600</v>
      </c>
      <c r="N1125" s="56">
        <f t="shared" ca="1" si="241"/>
        <v>72.5</v>
      </c>
      <c r="O1125" s="56">
        <f t="shared" ca="1" si="241"/>
        <v>240</v>
      </c>
      <c r="P1125" s="56">
        <f t="shared" ca="1" si="241"/>
        <v>40</v>
      </c>
      <c r="Q1125" s="56">
        <f t="shared" ca="1" si="241"/>
        <v>315</v>
      </c>
      <c r="R1125" s="56">
        <f t="shared" ca="1" si="241"/>
        <v>100</v>
      </c>
      <c r="S1125" s="56">
        <f t="shared" ca="1" si="241"/>
        <v>695</v>
      </c>
      <c r="T1125" s="56">
        <f t="shared" ca="1" si="241"/>
        <v>33.333333333333336</v>
      </c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</row>
    <row r="1126" spans="1:30" ht="15" x14ac:dyDescent="0.2">
      <c r="A1126" s="11">
        <f t="shared" si="236"/>
        <v>2083</v>
      </c>
      <c r="B1126" s="11">
        <f t="shared" si="239"/>
        <v>365</v>
      </c>
      <c r="C1126" s="56">
        <f t="shared" ca="1" si="240"/>
        <v>154.75825</v>
      </c>
      <c r="D1126" s="56">
        <f t="shared" ca="1" si="240"/>
        <v>281.0162499999999</v>
      </c>
      <c r="E1126" s="56">
        <f t="shared" ca="1" si="240"/>
        <v>109.1005</v>
      </c>
      <c r="F1126" s="56">
        <f t="shared" ca="1" si="240"/>
        <v>57.041666666666664</v>
      </c>
      <c r="G1126" s="56">
        <f t="shared" ca="1" si="240"/>
        <v>40</v>
      </c>
      <c r="H1126" s="56">
        <f t="shared" ca="1" si="240"/>
        <v>174.58333333333334</v>
      </c>
      <c r="I1126" s="56">
        <f t="shared" ca="1" si="240"/>
        <v>0</v>
      </c>
      <c r="J1126" s="56">
        <f t="shared" ca="1" si="240"/>
        <v>100</v>
      </c>
      <c r="K1126" s="56">
        <f t="shared" ca="1" si="240"/>
        <v>300</v>
      </c>
      <c r="L1126" s="56">
        <f t="shared" ca="1" si="240"/>
        <v>1216.5</v>
      </c>
      <c r="M1126" s="56">
        <f t="shared" ca="1" si="241"/>
        <v>600</v>
      </c>
      <c r="N1126" s="56">
        <f t="shared" ca="1" si="241"/>
        <v>72.5</v>
      </c>
      <c r="O1126" s="56">
        <f t="shared" ca="1" si="241"/>
        <v>240</v>
      </c>
      <c r="P1126" s="56">
        <f t="shared" ca="1" si="241"/>
        <v>40</v>
      </c>
      <c r="Q1126" s="56">
        <f t="shared" ca="1" si="241"/>
        <v>315</v>
      </c>
      <c r="R1126" s="56">
        <f t="shared" ca="1" si="241"/>
        <v>100</v>
      </c>
      <c r="S1126" s="56">
        <f t="shared" ca="1" si="241"/>
        <v>695</v>
      </c>
      <c r="T1126" s="56">
        <f t="shared" ca="1" si="241"/>
        <v>33.333333333333336</v>
      </c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</row>
    <row r="1127" spans="1:30" ht="15" x14ac:dyDescent="0.2">
      <c r="A1127" s="11">
        <f t="shared" si="236"/>
        <v>2084</v>
      </c>
      <c r="B1127" s="11">
        <f t="shared" si="239"/>
        <v>366</v>
      </c>
      <c r="C1127" s="56">
        <f t="shared" ca="1" si="240"/>
        <v>154.75825</v>
      </c>
      <c r="D1127" s="56">
        <f t="shared" ca="1" si="240"/>
        <v>281.0162499999999</v>
      </c>
      <c r="E1127" s="56">
        <f t="shared" ca="1" si="240"/>
        <v>109.1005</v>
      </c>
      <c r="F1127" s="56">
        <f t="shared" ca="1" si="240"/>
        <v>57.041666666666664</v>
      </c>
      <c r="G1127" s="56">
        <f t="shared" ca="1" si="240"/>
        <v>40</v>
      </c>
      <c r="H1127" s="56">
        <f t="shared" ca="1" si="240"/>
        <v>174.58333333333334</v>
      </c>
      <c r="I1127" s="56">
        <f t="shared" ca="1" si="240"/>
        <v>0</v>
      </c>
      <c r="J1127" s="56">
        <f t="shared" ca="1" si="240"/>
        <v>100</v>
      </c>
      <c r="K1127" s="56">
        <f t="shared" ca="1" si="240"/>
        <v>300</v>
      </c>
      <c r="L1127" s="56">
        <f t="shared" ca="1" si="240"/>
        <v>1216.5</v>
      </c>
      <c r="M1127" s="56">
        <f t="shared" ca="1" si="241"/>
        <v>600</v>
      </c>
      <c r="N1127" s="56">
        <f t="shared" ca="1" si="241"/>
        <v>72.5</v>
      </c>
      <c r="O1127" s="56">
        <f t="shared" ca="1" si="241"/>
        <v>240</v>
      </c>
      <c r="P1127" s="56">
        <f t="shared" ca="1" si="241"/>
        <v>40</v>
      </c>
      <c r="Q1127" s="56">
        <f t="shared" ca="1" si="241"/>
        <v>315</v>
      </c>
      <c r="R1127" s="56">
        <f t="shared" ca="1" si="241"/>
        <v>100</v>
      </c>
      <c r="S1127" s="56">
        <f t="shared" ca="1" si="241"/>
        <v>695</v>
      </c>
      <c r="T1127" s="56">
        <f t="shared" ca="1" si="241"/>
        <v>33.333333333333336</v>
      </c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</row>
    <row r="1128" spans="1:30" ht="15" x14ac:dyDescent="0.2">
      <c r="A1128" s="11">
        <f t="shared" si="236"/>
        <v>2085</v>
      </c>
      <c r="B1128" s="11">
        <f t="shared" si="239"/>
        <v>365</v>
      </c>
      <c r="C1128" s="56">
        <f t="shared" ca="1" si="240"/>
        <v>154.75825</v>
      </c>
      <c r="D1128" s="56">
        <f t="shared" ca="1" si="240"/>
        <v>281.0162499999999</v>
      </c>
      <c r="E1128" s="56">
        <f t="shared" ca="1" si="240"/>
        <v>109.1005</v>
      </c>
      <c r="F1128" s="56">
        <f t="shared" ca="1" si="240"/>
        <v>57.041666666666664</v>
      </c>
      <c r="G1128" s="56">
        <f t="shared" ca="1" si="240"/>
        <v>40</v>
      </c>
      <c r="H1128" s="56">
        <f t="shared" ca="1" si="240"/>
        <v>174.58333333333334</v>
      </c>
      <c r="I1128" s="56">
        <f t="shared" ca="1" si="240"/>
        <v>0</v>
      </c>
      <c r="J1128" s="56">
        <f t="shared" ca="1" si="240"/>
        <v>100</v>
      </c>
      <c r="K1128" s="56">
        <f t="shared" ca="1" si="240"/>
        <v>300</v>
      </c>
      <c r="L1128" s="56">
        <f t="shared" ca="1" si="240"/>
        <v>1216.5</v>
      </c>
      <c r="M1128" s="56">
        <f t="shared" ca="1" si="241"/>
        <v>600</v>
      </c>
      <c r="N1128" s="56">
        <f t="shared" ca="1" si="241"/>
        <v>72.5</v>
      </c>
      <c r="O1128" s="56">
        <f t="shared" ca="1" si="241"/>
        <v>240</v>
      </c>
      <c r="P1128" s="56">
        <f t="shared" ca="1" si="241"/>
        <v>40</v>
      </c>
      <c r="Q1128" s="56">
        <f t="shared" ca="1" si="241"/>
        <v>315</v>
      </c>
      <c r="R1128" s="56">
        <f t="shared" ca="1" si="241"/>
        <v>100</v>
      </c>
      <c r="S1128" s="56">
        <f t="shared" ca="1" si="241"/>
        <v>695</v>
      </c>
      <c r="T1128" s="56">
        <f t="shared" ca="1" si="241"/>
        <v>33.333333333333336</v>
      </c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</row>
    <row r="1129" spans="1:30" ht="15" x14ac:dyDescent="0.2">
      <c r="A1129" s="11">
        <f t="shared" si="236"/>
        <v>2086</v>
      </c>
      <c r="B1129" s="11">
        <f t="shared" si="239"/>
        <v>365</v>
      </c>
      <c r="C1129" s="56">
        <f t="shared" ca="1" si="240"/>
        <v>154.75825</v>
      </c>
      <c r="D1129" s="56">
        <f t="shared" ca="1" si="240"/>
        <v>281.0162499999999</v>
      </c>
      <c r="E1129" s="56">
        <f t="shared" ca="1" si="240"/>
        <v>109.1005</v>
      </c>
      <c r="F1129" s="56">
        <f t="shared" ca="1" si="240"/>
        <v>57.041666666666664</v>
      </c>
      <c r="G1129" s="56">
        <f t="shared" ca="1" si="240"/>
        <v>40</v>
      </c>
      <c r="H1129" s="56">
        <f t="shared" ca="1" si="240"/>
        <v>174.58333333333334</v>
      </c>
      <c r="I1129" s="56">
        <f t="shared" ca="1" si="240"/>
        <v>0</v>
      </c>
      <c r="J1129" s="56">
        <f t="shared" ca="1" si="240"/>
        <v>100</v>
      </c>
      <c r="K1129" s="56">
        <f t="shared" ca="1" si="240"/>
        <v>300</v>
      </c>
      <c r="L1129" s="56">
        <f t="shared" ca="1" si="240"/>
        <v>1216.5</v>
      </c>
      <c r="M1129" s="56">
        <f t="shared" ca="1" si="241"/>
        <v>600</v>
      </c>
      <c r="N1129" s="56">
        <f t="shared" ca="1" si="241"/>
        <v>72.5</v>
      </c>
      <c r="O1129" s="56">
        <f t="shared" ca="1" si="241"/>
        <v>240</v>
      </c>
      <c r="P1129" s="56">
        <f t="shared" ca="1" si="241"/>
        <v>40</v>
      </c>
      <c r="Q1129" s="56">
        <f t="shared" ca="1" si="241"/>
        <v>315</v>
      </c>
      <c r="R1129" s="56">
        <f t="shared" ca="1" si="241"/>
        <v>100</v>
      </c>
      <c r="S1129" s="56">
        <f t="shared" ca="1" si="241"/>
        <v>695</v>
      </c>
      <c r="T1129" s="56">
        <f t="shared" ca="1" si="241"/>
        <v>33.333333333333336</v>
      </c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</row>
    <row r="1130" spans="1:30" ht="15" x14ac:dyDescent="0.2">
      <c r="A1130" s="11">
        <f t="shared" si="236"/>
        <v>2087</v>
      </c>
      <c r="B1130" s="11">
        <f t="shared" si="239"/>
        <v>365</v>
      </c>
      <c r="C1130" s="56">
        <f t="shared" ca="1" si="240"/>
        <v>154.75825</v>
      </c>
      <c r="D1130" s="56">
        <f t="shared" ca="1" si="240"/>
        <v>281.0162499999999</v>
      </c>
      <c r="E1130" s="56">
        <f t="shared" ca="1" si="240"/>
        <v>109.1005</v>
      </c>
      <c r="F1130" s="56">
        <f t="shared" ca="1" si="240"/>
        <v>57.041666666666664</v>
      </c>
      <c r="G1130" s="56">
        <f t="shared" ca="1" si="240"/>
        <v>40</v>
      </c>
      <c r="H1130" s="56">
        <f t="shared" ca="1" si="240"/>
        <v>174.58333333333334</v>
      </c>
      <c r="I1130" s="56">
        <f t="shared" ca="1" si="240"/>
        <v>0</v>
      </c>
      <c r="J1130" s="56">
        <f t="shared" ca="1" si="240"/>
        <v>100</v>
      </c>
      <c r="K1130" s="56">
        <f t="shared" ca="1" si="240"/>
        <v>300</v>
      </c>
      <c r="L1130" s="56">
        <f t="shared" ca="1" si="240"/>
        <v>1216.5</v>
      </c>
      <c r="M1130" s="56">
        <f t="shared" ca="1" si="241"/>
        <v>600</v>
      </c>
      <c r="N1130" s="56">
        <f t="shared" ca="1" si="241"/>
        <v>72.5</v>
      </c>
      <c r="O1130" s="56">
        <f t="shared" ca="1" si="241"/>
        <v>240</v>
      </c>
      <c r="P1130" s="56">
        <f t="shared" ca="1" si="241"/>
        <v>40</v>
      </c>
      <c r="Q1130" s="56">
        <f t="shared" ca="1" si="241"/>
        <v>315</v>
      </c>
      <c r="R1130" s="56">
        <f t="shared" ca="1" si="241"/>
        <v>100</v>
      </c>
      <c r="S1130" s="56">
        <f t="shared" ca="1" si="241"/>
        <v>695</v>
      </c>
      <c r="T1130" s="56">
        <f t="shared" ca="1" si="241"/>
        <v>33.333333333333336</v>
      </c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</row>
    <row r="1131" spans="1:30" ht="15" x14ac:dyDescent="0.2">
      <c r="A1131" s="11">
        <f t="shared" si="236"/>
        <v>2088</v>
      </c>
      <c r="B1131" s="11">
        <f t="shared" si="239"/>
        <v>366</v>
      </c>
      <c r="C1131" s="56">
        <f t="shared" ca="1" si="240"/>
        <v>154.75825</v>
      </c>
      <c r="D1131" s="56">
        <f t="shared" ca="1" si="240"/>
        <v>281.0162499999999</v>
      </c>
      <c r="E1131" s="56">
        <f t="shared" ca="1" si="240"/>
        <v>109.1005</v>
      </c>
      <c r="F1131" s="56">
        <f t="shared" ca="1" si="240"/>
        <v>57.041666666666664</v>
      </c>
      <c r="G1131" s="56">
        <f t="shared" ca="1" si="240"/>
        <v>40</v>
      </c>
      <c r="H1131" s="56">
        <f t="shared" ca="1" si="240"/>
        <v>174.58333333333334</v>
      </c>
      <c r="I1131" s="56">
        <f t="shared" ca="1" si="240"/>
        <v>0</v>
      </c>
      <c r="J1131" s="56">
        <f t="shared" ca="1" si="240"/>
        <v>100</v>
      </c>
      <c r="K1131" s="56">
        <f t="shared" ca="1" si="240"/>
        <v>300</v>
      </c>
      <c r="L1131" s="56">
        <f t="shared" ca="1" si="240"/>
        <v>1216.5</v>
      </c>
      <c r="M1131" s="56">
        <f t="shared" ca="1" si="241"/>
        <v>600</v>
      </c>
      <c r="N1131" s="56">
        <f t="shared" ca="1" si="241"/>
        <v>72.5</v>
      </c>
      <c r="O1131" s="56">
        <f t="shared" ca="1" si="241"/>
        <v>240</v>
      </c>
      <c r="P1131" s="56">
        <f t="shared" ca="1" si="241"/>
        <v>40</v>
      </c>
      <c r="Q1131" s="56">
        <f t="shared" ca="1" si="241"/>
        <v>315</v>
      </c>
      <c r="R1131" s="56">
        <f t="shared" ca="1" si="241"/>
        <v>100</v>
      </c>
      <c r="S1131" s="56">
        <f t="shared" ca="1" si="241"/>
        <v>695</v>
      </c>
      <c r="T1131" s="56">
        <f t="shared" ca="1" si="241"/>
        <v>33.333333333333336</v>
      </c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</row>
    <row r="1132" spans="1:30" ht="15" x14ac:dyDescent="0.2">
      <c r="A1132" s="11">
        <f t="shared" si="236"/>
        <v>2089</v>
      </c>
      <c r="B1132" s="11">
        <f t="shared" si="239"/>
        <v>365</v>
      </c>
      <c r="C1132" s="56">
        <f t="shared" ca="1" si="240"/>
        <v>154.75825</v>
      </c>
      <c r="D1132" s="56">
        <f t="shared" ca="1" si="240"/>
        <v>281.0162499999999</v>
      </c>
      <c r="E1132" s="56">
        <f t="shared" ca="1" si="240"/>
        <v>109.1005</v>
      </c>
      <c r="F1132" s="56">
        <f t="shared" ca="1" si="240"/>
        <v>57.041666666666664</v>
      </c>
      <c r="G1132" s="56">
        <f t="shared" ca="1" si="240"/>
        <v>40</v>
      </c>
      <c r="H1132" s="56">
        <f t="shared" ca="1" si="240"/>
        <v>174.58333333333334</v>
      </c>
      <c r="I1132" s="56">
        <f t="shared" ca="1" si="240"/>
        <v>0</v>
      </c>
      <c r="J1132" s="56">
        <f t="shared" ca="1" si="240"/>
        <v>100</v>
      </c>
      <c r="K1132" s="56">
        <f t="shared" ca="1" si="240"/>
        <v>300</v>
      </c>
      <c r="L1132" s="56">
        <f t="shared" ca="1" si="240"/>
        <v>1216.5</v>
      </c>
      <c r="M1132" s="56">
        <f t="shared" ca="1" si="241"/>
        <v>600</v>
      </c>
      <c r="N1132" s="56">
        <f t="shared" ca="1" si="241"/>
        <v>72.5</v>
      </c>
      <c r="O1132" s="56">
        <f t="shared" ca="1" si="241"/>
        <v>240</v>
      </c>
      <c r="P1132" s="56">
        <f t="shared" ca="1" si="241"/>
        <v>40</v>
      </c>
      <c r="Q1132" s="56">
        <f t="shared" ca="1" si="241"/>
        <v>315</v>
      </c>
      <c r="R1132" s="56">
        <f t="shared" ca="1" si="241"/>
        <v>100</v>
      </c>
      <c r="S1132" s="56">
        <f t="shared" ca="1" si="241"/>
        <v>695</v>
      </c>
      <c r="T1132" s="56">
        <f t="shared" ca="1" si="241"/>
        <v>33.333333333333336</v>
      </c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</row>
    <row r="1133" spans="1:30" ht="15" x14ac:dyDescent="0.2">
      <c r="A1133" s="11">
        <f t="shared" si="236"/>
        <v>2090</v>
      </c>
      <c r="B1133" s="11">
        <f t="shared" si="239"/>
        <v>365</v>
      </c>
      <c r="C1133" s="56">
        <f t="shared" ca="1" si="240"/>
        <v>154.75825</v>
      </c>
      <c r="D1133" s="56">
        <f t="shared" ca="1" si="240"/>
        <v>281.0162499999999</v>
      </c>
      <c r="E1133" s="56">
        <f t="shared" ca="1" si="240"/>
        <v>109.1005</v>
      </c>
      <c r="F1133" s="56">
        <f t="shared" ca="1" si="240"/>
        <v>57.041666666666664</v>
      </c>
      <c r="G1133" s="56">
        <f t="shared" ca="1" si="240"/>
        <v>40</v>
      </c>
      <c r="H1133" s="56">
        <f t="shared" ca="1" si="240"/>
        <v>174.58333333333334</v>
      </c>
      <c r="I1133" s="56">
        <f t="shared" ca="1" si="240"/>
        <v>0</v>
      </c>
      <c r="J1133" s="56">
        <f t="shared" ca="1" si="240"/>
        <v>100</v>
      </c>
      <c r="K1133" s="56">
        <f t="shared" ca="1" si="240"/>
        <v>300</v>
      </c>
      <c r="L1133" s="56">
        <f t="shared" ca="1" si="240"/>
        <v>1216.5</v>
      </c>
      <c r="M1133" s="56">
        <f t="shared" ca="1" si="241"/>
        <v>600</v>
      </c>
      <c r="N1133" s="56">
        <f t="shared" ca="1" si="241"/>
        <v>72.5</v>
      </c>
      <c r="O1133" s="56">
        <f t="shared" ca="1" si="241"/>
        <v>240</v>
      </c>
      <c r="P1133" s="56">
        <f t="shared" ca="1" si="241"/>
        <v>40</v>
      </c>
      <c r="Q1133" s="56">
        <f t="shared" ca="1" si="241"/>
        <v>315</v>
      </c>
      <c r="R1133" s="56">
        <f t="shared" ca="1" si="241"/>
        <v>100</v>
      </c>
      <c r="S1133" s="56">
        <f t="shared" ca="1" si="241"/>
        <v>695</v>
      </c>
      <c r="T1133" s="56">
        <f t="shared" ca="1" si="241"/>
        <v>33.333333333333336</v>
      </c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</row>
    <row r="1134" spans="1:30" ht="15" x14ac:dyDescent="0.2">
      <c r="A1134" s="11">
        <f t="shared" si="236"/>
        <v>2091</v>
      </c>
      <c r="B1134" s="11">
        <f t="shared" si="239"/>
        <v>365</v>
      </c>
      <c r="C1134" s="56">
        <f t="shared" ca="1" si="240"/>
        <v>154.75825</v>
      </c>
      <c r="D1134" s="56">
        <f t="shared" ca="1" si="240"/>
        <v>281.0162499999999</v>
      </c>
      <c r="E1134" s="56">
        <f t="shared" ca="1" si="240"/>
        <v>109.1005</v>
      </c>
      <c r="F1134" s="56">
        <f t="shared" ca="1" si="240"/>
        <v>57.041666666666664</v>
      </c>
      <c r="G1134" s="56">
        <f t="shared" ca="1" si="240"/>
        <v>40</v>
      </c>
      <c r="H1134" s="56">
        <f t="shared" ca="1" si="240"/>
        <v>174.58333333333334</v>
      </c>
      <c r="I1134" s="56">
        <f t="shared" ca="1" si="240"/>
        <v>0</v>
      </c>
      <c r="J1134" s="56">
        <f t="shared" ca="1" si="240"/>
        <v>100</v>
      </c>
      <c r="K1134" s="56">
        <f t="shared" ca="1" si="240"/>
        <v>300</v>
      </c>
      <c r="L1134" s="56">
        <f t="shared" ca="1" si="240"/>
        <v>1216.5</v>
      </c>
      <c r="M1134" s="56">
        <f t="shared" ca="1" si="241"/>
        <v>600</v>
      </c>
      <c r="N1134" s="56">
        <f t="shared" ca="1" si="241"/>
        <v>72.5</v>
      </c>
      <c r="O1134" s="56">
        <f t="shared" ca="1" si="241"/>
        <v>240</v>
      </c>
      <c r="P1134" s="56">
        <f t="shared" ca="1" si="241"/>
        <v>40</v>
      </c>
      <c r="Q1134" s="56">
        <f t="shared" ca="1" si="241"/>
        <v>315</v>
      </c>
      <c r="R1134" s="56">
        <f t="shared" ca="1" si="241"/>
        <v>100</v>
      </c>
      <c r="S1134" s="56">
        <f t="shared" ca="1" si="241"/>
        <v>695</v>
      </c>
      <c r="T1134" s="56">
        <f t="shared" ca="1" si="241"/>
        <v>33.333333333333336</v>
      </c>
    </row>
    <row r="1135" spans="1:30" ht="15" x14ac:dyDescent="0.2">
      <c r="A1135" s="11">
        <f t="shared" si="236"/>
        <v>2092</v>
      </c>
      <c r="B1135" s="11">
        <f t="shared" si="239"/>
        <v>366</v>
      </c>
      <c r="C1135" s="56">
        <f t="shared" ref="C1135:L1143" ca="1" si="242">AVERAGE(OFFSET(C$588,($A1135-$A$1105)*12,0,12,1))</f>
        <v>154.75825</v>
      </c>
      <c r="D1135" s="56">
        <f t="shared" ca="1" si="242"/>
        <v>281.0162499999999</v>
      </c>
      <c r="E1135" s="56">
        <f t="shared" ca="1" si="242"/>
        <v>109.1005</v>
      </c>
      <c r="F1135" s="56">
        <f t="shared" ca="1" si="242"/>
        <v>57.041666666666664</v>
      </c>
      <c r="G1135" s="56">
        <f t="shared" ca="1" si="242"/>
        <v>40</v>
      </c>
      <c r="H1135" s="56">
        <f t="shared" ca="1" si="242"/>
        <v>174.58333333333334</v>
      </c>
      <c r="I1135" s="56">
        <f t="shared" ca="1" si="242"/>
        <v>0</v>
      </c>
      <c r="J1135" s="56">
        <f t="shared" ca="1" si="242"/>
        <v>100</v>
      </c>
      <c r="K1135" s="56">
        <f t="shared" ca="1" si="242"/>
        <v>300</v>
      </c>
      <c r="L1135" s="56">
        <f t="shared" ca="1" si="242"/>
        <v>1216.5</v>
      </c>
      <c r="M1135" s="56">
        <f t="shared" ref="M1135:T1143" ca="1" si="243">AVERAGE(OFFSET(M$588,($A1135-$A$1105)*12,0,12,1))</f>
        <v>600</v>
      </c>
      <c r="N1135" s="56">
        <f t="shared" ca="1" si="243"/>
        <v>72.5</v>
      </c>
      <c r="O1135" s="56">
        <f t="shared" ca="1" si="243"/>
        <v>240</v>
      </c>
      <c r="P1135" s="56">
        <f t="shared" ca="1" si="243"/>
        <v>40</v>
      </c>
      <c r="Q1135" s="56">
        <f t="shared" ca="1" si="243"/>
        <v>315</v>
      </c>
      <c r="R1135" s="56">
        <f t="shared" ca="1" si="243"/>
        <v>100</v>
      </c>
      <c r="S1135" s="56">
        <f t="shared" ca="1" si="243"/>
        <v>695</v>
      </c>
      <c r="T1135" s="56">
        <f t="shared" ca="1" si="243"/>
        <v>33.333333333333336</v>
      </c>
    </row>
    <row r="1136" spans="1:30" ht="15" x14ac:dyDescent="0.2">
      <c r="A1136" s="11">
        <f t="shared" si="236"/>
        <v>2093</v>
      </c>
      <c r="B1136" s="11">
        <f t="shared" si="239"/>
        <v>365</v>
      </c>
      <c r="C1136" s="56">
        <f t="shared" ca="1" si="242"/>
        <v>154.75825</v>
      </c>
      <c r="D1136" s="56">
        <f t="shared" ca="1" si="242"/>
        <v>281.0162499999999</v>
      </c>
      <c r="E1136" s="56">
        <f t="shared" ca="1" si="242"/>
        <v>109.1005</v>
      </c>
      <c r="F1136" s="56">
        <f t="shared" ca="1" si="242"/>
        <v>57.041666666666664</v>
      </c>
      <c r="G1136" s="56">
        <f t="shared" ca="1" si="242"/>
        <v>40</v>
      </c>
      <c r="H1136" s="56">
        <f t="shared" ca="1" si="242"/>
        <v>174.58333333333334</v>
      </c>
      <c r="I1136" s="56">
        <f t="shared" ca="1" si="242"/>
        <v>0</v>
      </c>
      <c r="J1136" s="56">
        <f t="shared" ca="1" si="242"/>
        <v>100</v>
      </c>
      <c r="K1136" s="56">
        <f t="shared" ca="1" si="242"/>
        <v>300</v>
      </c>
      <c r="L1136" s="56">
        <f t="shared" ca="1" si="242"/>
        <v>1216.5</v>
      </c>
      <c r="M1136" s="56">
        <f t="shared" ca="1" si="243"/>
        <v>600</v>
      </c>
      <c r="N1136" s="56">
        <f t="shared" ca="1" si="243"/>
        <v>72.5</v>
      </c>
      <c r="O1136" s="56">
        <f t="shared" ca="1" si="243"/>
        <v>240</v>
      </c>
      <c r="P1136" s="56">
        <f t="shared" ca="1" si="243"/>
        <v>40</v>
      </c>
      <c r="Q1136" s="56">
        <f t="shared" ca="1" si="243"/>
        <v>315</v>
      </c>
      <c r="R1136" s="56">
        <f t="shared" ca="1" si="243"/>
        <v>100</v>
      </c>
      <c r="S1136" s="56">
        <f t="shared" ca="1" si="243"/>
        <v>695</v>
      </c>
      <c r="T1136" s="56">
        <f t="shared" ca="1" si="243"/>
        <v>33.333333333333336</v>
      </c>
    </row>
    <row r="1137" spans="1:20" ht="15" x14ac:dyDescent="0.2">
      <c r="A1137" s="11">
        <f t="shared" si="236"/>
        <v>2094</v>
      </c>
      <c r="B1137" s="11">
        <f t="shared" si="239"/>
        <v>365</v>
      </c>
      <c r="C1137" s="56">
        <f t="shared" ca="1" si="242"/>
        <v>154.75825</v>
      </c>
      <c r="D1137" s="56">
        <f t="shared" ca="1" si="242"/>
        <v>281.0162499999999</v>
      </c>
      <c r="E1137" s="56">
        <f t="shared" ca="1" si="242"/>
        <v>109.1005</v>
      </c>
      <c r="F1137" s="56">
        <f t="shared" ca="1" si="242"/>
        <v>57.041666666666664</v>
      </c>
      <c r="G1137" s="56">
        <f t="shared" ca="1" si="242"/>
        <v>40</v>
      </c>
      <c r="H1137" s="56">
        <f t="shared" ca="1" si="242"/>
        <v>174.58333333333334</v>
      </c>
      <c r="I1137" s="56">
        <f t="shared" ca="1" si="242"/>
        <v>0</v>
      </c>
      <c r="J1137" s="56">
        <f t="shared" ca="1" si="242"/>
        <v>100</v>
      </c>
      <c r="K1137" s="56">
        <f t="shared" ca="1" si="242"/>
        <v>300</v>
      </c>
      <c r="L1137" s="56">
        <f t="shared" ca="1" si="242"/>
        <v>1216.5</v>
      </c>
      <c r="M1137" s="56">
        <f t="shared" ca="1" si="243"/>
        <v>600</v>
      </c>
      <c r="N1137" s="56">
        <f t="shared" ca="1" si="243"/>
        <v>72.5</v>
      </c>
      <c r="O1137" s="56">
        <f t="shared" ca="1" si="243"/>
        <v>240</v>
      </c>
      <c r="P1137" s="56">
        <f t="shared" ca="1" si="243"/>
        <v>40</v>
      </c>
      <c r="Q1137" s="56">
        <f t="shared" ca="1" si="243"/>
        <v>315</v>
      </c>
      <c r="R1137" s="56">
        <f t="shared" ca="1" si="243"/>
        <v>100</v>
      </c>
      <c r="S1137" s="56">
        <f t="shared" ca="1" si="243"/>
        <v>695</v>
      </c>
      <c r="T1137" s="56">
        <f t="shared" ca="1" si="243"/>
        <v>33.333333333333336</v>
      </c>
    </row>
    <row r="1138" spans="1:20" ht="15" x14ac:dyDescent="0.2">
      <c r="A1138" s="11">
        <f t="shared" si="236"/>
        <v>2095</v>
      </c>
      <c r="B1138" s="11">
        <f t="shared" si="239"/>
        <v>365</v>
      </c>
      <c r="C1138" s="56">
        <f t="shared" ca="1" si="242"/>
        <v>154.75825</v>
      </c>
      <c r="D1138" s="56">
        <f t="shared" ca="1" si="242"/>
        <v>281.0162499999999</v>
      </c>
      <c r="E1138" s="56">
        <f t="shared" ca="1" si="242"/>
        <v>109.1005</v>
      </c>
      <c r="F1138" s="56">
        <f t="shared" ca="1" si="242"/>
        <v>57.041666666666664</v>
      </c>
      <c r="G1138" s="56">
        <f t="shared" ca="1" si="242"/>
        <v>40</v>
      </c>
      <c r="H1138" s="56">
        <f t="shared" ca="1" si="242"/>
        <v>174.58333333333334</v>
      </c>
      <c r="I1138" s="56">
        <f t="shared" ca="1" si="242"/>
        <v>0</v>
      </c>
      <c r="J1138" s="56">
        <f t="shared" ca="1" si="242"/>
        <v>100</v>
      </c>
      <c r="K1138" s="56">
        <f t="shared" ca="1" si="242"/>
        <v>300</v>
      </c>
      <c r="L1138" s="56">
        <f t="shared" ca="1" si="242"/>
        <v>1216.5</v>
      </c>
      <c r="M1138" s="56">
        <f t="shared" ca="1" si="243"/>
        <v>600</v>
      </c>
      <c r="N1138" s="56">
        <f t="shared" ca="1" si="243"/>
        <v>72.5</v>
      </c>
      <c r="O1138" s="56">
        <f t="shared" ca="1" si="243"/>
        <v>240</v>
      </c>
      <c r="P1138" s="56">
        <f t="shared" ca="1" si="243"/>
        <v>40</v>
      </c>
      <c r="Q1138" s="56">
        <f t="shared" ca="1" si="243"/>
        <v>315</v>
      </c>
      <c r="R1138" s="56">
        <f t="shared" ca="1" si="243"/>
        <v>100</v>
      </c>
      <c r="S1138" s="56">
        <f t="shared" ca="1" si="243"/>
        <v>695</v>
      </c>
      <c r="T1138" s="56">
        <f t="shared" ca="1" si="243"/>
        <v>33.333333333333336</v>
      </c>
    </row>
    <row r="1139" spans="1:20" ht="15" x14ac:dyDescent="0.2">
      <c r="A1139" s="11">
        <f t="shared" si="236"/>
        <v>2096</v>
      </c>
      <c r="B1139" s="11">
        <f t="shared" si="239"/>
        <v>366</v>
      </c>
      <c r="C1139" s="56">
        <f t="shared" ca="1" si="242"/>
        <v>154.75825</v>
      </c>
      <c r="D1139" s="56">
        <f t="shared" ca="1" si="242"/>
        <v>281.0162499999999</v>
      </c>
      <c r="E1139" s="56">
        <f t="shared" ca="1" si="242"/>
        <v>109.1005</v>
      </c>
      <c r="F1139" s="56">
        <f t="shared" ca="1" si="242"/>
        <v>57.041666666666664</v>
      </c>
      <c r="G1139" s="56">
        <f t="shared" ca="1" si="242"/>
        <v>40</v>
      </c>
      <c r="H1139" s="56">
        <f t="shared" ca="1" si="242"/>
        <v>174.58333333333334</v>
      </c>
      <c r="I1139" s="56">
        <f t="shared" ca="1" si="242"/>
        <v>0</v>
      </c>
      <c r="J1139" s="56">
        <f t="shared" ca="1" si="242"/>
        <v>100</v>
      </c>
      <c r="K1139" s="56">
        <f t="shared" ca="1" si="242"/>
        <v>300</v>
      </c>
      <c r="L1139" s="56">
        <f t="shared" ca="1" si="242"/>
        <v>1216.5</v>
      </c>
      <c r="M1139" s="56">
        <f t="shared" ca="1" si="243"/>
        <v>600</v>
      </c>
      <c r="N1139" s="56">
        <f t="shared" ca="1" si="243"/>
        <v>72.5</v>
      </c>
      <c r="O1139" s="56">
        <f t="shared" ca="1" si="243"/>
        <v>240</v>
      </c>
      <c r="P1139" s="56">
        <f t="shared" ca="1" si="243"/>
        <v>40</v>
      </c>
      <c r="Q1139" s="56">
        <f t="shared" ca="1" si="243"/>
        <v>315</v>
      </c>
      <c r="R1139" s="56">
        <f t="shared" ca="1" si="243"/>
        <v>100</v>
      </c>
      <c r="S1139" s="56">
        <f t="shared" ca="1" si="243"/>
        <v>695</v>
      </c>
      <c r="T1139" s="56">
        <f t="shared" ca="1" si="243"/>
        <v>33.333333333333336</v>
      </c>
    </row>
    <row r="1140" spans="1:20" ht="15" x14ac:dyDescent="0.2">
      <c r="A1140" s="11">
        <f t="shared" si="236"/>
        <v>2097</v>
      </c>
      <c r="B1140" s="11">
        <f t="shared" si="239"/>
        <v>365</v>
      </c>
      <c r="C1140" s="56">
        <f t="shared" ca="1" si="242"/>
        <v>154.75825</v>
      </c>
      <c r="D1140" s="56">
        <f t="shared" ca="1" si="242"/>
        <v>281.0162499999999</v>
      </c>
      <c r="E1140" s="56">
        <f t="shared" ca="1" si="242"/>
        <v>109.1005</v>
      </c>
      <c r="F1140" s="56">
        <f t="shared" ca="1" si="242"/>
        <v>57.041666666666664</v>
      </c>
      <c r="G1140" s="56">
        <f t="shared" ca="1" si="242"/>
        <v>40</v>
      </c>
      <c r="H1140" s="56">
        <f t="shared" ca="1" si="242"/>
        <v>174.58333333333334</v>
      </c>
      <c r="I1140" s="56">
        <f t="shared" ca="1" si="242"/>
        <v>0</v>
      </c>
      <c r="J1140" s="56">
        <f t="shared" ca="1" si="242"/>
        <v>100</v>
      </c>
      <c r="K1140" s="56">
        <f t="shared" ca="1" si="242"/>
        <v>300</v>
      </c>
      <c r="L1140" s="56">
        <f t="shared" ca="1" si="242"/>
        <v>1216.5</v>
      </c>
      <c r="M1140" s="56">
        <f t="shared" ca="1" si="243"/>
        <v>600</v>
      </c>
      <c r="N1140" s="56">
        <f t="shared" ca="1" si="243"/>
        <v>72.5</v>
      </c>
      <c r="O1140" s="56">
        <f t="shared" ca="1" si="243"/>
        <v>240</v>
      </c>
      <c r="P1140" s="56">
        <f t="shared" ca="1" si="243"/>
        <v>40</v>
      </c>
      <c r="Q1140" s="56">
        <f t="shared" ca="1" si="243"/>
        <v>315</v>
      </c>
      <c r="R1140" s="56">
        <f t="shared" ca="1" si="243"/>
        <v>100</v>
      </c>
      <c r="S1140" s="56">
        <f t="shared" ca="1" si="243"/>
        <v>695</v>
      </c>
      <c r="T1140" s="56">
        <f t="shared" ca="1" si="243"/>
        <v>33.333333333333336</v>
      </c>
    </row>
    <row r="1141" spans="1:20" ht="15" x14ac:dyDescent="0.2">
      <c r="A1141" s="11">
        <f t="shared" si="236"/>
        <v>2098</v>
      </c>
      <c r="B1141" s="11">
        <f t="shared" si="239"/>
        <v>365</v>
      </c>
      <c r="C1141" s="56">
        <f t="shared" ca="1" si="242"/>
        <v>154.75825</v>
      </c>
      <c r="D1141" s="56">
        <f t="shared" ca="1" si="242"/>
        <v>281.0162499999999</v>
      </c>
      <c r="E1141" s="56">
        <f t="shared" ca="1" si="242"/>
        <v>109.1005</v>
      </c>
      <c r="F1141" s="56">
        <f t="shared" ca="1" si="242"/>
        <v>57.041666666666664</v>
      </c>
      <c r="G1141" s="56">
        <f t="shared" ca="1" si="242"/>
        <v>40</v>
      </c>
      <c r="H1141" s="56">
        <f t="shared" ca="1" si="242"/>
        <v>174.58333333333334</v>
      </c>
      <c r="I1141" s="56">
        <f t="shared" ca="1" si="242"/>
        <v>0</v>
      </c>
      <c r="J1141" s="56">
        <f t="shared" ca="1" si="242"/>
        <v>100</v>
      </c>
      <c r="K1141" s="56">
        <f t="shared" ca="1" si="242"/>
        <v>300</v>
      </c>
      <c r="L1141" s="56">
        <f t="shared" ca="1" si="242"/>
        <v>1216.5</v>
      </c>
      <c r="M1141" s="56">
        <f t="shared" ca="1" si="243"/>
        <v>600</v>
      </c>
      <c r="N1141" s="56">
        <f t="shared" ca="1" si="243"/>
        <v>72.5</v>
      </c>
      <c r="O1141" s="56">
        <f t="shared" ca="1" si="243"/>
        <v>240</v>
      </c>
      <c r="P1141" s="56">
        <f t="shared" ca="1" si="243"/>
        <v>40</v>
      </c>
      <c r="Q1141" s="56">
        <f t="shared" ca="1" si="243"/>
        <v>315</v>
      </c>
      <c r="R1141" s="56">
        <f t="shared" ca="1" si="243"/>
        <v>100</v>
      </c>
      <c r="S1141" s="56">
        <f t="shared" ca="1" si="243"/>
        <v>695</v>
      </c>
      <c r="T1141" s="56">
        <f t="shared" ca="1" si="243"/>
        <v>33.333333333333336</v>
      </c>
    </row>
    <row r="1142" spans="1:20" ht="15" x14ac:dyDescent="0.2">
      <c r="A1142" s="11">
        <f t="shared" si="236"/>
        <v>2099</v>
      </c>
      <c r="B1142" s="11">
        <f t="shared" si="239"/>
        <v>365</v>
      </c>
      <c r="C1142" s="56">
        <f t="shared" ca="1" si="242"/>
        <v>154.75825</v>
      </c>
      <c r="D1142" s="56">
        <f t="shared" ca="1" si="242"/>
        <v>281.0162499999999</v>
      </c>
      <c r="E1142" s="56">
        <f t="shared" ca="1" si="242"/>
        <v>109.1005</v>
      </c>
      <c r="F1142" s="56">
        <f t="shared" ca="1" si="242"/>
        <v>57.041666666666664</v>
      </c>
      <c r="G1142" s="56">
        <f t="shared" ca="1" si="242"/>
        <v>40</v>
      </c>
      <c r="H1142" s="56">
        <f t="shared" ca="1" si="242"/>
        <v>174.58333333333334</v>
      </c>
      <c r="I1142" s="56">
        <f t="shared" ca="1" si="242"/>
        <v>0</v>
      </c>
      <c r="J1142" s="56">
        <f t="shared" ca="1" si="242"/>
        <v>100</v>
      </c>
      <c r="K1142" s="56">
        <f t="shared" ca="1" si="242"/>
        <v>300</v>
      </c>
      <c r="L1142" s="56">
        <f t="shared" ca="1" si="242"/>
        <v>1216.5</v>
      </c>
      <c r="M1142" s="56">
        <f t="shared" ca="1" si="243"/>
        <v>600</v>
      </c>
      <c r="N1142" s="56">
        <f t="shared" ca="1" si="243"/>
        <v>72.5</v>
      </c>
      <c r="O1142" s="56">
        <f t="shared" ca="1" si="243"/>
        <v>240</v>
      </c>
      <c r="P1142" s="56">
        <f t="shared" ca="1" si="243"/>
        <v>40</v>
      </c>
      <c r="Q1142" s="56">
        <f t="shared" ca="1" si="243"/>
        <v>315</v>
      </c>
      <c r="R1142" s="56">
        <f t="shared" ca="1" si="243"/>
        <v>100</v>
      </c>
      <c r="S1142" s="56">
        <f t="shared" ca="1" si="243"/>
        <v>695</v>
      </c>
      <c r="T1142" s="56">
        <f t="shared" ca="1" si="243"/>
        <v>33.333333333333336</v>
      </c>
    </row>
    <row r="1143" spans="1:20" ht="15" x14ac:dyDescent="0.2">
      <c r="A1143" s="11">
        <f t="shared" si="236"/>
        <v>2100</v>
      </c>
      <c r="B1143" s="11">
        <f t="shared" si="239"/>
        <v>365</v>
      </c>
      <c r="C1143" s="56">
        <f t="shared" ca="1" si="242"/>
        <v>154.75825</v>
      </c>
      <c r="D1143" s="56">
        <f t="shared" ca="1" si="242"/>
        <v>281.0162499999999</v>
      </c>
      <c r="E1143" s="56">
        <f t="shared" ca="1" si="242"/>
        <v>109.1005</v>
      </c>
      <c r="F1143" s="56">
        <f t="shared" ca="1" si="242"/>
        <v>57.041666666666664</v>
      </c>
      <c r="G1143" s="56">
        <f t="shared" ca="1" si="242"/>
        <v>40</v>
      </c>
      <c r="H1143" s="56">
        <f t="shared" ca="1" si="242"/>
        <v>174.58333333333334</v>
      </c>
      <c r="I1143" s="56">
        <f t="shared" ca="1" si="242"/>
        <v>0</v>
      </c>
      <c r="J1143" s="56">
        <f t="shared" ca="1" si="242"/>
        <v>100</v>
      </c>
      <c r="K1143" s="56">
        <f t="shared" ca="1" si="242"/>
        <v>300</v>
      </c>
      <c r="L1143" s="56">
        <f t="shared" ca="1" si="242"/>
        <v>1216.5</v>
      </c>
      <c r="M1143" s="56">
        <f t="shared" ca="1" si="243"/>
        <v>600</v>
      </c>
      <c r="N1143" s="56">
        <f t="shared" ca="1" si="243"/>
        <v>72.5</v>
      </c>
      <c r="O1143" s="56">
        <f t="shared" ca="1" si="243"/>
        <v>240</v>
      </c>
      <c r="P1143" s="56">
        <f t="shared" ca="1" si="243"/>
        <v>40</v>
      </c>
      <c r="Q1143" s="56">
        <f t="shared" ca="1" si="243"/>
        <v>315</v>
      </c>
      <c r="R1143" s="56">
        <f t="shared" ca="1" si="243"/>
        <v>100</v>
      </c>
      <c r="S1143" s="56">
        <f t="shared" ca="1" si="243"/>
        <v>695</v>
      </c>
      <c r="T1143" s="56">
        <f t="shared" ca="1" si="243"/>
        <v>33.333333333333336</v>
      </c>
    </row>
    <row r="1144" spans="1:20" x14ac:dyDescent="0.2">
      <c r="A1144" s="8"/>
      <c r="B1144" s="8"/>
    </row>
    <row r="1145" spans="1:20" x14ac:dyDescent="0.2">
      <c r="A1145" s="8"/>
      <c r="B1145" s="8"/>
    </row>
    <row r="1146" spans="1:20" x14ac:dyDescent="0.2">
      <c r="A1146" s="8"/>
      <c r="B1146" s="8"/>
    </row>
    <row r="1147" spans="1:20" x14ac:dyDescent="0.2">
      <c r="A1147" s="8"/>
      <c r="B1147" s="8"/>
    </row>
    <row r="1148" spans="1:20" x14ac:dyDescent="0.2">
      <c r="A1148" s="8"/>
      <c r="B1148" s="8"/>
    </row>
    <row r="1149" spans="1:20" x14ac:dyDescent="0.2">
      <c r="A1149" s="8"/>
      <c r="B1149" s="8"/>
    </row>
    <row r="1150" spans="1:20" x14ac:dyDescent="0.2">
      <c r="A1150" s="8"/>
      <c r="B1150" s="8"/>
    </row>
    <row r="1151" spans="1:20" x14ac:dyDescent="0.2">
      <c r="A1151" s="8"/>
      <c r="B1151" s="8"/>
    </row>
    <row r="1152" spans="1:20" x14ac:dyDescent="0.2">
      <c r="A1152" s="8"/>
      <c r="B1152" s="8"/>
    </row>
    <row r="1153" spans="1:2" x14ac:dyDescent="0.2">
      <c r="A1153" s="8"/>
      <c r="B1153" s="8"/>
    </row>
    <row r="1154" spans="1:2" x14ac:dyDescent="0.2">
      <c r="A1154" s="8"/>
      <c r="B1154" s="8"/>
    </row>
    <row r="1155" spans="1:2" x14ac:dyDescent="0.2">
      <c r="A1155" s="8"/>
      <c r="B1155" s="8"/>
    </row>
    <row r="1156" spans="1:2" x14ac:dyDescent="0.2">
      <c r="A1156" s="8"/>
      <c r="B1156" s="8"/>
    </row>
    <row r="1157" spans="1:2" x14ac:dyDescent="0.2">
      <c r="A1157" s="8"/>
      <c r="B1157" s="8"/>
    </row>
    <row r="1158" spans="1:2" x14ac:dyDescent="0.2">
      <c r="A1158" s="8"/>
      <c r="B1158" s="8"/>
    </row>
    <row r="1159" spans="1:2" x14ac:dyDescent="0.2">
      <c r="A1159" s="8"/>
      <c r="B1159" s="8"/>
    </row>
    <row r="1160" spans="1:2" x14ac:dyDescent="0.2">
      <c r="A1160" s="8"/>
      <c r="B1160" s="8"/>
    </row>
    <row r="1161" spans="1:2" x14ac:dyDescent="0.2">
      <c r="A1161" s="8"/>
      <c r="B1161" s="8"/>
    </row>
    <row r="1162" spans="1:2" x14ac:dyDescent="0.2">
      <c r="A1162" s="8"/>
      <c r="B1162" s="8"/>
    </row>
    <row r="1163" spans="1:2" x14ac:dyDescent="0.2">
      <c r="A1163" s="8"/>
      <c r="B1163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45"/>
  <sheetViews>
    <sheetView zoomScale="70" zoomScaleNormal="70" workbookViewId="0">
      <pane xSplit="1" ySplit="13" topLeftCell="B14" activePane="bottomRight" state="frozen"/>
      <selection activeCell="H10" sqref="H10"/>
      <selection pane="topRight" activeCell="H10" sqref="H10"/>
      <selection pane="bottomLeft" activeCell="H10" sqref="H10"/>
      <selection pane="bottomRight" activeCell="H10" sqref="H10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98" t="s">
        <v>93</v>
      </c>
    </row>
    <row r="2" spans="1:19" ht="15.75" x14ac:dyDescent="0.25">
      <c r="A2" s="98" t="s">
        <v>94</v>
      </c>
    </row>
    <row r="3" spans="1:19" ht="15.75" x14ac:dyDescent="0.25">
      <c r="A3" s="98" t="s">
        <v>95</v>
      </c>
    </row>
    <row r="4" spans="1:19" ht="15.75" x14ac:dyDescent="0.25">
      <c r="A4" s="98" t="s">
        <v>96</v>
      </c>
    </row>
    <row r="5" spans="1:19" ht="15.75" x14ac:dyDescent="0.25">
      <c r="A5" s="98" t="s">
        <v>103</v>
      </c>
    </row>
    <row r="6" spans="1:19" ht="15.75" x14ac:dyDescent="0.25">
      <c r="A6" s="98" t="s">
        <v>102</v>
      </c>
    </row>
    <row r="7" spans="1:19" ht="20.25" x14ac:dyDescent="0.3">
      <c r="A7" s="97"/>
    </row>
    <row r="8" spans="1:19" ht="18" x14ac:dyDescent="0.25">
      <c r="A8" s="96" t="s">
        <v>28</v>
      </c>
      <c r="B8" s="96"/>
      <c r="H8" s="93" t="s">
        <v>92</v>
      </c>
    </row>
    <row r="9" spans="1:19" ht="18" x14ac:dyDescent="0.25">
      <c r="A9" s="96"/>
      <c r="B9" s="95" t="s">
        <v>27</v>
      </c>
      <c r="C9" s="94">
        <f>1-0.149</f>
        <v>0.85099999999999998</v>
      </c>
      <c r="D9" s="95" t="s">
        <v>26</v>
      </c>
      <c r="E9" s="94">
        <f>1+0.149</f>
        <v>1.149</v>
      </c>
      <c r="H9" s="93"/>
      <c r="P9" s="102"/>
      <c r="Q9" s="102"/>
      <c r="R9" s="102"/>
      <c r="S9" s="102"/>
    </row>
    <row r="10" spans="1:19" ht="15.75" x14ac:dyDescent="0.25">
      <c r="B10" s="110" t="s">
        <v>91</v>
      </c>
      <c r="C10" s="110"/>
      <c r="D10" s="110"/>
      <c r="E10" s="111" t="s">
        <v>90</v>
      </c>
      <c r="F10" s="111"/>
      <c r="G10" s="112"/>
      <c r="H10" s="113" t="s">
        <v>89</v>
      </c>
      <c r="I10" s="113"/>
      <c r="J10" s="113"/>
      <c r="K10" s="113"/>
      <c r="L10" s="112" t="s">
        <v>88</v>
      </c>
      <c r="M10" s="112"/>
      <c r="N10" s="112"/>
      <c r="O10" s="112"/>
      <c r="P10" s="102"/>
      <c r="Q10" s="102"/>
      <c r="R10" s="102"/>
      <c r="S10" s="102"/>
    </row>
    <row r="11" spans="1:19" ht="63" x14ac:dyDescent="0.25">
      <c r="B11" s="92" t="s">
        <v>87</v>
      </c>
      <c r="C11" s="91" t="s">
        <v>85</v>
      </c>
      <c r="D11" s="90" t="s">
        <v>84</v>
      </c>
      <c r="E11" s="92" t="s">
        <v>87</v>
      </c>
      <c r="F11" s="91" t="s">
        <v>85</v>
      </c>
      <c r="G11" s="90" t="s">
        <v>84</v>
      </c>
      <c r="H11" s="92" t="s">
        <v>87</v>
      </c>
      <c r="I11" s="92" t="s">
        <v>86</v>
      </c>
      <c r="J11" s="91" t="s">
        <v>85</v>
      </c>
      <c r="K11" s="90" t="s">
        <v>84</v>
      </c>
      <c r="L11" s="92" t="s">
        <v>87</v>
      </c>
      <c r="M11" s="92" t="s">
        <v>86</v>
      </c>
      <c r="N11" s="91" t="s">
        <v>85</v>
      </c>
      <c r="O11" s="90" t="s">
        <v>84</v>
      </c>
      <c r="P11" s="89"/>
      <c r="Q11" s="85"/>
      <c r="R11" s="85"/>
      <c r="S11" s="85"/>
    </row>
    <row r="12" spans="1:19" ht="13.5" customHeight="1" x14ac:dyDescent="0.25">
      <c r="B12" s="88"/>
      <c r="C12" s="87"/>
      <c r="D12" s="86"/>
      <c r="E12" s="88"/>
      <c r="F12" s="87"/>
      <c r="G12" s="86"/>
      <c r="H12" s="88"/>
      <c r="I12" s="88"/>
      <c r="J12" s="87"/>
      <c r="K12" s="86"/>
      <c r="L12" s="88"/>
      <c r="M12" s="88"/>
      <c r="N12" s="87"/>
      <c r="O12" s="86"/>
      <c r="P12" s="85"/>
      <c r="Q12" s="84"/>
      <c r="R12" s="84"/>
      <c r="S12" s="84"/>
    </row>
    <row r="13" spans="1:19" ht="20.25" x14ac:dyDescent="0.55000000000000004">
      <c r="A13" s="83" t="s">
        <v>15</v>
      </c>
      <c r="B13" s="82" t="s">
        <v>14</v>
      </c>
      <c r="C13" s="82" t="s">
        <v>14</v>
      </c>
      <c r="D13" s="82" t="s">
        <v>14</v>
      </c>
      <c r="E13" s="82" t="s">
        <v>14</v>
      </c>
      <c r="F13" s="82" t="s">
        <v>14</v>
      </c>
      <c r="G13" s="82" t="s">
        <v>14</v>
      </c>
      <c r="H13" s="82" t="s">
        <v>14</v>
      </c>
      <c r="I13" s="82" t="s">
        <v>14</v>
      </c>
      <c r="J13" s="82" t="s">
        <v>14</v>
      </c>
      <c r="K13" s="82" t="s">
        <v>14</v>
      </c>
      <c r="L13" s="82" t="s">
        <v>14</v>
      </c>
      <c r="M13" s="82" t="s">
        <v>14</v>
      </c>
      <c r="N13" s="82" t="s">
        <v>14</v>
      </c>
      <c r="O13" s="82" t="s">
        <v>14</v>
      </c>
      <c r="P13" s="82"/>
      <c r="Q13" s="82"/>
      <c r="R13" s="82"/>
      <c r="S13" s="82"/>
    </row>
    <row r="14" spans="1:19" ht="15" x14ac:dyDescent="0.2">
      <c r="A14" s="16">
        <v>41640</v>
      </c>
      <c r="B14" s="80">
        <v>2.3259726527614299</v>
      </c>
      <c r="C14" s="80">
        <v>2.2881931818181802</v>
      </c>
      <c r="D14" s="80">
        <v>2.3271061818181802</v>
      </c>
      <c r="E14" s="81">
        <v>3.4997846904753001</v>
      </c>
      <c r="F14" s="81">
        <v>3.2737288135593201</v>
      </c>
      <c r="G14" s="81">
        <v>3.2866738135593199</v>
      </c>
      <c r="H14" s="81">
        <v>5.6851303602769301</v>
      </c>
      <c r="I14" s="81">
        <v>5.6980753602769303</v>
      </c>
      <c r="J14" s="81">
        <v>5.6851303602769301</v>
      </c>
      <c r="K14" s="81">
        <v>5.6980753602769303</v>
      </c>
      <c r="L14" s="81">
        <v>3.4997846904753001</v>
      </c>
      <c r="M14" s="81">
        <v>3.5127296904752998</v>
      </c>
      <c r="N14" s="81">
        <v>3.4997846904753001</v>
      </c>
      <c r="O14" s="81">
        <v>3.5127296904752998</v>
      </c>
      <c r="P14" s="10"/>
      <c r="Q14" s="81"/>
      <c r="R14" s="81"/>
    </row>
    <row r="15" spans="1:19" ht="15" x14ac:dyDescent="0.2">
      <c r="A15" s="16">
        <v>41671</v>
      </c>
      <c r="B15" s="80">
        <f>2.338 * CHOOSE(CONTROL!$C$32, $C$9, 100%, $E$9)</f>
        <v>2.3380000000000001</v>
      </c>
      <c r="C15" s="80">
        <f>2.3077 * CHOOSE(CONTROL!$C$32, $C$9, 100%, $E$9)</f>
        <v>2.3077000000000001</v>
      </c>
      <c r="D15" s="80">
        <f>2.3467 * CHOOSE(CONTROL!$C$32, $C$9, 100%, $E$9)</f>
        <v>2.3466999999999998</v>
      </c>
      <c r="E15" s="81">
        <f>3.5012 * CHOOSE(CONTROL!$C$32, $C$9, 100%, $E$9)</f>
        <v>3.5011999999999999</v>
      </c>
      <c r="F15" s="81">
        <f>3.2886 * CHOOSE(CONTROL!$C$32, $C$9, 100%, $E$9)</f>
        <v>3.2886000000000002</v>
      </c>
      <c r="G15" s="81">
        <f>3.3015 * CHOOSE(CONTROL!$C$32, $C$9, 100%, $E$9)</f>
        <v>3.3014999999999999</v>
      </c>
      <c r="H15" s="81">
        <f>5.8292 * CHOOSE(CONTROL!$C$32, $C$9, 100%, $E$9)</f>
        <v>5.8292000000000002</v>
      </c>
      <c r="I15" s="81">
        <f>5.8422 * CHOOSE(CONTROL!$C$32, $C$9, 100%, $E$9)</f>
        <v>5.8422000000000001</v>
      </c>
      <c r="J15" s="81">
        <f>5.8292 * CHOOSE(CONTROL!$C$32, $C$9, 100%, $E$9)</f>
        <v>5.8292000000000002</v>
      </c>
      <c r="K15" s="81">
        <f>5.8422 * CHOOSE(CONTROL!$C$32, $C$9, 100%, $E$9)</f>
        <v>5.8422000000000001</v>
      </c>
      <c r="L15" s="81">
        <f>3.5012 * CHOOSE(CONTROL!$C$32, $C$9, 100%, $E$9)</f>
        <v>3.5011999999999999</v>
      </c>
      <c r="M15" s="81">
        <f>3.5142 * CHOOSE(CONTROL!$C$32, $C$9, 100%, $E$9)</f>
        <v>3.5142000000000002</v>
      </c>
      <c r="N15" s="81">
        <f>3.5012 * CHOOSE(CONTROL!$C$32, $C$9, 100%, $E$9)</f>
        <v>3.5011999999999999</v>
      </c>
      <c r="O15" s="81">
        <f>3.5142 * CHOOSE(CONTROL!$C$32, $C$9, 100%, $E$9)</f>
        <v>3.5142000000000002</v>
      </c>
      <c r="P15" s="10"/>
      <c r="Q15" s="81"/>
      <c r="R15" s="81"/>
    </row>
    <row r="16" spans="1:19" ht="15" x14ac:dyDescent="0.2">
      <c r="A16" s="16">
        <v>41699</v>
      </c>
      <c r="B16" s="80">
        <f>2.3423 * CHOOSE(CONTROL!$C$32, $C$9, 100%, $E$9)</f>
        <v>2.3422999999999998</v>
      </c>
      <c r="C16" s="80">
        <f>2.3166 * CHOOSE(CONTROL!$C$32, $C$9, 100%, $E$9)</f>
        <v>2.3166000000000002</v>
      </c>
      <c r="D16" s="80">
        <f>2.3555 * CHOOSE(CONTROL!$C$32, $C$9, 100%, $E$9)</f>
        <v>2.3555000000000001</v>
      </c>
      <c r="E16" s="81">
        <f>3.4055 * CHOOSE(CONTROL!$C$32, $C$9, 100%, $E$9)</f>
        <v>3.4055</v>
      </c>
      <c r="F16" s="81">
        <f>3.2949 * CHOOSE(CONTROL!$C$32, $C$9, 100%, $E$9)</f>
        <v>3.2949000000000002</v>
      </c>
      <c r="G16" s="81">
        <f>3.3079 * CHOOSE(CONTROL!$C$32, $C$9, 100%, $E$9)</f>
        <v>3.3079000000000001</v>
      </c>
      <c r="H16" s="81">
        <f>5.8414 * CHOOSE(CONTROL!$C$32, $C$9, 100%, $E$9)</f>
        <v>5.8414000000000001</v>
      </c>
      <c r="I16" s="81">
        <f>5.8543 * CHOOSE(CONTROL!$C$32, $C$9, 100%, $E$9)</f>
        <v>5.8543000000000003</v>
      </c>
      <c r="J16" s="81">
        <f>5.8414 * CHOOSE(CONTROL!$C$32, $C$9, 100%, $E$9)</f>
        <v>5.8414000000000001</v>
      </c>
      <c r="K16" s="81">
        <f>5.8543 * CHOOSE(CONTROL!$C$32, $C$9, 100%, $E$9)</f>
        <v>5.8543000000000003</v>
      </c>
      <c r="L16" s="81">
        <f>3.4055 * CHOOSE(CONTROL!$C$32, $C$9, 100%, $E$9)</f>
        <v>3.4055</v>
      </c>
      <c r="M16" s="81">
        <f>3.4184 * CHOOSE(CONTROL!$C$32, $C$9, 100%, $E$9)</f>
        <v>3.4184000000000001</v>
      </c>
      <c r="N16" s="81">
        <f>3.4055 * CHOOSE(CONTROL!$C$32, $C$9, 100%, $E$9)</f>
        <v>3.4055</v>
      </c>
      <c r="O16" s="81">
        <f>3.4184 * CHOOSE(CONTROL!$C$32, $C$9, 100%, $E$9)</f>
        <v>3.4184000000000001</v>
      </c>
      <c r="P16" s="10"/>
      <c r="Q16" s="81"/>
      <c r="R16" s="81"/>
    </row>
    <row r="17" spans="1:18" ht="15" x14ac:dyDescent="0.2">
      <c r="A17" s="16">
        <v>41730</v>
      </c>
      <c r="B17" s="80">
        <f>2.3408 * CHOOSE(CONTROL!$C$32, $C$9, 100%, $E$9)</f>
        <v>2.3408000000000002</v>
      </c>
      <c r="C17" s="80">
        <f>2.3136 * CHOOSE(CONTROL!$C$32, $C$9, 100%, $E$9)</f>
        <v>2.3136000000000001</v>
      </c>
      <c r="D17" s="80">
        <f>2.3525 * CHOOSE(CONTROL!$C$32, $C$9, 100%, $E$9)</f>
        <v>2.3525</v>
      </c>
      <c r="E17" s="81">
        <f>3.4026 * CHOOSE(CONTROL!$C$32, $C$9, 100%, $E$9)</f>
        <v>3.4026000000000001</v>
      </c>
      <c r="F17" s="81">
        <f>3.3055 * CHOOSE(CONTROL!$C$32, $C$9, 100%, $E$9)</f>
        <v>3.3054999999999999</v>
      </c>
      <c r="G17" s="81">
        <f>3.3185 * CHOOSE(CONTROL!$C$32, $C$9, 100%, $E$9)</f>
        <v>3.3184999999999998</v>
      </c>
      <c r="H17" s="81">
        <f>5.8535 * CHOOSE(CONTROL!$C$32, $C$9, 100%, $E$9)</f>
        <v>5.8535000000000004</v>
      </c>
      <c r="I17" s="81">
        <f>5.8665 * CHOOSE(CONTROL!$C$32, $C$9, 100%, $E$9)</f>
        <v>5.8665000000000003</v>
      </c>
      <c r="J17" s="81">
        <f>5.8535 * CHOOSE(CONTROL!$C$32, $C$9, 100%, $E$9)</f>
        <v>5.8535000000000004</v>
      </c>
      <c r="K17" s="81">
        <f>5.8665 * CHOOSE(CONTROL!$C$32, $C$9, 100%, $E$9)</f>
        <v>5.8665000000000003</v>
      </c>
      <c r="L17" s="81">
        <f>3.4026 * CHOOSE(CONTROL!$C$32, $C$9, 100%, $E$9)</f>
        <v>3.4026000000000001</v>
      </c>
      <c r="M17" s="81">
        <f>3.4156 * CHOOSE(CONTROL!$C$32, $C$9, 100%, $E$9)</f>
        <v>3.4156</v>
      </c>
      <c r="N17" s="81">
        <f>3.4026 * CHOOSE(CONTROL!$C$32, $C$9, 100%, $E$9)</f>
        <v>3.4026000000000001</v>
      </c>
      <c r="O17" s="81">
        <f>3.4156 * CHOOSE(CONTROL!$C$32, $C$9, 100%, $E$9)</f>
        <v>3.4156</v>
      </c>
      <c r="P17" s="10"/>
      <c r="Q17" s="81"/>
      <c r="R17" s="81"/>
    </row>
    <row r="18" spans="1:18" ht="15" x14ac:dyDescent="0.2">
      <c r="A18" s="16">
        <v>41760</v>
      </c>
      <c r="B18" s="80">
        <f>2.3438 * CHOOSE(CONTROL!$C$32, $C$9, 100%, $E$9)</f>
        <v>2.3437999999999999</v>
      </c>
      <c r="C18" s="80">
        <f>2.3151 * CHOOSE(CONTROL!$C$32, $C$9, 100%, $E$9)</f>
        <v>2.3151000000000002</v>
      </c>
      <c r="D18" s="80">
        <f>2.3726 * CHOOSE(CONTROL!$C$32, $C$9, 100%, $E$9)</f>
        <v>2.3725999999999998</v>
      </c>
      <c r="E18" s="81">
        <f>3.4085 * CHOOSE(CONTROL!$C$32, $C$9, 100%, $E$9)</f>
        <v>3.4085000000000001</v>
      </c>
      <c r="F18" s="81">
        <f>3.3161 * CHOOSE(CONTROL!$C$32, $C$9, 100%, $E$9)</f>
        <v>3.3161</v>
      </c>
      <c r="G18" s="81">
        <f>3.3352 * CHOOSE(CONTROL!$C$32, $C$9, 100%, $E$9)</f>
        <v>3.3351999999999999</v>
      </c>
      <c r="H18" s="81">
        <f>5.8657 * CHOOSE(CONTROL!$C$32, $C$9, 100%, $E$9)</f>
        <v>5.8657000000000004</v>
      </c>
      <c r="I18" s="81">
        <f>5.8848 * CHOOSE(CONTROL!$C$32, $C$9, 100%, $E$9)</f>
        <v>5.8848000000000003</v>
      </c>
      <c r="J18" s="81">
        <f>5.8657 * CHOOSE(CONTROL!$C$32, $C$9, 100%, $E$9)</f>
        <v>5.8657000000000004</v>
      </c>
      <c r="K18" s="81">
        <f>5.8848 * CHOOSE(CONTROL!$C$32, $C$9, 100%, $E$9)</f>
        <v>5.8848000000000003</v>
      </c>
      <c r="L18" s="81">
        <f>3.4085 * CHOOSE(CONTROL!$C$32, $C$9, 100%, $E$9)</f>
        <v>3.4085000000000001</v>
      </c>
      <c r="M18" s="81">
        <f>3.4276 * CHOOSE(CONTROL!$C$32, $C$9, 100%, $E$9)</f>
        <v>3.4276</v>
      </c>
      <c r="N18" s="81">
        <f>3.4085 * CHOOSE(CONTROL!$C$32, $C$9, 100%, $E$9)</f>
        <v>3.4085000000000001</v>
      </c>
      <c r="O18" s="81">
        <f>3.4276 * CHOOSE(CONTROL!$C$32, $C$9, 100%, $E$9)</f>
        <v>3.4276</v>
      </c>
      <c r="P18" s="10"/>
      <c r="Q18" s="81"/>
      <c r="R18" s="81"/>
    </row>
    <row r="19" spans="1:18" ht="15" x14ac:dyDescent="0.2">
      <c r="A19" s="16">
        <v>41791</v>
      </c>
      <c r="B19" s="80">
        <f>2.3496 * CHOOSE(CONTROL!$C$32, $C$9, 100%, $E$9)</f>
        <v>2.3496000000000001</v>
      </c>
      <c r="C19" s="80">
        <f>2.327 * CHOOSE(CONTROL!$C$32, $C$9, 100%, $E$9)</f>
        <v>2.327</v>
      </c>
      <c r="D19" s="80">
        <f>2.3845 * CHOOSE(CONTROL!$C$32, $C$9, 100%, $E$9)</f>
        <v>2.3845000000000001</v>
      </c>
      <c r="E19" s="81">
        <f>3.4321 * CHOOSE(CONTROL!$C$32, $C$9, 100%, $E$9)</f>
        <v>3.4321000000000002</v>
      </c>
      <c r="F19" s="81">
        <f>3.3585 * CHOOSE(CONTROL!$C$32, $C$9, 100%, $E$9)</f>
        <v>3.3584999999999998</v>
      </c>
      <c r="G19" s="81">
        <f>3.3775 * CHOOSE(CONTROL!$C$32, $C$9, 100%, $E$9)</f>
        <v>3.3774999999999999</v>
      </c>
      <c r="H19" s="81">
        <f>5.8779 * CHOOSE(CONTROL!$C$32, $C$9, 100%, $E$9)</f>
        <v>5.8779000000000003</v>
      </c>
      <c r="I19" s="81">
        <f>5.897 * CHOOSE(CONTROL!$C$32, $C$9, 100%, $E$9)</f>
        <v>5.8970000000000002</v>
      </c>
      <c r="J19" s="81">
        <f>5.8779 * CHOOSE(CONTROL!$C$32, $C$9, 100%, $E$9)</f>
        <v>5.8779000000000003</v>
      </c>
      <c r="K19" s="81">
        <f>5.897 * CHOOSE(CONTROL!$C$32, $C$9, 100%, $E$9)</f>
        <v>5.8970000000000002</v>
      </c>
      <c r="L19" s="81">
        <f>3.4321 * CHOOSE(CONTROL!$C$32, $C$9, 100%, $E$9)</f>
        <v>3.4321000000000002</v>
      </c>
      <c r="M19" s="81">
        <f>3.4511 * CHOOSE(CONTROL!$C$32, $C$9, 100%, $E$9)</f>
        <v>3.4510999999999998</v>
      </c>
      <c r="N19" s="81">
        <f>3.4321 * CHOOSE(CONTROL!$C$32, $C$9, 100%, $E$9)</f>
        <v>3.4321000000000002</v>
      </c>
      <c r="O19" s="81">
        <f>3.4511 * CHOOSE(CONTROL!$C$32, $C$9, 100%, $E$9)</f>
        <v>3.4510999999999998</v>
      </c>
      <c r="P19" s="10"/>
      <c r="Q19" s="81"/>
      <c r="R19" s="81"/>
    </row>
    <row r="20" spans="1:18" ht="15" x14ac:dyDescent="0.2">
      <c r="A20" s="16">
        <v>41821</v>
      </c>
      <c r="B20" s="80">
        <f>2.3649 * CHOOSE(CONTROL!$C$32, $C$9, 100%, $E$9)</f>
        <v>2.3649</v>
      </c>
      <c r="C20" s="80">
        <f>2.3574 * CHOOSE(CONTROL!$C$32, $C$9, 100%, $E$9)</f>
        <v>2.3574000000000002</v>
      </c>
      <c r="D20" s="80">
        <f>2.4149 * CHOOSE(CONTROL!$C$32, $C$9, 100%, $E$9)</f>
        <v>2.4148999999999998</v>
      </c>
      <c r="E20" s="81">
        <f>3.4478 * CHOOSE(CONTROL!$C$32, $C$9, 100%, $E$9)</f>
        <v>3.4478</v>
      </c>
      <c r="F20" s="81">
        <f>3.4008 * CHOOSE(CONTROL!$C$32, $C$9, 100%, $E$9)</f>
        <v>3.4007999999999998</v>
      </c>
      <c r="G20" s="81">
        <f>3.4199 * CHOOSE(CONTROL!$C$32, $C$9, 100%, $E$9)</f>
        <v>3.4199000000000002</v>
      </c>
      <c r="H20" s="81">
        <f>5.8902 * CHOOSE(CONTROL!$C$32, $C$9, 100%, $E$9)</f>
        <v>5.8902000000000001</v>
      </c>
      <c r="I20" s="81">
        <f>5.9092 * CHOOSE(CONTROL!$C$32, $C$9, 100%, $E$9)</f>
        <v>5.9092000000000002</v>
      </c>
      <c r="J20" s="81">
        <f>5.8902 * CHOOSE(CONTROL!$C$32, $C$9, 100%, $E$9)</f>
        <v>5.8902000000000001</v>
      </c>
      <c r="K20" s="81">
        <f>5.9092 * CHOOSE(CONTROL!$C$32, $C$9, 100%, $E$9)</f>
        <v>5.9092000000000002</v>
      </c>
      <c r="L20" s="81">
        <f>3.4478 * CHOOSE(CONTROL!$C$32, $C$9, 100%, $E$9)</f>
        <v>3.4478</v>
      </c>
      <c r="M20" s="81">
        <f>3.4668 * CHOOSE(CONTROL!$C$32, $C$9, 100%, $E$9)</f>
        <v>3.4668000000000001</v>
      </c>
      <c r="N20" s="81">
        <f>3.4478 * CHOOSE(CONTROL!$C$32, $C$9, 100%, $E$9)</f>
        <v>3.4478</v>
      </c>
      <c r="O20" s="81">
        <f>3.4668 * CHOOSE(CONTROL!$C$32, $C$9, 100%, $E$9)</f>
        <v>3.4668000000000001</v>
      </c>
      <c r="P20" s="10"/>
      <c r="Q20" s="81"/>
      <c r="R20" s="81"/>
    </row>
    <row r="21" spans="1:18" ht="15" x14ac:dyDescent="0.2">
      <c r="A21" s="16">
        <v>41852</v>
      </c>
      <c r="B21" s="80">
        <f>2.3848 * CHOOSE(CONTROL!$C$32, $C$9, 100%, $E$9)</f>
        <v>2.3847999999999998</v>
      </c>
      <c r="C21" s="80">
        <f>2.3923 * CHOOSE(CONTROL!$C$32, $C$9, 100%, $E$9)</f>
        <v>2.3923000000000001</v>
      </c>
      <c r="D21" s="80">
        <f>2.4498 * CHOOSE(CONTROL!$C$32, $C$9, 100%, $E$9)</f>
        <v>2.4498000000000002</v>
      </c>
      <c r="E21" s="81">
        <f>3.4793 * CHOOSE(CONTROL!$C$32, $C$9, 100%, $E$9)</f>
        <v>3.4792999999999998</v>
      </c>
      <c r="F21" s="81">
        <f>3.4517 * CHOOSE(CONTROL!$C$32, $C$9, 100%, $E$9)</f>
        <v>3.4517000000000002</v>
      </c>
      <c r="G21" s="81">
        <f>3.4707 * CHOOSE(CONTROL!$C$32, $C$9, 100%, $E$9)</f>
        <v>3.4706999999999999</v>
      </c>
      <c r="H21" s="81">
        <f>5.9025 * CHOOSE(CONTROL!$C$32, $C$9, 100%, $E$9)</f>
        <v>5.9024999999999999</v>
      </c>
      <c r="I21" s="81">
        <f>5.9215 * CHOOSE(CONTROL!$C$32, $C$9, 100%, $E$9)</f>
        <v>5.9215</v>
      </c>
      <c r="J21" s="81">
        <f>5.9025 * CHOOSE(CONTROL!$C$32, $C$9, 100%, $E$9)</f>
        <v>5.9024999999999999</v>
      </c>
      <c r="K21" s="81">
        <f>5.9215 * CHOOSE(CONTROL!$C$32, $C$9, 100%, $E$9)</f>
        <v>5.9215</v>
      </c>
      <c r="L21" s="81">
        <f>3.4793 * CHOOSE(CONTROL!$C$32, $C$9, 100%, $E$9)</f>
        <v>3.4792999999999998</v>
      </c>
      <c r="M21" s="81">
        <f>3.4983 * CHOOSE(CONTROL!$C$32, $C$9, 100%, $E$9)</f>
        <v>3.4983</v>
      </c>
      <c r="N21" s="81">
        <f>3.4793 * CHOOSE(CONTROL!$C$32, $C$9, 100%, $E$9)</f>
        <v>3.4792999999999998</v>
      </c>
      <c r="O21" s="81">
        <f>3.4983 * CHOOSE(CONTROL!$C$32, $C$9, 100%, $E$9)</f>
        <v>3.4983</v>
      </c>
      <c r="P21" s="10"/>
      <c r="Q21" s="81"/>
      <c r="R21" s="81"/>
    </row>
    <row r="22" spans="1:18" ht="15" x14ac:dyDescent="0.2">
      <c r="A22" s="16">
        <v>41883</v>
      </c>
      <c r="B22" s="80">
        <f>2.3937 * CHOOSE(CONTROL!$C$32, $C$9, 100%, $E$9)</f>
        <v>2.3936999999999999</v>
      </c>
      <c r="C22" s="80">
        <f>2.4103 * CHOOSE(CONTROL!$C$32, $C$9, 100%, $E$9)</f>
        <v>2.4102999999999999</v>
      </c>
      <c r="D22" s="80">
        <f>2.4678 * CHOOSE(CONTROL!$C$32, $C$9, 100%, $E$9)</f>
        <v>2.4678</v>
      </c>
      <c r="E22" s="81">
        <f>3.4806 * CHOOSE(CONTROL!$C$32, $C$9, 100%, $E$9)</f>
        <v>3.4805999999999999</v>
      </c>
      <c r="F22" s="81">
        <f>3.4538 * CHOOSE(CONTROL!$C$32, $C$9, 100%, $E$9)</f>
        <v>3.4538000000000002</v>
      </c>
      <c r="G22" s="81">
        <f>3.4729 * CHOOSE(CONTROL!$C$32, $C$9, 100%, $E$9)</f>
        <v>3.4729000000000001</v>
      </c>
      <c r="H22" s="81">
        <f>5.9148 * CHOOSE(CONTROL!$C$32, $C$9, 100%, $E$9)</f>
        <v>5.9147999999999996</v>
      </c>
      <c r="I22" s="81">
        <f>5.9338 * CHOOSE(CONTROL!$C$32, $C$9, 100%, $E$9)</f>
        <v>5.9337999999999997</v>
      </c>
      <c r="J22" s="81">
        <f>5.9148 * CHOOSE(CONTROL!$C$32, $C$9, 100%, $E$9)</f>
        <v>5.9147999999999996</v>
      </c>
      <c r="K22" s="81">
        <f>5.9338 * CHOOSE(CONTROL!$C$32, $C$9, 100%, $E$9)</f>
        <v>5.9337999999999997</v>
      </c>
      <c r="L22" s="81">
        <f>3.4806 * CHOOSE(CONTROL!$C$32, $C$9, 100%, $E$9)</f>
        <v>3.4805999999999999</v>
      </c>
      <c r="M22" s="81">
        <f>3.4996 * CHOOSE(CONTROL!$C$32, $C$9, 100%, $E$9)</f>
        <v>3.4996</v>
      </c>
      <c r="N22" s="81">
        <f>3.4806 * CHOOSE(CONTROL!$C$32, $C$9, 100%, $E$9)</f>
        <v>3.4805999999999999</v>
      </c>
      <c r="O22" s="81">
        <f>3.4996 * CHOOSE(CONTROL!$C$32, $C$9, 100%, $E$9)</f>
        <v>3.4996</v>
      </c>
      <c r="P22" s="10"/>
      <c r="Q22" s="81"/>
      <c r="R22" s="81"/>
    </row>
    <row r="23" spans="1:18" ht="15" x14ac:dyDescent="0.2">
      <c r="A23" s="16">
        <v>41913</v>
      </c>
      <c r="B23" s="80">
        <f>2.3937 * CHOOSE(CONTROL!$C$32, $C$9, 100%, $E$9)</f>
        <v>2.3936999999999999</v>
      </c>
      <c r="C23" s="80">
        <f>2.4103 * CHOOSE(CONTROL!$C$32, $C$9, 100%, $E$9)</f>
        <v>2.4102999999999999</v>
      </c>
      <c r="D23" s="80">
        <f>2.4492 * CHOOSE(CONTROL!$C$32, $C$9, 100%, $E$9)</f>
        <v>2.4491999999999998</v>
      </c>
      <c r="E23" s="81">
        <f>3.4819 * CHOOSE(CONTROL!$C$32, $C$9, 100%, $E$9)</f>
        <v>3.4819</v>
      </c>
      <c r="F23" s="81">
        <f>3.4559 * CHOOSE(CONTROL!$C$32, $C$9, 100%, $E$9)</f>
        <v>3.4559000000000002</v>
      </c>
      <c r="G23" s="81">
        <f>3.4689 * CHOOSE(CONTROL!$C$32, $C$9, 100%, $E$9)</f>
        <v>3.4689000000000001</v>
      </c>
      <c r="H23" s="81">
        <f>5.9271 * CHOOSE(CONTROL!$C$32, $C$9, 100%, $E$9)</f>
        <v>5.9271000000000003</v>
      </c>
      <c r="I23" s="81">
        <f>5.94 * CHOOSE(CONTROL!$C$32, $C$9, 100%, $E$9)</f>
        <v>5.94</v>
      </c>
      <c r="J23" s="81">
        <f>5.9271 * CHOOSE(CONTROL!$C$32, $C$9, 100%, $E$9)</f>
        <v>5.9271000000000003</v>
      </c>
      <c r="K23" s="81">
        <f>5.94 * CHOOSE(CONTROL!$C$32, $C$9, 100%, $E$9)</f>
        <v>5.94</v>
      </c>
      <c r="L23" s="81">
        <f>3.4819 * CHOOSE(CONTROL!$C$32, $C$9, 100%, $E$9)</f>
        <v>3.4819</v>
      </c>
      <c r="M23" s="81">
        <f>3.4948 * CHOOSE(CONTROL!$C$32, $C$9, 100%, $E$9)</f>
        <v>3.4948000000000001</v>
      </c>
      <c r="N23" s="81">
        <f>3.4819 * CHOOSE(CONTROL!$C$32, $C$9, 100%, $E$9)</f>
        <v>3.4819</v>
      </c>
      <c r="O23" s="81">
        <f>3.4948 * CHOOSE(CONTROL!$C$32, $C$9, 100%, $E$9)</f>
        <v>3.4948000000000001</v>
      </c>
      <c r="P23" s="10"/>
      <c r="Q23" s="81"/>
      <c r="R23" s="81"/>
    </row>
    <row r="24" spans="1:18" ht="15" x14ac:dyDescent="0.2">
      <c r="A24" s="16">
        <v>41944</v>
      </c>
      <c r="B24" s="80">
        <f>2.4013 * CHOOSE(CONTROL!$C$32, $C$9, 100%, $E$9)</f>
        <v>2.4013</v>
      </c>
      <c r="C24" s="80">
        <f>2.421 * CHOOSE(CONTROL!$C$32, $C$9, 100%, $E$9)</f>
        <v>2.4209999999999998</v>
      </c>
      <c r="D24" s="80">
        <f>2.4599 * CHOOSE(CONTROL!$C$32, $C$9, 100%, $E$9)</f>
        <v>2.4599000000000002</v>
      </c>
      <c r="E24" s="81">
        <f>3.4897 * CHOOSE(CONTROL!$C$32, $C$9, 100%, $E$9)</f>
        <v>3.4897</v>
      </c>
      <c r="F24" s="81">
        <f>3.4623 * CHOOSE(CONTROL!$C$32, $C$9, 100%, $E$9)</f>
        <v>3.4622999999999999</v>
      </c>
      <c r="G24" s="81">
        <f>3.4752 * CHOOSE(CONTROL!$C$32, $C$9, 100%, $E$9)</f>
        <v>3.4752000000000001</v>
      </c>
      <c r="H24" s="81">
        <f>5.9394 * CHOOSE(CONTROL!$C$32, $C$9, 100%, $E$9)</f>
        <v>5.9394</v>
      </c>
      <c r="I24" s="81">
        <f>5.9524 * CHOOSE(CONTROL!$C$32, $C$9, 100%, $E$9)</f>
        <v>5.9523999999999999</v>
      </c>
      <c r="J24" s="81">
        <f>5.9394 * CHOOSE(CONTROL!$C$32, $C$9, 100%, $E$9)</f>
        <v>5.9394</v>
      </c>
      <c r="K24" s="81">
        <f>5.9524 * CHOOSE(CONTROL!$C$32, $C$9, 100%, $E$9)</f>
        <v>5.9523999999999999</v>
      </c>
      <c r="L24" s="81">
        <f>3.4897 * CHOOSE(CONTROL!$C$32, $C$9, 100%, $E$9)</f>
        <v>3.4897</v>
      </c>
      <c r="M24" s="81">
        <f>3.5027 * CHOOSE(CONTROL!$C$32, $C$9, 100%, $E$9)</f>
        <v>3.5026999999999999</v>
      </c>
      <c r="N24" s="81">
        <f>3.4897 * CHOOSE(CONTROL!$C$32, $C$9, 100%, $E$9)</f>
        <v>3.4897</v>
      </c>
      <c r="O24" s="81">
        <f>3.5027 * CHOOSE(CONTROL!$C$32, $C$9, 100%, $E$9)</f>
        <v>3.5026999999999999</v>
      </c>
      <c r="P24" s="10"/>
      <c r="Q24" s="81"/>
      <c r="R24" s="81"/>
    </row>
    <row r="25" spans="1:18" ht="15" x14ac:dyDescent="0.2">
      <c r="A25" s="16">
        <v>41974</v>
      </c>
      <c r="B25" s="80">
        <f>2.4071 * CHOOSE(CONTROL!$C$32, $C$9, 100%, $E$9)</f>
        <v>2.4070999999999998</v>
      </c>
      <c r="C25" s="80">
        <f>2.4328 * CHOOSE(CONTROL!$C$32, $C$9, 100%, $E$9)</f>
        <v>2.4327999999999999</v>
      </c>
      <c r="D25" s="80">
        <f>2.4717 * CHOOSE(CONTROL!$C$32, $C$9, 100%, $E$9)</f>
        <v>2.4716999999999998</v>
      </c>
      <c r="E25" s="81">
        <f>3.4979 * CHOOSE(CONTROL!$C$32, $C$9, 100%, $E$9)</f>
        <v>3.4979</v>
      </c>
      <c r="F25" s="81">
        <f>3.475 * CHOOSE(CONTROL!$C$32, $C$9, 100%, $E$9)</f>
        <v>3.4750000000000001</v>
      </c>
      <c r="G25" s="81">
        <f>3.4879 * CHOOSE(CONTROL!$C$32, $C$9, 100%, $E$9)</f>
        <v>3.4878999999999998</v>
      </c>
      <c r="H25" s="81">
        <f>5.9518 * CHOOSE(CONTROL!$C$32, $C$9, 100%, $E$9)</f>
        <v>5.9518000000000004</v>
      </c>
      <c r="I25" s="81">
        <f>5.9647 * CHOOSE(CONTROL!$C$32, $C$9, 100%, $E$9)</f>
        <v>5.9646999999999997</v>
      </c>
      <c r="J25" s="81">
        <f>5.9518 * CHOOSE(CONTROL!$C$32, $C$9, 100%, $E$9)</f>
        <v>5.9518000000000004</v>
      </c>
      <c r="K25" s="81">
        <f>5.9647 * CHOOSE(CONTROL!$C$32, $C$9, 100%, $E$9)</f>
        <v>5.9646999999999997</v>
      </c>
      <c r="L25" s="81">
        <f>3.4979 * CHOOSE(CONTROL!$C$32, $C$9, 100%, $E$9)</f>
        <v>3.4979</v>
      </c>
      <c r="M25" s="81">
        <f>3.5108 * CHOOSE(CONTROL!$C$32, $C$9, 100%, $E$9)</f>
        <v>3.5108000000000001</v>
      </c>
      <c r="N25" s="81">
        <f>3.4979 * CHOOSE(CONTROL!$C$32, $C$9, 100%, $E$9)</f>
        <v>3.4979</v>
      </c>
      <c r="O25" s="81">
        <f>3.5108 * CHOOSE(CONTROL!$C$32, $C$9, 100%, $E$9)</f>
        <v>3.5108000000000001</v>
      </c>
      <c r="P25" s="10"/>
      <c r="Q25" s="81"/>
      <c r="R25" s="81"/>
    </row>
    <row r="26" spans="1:18" ht="15" x14ac:dyDescent="0.2">
      <c r="A26" s="16">
        <v>42005</v>
      </c>
      <c r="B26" s="80">
        <f>2.4532 * CHOOSE(CONTROL!$C$32, $C$9, 100%, $E$9)</f>
        <v>2.4531999999999998</v>
      </c>
      <c r="C26" s="80">
        <f>2.4532 * CHOOSE(CONTROL!$C$32, $C$9, 100%, $E$9)</f>
        <v>2.4531999999999998</v>
      </c>
      <c r="D26" s="80">
        <f>2.4542 * CHOOSE(CONTROL!$C$32, $C$9, 100%, $E$9)</f>
        <v>2.4542000000000002</v>
      </c>
      <c r="E26" s="81">
        <f>3.8055 * CHOOSE(CONTROL!$C$32, $C$9, 100%, $E$9)</f>
        <v>3.8054999999999999</v>
      </c>
      <c r="F26" s="81">
        <f>3.5836 * CHOOSE(CONTROL!$C$32, $C$9, 100%, $E$9)</f>
        <v>3.5836000000000001</v>
      </c>
      <c r="G26" s="81">
        <f>3.5872 * CHOOSE(CONTROL!$C$32, $C$9, 100%, $E$9)</f>
        <v>3.5872000000000002</v>
      </c>
      <c r="H26" s="81">
        <f>5.9642 * CHOOSE(CONTROL!$C$32, $C$9, 100%, $E$9)</f>
        <v>5.9641999999999999</v>
      </c>
      <c r="I26" s="81">
        <f>5.9678 * CHOOSE(CONTROL!$C$32, $C$9, 100%, $E$9)</f>
        <v>5.9678000000000004</v>
      </c>
      <c r="J26" s="81">
        <f>5.9642 * CHOOSE(CONTROL!$C$32, $C$9, 100%, $E$9)</f>
        <v>5.9641999999999999</v>
      </c>
      <c r="K26" s="81">
        <f>5.9678 * CHOOSE(CONTROL!$C$32, $C$9, 100%, $E$9)</f>
        <v>5.9678000000000004</v>
      </c>
      <c r="L26" s="81">
        <f>3.8055 * CHOOSE(CONTROL!$C$32, $C$9, 100%, $E$9)</f>
        <v>3.8054999999999999</v>
      </c>
      <c r="M26" s="81">
        <f>3.8091 * CHOOSE(CONTROL!$C$32, $C$9, 100%, $E$9)</f>
        <v>3.8090999999999999</v>
      </c>
      <c r="N26" s="81">
        <f>3.8055 * CHOOSE(CONTROL!$C$32, $C$9, 100%, $E$9)</f>
        <v>3.8054999999999999</v>
      </c>
      <c r="O26" s="81">
        <f>3.8091 * CHOOSE(CONTROL!$C$32, $C$9, 100%, $E$9)</f>
        <v>3.8090999999999999</v>
      </c>
      <c r="P26" s="10"/>
      <c r="Q26" s="81"/>
      <c r="R26" s="81"/>
    </row>
    <row r="27" spans="1:18" ht="15" x14ac:dyDescent="0.2">
      <c r="A27" s="16">
        <v>42036</v>
      </c>
      <c r="B27" s="80">
        <f>2.4638 * CHOOSE(CONTROL!$C$32, $C$9, 100%, $E$9)</f>
        <v>2.4638</v>
      </c>
      <c r="C27" s="80">
        <f>2.4638 * CHOOSE(CONTROL!$C$32, $C$9, 100%, $E$9)</f>
        <v>2.4638</v>
      </c>
      <c r="D27" s="80">
        <f>2.4648 * CHOOSE(CONTROL!$C$32, $C$9, 100%, $E$9)</f>
        <v>2.4647999999999999</v>
      </c>
      <c r="E27" s="81">
        <f>3.7577 * CHOOSE(CONTROL!$C$32, $C$9, 100%, $E$9)</f>
        <v>3.7576999999999998</v>
      </c>
      <c r="F27" s="81">
        <f>3.5836 * CHOOSE(CONTROL!$C$32, $C$9, 100%, $E$9)</f>
        <v>3.5836000000000001</v>
      </c>
      <c r="G27" s="81">
        <f>3.5872 * CHOOSE(CONTROL!$C$32, $C$9, 100%, $E$9)</f>
        <v>3.5872000000000002</v>
      </c>
      <c r="H27" s="81">
        <f>5.9766 * CHOOSE(CONTROL!$C$32, $C$9, 100%, $E$9)</f>
        <v>5.9766000000000004</v>
      </c>
      <c r="I27" s="81">
        <f>5.9802 * CHOOSE(CONTROL!$C$32, $C$9, 100%, $E$9)</f>
        <v>5.9802</v>
      </c>
      <c r="J27" s="81">
        <f>5.9766 * CHOOSE(CONTROL!$C$32, $C$9, 100%, $E$9)</f>
        <v>5.9766000000000004</v>
      </c>
      <c r="K27" s="81">
        <f>5.9802 * CHOOSE(CONTROL!$C$32, $C$9, 100%, $E$9)</f>
        <v>5.9802</v>
      </c>
      <c r="L27" s="81">
        <f>3.7577 * CHOOSE(CONTROL!$C$32, $C$9, 100%, $E$9)</f>
        <v>3.7576999999999998</v>
      </c>
      <c r="M27" s="81">
        <f>3.7613 * CHOOSE(CONTROL!$C$32, $C$9, 100%, $E$9)</f>
        <v>3.7612999999999999</v>
      </c>
      <c r="N27" s="81">
        <f>3.7577 * CHOOSE(CONTROL!$C$32, $C$9, 100%, $E$9)</f>
        <v>3.7576999999999998</v>
      </c>
      <c r="O27" s="81">
        <f>3.7613 * CHOOSE(CONTROL!$C$32, $C$9, 100%, $E$9)</f>
        <v>3.7612999999999999</v>
      </c>
      <c r="P27" s="10"/>
      <c r="Q27" s="81"/>
      <c r="R27" s="81"/>
    </row>
    <row r="28" spans="1:18" ht="15" x14ac:dyDescent="0.2">
      <c r="A28" s="16">
        <v>42064</v>
      </c>
      <c r="B28" s="80">
        <f>2.4574 * CHOOSE(CONTROL!$C$32, $C$9, 100%, $E$9)</f>
        <v>2.4573999999999998</v>
      </c>
      <c r="C28" s="80">
        <f>2.4574 * CHOOSE(CONTROL!$C$32, $C$9, 100%, $E$9)</f>
        <v>2.4573999999999998</v>
      </c>
      <c r="D28" s="80">
        <f>2.4584 * CHOOSE(CONTROL!$C$32, $C$9, 100%, $E$9)</f>
        <v>2.4584000000000001</v>
      </c>
      <c r="E28" s="81">
        <f>3.686 * CHOOSE(CONTROL!$C$32, $C$9, 100%, $E$9)</f>
        <v>3.6859999999999999</v>
      </c>
      <c r="F28" s="81">
        <f>3.5836 * CHOOSE(CONTROL!$C$32, $C$9, 100%, $E$9)</f>
        <v>3.5836000000000001</v>
      </c>
      <c r="G28" s="81">
        <f>3.5872 * CHOOSE(CONTROL!$C$32, $C$9, 100%, $E$9)</f>
        <v>3.5872000000000002</v>
      </c>
      <c r="H28" s="81">
        <f>5.9891 * CHOOSE(CONTROL!$C$32, $C$9, 100%, $E$9)</f>
        <v>5.9890999999999996</v>
      </c>
      <c r="I28" s="81">
        <f>5.9927 * CHOOSE(CONTROL!$C$32, $C$9, 100%, $E$9)</f>
        <v>5.9927000000000001</v>
      </c>
      <c r="J28" s="81">
        <f>5.9891 * CHOOSE(CONTROL!$C$32, $C$9, 100%, $E$9)</f>
        <v>5.9890999999999996</v>
      </c>
      <c r="K28" s="81">
        <f>5.9927 * CHOOSE(CONTROL!$C$32, $C$9, 100%, $E$9)</f>
        <v>5.9927000000000001</v>
      </c>
      <c r="L28" s="81">
        <f>3.686 * CHOOSE(CONTROL!$C$32, $C$9, 100%, $E$9)</f>
        <v>3.6859999999999999</v>
      </c>
      <c r="M28" s="81">
        <f>3.6896 * CHOOSE(CONTROL!$C$32, $C$9, 100%, $E$9)</f>
        <v>3.6896</v>
      </c>
      <c r="N28" s="81">
        <f>3.686 * CHOOSE(CONTROL!$C$32, $C$9, 100%, $E$9)</f>
        <v>3.6859999999999999</v>
      </c>
      <c r="O28" s="81">
        <f>3.6896 * CHOOSE(CONTROL!$C$32, $C$9, 100%, $E$9)</f>
        <v>3.6896</v>
      </c>
      <c r="P28" s="10"/>
      <c r="Q28" s="81"/>
      <c r="R28" s="81"/>
    </row>
    <row r="29" spans="1:18" ht="15" x14ac:dyDescent="0.2">
      <c r="A29" s="16">
        <v>42095</v>
      </c>
      <c r="B29" s="80">
        <f>2.4574 * CHOOSE(CONTROL!$C$32, $C$9, 100%, $E$9)</f>
        <v>2.4573999999999998</v>
      </c>
      <c r="C29" s="80">
        <f>2.4574 * CHOOSE(CONTROL!$C$32, $C$9, 100%, $E$9)</f>
        <v>2.4573999999999998</v>
      </c>
      <c r="D29" s="80">
        <f>2.4584 * CHOOSE(CONTROL!$C$32, $C$9, 100%, $E$9)</f>
        <v>2.4584000000000001</v>
      </c>
      <c r="E29" s="81">
        <f>3.6986 * CHOOSE(CONTROL!$C$32, $C$9, 100%, $E$9)</f>
        <v>3.6985999999999999</v>
      </c>
      <c r="F29" s="81">
        <f>3.5836 * CHOOSE(CONTROL!$C$32, $C$9, 100%, $E$9)</f>
        <v>3.5836000000000001</v>
      </c>
      <c r="G29" s="81">
        <f>3.5872 * CHOOSE(CONTROL!$C$32, $C$9, 100%, $E$9)</f>
        <v>3.5872000000000002</v>
      </c>
      <c r="H29" s="81">
        <f>6.0016 * CHOOSE(CONTROL!$C$32, $C$9, 100%, $E$9)</f>
        <v>6.0015999999999998</v>
      </c>
      <c r="I29" s="81">
        <f>6.0052 * CHOOSE(CONTROL!$C$32, $C$9, 100%, $E$9)</f>
        <v>6.0052000000000003</v>
      </c>
      <c r="J29" s="81">
        <f>6.0016 * CHOOSE(CONTROL!$C$32, $C$9, 100%, $E$9)</f>
        <v>6.0015999999999998</v>
      </c>
      <c r="K29" s="81">
        <f>6.0052 * CHOOSE(CONTROL!$C$32, $C$9, 100%, $E$9)</f>
        <v>6.0052000000000003</v>
      </c>
      <c r="L29" s="81">
        <f>3.6986 * CHOOSE(CONTROL!$C$32, $C$9, 100%, $E$9)</f>
        <v>3.6985999999999999</v>
      </c>
      <c r="M29" s="81">
        <f>3.7022 * CHOOSE(CONTROL!$C$32, $C$9, 100%, $E$9)</f>
        <v>3.7021999999999999</v>
      </c>
      <c r="N29" s="81">
        <f>3.6986 * CHOOSE(CONTROL!$C$32, $C$9, 100%, $E$9)</f>
        <v>3.6985999999999999</v>
      </c>
      <c r="O29" s="81">
        <f>3.7022 * CHOOSE(CONTROL!$C$32, $C$9, 100%, $E$9)</f>
        <v>3.7021999999999999</v>
      </c>
      <c r="P29" s="10"/>
      <c r="Q29" s="81"/>
      <c r="R29" s="81"/>
    </row>
    <row r="30" spans="1:18" ht="15" x14ac:dyDescent="0.2">
      <c r="A30" s="16">
        <v>42125</v>
      </c>
      <c r="B30" s="80">
        <f>2.4559 * CHOOSE(CONTROL!$C$32, $C$9, 100%, $E$9)</f>
        <v>2.4559000000000002</v>
      </c>
      <c r="C30" s="80">
        <f>2.4559 * CHOOSE(CONTROL!$C$32, $C$9, 100%, $E$9)</f>
        <v>2.4559000000000002</v>
      </c>
      <c r="D30" s="80">
        <f>2.4575 * CHOOSE(CONTROL!$C$32, $C$9, 100%, $E$9)</f>
        <v>2.4575</v>
      </c>
      <c r="E30" s="81">
        <f>3.7718 * CHOOSE(CONTROL!$C$32, $C$9, 100%, $E$9)</f>
        <v>3.7717999999999998</v>
      </c>
      <c r="F30" s="81">
        <f>3.5836 * CHOOSE(CONTROL!$C$32, $C$9, 100%, $E$9)</f>
        <v>3.5836000000000001</v>
      </c>
      <c r="G30" s="81">
        <f>3.5889 * CHOOSE(CONTROL!$C$32, $C$9, 100%, $E$9)</f>
        <v>3.5889000000000002</v>
      </c>
      <c r="H30" s="81">
        <f>6.0141 * CHOOSE(CONTROL!$C$32, $C$9, 100%, $E$9)</f>
        <v>6.0141</v>
      </c>
      <c r="I30" s="81">
        <f>6.0194 * CHOOSE(CONTROL!$C$32, $C$9, 100%, $E$9)</f>
        <v>6.0194000000000001</v>
      </c>
      <c r="J30" s="81">
        <f>6.0141 * CHOOSE(CONTROL!$C$32, $C$9, 100%, $E$9)</f>
        <v>6.0141</v>
      </c>
      <c r="K30" s="81">
        <f>6.0194 * CHOOSE(CONTROL!$C$32, $C$9, 100%, $E$9)</f>
        <v>6.0194000000000001</v>
      </c>
      <c r="L30" s="81">
        <f>3.7718 * CHOOSE(CONTROL!$C$32, $C$9, 100%, $E$9)</f>
        <v>3.7717999999999998</v>
      </c>
      <c r="M30" s="81">
        <f>3.7771 * CHOOSE(CONTROL!$C$32, $C$9, 100%, $E$9)</f>
        <v>3.7770999999999999</v>
      </c>
      <c r="N30" s="81">
        <f>3.7718 * CHOOSE(CONTROL!$C$32, $C$9, 100%, $E$9)</f>
        <v>3.7717999999999998</v>
      </c>
      <c r="O30" s="81">
        <f>3.7771 * CHOOSE(CONTROL!$C$32, $C$9, 100%, $E$9)</f>
        <v>3.7770999999999999</v>
      </c>
      <c r="P30" s="10"/>
      <c r="Q30" s="81"/>
      <c r="R30" s="81"/>
    </row>
    <row r="31" spans="1:18" ht="15" x14ac:dyDescent="0.2">
      <c r="A31" s="16">
        <v>42156</v>
      </c>
      <c r="B31" s="80">
        <f>2.4775 * CHOOSE(CONTROL!$C$32, $C$9, 100%, $E$9)</f>
        <v>2.4775</v>
      </c>
      <c r="C31" s="80">
        <f>2.4775 * CHOOSE(CONTROL!$C$32, $C$9, 100%, $E$9)</f>
        <v>2.4775</v>
      </c>
      <c r="D31" s="80">
        <f>2.4791 * CHOOSE(CONTROL!$C$32, $C$9, 100%, $E$9)</f>
        <v>2.4790999999999999</v>
      </c>
      <c r="E31" s="81">
        <f>3.8167 * CHOOSE(CONTROL!$C$32, $C$9, 100%, $E$9)</f>
        <v>3.8167</v>
      </c>
      <c r="F31" s="81">
        <f>3.5836 * CHOOSE(CONTROL!$C$32, $C$9, 100%, $E$9)</f>
        <v>3.5836000000000001</v>
      </c>
      <c r="G31" s="81">
        <f>3.5889 * CHOOSE(CONTROL!$C$32, $C$9, 100%, $E$9)</f>
        <v>3.5889000000000002</v>
      </c>
      <c r="H31" s="81">
        <f>6.0266 * CHOOSE(CONTROL!$C$32, $C$9, 100%, $E$9)</f>
        <v>6.0266000000000002</v>
      </c>
      <c r="I31" s="81">
        <f>6.0319 * CHOOSE(CONTROL!$C$32, $C$9, 100%, $E$9)</f>
        <v>6.0319000000000003</v>
      </c>
      <c r="J31" s="81">
        <f>6.0266 * CHOOSE(CONTROL!$C$32, $C$9, 100%, $E$9)</f>
        <v>6.0266000000000002</v>
      </c>
      <c r="K31" s="81">
        <f>6.0319 * CHOOSE(CONTROL!$C$32, $C$9, 100%, $E$9)</f>
        <v>6.0319000000000003</v>
      </c>
      <c r="L31" s="81">
        <f>3.8167 * CHOOSE(CONTROL!$C$32, $C$9, 100%, $E$9)</f>
        <v>3.8167</v>
      </c>
      <c r="M31" s="81">
        <f>3.822 * CHOOSE(CONTROL!$C$32, $C$9, 100%, $E$9)</f>
        <v>3.8220000000000001</v>
      </c>
      <c r="N31" s="81">
        <f>3.8167 * CHOOSE(CONTROL!$C$32, $C$9, 100%, $E$9)</f>
        <v>3.8167</v>
      </c>
      <c r="O31" s="81">
        <f>3.822 * CHOOSE(CONTROL!$C$32, $C$9, 100%, $E$9)</f>
        <v>3.8220000000000001</v>
      </c>
      <c r="P31" s="10"/>
      <c r="Q31" s="81"/>
      <c r="R31" s="81"/>
    </row>
    <row r="32" spans="1:18" ht="15" x14ac:dyDescent="0.2">
      <c r="A32" s="16">
        <v>42186</v>
      </c>
      <c r="B32" s="80">
        <f>2.5019 * CHOOSE(CONTROL!$C$32, $C$9, 100%, $E$9)</f>
        <v>2.5019</v>
      </c>
      <c r="C32" s="80">
        <f>2.5019 * CHOOSE(CONTROL!$C$32, $C$9, 100%, $E$9)</f>
        <v>2.5019</v>
      </c>
      <c r="D32" s="80">
        <f>2.5034 * CHOOSE(CONTROL!$C$32, $C$9, 100%, $E$9)</f>
        <v>2.5034000000000001</v>
      </c>
      <c r="E32" s="81">
        <f>3.8864 * CHOOSE(CONTROL!$C$32, $C$9, 100%, $E$9)</f>
        <v>3.8864000000000001</v>
      </c>
      <c r="F32" s="81">
        <f>3.5836 * CHOOSE(CONTROL!$C$32, $C$9, 100%, $E$9)</f>
        <v>3.5836000000000001</v>
      </c>
      <c r="G32" s="81">
        <f>3.5889 * CHOOSE(CONTROL!$C$32, $C$9, 100%, $E$9)</f>
        <v>3.5889000000000002</v>
      </c>
      <c r="H32" s="81">
        <f>6.0391 * CHOOSE(CONTROL!$C$32, $C$9, 100%, $E$9)</f>
        <v>6.0391000000000004</v>
      </c>
      <c r="I32" s="81">
        <f>6.0444 * CHOOSE(CONTROL!$C$32, $C$9, 100%, $E$9)</f>
        <v>6.0444000000000004</v>
      </c>
      <c r="J32" s="81">
        <f>6.0391 * CHOOSE(CONTROL!$C$32, $C$9, 100%, $E$9)</f>
        <v>6.0391000000000004</v>
      </c>
      <c r="K32" s="81">
        <f>6.0444 * CHOOSE(CONTROL!$C$32, $C$9, 100%, $E$9)</f>
        <v>6.0444000000000004</v>
      </c>
      <c r="L32" s="81">
        <f>3.8864 * CHOOSE(CONTROL!$C$32, $C$9, 100%, $E$9)</f>
        <v>3.8864000000000001</v>
      </c>
      <c r="M32" s="81">
        <f>3.8917 * CHOOSE(CONTROL!$C$32, $C$9, 100%, $E$9)</f>
        <v>3.8917000000000002</v>
      </c>
      <c r="N32" s="81">
        <f>3.8864 * CHOOSE(CONTROL!$C$32, $C$9, 100%, $E$9)</f>
        <v>3.8864000000000001</v>
      </c>
      <c r="O32" s="81">
        <f>3.8917 * CHOOSE(CONTROL!$C$32, $C$9, 100%, $E$9)</f>
        <v>3.8917000000000002</v>
      </c>
      <c r="P32" s="10"/>
      <c r="Q32" s="81"/>
      <c r="R32" s="81"/>
    </row>
    <row r="33" spans="1:18" ht="15" x14ac:dyDescent="0.2">
      <c r="A33" s="16">
        <v>42217</v>
      </c>
      <c r="B33" s="80">
        <f>2.5126 * CHOOSE(CONTROL!$C$32, $C$9, 100%, $E$9)</f>
        <v>2.5125999999999999</v>
      </c>
      <c r="C33" s="80">
        <f>2.5126 * CHOOSE(CONTROL!$C$32, $C$9, 100%, $E$9)</f>
        <v>2.5125999999999999</v>
      </c>
      <c r="D33" s="80">
        <f>2.5142 * CHOOSE(CONTROL!$C$32, $C$9, 100%, $E$9)</f>
        <v>2.5142000000000002</v>
      </c>
      <c r="E33" s="81">
        <f>3.8864 * CHOOSE(CONTROL!$C$32, $C$9, 100%, $E$9)</f>
        <v>3.8864000000000001</v>
      </c>
      <c r="F33" s="81">
        <f>3.5836 * CHOOSE(CONTROL!$C$32, $C$9, 100%, $E$9)</f>
        <v>3.5836000000000001</v>
      </c>
      <c r="G33" s="81">
        <f>3.5889 * CHOOSE(CONTROL!$C$32, $C$9, 100%, $E$9)</f>
        <v>3.5889000000000002</v>
      </c>
      <c r="H33" s="81">
        <f>6.0517 * CHOOSE(CONTROL!$C$32, $C$9, 100%, $E$9)</f>
        <v>6.0517000000000003</v>
      </c>
      <c r="I33" s="81">
        <f>6.057 * CHOOSE(CONTROL!$C$32, $C$9, 100%, $E$9)</f>
        <v>6.0570000000000004</v>
      </c>
      <c r="J33" s="81">
        <f>6.0517 * CHOOSE(CONTROL!$C$32, $C$9, 100%, $E$9)</f>
        <v>6.0517000000000003</v>
      </c>
      <c r="K33" s="81">
        <f>6.057 * CHOOSE(CONTROL!$C$32, $C$9, 100%, $E$9)</f>
        <v>6.0570000000000004</v>
      </c>
      <c r="L33" s="81">
        <f>3.8864 * CHOOSE(CONTROL!$C$32, $C$9, 100%, $E$9)</f>
        <v>3.8864000000000001</v>
      </c>
      <c r="M33" s="81">
        <f>3.8917 * CHOOSE(CONTROL!$C$32, $C$9, 100%, $E$9)</f>
        <v>3.8917000000000002</v>
      </c>
      <c r="N33" s="81">
        <f>3.8864 * CHOOSE(CONTROL!$C$32, $C$9, 100%, $E$9)</f>
        <v>3.8864000000000001</v>
      </c>
      <c r="O33" s="81">
        <f>3.8917 * CHOOSE(CONTROL!$C$32, $C$9, 100%, $E$9)</f>
        <v>3.8917000000000002</v>
      </c>
      <c r="P33" s="10"/>
      <c r="Q33" s="81"/>
      <c r="R33" s="81"/>
    </row>
    <row r="34" spans="1:18" ht="15" x14ac:dyDescent="0.2">
      <c r="A34" s="16">
        <v>42248</v>
      </c>
      <c r="B34" s="80">
        <f>2.5129 * CHOOSE(CONTROL!$C$32, $C$9, 100%, $E$9)</f>
        <v>2.5129000000000001</v>
      </c>
      <c r="C34" s="80">
        <f>2.5129 * CHOOSE(CONTROL!$C$32, $C$9, 100%, $E$9)</f>
        <v>2.5129000000000001</v>
      </c>
      <c r="D34" s="80">
        <f>2.5145 * CHOOSE(CONTROL!$C$32, $C$9, 100%, $E$9)</f>
        <v>2.5145</v>
      </c>
      <c r="E34" s="81">
        <f>3.7811 * CHOOSE(CONTROL!$C$32, $C$9, 100%, $E$9)</f>
        <v>3.7810999999999999</v>
      </c>
      <c r="F34" s="81">
        <f>3.5836 * CHOOSE(CONTROL!$C$32, $C$9, 100%, $E$9)</f>
        <v>3.5836000000000001</v>
      </c>
      <c r="G34" s="81">
        <f>3.5889 * CHOOSE(CONTROL!$C$32, $C$9, 100%, $E$9)</f>
        <v>3.5889000000000002</v>
      </c>
      <c r="H34" s="81">
        <f>6.0643 * CHOOSE(CONTROL!$C$32, $C$9, 100%, $E$9)</f>
        <v>6.0643000000000002</v>
      </c>
      <c r="I34" s="81">
        <f>6.0696 * CHOOSE(CONTROL!$C$32, $C$9, 100%, $E$9)</f>
        <v>6.0696000000000003</v>
      </c>
      <c r="J34" s="81">
        <f>6.0643 * CHOOSE(CONTROL!$C$32, $C$9, 100%, $E$9)</f>
        <v>6.0643000000000002</v>
      </c>
      <c r="K34" s="81">
        <f>6.0696 * CHOOSE(CONTROL!$C$32, $C$9, 100%, $E$9)</f>
        <v>6.0696000000000003</v>
      </c>
      <c r="L34" s="81">
        <f>3.7811 * CHOOSE(CONTROL!$C$32, $C$9, 100%, $E$9)</f>
        <v>3.7810999999999999</v>
      </c>
      <c r="M34" s="81">
        <f>3.7864 * CHOOSE(CONTROL!$C$32, $C$9, 100%, $E$9)</f>
        <v>3.7864</v>
      </c>
      <c r="N34" s="81">
        <f>3.7811 * CHOOSE(CONTROL!$C$32, $C$9, 100%, $E$9)</f>
        <v>3.7810999999999999</v>
      </c>
      <c r="O34" s="81">
        <f>3.7864 * CHOOSE(CONTROL!$C$32, $C$9, 100%, $E$9)</f>
        <v>3.7864</v>
      </c>
      <c r="P34" s="10"/>
      <c r="Q34" s="81"/>
      <c r="R34" s="81"/>
    </row>
    <row r="35" spans="1:18" ht="15" x14ac:dyDescent="0.2">
      <c r="A35" s="16">
        <v>42278</v>
      </c>
      <c r="B35" s="80">
        <f>2.5008 * CHOOSE(CONTROL!$C$32, $C$9, 100%, $E$9)</f>
        <v>2.5007999999999999</v>
      </c>
      <c r="C35" s="80">
        <f>2.5008 * CHOOSE(CONTROL!$C$32, $C$9, 100%, $E$9)</f>
        <v>2.5007999999999999</v>
      </c>
      <c r="D35" s="80">
        <f>2.5019 * CHOOSE(CONTROL!$C$32, $C$9, 100%, $E$9)</f>
        <v>2.5019</v>
      </c>
      <c r="E35" s="81">
        <f>3.865 * CHOOSE(CONTROL!$C$32, $C$9, 100%, $E$9)</f>
        <v>3.8650000000000002</v>
      </c>
      <c r="F35" s="81">
        <f>3.5836 * CHOOSE(CONTROL!$C$32, $C$9, 100%, $E$9)</f>
        <v>3.5836000000000001</v>
      </c>
      <c r="G35" s="81">
        <f>3.5872 * CHOOSE(CONTROL!$C$32, $C$9, 100%, $E$9)</f>
        <v>3.5872000000000002</v>
      </c>
      <c r="H35" s="81">
        <f>6.077 * CHOOSE(CONTROL!$C$32, $C$9, 100%, $E$9)</f>
        <v>6.077</v>
      </c>
      <c r="I35" s="81">
        <f>6.0806 * CHOOSE(CONTROL!$C$32, $C$9, 100%, $E$9)</f>
        <v>6.0805999999999996</v>
      </c>
      <c r="J35" s="81">
        <f>6.077 * CHOOSE(CONTROL!$C$32, $C$9, 100%, $E$9)</f>
        <v>6.077</v>
      </c>
      <c r="K35" s="81">
        <f>6.0806 * CHOOSE(CONTROL!$C$32, $C$9, 100%, $E$9)</f>
        <v>6.0805999999999996</v>
      </c>
      <c r="L35" s="81">
        <f>3.865 * CHOOSE(CONTROL!$C$32, $C$9, 100%, $E$9)</f>
        <v>3.8650000000000002</v>
      </c>
      <c r="M35" s="81">
        <f>3.8686 * CHOOSE(CONTROL!$C$32, $C$9, 100%, $E$9)</f>
        <v>3.8685999999999998</v>
      </c>
      <c r="N35" s="81">
        <f>3.865 * CHOOSE(CONTROL!$C$32, $C$9, 100%, $E$9)</f>
        <v>3.8650000000000002</v>
      </c>
      <c r="O35" s="81">
        <f>3.8686 * CHOOSE(CONTROL!$C$32, $C$9, 100%, $E$9)</f>
        <v>3.8685999999999998</v>
      </c>
      <c r="P35" s="10"/>
      <c r="Q35" s="81"/>
      <c r="R35" s="81"/>
    </row>
    <row r="36" spans="1:18" ht="15" x14ac:dyDescent="0.2">
      <c r="A36" s="16">
        <v>42309</v>
      </c>
      <c r="B36" s="80">
        <f>2.5055 * CHOOSE(CONTROL!$C$32, $C$9, 100%, $E$9)</f>
        <v>2.5055000000000001</v>
      </c>
      <c r="C36" s="80">
        <f>2.5055 * CHOOSE(CONTROL!$C$32, $C$9, 100%, $E$9)</f>
        <v>2.5055000000000001</v>
      </c>
      <c r="D36" s="80">
        <f>2.5065 * CHOOSE(CONTROL!$C$32, $C$9, 100%, $E$9)</f>
        <v>2.5065</v>
      </c>
      <c r="E36" s="81">
        <f>3.865 * CHOOSE(CONTROL!$C$32, $C$9, 100%, $E$9)</f>
        <v>3.8650000000000002</v>
      </c>
      <c r="F36" s="81">
        <f>3.5836 * CHOOSE(CONTROL!$C$32, $C$9, 100%, $E$9)</f>
        <v>3.5836000000000001</v>
      </c>
      <c r="G36" s="81">
        <f>3.5872 * CHOOSE(CONTROL!$C$32, $C$9, 100%, $E$9)</f>
        <v>3.5872000000000002</v>
      </c>
      <c r="H36" s="81">
        <f>6.0896 * CHOOSE(CONTROL!$C$32, $C$9, 100%, $E$9)</f>
        <v>6.0895999999999999</v>
      </c>
      <c r="I36" s="81">
        <f>6.0932 * CHOOSE(CONTROL!$C$32, $C$9, 100%, $E$9)</f>
        <v>6.0932000000000004</v>
      </c>
      <c r="J36" s="81">
        <f>6.0896 * CHOOSE(CONTROL!$C$32, $C$9, 100%, $E$9)</f>
        <v>6.0895999999999999</v>
      </c>
      <c r="K36" s="81">
        <f>6.0932 * CHOOSE(CONTROL!$C$32, $C$9, 100%, $E$9)</f>
        <v>6.0932000000000004</v>
      </c>
      <c r="L36" s="81">
        <f>3.865 * CHOOSE(CONTROL!$C$32, $C$9, 100%, $E$9)</f>
        <v>3.8650000000000002</v>
      </c>
      <c r="M36" s="81">
        <f>3.8686 * CHOOSE(CONTROL!$C$32, $C$9, 100%, $E$9)</f>
        <v>3.8685999999999998</v>
      </c>
      <c r="N36" s="81">
        <f>3.865 * CHOOSE(CONTROL!$C$32, $C$9, 100%, $E$9)</f>
        <v>3.8650000000000002</v>
      </c>
      <c r="O36" s="81">
        <f>3.8686 * CHOOSE(CONTROL!$C$32, $C$9, 100%, $E$9)</f>
        <v>3.8685999999999998</v>
      </c>
      <c r="P36" s="10"/>
      <c r="Q36" s="81"/>
      <c r="R36" s="81"/>
    </row>
    <row r="37" spans="1:18" ht="15" x14ac:dyDescent="0.2">
      <c r="A37" s="16">
        <v>42339</v>
      </c>
      <c r="B37" s="80">
        <f>2.5088 * CHOOSE(CONTROL!$C$32, $C$9, 100%, $E$9)</f>
        <v>2.5087999999999999</v>
      </c>
      <c r="C37" s="80">
        <f>2.5088 * CHOOSE(CONTROL!$C$32, $C$9, 100%, $E$9)</f>
        <v>2.5087999999999999</v>
      </c>
      <c r="D37" s="80">
        <f>2.5099 * CHOOSE(CONTROL!$C$32, $C$9, 100%, $E$9)</f>
        <v>2.5099</v>
      </c>
      <c r="E37" s="81">
        <f>3.8041 * CHOOSE(CONTROL!$C$32, $C$9, 100%, $E$9)</f>
        <v>3.8041</v>
      </c>
      <c r="F37" s="81">
        <f>3.5836 * CHOOSE(CONTROL!$C$32, $C$9, 100%, $E$9)</f>
        <v>3.5836000000000001</v>
      </c>
      <c r="G37" s="81">
        <f>3.5872 * CHOOSE(CONTROL!$C$32, $C$9, 100%, $E$9)</f>
        <v>3.5872000000000002</v>
      </c>
      <c r="H37" s="81">
        <f>6.1023 * CHOOSE(CONTROL!$C$32, $C$9, 100%, $E$9)</f>
        <v>6.1022999999999996</v>
      </c>
      <c r="I37" s="81">
        <f>6.1059 * CHOOSE(CONTROL!$C$32, $C$9, 100%, $E$9)</f>
        <v>6.1059000000000001</v>
      </c>
      <c r="J37" s="81">
        <f>6.1023 * CHOOSE(CONTROL!$C$32, $C$9, 100%, $E$9)</f>
        <v>6.1022999999999996</v>
      </c>
      <c r="K37" s="81">
        <f>6.1059 * CHOOSE(CONTROL!$C$32, $C$9, 100%, $E$9)</f>
        <v>6.1059000000000001</v>
      </c>
      <c r="L37" s="81">
        <f>3.8041 * CHOOSE(CONTROL!$C$32, $C$9, 100%, $E$9)</f>
        <v>3.8041</v>
      </c>
      <c r="M37" s="81">
        <f>3.8077 * CHOOSE(CONTROL!$C$32, $C$9, 100%, $E$9)</f>
        <v>3.8077000000000001</v>
      </c>
      <c r="N37" s="81">
        <f>3.8041 * CHOOSE(CONTROL!$C$32, $C$9, 100%, $E$9)</f>
        <v>3.8041</v>
      </c>
      <c r="O37" s="81">
        <f>3.8077 * CHOOSE(CONTROL!$C$32, $C$9, 100%, $E$9)</f>
        <v>3.8077000000000001</v>
      </c>
      <c r="P37" s="10"/>
      <c r="Q37" s="81"/>
      <c r="R37" s="81"/>
    </row>
    <row r="38" spans="1:18" ht="15" x14ac:dyDescent="0.2">
      <c r="A38" s="16">
        <v>42370</v>
      </c>
      <c r="B38" s="80">
        <f>3.2679 * CHOOSE(CONTROL!$C$32, $C$9, 100%, $E$9)</f>
        <v>3.2679</v>
      </c>
      <c r="C38" s="80">
        <f>3.2679 * CHOOSE(CONTROL!$C$32, $C$9, 100%, $E$9)</f>
        <v>3.2679</v>
      </c>
      <c r="D38" s="80">
        <f>3.269 * CHOOSE(CONTROL!$C$32, $C$9, 100%, $E$9)</f>
        <v>3.2690000000000001</v>
      </c>
      <c r="E38" s="81">
        <f>3.9546 * CHOOSE(CONTROL!$C$32, $C$9, 100%, $E$9)</f>
        <v>3.9546000000000001</v>
      </c>
      <c r="F38" s="81">
        <f>3.6856 * CHOOSE(CONTROL!$C$32, $C$9, 100%, $E$9)</f>
        <v>3.6856</v>
      </c>
      <c r="G38" s="81">
        <f>3.6892 * CHOOSE(CONTROL!$C$32, $C$9, 100%, $E$9)</f>
        <v>3.6892</v>
      </c>
      <c r="H38" s="81">
        <f>6.115 * CHOOSE(CONTROL!$C$32, $C$9, 100%, $E$9)</f>
        <v>6.1150000000000002</v>
      </c>
      <c r="I38" s="81">
        <f>6.1186 * CHOOSE(CONTROL!$C$32, $C$9, 100%, $E$9)</f>
        <v>6.1185999999999998</v>
      </c>
      <c r="J38" s="81">
        <f>6.115 * CHOOSE(CONTROL!$C$32, $C$9, 100%, $E$9)</f>
        <v>6.1150000000000002</v>
      </c>
      <c r="K38" s="81">
        <f>6.1186 * CHOOSE(CONTROL!$C$32, $C$9, 100%, $E$9)</f>
        <v>6.1185999999999998</v>
      </c>
      <c r="L38" s="81">
        <f>3.9546 * CHOOSE(CONTROL!$C$32, $C$9, 100%, $E$9)</f>
        <v>3.9546000000000001</v>
      </c>
      <c r="M38" s="81">
        <f>3.9582 * CHOOSE(CONTROL!$C$32, $C$9, 100%, $E$9)</f>
        <v>3.9582000000000002</v>
      </c>
      <c r="N38" s="81">
        <f>3.9546 * CHOOSE(CONTROL!$C$32, $C$9, 100%, $E$9)</f>
        <v>3.9546000000000001</v>
      </c>
      <c r="O38" s="81">
        <f>3.9582 * CHOOSE(CONTROL!$C$32, $C$9, 100%, $E$9)</f>
        <v>3.9582000000000002</v>
      </c>
      <c r="P38" s="10"/>
      <c r="Q38" s="81"/>
      <c r="R38" s="81"/>
    </row>
    <row r="39" spans="1:18" ht="15" x14ac:dyDescent="0.2">
      <c r="A39" s="16">
        <v>42401</v>
      </c>
      <c r="B39" s="80">
        <f>3.2731 * CHOOSE(CONTROL!$C$32, $C$9, 100%, $E$9)</f>
        <v>3.2730999999999999</v>
      </c>
      <c r="C39" s="80">
        <f>3.2731 * CHOOSE(CONTROL!$C$32, $C$9, 100%, $E$9)</f>
        <v>3.2730999999999999</v>
      </c>
      <c r="D39" s="80">
        <f>3.2741 * CHOOSE(CONTROL!$C$32, $C$9, 100%, $E$9)</f>
        <v>3.2740999999999998</v>
      </c>
      <c r="E39" s="81">
        <f>3.8942 * CHOOSE(CONTROL!$C$32, $C$9, 100%, $E$9)</f>
        <v>3.8942000000000001</v>
      </c>
      <c r="F39" s="81">
        <f>3.6856 * CHOOSE(CONTROL!$C$32, $C$9, 100%, $E$9)</f>
        <v>3.6856</v>
      </c>
      <c r="G39" s="81">
        <f>3.6892 * CHOOSE(CONTROL!$C$32, $C$9, 100%, $E$9)</f>
        <v>3.6892</v>
      </c>
      <c r="H39" s="81">
        <f>6.1278 * CHOOSE(CONTROL!$C$32, $C$9, 100%, $E$9)</f>
        <v>6.1277999999999997</v>
      </c>
      <c r="I39" s="81">
        <f>6.1314 * CHOOSE(CONTROL!$C$32, $C$9, 100%, $E$9)</f>
        <v>6.1314000000000002</v>
      </c>
      <c r="J39" s="81">
        <f>6.1278 * CHOOSE(CONTROL!$C$32, $C$9, 100%, $E$9)</f>
        <v>6.1277999999999997</v>
      </c>
      <c r="K39" s="81">
        <f>6.1314 * CHOOSE(CONTROL!$C$32, $C$9, 100%, $E$9)</f>
        <v>6.1314000000000002</v>
      </c>
      <c r="L39" s="81">
        <f>3.8942 * CHOOSE(CONTROL!$C$32, $C$9, 100%, $E$9)</f>
        <v>3.8942000000000001</v>
      </c>
      <c r="M39" s="81">
        <f>3.8978 * CHOOSE(CONTROL!$C$32, $C$9, 100%, $E$9)</f>
        <v>3.8978000000000002</v>
      </c>
      <c r="N39" s="81">
        <f>3.8942 * CHOOSE(CONTROL!$C$32, $C$9, 100%, $E$9)</f>
        <v>3.8942000000000001</v>
      </c>
      <c r="O39" s="81">
        <f>3.8978 * CHOOSE(CONTROL!$C$32, $C$9, 100%, $E$9)</f>
        <v>3.8978000000000002</v>
      </c>
      <c r="P39" s="10"/>
      <c r="Q39" s="81"/>
      <c r="R39" s="81"/>
    </row>
    <row r="40" spans="1:18" ht="15" x14ac:dyDescent="0.2">
      <c r="A40" s="16">
        <v>42430</v>
      </c>
      <c r="B40" s="80">
        <f>3.2698 * CHOOSE(CONTROL!$C$32, $C$9, 100%, $E$9)</f>
        <v>3.2698</v>
      </c>
      <c r="C40" s="80">
        <f>3.2698 * CHOOSE(CONTROL!$C$32, $C$9, 100%, $E$9)</f>
        <v>3.2698</v>
      </c>
      <c r="D40" s="80">
        <f>3.2709 * CHOOSE(CONTROL!$C$32, $C$9, 100%, $E$9)</f>
        <v>3.2709000000000001</v>
      </c>
      <c r="E40" s="81">
        <f>3.8028 * CHOOSE(CONTROL!$C$32, $C$9, 100%, $E$9)</f>
        <v>3.8028</v>
      </c>
      <c r="F40" s="81">
        <f>3.6856 * CHOOSE(CONTROL!$C$32, $C$9, 100%, $E$9)</f>
        <v>3.6856</v>
      </c>
      <c r="G40" s="81">
        <f>3.6892 * CHOOSE(CONTROL!$C$32, $C$9, 100%, $E$9)</f>
        <v>3.6892</v>
      </c>
      <c r="H40" s="81">
        <f>6.1405 * CHOOSE(CONTROL!$C$32, $C$9, 100%, $E$9)</f>
        <v>6.1405000000000003</v>
      </c>
      <c r="I40" s="81">
        <f>6.1441 * CHOOSE(CONTROL!$C$32, $C$9, 100%, $E$9)</f>
        <v>6.1440999999999999</v>
      </c>
      <c r="J40" s="81">
        <f>6.1405 * CHOOSE(CONTROL!$C$32, $C$9, 100%, $E$9)</f>
        <v>6.1405000000000003</v>
      </c>
      <c r="K40" s="81">
        <f>6.1441 * CHOOSE(CONTROL!$C$32, $C$9, 100%, $E$9)</f>
        <v>6.1440999999999999</v>
      </c>
      <c r="L40" s="81">
        <f>3.8028 * CHOOSE(CONTROL!$C$32, $C$9, 100%, $E$9)</f>
        <v>3.8028</v>
      </c>
      <c r="M40" s="81">
        <f>3.8064 * CHOOSE(CONTROL!$C$32, $C$9, 100%, $E$9)</f>
        <v>3.8064</v>
      </c>
      <c r="N40" s="81">
        <f>3.8028 * CHOOSE(CONTROL!$C$32, $C$9, 100%, $E$9)</f>
        <v>3.8028</v>
      </c>
      <c r="O40" s="81">
        <f>3.8064 * CHOOSE(CONTROL!$C$32, $C$9, 100%, $E$9)</f>
        <v>3.8064</v>
      </c>
      <c r="P40" s="10"/>
      <c r="Q40" s="81"/>
      <c r="R40" s="81"/>
    </row>
    <row r="41" spans="1:18" ht="15" x14ac:dyDescent="0.2">
      <c r="A41" s="16">
        <v>42461</v>
      </c>
      <c r="B41" s="80">
        <f>3.2637 * CHOOSE(CONTROL!$C$32, $C$9, 100%, $E$9)</f>
        <v>3.2637</v>
      </c>
      <c r="C41" s="80">
        <f>3.2637 * CHOOSE(CONTROL!$C$32, $C$9, 100%, $E$9)</f>
        <v>3.2637</v>
      </c>
      <c r="D41" s="80">
        <f>3.2648 * CHOOSE(CONTROL!$C$32, $C$9, 100%, $E$9)</f>
        <v>3.2648000000000001</v>
      </c>
      <c r="E41" s="81">
        <f>3.8942 * CHOOSE(CONTROL!$C$32, $C$9, 100%, $E$9)</f>
        <v>3.8942000000000001</v>
      </c>
      <c r="F41" s="81">
        <f>3.6856 * CHOOSE(CONTROL!$C$32, $C$9, 100%, $E$9)</f>
        <v>3.6856</v>
      </c>
      <c r="G41" s="81">
        <f>3.6892 * CHOOSE(CONTROL!$C$32, $C$9, 100%, $E$9)</f>
        <v>3.6892</v>
      </c>
      <c r="H41" s="81">
        <f>6.1533 * CHOOSE(CONTROL!$C$32, $C$9, 100%, $E$9)</f>
        <v>6.1532999999999998</v>
      </c>
      <c r="I41" s="81">
        <f>6.1569 * CHOOSE(CONTROL!$C$32, $C$9, 100%, $E$9)</f>
        <v>6.1569000000000003</v>
      </c>
      <c r="J41" s="81">
        <f>6.1533 * CHOOSE(CONTROL!$C$32, $C$9, 100%, $E$9)</f>
        <v>6.1532999999999998</v>
      </c>
      <c r="K41" s="81">
        <f>6.1569 * CHOOSE(CONTROL!$C$32, $C$9, 100%, $E$9)</f>
        <v>6.1569000000000003</v>
      </c>
      <c r="L41" s="81">
        <f>3.8942 * CHOOSE(CONTROL!$C$32, $C$9, 100%, $E$9)</f>
        <v>3.8942000000000001</v>
      </c>
      <c r="M41" s="81">
        <f>3.8978 * CHOOSE(CONTROL!$C$32, $C$9, 100%, $E$9)</f>
        <v>3.8978000000000002</v>
      </c>
      <c r="N41" s="81">
        <f>3.8942 * CHOOSE(CONTROL!$C$32, $C$9, 100%, $E$9)</f>
        <v>3.8942000000000001</v>
      </c>
      <c r="O41" s="81">
        <f>3.8978 * CHOOSE(CONTROL!$C$32, $C$9, 100%, $E$9)</f>
        <v>3.8978000000000002</v>
      </c>
      <c r="P41" s="10"/>
      <c r="Q41" s="81"/>
      <c r="R41" s="81"/>
    </row>
    <row r="42" spans="1:18" ht="15" x14ac:dyDescent="0.2">
      <c r="A42" s="16">
        <v>42491</v>
      </c>
      <c r="B42" s="80">
        <f>3.2722 * CHOOSE(CONTROL!$C$32, $C$9, 100%, $E$9)</f>
        <v>3.2722000000000002</v>
      </c>
      <c r="C42" s="80">
        <f>3.2722 * CHOOSE(CONTROL!$C$32, $C$9, 100%, $E$9)</f>
        <v>3.2722000000000002</v>
      </c>
      <c r="D42" s="80">
        <f>3.2738 * CHOOSE(CONTROL!$C$32, $C$9, 100%, $E$9)</f>
        <v>3.2738</v>
      </c>
      <c r="E42" s="81">
        <f>3.9546 * CHOOSE(CONTROL!$C$32, $C$9, 100%, $E$9)</f>
        <v>3.9546000000000001</v>
      </c>
      <c r="F42" s="81">
        <f>3.6856 * CHOOSE(CONTROL!$C$32, $C$9, 100%, $E$9)</f>
        <v>3.6856</v>
      </c>
      <c r="G42" s="81">
        <f>3.6909 * CHOOSE(CONTROL!$C$32, $C$9, 100%, $E$9)</f>
        <v>3.6909000000000001</v>
      </c>
      <c r="H42" s="81">
        <f>6.1661 * CHOOSE(CONTROL!$C$32, $C$9, 100%, $E$9)</f>
        <v>6.1661000000000001</v>
      </c>
      <c r="I42" s="81">
        <f>6.1714 * CHOOSE(CONTROL!$C$32, $C$9, 100%, $E$9)</f>
        <v>6.1714000000000002</v>
      </c>
      <c r="J42" s="81">
        <f>6.1661 * CHOOSE(CONTROL!$C$32, $C$9, 100%, $E$9)</f>
        <v>6.1661000000000001</v>
      </c>
      <c r="K42" s="81">
        <f>6.1714 * CHOOSE(CONTROL!$C$32, $C$9, 100%, $E$9)</f>
        <v>6.1714000000000002</v>
      </c>
      <c r="L42" s="81">
        <f>3.9546 * CHOOSE(CONTROL!$C$32, $C$9, 100%, $E$9)</f>
        <v>3.9546000000000001</v>
      </c>
      <c r="M42" s="81">
        <f>3.9599 * CHOOSE(CONTROL!$C$32, $C$9, 100%, $E$9)</f>
        <v>3.9599000000000002</v>
      </c>
      <c r="N42" s="81">
        <f>3.9546 * CHOOSE(CONTROL!$C$32, $C$9, 100%, $E$9)</f>
        <v>3.9546000000000001</v>
      </c>
      <c r="O42" s="81">
        <f>3.9599 * CHOOSE(CONTROL!$C$32, $C$9, 100%, $E$9)</f>
        <v>3.9599000000000002</v>
      </c>
      <c r="P42" s="10"/>
      <c r="Q42" s="81"/>
      <c r="R42" s="81"/>
    </row>
    <row r="43" spans="1:18" ht="15" x14ac:dyDescent="0.2">
      <c r="A43" s="16">
        <v>42522</v>
      </c>
      <c r="B43" s="80">
        <f>3.2786 * CHOOSE(CONTROL!$C$32, $C$9, 100%, $E$9)</f>
        <v>3.2786</v>
      </c>
      <c r="C43" s="80">
        <f>3.2786 * CHOOSE(CONTROL!$C$32, $C$9, 100%, $E$9)</f>
        <v>3.2786</v>
      </c>
      <c r="D43" s="80">
        <f>3.2801 * CHOOSE(CONTROL!$C$32, $C$9, 100%, $E$9)</f>
        <v>3.2801</v>
      </c>
      <c r="E43" s="81">
        <f>3.9458 * CHOOSE(CONTROL!$C$32, $C$9, 100%, $E$9)</f>
        <v>3.9458000000000002</v>
      </c>
      <c r="F43" s="81">
        <f>3.6856 * CHOOSE(CONTROL!$C$32, $C$9, 100%, $E$9)</f>
        <v>3.6856</v>
      </c>
      <c r="G43" s="81">
        <f>3.6909 * CHOOSE(CONTROL!$C$32, $C$9, 100%, $E$9)</f>
        <v>3.6909000000000001</v>
      </c>
      <c r="H43" s="81">
        <f>6.179 * CHOOSE(CONTROL!$C$32, $C$9, 100%, $E$9)</f>
        <v>6.1790000000000003</v>
      </c>
      <c r="I43" s="81">
        <f>6.1843 * CHOOSE(CONTROL!$C$32, $C$9, 100%, $E$9)</f>
        <v>6.1843000000000004</v>
      </c>
      <c r="J43" s="81">
        <f>6.179 * CHOOSE(CONTROL!$C$32, $C$9, 100%, $E$9)</f>
        <v>6.1790000000000003</v>
      </c>
      <c r="K43" s="81">
        <f>6.1843 * CHOOSE(CONTROL!$C$32, $C$9, 100%, $E$9)</f>
        <v>6.1843000000000004</v>
      </c>
      <c r="L43" s="81">
        <f>3.9458 * CHOOSE(CONTROL!$C$32, $C$9, 100%, $E$9)</f>
        <v>3.9458000000000002</v>
      </c>
      <c r="M43" s="81">
        <f>3.9511 * CHOOSE(CONTROL!$C$32, $C$9, 100%, $E$9)</f>
        <v>3.9510999999999998</v>
      </c>
      <c r="N43" s="81">
        <f>3.9458 * CHOOSE(CONTROL!$C$32, $C$9, 100%, $E$9)</f>
        <v>3.9458000000000002</v>
      </c>
      <c r="O43" s="81">
        <f>3.9511 * CHOOSE(CONTROL!$C$32, $C$9, 100%, $E$9)</f>
        <v>3.9510999999999998</v>
      </c>
      <c r="P43" s="10"/>
      <c r="Q43" s="81"/>
      <c r="R43" s="81"/>
    </row>
    <row r="44" spans="1:18" ht="15" x14ac:dyDescent="0.2">
      <c r="A44" s="16">
        <v>42552</v>
      </c>
      <c r="B44" s="80">
        <f>3.2759 * CHOOSE(CONTROL!$C$32, $C$9, 100%, $E$9)</f>
        <v>3.2759</v>
      </c>
      <c r="C44" s="80">
        <f>3.2759 * CHOOSE(CONTROL!$C$32, $C$9, 100%, $E$9)</f>
        <v>3.2759</v>
      </c>
      <c r="D44" s="80">
        <f>3.2774 * CHOOSE(CONTROL!$C$32, $C$9, 100%, $E$9)</f>
        <v>3.2774000000000001</v>
      </c>
      <c r="E44" s="81">
        <f>3.9546 * CHOOSE(CONTROL!$C$32, $C$9, 100%, $E$9)</f>
        <v>3.9546000000000001</v>
      </c>
      <c r="F44" s="81">
        <f>3.6856 * CHOOSE(CONTROL!$C$32, $C$9, 100%, $E$9)</f>
        <v>3.6856</v>
      </c>
      <c r="G44" s="81">
        <f>3.6909 * CHOOSE(CONTROL!$C$32, $C$9, 100%, $E$9)</f>
        <v>3.6909000000000001</v>
      </c>
      <c r="H44" s="81">
        <f>6.1919 * CHOOSE(CONTROL!$C$32, $C$9, 100%, $E$9)</f>
        <v>6.1919000000000004</v>
      </c>
      <c r="I44" s="81">
        <f>6.1972 * CHOOSE(CONTROL!$C$32, $C$9, 100%, $E$9)</f>
        <v>6.1971999999999996</v>
      </c>
      <c r="J44" s="81">
        <f>6.1919 * CHOOSE(CONTROL!$C$32, $C$9, 100%, $E$9)</f>
        <v>6.1919000000000004</v>
      </c>
      <c r="K44" s="81">
        <f>6.1972 * CHOOSE(CONTROL!$C$32, $C$9, 100%, $E$9)</f>
        <v>6.1971999999999996</v>
      </c>
      <c r="L44" s="81">
        <f>3.9546 * CHOOSE(CONTROL!$C$32, $C$9, 100%, $E$9)</f>
        <v>3.9546000000000001</v>
      </c>
      <c r="M44" s="81">
        <f>3.9599 * CHOOSE(CONTROL!$C$32, $C$9, 100%, $E$9)</f>
        <v>3.9599000000000002</v>
      </c>
      <c r="N44" s="81">
        <f>3.9546 * CHOOSE(CONTROL!$C$32, $C$9, 100%, $E$9)</f>
        <v>3.9546000000000001</v>
      </c>
      <c r="O44" s="81">
        <f>3.9599 * CHOOSE(CONTROL!$C$32, $C$9, 100%, $E$9)</f>
        <v>3.9599000000000002</v>
      </c>
      <c r="P44" s="10"/>
      <c r="Q44" s="10"/>
      <c r="R44" s="10"/>
    </row>
    <row r="45" spans="1:18" ht="15" x14ac:dyDescent="0.2">
      <c r="A45" s="16">
        <v>42583</v>
      </c>
      <c r="B45" s="80">
        <f>3.2911 * CHOOSE(CONTROL!$C$32, $C$9, 100%, $E$9)</f>
        <v>3.2911000000000001</v>
      </c>
      <c r="C45" s="80">
        <f>3.2911 * CHOOSE(CONTROL!$C$32, $C$9, 100%, $E$9)</f>
        <v>3.2911000000000001</v>
      </c>
      <c r="D45" s="80">
        <f>3.2926 * CHOOSE(CONTROL!$C$32, $C$9, 100%, $E$9)</f>
        <v>3.2926000000000002</v>
      </c>
      <c r="E45" s="81">
        <f>3.9996 * CHOOSE(CONTROL!$C$32, $C$9, 100%, $E$9)</f>
        <v>3.9996</v>
      </c>
      <c r="F45" s="81">
        <f>3.6856 * CHOOSE(CONTROL!$C$32, $C$9, 100%, $E$9)</f>
        <v>3.6856</v>
      </c>
      <c r="G45" s="81">
        <f>3.6909 * CHOOSE(CONTROL!$C$32, $C$9, 100%, $E$9)</f>
        <v>3.6909000000000001</v>
      </c>
      <c r="H45" s="81">
        <f>6.2048 * CHOOSE(CONTROL!$C$32, $C$9, 100%, $E$9)</f>
        <v>6.2047999999999996</v>
      </c>
      <c r="I45" s="81">
        <f>6.2101 * CHOOSE(CONTROL!$C$32, $C$9, 100%, $E$9)</f>
        <v>6.2100999999999997</v>
      </c>
      <c r="J45" s="81">
        <f>6.2048 * CHOOSE(CONTROL!$C$32, $C$9, 100%, $E$9)</f>
        <v>6.2047999999999996</v>
      </c>
      <c r="K45" s="81">
        <f>6.2101 * CHOOSE(CONTROL!$C$32, $C$9, 100%, $E$9)</f>
        <v>6.2100999999999997</v>
      </c>
      <c r="L45" s="81">
        <f>3.9996 * CHOOSE(CONTROL!$C$32, $C$9, 100%, $E$9)</f>
        <v>3.9996</v>
      </c>
      <c r="M45" s="81">
        <f>4.0049 * CHOOSE(CONTROL!$C$32, $C$9, 100%, $E$9)</f>
        <v>4.0049000000000001</v>
      </c>
      <c r="N45" s="81">
        <f>3.9996 * CHOOSE(CONTROL!$C$32, $C$9, 100%, $E$9)</f>
        <v>3.9996</v>
      </c>
      <c r="O45" s="81">
        <f>4.0049 * CHOOSE(CONTROL!$C$32, $C$9, 100%, $E$9)</f>
        <v>4.0049000000000001</v>
      </c>
      <c r="P45" s="10"/>
      <c r="Q45" s="10"/>
      <c r="R45" s="10"/>
    </row>
    <row r="46" spans="1:18" ht="15" x14ac:dyDescent="0.2">
      <c r="A46" s="16">
        <v>42614</v>
      </c>
      <c r="B46" s="80">
        <f>3.2883 * CHOOSE(CONTROL!$C$32, $C$9, 100%, $E$9)</f>
        <v>3.2883</v>
      </c>
      <c r="C46" s="80">
        <f>3.2883 * CHOOSE(CONTROL!$C$32, $C$9, 100%, $E$9)</f>
        <v>3.2883</v>
      </c>
      <c r="D46" s="80">
        <f>3.2898 * CHOOSE(CONTROL!$C$32, $C$9, 100%, $E$9)</f>
        <v>3.2898000000000001</v>
      </c>
      <c r="E46" s="81">
        <f>3.9458 * CHOOSE(CONTROL!$C$32, $C$9, 100%, $E$9)</f>
        <v>3.9458000000000002</v>
      </c>
      <c r="F46" s="81">
        <f>3.6856 * CHOOSE(CONTROL!$C$32, $C$9, 100%, $E$9)</f>
        <v>3.6856</v>
      </c>
      <c r="G46" s="81">
        <f>3.6909 * CHOOSE(CONTROL!$C$32, $C$9, 100%, $E$9)</f>
        <v>3.6909000000000001</v>
      </c>
      <c r="H46" s="81">
        <f>6.2177 * CHOOSE(CONTROL!$C$32, $C$9, 100%, $E$9)</f>
        <v>6.2176999999999998</v>
      </c>
      <c r="I46" s="81">
        <f>6.223 * CHOOSE(CONTROL!$C$32, $C$9, 100%, $E$9)</f>
        <v>6.2229999999999999</v>
      </c>
      <c r="J46" s="81">
        <f>6.2177 * CHOOSE(CONTROL!$C$32, $C$9, 100%, $E$9)</f>
        <v>6.2176999999999998</v>
      </c>
      <c r="K46" s="81">
        <f>6.223 * CHOOSE(CONTROL!$C$32, $C$9, 100%, $E$9)</f>
        <v>6.2229999999999999</v>
      </c>
      <c r="L46" s="81">
        <f>3.9458 * CHOOSE(CONTROL!$C$32, $C$9, 100%, $E$9)</f>
        <v>3.9458000000000002</v>
      </c>
      <c r="M46" s="81">
        <f>3.9511 * CHOOSE(CONTROL!$C$32, $C$9, 100%, $E$9)</f>
        <v>3.9510999999999998</v>
      </c>
      <c r="N46" s="81">
        <f>3.9458 * CHOOSE(CONTROL!$C$32, $C$9, 100%, $E$9)</f>
        <v>3.9458000000000002</v>
      </c>
      <c r="O46" s="81">
        <f>3.9511 * CHOOSE(CONTROL!$C$32, $C$9, 100%, $E$9)</f>
        <v>3.9510999999999998</v>
      </c>
      <c r="P46" s="10"/>
      <c r="Q46" s="10"/>
      <c r="R46" s="10"/>
    </row>
    <row r="47" spans="1:18" ht="15" x14ac:dyDescent="0.2">
      <c r="A47" s="16">
        <v>42644</v>
      </c>
      <c r="B47" s="80">
        <f>3.269 * CHOOSE(CONTROL!$C$32, $C$9, 100%, $E$9)</f>
        <v>3.2690000000000001</v>
      </c>
      <c r="C47" s="80">
        <f>3.269 * CHOOSE(CONTROL!$C$32, $C$9, 100%, $E$9)</f>
        <v>3.2690000000000001</v>
      </c>
      <c r="D47" s="80">
        <f>3.2701 * CHOOSE(CONTROL!$C$32, $C$9, 100%, $E$9)</f>
        <v>3.2700999999999998</v>
      </c>
      <c r="E47" s="81">
        <f>4.0035 * CHOOSE(CONTROL!$C$32, $C$9, 100%, $E$9)</f>
        <v>4.0034999999999998</v>
      </c>
      <c r="F47" s="81">
        <f>3.6856 * CHOOSE(CONTROL!$C$32, $C$9, 100%, $E$9)</f>
        <v>3.6856</v>
      </c>
      <c r="G47" s="81">
        <f>3.6892 * CHOOSE(CONTROL!$C$32, $C$9, 100%, $E$9)</f>
        <v>3.6892</v>
      </c>
      <c r="H47" s="81">
        <f>6.2306 * CHOOSE(CONTROL!$C$32, $C$9, 100%, $E$9)</f>
        <v>6.2305999999999999</v>
      </c>
      <c r="I47" s="81">
        <f>6.2343 * CHOOSE(CONTROL!$C$32, $C$9, 100%, $E$9)</f>
        <v>6.2343000000000002</v>
      </c>
      <c r="J47" s="81">
        <f>6.2306 * CHOOSE(CONTROL!$C$32, $C$9, 100%, $E$9)</f>
        <v>6.2305999999999999</v>
      </c>
      <c r="K47" s="81">
        <f>6.2343 * CHOOSE(CONTROL!$C$32, $C$9, 100%, $E$9)</f>
        <v>6.2343000000000002</v>
      </c>
      <c r="L47" s="81">
        <f>4.0035 * CHOOSE(CONTROL!$C$32, $C$9, 100%, $E$9)</f>
        <v>4.0034999999999998</v>
      </c>
      <c r="M47" s="81">
        <f>4.0071 * CHOOSE(CONTROL!$C$32, $C$9, 100%, $E$9)</f>
        <v>4.0071000000000003</v>
      </c>
      <c r="N47" s="81">
        <f>4.0035 * CHOOSE(CONTROL!$C$32, $C$9, 100%, $E$9)</f>
        <v>4.0034999999999998</v>
      </c>
      <c r="O47" s="81">
        <f>4.0071 * CHOOSE(CONTROL!$C$32, $C$9, 100%, $E$9)</f>
        <v>4.0071000000000003</v>
      </c>
      <c r="P47" s="10"/>
      <c r="Q47" s="10"/>
      <c r="R47" s="10"/>
    </row>
    <row r="48" spans="1:18" ht="15" x14ac:dyDescent="0.2">
      <c r="A48" s="16">
        <v>42675</v>
      </c>
      <c r="B48" s="80">
        <f>3.2806 * CHOOSE(CONTROL!$C$32, $C$9, 100%, $E$9)</f>
        <v>3.2806000000000002</v>
      </c>
      <c r="C48" s="80">
        <f>3.2806 * CHOOSE(CONTROL!$C$32, $C$9, 100%, $E$9)</f>
        <v>3.2806000000000002</v>
      </c>
      <c r="D48" s="80">
        <f>3.2817 * CHOOSE(CONTROL!$C$32, $C$9, 100%, $E$9)</f>
        <v>3.2816999999999998</v>
      </c>
      <c r="E48" s="81">
        <f>3.9579 * CHOOSE(CONTROL!$C$32, $C$9, 100%, $E$9)</f>
        <v>3.9579</v>
      </c>
      <c r="F48" s="81">
        <f>3.6856 * CHOOSE(CONTROL!$C$32, $C$9, 100%, $E$9)</f>
        <v>3.6856</v>
      </c>
      <c r="G48" s="81">
        <f>3.6892 * CHOOSE(CONTROL!$C$32, $C$9, 100%, $E$9)</f>
        <v>3.6892</v>
      </c>
      <c r="H48" s="81">
        <f>6.2436 * CHOOSE(CONTROL!$C$32, $C$9, 100%, $E$9)</f>
        <v>6.2435999999999998</v>
      </c>
      <c r="I48" s="81">
        <f>6.2472 * CHOOSE(CONTROL!$C$32, $C$9, 100%, $E$9)</f>
        <v>6.2472000000000003</v>
      </c>
      <c r="J48" s="81">
        <f>6.2436 * CHOOSE(CONTROL!$C$32, $C$9, 100%, $E$9)</f>
        <v>6.2435999999999998</v>
      </c>
      <c r="K48" s="81">
        <f>6.2472 * CHOOSE(CONTROL!$C$32, $C$9, 100%, $E$9)</f>
        <v>6.2472000000000003</v>
      </c>
      <c r="L48" s="81">
        <f>3.9579 * CHOOSE(CONTROL!$C$32, $C$9, 100%, $E$9)</f>
        <v>3.9579</v>
      </c>
      <c r="M48" s="81">
        <f>3.9615 * CHOOSE(CONTROL!$C$32, $C$9, 100%, $E$9)</f>
        <v>3.9615</v>
      </c>
      <c r="N48" s="81">
        <f>3.9579 * CHOOSE(CONTROL!$C$32, $C$9, 100%, $E$9)</f>
        <v>3.9579</v>
      </c>
      <c r="O48" s="81">
        <f>3.9615 * CHOOSE(CONTROL!$C$32, $C$9, 100%, $E$9)</f>
        <v>3.9615</v>
      </c>
      <c r="P48" s="10"/>
      <c r="Q48" s="10"/>
      <c r="R48" s="10"/>
    </row>
    <row r="49" spans="1:18" ht="15" x14ac:dyDescent="0.2">
      <c r="A49" s="16">
        <v>42705</v>
      </c>
      <c r="B49" s="80">
        <f>3.2808 * CHOOSE(CONTROL!$C$32, $C$9, 100%, $E$9)</f>
        <v>3.2808000000000002</v>
      </c>
      <c r="C49" s="80">
        <f>3.2808 * CHOOSE(CONTROL!$C$32, $C$9, 100%, $E$9)</f>
        <v>3.2808000000000002</v>
      </c>
      <c r="D49" s="80">
        <f>3.2819 * CHOOSE(CONTROL!$C$32, $C$9, 100%, $E$9)</f>
        <v>3.2818999999999998</v>
      </c>
      <c r="E49" s="81">
        <f>3.8968 * CHOOSE(CONTROL!$C$32, $C$9, 100%, $E$9)</f>
        <v>3.8967999999999998</v>
      </c>
      <c r="F49" s="81">
        <f>3.6856 * CHOOSE(CONTROL!$C$32, $C$9, 100%, $E$9)</f>
        <v>3.6856</v>
      </c>
      <c r="G49" s="81">
        <f>3.6892 * CHOOSE(CONTROL!$C$32, $C$9, 100%, $E$9)</f>
        <v>3.6892</v>
      </c>
      <c r="H49" s="81">
        <f>6.2566 * CHOOSE(CONTROL!$C$32, $C$9, 100%, $E$9)</f>
        <v>6.2565999999999997</v>
      </c>
      <c r="I49" s="81">
        <f>6.2602 * CHOOSE(CONTROL!$C$32, $C$9, 100%, $E$9)</f>
        <v>6.2602000000000002</v>
      </c>
      <c r="J49" s="81">
        <f>6.2566 * CHOOSE(CONTROL!$C$32, $C$9, 100%, $E$9)</f>
        <v>6.2565999999999997</v>
      </c>
      <c r="K49" s="81">
        <f>6.2602 * CHOOSE(CONTROL!$C$32, $C$9, 100%, $E$9)</f>
        <v>6.2602000000000002</v>
      </c>
      <c r="L49" s="81">
        <f>3.8968 * CHOOSE(CONTROL!$C$32, $C$9, 100%, $E$9)</f>
        <v>3.8967999999999998</v>
      </c>
      <c r="M49" s="81">
        <f>3.9004 * CHOOSE(CONTROL!$C$32, $C$9, 100%, $E$9)</f>
        <v>3.9003999999999999</v>
      </c>
      <c r="N49" s="81">
        <f>3.8968 * CHOOSE(CONTROL!$C$32, $C$9, 100%, $E$9)</f>
        <v>3.8967999999999998</v>
      </c>
      <c r="O49" s="81">
        <f>3.9004 * CHOOSE(CONTROL!$C$32, $C$9, 100%, $E$9)</f>
        <v>3.9003999999999999</v>
      </c>
      <c r="P49" s="10"/>
      <c r="Q49" s="10"/>
      <c r="R49" s="10"/>
    </row>
    <row r="50" spans="1:18" ht="15" x14ac:dyDescent="0.2">
      <c r="A50" s="16">
        <v>42736</v>
      </c>
      <c r="B50" s="80">
        <f>3.2762 * CHOOSE(CONTROL!$C$32, $C$9, 100%, $E$9)</f>
        <v>3.2761999999999998</v>
      </c>
      <c r="C50" s="80">
        <f>3.2762 * CHOOSE(CONTROL!$C$32, $C$9, 100%, $E$9)</f>
        <v>3.2761999999999998</v>
      </c>
      <c r="D50" s="80">
        <f>3.2773 * CHOOSE(CONTROL!$C$32, $C$9, 100%, $E$9)</f>
        <v>3.2772999999999999</v>
      </c>
      <c r="E50" s="81">
        <f>3.8371 * CHOOSE(CONTROL!$C$32, $C$9, 100%, $E$9)</f>
        <v>3.8371</v>
      </c>
      <c r="F50" s="81">
        <f>3.8371 * CHOOSE(CONTROL!$C$32, $C$9, 100%, $E$9)</f>
        <v>3.8371</v>
      </c>
      <c r="G50" s="81">
        <f>3.8407 * CHOOSE(CONTROL!$C$32, $C$9, 100%, $E$9)</f>
        <v>3.8407</v>
      </c>
      <c r="H50" s="81">
        <f>6.2697 * CHOOSE(CONTROL!$C$32, $C$9, 100%, $E$9)</f>
        <v>6.2697000000000003</v>
      </c>
      <c r="I50" s="81">
        <f>6.2733 * CHOOSE(CONTROL!$C$32, $C$9, 100%, $E$9)</f>
        <v>6.2732999999999999</v>
      </c>
      <c r="J50" s="81">
        <f>6.2697 * CHOOSE(CONTROL!$C$32, $C$9, 100%, $E$9)</f>
        <v>6.2697000000000003</v>
      </c>
      <c r="K50" s="81">
        <f>6.2733 * CHOOSE(CONTROL!$C$32, $C$9, 100%, $E$9)</f>
        <v>6.2732999999999999</v>
      </c>
      <c r="L50" s="81">
        <f>3.8371 * CHOOSE(CONTROL!$C$32, $C$9, 100%, $E$9)</f>
        <v>3.8371</v>
      </c>
      <c r="M50" s="81">
        <f>3.8407 * CHOOSE(CONTROL!$C$32, $C$9, 100%, $E$9)</f>
        <v>3.8407</v>
      </c>
      <c r="N50" s="81">
        <f>3.8371 * CHOOSE(CONTROL!$C$32, $C$9, 100%, $E$9)</f>
        <v>3.8371</v>
      </c>
      <c r="O50" s="81">
        <f>3.8407 * CHOOSE(CONTROL!$C$32, $C$9, 100%, $E$9)</f>
        <v>3.8407</v>
      </c>
      <c r="P50" s="10"/>
      <c r="Q50" s="10"/>
      <c r="R50" s="10"/>
    </row>
    <row r="51" spans="1:18" ht="15" x14ac:dyDescent="0.2">
      <c r="A51" s="16">
        <v>42767</v>
      </c>
      <c r="B51" s="80">
        <f>3.2814 * CHOOSE(CONTROL!$C$32, $C$9, 100%, $E$9)</f>
        <v>3.2814000000000001</v>
      </c>
      <c r="C51" s="80">
        <f>3.2814 * CHOOSE(CONTROL!$C$32, $C$9, 100%, $E$9)</f>
        <v>3.2814000000000001</v>
      </c>
      <c r="D51" s="80">
        <f>3.2825 * CHOOSE(CONTROL!$C$32, $C$9, 100%, $E$9)</f>
        <v>3.2825000000000002</v>
      </c>
      <c r="E51" s="81">
        <f>3.8351 * CHOOSE(CONTROL!$C$32, $C$9, 100%, $E$9)</f>
        <v>3.8351000000000002</v>
      </c>
      <c r="F51" s="81">
        <f>3.8351 * CHOOSE(CONTROL!$C$32, $C$9, 100%, $E$9)</f>
        <v>3.8351000000000002</v>
      </c>
      <c r="G51" s="81">
        <f>3.8387 * CHOOSE(CONTROL!$C$32, $C$9, 100%, $E$9)</f>
        <v>3.8386999999999998</v>
      </c>
      <c r="H51" s="81">
        <f>6.2827 * CHOOSE(CONTROL!$C$32, $C$9, 100%, $E$9)</f>
        <v>6.2827000000000002</v>
      </c>
      <c r="I51" s="81">
        <f>6.2863 * CHOOSE(CONTROL!$C$32, $C$9, 100%, $E$9)</f>
        <v>6.2862999999999998</v>
      </c>
      <c r="J51" s="81">
        <f>6.2827 * CHOOSE(CONTROL!$C$32, $C$9, 100%, $E$9)</f>
        <v>6.2827000000000002</v>
      </c>
      <c r="K51" s="81">
        <f>6.2863 * CHOOSE(CONTROL!$C$32, $C$9, 100%, $E$9)</f>
        <v>6.2862999999999998</v>
      </c>
      <c r="L51" s="81">
        <f>3.8351 * CHOOSE(CONTROL!$C$32, $C$9, 100%, $E$9)</f>
        <v>3.8351000000000002</v>
      </c>
      <c r="M51" s="81">
        <f>3.8387 * CHOOSE(CONTROL!$C$32, $C$9, 100%, $E$9)</f>
        <v>3.8386999999999998</v>
      </c>
      <c r="N51" s="81">
        <f>3.8351 * CHOOSE(CONTROL!$C$32, $C$9, 100%, $E$9)</f>
        <v>3.8351000000000002</v>
      </c>
      <c r="O51" s="81">
        <f>3.8387 * CHOOSE(CONTROL!$C$32, $C$9, 100%, $E$9)</f>
        <v>3.8386999999999998</v>
      </c>
      <c r="P51" s="10"/>
      <c r="Q51" s="10"/>
      <c r="R51" s="10"/>
    </row>
    <row r="52" spans="1:18" ht="15" x14ac:dyDescent="0.2">
      <c r="A52" s="16">
        <v>42795</v>
      </c>
      <c r="B52" s="80">
        <f>3.2785 * CHOOSE(CONTROL!$C$32, $C$9, 100%, $E$9)</f>
        <v>3.2785000000000002</v>
      </c>
      <c r="C52" s="80">
        <f>3.2785 * CHOOSE(CONTROL!$C$32, $C$9, 100%, $E$9)</f>
        <v>3.2785000000000002</v>
      </c>
      <c r="D52" s="80">
        <f>3.2796 * CHOOSE(CONTROL!$C$32, $C$9, 100%, $E$9)</f>
        <v>3.2795999999999998</v>
      </c>
      <c r="E52" s="81">
        <f>3.8331 * CHOOSE(CONTROL!$C$32, $C$9, 100%, $E$9)</f>
        <v>3.8331</v>
      </c>
      <c r="F52" s="81">
        <f>3.8331 * CHOOSE(CONTROL!$C$32, $C$9, 100%, $E$9)</f>
        <v>3.8331</v>
      </c>
      <c r="G52" s="81">
        <f>3.8367 * CHOOSE(CONTROL!$C$32, $C$9, 100%, $E$9)</f>
        <v>3.8367</v>
      </c>
      <c r="H52" s="81">
        <f>6.2958 * CHOOSE(CONTROL!$C$32, $C$9, 100%, $E$9)</f>
        <v>6.2957999999999998</v>
      </c>
      <c r="I52" s="81">
        <f>6.2994 * CHOOSE(CONTROL!$C$32, $C$9, 100%, $E$9)</f>
        <v>6.2994000000000003</v>
      </c>
      <c r="J52" s="81">
        <f>6.2958 * CHOOSE(CONTROL!$C$32, $C$9, 100%, $E$9)</f>
        <v>6.2957999999999998</v>
      </c>
      <c r="K52" s="81">
        <f>6.2994 * CHOOSE(CONTROL!$C$32, $C$9, 100%, $E$9)</f>
        <v>6.2994000000000003</v>
      </c>
      <c r="L52" s="81">
        <f>3.8331 * CHOOSE(CONTROL!$C$32, $C$9, 100%, $E$9)</f>
        <v>3.8331</v>
      </c>
      <c r="M52" s="81">
        <f>3.8367 * CHOOSE(CONTROL!$C$32, $C$9, 100%, $E$9)</f>
        <v>3.8367</v>
      </c>
      <c r="N52" s="81">
        <f>3.8331 * CHOOSE(CONTROL!$C$32, $C$9, 100%, $E$9)</f>
        <v>3.8331</v>
      </c>
      <c r="O52" s="81">
        <f>3.8367 * CHOOSE(CONTROL!$C$32, $C$9, 100%, $E$9)</f>
        <v>3.8367</v>
      </c>
      <c r="P52" s="10"/>
      <c r="Q52" s="10"/>
      <c r="R52" s="10"/>
    </row>
    <row r="53" spans="1:18" ht="15" x14ac:dyDescent="0.2">
      <c r="A53" s="16">
        <v>42826</v>
      </c>
      <c r="B53" s="80">
        <f>3.2725 * CHOOSE(CONTROL!$C$32, $C$9, 100%, $E$9)</f>
        <v>3.2725</v>
      </c>
      <c r="C53" s="80">
        <f>3.2725 * CHOOSE(CONTROL!$C$32, $C$9, 100%, $E$9)</f>
        <v>3.2725</v>
      </c>
      <c r="D53" s="80">
        <f>3.2735 * CHOOSE(CONTROL!$C$32, $C$9, 100%, $E$9)</f>
        <v>3.2734999999999999</v>
      </c>
      <c r="E53" s="81">
        <f>3.8305 * CHOOSE(CONTROL!$C$32, $C$9, 100%, $E$9)</f>
        <v>3.8304999999999998</v>
      </c>
      <c r="F53" s="81">
        <f>3.8305 * CHOOSE(CONTROL!$C$32, $C$9, 100%, $E$9)</f>
        <v>3.8304999999999998</v>
      </c>
      <c r="G53" s="81">
        <f>3.8342 * CHOOSE(CONTROL!$C$32, $C$9, 100%, $E$9)</f>
        <v>3.8342000000000001</v>
      </c>
      <c r="H53" s="81">
        <f>6.3089 * CHOOSE(CONTROL!$C$32, $C$9, 100%, $E$9)</f>
        <v>6.3089000000000004</v>
      </c>
      <c r="I53" s="81">
        <f>6.3125 * CHOOSE(CONTROL!$C$32, $C$9, 100%, $E$9)</f>
        <v>6.3125</v>
      </c>
      <c r="J53" s="81">
        <f>6.3089 * CHOOSE(CONTROL!$C$32, $C$9, 100%, $E$9)</f>
        <v>6.3089000000000004</v>
      </c>
      <c r="K53" s="81">
        <f>6.3125 * CHOOSE(CONTROL!$C$32, $C$9, 100%, $E$9)</f>
        <v>6.3125</v>
      </c>
      <c r="L53" s="81">
        <f>3.8305 * CHOOSE(CONTROL!$C$32, $C$9, 100%, $E$9)</f>
        <v>3.8304999999999998</v>
      </c>
      <c r="M53" s="81">
        <f>3.8342 * CHOOSE(CONTROL!$C$32, $C$9, 100%, $E$9)</f>
        <v>3.8342000000000001</v>
      </c>
      <c r="N53" s="81">
        <f>3.8305 * CHOOSE(CONTROL!$C$32, $C$9, 100%, $E$9)</f>
        <v>3.8304999999999998</v>
      </c>
      <c r="O53" s="81">
        <f>3.8342 * CHOOSE(CONTROL!$C$32, $C$9, 100%, $E$9)</f>
        <v>3.8342000000000001</v>
      </c>
      <c r="P53" s="10"/>
      <c r="Q53" s="10"/>
      <c r="R53" s="10"/>
    </row>
    <row r="54" spans="1:18" ht="15" x14ac:dyDescent="0.2">
      <c r="A54" s="16">
        <v>42856</v>
      </c>
      <c r="B54" s="80">
        <f>3.2809 * CHOOSE(CONTROL!$C$32, $C$9, 100%, $E$9)</f>
        <v>3.2808999999999999</v>
      </c>
      <c r="C54" s="80">
        <f>3.2809 * CHOOSE(CONTROL!$C$32, $C$9, 100%, $E$9)</f>
        <v>3.2808999999999999</v>
      </c>
      <c r="D54" s="80">
        <f>3.2825 * CHOOSE(CONTROL!$C$32, $C$9, 100%, $E$9)</f>
        <v>3.2825000000000002</v>
      </c>
      <c r="E54" s="81">
        <f>3.8305 * CHOOSE(CONTROL!$C$32, $C$9, 100%, $E$9)</f>
        <v>3.8304999999999998</v>
      </c>
      <c r="F54" s="81">
        <f>3.8305 * CHOOSE(CONTROL!$C$32, $C$9, 100%, $E$9)</f>
        <v>3.8304999999999998</v>
      </c>
      <c r="G54" s="81">
        <f>3.8358 * CHOOSE(CONTROL!$C$32, $C$9, 100%, $E$9)</f>
        <v>3.8357999999999999</v>
      </c>
      <c r="H54" s="81">
        <f>6.3221 * CHOOSE(CONTROL!$C$32, $C$9, 100%, $E$9)</f>
        <v>6.3220999999999998</v>
      </c>
      <c r="I54" s="81">
        <f>6.3274 * CHOOSE(CONTROL!$C$32, $C$9, 100%, $E$9)</f>
        <v>6.3273999999999999</v>
      </c>
      <c r="J54" s="81">
        <f>6.3221 * CHOOSE(CONTROL!$C$32, $C$9, 100%, $E$9)</f>
        <v>6.3220999999999998</v>
      </c>
      <c r="K54" s="81">
        <f>6.3274 * CHOOSE(CONTROL!$C$32, $C$9, 100%, $E$9)</f>
        <v>6.3273999999999999</v>
      </c>
      <c r="L54" s="81">
        <f>3.8305 * CHOOSE(CONTROL!$C$32, $C$9, 100%, $E$9)</f>
        <v>3.8304999999999998</v>
      </c>
      <c r="M54" s="81">
        <f>3.8358 * CHOOSE(CONTROL!$C$32, $C$9, 100%, $E$9)</f>
        <v>3.8357999999999999</v>
      </c>
      <c r="N54" s="81">
        <f>3.8305 * CHOOSE(CONTROL!$C$32, $C$9, 100%, $E$9)</f>
        <v>3.8304999999999998</v>
      </c>
      <c r="O54" s="81">
        <f>3.8358 * CHOOSE(CONTROL!$C$32, $C$9, 100%, $E$9)</f>
        <v>3.8357999999999999</v>
      </c>
      <c r="P54" s="10"/>
      <c r="Q54" s="10"/>
      <c r="R54" s="10"/>
    </row>
    <row r="55" spans="1:18" ht="15" x14ac:dyDescent="0.2">
      <c r="A55" s="16">
        <v>42887</v>
      </c>
      <c r="B55" s="80">
        <f>3.2871 * CHOOSE(CONTROL!$C$32, $C$9, 100%, $E$9)</f>
        <v>3.2871000000000001</v>
      </c>
      <c r="C55" s="80">
        <f>3.2871 * CHOOSE(CONTROL!$C$32, $C$9, 100%, $E$9)</f>
        <v>3.2871000000000001</v>
      </c>
      <c r="D55" s="80">
        <f>3.2887 * CHOOSE(CONTROL!$C$32, $C$9, 100%, $E$9)</f>
        <v>3.2887</v>
      </c>
      <c r="E55" s="81">
        <f>3.8345 * CHOOSE(CONTROL!$C$32, $C$9, 100%, $E$9)</f>
        <v>3.8344999999999998</v>
      </c>
      <c r="F55" s="81">
        <f>3.8345 * CHOOSE(CONTROL!$C$32, $C$9, 100%, $E$9)</f>
        <v>3.8344999999999998</v>
      </c>
      <c r="G55" s="81">
        <f>3.8398 * CHOOSE(CONTROL!$C$32, $C$9, 100%, $E$9)</f>
        <v>3.8397999999999999</v>
      </c>
      <c r="H55" s="81">
        <f>6.3352 * CHOOSE(CONTROL!$C$32, $C$9, 100%, $E$9)</f>
        <v>6.3352000000000004</v>
      </c>
      <c r="I55" s="81">
        <f>6.3405 * CHOOSE(CONTROL!$C$32, $C$9, 100%, $E$9)</f>
        <v>6.3404999999999996</v>
      </c>
      <c r="J55" s="81">
        <f>6.3352 * CHOOSE(CONTROL!$C$32, $C$9, 100%, $E$9)</f>
        <v>6.3352000000000004</v>
      </c>
      <c r="K55" s="81">
        <f>6.3405 * CHOOSE(CONTROL!$C$32, $C$9, 100%, $E$9)</f>
        <v>6.3404999999999996</v>
      </c>
      <c r="L55" s="81">
        <f>3.8345 * CHOOSE(CONTROL!$C$32, $C$9, 100%, $E$9)</f>
        <v>3.8344999999999998</v>
      </c>
      <c r="M55" s="81">
        <f>3.8398 * CHOOSE(CONTROL!$C$32, $C$9, 100%, $E$9)</f>
        <v>3.8397999999999999</v>
      </c>
      <c r="N55" s="81">
        <f>3.8345 * CHOOSE(CONTROL!$C$32, $C$9, 100%, $E$9)</f>
        <v>3.8344999999999998</v>
      </c>
      <c r="O55" s="81">
        <f>3.8398 * CHOOSE(CONTROL!$C$32, $C$9, 100%, $E$9)</f>
        <v>3.8397999999999999</v>
      </c>
      <c r="P55" s="10"/>
      <c r="Q55" s="10"/>
      <c r="R55" s="10"/>
    </row>
    <row r="56" spans="1:18" ht="15" x14ac:dyDescent="0.2">
      <c r="A56" s="16">
        <v>42917</v>
      </c>
      <c r="B56" s="80">
        <f>3.3418 * CHOOSE(CONTROL!$C$32, $C$9, 100%, $E$9)</f>
        <v>3.3418000000000001</v>
      </c>
      <c r="C56" s="80">
        <f>3.3418 * CHOOSE(CONTROL!$C$32, $C$9, 100%, $E$9)</f>
        <v>3.3418000000000001</v>
      </c>
      <c r="D56" s="80">
        <f>3.3434 * CHOOSE(CONTROL!$C$32, $C$9, 100%, $E$9)</f>
        <v>3.3433999999999999</v>
      </c>
      <c r="E56" s="81">
        <f>3.9255 * CHOOSE(CONTROL!$C$32, $C$9, 100%, $E$9)</f>
        <v>3.9255</v>
      </c>
      <c r="F56" s="81">
        <f>3.9255 * CHOOSE(CONTROL!$C$32, $C$9, 100%, $E$9)</f>
        <v>3.9255</v>
      </c>
      <c r="G56" s="81">
        <f>3.9308 * CHOOSE(CONTROL!$C$32, $C$9, 100%, $E$9)</f>
        <v>3.9308000000000001</v>
      </c>
      <c r="H56" s="81">
        <f>6.3484 * CHOOSE(CONTROL!$C$32, $C$9, 100%, $E$9)</f>
        <v>6.3483999999999998</v>
      </c>
      <c r="I56" s="81">
        <f>6.3537 * CHOOSE(CONTROL!$C$32, $C$9, 100%, $E$9)</f>
        <v>6.3536999999999999</v>
      </c>
      <c r="J56" s="81">
        <f>6.3484 * CHOOSE(CONTROL!$C$32, $C$9, 100%, $E$9)</f>
        <v>6.3483999999999998</v>
      </c>
      <c r="K56" s="81">
        <f>6.3537 * CHOOSE(CONTROL!$C$32, $C$9, 100%, $E$9)</f>
        <v>6.3536999999999999</v>
      </c>
      <c r="L56" s="81">
        <f>3.9255 * CHOOSE(CONTROL!$C$32, $C$9, 100%, $E$9)</f>
        <v>3.9255</v>
      </c>
      <c r="M56" s="81">
        <f>3.9308 * CHOOSE(CONTROL!$C$32, $C$9, 100%, $E$9)</f>
        <v>3.9308000000000001</v>
      </c>
      <c r="N56" s="81">
        <f>3.9255 * CHOOSE(CONTROL!$C$32, $C$9, 100%, $E$9)</f>
        <v>3.9255</v>
      </c>
      <c r="O56" s="81">
        <f>3.9308 * CHOOSE(CONTROL!$C$32, $C$9, 100%, $E$9)</f>
        <v>3.9308000000000001</v>
      </c>
      <c r="P56" s="10"/>
      <c r="Q56" s="10"/>
      <c r="R56" s="10"/>
    </row>
    <row r="57" spans="1:18" ht="15" x14ac:dyDescent="0.2">
      <c r="A57" s="16">
        <v>42948</v>
      </c>
      <c r="B57" s="80">
        <f>3.357 * CHOOSE(CONTROL!$C$32, $C$9, 100%, $E$9)</f>
        <v>3.3570000000000002</v>
      </c>
      <c r="C57" s="80">
        <f>3.357 * CHOOSE(CONTROL!$C$32, $C$9, 100%, $E$9)</f>
        <v>3.3570000000000002</v>
      </c>
      <c r="D57" s="80">
        <f>3.3586 * CHOOSE(CONTROL!$C$32, $C$9, 100%, $E$9)</f>
        <v>3.3586</v>
      </c>
      <c r="E57" s="81">
        <f>3.9299 * CHOOSE(CONTROL!$C$32, $C$9, 100%, $E$9)</f>
        <v>3.9298999999999999</v>
      </c>
      <c r="F57" s="81">
        <f>3.9299 * CHOOSE(CONTROL!$C$32, $C$9, 100%, $E$9)</f>
        <v>3.9298999999999999</v>
      </c>
      <c r="G57" s="81">
        <f>3.9352 * CHOOSE(CONTROL!$C$32, $C$9, 100%, $E$9)</f>
        <v>3.9352</v>
      </c>
      <c r="H57" s="81">
        <f>6.3617 * CHOOSE(CONTROL!$C$32, $C$9, 100%, $E$9)</f>
        <v>6.3616999999999999</v>
      </c>
      <c r="I57" s="81">
        <f>6.367 * CHOOSE(CONTROL!$C$32, $C$9, 100%, $E$9)</f>
        <v>6.367</v>
      </c>
      <c r="J57" s="81">
        <f>6.3617 * CHOOSE(CONTROL!$C$32, $C$9, 100%, $E$9)</f>
        <v>6.3616999999999999</v>
      </c>
      <c r="K57" s="81">
        <f>6.367 * CHOOSE(CONTROL!$C$32, $C$9, 100%, $E$9)</f>
        <v>6.367</v>
      </c>
      <c r="L57" s="81">
        <f>3.9299 * CHOOSE(CONTROL!$C$32, $C$9, 100%, $E$9)</f>
        <v>3.9298999999999999</v>
      </c>
      <c r="M57" s="81">
        <f>3.9352 * CHOOSE(CONTROL!$C$32, $C$9, 100%, $E$9)</f>
        <v>3.9352</v>
      </c>
      <c r="N57" s="81">
        <f>3.9299 * CHOOSE(CONTROL!$C$32, $C$9, 100%, $E$9)</f>
        <v>3.9298999999999999</v>
      </c>
      <c r="O57" s="81">
        <f>3.9352 * CHOOSE(CONTROL!$C$32, $C$9, 100%, $E$9)</f>
        <v>3.9352</v>
      </c>
      <c r="P57" s="10"/>
      <c r="Q57" s="10"/>
      <c r="R57" s="10"/>
    </row>
    <row r="58" spans="1:18" ht="15" x14ac:dyDescent="0.2">
      <c r="A58" s="16">
        <v>42979</v>
      </c>
      <c r="B58" s="80">
        <f>3.354 * CHOOSE(CONTROL!$C$32, $C$9, 100%, $E$9)</f>
        <v>3.3540000000000001</v>
      </c>
      <c r="C58" s="80">
        <f>3.354 * CHOOSE(CONTROL!$C$32, $C$9, 100%, $E$9)</f>
        <v>3.3540000000000001</v>
      </c>
      <c r="D58" s="80">
        <f>3.3556 * CHOOSE(CONTROL!$C$32, $C$9, 100%, $E$9)</f>
        <v>3.3555999999999999</v>
      </c>
      <c r="E58" s="81">
        <f>3.9279 * CHOOSE(CONTROL!$C$32, $C$9, 100%, $E$9)</f>
        <v>3.9279000000000002</v>
      </c>
      <c r="F58" s="81">
        <f>3.9279 * CHOOSE(CONTROL!$C$32, $C$9, 100%, $E$9)</f>
        <v>3.9279000000000002</v>
      </c>
      <c r="G58" s="81">
        <f>3.9332 * CHOOSE(CONTROL!$C$32, $C$9, 100%, $E$9)</f>
        <v>3.9331999999999998</v>
      </c>
      <c r="H58" s="81">
        <f>6.3749 * CHOOSE(CONTROL!$C$32, $C$9, 100%, $E$9)</f>
        <v>6.3749000000000002</v>
      </c>
      <c r="I58" s="81">
        <f>6.3802 * CHOOSE(CONTROL!$C$32, $C$9, 100%, $E$9)</f>
        <v>6.3802000000000003</v>
      </c>
      <c r="J58" s="81">
        <f>6.3749 * CHOOSE(CONTROL!$C$32, $C$9, 100%, $E$9)</f>
        <v>6.3749000000000002</v>
      </c>
      <c r="K58" s="81">
        <f>6.3802 * CHOOSE(CONTROL!$C$32, $C$9, 100%, $E$9)</f>
        <v>6.3802000000000003</v>
      </c>
      <c r="L58" s="81">
        <f>3.9279 * CHOOSE(CONTROL!$C$32, $C$9, 100%, $E$9)</f>
        <v>3.9279000000000002</v>
      </c>
      <c r="M58" s="81">
        <f>3.9332 * CHOOSE(CONTROL!$C$32, $C$9, 100%, $E$9)</f>
        <v>3.9331999999999998</v>
      </c>
      <c r="N58" s="81">
        <f>3.9279 * CHOOSE(CONTROL!$C$32, $C$9, 100%, $E$9)</f>
        <v>3.9279000000000002</v>
      </c>
      <c r="O58" s="81">
        <f>3.9332 * CHOOSE(CONTROL!$C$32, $C$9, 100%, $E$9)</f>
        <v>3.9331999999999998</v>
      </c>
      <c r="P58" s="10"/>
      <c r="Q58" s="10"/>
      <c r="R58" s="10"/>
    </row>
    <row r="59" spans="1:18" ht="15" x14ac:dyDescent="0.2">
      <c r="A59" s="16">
        <v>43009</v>
      </c>
      <c r="B59" s="80">
        <f>3.3348 * CHOOSE(CONTROL!$C$32, $C$9, 100%, $E$9)</f>
        <v>3.3348</v>
      </c>
      <c r="C59" s="80">
        <f>3.3348 * CHOOSE(CONTROL!$C$32, $C$9, 100%, $E$9)</f>
        <v>3.3348</v>
      </c>
      <c r="D59" s="80">
        <f>3.3358 * CHOOSE(CONTROL!$C$32, $C$9, 100%, $E$9)</f>
        <v>3.3357999999999999</v>
      </c>
      <c r="E59" s="81">
        <f>3.9209 * CHOOSE(CONTROL!$C$32, $C$9, 100%, $E$9)</f>
        <v>3.9209000000000001</v>
      </c>
      <c r="F59" s="81">
        <f>3.9209 * CHOOSE(CONTROL!$C$32, $C$9, 100%, $E$9)</f>
        <v>3.9209000000000001</v>
      </c>
      <c r="G59" s="81">
        <f>3.9245 * CHOOSE(CONTROL!$C$32, $C$9, 100%, $E$9)</f>
        <v>3.9245000000000001</v>
      </c>
      <c r="H59" s="81">
        <f>6.3882 * CHOOSE(CONTROL!$C$32, $C$9, 100%, $E$9)</f>
        <v>6.3882000000000003</v>
      </c>
      <c r="I59" s="81">
        <f>6.3918 * CHOOSE(CONTROL!$C$32, $C$9, 100%, $E$9)</f>
        <v>6.3917999999999999</v>
      </c>
      <c r="J59" s="81">
        <f>6.3882 * CHOOSE(CONTROL!$C$32, $C$9, 100%, $E$9)</f>
        <v>6.3882000000000003</v>
      </c>
      <c r="K59" s="81">
        <f>6.3918 * CHOOSE(CONTROL!$C$32, $C$9, 100%, $E$9)</f>
        <v>6.3917999999999999</v>
      </c>
      <c r="L59" s="81">
        <f>3.9209 * CHOOSE(CONTROL!$C$32, $C$9, 100%, $E$9)</f>
        <v>3.9209000000000001</v>
      </c>
      <c r="M59" s="81">
        <f>3.9245 * CHOOSE(CONTROL!$C$32, $C$9, 100%, $E$9)</f>
        <v>3.9245000000000001</v>
      </c>
      <c r="N59" s="81">
        <f>3.9209 * CHOOSE(CONTROL!$C$32, $C$9, 100%, $E$9)</f>
        <v>3.9209000000000001</v>
      </c>
      <c r="O59" s="81">
        <f>3.9245 * CHOOSE(CONTROL!$C$32, $C$9, 100%, $E$9)</f>
        <v>3.9245000000000001</v>
      </c>
      <c r="P59" s="10"/>
      <c r="Q59" s="10"/>
      <c r="R59" s="10"/>
    </row>
    <row r="60" spans="1:18" ht="15" x14ac:dyDescent="0.2">
      <c r="A60" s="16">
        <v>43040</v>
      </c>
      <c r="B60" s="80">
        <f>3.3463 * CHOOSE(CONTROL!$C$32, $C$9, 100%, $E$9)</f>
        <v>3.3462999999999998</v>
      </c>
      <c r="C60" s="80">
        <f>3.3463 * CHOOSE(CONTROL!$C$32, $C$9, 100%, $E$9)</f>
        <v>3.3462999999999998</v>
      </c>
      <c r="D60" s="80">
        <f>3.3474 * CHOOSE(CONTROL!$C$32, $C$9, 100%, $E$9)</f>
        <v>3.3473999999999999</v>
      </c>
      <c r="E60" s="81">
        <f>3.9229 * CHOOSE(CONTROL!$C$32, $C$9, 100%, $E$9)</f>
        <v>3.9228999999999998</v>
      </c>
      <c r="F60" s="81">
        <f>3.9229 * CHOOSE(CONTROL!$C$32, $C$9, 100%, $E$9)</f>
        <v>3.9228999999999998</v>
      </c>
      <c r="G60" s="81">
        <f>3.9265 * CHOOSE(CONTROL!$C$32, $C$9, 100%, $E$9)</f>
        <v>3.9264999999999999</v>
      </c>
      <c r="H60" s="81">
        <f>6.4015 * CHOOSE(CONTROL!$C$32, $C$9, 100%, $E$9)</f>
        <v>6.4015000000000004</v>
      </c>
      <c r="I60" s="81">
        <f>6.4051 * CHOOSE(CONTROL!$C$32, $C$9, 100%, $E$9)</f>
        <v>6.4051</v>
      </c>
      <c r="J60" s="81">
        <f>6.4015 * CHOOSE(CONTROL!$C$32, $C$9, 100%, $E$9)</f>
        <v>6.4015000000000004</v>
      </c>
      <c r="K60" s="81">
        <f>6.4051 * CHOOSE(CONTROL!$C$32, $C$9, 100%, $E$9)</f>
        <v>6.4051</v>
      </c>
      <c r="L60" s="81">
        <f>3.9229 * CHOOSE(CONTROL!$C$32, $C$9, 100%, $E$9)</f>
        <v>3.9228999999999998</v>
      </c>
      <c r="M60" s="81">
        <f>3.9265 * CHOOSE(CONTROL!$C$32, $C$9, 100%, $E$9)</f>
        <v>3.9264999999999999</v>
      </c>
      <c r="N60" s="81">
        <f>3.9229 * CHOOSE(CONTROL!$C$32, $C$9, 100%, $E$9)</f>
        <v>3.9228999999999998</v>
      </c>
      <c r="O60" s="81">
        <f>3.9265 * CHOOSE(CONTROL!$C$32, $C$9, 100%, $E$9)</f>
        <v>3.9264999999999999</v>
      </c>
      <c r="P60" s="10"/>
      <c r="Q60" s="10"/>
      <c r="R60" s="10"/>
    </row>
    <row r="61" spans="1:18" ht="15" x14ac:dyDescent="0.2">
      <c r="A61" s="16">
        <v>43070</v>
      </c>
      <c r="B61" s="80">
        <f>3.3463 * CHOOSE(CONTROL!$C$32, $C$9, 100%, $E$9)</f>
        <v>3.3462999999999998</v>
      </c>
      <c r="C61" s="80">
        <f>3.3463 * CHOOSE(CONTROL!$C$32, $C$9, 100%, $E$9)</f>
        <v>3.3462999999999998</v>
      </c>
      <c r="D61" s="80">
        <f>3.3474 * CHOOSE(CONTROL!$C$32, $C$9, 100%, $E$9)</f>
        <v>3.3473999999999999</v>
      </c>
      <c r="E61" s="81">
        <f>3.9229 * CHOOSE(CONTROL!$C$32, $C$9, 100%, $E$9)</f>
        <v>3.9228999999999998</v>
      </c>
      <c r="F61" s="81">
        <f>3.9229 * CHOOSE(CONTROL!$C$32, $C$9, 100%, $E$9)</f>
        <v>3.9228999999999998</v>
      </c>
      <c r="G61" s="81">
        <f>3.9265 * CHOOSE(CONTROL!$C$32, $C$9, 100%, $E$9)</f>
        <v>3.9264999999999999</v>
      </c>
      <c r="H61" s="81">
        <f>6.4148 * CHOOSE(CONTROL!$C$32, $C$9, 100%, $E$9)</f>
        <v>6.4147999999999996</v>
      </c>
      <c r="I61" s="81">
        <f>6.4185 * CHOOSE(CONTROL!$C$32, $C$9, 100%, $E$9)</f>
        <v>6.4184999999999999</v>
      </c>
      <c r="J61" s="81">
        <f>6.4148 * CHOOSE(CONTROL!$C$32, $C$9, 100%, $E$9)</f>
        <v>6.4147999999999996</v>
      </c>
      <c r="K61" s="81">
        <f>6.4185 * CHOOSE(CONTROL!$C$32, $C$9, 100%, $E$9)</f>
        <v>6.4184999999999999</v>
      </c>
      <c r="L61" s="81">
        <f>3.9229 * CHOOSE(CONTROL!$C$32, $C$9, 100%, $E$9)</f>
        <v>3.9228999999999998</v>
      </c>
      <c r="M61" s="81">
        <f>3.9265 * CHOOSE(CONTROL!$C$32, $C$9, 100%, $E$9)</f>
        <v>3.9264999999999999</v>
      </c>
      <c r="N61" s="81">
        <f>3.9229 * CHOOSE(CONTROL!$C$32, $C$9, 100%, $E$9)</f>
        <v>3.9228999999999998</v>
      </c>
      <c r="O61" s="81">
        <f>3.9265 * CHOOSE(CONTROL!$C$32, $C$9, 100%, $E$9)</f>
        <v>3.9264999999999999</v>
      </c>
      <c r="P61" s="10"/>
      <c r="Q61" s="10"/>
      <c r="R61" s="10"/>
    </row>
    <row r="62" spans="1:18" ht="15" x14ac:dyDescent="0.2">
      <c r="A62" s="16">
        <v>43101</v>
      </c>
      <c r="B62" s="80">
        <f>3.3747 * CHOOSE(CONTROL!$C$32, $C$9, 100%, $E$9)</f>
        <v>3.3746999999999998</v>
      </c>
      <c r="C62" s="80">
        <f>3.3747 * CHOOSE(CONTROL!$C$32, $C$9, 100%, $E$9)</f>
        <v>3.3746999999999998</v>
      </c>
      <c r="D62" s="80">
        <f>3.3758 * CHOOSE(CONTROL!$C$32, $C$9, 100%, $E$9)</f>
        <v>3.3757999999999999</v>
      </c>
      <c r="E62" s="81">
        <f>3.9606 * CHOOSE(CONTROL!$C$32, $C$9, 100%, $E$9)</f>
        <v>3.9605999999999999</v>
      </c>
      <c r="F62" s="81">
        <f>3.9606 * CHOOSE(CONTROL!$C$32, $C$9, 100%, $E$9)</f>
        <v>3.9605999999999999</v>
      </c>
      <c r="G62" s="81">
        <f>3.9642 * CHOOSE(CONTROL!$C$32, $C$9, 100%, $E$9)</f>
        <v>3.9641999999999999</v>
      </c>
      <c r="H62" s="81">
        <f>6.4282 * CHOOSE(CONTROL!$C$32, $C$9, 100%, $E$9)</f>
        <v>6.4282000000000004</v>
      </c>
      <c r="I62" s="81">
        <f>6.4318 * CHOOSE(CONTROL!$C$32, $C$9, 100%, $E$9)</f>
        <v>6.4318</v>
      </c>
      <c r="J62" s="81">
        <f>6.4282 * CHOOSE(CONTROL!$C$32, $C$9, 100%, $E$9)</f>
        <v>6.4282000000000004</v>
      </c>
      <c r="K62" s="81">
        <f>6.4318 * CHOOSE(CONTROL!$C$32, $C$9, 100%, $E$9)</f>
        <v>6.4318</v>
      </c>
      <c r="L62" s="81">
        <f>3.9606 * CHOOSE(CONTROL!$C$32, $C$9, 100%, $E$9)</f>
        <v>3.9605999999999999</v>
      </c>
      <c r="M62" s="81">
        <f>3.9642 * CHOOSE(CONTROL!$C$32, $C$9, 100%, $E$9)</f>
        <v>3.9641999999999999</v>
      </c>
      <c r="N62" s="81">
        <f>3.9606 * CHOOSE(CONTROL!$C$32, $C$9, 100%, $E$9)</f>
        <v>3.9605999999999999</v>
      </c>
      <c r="O62" s="81">
        <f>3.9642 * CHOOSE(CONTROL!$C$32, $C$9, 100%, $E$9)</f>
        <v>3.9641999999999999</v>
      </c>
      <c r="P62" s="10"/>
      <c r="Q62" s="10"/>
      <c r="R62" s="10"/>
    </row>
    <row r="63" spans="1:18" ht="15" x14ac:dyDescent="0.2">
      <c r="A63" s="16">
        <v>43132</v>
      </c>
      <c r="B63" s="80">
        <f>3.3805 * CHOOSE(CONTROL!$C$32, $C$9, 100%, $E$9)</f>
        <v>3.3805000000000001</v>
      </c>
      <c r="C63" s="80">
        <f>3.3805 * CHOOSE(CONTROL!$C$32, $C$9, 100%, $E$9)</f>
        <v>3.3805000000000001</v>
      </c>
      <c r="D63" s="80">
        <f>3.3816 * CHOOSE(CONTROL!$C$32, $C$9, 100%, $E$9)</f>
        <v>3.3816000000000002</v>
      </c>
      <c r="E63" s="81">
        <f>3.9586 * CHOOSE(CONTROL!$C$32, $C$9, 100%, $E$9)</f>
        <v>3.9586000000000001</v>
      </c>
      <c r="F63" s="81">
        <f>3.9586 * CHOOSE(CONTROL!$C$32, $C$9, 100%, $E$9)</f>
        <v>3.9586000000000001</v>
      </c>
      <c r="G63" s="81">
        <f>3.9622 * CHOOSE(CONTROL!$C$32, $C$9, 100%, $E$9)</f>
        <v>3.9622000000000002</v>
      </c>
      <c r="H63" s="81">
        <f>6.4416 * CHOOSE(CONTROL!$C$32, $C$9, 100%, $E$9)</f>
        <v>6.4416000000000002</v>
      </c>
      <c r="I63" s="81">
        <f>6.4452 * CHOOSE(CONTROL!$C$32, $C$9, 100%, $E$9)</f>
        <v>6.4451999999999998</v>
      </c>
      <c r="J63" s="81">
        <f>6.4416 * CHOOSE(CONTROL!$C$32, $C$9, 100%, $E$9)</f>
        <v>6.4416000000000002</v>
      </c>
      <c r="K63" s="81">
        <f>6.4452 * CHOOSE(CONTROL!$C$32, $C$9, 100%, $E$9)</f>
        <v>6.4451999999999998</v>
      </c>
      <c r="L63" s="81">
        <f>3.9586 * CHOOSE(CONTROL!$C$32, $C$9, 100%, $E$9)</f>
        <v>3.9586000000000001</v>
      </c>
      <c r="M63" s="81">
        <f>3.9622 * CHOOSE(CONTROL!$C$32, $C$9, 100%, $E$9)</f>
        <v>3.9622000000000002</v>
      </c>
      <c r="N63" s="81">
        <f>3.9586 * CHOOSE(CONTROL!$C$32, $C$9, 100%, $E$9)</f>
        <v>3.9586000000000001</v>
      </c>
      <c r="O63" s="81">
        <f>3.9622 * CHOOSE(CONTROL!$C$32, $C$9, 100%, $E$9)</f>
        <v>3.9622000000000002</v>
      </c>
      <c r="P63" s="10"/>
      <c r="Q63" s="10"/>
      <c r="R63" s="10"/>
    </row>
    <row r="64" spans="1:18" ht="15" x14ac:dyDescent="0.2">
      <c r="A64" s="16">
        <v>43160</v>
      </c>
      <c r="B64" s="80">
        <f>3.3774 * CHOOSE(CONTROL!$C$32, $C$9, 100%, $E$9)</f>
        <v>3.3774000000000002</v>
      </c>
      <c r="C64" s="80">
        <f>3.3774 * CHOOSE(CONTROL!$C$32, $C$9, 100%, $E$9)</f>
        <v>3.3774000000000002</v>
      </c>
      <c r="D64" s="80">
        <f>3.3785 * CHOOSE(CONTROL!$C$32, $C$9, 100%, $E$9)</f>
        <v>3.3784999999999998</v>
      </c>
      <c r="E64" s="81">
        <f>3.9566 * CHOOSE(CONTROL!$C$32, $C$9, 100%, $E$9)</f>
        <v>3.9565999999999999</v>
      </c>
      <c r="F64" s="81">
        <f>3.9566 * CHOOSE(CONTROL!$C$32, $C$9, 100%, $E$9)</f>
        <v>3.9565999999999999</v>
      </c>
      <c r="G64" s="81">
        <f>3.9602 * CHOOSE(CONTROL!$C$32, $C$9, 100%, $E$9)</f>
        <v>3.9601999999999999</v>
      </c>
      <c r="H64" s="81">
        <f>6.455 * CHOOSE(CONTROL!$C$32, $C$9, 100%, $E$9)</f>
        <v>6.4550000000000001</v>
      </c>
      <c r="I64" s="81">
        <f>6.4586 * CHOOSE(CONTROL!$C$32, $C$9, 100%, $E$9)</f>
        <v>6.4585999999999997</v>
      </c>
      <c r="J64" s="81">
        <f>6.455 * CHOOSE(CONTROL!$C$32, $C$9, 100%, $E$9)</f>
        <v>6.4550000000000001</v>
      </c>
      <c r="K64" s="81">
        <f>6.4586 * CHOOSE(CONTROL!$C$32, $C$9, 100%, $E$9)</f>
        <v>6.4585999999999997</v>
      </c>
      <c r="L64" s="81">
        <f>3.9566 * CHOOSE(CONTROL!$C$32, $C$9, 100%, $E$9)</f>
        <v>3.9565999999999999</v>
      </c>
      <c r="M64" s="81">
        <f>3.9602 * CHOOSE(CONTROL!$C$32, $C$9, 100%, $E$9)</f>
        <v>3.9601999999999999</v>
      </c>
      <c r="N64" s="81">
        <f>3.9566 * CHOOSE(CONTROL!$C$32, $C$9, 100%, $E$9)</f>
        <v>3.9565999999999999</v>
      </c>
      <c r="O64" s="81">
        <f>3.9602 * CHOOSE(CONTROL!$C$32, $C$9, 100%, $E$9)</f>
        <v>3.9601999999999999</v>
      </c>
      <c r="P64" s="10"/>
      <c r="Q64" s="10"/>
      <c r="R64" s="10"/>
    </row>
    <row r="65" spans="1:18" ht="15" x14ac:dyDescent="0.2">
      <c r="A65" s="16">
        <v>43191</v>
      </c>
      <c r="B65" s="80">
        <f>3.3713 * CHOOSE(CONTROL!$C$32, $C$9, 100%, $E$9)</f>
        <v>3.3713000000000002</v>
      </c>
      <c r="C65" s="80">
        <f>3.3713 * CHOOSE(CONTROL!$C$32, $C$9, 100%, $E$9)</f>
        <v>3.3713000000000002</v>
      </c>
      <c r="D65" s="80">
        <f>3.3724 * CHOOSE(CONTROL!$C$32, $C$9, 100%, $E$9)</f>
        <v>3.3723999999999998</v>
      </c>
      <c r="E65" s="81">
        <f>3.9541 * CHOOSE(CONTROL!$C$32, $C$9, 100%, $E$9)</f>
        <v>3.9540999999999999</v>
      </c>
      <c r="F65" s="81">
        <f>3.9541 * CHOOSE(CONTROL!$C$32, $C$9, 100%, $E$9)</f>
        <v>3.9540999999999999</v>
      </c>
      <c r="G65" s="81">
        <f>3.9577 * CHOOSE(CONTROL!$C$32, $C$9, 100%, $E$9)</f>
        <v>3.9577</v>
      </c>
      <c r="H65" s="81">
        <f>6.4685 * CHOOSE(CONTROL!$C$32, $C$9, 100%, $E$9)</f>
        <v>6.4684999999999997</v>
      </c>
      <c r="I65" s="81">
        <f>6.4721 * CHOOSE(CONTROL!$C$32, $C$9, 100%, $E$9)</f>
        <v>6.4721000000000002</v>
      </c>
      <c r="J65" s="81">
        <f>6.4685 * CHOOSE(CONTROL!$C$32, $C$9, 100%, $E$9)</f>
        <v>6.4684999999999997</v>
      </c>
      <c r="K65" s="81">
        <f>6.4721 * CHOOSE(CONTROL!$C$32, $C$9, 100%, $E$9)</f>
        <v>6.4721000000000002</v>
      </c>
      <c r="L65" s="81">
        <f>3.9541 * CHOOSE(CONTROL!$C$32, $C$9, 100%, $E$9)</f>
        <v>3.9540999999999999</v>
      </c>
      <c r="M65" s="81">
        <f>3.9577 * CHOOSE(CONTROL!$C$32, $C$9, 100%, $E$9)</f>
        <v>3.9577</v>
      </c>
      <c r="N65" s="81">
        <f>3.9541 * CHOOSE(CONTROL!$C$32, $C$9, 100%, $E$9)</f>
        <v>3.9540999999999999</v>
      </c>
      <c r="O65" s="81">
        <f>3.9577 * CHOOSE(CONTROL!$C$32, $C$9, 100%, $E$9)</f>
        <v>3.9577</v>
      </c>
      <c r="P65" s="10"/>
      <c r="Q65" s="10"/>
      <c r="R65" s="10"/>
    </row>
    <row r="66" spans="1:18" ht="15" x14ac:dyDescent="0.2">
      <c r="A66" s="16">
        <v>43221</v>
      </c>
      <c r="B66" s="80">
        <f>3.38 * CHOOSE(CONTROL!$C$32, $C$9, 100%, $E$9)</f>
        <v>3.38</v>
      </c>
      <c r="C66" s="80">
        <f>3.38 * CHOOSE(CONTROL!$C$32, $C$9, 100%, $E$9)</f>
        <v>3.38</v>
      </c>
      <c r="D66" s="80">
        <f>3.3815 * CHOOSE(CONTROL!$C$32, $C$9, 100%, $E$9)</f>
        <v>3.3815</v>
      </c>
      <c r="E66" s="81">
        <f>3.9541 * CHOOSE(CONTROL!$C$32, $C$9, 100%, $E$9)</f>
        <v>3.9540999999999999</v>
      </c>
      <c r="F66" s="81">
        <f>3.9541 * CHOOSE(CONTROL!$C$32, $C$9, 100%, $E$9)</f>
        <v>3.9540999999999999</v>
      </c>
      <c r="G66" s="81">
        <f>3.9594 * CHOOSE(CONTROL!$C$32, $C$9, 100%, $E$9)</f>
        <v>3.9594</v>
      </c>
      <c r="H66" s="81">
        <f>6.482 * CHOOSE(CONTROL!$C$32, $C$9, 100%, $E$9)</f>
        <v>6.4820000000000002</v>
      </c>
      <c r="I66" s="81">
        <f>6.4872 * CHOOSE(CONTROL!$C$32, $C$9, 100%, $E$9)</f>
        <v>6.4871999999999996</v>
      </c>
      <c r="J66" s="81">
        <f>6.482 * CHOOSE(CONTROL!$C$32, $C$9, 100%, $E$9)</f>
        <v>6.4820000000000002</v>
      </c>
      <c r="K66" s="81">
        <f>6.4872 * CHOOSE(CONTROL!$C$32, $C$9, 100%, $E$9)</f>
        <v>6.4871999999999996</v>
      </c>
      <c r="L66" s="81">
        <f>3.9541 * CHOOSE(CONTROL!$C$32, $C$9, 100%, $E$9)</f>
        <v>3.9540999999999999</v>
      </c>
      <c r="M66" s="81">
        <f>3.9594 * CHOOSE(CONTROL!$C$32, $C$9, 100%, $E$9)</f>
        <v>3.9594</v>
      </c>
      <c r="N66" s="81">
        <f>3.9541 * CHOOSE(CONTROL!$C$32, $C$9, 100%, $E$9)</f>
        <v>3.9540999999999999</v>
      </c>
      <c r="O66" s="81">
        <f>3.9594 * CHOOSE(CONTROL!$C$32, $C$9, 100%, $E$9)</f>
        <v>3.9594</v>
      </c>
      <c r="P66" s="10"/>
      <c r="Q66" s="10"/>
      <c r="R66" s="10"/>
    </row>
    <row r="67" spans="1:18" ht="15" x14ac:dyDescent="0.2">
      <c r="A67" s="16">
        <v>43252</v>
      </c>
      <c r="B67" s="80">
        <f>3.386 * CHOOSE(CONTROL!$C$32, $C$9, 100%, $E$9)</f>
        <v>3.3860000000000001</v>
      </c>
      <c r="C67" s="80">
        <f>3.386 * CHOOSE(CONTROL!$C$32, $C$9, 100%, $E$9)</f>
        <v>3.3860000000000001</v>
      </c>
      <c r="D67" s="80">
        <f>3.3876 * CHOOSE(CONTROL!$C$32, $C$9, 100%, $E$9)</f>
        <v>3.3875999999999999</v>
      </c>
      <c r="E67" s="81">
        <f>3.9581 * CHOOSE(CONTROL!$C$32, $C$9, 100%, $E$9)</f>
        <v>3.9581</v>
      </c>
      <c r="F67" s="81">
        <f>3.9581 * CHOOSE(CONTROL!$C$32, $C$9, 100%, $E$9)</f>
        <v>3.9581</v>
      </c>
      <c r="G67" s="81">
        <f>3.9634 * CHOOSE(CONTROL!$C$32, $C$9, 100%, $E$9)</f>
        <v>3.9634</v>
      </c>
      <c r="H67" s="81">
        <f>6.4955 * CHOOSE(CONTROL!$C$32, $C$9, 100%, $E$9)</f>
        <v>6.4954999999999998</v>
      </c>
      <c r="I67" s="81">
        <f>6.5007 * CHOOSE(CONTROL!$C$32, $C$9, 100%, $E$9)</f>
        <v>6.5007000000000001</v>
      </c>
      <c r="J67" s="81">
        <f>6.4955 * CHOOSE(CONTROL!$C$32, $C$9, 100%, $E$9)</f>
        <v>6.4954999999999998</v>
      </c>
      <c r="K67" s="81">
        <f>6.5007 * CHOOSE(CONTROL!$C$32, $C$9, 100%, $E$9)</f>
        <v>6.5007000000000001</v>
      </c>
      <c r="L67" s="81">
        <f>3.9581 * CHOOSE(CONTROL!$C$32, $C$9, 100%, $E$9)</f>
        <v>3.9581</v>
      </c>
      <c r="M67" s="81">
        <f>3.9634 * CHOOSE(CONTROL!$C$32, $C$9, 100%, $E$9)</f>
        <v>3.9634</v>
      </c>
      <c r="N67" s="81">
        <f>3.9581 * CHOOSE(CONTROL!$C$32, $C$9, 100%, $E$9)</f>
        <v>3.9581</v>
      </c>
      <c r="O67" s="81">
        <f>3.9634 * CHOOSE(CONTROL!$C$32, $C$9, 100%, $E$9)</f>
        <v>3.9634</v>
      </c>
      <c r="P67" s="10"/>
      <c r="Q67" s="10"/>
      <c r="R67" s="10"/>
    </row>
    <row r="68" spans="1:18" ht="15" x14ac:dyDescent="0.2">
      <c r="A68" s="16">
        <v>43282</v>
      </c>
      <c r="B68" s="80">
        <f>3.4206 * CHOOSE(CONTROL!$C$32, $C$9, 100%, $E$9)</f>
        <v>3.4205999999999999</v>
      </c>
      <c r="C68" s="80">
        <f>3.4206 * CHOOSE(CONTROL!$C$32, $C$9, 100%, $E$9)</f>
        <v>3.4205999999999999</v>
      </c>
      <c r="D68" s="80">
        <f>3.4222 * CHOOSE(CONTROL!$C$32, $C$9, 100%, $E$9)</f>
        <v>3.4222000000000001</v>
      </c>
      <c r="E68" s="81">
        <f>4.0414 * CHOOSE(CONTROL!$C$32, $C$9, 100%, $E$9)</f>
        <v>4.0414000000000003</v>
      </c>
      <c r="F68" s="81">
        <f>4.0414 * CHOOSE(CONTROL!$C$32, $C$9, 100%, $E$9)</f>
        <v>4.0414000000000003</v>
      </c>
      <c r="G68" s="81">
        <f>4.0467 * CHOOSE(CONTROL!$C$32, $C$9, 100%, $E$9)</f>
        <v>4.0467000000000004</v>
      </c>
      <c r="H68" s="81">
        <f>6.509 * CHOOSE(CONTROL!$C$32, $C$9, 100%, $E$9)</f>
        <v>6.5090000000000003</v>
      </c>
      <c r="I68" s="81">
        <f>6.5143 * CHOOSE(CONTROL!$C$32, $C$9, 100%, $E$9)</f>
        <v>6.5143000000000004</v>
      </c>
      <c r="J68" s="81">
        <f>6.509 * CHOOSE(CONTROL!$C$32, $C$9, 100%, $E$9)</f>
        <v>6.5090000000000003</v>
      </c>
      <c r="K68" s="81">
        <f>6.5143 * CHOOSE(CONTROL!$C$32, $C$9, 100%, $E$9)</f>
        <v>6.5143000000000004</v>
      </c>
      <c r="L68" s="81">
        <f>4.0414 * CHOOSE(CONTROL!$C$32, $C$9, 100%, $E$9)</f>
        <v>4.0414000000000003</v>
      </c>
      <c r="M68" s="81">
        <f>4.0467 * CHOOSE(CONTROL!$C$32, $C$9, 100%, $E$9)</f>
        <v>4.0467000000000004</v>
      </c>
      <c r="N68" s="81">
        <f>4.0414 * CHOOSE(CONTROL!$C$32, $C$9, 100%, $E$9)</f>
        <v>4.0414000000000003</v>
      </c>
      <c r="O68" s="81">
        <f>4.0467 * CHOOSE(CONTROL!$C$32, $C$9, 100%, $E$9)</f>
        <v>4.0467000000000004</v>
      </c>
      <c r="P68" s="10"/>
      <c r="Q68" s="10"/>
      <c r="R68" s="10"/>
    </row>
    <row r="69" spans="1:18" ht="15" x14ac:dyDescent="0.2">
      <c r="A69" s="16">
        <v>43313</v>
      </c>
      <c r="B69" s="80">
        <f>3.4359 * CHOOSE(CONTROL!$C$32, $C$9, 100%, $E$9)</f>
        <v>3.4359000000000002</v>
      </c>
      <c r="C69" s="80">
        <f>3.4359 * CHOOSE(CONTROL!$C$32, $C$9, 100%, $E$9)</f>
        <v>3.4359000000000002</v>
      </c>
      <c r="D69" s="80">
        <f>3.4375 * CHOOSE(CONTROL!$C$32, $C$9, 100%, $E$9)</f>
        <v>3.4375</v>
      </c>
      <c r="E69" s="81">
        <f>4.0458 * CHOOSE(CONTROL!$C$32, $C$9, 100%, $E$9)</f>
        <v>4.0457999999999998</v>
      </c>
      <c r="F69" s="81">
        <f>4.0458 * CHOOSE(CONTROL!$C$32, $C$9, 100%, $E$9)</f>
        <v>4.0457999999999998</v>
      </c>
      <c r="G69" s="81">
        <f>4.0511 * CHOOSE(CONTROL!$C$32, $C$9, 100%, $E$9)</f>
        <v>4.0510999999999999</v>
      </c>
      <c r="H69" s="81">
        <f>6.5225 * CHOOSE(CONTROL!$C$32, $C$9, 100%, $E$9)</f>
        <v>6.5225</v>
      </c>
      <c r="I69" s="81">
        <f>6.5278 * CHOOSE(CONTROL!$C$32, $C$9, 100%, $E$9)</f>
        <v>6.5278</v>
      </c>
      <c r="J69" s="81">
        <f>6.5225 * CHOOSE(CONTROL!$C$32, $C$9, 100%, $E$9)</f>
        <v>6.5225</v>
      </c>
      <c r="K69" s="81">
        <f>6.5278 * CHOOSE(CONTROL!$C$32, $C$9, 100%, $E$9)</f>
        <v>6.5278</v>
      </c>
      <c r="L69" s="81">
        <f>4.0458 * CHOOSE(CONTROL!$C$32, $C$9, 100%, $E$9)</f>
        <v>4.0457999999999998</v>
      </c>
      <c r="M69" s="81">
        <f>4.0511 * CHOOSE(CONTROL!$C$32, $C$9, 100%, $E$9)</f>
        <v>4.0510999999999999</v>
      </c>
      <c r="N69" s="81">
        <f>4.0458 * CHOOSE(CONTROL!$C$32, $C$9, 100%, $E$9)</f>
        <v>4.0457999999999998</v>
      </c>
      <c r="O69" s="81">
        <f>4.0511 * CHOOSE(CONTROL!$C$32, $C$9, 100%, $E$9)</f>
        <v>4.0510999999999999</v>
      </c>
      <c r="P69" s="10"/>
      <c r="Q69" s="10"/>
      <c r="R69" s="10"/>
    </row>
    <row r="70" spans="1:18" ht="15" x14ac:dyDescent="0.2">
      <c r="A70" s="16">
        <v>43344</v>
      </c>
      <c r="B70" s="80">
        <f>3.4328 * CHOOSE(CONTROL!$C$32, $C$9, 100%, $E$9)</f>
        <v>3.4327999999999999</v>
      </c>
      <c r="C70" s="80">
        <f>3.4328 * CHOOSE(CONTROL!$C$32, $C$9, 100%, $E$9)</f>
        <v>3.4327999999999999</v>
      </c>
      <c r="D70" s="80">
        <f>3.4344 * CHOOSE(CONTROL!$C$32, $C$9, 100%, $E$9)</f>
        <v>3.4344000000000001</v>
      </c>
      <c r="E70" s="81">
        <f>4.0438 * CHOOSE(CONTROL!$C$32, $C$9, 100%, $E$9)</f>
        <v>4.0438000000000001</v>
      </c>
      <c r="F70" s="81">
        <f>4.0438 * CHOOSE(CONTROL!$C$32, $C$9, 100%, $E$9)</f>
        <v>4.0438000000000001</v>
      </c>
      <c r="G70" s="81">
        <f>4.0491 * CHOOSE(CONTROL!$C$32, $C$9, 100%, $E$9)</f>
        <v>4.0491000000000001</v>
      </c>
      <c r="H70" s="81">
        <f>6.5361 * CHOOSE(CONTROL!$C$32, $C$9, 100%, $E$9)</f>
        <v>6.5361000000000002</v>
      </c>
      <c r="I70" s="81">
        <f>6.5414 * CHOOSE(CONTROL!$C$32, $C$9, 100%, $E$9)</f>
        <v>6.5414000000000003</v>
      </c>
      <c r="J70" s="81">
        <f>6.5361 * CHOOSE(CONTROL!$C$32, $C$9, 100%, $E$9)</f>
        <v>6.5361000000000002</v>
      </c>
      <c r="K70" s="81">
        <f>6.5414 * CHOOSE(CONTROL!$C$32, $C$9, 100%, $E$9)</f>
        <v>6.5414000000000003</v>
      </c>
      <c r="L70" s="81">
        <f>4.0438 * CHOOSE(CONTROL!$C$32, $C$9, 100%, $E$9)</f>
        <v>4.0438000000000001</v>
      </c>
      <c r="M70" s="81">
        <f>4.0491 * CHOOSE(CONTROL!$C$32, $C$9, 100%, $E$9)</f>
        <v>4.0491000000000001</v>
      </c>
      <c r="N70" s="81">
        <f>4.0438 * CHOOSE(CONTROL!$C$32, $C$9, 100%, $E$9)</f>
        <v>4.0438000000000001</v>
      </c>
      <c r="O70" s="81">
        <f>4.0491 * CHOOSE(CONTROL!$C$32, $C$9, 100%, $E$9)</f>
        <v>4.0491000000000001</v>
      </c>
      <c r="P70" s="10"/>
      <c r="Q70" s="10"/>
      <c r="R70" s="10"/>
    </row>
    <row r="71" spans="1:18" ht="15" x14ac:dyDescent="0.2">
      <c r="A71" s="16">
        <v>43374</v>
      </c>
      <c r="B71" s="80">
        <f>3.4135 * CHOOSE(CONTROL!$C$32, $C$9, 100%, $E$9)</f>
        <v>3.4135</v>
      </c>
      <c r="C71" s="80">
        <f>3.4135 * CHOOSE(CONTROL!$C$32, $C$9, 100%, $E$9)</f>
        <v>3.4135</v>
      </c>
      <c r="D71" s="80">
        <f>3.4146 * CHOOSE(CONTROL!$C$32, $C$9, 100%, $E$9)</f>
        <v>3.4146000000000001</v>
      </c>
      <c r="E71" s="81">
        <f>4.0369 * CHOOSE(CONTROL!$C$32, $C$9, 100%, $E$9)</f>
        <v>4.0369000000000002</v>
      </c>
      <c r="F71" s="81">
        <f>4.0369 * CHOOSE(CONTROL!$C$32, $C$9, 100%, $E$9)</f>
        <v>4.0369000000000002</v>
      </c>
      <c r="G71" s="81">
        <f>4.0406 * CHOOSE(CONTROL!$C$32, $C$9, 100%, $E$9)</f>
        <v>4.0406000000000004</v>
      </c>
      <c r="H71" s="81">
        <f>6.5498 * CHOOSE(CONTROL!$C$32, $C$9, 100%, $E$9)</f>
        <v>6.5498000000000003</v>
      </c>
      <c r="I71" s="81">
        <f>6.5534 * CHOOSE(CONTROL!$C$32, $C$9, 100%, $E$9)</f>
        <v>6.5533999999999999</v>
      </c>
      <c r="J71" s="81">
        <f>6.5498 * CHOOSE(CONTROL!$C$32, $C$9, 100%, $E$9)</f>
        <v>6.5498000000000003</v>
      </c>
      <c r="K71" s="81">
        <f>6.5534 * CHOOSE(CONTROL!$C$32, $C$9, 100%, $E$9)</f>
        <v>6.5533999999999999</v>
      </c>
      <c r="L71" s="81">
        <f>4.0369 * CHOOSE(CONTROL!$C$32, $C$9, 100%, $E$9)</f>
        <v>4.0369000000000002</v>
      </c>
      <c r="M71" s="81">
        <f>4.0406 * CHOOSE(CONTROL!$C$32, $C$9, 100%, $E$9)</f>
        <v>4.0406000000000004</v>
      </c>
      <c r="N71" s="81">
        <f>4.0369 * CHOOSE(CONTROL!$C$32, $C$9, 100%, $E$9)</f>
        <v>4.0369000000000002</v>
      </c>
      <c r="O71" s="81">
        <f>4.0406 * CHOOSE(CONTROL!$C$32, $C$9, 100%, $E$9)</f>
        <v>4.0406000000000004</v>
      </c>
      <c r="P71" s="10"/>
      <c r="Q71" s="10"/>
      <c r="R71" s="10"/>
    </row>
    <row r="72" spans="1:18" ht="15" x14ac:dyDescent="0.2">
      <c r="A72" s="16">
        <v>43405</v>
      </c>
      <c r="B72" s="80">
        <f>3.4253 * CHOOSE(CONTROL!$C$32, $C$9, 100%, $E$9)</f>
        <v>3.4253</v>
      </c>
      <c r="C72" s="80">
        <f>3.4253 * CHOOSE(CONTROL!$C$32, $C$9, 100%, $E$9)</f>
        <v>3.4253</v>
      </c>
      <c r="D72" s="80">
        <f>3.4263 * CHOOSE(CONTROL!$C$32, $C$9, 100%, $E$9)</f>
        <v>3.4262999999999999</v>
      </c>
      <c r="E72" s="81">
        <f>4.0389 * CHOOSE(CONTROL!$C$32, $C$9, 100%, $E$9)</f>
        <v>4.0388999999999999</v>
      </c>
      <c r="F72" s="81">
        <f>4.0389 * CHOOSE(CONTROL!$C$32, $C$9, 100%, $E$9)</f>
        <v>4.0388999999999999</v>
      </c>
      <c r="G72" s="81">
        <f>4.0426 * CHOOSE(CONTROL!$C$32, $C$9, 100%, $E$9)</f>
        <v>4.0426000000000002</v>
      </c>
      <c r="H72" s="81">
        <f>6.5634 * CHOOSE(CONTROL!$C$32, $C$9, 100%, $E$9)</f>
        <v>6.5633999999999997</v>
      </c>
      <c r="I72" s="81">
        <f>6.567 * CHOOSE(CONTROL!$C$32, $C$9, 100%, $E$9)</f>
        <v>6.5670000000000002</v>
      </c>
      <c r="J72" s="81">
        <f>6.5634 * CHOOSE(CONTROL!$C$32, $C$9, 100%, $E$9)</f>
        <v>6.5633999999999997</v>
      </c>
      <c r="K72" s="81">
        <f>6.567 * CHOOSE(CONTROL!$C$32, $C$9, 100%, $E$9)</f>
        <v>6.5670000000000002</v>
      </c>
      <c r="L72" s="81">
        <f>4.0389 * CHOOSE(CONTROL!$C$32, $C$9, 100%, $E$9)</f>
        <v>4.0388999999999999</v>
      </c>
      <c r="M72" s="81">
        <f>4.0426 * CHOOSE(CONTROL!$C$32, $C$9, 100%, $E$9)</f>
        <v>4.0426000000000002</v>
      </c>
      <c r="N72" s="81">
        <f>4.0389 * CHOOSE(CONTROL!$C$32, $C$9, 100%, $E$9)</f>
        <v>4.0388999999999999</v>
      </c>
      <c r="O72" s="81">
        <f>4.0426 * CHOOSE(CONTROL!$C$32, $C$9, 100%, $E$9)</f>
        <v>4.0426000000000002</v>
      </c>
      <c r="P72" s="10"/>
      <c r="Q72" s="10"/>
      <c r="R72" s="10"/>
    </row>
    <row r="73" spans="1:18" ht="15" x14ac:dyDescent="0.2">
      <c r="A73" s="16">
        <v>43435</v>
      </c>
      <c r="B73" s="80">
        <f>3.4251 * CHOOSE(CONTROL!$C$32, $C$9, 100%, $E$9)</f>
        <v>3.4251</v>
      </c>
      <c r="C73" s="80">
        <f>3.4251 * CHOOSE(CONTROL!$C$32, $C$9, 100%, $E$9)</f>
        <v>3.4251</v>
      </c>
      <c r="D73" s="80">
        <f>3.4262 * CHOOSE(CONTROL!$C$32, $C$9, 100%, $E$9)</f>
        <v>3.4262000000000001</v>
      </c>
      <c r="E73" s="81">
        <f>4.0389 * CHOOSE(CONTROL!$C$32, $C$9, 100%, $E$9)</f>
        <v>4.0388999999999999</v>
      </c>
      <c r="F73" s="81">
        <f>4.0389 * CHOOSE(CONTROL!$C$32, $C$9, 100%, $E$9)</f>
        <v>4.0388999999999999</v>
      </c>
      <c r="G73" s="81">
        <f>4.0426 * CHOOSE(CONTROL!$C$32, $C$9, 100%, $E$9)</f>
        <v>4.0426000000000002</v>
      </c>
      <c r="H73" s="81">
        <f>6.5771 * CHOOSE(CONTROL!$C$32, $C$9, 100%, $E$9)</f>
        <v>6.5770999999999997</v>
      </c>
      <c r="I73" s="81">
        <f>6.5807 * CHOOSE(CONTROL!$C$32, $C$9, 100%, $E$9)</f>
        <v>6.5807000000000002</v>
      </c>
      <c r="J73" s="81">
        <f>6.5771 * CHOOSE(CONTROL!$C$32, $C$9, 100%, $E$9)</f>
        <v>6.5770999999999997</v>
      </c>
      <c r="K73" s="81">
        <f>6.5807 * CHOOSE(CONTROL!$C$32, $C$9, 100%, $E$9)</f>
        <v>6.5807000000000002</v>
      </c>
      <c r="L73" s="81">
        <f>4.0389 * CHOOSE(CONTROL!$C$32, $C$9, 100%, $E$9)</f>
        <v>4.0388999999999999</v>
      </c>
      <c r="M73" s="81">
        <f>4.0426 * CHOOSE(CONTROL!$C$32, $C$9, 100%, $E$9)</f>
        <v>4.0426000000000002</v>
      </c>
      <c r="N73" s="81">
        <f>4.0389 * CHOOSE(CONTROL!$C$32, $C$9, 100%, $E$9)</f>
        <v>4.0388999999999999</v>
      </c>
      <c r="O73" s="81">
        <f>4.0426 * CHOOSE(CONTROL!$C$32, $C$9, 100%, $E$9)</f>
        <v>4.0426000000000002</v>
      </c>
      <c r="P73" s="10"/>
      <c r="Q73" s="10"/>
      <c r="R73" s="10"/>
    </row>
    <row r="74" spans="1:18" ht="15" x14ac:dyDescent="0.2">
      <c r="A74" s="16">
        <v>43466</v>
      </c>
      <c r="B74" s="80">
        <f>3.206 * CHOOSE(CONTROL!$C$32, $C$9, 100%, $E$9)</f>
        <v>3.206</v>
      </c>
      <c r="C74" s="80">
        <f>3.206 * CHOOSE(CONTROL!$C$32, $C$9, 100%, $E$9)</f>
        <v>3.206</v>
      </c>
      <c r="D74" s="80">
        <f>3.2071 * CHOOSE(CONTROL!$C$32, $C$9, 100%, $E$9)</f>
        <v>3.2071000000000001</v>
      </c>
      <c r="E74" s="81">
        <f>4.0646 * CHOOSE(CONTROL!$C$32, $C$9, 100%, $E$9)</f>
        <v>4.0646000000000004</v>
      </c>
      <c r="F74" s="81">
        <f>4.0646 * CHOOSE(CONTROL!$C$32, $C$9, 100%, $E$9)</f>
        <v>4.0646000000000004</v>
      </c>
      <c r="G74" s="81">
        <f>4.0682 * CHOOSE(CONTROL!$C$32, $C$9, 100%, $E$9)</f>
        <v>4.0682</v>
      </c>
      <c r="H74" s="81">
        <f>6.5908 * CHOOSE(CONTROL!$C$32, $C$9, 100%, $E$9)</f>
        <v>6.5907999999999998</v>
      </c>
      <c r="I74" s="81">
        <f>6.5944 * CHOOSE(CONTROL!$C$32, $C$9, 100%, $E$9)</f>
        <v>6.5944000000000003</v>
      </c>
      <c r="J74" s="81">
        <f>6.5908 * CHOOSE(CONTROL!$C$32, $C$9, 100%, $E$9)</f>
        <v>6.5907999999999998</v>
      </c>
      <c r="K74" s="81">
        <f>6.5944 * CHOOSE(CONTROL!$C$32, $C$9, 100%, $E$9)</f>
        <v>6.5944000000000003</v>
      </c>
      <c r="L74" s="81">
        <f>4.0646 * CHOOSE(CONTROL!$C$32, $C$9, 100%, $E$9)</f>
        <v>4.0646000000000004</v>
      </c>
      <c r="M74" s="81">
        <f>4.0682 * CHOOSE(CONTROL!$C$32, $C$9, 100%, $E$9)</f>
        <v>4.0682</v>
      </c>
      <c r="N74" s="81">
        <f>4.0646 * CHOOSE(CONTROL!$C$32, $C$9, 100%, $E$9)</f>
        <v>4.0646000000000004</v>
      </c>
      <c r="O74" s="81">
        <f>4.0682 * CHOOSE(CONTROL!$C$32, $C$9, 100%, $E$9)</f>
        <v>4.0682</v>
      </c>
      <c r="P74" s="10"/>
      <c r="Q74" s="10"/>
      <c r="R74" s="10"/>
    </row>
    <row r="75" spans="1:18" ht="15" x14ac:dyDescent="0.2">
      <c r="A75" s="16">
        <v>43497</v>
      </c>
      <c r="B75" s="80">
        <f>3.2029 * CHOOSE(CONTROL!$C$32, $C$9, 100%, $E$9)</f>
        <v>3.2029000000000001</v>
      </c>
      <c r="C75" s="80">
        <f>3.2029 * CHOOSE(CONTROL!$C$32, $C$9, 100%, $E$9)</f>
        <v>3.2029000000000001</v>
      </c>
      <c r="D75" s="80">
        <f>3.204 * CHOOSE(CONTROL!$C$32, $C$9, 100%, $E$9)</f>
        <v>3.2040000000000002</v>
      </c>
      <c r="E75" s="81">
        <f>4.0626 * CHOOSE(CONTROL!$C$32, $C$9, 100%, $E$9)</f>
        <v>4.0625999999999998</v>
      </c>
      <c r="F75" s="81">
        <f>4.0626 * CHOOSE(CONTROL!$C$32, $C$9, 100%, $E$9)</f>
        <v>4.0625999999999998</v>
      </c>
      <c r="G75" s="81">
        <f>4.0662 * CHOOSE(CONTROL!$C$32, $C$9, 100%, $E$9)</f>
        <v>4.0662000000000003</v>
      </c>
      <c r="H75" s="81">
        <f>6.6045 * CHOOSE(CONTROL!$C$32, $C$9, 100%, $E$9)</f>
        <v>6.6044999999999998</v>
      </c>
      <c r="I75" s="81">
        <f>6.6081 * CHOOSE(CONTROL!$C$32, $C$9, 100%, $E$9)</f>
        <v>6.6081000000000003</v>
      </c>
      <c r="J75" s="81">
        <f>6.6045 * CHOOSE(CONTROL!$C$32, $C$9, 100%, $E$9)</f>
        <v>6.6044999999999998</v>
      </c>
      <c r="K75" s="81">
        <f>6.6081 * CHOOSE(CONTROL!$C$32, $C$9, 100%, $E$9)</f>
        <v>6.6081000000000003</v>
      </c>
      <c r="L75" s="81">
        <f>4.0626 * CHOOSE(CONTROL!$C$32, $C$9, 100%, $E$9)</f>
        <v>4.0625999999999998</v>
      </c>
      <c r="M75" s="81">
        <f>4.0662 * CHOOSE(CONTROL!$C$32, $C$9, 100%, $E$9)</f>
        <v>4.0662000000000003</v>
      </c>
      <c r="N75" s="81">
        <f>4.0626 * CHOOSE(CONTROL!$C$32, $C$9, 100%, $E$9)</f>
        <v>4.0625999999999998</v>
      </c>
      <c r="O75" s="81">
        <f>4.0662 * CHOOSE(CONTROL!$C$32, $C$9, 100%, $E$9)</f>
        <v>4.0662000000000003</v>
      </c>
      <c r="P75" s="10"/>
      <c r="Q75" s="10"/>
      <c r="R75" s="10"/>
    </row>
    <row r="76" spans="1:18" ht="15" x14ac:dyDescent="0.2">
      <c r="A76" s="16">
        <v>43525</v>
      </c>
      <c r="B76" s="80">
        <f>3.1999 * CHOOSE(CONTROL!$C$32, $C$9, 100%, $E$9)</f>
        <v>3.1999</v>
      </c>
      <c r="C76" s="80">
        <f>3.1999 * CHOOSE(CONTROL!$C$32, $C$9, 100%, $E$9)</f>
        <v>3.1999</v>
      </c>
      <c r="D76" s="80">
        <f>3.201 * CHOOSE(CONTROL!$C$32, $C$9, 100%, $E$9)</f>
        <v>3.2010000000000001</v>
      </c>
      <c r="E76" s="81">
        <f>4.0606 * CHOOSE(CONTROL!$C$32, $C$9, 100%, $E$9)</f>
        <v>4.0606</v>
      </c>
      <c r="F76" s="81">
        <f>4.0606 * CHOOSE(CONTROL!$C$32, $C$9, 100%, $E$9)</f>
        <v>4.0606</v>
      </c>
      <c r="G76" s="81">
        <f>4.0642 * CHOOSE(CONTROL!$C$32, $C$9, 100%, $E$9)</f>
        <v>4.0641999999999996</v>
      </c>
      <c r="H76" s="81">
        <f>6.6183 * CHOOSE(CONTROL!$C$32, $C$9, 100%, $E$9)</f>
        <v>6.6182999999999996</v>
      </c>
      <c r="I76" s="81">
        <f>6.6219 * CHOOSE(CONTROL!$C$32, $C$9, 100%, $E$9)</f>
        <v>6.6219000000000001</v>
      </c>
      <c r="J76" s="81">
        <f>6.6183 * CHOOSE(CONTROL!$C$32, $C$9, 100%, $E$9)</f>
        <v>6.6182999999999996</v>
      </c>
      <c r="K76" s="81">
        <f>6.6219 * CHOOSE(CONTROL!$C$32, $C$9, 100%, $E$9)</f>
        <v>6.6219000000000001</v>
      </c>
      <c r="L76" s="81">
        <f>4.0606 * CHOOSE(CONTROL!$C$32, $C$9, 100%, $E$9)</f>
        <v>4.0606</v>
      </c>
      <c r="M76" s="81">
        <f>4.0642 * CHOOSE(CONTROL!$C$32, $C$9, 100%, $E$9)</f>
        <v>4.0641999999999996</v>
      </c>
      <c r="N76" s="81">
        <f>4.0606 * CHOOSE(CONTROL!$C$32, $C$9, 100%, $E$9)</f>
        <v>4.0606</v>
      </c>
      <c r="O76" s="81">
        <f>4.0642 * CHOOSE(CONTROL!$C$32, $C$9, 100%, $E$9)</f>
        <v>4.0641999999999996</v>
      </c>
      <c r="P76" s="10"/>
      <c r="Q76" s="10"/>
      <c r="R76" s="10"/>
    </row>
    <row r="77" spans="1:18" ht="15" x14ac:dyDescent="0.2">
      <c r="A77" s="16">
        <v>43556</v>
      </c>
      <c r="B77" s="80">
        <f>3.1968 * CHOOSE(CONTROL!$C$32, $C$9, 100%, $E$9)</f>
        <v>3.1968000000000001</v>
      </c>
      <c r="C77" s="80">
        <f>3.1968 * CHOOSE(CONTROL!$C$32, $C$9, 100%, $E$9)</f>
        <v>3.1968000000000001</v>
      </c>
      <c r="D77" s="80">
        <f>3.1979 * CHOOSE(CONTROL!$C$32, $C$9, 100%, $E$9)</f>
        <v>3.1979000000000002</v>
      </c>
      <c r="E77" s="81">
        <f>4.0581 * CHOOSE(CONTROL!$C$32, $C$9, 100%, $E$9)</f>
        <v>4.0580999999999996</v>
      </c>
      <c r="F77" s="81">
        <f>4.0581 * CHOOSE(CONTROL!$C$32, $C$9, 100%, $E$9)</f>
        <v>4.0580999999999996</v>
      </c>
      <c r="G77" s="81">
        <f>4.0617 * CHOOSE(CONTROL!$C$32, $C$9, 100%, $E$9)</f>
        <v>4.0617000000000001</v>
      </c>
      <c r="H77" s="81">
        <f>6.6321 * CHOOSE(CONTROL!$C$32, $C$9, 100%, $E$9)</f>
        <v>6.6321000000000003</v>
      </c>
      <c r="I77" s="81">
        <f>6.6357 * CHOOSE(CONTROL!$C$32, $C$9, 100%, $E$9)</f>
        <v>6.6356999999999999</v>
      </c>
      <c r="J77" s="81">
        <f>6.6321 * CHOOSE(CONTROL!$C$32, $C$9, 100%, $E$9)</f>
        <v>6.6321000000000003</v>
      </c>
      <c r="K77" s="81">
        <f>6.6357 * CHOOSE(CONTROL!$C$32, $C$9, 100%, $E$9)</f>
        <v>6.6356999999999999</v>
      </c>
      <c r="L77" s="81">
        <f>4.0581 * CHOOSE(CONTROL!$C$32, $C$9, 100%, $E$9)</f>
        <v>4.0580999999999996</v>
      </c>
      <c r="M77" s="81">
        <f>4.0617 * CHOOSE(CONTROL!$C$32, $C$9, 100%, $E$9)</f>
        <v>4.0617000000000001</v>
      </c>
      <c r="N77" s="81">
        <f>4.0581 * CHOOSE(CONTROL!$C$32, $C$9, 100%, $E$9)</f>
        <v>4.0580999999999996</v>
      </c>
      <c r="O77" s="81">
        <f>4.0617 * CHOOSE(CONTROL!$C$32, $C$9, 100%, $E$9)</f>
        <v>4.0617000000000001</v>
      </c>
      <c r="P77" s="10"/>
      <c r="Q77" s="10"/>
      <c r="R77" s="10"/>
    </row>
    <row r="78" spans="1:18" ht="15" x14ac:dyDescent="0.2">
      <c r="A78" s="16">
        <v>43586</v>
      </c>
      <c r="B78" s="80">
        <f>3.1968 * CHOOSE(CONTROL!$C$32, $C$9, 100%, $E$9)</f>
        <v>3.1968000000000001</v>
      </c>
      <c r="C78" s="80">
        <f>3.1968 * CHOOSE(CONTROL!$C$32, $C$9, 100%, $E$9)</f>
        <v>3.1968000000000001</v>
      </c>
      <c r="D78" s="80">
        <f>3.1984 * CHOOSE(CONTROL!$C$32, $C$9, 100%, $E$9)</f>
        <v>3.1983999999999999</v>
      </c>
      <c r="E78" s="81">
        <f>4.0581 * CHOOSE(CONTROL!$C$32, $C$9, 100%, $E$9)</f>
        <v>4.0580999999999996</v>
      </c>
      <c r="F78" s="81">
        <f>4.0581 * CHOOSE(CONTROL!$C$32, $C$9, 100%, $E$9)</f>
        <v>4.0580999999999996</v>
      </c>
      <c r="G78" s="81">
        <f>4.0634 * CHOOSE(CONTROL!$C$32, $C$9, 100%, $E$9)</f>
        <v>4.0633999999999997</v>
      </c>
      <c r="H78" s="81">
        <f>6.6459 * CHOOSE(CONTROL!$C$32, $C$9, 100%, $E$9)</f>
        <v>6.6459000000000001</v>
      </c>
      <c r="I78" s="81">
        <f>6.6512 * CHOOSE(CONTROL!$C$32, $C$9, 100%, $E$9)</f>
        <v>6.6512000000000002</v>
      </c>
      <c r="J78" s="81">
        <f>6.6459 * CHOOSE(CONTROL!$C$32, $C$9, 100%, $E$9)</f>
        <v>6.6459000000000001</v>
      </c>
      <c r="K78" s="81">
        <f>6.6512 * CHOOSE(CONTROL!$C$32, $C$9, 100%, $E$9)</f>
        <v>6.6512000000000002</v>
      </c>
      <c r="L78" s="81">
        <f>4.0581 * CHOOSE(CONTROL!$C$32, $C$9, 100%, $E$9)</f>
        <v>4.0580999999999996</v>
      </c>
      <c r="M78" s="81">
        <f>4.0634 * CHOOSE(CONTROL!$C$32, $C$9, 100%, $E$9)</f>
        <v>4.0633999999999997</v>
      </c>
      <c r="N78" s="81">
        <f>4.0581 * CHOOSE(CONTROL!$C$32, $C$9, 100%, $E$9)</f>
        <v>4.0580999999999996</v>
      </c>
      <c r="O78" s="81">
        <f>4.0634 * CHOOSE(CONTROL!$C$32, $C$9, 100%, $E$9)</f>
        <v>4.0633999999999997</v>
      </c>
      <c r="P78" s="10"/>
      <c r="Q78" s="10"/>
      <c r="R78" s="10"/>
    </row>
    <row r="79" spans="1:18" ht="15" x14ac:dyDescent="0.2">
      <c r="A79" s="16">
        <v>43617</v>
      </c>
      <c r="B79" s="80">
        <f>3.2029 * CHOOSE(CONTROL!$C$32, $C$9, 100%, $E$9)</f>
        <v>3.2029000000000001</v>
      </c>
      <c r="C79" s="80">
        <f>3.2029 * CHOOSE(CONTROL!$C$32, $C$9, 100%, $E$9)</f>
        <v>3.2029000000000001</v>
      </c>
      <c r="D79" s="80">
        <f>3.2045 * CHOOSE(CONTROL!$C$32, $C$9, 100%, $E$9)</f>
        <v>3.2044999999999999</v>
      </c>
      <c r="E79" s="81">
        <f>4.0621 * CHOOSE(CONTROL!$C$32, $C$9, 100%, $E$9)</f>
        <v>4.0621</v>
      </c>
      <c r="F79" s="81">
        <f>4.0621 * CHOOSE(CONTROL!$C$32, $C$9, 100%, $E$9)</f>
        <v>4.0621</v>
      </c>
      <c r="G79" s="81">
        <f>4.0674 * CHOOSE(CONTROL!$C$32, $C$9, 100%, $E$9)</f>
        <v>4.0674000000000001</v>
      </c>
      <c r="H79" s="81">
        <f>6.6597 * CHOOSE(CONTROL!$C$32, $C$9, 100%, $E$9)</f>
        <v>6.6597</v>
      </c>
      <c r="I79" s="81">
        <f>6.665 * CHOOSE(CONTROL!$C$32, $C$9, 100%, $E$9)</f>
        <v>6.665</v>
      </c>
      <c r="J79" s="81">
        <f>6.6597 * CHOOSE(CONTROL!$C$32, $C$9, 100%, $E$9)</f>
        <v>6.6597</v>
      </c>
      <c r="K79" s="81">
        <f>6.665 * CHOOSE(CONTROL!$C$32, $C$9, 100%, $E$9)</f>
        <v>6.665</v>
      </c>
      <c r="L79" s="81">
        <f>4.0621 * CHOOSE(CONTROL!$C$32, $C$9, 100%, $E$9)</f>
        <v>4.0621</v>
      </c>
      <c r="M79" s="81">
        <f>4.0674 * CHOOSE(CONTROL!$C$32, $C$9, 100%, $E$9)</f>
        <v>4.0674000000000001</v>
      </c>
      <c r="N79" s="81">
        <f>4.0621 * CHOOSE(CONTROL!$C$32, $C$9, 100%, $E$9)</f>
        <v>4.0621</v>
      </c>
      <c r="O79" s="81">
        <f>4.0674 * CHOOSE(CONTROL!$C$32, $C$9, 100%, $E$9)</f>
        <v>4.0674000000000001</v>
      </c>
      <c r="P79" s="10"/>
      <c r="Q79" s="10"/>
      <c r="R79" s="10"/>
    </row>
    <row r="80" spans="1:18" ht="15" x14ac:dyDescent="0.2">
      <c r="A80" s="16">
        <v>43647</v>
      </c>
      <c r="B80" s="80">
        <f>3.243 * CHOOSE(CONTROL!$C$32, $C$9, 100%, $E$9)</f>
        <v>3.2429999999999999</v>
      </c>
      <c r="C80" s="80">
        <f>3.243 * CHOOSE(CONTROL!$C$32, $C$9, 100%, $E$9)</f>
        <v>3.2429999999999999</v>
      </c>
      <c r="D80" s="80">
        <f>3.2446 * CHOOSE(CONTROL!$C$32, $C$9, 100%, $E$9)</f>
        <v>3.2446000000000002</v>
      </c>
      <c r="E80" s="81">
        <f>4.1173 * CHOOSE(CONTROL!$C$32, $C$9, 100%, $E$9)</f>
        <v>4.1173000000000002</v>
      </c>
      <c r="F80" s="81">
        <f>4.1173 * CHOOSE(CONTROL!$C$32, $C$9, 100%, $E$9)</f>
        <v>4.1173000000000002</v>
      </c>
      <c r="G80" s="81">
        <f>4.1226 * CHOOSE(CONTROL!$C$32, $C$9, 100%, $E$9)</f>
        <v>4.1226000000000003</v>
      </c>
      <c r="H80" s="81">
        <f>6.6736 * CHOOSE(CONTROL!$C$32, $C$9, 100%, $E$9)</f>
        <v>6.6736000000000004</v>
      </c>
      <c r="I80" s="81">
        <f>6.6789 * CHOOSE(CONTROL!$C$32, $C$9, 100%, $E$9)</f>
        <v>6.6788999999999996</v>
      </c>
      <c r="J80" s="81">
        <f>6.6736 * CHOOSE(CONTROL!$C$32, $C$9, 100%, $E$9)</f>
        <v>6.6736000000000004</v>
      </c>
      <c r="K80" s="81">
        <f>6.6789 * CHOOSE(CONTROL!$C$32, $C$9, 100%, $E$9)</f>
        <v>6.6788999999999996</v>
      </c>
      <c r="L80" s="81">
        <f>4.1173 * CHOOSE(CONTROL!$C$32, $C$9, 100%, $E$9)</f>
        <v>4.1173000000000002</v>
      </c>
      <c r="M80" s="81">
        <f>4.1226 * CHOOSE(CONTROL!$C$32, $C$9, 100%, $E$9)</f>
        <v>4.1226000000000003</v>
      </c>
      <c r="N80" s="81">
        <f>4.1173 * CHOOSE(CONTROL!$C$32, $C$9, 100%, $E$9)</f>
        <v>4.1173000000000002</v>
      </c>
      <c r="O80" s="81">
        <f>4.1226 * CHOOSE(CONTROL!$C$32, $C$9, 100%, $E$9)</f>
        <v>4.1226000000000003</v>
      </c>
      <c r="P80" s="10"/>
      <c r="Q80" s="10"/>
      <c r="R80" s="10"/>
    </row>
    <row r="81" spans="1:18" ht="15" x14ac:dyDescent="0.2">
      <c r="A81" s="16">
        <v>43678</v>
      </c>
      <c r="B81" s="80">
        <f>3.2497 * CHOOSE(CONTROL!$C$32, $C$9, 100%, $E$9)</f>
        <v>3.2496999999999998</v>
      </c>
      <c r="C81" s="80">
        <f>3.2497 * CHOOSE(CONTROL!$C$32, $C$9, 100%, $E$9)</f>
        <v>3.2496999999999998</v>
      </c>
      <c r="D81" s="80">
        <f>3.2512 * CHOOSE(CONTROL!$C$32, $C$9, 100%, $E$9)</f>
        <v>3.2511999999999999</v>
      </c>
      <c r="E81" s="81">
        <f>4.1217 * CHOOSE(CONTROL!$C$32, $C$9, 100%, $E$9)</f>
        <v>4.1216999999999997</v>
      </c>
      <c r="F81" s="81">
        <f>4.1217 * CHOOSE(CONTROL!$C$32, $C$9, 100%, $E$9)</f>
        <v>4.1216999999999997</v>
      </c>
      <c r="G81" s="81">
        <f>4.127 * CHOOSE(CONTROL!$C$32, $C$9, 100%, $E$9)</f>
        <v>4.1269999999999998</v>
      </c>
      <c r="H81" s="81">
        <f>6.6875 * CHOOSE(CONTROL!$C$32, $C$9, 100%, $E$9)</f>
        <v>6.6875</v>
      </c>
      <c r="I81" s="81">
        <f>6.6928 * CHOOSE(CONTROL!$C$32, $C$9, 100%, $E$9)</f>
        <v>6.6928000000000001</v>
      </c>
      <c r="J81" s="81">
        <f>6.6875 * CHOOSE(CONTROL!$C$32, $C$9, 100%, $E$9)</f>
        <v>6.6875</v>
      </c>
      <c r="K81" s="81">
        <f>6.6928 * CHOOSE(CONTROL!$C$32, $C$9, 100%, $E$9)</f>
        <v>6.6928000000000001</v>
      </c>
      <c r="L81" s="81">
        <f>4.1217 * CHOOSE(CONTROL!$C$32, $C$9, 100%, $E$9)</f>
        <v>4.1216999999999997</v>
      </c>
      <c r="M81" s="81">
        <f>4.127 * CHOOSE(CONTROL!$C$32, $C$9, 100%, $E$9)</f>
        <v>4.1269999999999998</v>
      </c>
      <c r="N81" s="81">
        <f>4.1217 * CHOOSE(CONTROL!$C$32, $C$9, 100%, $E$9)</f>
        <v>4.1216999999999997</v>
      </c>
      <c r="O81" s="81">
        <f>4.127 * CHOOSE(CONTROL!$C$32, $C$9, 100%, $E$9)</f>
        <v>4.1269999999999998</v>
      </c>
      <c r="P81" s="10"/>
      <c r="Q81" s="10"/>
      <c r="R81" s="10"/>
    </row>
    <row r="82" spans="1:18" ht="15" x14ac:dyDescent="0.2">
      <c r="A82" s="16">
        <v>43709</v>
      </c>
      <c r="B82" s="80">
        <f>3.2466 * CHOOSE(CONTROL!$C$32, $C$9, 100%, $E$9)</f>
        <v>3.2465999999999999</v>
      </c>
      <c r="C82" s="80">
        <f>3.2466 * CHOOSE(CONTROL!$C$32, $C$9, 100%, $E$9)</f>
        <v>3.2465999999999999</v>
      </c>
      <c r="D82" s="80">
        <f>3.2482 * CHOOSE(CONTROL!$C$32, $C$9, 100%, $E$9)</f>
        <v>3.2482000000000002</v>
      </c>
      <c r="E82" s="81">
        <f>4.1197 * CHOOSE(CONTROL!$C$32, $C$9, 100%, $E$9)</f>
        <v>4.1196999999999999</v>
      </c>
      <c r="F82" s="81">
        <f>4.1197 * CHOOSE(CONTROL!$C$32, $C$9, 100%, $E$9)</f>
        <v>4.1196999999999999</v>
      </c>
      <c r="G82" s="81">
        <f>4.125 * CHOOSE(CONTROL!$C$32, $C$9, 100%, $E$9)</f>
        <v>4.125</v>
      </c>
      <c r="H82" s="81">
        <f>6.7014 * CHOOSE(CONTROL!$C$32, $C$9, 100%, $E$9)</f>
        <v>6.7013999999999996</v>
      </c>
      <c r="I82" s="81">
        <f>6.7067 * CHOOSE(CONTROL!$C$32, $C$9, 100%, $E$9)</f>
        <v>6.7066999999999997</v>
      </c>
      <c r="J82" s="81">
        <f>6.7014 * CHOOSE(CONTROL!$C$32, $C$9, 100%, $E$9)</f>
        <v>6.7013999999999996</v>
      </c>
      <c r="K82" s="81">
        <f>6.7067 * CHOOSE(CONTROL!$C$32, $C$9, 100%, $E$9)</f>
        <v>6.7066999999999997</v>
      </c>
      <c r="L82" s="81">
        <f>4.1197 * CHOOSE(CONTROL!$C$32, $C$9, 100%, $E$9)</f>
        <v>4.1196999999999999</v>
      </c>
      <c r="M82" s="81">
        <f>4.125 * CHOOSE(CONTROL!$C$32, $C$9, 100%, $E$9)</f>
        <v>4.125</v>
      </c>
      <c r="N82" s="81">
        <f>4.1197 * CHOOSE(CONTROL!$C$32, $C$9, 100%, $E$9)</f>
        <v>4.1196999999999999</v>
      </c>
      <c r="O82" s="81">
        <f>4.125 * CHOOSE(CONTROL!$C$32, $C$9, 100%, $E$9)</f>
        <v>4.125</v>
      </c>
      <c r="P82" s="10"/>
      <c r="Q82" s="10"/>
      <c r="R82" s="10"/>
    </row>
    <row r="83" spans="1:18" ht="15" x14ac:dyDescent="0.2">
      <c r="A83" s="16">
        <v>43739</v>
      </c>
      <c r="B83" s="80">
        <f>3.239 * CHOOSE(CONTROL!$C$32, $C$9, 100%, $E$9)</f>
        <v>3.2389999999999999</v>
      </c>
      <c r="C83" s="80">
        <f>3.239 * CHOOSE(CONTROL!$C$32, $C$9, 100%, $E$9)</f>
        <v>3.2389999999999999</v>
      </c>
      <c r="D83" s="80">
        <f>3.24 * CHOOSE(CONTROL!$C$32, $C$9, 100%, $E$9)</f>
        <v>3.24</v>
      </c>
      <c r="E83" s="81">
        <f>4.113 * CHOOSE(CONTROL!$C$32, $C$9, 100%, $E$9)</f>
        <v>4.1130000000000004</v>
      </c>
      <c r="F83" s="81">
        <f>4.113 * CHOOSE(CONTROL!$C$32, $C$9, 100%, $E$9)</f>
        <v>4.1130000000000004</v>
      </c>
      <c r="G83" s="81">
        <f>4.1166 * CHOOSE(CONTROL!$C$32, $C$9, 100%, $E$9)</f>
        <v>4.1166</v>
      </c>
      <c r="H83" s="81">
        <f>6.7154 * CHOOSE(CONTROL!$C$32, $C$9, 100%, $E$9)</f>
        <v>6.7153999999999998</v>
      </c>
      <c r="I83" s="81">
        <f>6.719 * CHOOSE(CONTROL!$C$32, $C$9, 100%, $E$9)</f>
        <v>6.7190000000000003</v>
      </c>
      <c r="J83" s="81">
        <f>6.7154 * CHOOSE(CONTROL!$C$32, $C$9, 100%, $E$9)</f>
        <v>6.7153999999999998</v>
      </c>
      <c r="K83" s="81">
        <f>6.719 * CHOOSE(CONTROL!$C$32, $C$9, 100%, $E$9)</f>
        <v>6.7190000000000003</v>
      </c>
      <c r="L83" s="81">
        <f>4.113 * CHOOSE(CONTROL!$C$32, $C$9, 100%, $E$9)</f>
        <v>4.1130000000000004</v>
      </c>
      <c r="M83" s="81">
        <f>4.1166 * CHOOSE(CONTROL!$C$32, $C$9, 100%, $E$9)</f>
        <v>4.1166</v>
      </c>
      <c r="N83" s="81">
        <f>4.113 * CHOOSE(CONTROL!$C$32, $C$9, 100%, $E$9)</f>
        <v>4.1130000000000004</v>
      </c>
      <c r="O83" s="81">
        <f>4.1166 * CHOOSE(CONTROL!$C$32, $C$9, 100%, $E$9)</f>
        <v>4.1166</v>
      </c>
      <c r="P83" s="10"/>
      <c r="Q83" s="10"/>
      <c r="R83" s="10"/>
    </row>
    <row r="84" spans="1:18" ht="15" x14ac:dyDescent="0.2">
      <c r="A84" s="16">
        <v>43770</v>
      </c>
      <c r="B84" s="80">
        <f>3.242 * CHOOSE(CONTROL!$C$32, $C$9, 100%, $E$9)</f>
        <v>3.242</v>
      </c>
      <c r="C84" s="80">
        <f>3.242 * CHOOSE(CONTROL!$C$32, $C$9, 100%, $E$9)</f>
        <v>3.242</v>
      </c>
      <c r="D84" s="80">
        <f>3.2431 * CHOOSE(CONTROL!$C$32, $C$9, 100%, $E$9)</f>
        <v>3.2431000000000001</v>
      </c>
      <c r="E84" s="81">
        <f>4.115 * CHOOSE(CONTROL!$C$32, $C$9, 100%, $E$9)</f>
        <v>4.1150000000000002</v>
      </c>
      <c r="F84" s="81">
        <f>4.115 * CHOOSE(CONTROL!$C$32, $C$9, 100%, $E$9)</f>
        <v>4.1150000000000002</v>
      </c>
      <c r="G84" s="81">
        <f>4.1186 * CHOOSE(CONTROL!$C$32, $C$9, 100%, $E$9)</f>
        <v>4.1185999999999998</v>
      </c>
      <c r="H84" s="81">
        <f>6.7294 * CHOOSE(CONTROL!$C$32, $C$9, 100%, $E$9)</f>
        <v>6.7294</v>
      </c>
      <c r="I84" s="81">
        <f>6.733 * CHOOSE(CONTROL!$C$32, $C$9, 100%, $E$9)</f>
        <v>6.7329999999999997</v>
      </c>
      <c r="J84" s="81">
        <f>6.7294 * CHOOSE(CONTROL!$C$32, $C$9, 100%, $E$9)</f>
        <v>6.7294</v>
      </c>
      <c r="K84" s="81">
        <f>6.733 * CHOOSE(CONTROL!$C$32, $C$9, 100%, $E$9)</f>
        <v>6.7329999999999997</v>
      </c>
      <c r="L84" s="81">
        <f>4.115 * CHOOSE(CONTROL!$C$32, $C$9, 100%, $E$9)</f>
        <v>4.1150000000000002</v>
      </c>
      <c r="M84" s="81">
        <f>4.1186 * CHOOSE(CONTROL!$C$32, $C$9, 100%, $E$9)</f>
        <v>4.1185999999999998</v>
      </c>
      <c r="N84" s="81">
        <f>4.115 * CHOOSE(CONTROL!$C$32, $C$9, 100%, $E$9)</f>
        <v>4.1150000000000002</v>
      </c>
      <c r="O84" s="81">
        <f>4.1186 * CHOOSE(CONTROL!$C$32, $C$9, 100%, $E$9)</f>
        <v>4.1185999999999998</v>
      </c>
      <c r="P84" s="10"/>
      <c r="Q84" s="10"/>
      <c r="R84" s="10"/>
    </row>
    <row r="85" spans="1:18" ht="15" x14ac:dyDescent="0.2">
      <c r="A85" s="16">
        <v>43800</v>
      </c>
      <c r="B85" s="80">
        <f>3.242 * CHOOSE(CONTROL!$C$32, $C$9, 100%, $E$9)</f>
        <v>3.242</v>
      </c>
      <c r="C85" s="80">
        <f>3.242 * CHOOSE(CONTROL!$C$32, $C$9, 100%, $E$9)</f>
        <v>3.242</v>
      </c>
      <c r="D85" s="80">
        <f>3.2431 * CHOOSE(CONTROL!$C$32, $C$9, 100%, $E$9)</f>
        <v>3.2431000000000001</v>
      </c>
      <c r="E85" s="81">
        <f>4.115 * CHOOSE(CONTROL!$C$32, $C$9, 100%, $E$9)</f>
        <v>4.1150000000000002</v>
      </c>
      <c r="F85" s="81">
        <f>4.115 * CHOOSE(CONTROL!$C$32, $C$9, 100%, $E$9)</f>
        <v>4.1150000000000002</v>
      </c>
      <c r="G85" s="81">
        <f>4.1186 * CHOOSE(CONTROL!$C$32, $C$9, 100%, $E$9)</f>
        <v>4.1185999999999998</v>
      </c>
      <c r="H85" s="81">
        <f>6.7434 * CHOOSE(CONTROL!$C$32, $C$9, 100%, $E$9)</f>
        <v>6.7434000000000003</v>
      </c>
      <c r="I85" s="81">
        <f>6.747 * CHOOSE(CONTROL!$C$32, $C$9, 100%, $E$9)</f>
        <v>6.7469999999999999</v>
      </c>
      <c r="J85" s="81">
        <f>6.7434 * CHOOSE(CONTROL!$C$32, $C$9, 100%, $E$9)</f>
        <v>6.7434000000000003</v>
      </c>
      <c r="K85" s="81">
        <f>6.747 * CHOOSE(CONTROL!$C$32, $C$9, 100%, $E$9)</f>
        <v>6.7469999999999999</v>
      </c>
      <c r="L85" s="81">
        <f>4.115 * CHOOSE(CONTROL!$C$32, $C$9, 100%, $E$9)</f>
        <v>4.1150000000000002</v>
      </c>
      <c r="M85" s="81">
        <f>4.1186 * CHOOSE(CONTROL!$C$32, $C$9, 100%, $E$9)</f>
        <v>4.1185999999999998</v>
      </c>
      <c r="N85" s="81">
        <f>4.115 * CHOOSE(CONTROL!$C$32, $C$9, 100%, $E$9)</f>
        <v>4.1150000000000002</v>
      </c>
      <c r="O85" s="81">
        <f>4.1186 * CHOOSE(CONTROL!$C$32, $C$9, 100%, $E$9)</f>
        <v>4.1185999999999998</v>
      </c>
      <c r="P85" s="10"/>
      <c r="Q85" s="10"/>
      <c r="R85" s="10"/>
    </row>
    <row r="86" spans="1:18" ht="15" x14ac:dyDescent="0.2">
      <c r="A86" s="16">
        <v>43831</v>
      </c>
      <c r="B86" s="80">
        <f>3.2675 * CHOOSE(CONTROL!$C$32, $C$9, 100%, $E$9)</f>
        <v>3.2675000000000001</v>
      </c>
      <c r="C86" s="80">
        <f>3.2675 * CHOOSE(CONTROL!$C$32, $C$9, 100%, $E$9)</f>
        <v>3.2675000000000001</v>
      </c>
      <c r="D86" s="80">
        <f>3.2686 * CHOOSE(CONTROL!$C$32, $C$9, 100%, $E$9)</f>
        <v>3.2686000000000002</v>
      </c>
      <c r="E86" s="81">
        <f>4.148 * CHOOSE(CONTROL!$C$32, $C$9, 100%, $E$9)</f>
        <v>4.1479999999999997</v>
      </c>
      <c r="F86" s="81">
        <f>4.148 * CHOOSE(CONTROL!$C$32, $C$9, 100%, $E$9)</f>
        <v>4.1479999999999997</v>
      </c>
      <c r="G86" s="81">
        <f>4.1516 * CHOOSE(CONTROL!$C$32, $C$9, 100%, $E$9)</f>
        <v>4.1516000000000002</v>
      </c>
      <c r="H86" s="81">
        <f>6.7574 * CHOOSE(CONTROL!$C$32, $C$9, 100%, $E$9)</f>
        <v>6.7573999999999996</v>
      </c>
      <c r="I86" s="81">
        <f>6.7611 * CHOOSE(CONTROL!$C$32, $C$9, 100%, $E$9)</f>
        <v>6.7610999999999999</v>
      </c>
      <c r="J86" s="81">
        <f>6.7574 * CHOOSE(CONTROL!$C$32, $C$9, 100%, $E$9)</f>
        <v>6.7573999999999996</v>
      </c>
      <c r="K86" s="81">
        <f>6.7611 * CHOOSE(CONTROL!$C$32, $C$9, 100%, $E$9)</f>
        <v>6.7610999999999999</v>
      </c>
      <c r="L86" s="81">
        <f>4.148 * CHOOSE(CONTROL!$C$32, $C$9, 100%, $E$9)</f>
        <v>4.1479999999999997</v>
      </c>
      <c r="M86" s="81">
        <f>4.1516 * CHOOSE(CONTROL!$C$32, $C$9, 100%, $E$9)</f>
        <v>4.1516000000000002</v>
      </c>
      <c r="N86" s="81">
        <f>4.148 * CHOOSE(CONTROL!$C$32, $C$9, 100%, $E$9)</f>
        <v>4.1479999999999997</v>
      </c>
      <c r="O86" s="81">
        <f>4.1516 * CHOOSE(CONTROL!$C$32, $C$9, 100%, $E$9)</f>
        <v>4.1516000000000002</v>
      </c>
      <c r="P86" s="10"/>
      <c r="Q86" s="10"/>
      <c r="R86" s="10"/>
    </row>
    <row r="87" spans="1:18" ht="15" x14ac:dyDescent="0.2">
      <c r="A87" s="16">
        <v>43862</v>
      </c>
      <c r="B87" s="80">
        <f>3.2644 * CHOOSE(CONTROL!$C$32, $C$9, 100%, $E$9)</f>
        <v>3.2644000000000002</v>
      </c>
      <c r="C87" s="80">
        <f>3.2644 * CHOOSE(CONTROL!$C$32, $C$9, 100%, $E$9)</f>
        <v>3.2644000000000002</v>
      </c>
      <c r="D87" s="80">
        <f>3.2655 * CHOOSE(CONTROL!$C$32, $C$9, 100%, $E$9)</f>
        <v>3.2654999999999998</v>
      </c>
      <c r="E87" s="81">
        <f>4.146 * CHOOSE(CONTROL!$C$32, $C$9, 100%, $E$9)</f>
        <v>4.1459999999999999</v>
      </c>
      <c r="F87" s="81">
        <f>4.146 * CHOOSE(CONTROL!$C$32, $C$9, 100%, $E$9)</f>
        <v>4.1459999999999999</v>
      </c>
      <c r="G87" s="81">
        <f>4.1496 * CHOOSE(CONTROL!$C$32, $C$9, 100%, $E$9)</f>
        <v>4.1496000000000004</v>
      </c>
      <c r="H87" s="81">
        <f>6.7715 * CHOOSE(CONTROL!$C$32, $C$9, 100%, $E$9)</f>
        <v>6.7714999999999996</v>
      </c>
      <c r="I87" s="81">
        <f>6.7751 * CHOOSE(CONTROL!$C$32, $C$9, 100%, $E$9)</f>
        <v>6.7751000000000001</v>
      </c>
      <c r="J87" s="81">
        <f>6.7715 * CHOOSE(CONTROL!$C$32, $C$9, 100%, $E$9)</f>
        <v>6.7714999999999996</v>
      </c>
      <c r="K87" s="81">
        <f>6.7751 * CHOOSE(CONTROL!$C$32, $C$9, 100%, $E$9)</f>
        <v>6.7751000000000001</v>
      </c>
      <c r="L87" s="81">
        <f>4.146 * CHOOSE(CONTROL!$C$32, $C$9, 100%, $E$9)</f>
        <v>4.1459999999999999</v>
      </c>
      <c r="M87" s="81">
        <f>4.1496 * CHOOSE(CONTROL!$C$32, $C$9, 100%, $E$9)</f>
        <v>4.1496000000000004</v>
      </c>
      <c r="N87" s="81">
        <f>4.146 * CHOOSE(CONTROL!$C$32, $C$9, 100%, $E$9)</f>
        <v>4.1459999999999999</v>
      </c>
      <c r="O87" s="81">
        <f>4.1496 * CHOOSE(CONTROL!$C$32, $C$9, 100%, $E$9)</f>
        <v>4.1496000000000004</v>
      </c>
      <c r="P87" s="10"/>
      <c r="Q87" s="10"/>
      <c r="R87" s="10"/>
    </row>
    <row r="88" spans="1:18" ht="15" x14ac:dyDescent="0.2">
      <c r="A88" s="16">
        <v>43891</v>
      </c>
      <c r="B88" s="80">
        <f>3.2614 * CHOOSE(CONTROL!$C$32, $C$9, 100%, $E$9)</f>
        <v>3.2614000000000001</v>
      </c>
      <c r="C88" s="80">
        <f>3.2614 * CHOOSE(CONTROL!$C$32, $C$9, 100%, $E$9)</f>
        <v>3.2614000000000001</v>
      </c>
      <c r="D88" s="80">
        <f>3.2625 * CHOOSE(CONTROL!$C$32, $C$9, 100%, $E$9)</f>
        <v>3.2625000000000002</v>
      </c>
      <c r="E88" s="81">
        <f>4.144 * CHOOSE(CONTROL!$C$32, $C$9, 100%, $E$9)</f>
        <v>4.1440000000000001</v>
      </c>
      <c r="F88" s="81">
        <f>4.144 * CHOOSE(CONTROL!$C$32, $C$9, 100%, $E$9)</f>
        <v>4.1440000000000001</v>
      </c>
      <c r="G88" s="81">
        <f>4.1476 * CHOOSE(CONTROL!$C$32, $C$9, 100%, $E$9)</f>
        <v>4.1475999999999997</v>
      </c>
      <c r="H88" s="81">
        <f>6.7856 * CHOOSE(CONTROL!$C$32, $C$9, 100%, $E$9)</f>
        <v>6.7855999999999996</v>
      </c>
      <c r="I88" s="81">
        <f>6.7892 * CHOOSE(CONTROL!$C$32, $C$9, 100%, $E$9)</f>
        <v>6.7892000000000001</v>
      </c>
      <c r="J88" s="81">
        <f>6.7856 * CHOOSE(CONTROL!$C$32, $C$9, 100%, $E$9)</f>
        <v>6.7855999999999996</v>
      </c>
      <c r="K88" s="81">
        <f>6.7892 * CHOOSE(CONTROL!$C$32, $C$9, 100%, $E$9)</f>
        <v>6.7892000000000001</v>
      </c>
      <c r="L88" s="81">
        <f>4.144 * CHOOSE(CONTROL!$C$32, $C$9, 100%, $E$9)</f>
        <v>4.1440000000000001</v>
      </c>
      <c r="M88" s="81">
        <f>4.1476 * CHOOSE(CONTROL!$C$32, $C$9, 100%, $E$9)</f>
        <v>4.1475999999999997</v>
      </c>
      <c r="N88" s="81">
        <f>4.144 * CHOOSE(CONTROL!$C$32, $C$9, 100%, $E$9)</f>
        <v>4.1440000000000001</v>
      </c>
      <c r="O88" s="81">
        <f>4.1476 * CHOOSE(CONTROL!$C$32, $C$9, 100%, $E$9)</f>
        <v>4.1475999999999997</v>
      </c>
      <c r="P88" s="10"/>
      <c r="Q88" s="10"/>
      <c r="R88" s="10"/>
    </row>
    <row r="89" spans="1:18" ht="15" x14ac:dyDescent="0.2">
      <c r="A89" s="16">
        <v>43922</v>
      </c>
      <c r="B89" s="80">
        <f>3.2584 * CHOOSE(CONTROL!$C$32, $C$9, 100%, $E$9)</f>
        <v>3.2584</v>
      </c>
      <c r="C89" s="80">
        <f>3.2584 * CHOOSE(CONTROL!$C$32, $C$9, 100%, $E$9)</f>
        <v>3.2584</v>
      </c>
      <c r="D89" s="80">
        <f>3.2594 * CHOOSE(CONTROL!$C$32, $C$9, 100%, $E$9)</f>
        <v>3.2593999999999999</v>
      </c>
      <c r="E89" s="81">
        <f>4.1415 * CHOOSE(CONTROL!$C$32, $C$9, 100%, $E$9)</f>
        <v>4.1414999999999997</v>
      </c>
      <c r="F89" s="81">
        <f>4.1415 * CHOOSE(CONTROL!$C$32, $C$9, 100%, $E$9)</f>
        <v>4.1414999999999997</v>
      </c>
      <c r="G89" s="81">
        <f>4.1451 * CHOOSE(CONTROL!$C$32, $C$9, 100%, $E$9)</f>
        <v>4.1451000000000002</v>
      </c>
      <c r="H89" s="81">
        <f>6.7998 * CHOOSE(CONTROL!$C$32, $C$9, 100%, $E$9)</f>
        <v>6.7998000000000003</v>
      </c>
      <c r="I89" s="81">
        <f>6.8034 * CHOOSE(CONTROL!$C$32, $C$9, 100%, $E$9)</f>
        <v>6.8033999999999999</v>
      </c>
      <c r="J89" s="81">
        <f>6.7998 * CHOOSE(CONTROL!$C$32, $C$9, 100%, $E$9)</f>
        <v>6.7998000000000003</v>
      </c>
      <c r="K89" s="81">
        <f>6.8034 * CHOOSE(CONTROL!$C$32, $C$9, 100%, $E$9)</f>
        <v>6.8033999999999999</v>
      </c>
      <c r="L89" s="81">
        <f>4.1415 * CHOOSE(CONTROL!$C$32, $C$9, 100%, $E$9)</f>
        <v>4.1414999999999997</v>
      </c>
      <c r="M89" s="81">
        <f>4.1451 * CHOOSE(CONTROL!$C$32, $C$9, 100%, $E$9)</f>
        <v>4.1451000000000002</v>
      </c>
      <c r="N89" s="81">
        <f>4.1415 * CHOOSE(CONTROL!$C$32, $C$9, 100%, $E$9)</f>
        <v>4.1414999999999997</v>
      </c>
      <c r="O89" s="81">
        <f>4.1451 * CHOOSE(CONTROL!$C$32, $C$9, 100%, $E$9)</f>
        <v>4.1451000000000002</v>
      </c>
      <c r="P89" s="10"/>
      <c r="Q89" s="10"/>
      <c r="R89" s="10"/>
    </row>
    <row r="90" spans="1:18" ht="15" x14ac:dyDescent="0.2">
      <c r="A90" s="16">
        <v>43952</v>
      </c>
      <c r="B90" s="80">
        <f>3.2584 * CHOOSE(CONTROL!$C$32, $C$9, 100%, $E$9)</f>
        <v>3.2584</v>
      </c>
      <c r="C90" s="80">
        <f>3.2584 * CHOOSE(CONTROL!$C$32, $C$9, 100%, $E$9)</f>
        <v>3.2584</v>
      </c>
      <c r="D90" s="80">
        <f>3.2599 * CHOOSE(CONTROL!$C$32, $C$9, 100%, $E$9)</f>
        <v>3.2599</v>
      </c>
      <c r="E90" s="81">
        <f>4.1415 * CHOOSE(CONTROL!$C$32, $C$9, 100%, $E$9)</f>
        <v>4.1414999999999997</v>
      </c>
      <c r="F90" s="81">
        <f>4.1415 * CHOOSE(CONTROL!$C$32, $C$9, 100%, $E$9)</f>
        <v>4.1414999999999997</v>
      </c>
      <c r="G90" s="81">
        <f>4.1468 * CHOOSE(CONTROL!$C$32, $C$9, 100%, $E$9)</f>
        <v>4.1467999999999998</v>
      </c>
      <c r="H90" s="81">
        <f>6.8139 * CHOOSE(CONTROL!$C$32, $C$9, 100%, $E$9)</f>
        <v>6.8139000000000003</v>
      </c>
      <c r="I90" s="81">
        <f>6.8192 * CHOOSE(CONTROL!$C$32, $C$9, 100%, $E$9)</f>
        <v>6.8192000000000004</v>
      </c>
      <c r="J90" s="81">
        <f>6.8139 * CHOOSE(CONTROL!$C$32, $C$9, 100%, $E$9)</f>
        <v>6.8139000000000003</v>
      </c>
      <c r="K90" s="81">
        <f>6.8192 * CHOOSE(CONTROL!$C$32, $C$9, 100%, $E$9)</f>
        <v>6.8192000000000004</v>
      </c>
      <c r="L90" s="81">
        <f>4.1415 * CHOOSE(CONTROL!$C$32, $C$9, 100%, $E$9)</f>
        <v>4.1414999999999997</v>
      </c>
      <c r="M90" s="81">
        <f>4.1468 * CHOOSE(CONTROL!$C$32, $C$9, 100%, $E$9)</f>
        <v>4.1467999999999998</v>
      </c>
      <c r="N90" s="81">
        <f>4.1415 * CHOOSE(CONTROL!$C$32, $C$9, 100%, $E$9)</f>
        <v>4.1414999999999997</v>
      </c>
      <c r="O90" s="81">
        <f>4.1468 * CHOOSE(CONTROL!$C$32, $C$9, 100%, $E$9)</f>
        <v>4.1467999999999998</v>
      </c>
      <c r="P90" s="10"/>
      <c r="Q90" s="10"/>
      <c r="R90" s="10"/>
    </row>
    <row r="91" spans="1:18" ht="15" x14ac:dyDescent="0.2">
      <c r="A91" s="16">
        <v>43983</v>
      </c>
      <c r="B91" s="80">
        <f>3.2644 * CHOOSE(CONTROL!$C$32, $C$9, 100%, $E$9)</f>
        <v>3.2644000000000002</v>
      </c>
      <c r="C91" s="80">
        <f>3.2644 * CHOOSE(CONTROL!$C$32, $C$9, 100%, $E$9)</f>
        <v>3.2644000000000002</v>
      </c>
      <c r="D91" s="80">
        <f>3.266 * CHOOSE(CONTROL!$C$32, $C$9, 100%, $E$9)</f>
        <v>3.266</v>
      </c>
      <c r="E91" s="81">
        <f>4.1455 * CHOOSE(CONTROL!$C$32, $C$9, 100%, $E$9)</f>
        <v>4.1455000000000002</v>
      </c>
      <c r="F91" s="81">
        <f>4.1455 * CHOOSE(CONTROL!$C$32, $C$9, 100%, $E$9)</f>
        <v>4.1455000000000002</v>
      </c>
      <c r="G91" s="81">
        <f>4.1508 * CHOOSE(CONTROL!$C$32, $C$9, 100%, $E$9)</f>
        <v>4.1508000000000003</v>
      </c>
      <c r="H91" s="81">
        <f>6.8281 * CHOOSE(CONTROL!$C$32, $C$9, 100%, $E$9)</f>
        <v>6.8281000000000001</v>
      </c>
      <c r="I91" s="81">
        <f>6.8334 * CHOOSE(CONTROL!$C$32, $C$9, 100%, $E$9)</f>
        <v>6.8334000000000001</v>
      </c>
      <c r="J91" s="81">
        <f>6.8281 * CHOOSE(CONTROL!$C$32, $C$9, 100%, $E$9)</f>
        <v>6.8281000000000001</v>
      </c>
      <c r="K91" s="81">
        <f>6.8334 * CHOOSE(CONTROL!$C$32, $C$9, 100%, $E$9)</f>
        <v>6.8334000000000001</v>
      </c>
      <c r="L91" s="81">
        <f>4.1455 * CHOOSE(CONTROL!$C$32, $C$9, 100%, $E$9)</f>
        <v>4.1455000000000002</v>
      </c>
      <c r="M91" s="81">
        <f>4.1508 * CHOOSE(CONTROL!$C$32, $C$9, 100%, $E$9)</f>
        <v>4.1508000000000003</v>
      </c>
      <c r="N91" s="81">
        <f>4.1455 * CHOOSE(CONTROL!$C$32, $C$9, 100%, $E$9)</f>
        <v>4.1455000000000002</v>
      </c>
      <c r="O91" s="81">
        <f>4.1508 * CHOOSE(CONTROL!$C$32, $C$9, 100%, $E$9)</f>
        <v>4.1508000000000003</v>
      </c>
      <c r="P91" s="10"/>
      <c r="Q91" s="10"/>
      <c r="R91" s="10"/>
    </row>
    <row r="92" spans="1:18" ht="15" x14ac:dyDescent="0.2">
      <c r="A92" s="16">
        <v>44013</v>
      </c>
      <c r="B92" s="80">
        <f>3.3098 * CHOOSE(CONTROL!$C$32, $C$9, 100%, $E$9)</f>
        <v>3.3098000000000001</v>
      </c>
      <c r="C92" s="80">
        <f>3.3098 * CHOOSE(CONTROL!$C$32, $C$9, 100%, $E$9)</f>
        <v>3.3098000000000001</v>
      </c>
      <c r="D92" s="80">
        <f>3.3114 * CHOOSE(CONTROL!$C$32, $C$9, 100%, $E$9)</f>
        <v>3.3113999999999999</v>
      </c>
      <c r="E92" s="81">
        <f>4.2176 * CHOOSE(CONTROL!$C$32, $C$9, 100%, $E$9)</f>
        <v>4.2176</v>
      </c>
      <c r="F92" s="81">
        <f>4.2176 * CHOOSE(CONTROL!$C$32, $C$9, 100%, $E$9)</f>
        <v>4.2176</v>
      </c>
      <c r="G92" s="81">
        <f>4.2229 * CHOOSE(CONTROL!$C$32, $C$9, 100%, $E$9)</f>
        <v>4.2229000000000001</v>
      </c>
      <c r="H92" s="81">
        <f>6.8424 * CHOOSE(CONTROL!$C$32, $C$9, 100%, $E$9)</f>
        <v>6.8423999999999996</v>
      </c>
      <c r="I92" s="81">
        <f>6.8476 * CHOOSE(CONTROL!$C$32, $C$9, 100%, $E$9)</f>
        <v>6.8475999999999999</v>
      </c>
      <c r="J92" s="81">
        <f>6.8424 * CHOOSE(CONTROL!$C$32, $C$9, 100%, $E$9)</f>
        <v>6.8423999999999996</v>
      </c>
      <c r="K92" s="81">
        <f>6.8476 * CHOOSE(CONTROL!$C$32, $C$9, 100%, $E$9)</f>
        <v>6.8475999999999999</v>
      </c>
      <c r="L92" s="81">
        <f>4.2176 * CHOOSE(CONTROL!$C$32, $C$9, 100%, $E$9)</f>
        <v>4.2176</v>
      </c>
      <c r="M92" s="81">
        <f>4.2229 * CHOOSE(CONTROL!$C$32, $C$9, 100%, $E$9)</f>
        <v>4.2229000000000001</v>
      </c>
      <c r="N92" s="81">
        <f>4.2176 * CHOOSE(CONTROL!$C$32, $C$9, 100%, $E$9)</f>
        <v>4.2176</v>
      </c>
      <c r="O92" s="81">
        <f>4.2229 * CHOOSE(CONTROL!$C$32, $C$9, 100%, $E$9)</f>
        <v>4.2229000000000001</v>
      </c>
      <c r="P92" s="10"/>
      <c r="Q92" s="10"/>
      <c r="R92" s="10"/>
    </row>
    <row r="93" spans="1:18" ht="15" x14ac:dyDescent="0.2">
      <c r="A93" s="16">
        <v>44044</v>
      </c>
      <c r="B93" s="80">
        <f>3.3165 * CHOOSE(CONTROL!$C$32, $C$9, 100%, $E$9)</f>
        <v>3.3165</v>
      </c>
      <c r="C93" s="80">
        <f>3.3165 * CHOOSE(CONTROL!$C$32, $C$9, 100%, $E$9)</f>
        <v>3.3165</v>
      </c>
      <c r="D93" s="80">
        <f>3.3181 * CHOOSE(CONTROL!$C$32, $C$9, 100%, $E$9)</f>
        <v>3.3180999999999998</v>
      </c>
      <c r="E93" s="81">
        <f>4.222 * CHOOSE(CONTROL!$C$32, $C$9, 100%, $E$9)</f>
        <v>4.2220000000000004</v>
      </c>
      <c r="F93" s="81">
        <f>4.222 * CHOOSE(CONTROL!$C$32, $C$9, 100%, $E$9)</f>
        <v>4.2220000000000004</v>
      </c>
      <c r="G93" s="81">
        <f>4.2273 * CHOOSE(CONTROL!$C$32, $C$9, 100%, $E$9)</f>
        <v>4.2272999999999996</v>
      </c>
      <c r="H93" s="81">
        <f>6.8566 * CHOOSE(CONTROL!$C$32, $C$9, 100%, $E$9)</f>
        <v>6.8566000000000003</v>
      </c>
      <c r="I93" s="81">
        <f>6.8619 * CHOOSE(CONTROL!$C$32, $C$9, 100%, $E$9)</f>
        <v>6.8619000000000003</v>
      </c>
      <c r="J93" s="81">
        <f>6.8566 * CHOOSE(CONTROL!$C$32, $C$9, 100%, $E$9)</f>
        <v>6.8566000000000003</v>
      </c>
      <c r="K93" s="81">
        <f>6.8619 * CHOOSE(CONTROL!$C$32, $C$9, 100%, $E$9)</f>
        <v>6.8619000000000003</v>
      </c>
      <c r="L93" s="81">
        <f>4.222 * CHOOSE(CONTROL!$C$32, $C$9, 100%, $E$9)</f>
        <v>4.2220000000000004</v>
      </c>
      <c r="M93" s="81">
        <f>4.2273 * CHOOSE(CONTROL!$C$32, $C$9, 100%, $E$9)</f>
        <v>4.2272999999999996</v>
      </c>
      <c r="N93" s="81">
        <f>4.222 * CHOOSE(CONTROL!$C$32, $C$9, 100%, $E$9)</f>
        <v>4.2220000000000004</v>
      </c>
      <c r="O93" s="81">
        <f>4.2273 * CHOOSE(CONTROL!$C$32, $C$9, 100%, $E$9)</f>
        <v>4.2272999999999996</v>
      </c>
      <c r="P93" s="10"/>
      <c r="Q93" s="10"/>
      <c r="R93" s="10"/>
    </row>
    <row r="94" spans="1:18" ht="15" x14ac:dyDescent="0.2">
      <c r="A94" s="16">
        <v>44075</v>
      </c>
      <c r="B94" s="80">
        <f>3.3135 * CHOOSE(CONTROL!$C$32, $C$9, 100%, $E$9)</f>
        <v>3.3134999999999999</v>
      </c>
      <c r="C94" s="80">
        <f>3.3135 * CHOOSE(CONTROL!$C$32, $C$9, 100%, $E$9)</f>
        <v>3.3134999999999999</v>
      </c>
      <c r="D94" s="80">
        <f>3.3151 * CHOOSE(CONTROL!$C$32, $C$9, 100%, $E$9)</f>
        <v>3.3151000000000002</v>
      </c>
      <c r="E94" s="81">
        <f>4.22 * CHOOSE(CONTROL!$C$32, $C$9, 100%, $E$9)</f>
        <v>4.22</v>
      </c>
      <c r="F94" s="81">
        <f>4.22 * CHOOSE(CONTROL!$C$32, $C$9, 100%, $E$9)</f>
        <v>4.22</v>
      </c>
      <c r="G94" s="81">
        <f>4.2253 * CHOOSE(CONTROL!$C$32, $C$9, 100%, $E$9)</f>
        <v>4.2252999999999998</v>
      </c>
      <c r="H94" s="81">
        <f>6.8709 * CHOOSE(CONTROL!$C$32, $C$9, 100%, $E$9)</f>
        <v>6.8708999999999998</v>
      </c>
      <c r="I94" s="81">
        <f>6.8762 * CHOOSE(CONTROL!$C$32, $C$9, 100%, $E$9)</f>
        <v>6.8761999999999999</v>
      </c>
      <c r="J94" s="81">
        <f>6.8709 * CHOOSE(CONTROL!$C$32, $C$9, 100%, $E$9)</f>
        <v>6.8708999999999998</v>
      </c>
      <c r="K94" s="81">
        <f>6.8762 * CHOOSE(CONTROL!$C$32, $C$9, 100%, $E$9)</f>
        <v>6.8761999999999999</v>
      </c>
      <c r="L94" s="81">
        <f>4.22 * CHOOSE(CONTROL!$C$32, $C$9, 100%, $E$9)</f>
        <v>4.22</v>
      </c>
      <c r="M94" s="81">
        <f>4.2253 * CHOOSE(CONTROL!$C$32, $C$9, 100%, $E$9)</f>
        <v>4.2252999999999998</v>
      </c>
      <c r="N94" s="81">
        <f>4.22 * CHOOSE(CONTROL!$C$32, $C$9, 100%, $E$9)</f>
        <v>4.22</v>
      </c>
      <c r="O94" s="81">
        <f>4.2253 * CHOOSE(CONTROL!$C$32, $C$9, 100%, $E$9)</f>
        <v>4.2252999999999998</v>
      </c>
      <c r="P94" s="10"/>
      <c r="Q94" s="10"/>
      <c r="R94" s="10"/>
    </row>
    <row r="95" spans="1:18" ht="15" x14ac:dyDescent="0.2">
      <c r="A95" s="16">
        <v>44105</v>
      </c>
      <c r="B95" s="80">
        <f>3.3061 * CHOOSE(CONTROL!$C$32, $C$9, 100%, $E$9)</f>
        <v>3.3060999999999998</v>
      </c>
      <c r="C95" s="80">
        <f>3.3061 * CHOOSE(CONTROL!$C$32, $C$9, 100%, $E$9)</f>
        <v>3.3060999999999998</v>
      </c>
      <c r="D95" s="80">
        <f>3.3072 * CHOOSE(CONTROL!$C$32, $C$9, 100%, $E$9)</f>
        <v>3.3071999999999999</v>
      </c>
      <c r="E95" s="81">
        <f>4.2135 * CHOOSE(CONTROL!$C$32, $C$9, 100%, $E$9)</f>
        <v>4.2134999999999998</v>
      </c>
      <c r="F95" s="81">
        <f>4.2135 * CHOOSE(CONTROL!$C$32, $C$9, 100%, $E$9)</f>
        <v>4.2134999999999998</v>
      </c>
      <c r="G95" s="81">
        <f>4.2171 * CHOOSE(CONTROL!$C$32, $C$9, 100%, $E$9)</f>
        <v>4.2171000000000003</v>
      </c>
      <c r="H95" s="81">
        <f>6.8852 * CHOOSE(CONTROL!$C$32, $C$9, 100%, $E$9)</f>
        <v>6.8852000000000002</v>
      </c>
      <c r="I95" s="81">
        <f>6.8888 * CHOOSE(CONTROL!$C$32, $C$9, 100%, $E$9)</f>
        <v>6.8887999999999998</v>
      </c>
      <c r="J95" s="81">
        <f>6.8852 * CHOOSE(CONTROL!$C$32, $C$9, 100%, $E$9)</f>
        <v>6.8852000000000002</v>
      </c>
      <c r="K95" s="81">
        <f>6.8888 * CHOOSE(CONTROL!$C$32, $C$9, 100%, $E$9)</f>
        <v>6.8887999999999998</v>
      </c>
      <c r="L95" s="81">
        <f>4.2135 * CHOOSE(CONTROL!$C$32, $C$9, 100%, $E$9)</f>
        <v>4.2134999999999998</v>
      </c>
      <c r="M95" s="81">
        <f>4.2171 * CHOOSE(CONTROL!$C$32, $C$9, 100%, $E$9)</f>
        <v>4.2171000000000003</v>
      </c>
      <c r="N95" s="81">
        <f>4.2135 * CHOOSE(CONTROL!$C$32, $C$9, 100%, $E$9)</f>
        <v>4.2134999999999998</v>
      </c>
      <c r="O95" s="81">
        <f>4.2171 * CHOOSE(CONTROL!$C$32, $C$9, 100%, $E$9)</f>
        <v>4.2171000000000003</v>
      </c>
      <c r="P95" s="10"/>
      <c r="Q95" s="10"/>
      <c r="R95" s="10"/>
    </row>
    <row r="96" spans="1:18" ht="15" x14ac:dyDescent="0.2">
      <c r="A96" s="16">
        <v>44136</v>
      </c>
      <c r="B96" s="80">
        <f>3.3092 * CHOOSE(CONTROL!$C$32, $C$9, 100%, $E$9)</f>
        <v>3.3092000000000001</v>
      </c>
      <c r="C96" s="80">
        <f>3.3092 * CHOOSE(CONTROL!$C$32, $C$9, 100%, $E$9)</f>
        <v>3.3092000000000001</v>
      </c>
      <c r="D96" s="80">
        <f>3.3103 * CHOOSE(CONTROL!$C$32, $C$9, 100%, $E$9)</f>
        <v>3.3102999999999998</v>
      </c>
      <c r="E96" s="81">
        <f>4.2155 * CHOOSE(CONTROL!$C$32, $C$9, 100%, $E$9)</f>
        <v>4.2154999999999996</v>
      </c>
      <c r="F96" s="81">
        <f>4.2155 * CHOOSE(CONTROL!$C$32, $C$9, 100%, $E$9)</f>
        <v>4.2154999999999996</v>
      </c>
      <c r="G96" s="81">
        <f>4.2191 * CHOOSE(CONTROL!$C$32, $C$9, 100%, $E$9)</f>
        <v>4.2191000000000001</v>
      </c>
      <c r="H96" s="81">
        <f>6.8996 * CHOOSE(CONTROL!$C$32, $C$9, 100%, $E$9)</f>
        <v>6.8996000000000004</v>
      </c>
      <c r="I96" s="81">
        <f>6.9032 * CHOOSE(CONTROL!$C$32, $C$9, 100%, $E$9)</f>
        <v>6.9032</v>
      </c>
      <c r="J96" s="81">
        <f>6.8996 * CHOOSE(CONTROL!$C$32, $C$9, 100%, $E$9)</f>
        <v>6.8996000000000004</v>
      </c>
      <c r="K96" s="81">
        <f>6.9032 * CHOOSE(CONTROL!$C$32, $C$9, 100%, $E$9)</f>
        <v>6.9032</v>
      </c>
      <c r="L96" s="81">
        <f>4.2155 * CHOOSE(CONTROL!$C$32, $C$9, 100%, $E$9)</f>
        <v>4.2154999999999996</v>
      </c>
      <c r="M96" s="81">
        <f>4.2191 * CHOOSE(CONTROL!$C$32, $C$9, 100%, $E$9)</f>
        <v>4.2191000000000001</v>
      </c>
      <c r="N96" s="81">
        <f>4.2155 * CHOOSE(CONTROL!$C$32, $C$9, 100%, $E$9)</f>
        <v>4.2154999999999996</v>
      </c>
      <c r="O96" s="81">
        <f>4.2191 * CHOOSE(CONTROL!$C$32, $C$9, 100%, $E$9)</f>
        <v>4.2191000000000001</v>
      </c>
      <c r="P96" s="10"/>
      <c r="Q96" s="10"/>
      <c r="R96" s="10"/>
    </row>
    <row r="97" spans="1:18" ht="15" x14ac:dyDescent="0.2">
      <c r="A97" s="16">
        <v>44166</v>
      </c>
      <c r="B97" s="80">
        <f>3.3092 * CHOOSE(CONTROL!$C$32, $C$9, 100%, $E$9)</f>
        <v>3.3092000000000001</v>
      </c>
      <c r="C97" s="80">
        <f>3.3092 * CHOOSE(CONTROL!$C$32, $C$9, 100%, $E$9)</f>
        <v>3.3092000000000001</v>
      </c>
      <c r="D97" s="80">
        <f>3.3103 * CHOOSE(CONTROL!$C$32, $C$9, 100%, $E$9)</f>
        <v>3.3102999999999998</v>
      </c>
      <c r="E97" s="81">
        <f>4.2155 * CHOOSE(CONTROL!$C$32, $C$9, 100%, $E$9)</f>
        <v>4.2154999999999996</v>
      </c>
      <c r="F97" s="81">
        <f>4.2155 * CHOOSE(CONTROL!$C$32, $C$9, 100%, $E$9)</f>
        <v>4.2154999999999996</v>
      </c>
      <c r="G97" s="81">
        <f>4.2191 * CHOOSE(CONTROL!$C$32, $C$9, 100%, $E$9)</f>
        <v>4.2191000000000001</v>
      </c>
      <c r="H97" s="81">
        <f>6.9139 * CHOOSE(CONTROL!$C$32, $C$9, 100%, $E$9)</f>
        <v>6.9138999999999999</v>
      </c>
      <c r="I97" s="81">
        <f>6.9175 * CHOOSE(CONTROL!$C$32, $C$9, 100%, $E$9)</f>
        <v>6.9175000000000004</v>
      </c>
      <c r="J97" s="81">
        <f>6.9139 * CHOOSE(CONTROL!$C$32, $C$9, 100%, $E$9)</f>
        <v>6.9138999999999999</v>
      </c>
      <c r="K97" s="81">
        <f>6.9175 * CHOOSE(CONTROL!$C$32, $C$9, 100%, $E$9)</f>
        <v>6.9175000000000004</v>
      </c>
      <c r="L97" s="81">
        <f>4.2155 * CHOOSE(CONTROL!$C$32, $C$9, 100%, $E$9)</f>
        <v>4.2154999999999996</v>
      </c>
      <c r="M97" s="81">
        <f>4.2191 * CHOOSE(CONTROL!$C$32, $C$9, 100%, $E$9)</f>
        <v>4.2191000000000001</v>
      </c>
      <c r="N97" s="81">
        <f>4.2155 * CHOOSE(CONTROL!$C$32, $C$9, 100%, $E$9)</f>
        <v>4.2154999999999996</v>
      </c>
      <c r="O97" s="81">
        <f>4.2191 * CHOOSE(CONTROL!$C$32, $C$9, 100%, $E$9)</f>
        <v>4.2191000000000001</v>
      </c>
      <c r="P97" s="10"/>
      <c r="Q97" s="10"/>
      <c r="R97" s="10"/>
    </row>
    <row r="98" spans="1:18" ht="15" x14ac:dyDescent="0.2">
      <c r="A98" s="16">
        <v>44197</v>
      </c>
      <c r="B98" s="80">
        <f>3.3407 * CHOOSE(CONTROL!$C$32, $C$9, 100%, $E$9)</f>
        <v>3.3407</v>
      </c>
      <c r="C98" s="80">
        <f>3.3407 * CHOOSE(CONTROL!$C$32, $C$9, 100%, $E$9)</f>
        <v>3.3407</v>
      </c>
      <c r="D98" s="80">
        <f>3.3417 * CHOOSE(CONTROL!$C$32, $C$9, 100%, $E$9)</f>
        <v>3.3416999999999999</v>
      </c>
      <c r="E98" s="81">
        <f>4.2457 * CHOOSE(CONTROL!$C$32, $C$9, 100%, $E$9)</f>
        <v>4.2457000000000003</v>
      </c>
      <c r="F98" s="81">
        <f>4.2457 * CHOOSE(CONTROL!$C$32, $C$9, 100%, $E$9)</f>
        <v>4.2457000000000003</v>
      </c>
      <c r="G98" s="81">
        <f>4.2494 * CHOOSE(CONTROL!$C$32, $C$9, 100%, $E$9)</f>
        <v>4.2493999999999996</v>
      </c>
      <c r="H98" s="81">
        <f>6.9283 * CHOOSE(CONTROL!$C$32, $C$9, 100%, $E$9)</f>
        <v>6.9283000000000001</v>
      </c>
      <c r="I98" s="81">
        <f>6.9319 * CHOOSE(CONTROL!$C$32, $C$9, 100%, $E$9)</f>
        <v>6.9318999999999997</v>
      </c>
      <c r="J98" s="81">
        <f>6.9283 * CHOOSE(CONTROL!$C$32, $C$9, 100%, $E$9)</f>
        <v>6.9283000000000001</v>
      </c>
      <c r="K98" s="81">
        <f>6.9319 * CHOOSE(CONTROL!$C$32, $C$9, 100%, $E$9)</f>
        <v>6.9318999999999997</v>
      </c>
      <c r="L98" s="81">
        <f>4.2457 * CHOOSE(CONTROL!$C$32, $C$9, 100%, $E$9)</f>
        <v>4.2457000000000003</v>
      </c>
      <c r="M98" s="81">
        <f>4.2494 * CHOOSE(CONTROL!$C$32, $C$9, 100%, $E$9)</f>
        <v>4.2493999999999996</v>
      </c>
      <c r="N98" s="81">
        <f>4.2457 * CHOOSE(CONTROL!$C$32, $C$9, 100%, $E$9)</f>
        <v>4.2457000000000003</v>
      </c>
      <c r="O98" s="81">
        <f>4.2494 * CHOOSE(CONTROL!$C$32, $C$9, 100%, $E$9)</f>
        <v>4.2493999999999996</v>
      </c>
      <c r="P98" s="10"/>
      <c r="Q98" s="10"/>
      <c r="R98" s="10"/>
    </row>
    <row r="99" spans="1:18" ht="15" x14ac:dyDescent="0.2">
      <c r="A99" s="16">
        <v>44228</v>
      </c>
      <c r="B99" s="80">
        <f>3.3376 * CHOOSE(CONTROL!$C$32, $C$9, 100%, $E$9)</f>
        <v>3.3376000000000001</v>
      </c>
      <c r="C99" s="80">
        <f>3.3376 * CHOOSE(CONTROL!$C$32, $C$9, 100%, $E$9)</f>
        <v>3.3376000000000001</v>
      </c>
      <c r="D99" s="80">
        <f>3.3387 * CHOOSE(CONTROL!$C$32, $C$9, 100%, $E$9)</f>
        <v>3.3386999999999998</v>
      </c>
      <c r="E99" s="81">
        <f>4.2437 * CHOOSE(CONTROL!$C$32, $C$9, 100%, $E$9)</f>
        <v>4.2436999999999996</v>
      </c>
      <c r="F99" s="81">
        <f>4.2437 * CHOOSE(CONTROL!$C$32, $C$9, 100%, $E$9)</f>
        <v>4.2436999999999996</v>
      </c>
      <c r="G99" s="81">
        <f>4.2474 * CHOOSE(CONTROL!$C$32, $C$9, 100%, $E$9)</f>
        <v>4.2473999999999998</v>
      </c>
      <c r="H99" s="81">
        <f>6.9428 * CHOOSE(CONTROL!$C$32, $C$9, 100%, $E$9)</f>
        <v>6.9428000000000001</v>
      </c>
      <c r="I99" s="81">
        <f>6.9464 * CHOOSE(CONTROL!$C$32, $C$9, 100%, $E$9)</f>
        <v>6.9463999999999997</v>
      </c>
      <c r="J99" s="81">
        <f>6.9428 * CHOOSE(CONTROL!$C$32, $C$9, 100%, $E$9)</f>
        <v>6.9428000000000001</v>
      </c>
      <c r="K99" s="81">
        <f>6.9464 * CHOOSE(CONTROL!$C$32, $C$9, 100%, $E$9)</f>
        <v>6.9463999999999997</v>
      </c>
      <c r="L99" s="81">
        <f>4.2437 * CHOOSE(CONTROL!$C$32, $C$9, 100%, $E$9)</f>
        <v>4.2436999999999996</v>
      </c>
      <c r="M99" s="81">
        <f>4.2474 * CHOOSE(CONTROL!$C$32, $C$9, 100%, $E$9)</f>
        <v>4.2473999999999998</v>
      </c>
      <c r="N99" s="81">
        <f>4.2437 * CHOOSE(CONTROL!$C$32, $C$9, 100%, $E$9)</f>
        <v>4.2436999999999996</v>
      </c>
      <c r="O99" s="81">
        <f>4.2474 * CHOOSE(CONTROL!$C$32, $C$9, 100%, $E$9)</f>
        <v>4.2473999999999998</v>
      </c>
      <c r="P99" s="10"/>
      <c r="Q99" s="10"/>
      <c r="R99" s="10"/>
    </row>
    <row r="100" spans="1:18" ht="15" x14ac:dyDescent="0.2">
      <c r="A100" s="16">
        <v>44256</v>
      </c>
      <c r="B100" s="80">
        <f>3.3346 * CHOOSE(CONTROL!$C$32, $C$9, 100%, $E$9)</f>
        <v>3.3346</v>
      </c>
      <c r="C100" s="80">
        <f>3.3346 * CHOOSE(CONTROL!$C$32, $C$9, 100%, $E$9)</f>
        <v>3.3346</v>
      </c>
      <c r="D100" s="80">
        <f>3.3357 * CHOOSE(CONTROL!$C$32, $C$9, 100%, $E$9)</f>
        <v>3.3357000000000001</v>
      </c>
      <c r="E100" s="81">
        <f>4.2417 * CHOOSE(CONTROL!$C$32, $C$9, 100%, $E$9)</f>
        <v>4.2416999999999998</v>
      </c>
      <c r="F100" s="81">
        <f>4.2417 * CHOOSE(CONTROL!$C$32, $C$9, 100%, $E$9)</f>
        <v>4.2416999999999998</v>
      </c>
      <c r="G100" s="81">
        <f>4.2454 * CHOOSE(CONTROL!$C$32, $C$9, 100%, $E$9)</f>
        <v>4.2454000000000001</v>
      </c>
      <c r="H100" s="81">
        <f>6.9572 * CHOOSE(CONTROL!$C$32, $C$9, 100%, $E$9)</f>
        <v>6.9572000000000003</v>
      </c>
      <c r="I100" s="81">
        <f>6.9608 * CHOOSE(CONTROL!$C$32, $C$9, 100%, $E$9)</f>
        <v>6.9607999999999999</v>
      </c>
      <c r="J100" s="81">
        <f>6.9572 * CHOOSE(CONTROL!$C$32, $C$9, 100%, $E$9)</f>
        <v>6.9572000000000003</v>
      </c>
      <c r="K100" s="81">
        <f>6.9608 * CHOOSE(CONTROL!$C$32, $C$9, 100%, $E$9)</f>
        <v>6.9607999999999999</v>
      </c>
      <c r="L100" s="81">
        <f>4.2417 * CHOOSE(CONTROL!$C$32, $C$9, 100%, $E$9)</f>
        <v>4.2416999999999998</v>
      </c>
      <c r="M100" s="81">
        <f>4.2454 * CHOOSE(CONTROL!$C$32, $C$9, 100%, $E$9)</f>
        <v>4.2454000000000001</v>
      </c>
      <c r="N100" s="81">
        <f>4.2417 * CHOOSE(CONTROL!$C$32, $C$9, 100%, $E$9)</f>
        <v>4.2416999999999998</v>
      </c>
      <c r="O100" s="81">
        <f>4.2454 * CHOOSE(CONTROL!$C$32, $C$9, 100%, $E$9)</f>
        <v>4.2454000000000001</v>
      </c>
      <c r="P100" s="10"/>
      <c r="Q100" s="10"/>
      <c r="R100" s="10"/>
    </row>
    <row r="101" spans="1:18" ht="15" x14ac:dyDescent="0.2">
      <c r="A101" s="16">
        <v>44287</v>
      </c>
      <c r="B101" s="80">
        <f>3.3316 * CHOOSE(CONTROL!$C$32, $C$9, 100%, $E$9)</f>
        <v>3.3315999999999999</v>
      </c>
      <c r="C101" s="80">
        <f>3.3316 * CHOOSE(CONTROL!$C$32, $C$9, 100%, $E$9)</f>
        <v>3.3315999999999999</v>
      </c>
      <c r="D101" s="80">
        <f>3.3327 * CHOOSE(CONTROL!$C$32, $C$9, 100%, $E$9)</f>
        <v>3.3327</v>
      </c>
      <c r="E101" s="81">
        <f>4.2394 * CHOOSE(CONTROL!$C$32, $C$9, 100%, $E$9)</f>
        <v>4.2393999999999998</v>
      </c>
      <c r="F101" s="81">
        <f>4.2394 * CHOOSE(CONTROL!$C$32, $C$9, 100%, $E$9)</f>
        <v>4.2393999999999998</v>
      </c>
      <c r="G101" s="81">
        <f>4.243 * CHOOSE(CONTROL!$C$32, $C$9, 100%, $E$9)</f>
        <v>4.2430000000000003</v>
      </c>
      <c r="H101" s="81">
        <f>6.9717 * CHOOSE(CONTROL!$C$32, $C$9, 100%, $E$9)</f>
        <v>6.9717000000000002</v>
      </c>
      <c r="I101" s="81">
        <f>6.9753 * CHOOSE(CONTROL!$C$32, $C$9, 100%, $E$9)</f>
        <v>6.9752999999999998</v>
      </c>
      <c r="J101" s="81">
        <f>6.9717 * CHOOSE(CONTROL!$C$32, $C$9, 100%, $E$9)</f>
        <v>6.9717000000000002</v>
      </c>
      <c r="K101" s="81">
        <f>6.9753 * CHOOSE(CONTROL!$C$32, $C$9, 100%, $E$9)</f>
        <v>6.9752999999999998</v>
      </c>
      <c r="L101" s="81">
        <f>4.2394 * CHOOSE(CONTROL!$C$32, $C$9, 100%, $E$9)</f>
        <v>4.2393999999999998</v>
      </c>
      <c r="M101" s="81">
        <f>4.243 * CHOOSE(CONTROL!$C$32, $C$9, 100%, $E$9)</f>
        <v>4.2430000000000003</v>
      </c>
      <c r="N101" s="81">
        <f>4.2394 * CHOOSE(CONTROL!$C$32, $C$9, 100%, $E$9)</f>
        <v>4.2393999999999998</v>
      </c>
      <c r="O101" s="81">
        <f>4.243 * CHOOSE(CONTROL!$C$32, $C$9, 100%, $E$9)</f>
        <v>4.2430000000000003</v>
      </c>
      <c r="P101" s="10"/>
      <c r="Q101" s="10"/>
      <c r="R101" s="10"/>
    </row>
    <row r="102" spans="1:18" ht="15" x14ac:dyDescent="0.2">
      <c r="A102" s="16">
        <v>44317</v>
      </c>
      <c r="B102" s="80">
        <f>3.3316 * CHOOSE(CONTROL!$C$32, $C$9, 100%, $E$9)</f>
        <v>3.3315999999999999</v>
      </c>
      <c r="C102" s="80">
        <f>3.3316 * CHOOSE(CONTROL!$C$32, $C$9, 100%, $E$9)</f>
        <v>3.3315999999999999</v>
      </c>
      <c r="D102" s="80">
        <f>3.3332 * CHOOSE(CONTROL!$C$32, $C$9, 100%, $E$9)</f>
        <v>3.3332000000000002</v>
      </c>
      <c r="E102" s="81">
        <f>4.2394 * CHOOSE(CONTROL!$C$32, $C$9, 100%, $E$9)</f>
        <v>4.2393999999999998</v>
      </c>
      <c r="F102" s="81">
        <f>4.2394 * CHOOSE(CONTROL!$C$32, $C$9, 100%, $E$9)</f>
        <v>4.2393999999999998</v>
      </c>
      <c r="G102" s="81">
        <f>4.2447 * CHOOSE(CONTROL!$C$32, $C$9, 100%, $E$9)</f>
        <v>4.2446999999999999</v>
      </c>
      <c r="H102" s="81">
        <f>6.9862 * CHOOSE(CONTROL!$C$32, $C$9, 100%, $E$9)</f>
        <v>6.9862000000000002</v>
      </c>
      <c r="I102" s="81">
        <f>6.9915 * CHOOSE(CONTROL!$C$32, $C$9, 100%, $E$9)</f>
        <v>6.9915000000000003</v>
      </c>
      <c r="J102" s="81">
        <f>6.9862 * CHOOSE(CONTROL!$C$32, $C$9, 100%, $E$9)</f>
        <v>6.9862000000000002</v>
      </c>
      <c r="K102" s="81">
        <f>6.9915 * CHOOSE(CONTROL!$C$32, $C$9, 100%, $E$9)</f>
        <v>6.9915000000000003</v>
      </c>
      <c r="L102" s="81">
        <f>4.2394 * CHOOSE(CONTROL!$C$32, $C$9, 100%, $E$9)</f>
        <v>4.2393999999999998</v>
      </c>
      <c r="M102" s="81">
        <f>4.2447 * CHOOSE(CONTROL!$C$32, $C$9, 100%, $E$9)</f>
        <v>4.2446999999999999</v>
      </c>
      <c r="N102" s="81">
        <f>4.2394 * CHOOSE(CONTROL!$C$32, $C$9, 100%, $E$9)</f>
        <v>4.2393999999999998</v>
      </c>
      <c r="O102" s="81">
        <f>4.2447 * CHOOSE(CONTROL!$C$32, $C$9, 100%, $E$9)</f>
        <v>4.2446999999999999</v>
      </c>
      <c r="P102" s="10"/>
      <c r="Q102" s="10"/>
      <c r="R102" s="10"/>
    </row>
    <row r="103" spans="1:18" ht="15" x14ac:dyDescent="0.2">
      <c r="A103" s="16">
        <v>44348</v>
      </c>
      <c r="B103" s="80">
        <f>3.3377 * CHOOSE(CONTROL!$C$32, $C$9, 100%, $E$9)</f>
        <v>3.3376999999999999</v>
      </c>
      <c r="C103" s="80">
        <f>3.3377 * CHOOSE(CONTROL!$C$32, $C$9, 100%, $E$9)</f>
        <v>3.3376999999999999</v>
      </c>
      <c r="D103" s="80">
        <f>3.3393 * CHOOSE(CONTROL!$C$32, $C$9, 100%, $E$9)</f>
        <v>3.3393000000000002</v>
      </c>
      <c r="E103" s="81">
        <f>4.2434 * CHOOSE(CONTROL!$C$32, $C$9, 100%, $E$9)</f>
        <v>4.2434000000000003</v>
      </c>
      <c r="F103" s="81">
        <f>4.2434 * CHOOSE(CONTROL!$C$32, $C$9, 100%, $E$9)</f>
        <v>4.2434000000000003</v>
      </c>
      <c r="G103" s="81">
        <f>4.2487 * CHOOSE(CONTROL!$C$32, $C$9, 100%, $E$9)</f>
        <v>4.2487000000000004</v>
      </c>
      <c r="H103" s="81">
        <f>7.0008 * CHOOSE(CONTROL!$C$32, $C$9, 100%, $E$9)</f>
        <v>7.0007999999999999</v>
      </c>
      <c r="I103" s="81">
        <f>7.0061 * CHOOSE(CONTROL!$C$32, $C$9, 100%, $E$9)</f>
        <v>7.0061</v>
      </c>
      <c r="J103" s="81">
        <f>7.0008 * CHOOSE(CONTROL!$C$32, $C$9, 100%, $E$9)</f>
        <v>7.0007999999999999</v>
      </c>
      <c r="K103" s="81">
        <f>7.0061 * CHOOSE(CONTROL!$C$32, $C$9, 100%, $E$9)</f>
        <v>7.0061</v>
      </c>
      <c r="L103" s="81">
        <f>4.2434 * CHOOSE(CONTROL!$C$32, $C$9, 100%, $E$9)</f>
        <v>4.2434000000000003</v>
      </c>
      <c r="M103" s="81">
        <f>4.2487 * CHOOSE(CONTROL!$C$32, $C$9, 100%, $E$9)</f>
        <v>4.2487000000000004</v>
      </c>
      <c r="N103" s="81">
        <f>4.2434 * CHOOSE(CONTROL!$C$32, $C$9, 100%, $E$9)</f>
        <v>4.2434000000000003</v>
      </c>
      <c r="O103" s="81">
        <f>4.2487 * CHOOSE(CONTROL!$C$32, $C$9, 100%, $E$9)</f>
        <v>4.2487000000000004</v>
      </c>
      <c r="P103" s="10"/>
      <c r="Q103" s="10"/>
      <c r="R103" s="10"/>
    </row>
    <row r="104" spans="1:18" ht="15" x14ac:dyDescent="0.2">
      <c r="A104" s="16">
        <v>44378</v>
      </c>
      <c r="B104" s="80">
        <f>3.3976 * CHOOSE(CONTROL!$C$32, $C$9, 100%, $E$9)</f>
        <v>3.3976000000000002</v>
      </c>
      <c r="C104" s="80">
        <f>3.3976 * CHOOSE(CONTROL!$C$32, $C$9, 100%, $E$9)</f>
        <v>3.3976000000000002</v>
      </c>
      <c r="D104" s="80">
        <f>3.3992 * CHOOSE(CONTROL!$C$32, $C$9, 100%, $E$9)</f>
        <v>3.3992</v>
      </c>
      <c r="E104" s="81">
        <f>4.3089 * CHOOSE(CONTROL!$C$32, $C$9, 100%, $E$9)</f>
        <v>4.3089000000000004</v>
      </c>
      <c r="F104" s="81">
        <f>4.3089 * CHOOSE(CONTROL!$C$32, $C$9, 100%, $E$9)</f>
        <v>4.3089000000000004</v>
      </c>
      <c r="G104" s="81">
        <f>4.3142 * CHOOSE(CONTROL!$C$32, $C$9, 100%, $E$9)</f>
        <v>4.3141999999999996</v>
      </c>
      <c r="H104" s="81">
        <f>7.0154 * CHOOSE(CONTROL!$C$32, $C$9, 100%, $E$9)</f>
        <v>7.0153999999999996</v>
      </c>
      <c r="I104" s="81">
        <f>7.0207 * CHOOSE(CONTROL!$C$32, $C$9, 100%, $E$9)</f>
        <v>7.0206999999999997</v>
      </c>
      <c r="J104" s="81">
        <f>7.0154 * CHOOSE(CONTROL!$C$32, $C$9, 100%, $E$9)</f>
        <v>7.0153999999999996</v>
      </c>
      <c r="K104" s="81">
        <f>7.0207 * CHOOSE(CONTROL!$C$32, $C$9, 100%, $E$9)</f>
        <v>7.0206999999999997</v>
      </c>
      <c r="L104" s="81">
        <f>4.3089 * CHOOSE(CONTROL!$C$32, $C$9, 100%, $E$9)</f>
        <v>4.3089000000000004</v>
      </c>
      <c r="M104" s="81">
        <f>4.3142 * CHOOSE(CONTROL!$C$32, $C$9, 100%, $E$9)</f>
        <v>4.3141999999999996</v>
      </c>
      <c r="N104" s="81">
        <f>4.3089 * CHOOSE(CONTROL!$C$32, $C$9, 100%, $E$9)</f>
        <v>4.3089000000000004</v>
      </c>
      <c r="O104" s="81">
        <f>4.3142 * CHOOSE(CONTROL!$C$32, $C$9, 100%, $E$9)</f>
        <v>4.3141999999999996</v>
      </c>
      <c r="P104" s="10"/>
      <c r="Q104" s="10"/>
      <c r="R104" s="10"/>
    </row>
    <row r="105" spans="1:18" ht="15" x14ac:dyDescent="0.2">
      <c r="A105" s="16">
        <v>44409</v>
      </c>
      <c r="B105" s="80">
        <f>3.4043 * CHOOSE(CONTROL!$C$32, $C$9, 100%, $E$9)</f>
        <v>3.4043000000000001</v>
      </c>
      <c r="C105" s="80">
        <f>3.4043 * CHOOSE(CONTROL!$C$32, $C$9, 100%, $E$9)</f>
        <v>3.4043000000000001</v>
      </c>
      <c r="D105" s="80">
        <f>3.4059 * CHOOSE(CONTROL!$C$32, $C$9, 100%, $E$9)</f>
        <v>3.4058999999999999</v>
      </c>
      <c r="E105" s="81">
        <f>4.3133 * CHOOSE(CONTROL!$C$32, $C$9, 100%, $E$9)</f>
        <v>4.3132999999999999</v>
      </c>
      <c r="F105" s="81">
        <f>4.3133 * CHOOSE(CONTROL!$C$32, $C$9, 100%, $E$9)</f>
        <v>4.3132999999999999</v>
      </c>
      <c r="G105" s="81">
        <f>4.3186 * CHOOSE(CONTROL!$C$32, $C$9, 100%, $E$9)</f>
        <v>4.3186</v>
      </c>
      <c r="H105" s="81">
        <f>7.03 * CHOOSE(CONTROL!$C$32, $C$9, 100%, $E$9)</f>
        <v>7.03</v>
      </c>
      <c r="I105" s="81">
        <f>7.0353 * CHOOSE(CONTROL!$C$32, $C$9, 100%, $E$9)</f>
        <v>7.0353000000000003</v>
      </c>
      <c r="J105" s="81">
        <f>7.03 * CHOOSE(CONTROL!$C$32, $C$9, 100%, $E$9)</f>
        <v>7.03</v>
      </c>
      <c r="K105" s="81">
        <f>7.0353 * CHOOSE(CONTROL!$C$32, $C$9, 100%, $E$9)</f>
        <v>7.0353000000000003</v>
      </c>
      <c r="L105" s="81">
        <f>4.3133 * CHOOSE(CONTROL!$C$32, $C$9, 100%, $E$9)</f>
        <v>4.3132999999999999</v>
      </c>
      <c r="M105" s="81">
        <f>4.3186 * CHOOSE(CONTROL!$C$32, $C$9, 100%, $E$9)</f>
        <v>4.3186</v>
      </c>
      <c r="N105" s="81">
        <f>4.3133 * CHOOSE(CONTROL!$C$32, $C$9, 100%, $E$9)</f>
        <v>4.3132999999999999</v>
      </c>
      <c r="O105" s="81">
        <f>4.3186 * CHOOSE(CONTROL!$C$32, $C$9, 100%, $E$9)</f>
        <v>4.3186</v>
      </c>
      <c r="P105" s="10"/>
      <c r="Q105" s="10"/>
      <c r="R105" s="10"/>
    </row>
    <row r="106" spans="1:18" ht="15" x14ac:dyDescent="0.2">
      <c r="A106" s="16">
        <v>44440</v>
      </c>
      <c r="B106" s="80">
        <f>3.4012 * CHOOSE(CONTROL!$C$32, $C$9, 100%, $E$9)</f>
        <v>3.4011999999999998</v>
      </c>
      <c r="C106" s="80">
        <f>3.4012 * CHOOSE(CONTROL!$C$32, $C$9, 100%, $E$9)</f>
        <v>3.4011999999999998</v>
      </c>
      <c r="D106" s="80">
        <f>3.4028 * CHOOSE(CONTROL!$C$32, $C$9, 100%, $E$9)</f>
        <v>3.4028</v>
      </c>
      <c r="E106" s="81">
        <f>4.3113 * CHOOSE(CONTROL!$C$32, $C$9, 100%, $E$9)</f>
        <v>4.3113000000000001</v>
      </c>
      <c r="F106" s="81">
        <f>4.3113 * CHOOSE(CONTROL!$C$32, $C$9, 100%, $E$9)</f>
        <v>4.3113000000000001</v>
      </c>
      <c r="G106" s="81">
        <f>4.3166 * CHOOSE(CONTROL!$C$32, $C$9, 100%, $E$9)</f>
        <v>4.3166000000000002</v>
      </c>
      <c r="H106" s="81">
        <f>7.0446 * CHOOSE(CONTROL!$C$32, $C$9, 100%, $E$9)</f>
        <v>7.0446</v>
      </c>
      <c r="I106" s="81">
        <f>7.0499 * CHOOSE(CONTROL!$C$32, $C$9, 100%, $E$9)</f>
        <v>7.0499000000000001</v>
      </c>
      <c r="J106" s="81">
        <f>7.0446 * CHOOSE(CONTROL!$C$32, $C$9, 100%, $E$9)</f>
        <v>7.0446</v>
      </c>
      <c r="K106" s="81">
        <f>7.0499 * CHOOSE(CONTROL!$C$32, $C$9, 100%, $E$9)</f>
        <v>7.0499000000000001</v>
      </c>
      <c r="L106" s="81">
        <f>4.3113 * CHOOSE(CONTROL!$C$32, $C$9, 100%, $E$9)</f>
        <v>4.3113000000000001</v>
      </c>
      <c r="M106" s="81">
        <f>4.3166 * CHOOSE(CONTROL!$C$32, $C$9, 100%, $E$9)</f>
        <v>4.3166000000000002</v>
      </c>
      <c r="N106" s="81">
        <f>4.3113 * CHOOSE(CONTROL!$C$32, $C$9, 100%, $E$9)</f>
        <v>4.3113000000000001</v>
      </c>
      <c r="O106" s="81">
        <f>4.3166 * CHOOSE(CONTROL!$C$32, $C$9, 100%, $E$9)</f>
        <v>4.3166000000000002</v>
      </c>
      <c r="P106" s="10"/>
      <c r="Q106" s="10"/>
      <c r="R106" s="10"/>
    </row>
    <row r="107" spans="1:18" ht="15" x14ac:dyDescent="0.2">
      <c r="A107" s="16">
        <v>44470</v>
      </c>
      <c r="B107" s="80">
        <f>3.3942 * CHOOSE(CONTROL!$C$32, $C$9, 100%, $E$9)</f>
        <v>3.3942000000000001</v>
      </c>
      <c r="C107" s="80">
        <f>3.3942 * CHOOSE(CONTROL!$C$32, $C$9, 100%, $E$9)</f>
        <v>3.3942000000000001</v>
      </c>
      <c r="D107" s="80">
        <f>3.3953 * CHOOSE(CONTROL!$C$32, $C$9, 100%, $E$9)</f>
        <v>3.3953000000000002</v>
      </c>
      <c r="E107" s="81">
        <f>4.3049 * CHOOSE(CONTROL!$C$32, $C$9, 100%, $E$9)</f>
        <v>4.3048999999999999</v>
      </c>
      <c r="F107" s="81">
        <f>4.3049 * CHOOSE(CONTROL!$C$32, $C$9, 100%, $E$9)</f>
        <v>4.3048999999999999</v>
      </c>
      <c r="G107" s="81">
        <f>4.3085 * CHOOSE(CONTROL!$C$32, $C$9, 100%, $E$9)</f>
        <v>4.3085000000000004</v>
      </c>
      <c r="H107" s="81">
        <f>7.0593 * CHOOSE(CONTROL!$C$32, $C$9, 100%, $E$9)</f>
        <v>7.0593000000000004</v>
      </c>
      <c r="I107" s="81">
        <f>7.0629 * CHOOSE(CONTROL!$C$32, $C$9, 100%, $E$9)</f>
        <v>7.0629</v>
      </c>
      <c r="J107" s="81">
        <f>7.0593 * CHOOSE(CONTROL!$C$32, $C$9, 100%, $E$9)</f>
        <v>7.0593000000000004</v>
      </c>
      <c r="K107" s="81">
        <f>7.0629 * CHOOSE(CONTROL!$C$32, $C$9, 100%, $E$9)</f>
        <v>7.0629</v>
      </c>
      <c r="L107" s="81">
        <f>4.3049 * CHOOSE(CONTROL!$C$32, $C$9, 100%, $E$9)</f>
        <v>4.3048999999999999</v>
      </c>
      <c r="M107" s="81">
        <f>4.3085 * CHOOSE(CONTROL!$C$32, $C$9, 100%, $E$9)</f>
        <v>4.3085000000000004</v>
      </c>
      <c r="N107" s="81">
        <f>4.3049 * CHOOSE(CONTROL!$C$32, $C$9, 100%, $E$9)</f>
        <v>4.3048999999999999</v>
      </c>
      <c r="O107" s="81">
        <f>4.3085 * CHOOSE(CONTROL!$C$32, $C$9, 100%, $E$9)</f>
        <v>4.3085000000000004</v>
      </c>
      <c r="P107" s="10"/>
      <c r="Q107" s="10"/>
      <c r="R107" s="10"/>
    </row>
    <row r="108" spans="1:18" ht="15" x14ac:dyDescent="0.2">
      <c r="A108" s="16">
        <v>44501</v>
      </c>
      <c r="B108" s="80">
        <f>3.3972 * CHOOSE(CONTROL!$C$32, $C$9, 100%, $E$9)</f>
        <v>3.3972000000000002</v>
      </c>
      <c r="C108" s="80">
        <f>3.3972 * CHOOSE(CONTROL!$C$32, $C$9, 100%, $E$9)</f>
        <v>3.3972000000000002</v>
      </c>
      <c r="D108" s="80">
        <f>3.3983 * CHOOSE(CONTROL!$C$32, $C$9, 100%, $E$9)</f>
        <v>3.3982999999999999</v>
      </c>
      <c r="E108" s="81">
        <f>4.3069 * CHOOSE(CONTROL!$C$32, $C$9, 100%, $E$9)</f>
        <v>4.3068999999999997</v>
      </c>
      <c r="F108" s="81">
        <f>4.3069 * CHOOSE(CONTROL!$C$32, $C$9, 100%, $E$9)</f>
        <v>4.3068999999999997</v>
      </c>
      <c r="G108" s="81">
        <f>4.3105 * CHOOSE(CONTROL!$C$32, $C$9, 100%, $E$9)</f>
        <v>4.3105000000000002</v>
      </c>
      <c r="H108" s="81">
        <f>7.074 * CHOOSE(CONTROL!$C$32, $C$9, 100%, $E$9)</f>
        <v>7.0739999999999998</v>
      </c>
      <c r="I108" s="81">
        <f>7.0776 * CHOOSE(CONTROL!$C$32, $C$9, 100%, $E$9)</f>
        <v>7.0776000000000003</v>
      </c>
      <c r="J108" s="81">
        <f>7.074 * CHOOSE(CONTROL!$C$32, $C$9, 100%, $E$9)</f>
        <v>7.0739999999999998</v>
      </c>
      <c r="K108" s="81">
        <f>7.0776 * CHOOSE(CONTROL!$C$32, $C$9, 100%, $E$9)</f>
        <v>7.0776000000000003</v>
      </c>
      <c r="L108" s="81">
        <f>4.3069 * CHOOSE(CONTROL!$C$32, $C$9, 100%, $E$9)</f>
        <v>4.3068999999999997</v>
      </c>
      <c r="M108" s="81">
        <f>4.3105 * CHOOSE(CONTROL!$C$32, $C$9, 100%, $E$9)</f>
        <v>4.3105000000000002</v>
      </c>
      <c r="N108" s="81">
        <f>4.3069 * CHOOSE(CONTROL!$C$32, $C$9, 100%, $E$9)</f>
        <v>4.3068999999999997</v>
      </c>
      <c r="O108" s="81">
        <f>4.3105 * CHOOSE(CONTROL!$C$32, $C$9, 100%, $E$9)</f>
        <v>4.3105000000000002</v>
      </c>
      <c r="P108" s="10"/>
      <c r="Q108" s="10"/>
      <c r="R108" s="10"/>
    </row>
    <row r="109" spans="1:18" ht="15" x14ac:dyDescent="0.2">
      <c r="A109" s="16">
        <v>44531</v>
      </c>
      <c r="B109" s="80">
        <f>3.3972 * CHOOSE(CONTROL!$C$32, $C$9, 100%, $E$9)</f>
        <v>3.3972000000000002</v>
      </c>
      <c r="C109" s="80">
        <f>3.3972 * CHOOSE(CONTROL!$C$32, $C$9, 100%, $E$9)</f>
        <v>3.3972000000000002</v>
      </c>
      <c r="D109" s="80">
        <f>3.3983 * CHOOSE(CONTROL!$C$32, $C$9, 100%, $E$9)</f>
        <v>3.3982999999999999</v>
      </c>
      <c r="E109" s="81">
        <f>4.3069 * CHOOSE(CONTROL!$C$32, $C$9, 100%, $E$9)</f>
        <v>4.3068999999999997</v>
      </c>
      <c r="F109" s="81">
        <f>4.3069 * CHOOSE(CONTROL!$C$32, $C$9, 100%, $E$9)</f>
        <v>4.3068999999999997</v>
      </c>
      <c r="G109" s="81">
        <f>4.3105 * CHOOSE(CONTROL!$C$32, $C$9, 100%, $E$9)</f>
        <v>4.3105000000000002</v>
      </c>
      <c r="H109" s="81">
        <f>7.0888 * CHOOSE(CONTROL!$C$32, $C$9, 100%, $E$9)</f>
        <v>7.0888</v>
      </c>
      <c r="I109" s="81">
        <f>7.0924 * CHOOSE(CONTROL!$C$32, $C$9, 100%, $E$9)</f>
        <v>7.0923999999999996</v>
      </c>
      <c r="J109" s="81">
        <f>7.0888 * CHOOSE(CONTROL!$C$32, $C$9, 100%, $E$9)</f>
        <v>7.0888</v>
      </c>
      <c r="K109" s="81">
        <f>7.0924 * CHOOSE(CONTROL!$C$32, $C$9, 100%, $E$9)</f>
        <v>7.0923999999999996</v>
      </c>
      <c r="L109" s="81">
        <f>4.3069 * CHOOSE(CONTROL!$C$32, $C$9, 100%, $E$9)</f>
        <v>4.3068999999999997</v>
      </c>
      <c r="M109" s="81">
        <f>4.3105 * CHOOSE(CONTROL!$C$32, $C$9, 100%, $E$9)</f>
        <v>4.3105000000000002</v>
      </c>
      <c r="N109" s="81">
        <f>4.3069 * CHOOSE(CONTROL!$C$32, $C$9, 100%, $E$9)</f>
        <v>4.3068999999999997</v>
      </c>
      <c r="O109" s="81">
        <f>4.3105 * CHOOSE(CONTROL!$C$32, $C$9, 100%, $E$9)</f>
        <v>4.3105000000000002</v>
      </c>
      <c r="P109" s="10"/>
      <c r="Q109" s="10"/>
      <c r="R109" s="10"/>
    </row>
    <row r="110" spans="1:18" ht="15" x14ac:dyDescent="0.2">
      <c r="A110" s="16">
        <v>44562</v>
      </c>
      <c r="B110" s="80">
        <f>3.4251 * CHOOSE(CONTROL!$C$32, $C$9, 100%, $E$9)</f>
        <v>3.4251</v>
      </c>
      <c r="C110" s="80">
        <f>3.4251 * CHOOSE(CONTROL!$C$32, $C$9, 100%, $E$9)</f>
        <v>3.4251</v>
      </c>
      <c r="D110" s="80">
        <f>3.4261 * CHOOSE(CONTROL!$C$32, $C$9, 100%, $E$9)</f>
        <v>3.4260999999999999</v>
      </c>
      <c r="E110" s="81">
        <f>4.3439 * CHOOSE(CONTROL!$C$32, $C$9, 100%, $E$9)</f>
        <v>4.3438999999999997</v>
      </c>
      <c r="F110" s="81">
        <f>4.3439 * CHOOSE(CONTROL!$C$32, $C$9, 100%, $E$9)</f>
        <v>4.3438999999999997</v>
      </c>
      <c r="G110" s="81">
        <f>4.3475 * CHOOSE(CONTROL!$C$32, $C$9, 100%, $E$9)</f>
        <v>4.3475000000000001</v>
      </c>
      <c r="H110" s="81">
        <f>7.1035 * CHOOSE(CONTROL!$C$32, $C$9, 100%, $E$9)</f>
        <v>7.1035000000000004</v>
      </c>
      <c r="I110" s="81">
        <f>7.1072 * CHOOSE(CONTROL!$C$32, $C$9, 100%, $E$9)</f>
        <v>7.1071999999999997</v>
      </c>
      <c r="J110" s="81">
        <f>7.1035 * CHOOSE(CONTROL!$C$32, $C$9, 100%, $E$9)</f>
        <v>7.1035000000000004</v>
      </c>
      <c r="K110" s="81">
        <f>7.1072 * CHOOSE(CONTROL!$C$32, $C$9, 100%, $E$9)</f>
        <v>7.1071999999999997</v>
      </c>
      <c r="L110" s="81">
        <f>4.3439 * CHOOSE(CONTROL!$C$32, $C$9, 100%, $E$9)</f>
        <v>4.3438999999999997</v>
      </c>
      <c r="M110" s="81">
        <f>4.3475 * CHOOSE(CONTROL!$C$32, $C$9, 100%, $E$9)</f>
        <v>4.3475000000000001</v>
      </c>
      <c r="N110" s="81">
        <f>4.3439 * CHOOSE(CONTROL!$C$32, $C$9, 100%, $E$9)</f>
        <v>4.3438999999999997</v>
      </c>
      <c r="O110" s="81">
        <f>4.3475 * CHOOSE(CONTROL!$C$32, $C$9, 100%, $E$9)</f>
        <v>4.3475000000000001</v>
      </c>
      <c r="P110" s="10"/>
      <c r="Q110" s="10"/>
      <c r="R110" s="10"/>
    </row>
    <row r="111" spans="1:18" ht="15" x14ac:dyDescent="0.2">
      <c r="A111" s="16">
        <v>44593</v>
      </c>
      <c r="B111" s="80">
        <f>3.422 * CHOOSE(CONTROL!$C$32, $C$9, 100%, $E$9)</f>
        <v>3.4220000000000002</v>
      </c>
      <c r="C111" s="80">
        <f>3.422 * CHOOSE(CONTROL!$C$32, $C$9, 100%, $E$9)</f>
        <v>3.4220000000000002</v>
      </c>
      <c r="D111" s="80">
        <f>3.4231 * CHOOSE(CONTROL!$C$32, $C$9, 100%, $E$9)</f>
        <v>3.4230999999999998</v>
      </c>
      <c r="E111" s="81">
        <f>4.3419 * CHOOSE(CONTROL!$C$32, $C$9, 100%, $E$9)</f>
        <v>4.3418999999999999</v>
      </c>
      <c r="F111" s="81">
        <f>4.3419 * CHOOSE(CONTROL!$C$32, $C$9, 100%, $E$9)</f>
        <v>4.3418999999999999</v>
      </c>
      <c r="G111" s="81">
        <f>4.3455 * CHOOSE(CONTROL!$C$32, $C$9, 100%, $E$9)</f>
        <v>4.3455000000000004</v>
      </c>
      <c r="H111" s="81">
        <f>7.1183 * CHOOSE(CONTROL!$C$32, $C$9, 100%, $E$9)</f>
        <v>7.1182999999999996</v>
      </c>
      <c r="I111" s="81">
        <f>7.122 * CHOOSE(CONTROL!$C$32, $C$9, 100%, $E$9)</f>
        <v>7.1219999999999999</v>
      </c>
      <c r="J111" s="81">
        <f>7.1183 * CHOOSE(CONTROL!$C$32, $C$9, 100%, $E$9)</f>
        <v>7.1182999999999996</v>
      </c>
      <c r="K111" s="81">
        <f>7.122 * CHOOSE(CONTROL!$C$32, $C$9, 100%, $E$9)</f>
        <v>7.1219999999999999</v>
      </c>
      <c r="L111" s="81">
        <f>4.3419 * CHOOSE(CONTROL!$C$32, $C$9, 100%, $E$9)</f>
        <v>4.3418999999999999</v>
      </c>
      <c r="M111" s="81">
        <f>4.3455 * CHOOSE(CONTROL!$C$32, $C$9, 100%, $E$9)</f>
        <v>4.3455000000000004</v>
      </c>
      <c r="N111" s="81">
        <f>4.3419 * CHOOSE(CONTROL!$C$32, $C$9, 100%, $E$9)</f>
        <v>4.3418999999999999</v>
      </c>
      <c r="O111" s="81">
        <f>4.3455 * CHOOSE(CONTROL!$C$32, $C$9, 100%, $E$9)</f>
        <v>4.3455000000000004</v>
      </c>
      <c r="P111" s="10"/>
      <c r="Q111" s="10"/>
      <c r="R111" s="10"/>
    </row>
    <row r="112" spans="1:18" ht="15" x14ac:dyDescent="0.2">
      <c r="A112" s="16">
        <v>44621</v>
      </c>
      <c r="B112" s="80">
        <f>3.419 * CHOOSE(CONTROL!$C$32, $C$9, 100%, $E$9)</f>
        <v>3.419</v>
      </c>
      <c r="C112" s="80">
        <f>3.419 * CHOOSE(CONTROL!$C$32, $C$9, 100%, $E$9)</f>
        <v>3.419</v>
      </c>
      <c r="D112" s="80">
        <f>3.4201 * CHOOSE(CONTROL!$C$32, $C$9, 100%, $E$9)</f>
        <v>3.4201000000000001</v>
      </c>
      <c r="E112" s="81">
        <f>4.3399 * CHOOSE(CONTROL!$C$32, $C$9, 100%, $E$9)</f>
        <v>4.3399000000000001</v>
      </c>
      <c r="F112" s="81">
        <f>4.3399 * CHOOSE(CONTROL!$C$32, $C$9, 100%, $E$9)</f>
        <v>4.3399000000000001</v>
      </c>
      <c r="G112" s="81">
        <f>4.3435 * CHOOSE(CONTROL!$C$32, $C$9, 100%, $E$9)</f>
        <v>4.3434999999999997</v>
      </c>
      <c r="H112" s="81">
        <f>7.1332 * CHOOSE(CONTROL!$C$32, $C$9, 100%, $E$9)</f>
        <v>7.1332000000000004</v>
      </c>
      <c r="I112" s="81">
        <f>7.1368 * CHOOSE(CONTROL!$C$32, $C$9, 100%, $E$9)</f>
        <v>7.1368</v>
      </c>
      <c r="J112" s="81">
        <f>7.1332 * CHOOSE(CONTROL!$C$32, $C$9, 100%, $E$9)</f>
        <v>7.1332000000000004</v>
      </c>
      <c r="K112" s="81">
        <f>7.1368 * CHOOSE(CONTROL!$C$32, $C$9, 100%, $E$9)</f>
        <v>7.1368</v>
      </c>
      <c r="L112" s="81">
        <f>4.3399 * CHOOSE(CONTROL!$C$32, $C$9, 100%, $E$9)</f>
        <v>4.3399000000000001</v>
      </c>
      <c r="M112" s="81">
        <f>4.3435 * CHOOSE(CONTROL!$C$32, $C$9, 100%, $E$9)</f>
        <v>4.3434999999999997</v>
      </c>
      <c r="N112" s="81">
        <f>4.3399 * CHOOSE(CONTROL!$C$32, $C$9, 100%, $E$9)</f>
        <v>4.3399000000000001</v>
      </c>
      <c r="O112" s="81">
        <f>4.3435 * CHOOSE(CONTROL!$C$32, $C$9, 100%, $E$9)</f>
        <v>4.3434999999999997</v>
      </c>
      <c r="P112" s="10"/>
      <c r="Q112" s="10"/>
      <c r="R112" s="10"/>
    </row>
    <row r="113" spans="1:18" ht="15" x14ac:dyDescent="0.2">
      <c r="A113" s="16">
        <v>44652</v>
      </c>
      <c r="B113" s="80">
        <f>3.4161 * CHOOSE(CONTROL!$C$32, $C$9, 100%, $E$9)</f>
        <v>3.4161000000000001</v>
      </c>
      <c r="C113" s="80">
        <f>3.4161 * CHOOSE(CONTROL!$C$32, $C$9, 100%, $E$9)</f>
        <v>3.4161000000000001</v>
      </c>
      <c r="D113" s="80">
        <f>3.4172 * CHOOSE(CONTROL!$C$32, $C$9, 100%, $E$9)</f>
        <v>3.4171999999999998</v>
      </c>
      <c r="E113" s="81">
        <f>4.3376 * CHOOSE(CONTROL!$C$32, $C$9, 100%, $E$9)</f>
        <v>4.3376000000000001</v>
      </c>
      <c r="F113" s="81">
        <f>4.3376 * CHOOSE(CONTROL!$C$32, $C$9, 100%, $E$9)</f>
        <v>4.3376000000000001</v>
      </c>
      <c r="G113" s="81">
        <f>4.3412 * CHOOSE(CONTROL!$C$32, $C$9, 100%, $E$9)</f>
        <v>4.3411999999999997</v>
      </c>
      <c r="H113" s="81">
        <f>7.148 * CHOOSE(CONTROL!$C$32, $C$9, 100%, $E$9)</f>
        <v>7.1479999999999997</v>
      </c>
      <c r="I113" s="81">
        <f>7.1516 * CHOOSE(CONTROL!$C$32, $C$9, 100%, $E$9)</f>
        <v>7.1516000000000002</v>
      </c>
      <c r="J113" s="81">
        <f>7.148 * CHOOSE(CONTROL!$C$32, $C$9, 100%, $E$9)</f>
        <v>7.1479999999999997</v>
      </c>
      <c r="K113" s="81">
        <f>7.1516 * CHOOSE(CONTROL!$C$32, $C$9, 100%, $E$9)</f>
        <v>7.1516000000000002</v>
      </c>
      <c r="L113" s="81">
        <f>4.3376 * CHOOSE(CONTROL!$C$32, $C$9, 100%, $E$9)</f>
        <v>4.3376000000000001</v>
      </c>
      <c r="M113" s="81">
        <f>4.3412 * CHOOSE(CONTROL!$C$32, $C$9, 100%, $E$9)</f>
        <v>4.3411999999999997</v>
      </c>
      <c r="N113" s="81">
        <f>4.3376 * CHOOSE(CONTROL!$C$32, $C$9, 100%, $E$9)</f>
        <v>4.3376000000000001</v>
      </c>
      <c r="O113" s="81">
        <f>4.3412 * CHOOSE(CONTROL!$C$32, $C$9, 100%, $E$9)</f>
        <v>4.3411999999999997</v>
      </c>
      <c r="P113" s="10"/>
      <c r="Q113" s="10"/>
      <c r="R113" s="10"/>
    </row>
    <row r="114" spans="1:18" ht="15" x14ac:dyDescent="0.2">
      <c r="A114" s="16">
        <v>44682</v>
      </c>
      <c r="B114" s="80">
        <f>3.4161 * CHOOSE(CONTROL!$C$32, $C$9, 100%, $E$9)</f>
        <v>3.4161000000000001</v>
      </c>
      <c r="C114" s="80">
        <f>3.4161 * CHOOSE(CONTROL!$C$32, $C$9, 100%, $E$9)</f>
        <v>3.4161000000000001</v>
      </c>
      <c r="D114" s="80">
        <f>3.4177 * CHOOSE(CONTROL!$C$32, $C$9, 100%, $E$9)</f>
        <v>3.4177</v>
      </c>
      <c r="E114" s="81">
        <f>4.3376 * CHOOSE(CONTROL!$C$32, $C$9, 100%, $E$9)</f>
        <v>4.3376000000000001</v>
      </c>
      <c r="F114" s="81">
        <f>4.3376 * CHOOSE(CONTROL!$C$32, $C$9, 100%, $E$9)</f>
        <v>4.3376000000000001</v>
      </c>
      <c r="G114" s="81">
        <f>4.3429 * CHOOSE(CONTROL!$C$32, $C$9, 100%, $E$9)</f>
        <v>4.3429000000000002</v>
      </c>
      <c r="H114" s="81">
        <f>7.1629 * CHOOSE(CONTROL!$C$32, $C$9, 100%, $E$9)</f>
        <v>7.1628999999999996</v>
      </c>
      <c r="I114" s="81">
        <f>7.1682 * CHOOSE(CONTROL!$C$32, $C$9, 100%, $E$9)</f>
        <v>7.1681999999999997</v>
      </c>
      <c r="J114" s="81">
        <f>7.1629 * CHOOSE(CONTROL!$C$32, $C$9, 100%, $E$9)</f>
        <v>7.1628999999999996</v>
      </c>
      <c r="K114" s="81">
        <f>7.1682 * CHOOSE(CONTROL!$C$32, $C$9, 100%, $E$9)</f>
        <v>7.1681999999999997</v>
      </c>
      <c r="L114" s="81">
        <f>4.3376 * CHOOSE(CONTROL!$C$32, $C$9, 100%, $E$9)</f>
        <v>4.3376000000000001</v>
      </c>
      <c r="M114" s="81">
        <f>4.3429 * CHOOSE(CONTROL!$C$32, $C$9, 100%, $E$9)</f>
        <v>4.3429000000000002</v>
      </c>
      <c r="N114" s="81">
        <f>4.3376 * CHOOSE(CONTROL!$C$32, $C$9, 100%, $E$9)</f>
        <v>4.3376000000000001</v>
      </c>
      <c r="O114" s="81">
        <f>4.3429 * CHOOSE(CONTROL!$C$32, $C$9, 100%, $E$9)</f>
        <v>4.3429000000000002</v>
      </c>
      <c r="P114" s="10"/>
      <c r="Q114" s="10"/>
      <c r="R114" s="10"/>
    </row>
    <row r="115" spans="1:18" ht="15" x14ac:dyDescent="0.2">
      <c r="A115" s="16">
        <v>44713</v>
      </c>
      <c r="B115" s="80">
        <f>3.4222 * CHOOSE(CONTROL!$C$32, $C$9, 100%, $E$9)</f>
        <v>3.4222000000000001</v>
      </c>
      <c r="C115" s="80">
        <f>3.4222 * CHOOSE(CONTROL!$C$32, $C$9, 100%, $E$9)</f>
        <v>3.4222000000000001</v>
      </c>
      <c r="D115" s="80">
        <f>3.4238 * CHOOSE(CONTROL!$C$32, $C$9, 100%, $E$9)</f>
        <v>3.4238</v>
      </c>
      <c r="E115" s="81">
        <f>4.3416 * CHOOSE(CONTROL!$C$32, $C$9, 100%, $E$9)</f>
        <v>4.3415999999999997</v>
      </c>
      <c r="F115" s="81">
        <f>4.3416 * CHOOSE(CONTROL!$C$32, $C$9, 100%, $E$9)</f>
        <v>4.3415999999999997</v>
      </c>
      <c r="G115" s="81">
        <f>4.3469 * CHOOSE(CONTROL!$C$32, $C$9, 100%, $E$9)</f>
        <v>4.3468999999999998</v>
      </c>
      <c r="H115" s="81">
        <f>7.1778 * CHOOSE(CONTROL!$C$32, $C$9, 100%, $E$9)</f>
        <v>7.1778000000000004</v>
      </c>
      <c r="I115" s="81">
        <f>7.1831 * CHOOSE(CONTROL!$C$32, $C$9, 100%, $E$9)</f>
        <v>7.1830999999999996</v>
      </c>
      <c r="J115" s="81">
        <f>7.1778 * CHOOSE(CONTROL!$C$32, $C$9, 100%, $E$9)</f>
        <v>7.1778000000000004</v>
      </c>
      <c r="K115" s="81">
        <f>7.1831 * CHOOSE(CONTROL!$C$32, $C$9, 100%, $E$9)</f>
        <v>7.1830999999999996</v>
      </c>
      <c r="L115" s="81">
        <f>4.3416 * CHOOSE(CONTROL!$C$32, $C$9, 100%, $E$9)</f>
        <v>4.3415999999999997</v>
      </c>
      <c r="M115" s="81">
        <f>4.3469 * CHOOSE(CONTROL!$C$32, $C$9, 100%, $E$9)</f>
        <v>4.3468999999999998</v>
      </c>
      <c r="N115" s="81">
        <f>4.3416 * CHOOSE(CONTROL!$C$32, $C$9, 100%, $E$9)</f>
        <v>4.3415999999999997</v>
      </c>
      <c r="O115" s="81">
        <f>4.3469 * CHOOSE(CONTROL!$C$32, $C$9, 100%, $E$9)</f>
        <v>4.3468999999999998</v>
      </c>
      <c r="P115" s="10"/>
      <c r="Q115" s="10"/>
      <c r="R115" s="10"/>
    </row>
    <row r="116" spans="1:18" ht="15" x14ac:dyDescent="0.2">
      <c r="A116" s="16">
        <v>44743</v>
      </c>
      <c r="B116" s="80">
        <f>3.4729 * CHOOSE(CONTROL!$C$32, $C$9, 100%, $E$9)</f>
        <v>3.4729000000000001</v>
      </c>
      <c r="C116" s="80">
        <f>3.4729 * CHOOSE(CONTROL!$C$32, $C$9, 100%, $E$9)</f>
        <v>3.4729000000000001</v>
      </c>
      <c r="D116" s="80">
        <f>3.4745 * CHOOSE(CONTROL!$C$32, $C$9, 100%, $E$9)</f>
        <v>3.4744999999999999</v>
      </c>
      <c r="E116" s="81">
        <f>4.4233 * CHOOSE(CONTROL!$C$32, $C$9, 100%, $E$9)</f>
        <v>4.4233000000000002</v>
      </c>
      <c r="F116" s="81">
        <f>4.4233 * CHOOSE(CONTROL!$C$32, $C$9, 100%, $E$9)</f>
        <v>4.4233000000000002</v>
      </c>
      <c r="G116" s="81">
        <f>4.4286 * CHOOSE(CONTROL!$C$32, $C$9, 100%, $E$9)</f>
        <v>4.4286000000000003</v>
      </c>
      <c r="H116" s="81">
        <f>7.1928 * CHOOSE(CONTROL!$C$32, $C$9, 100%, $E$9)</f>
        <v>7.1928000000000001</v>
      </c>
      <c r="I116" s="81">
        <f>7.1981 * CHOOSE(CONTROL!$C$32, $C$9, 100%, $E$9)</f>
        <v>7.1981000000000002</v>
      </c>
      <c r="J116" s="81">
        <f>7.1928 * CHOOSE(CONTROL!$C$32, $C$9, 100%, $E$9)</f>
        <v>7.1928000000000001</v>
      </c>
      <c r="K116" s="81">
        <f>7.1981 * CHOOSE(CONTROL!$C$32, $C$9, 100%, $E$9)</f>
        <v>7.1981000000000002</v>
      </c>
      <c r="L116" s="81">
        <f>4.4233 * CHOOSE(CONTROL!$C$32, $C$9, 100%, $E$9)</f>
        <v>4.4233000000000002</v>
      </c>
      <c r="M116" s="81">
        <f>4.4286 * CHOOSE(CONTROL!$C$32, $C$9, 100%, $E$9)</f>
        <v>4.4286000000000003</v>
      </c>
      <c r="N116" s="81">
        <f>4.4233 * CHOOSE(CONTROL!$C$32, $C$9, 100%, $E$9)</f>
        <v>4.4233000000000002</v>
      </c>
      <c r="O116" s="81">
        <f>4.4286 * CHOOSE(CONTROL!$C$32, $C$9, 100%, $E$9)</f>
        <v>4.4286000000000003</v>
      </c>
      <c r="P116" s="10"/>
      <c r="Q116" s="10"/>
      <c r="R116" s="10"/>
    </row>
    <row r="117" spans="1:18" ht="15" x14ac:dyDescent="0.2">
      <c r="A117" s="16">
        <v>44774</v>
      </c>
      <c r="B117" s="80">
        <f>3.4796 * CHOOSE(CONTROL!$C$32, $C$9, 100%, $E$9)</f>
        <v>3.4796</v>
      </c>
      <c r="C117" s="80">
        <f>3.4796 * CHOOSE(CONTROL!$C$32, $C$9, 100%, $E$9)</f>
        <v>3.4796</v>
      </c>
      <c r="D117" s="80">
        <f>3.4811 * CHOOSE(CONTROL!$C$32, $C$9, 100%, $E$9)</f>
        <v>3.4811000000000001</v>
      </c>
      <c r="E117" s="81">
        <f>4.4277 * CHOOSE(CONTROL!$C$32, $C$9, 100%, $E$9)</f>
        <v>4.4276999999999997</v>
      </c>
      <c r="F117" s="81">
        <f>4.4277 * CHOOSE(CONTROL!$C$32, $C$9, 100%, $E$9)</f>
        <v>4.4276999999999997</v>
      </c>
      <c r="G117" s="81">
        <f>4.433 * CHOOSE(CONTROL!$C$32, $C$9, 100%, $E$9)</f>
        <v>4.4329999999999998</v>
      </c>
      <c r="H117" s="81">
        <f>7.2078 * CHOOSE(CONTROL!$C$32, $C$9, 100%, $E$9)</f>
        <v>7.2077999999999998</v>
      </c>
      <c r="I117" s="81">
        <f>7.2131 * CHOOSE(CONTROL!$C$32, $C$9, 100%, $E$9)</f>
        <v>7.2130999999999998</v>
      </c>
      <c r="J117" s="81">
        <f>7.2078 * CHOOSE(CONTROL!$C$32, $C$9, 100%, $E$9)</f>
        <v>7.2077999999999998</v>
      </c>
      <c r="K117" s="81">
        <f>7.2131 * CHOOSE(CONTROL!$C$32, $C$9, 100%, $E$9)</f>
        <v>7.2130999999999998</v>
      </c>
      <c r="L117" s="81">
        <f>4.4277 * CHOOSE(CONTROL!$C$32, $C$9, 100%, $E$9)</f>
        <v>4.4276999999999997</v>
      </c>
      <c r="M117" s="81">
        <f>4.433 * CHOOSE(CONTROL!$C$32, $C$9, 100%, $E$9)</f>
        <v>4.4329999999999998</v>
      </c>
      <c r="N117" s="81">
        <f>4.4277 * CHOOSE(CONTROL!$C$32, $C$9, 100%, $E$9)</f>
        <v>4.4276999999999997</v>
      </c>
      <c r="O117" s="81">
        <f>4.433 * CHOOSE(CONTROL!$C$32, $C$9, 100%, $E$9)</f>
        <v>4.4329999999999998</v>
      </c>
      <c r="P117" s="10"/>
      <c r="Q117" s="10"/>
      <c r="R117" s="10"/>
    </row>
    <row r="118" spans="1:18" ht="15" x14ac:dyDescent="0.2">
      <c r="A118" s="16">
        <v>44805</v>
      </c>
      <c r="B118" s="80">
        <f>3.4765 * CHOOSE(CONTROL!$C$32, $C$9, 100%, $E$9)</f>
        <v>3.4765000000000001</v>
      </c>
      <c r="C118" s="80">
        <f>3.4765 * CHOOSE(CONTROL!$C$32, $C$9, 100%, $E$9)</f>
        <v>3.4765000000000001</v>
      </c>
      <c r="D118" s="80">
        <f>3.4781 * CHOOSE(CONTROL!$C$32, $C$9, 100%, $E$9)</f>
        <v>3.4781</v>
      </c>
      <c r="E118" s="81">
        <f>4.4257 * CHOOSE(CONTROL!$C$32, $C$9, 100%, $E$9)</f>
        <v>4.4257</v>
      </c>
      <c r="F118" s="81">
        <f>4.4257 * CHOOSE(CONTROL!$C$32, $C$9, 100%, $E$9)</f>
        <v>4.4257</v>
      </c>
      <c r="G118" s="81">
        <f>4.431 * CHOOSE(CONTROL!$C$32, $C$9, 100%, $E$9)</f>
        <v>4.431</v>
      </c>
      <c r="H118" s="81">
        <f>7.2228 * CHOOSE(CONTROL!$C$32, $C$9, 100%, $E$9)</f>
        <v>7.2228000000000003</v>
      </c>
      <c r="I118" s="81">
        <f>7.2281 * CHOOSE(CONTROL!$C$32, $C$9, 100%, $E$9)</f>
        <v>7.2281000000000004</v>
      </c>
      <c r="J118" s="81">
        <f>7.2228 * CHOOSE(CONTROL!$C$32, $C$9, 100%, $E$9)</f>
        <v>7.2228000000000003</v>
      </c>
      <c r="K118" s="81">
        <f>7.2281 * CHOOSE(CONTROL!$C$32, $C$9, 100%, $E$9)</f>
        <v>7.2281000000000004</v>
      </c>
      <c r="L118" s="81">
        <f>4.4257 * CHOOSE(CONTROL!$C$32, $C$9, 100%, $E$9)</f>
        <v>4.4257</v>
      </c>
      <c r="M118" s="81">
        <f>4.431 * CHOOSE(CONTROL!$C$32, $C$9, 100%, $E$9)</f>
        <v>4.431</v>
      </c>
      <c r="N118" s="81">
        <f>4.4257 * CHOOSE(CONTROL!$C$32, $C$9, 100%, $E$9)</f>
        <v>4.4257</v>
      </c>
      <c r="O118" s="81">
        <f>4.431 * CHOOSE(CONTROL!$C$32, $C$9, 100%, $E$9)</f>
        <v>4.431</v>
      </c>
      <c r="P118" s="10"/>
      <c r="Q118" s="10"/>
      <c r="R118" s="10"/>
    </row>
    <row r="119" spans="1:18" ht="15" x14ac:dyDescent="0.2">
      <c r="A119" s="16">
        <v>44835</v>
      </c>
      <c r="B119" s="80">
        <f>3.4698 * CHOOSE(CONTROL!$C$32, $C$9, 100%, $E$9)</f>
        <v>3.4698000000000002</v>
      </c>
      <c r="C119" s="80">
        <f>3.4698 * CHOOSE(CONTROL!$C$32, $C$9, 100%, $E$9)</f>
        <v>3.4698000000000002</v>
      </c>
      <c r="D119" s="80">
        <f>3.4709 * CHOOSE(CONTROL!$C$32, $C$9, 100%, $E$9)</f>
        <v>3.4708999999999999</v>
      </c>
      <c r="E119" s="81">
        <f>4.4195 * CHOOSE(CONTROL!$C$32, $C$9, 100%, $E$9)</f>
        <v>4.4195000000000002</v>
      </c>
      <c r="F119" s="81">
        <f>4.4195 * CHOOSE(CONTROL!$C$32, $C$9, 100%, $E$9)</f>
        <v>4.4195000000000002</v>
      </c>
      <c r="G119" s="81">
        <f>4.4231 * CHOOSE(CONTROL!$C$32, $C$9, 100%, $E$9)</f>
        <v>4.4230999999999998</v>
      </c>
      <c r="H119" s="81">
        <f>7.2378 * CHOOSE(CONTROL!$C$32, $C$9, 100%, $E$9)</f>
        <v>7.2378</v>
      </c>
      <c r="I119" s="81">
        <f>7.2415 * CHOOSE(CONTROL!$C$32, $C$9, 100%, $E$9)</f>
        <v>7.2415000000000003</v>
      </c>
      <c r="J119" s="81">
        <f>7.2378 * CHOOSE(CONTROL!$C$32, $C$9, 100%, $E$9)</f>
        <v>7.2378</v>
      </c>
      <c r="K119" s="81">
        <f>7.2415 * CHOOSE(CONTROL!$C$32, $C$9, 100%, $E$9)</f>
        <v>7.2415000000000003</v>
      </c>
      <c r="L119" s="81">
        <f>4.4195 * CHOOSE(CONTROL!$C$32, $C$9, 100%, $E$9)</f>
        <v>4.4195000000000002</v>
      </c>
      <c r="M119" s="81">
        <f>4.4231 * CHOOSE(CONTROL!$C$32, $C$9, 100%, $E$9)</f>
        <v>4.4230999999999998</v>
      </c>
      <c r="N119" s="81">
        <f>4.4195 * CHOOSE(CONTROL!$C$32, $C$9, 100%, $E$9)</f>
        <v>4.4195000000000002</v>
      </c>
      <c r="O119" s="81">
        <f>4.4231 * CHOOSE(CONTROL!$C$32, $C$9, 100%, $E$9)</f>
        <v>4.4230999999999998</v>
      </c>
      <c r="P119" s="10"/>
      <c r="Q119" s="10"/>
      <c r="R119" s="10"/>
    </row>
    <row r="120" spans="1:18" ht="15" x14ac:dyDescent="0.2">
      <c r="A120" s="16">
        <v>44866</v>
      </c>
      <c r="B120" s="80">
        <f>3.4728 * CHOOSE(CONTROL!$C$32, $C$9, 100%, $E$9)</f>
        <v>3.4727999999999999</v>
      </c>
      <c r="C120" s="80">
        <f>3.4728 * CHOOSE(CONTROL!$C$32, $C$9, 100%, $E$9)</f>
        <v>3.4727999999999999</v>
      </c>
      <c r="D120" s="80">
        <f>3.4739 * CHOOSE(CONTROL!$C$32, $C$9, 100%, $E$9)</f>
        <v>3.4739</v>
      </c>
      <c r="E120" s="81">
        <f>4.4215 * CHOOSE(CONTROL!$C$32, $C$9, 100%, $E$9)</f>
        <v>4.4215</v>
      </c>
      <c r="F120" s="81">
        <f>4.4215 * CHOOSE(CONTROL!$C$32, $C$9, 100%, $E$9)</f>
        <v>4.4215</v>
      </c>
      <c r="G120" s="81">
        <f>4.4251 * CHOOSE(CONTROL!$C$32, $C$9, 100%, $E$9)</f>
        <v>4.4250999999999996</v>
      </c>
      <c r="H120" s="81">
        <f>7.2529 * CHOOSE(CONTROL!$C$32, $C$9, 100%, $E$9)</f>
        <v>7.2529000000000003</v>
      </c>
      <c r="I120" s="81">
        <f>7.2565 * CHOOSE(CONTROL!$C$32, $C$9, 100%, $E$9)</f>
        <v>7.2565</v>
      </c>
      <c r="J120" s="81">
        <f>7.2529 * CHOOSE(CONTROL!$C$32, $C$9, 100%, $E$9)</f>
        <v>7.2529000000000003</v>
      </c>
      <c r="K120" s="81">
        <f>7.2565 * CHOOSE(CONTROL!$C$32, $C$9, 100%, $E$9)</f>
        <v>7.2565</v>
      </c>
      <c r="L120" s="81">
        <f>4.4215 * CHOOSE(CONTROL!$C$32, $C$9, 100%, $E$9)</f>
        <v>4.4215</v>
      </c>
      <c r="M120" s="81">
        <f>4.4251 * CHOOSE(CONTROL!$C$32, $C$9, 100%, $E$9)</f>
        <v>4.4250999999999996</v>
      </c>
      <c r="N120" s="81">
        <f>4.4215 * CHOOSE(CONTROL!$C$32, $C$9, 100%, $E$9)</f>
        <v>4.4215</v>
      </c>
      <c r="O120" s="81">
        <f>4.4251 * CHOOSE(CONTROL!$C$32, $C$9, 100%, $E$9)</f>
        <v>4.4250999999999996</v>
      </c>
      <c r="P120" s="10"/>
      <c r="Q120" s="10"/>
      <c r="R120" s="10"/>
    </row>
    <row r="121" spans="1:18" ht="15" x14ac:dyDescent="0.2">
      <c r="A121" s="16">
        <v>44896</v>
      </c>
      <c r="B121" s="80">
        <f>3.4728 * CHOOSE(CONTROL!$C$32, $C$9, 100%, $E$9)</f>
        <v>3.4727999999999999</v>
      </c>
      <c r="C121" s="80">
        <f>3.4728 * CHOOSE(CONTROL!$C$32, $C$9, 100%, $E$9)</f>
        <v>3.4727999999999999</v>
      </c>
      <c r="D121" s="80">
        <f>3.4739 * CHOOSE(CONTROL!$C$32, $C$9, 100%, $E$9)</f>
        <v>3.4739</v>
      </c>
      <c r="E121" s="81">
        <f>4.4215 * CHOOSE(CONTROL!$C$32, $C$9, 100%, $E$9)</f>
        <v>4.4215</v>
      </c>
      <c r="F121" s="81">
        <f>4.4215 * CHOOSE(CONTROL!$C$32, $C$9, 100%, $E$9)</f>
        <v>4.4215</v>
      </c>
      <c r="G121" s="81">
        <f>4.4251 * CHOOSE(CONTROL!$C$32, $C$9, 100%, $E$9)</f>
        <v>4.4250999999999996</v>
      </c>
      <c r="H121" s="81">
        <f>7.268 * CHOOSE(CONTROL!$C$32, $C$9, 100%, $E$9)</f>
        <v>7.2679999999999998</v>
      </c>
      <c r="I121" s="81">
        <f>7.2716 * CHOOSE(CONTROL!$C$32, $C$9, 100%, $E$9)</f>
        <v>7.2716000000000003</v>
      </c>
      <c r="J121" s="81">
        <f>7.268 * CHOOSE(CONTROL!$C$32, $C$9, 100%, $E$9)</f>
        <v>7.2679999999999998</v>
      </c>
      <c r="K121" s="81">
        <f>7.2716 * CHOOSE(CONTROL!$C$32, $C$9, 100%, $E$9)</f>
        <v>7.2716000000000003</v>
      </c>
      <c r="L121" s="81">
        <f>4.4215 * CHOOSE(CONTROL!$C$32, $C$9, 100%, $E$9)</f>
        <v>4.4215</v>
      </c>
      <c r="M121" s="81">
        <f>4.4251 * CHOOSE(CONTROL!$C$32, $C$9, 100%, $E$9)</f>
        <v>4.4250999999999996</v>
      </c>
      <c r="N121" s="81">
        <f>4.4215 * CHOOSE(CONTROL!$C$32, $C$9, 100%, $E$9)</f>
        <v>4.4215</v>
      </c>
      <c r="O121" s="81">
        <f>4.4251 * CHOOSE(CONTROL!$C$32, $C$9, 100%, $E$9)</f>
        <v>4.4250999999999996</v>
      </c>
      <c r="P121" s="10"/>
      <c r="Q121" s="10"/>
      <c r="R121" s="10"/>
    </row>
    <row r="122" spans="1:18" ht="15" x14ac:dyDescent="0.2">
      <c r="A122" s="16">
        <v>44927</v>
      </c>
      <c r="B122" s="80">
        <f>3.5089 * CHOOSE(CONTROL!$C$32, $C$9, 100%, $E$9)</f>
        <v>3.5089000000000001</v>
      </c>
      <c r="C122" s="80">
        <f>3.5089 * CHOOSE(CONTROL!$C$32, $C$9, 100%, $E$9)</f>
        <v>3.5089000000000001</v>
      </c>
      <c r="D122" s="80">
        <f>3.5099 * CHOOSE(CONTROL!$C$32, $C$9, 100%, $E$9)</f>
        <v>3.5099</v>
      </c>
      <c r="E122" s="81">
        <f>4.4558 * CHOOSE(CONTROL!$C$32, $C$9, 100%, $E$9)</f>
        <v>4.4558</v>
      </c>
      <c r="F122" s="81">
        <f>4.4558 * CHOOSE(CONTROL!$C$32, $C$9, 100%, $E$9)</f>
        <v>4.4558</v>
      </c>
      <c r="G122" s="81">
        <f>4.4594 * CHOOSE(CONTROL!$C$32, $C$9, 100%, $E$9)</f>
        <v>4.4593999999999996</v>
      </c>
      <c r="H122" s="81">
        <f>7.2832 * CHOOSE(CONTROL!$C$32, $C$9, 100%, $E$9)</f>
        <v>7.2831999999999999</v>
      </c>
      <c r="I122" s="81">
        <f>7.2868 * CHOOSE(CONTROL!$C$32, $C$9, 100%, $E$9)</f>
        <v>7.2868000000000004</v>
      </c>
      <c r="J122" s="81">
        <f>7.2832 * CHOOSE(CONTROL!$C$32, $C$9, 100%, $E$9)</f>
        <v>7.2831999999999999</v>
      </c>
      <c r="K122" s="81">
        <f>7.2868 * CHOOSE(CONTROL!$C$32, $C$9, 100%, $E$9)</f>
        <v>7.2868000000000004</v>
      </c>
      <c r="L122" s="81">
        <f>4.4558 * CHOOSE(CONTROL!$C$32, $C$9, 100%, $E$9)</f>
        <v>4.4558</v>
      </c>
      <c r="M122" s="81">
        <f>4.4594 * CHOOSE(CONTROL!$C$32, $C$9, 100%, $E$9)</f>
        <v>4.4593999999999996</v>
      </c>
      <c r="N122" s="81">
        <f>4.4558 * CHOOSE(CONTROL!$C$32, $C$9, 100%, $E$9)</f>
        <v>4.4558</v>
      </c>
      <c r="O122" s="81">
        <f>4.4594 * CHOOSE(CONTROL!$C$32, $C$9, 100%, $E$9)</f>
        <v>4.4593999999999996</v>
      </c>
      <c r="P122" s="10"/>
      <c r="Q122" s="10"/>
      <c r="R122" s="10"/>
    </row>
    <row r="123" spans="1:18" ht="15" x14ac:dyDescent="0.2">
      <c r="A123" s="16">
        <v>44958</v>
      </c>
      <c r="B123" s="80">
        <f>3.5058 * CHOOSE(CONTROL!$C$32, $C$9, 100%, $E$9)</f>
        <v>3.5057999999999998</v>
      </c>
      <c r="C123" s="80">
        <f>3.5058 * CHOOSE(CONTROL!$C$32, $C$9, 100%, $E$9)</f>
        <v>3.5057999999999998</v>
      </c>
      <c r="D123" s="80">
        <f>3.5069 * CHOOSE(CONTROL!$C$32, $C$9, 100%, $E$9)</f>
        <v>3.5068999999999999</v>
      </c>
      <c r="E123" s="81">
        <f>4.4538 * CHOOSE(CONTROL!$C$32, $C$9, 100%, $E$9)</f>
        <v>4.4538000000000002</v>
      </c>
      <c r="F123" s="81">
        <f>4.4538 * CHOOSE(CONTROL!$C$32, $C$9, 100%, $E$9)</f>
        <v>4.4538000000000002</v>
      </c>
      <c r="G123" s="81">
        <f>4.4574 * CHOOSE(CONTROL!$C$32, $C$9, 100%, $E$9)</f>
        <v>4.4573999999999998</v>
      </c>
      <c r="H123" s="81">
        <f>7.2983 * CHOOSE(CONTROL!$C$32, $C$9, 100%, $E$9)</f>
        <v>7.2983000000000002</v>
      </c>
      <c r="I123" s="81">
        <f>7.302 * CHOOSE(CONTROL!$C$32, $C$9, 100%, $E$9)</f>
        <v>7.3019999999999996</v>
      </c>
      <c r="J123" s="81">
        <f>7.2983 * CHOOSE(CONTROL!$C$32, $C$9, 100%, $E$9)</f>
        <v>7.2983000000000002</v>
      </c>
      <c r="K123" s="81">
        <f>7.302 * CHOOSE(CONTROL!$C$32, $C$9, 100%, $E$9)</f>
        <v>7.3019999999999996</v>
      </c>
      <c r="L123" s="81">
        <f>4.4538 * CHOOSE(CONTROL!$C$32, $C$9, 100%, $E$9)</f>
        <v>4.4538000000000002</v>
      </c>
      <c r="M123" s="81">
        <f>4.4574 * CHOOSE(CONTROL!$C$32, $C$9, 100%, $E$9)</f>
        <v>4.4573999999999998</v>
      </c>
      <c r="N123" s="81">
        <f>4.4538 * CHOOSE(CONTROL!$C$32, $C$9, 100%, $E$9)</f>
        <v>4.4538000000000002</v>
      </c>
      <c r="O123" s="81">
        <f>4.4574 * CHOOSE(CONTROL!$C$32, $C$9, 100%, $E$9)</f>
        <v>4.4573999999999998</v>
      </c>
      <c r="P123" s="10"/>
      <c r="Q123" s="10"/>
      <c r="R123" s="10"/>
    </row>
    <row r="124" spans="1:18" ht="15" x14ac:dyDescent="0.2">
      <c r="A124" s="16">
        <v>44986</v>
      </c>
      <c r="B124" s="80">
        <f>3.5028 * CHOOSE(CONTROL!$C$32, $C$9, 100%, $E$9)</f>
        <v>3.5028000000000001</v>
      </c>
      <c r="C124" s="80">
        <f>3.5028 * CHOOSE(CONTROL!$C$32, $C$9, 100%, $E$9)</f>
        <v>3.5028000000000001</v>
      </c>
      <c r="D124" s="80">
        <f>3.5039 * CHOOSE(CONTROL!$C$32, $C$9, 100%, $E$9)</f>
        <v>3.5038999999999998</v>
      </c>
      <c r="E124" s="81">
        <f>4.4518 * CHOOSE(CONTROL!$C$32, $C$9, 100%, $E$9)</f>
        <v>4.4518000000000004</v>
      </c>
      <c r="F124" s="81">
        <f>4.4518 * CHOOSE(CONTROL!$C$32, $C$9, 100%, $E$9)</f>
        <v>4.4518000000000004</v>
      </c>
      <c r="G124" s="81">
        <f>4.4554 * CHOOSE(CONTROL!$C$32, $C$9, 100%, $E$9)</f>
        <v>4.4554</v>
      </c>
      <c r="H124" s="81">
        <f>7.3136 * CHOOSE(CONTROL!$C$32, $C$9, 100%, $E$9)</f>
        <v>7.3136000000000001</v>
      </c>
      <c r="I124" s="81">
        <f>7.3172 * CHOOSE(CONTROL!$C$32, $C$9, 100%, $E$9)</f>
        <v>7.3171999999999997</v>
      </c>
      <c r="J124" s="81">
        <f>7.3136 * CHOOSE(CONTROL!$C$32, $C$9, 100%, $E$9)</f>
        <v>7.3136000000000001</v>
      </c>
      <c r="K124" s="81">
        <f>7.3172 * CHOOSE(CONTROL!$C$32, $C$9, 100%, $E$9)</f>
        <v>7.3171999999999997</v>
      </c>
      <c r="L124" s="81">
        <f>4.4518 * CHOOSE(CONTROL!$C$32, $C$9, 100%, $E$9)</f>
        <v>4.4518000000000004</v>
      </c>
      <c r="M124" s="81">
        <f>4.4554 * CHOOSE(CONTROL!$C$32, $C$9, 100%, $E$9)</f>
        <v>4.4554</v>
      </c>
      <c r="N124" s="81">
        <f>4.4518 * CHOOSE(CONTROL!$C$32, $C$9, 100%, $E$9)</f>
        <v>4.4518000000000004</v>
      </c>
      <c r="O124" s="81">
        <f>4.4554 * CHOOSE(CONTROL!$C$32, $C$9, 100%, $E$9)</f>
        <v>4.4554</v>
      </c>
      <c r="P124" s="10"/>
      <c r="Q124" s="10"/>
      <c r="R124" s="10"/>
    </row>
    <row r="125" spans="1:18" ht="15" x14ac:dyDescent="0.2">
      <c r="A125" s="16">
        <v>45017</v>
      </c>
      <c r="B125" s="80">
        <f>3.5 * CHOOSE(CONTROL!$C$32, $C$9, 100%, $E$9)</f>
        <v>3.5</v>
      </c>
      <c r="C125" s="80">
        <f>3.5 * CHOOSE(CONTROL!$C$32, $C$9, 100%, $E$9)</f>
        <v>3.5</v>
      </c>
      <c r="D125" s="80">
        <f>3.5011 * CHOOSE(CONTROL!$C$32, $C$9, 100%, $E$9)</f>
        <v>3.5011000000000001</v>
      </c>
      <c r="E125" s="81">
        <f>4.4495 * CHOOSE(CONTROL!$C$32, $C$9, 100%, $E$9)</f>
        <v>4.4494999999999996</v>
      </c>
      <c r="F125" s="81">
        <f>4.4495 * CHOOSE(CONTROL!$C$32, $C$9, 100%, $E$9)</f>
        <v>4.4494999999999996</v>
      </c>
      <c r="G125" s="81">
        <f>4.4531 * CHOOSE(CONTROL!$C$32, $C$9, 100%, $E$9)</f>
        <v>4.4531000000000001</v>
      </c>
      <c r="H125" s="81">
        <f>7.3288 * CHOOSE(CONTROL!$C$32, $C$9, 100%, $E$9)</f>
        <v>7.3288000000000002</v>
      </c>
      <c r="I125" s="81">
        <f>7.3324 * CHOOSE(CONTROL!$C$32, $C$9, 100%, $E$9)</f>
        <v>7.3323999999999998</v>
      </c>
      <c r="J125" s="81">
        <f>7.3288 * CHOOSE(CONTROL!$C$32, $C$9, 100%, $E$9)</f>
        <v>7.3288000000000002</v>
      </c>
      <c r="K125" s="81">
        <f>7.3324 * CHOOSE(CONTROL!$C$32, $C$9, 100%, $E$9)</f>
        <v>7.3323999999999998</v>
      </c>
      <c r="L125" s="81">
        <f>4.4495 * CHOOSE(CONTROL!$C$32, $C$9, 100%, $E$9)</f>
        <v>4.4494999999999996</v>
      </c>
      <c r="M125" s="81">
        <f>4.4531 * CHOOSE(CONTROL!$C$32, $C$9, 100%, $E$9)</f>
        <v>4.4531000000000001</v>
      </c>
      <c r="N125" s="81">
        <f>4.4495 * CHOOSE(CONTROL!$C$32, $C$9, 100%, $E$9)</f>
        <v>4.4494999999999996</v>
      </c>
      <c r="O125" s="81">
        <f>4.4531 * CHOOSE(CONTROL!$C$32, $C$9, 100%, $E$9)</f>
        <v>4.4531000000000001</v>
      </c>
      <c r="P125" s="10"/>
      <c r="Q125" s="10"/>
      <c r="R125" s="10"/>
    </row>
    <row r="126" spans="1:18" ht="15" x14ac:dyDescent="0.2">
      <c r="A126" s="16">
        <v>45047</v>
      </c>
      <c r="B126" s="80">
        <f>3.5 * CHOOSE(CONTROL!$C$32, $C$9, 100%, $E$9)</f>
        <v>3.5</v>
      </c>
      <c r="C126" s="80">
        <f>3.5 * CHOOSE(CONTROL!$C$32, $C$9, 100%, $E$9)</f>
        <v>3.5</v>
      </c>
      <c r="D126" s="80">
        <f>3.5016 * CHOOSE(CONTROL!$C$32, $C$9, 100%, $E$9)</f>
        <v>3.5015999999999998</v>
      </c>
      <c r="E126" s="81">
        <f>4.4495 * CHOOSE(CONTROL!$C$32, $C$9, 100%, $E$9)</f>
        <v>4.4494999999999996</v>
      </c>
      <c r="F126" s="81">
        <f>4.4495 * CHOOSE(CONTROL!$C$32, $C$9, 100%, $E$9)</f>
        <v>4.4494999999999996</v>
      </c>
      <c r="G126" s="81">
        <f>4.4548 * CHOOSE(CONTROL!$C$32, $C$9, 100%, $E$9)</f>
        <v>4.4547999999999996</v>
      </c>
      <c r="H126" s="81">
        <f>7.3441 * CHOOSE(CONTROL!$C$32, $C$9, 100%, $E$9)</f>
        <v>7.3441000000000001</v>
      </c>
      <c r="I126" s="81">
        <f>7.3494 * CHOOSE(CONTROL!$C$32, $C$9, 100%, $E$9)</f>
        <v>7.3494000000000002</v>
      </c>
      <c r="J126" s="81">
        <f>7.3441 * CHOOSE(CONTROL!$C$32, $C$9, 100%, $E$9)</f>
        <v>7.3441000000000001</v>
      </c>
      <c r="K126" s="81">
        <f>7.3494 * CHOOSE(CONTROL!$C$32, $C$9, 100%, $E$9)</f>
        <v>7.3494000000000002</v>
      </c>
      <c r="L126" s="81">
        <f>4.4495 * CHOOSE(CONTROL!$C$32, $C$9, 100%, $E$9)</f>
        <v>4.4494999999999996</v>
      </c>
      <c r="M126" s="81">
        <f>4.4548 * CHOOSE(CONTROL!$C$32, $C$9, 100%, $E$9)</f>
        <v>4.4547999999999996</v>
      </c>
      <c r="N126" s="81">
        <f>4.4495 * CHOOSE(CONTROL!$C$32, $C$9, 100%, $E$9)</f>
        <v>4.4494999999999996</v>
      </c>
      <c r="O126" s="81">
        <f>4.4548 * CHOOSE(CONTROL!$C$32, $C$9, 100%, $E$9)</f>
        <v>4.4547999999999996</v>
      </c>
      <c r="P126" s="10"/>
      <c r="Q126" s="10"/>
      <c r="R126" s="10"/>
    </row>
    <row r="127" spans="1:18" ht="15" x14ac:dyDescent="0.2">
      <c r="A127" s="16">
        <v>45078</v>
      </c>
      <c r="B127" s="80">
        <f>3.5061 * CHOOSE(CONTROL!$C$32, $C$9, 100%, $E$9)</f>
        <v>3.5061</v>
      </c>
      <c r="C127" s="80">
        <f>3.5061 * CHOOSE(CONTROL!$C$32, $C$9, 100%, $E$9)</f>
        <v>3.5061</v>
      </c>
      <c r="D127" s="80">
        <f>3.5077 * CHOOSE(CONTROL!$C$32, $C$9, 100%, $E$9)</f>
        <v>3.5076999999999998</v>
      </c>
      <c r="E127" s="81">
        <f>4.4535 * CHOOSE(CONTROL!$C$32, $C$9, 100%, $E$9)</f>
        <v>4.4535</v>
      </c>
      <c r="F127" s="81">
        <f>4.4535 * CHOOSE(CONTROL!$C$32, $C$9, 100%, $E$9)</f>
        <v>4.4535</v>
      </c>
      <c r="G127" s="81">
        <f>4.4588 * CHOOSE(CONTROL!$C$32, $C$9, 100%, $E$9)</f>
        <v>4.4588000000000001</v>
      </c>
      <c r="H127" s="81">
        <f>7.3594 * CHOOSE(CONTROL!$C$32, $C$9, 100%, $E$9)</f>
        <v>7.3593999999999999</v>
      </c>
      <c r="I127" s="81">
        <f>7.3647 * CHOOSE(CONTROL!$C$32, $C$9, 100%, $E$9)</f>
        <v>7.3647</v>
      </c>
      <c r="J127" s="81">
        <f>7.3594 * CHOOSE(CONTROL!$C$32, $C$9, 100%, $E$9)</f>
        <v>7.3593999999999999</v>
      </c>
      <c r="K127" s="81">
        <f>7.3647 * CHOOSE(CONTROL!$C$32, $C$9, 100%, $E$9)</f>
        <v>7.3647</v>
      </c>
      <c r="L127" s="81">
        <f>4.4535 * CHOOSE(CONTROL!$C$32, $C$9, 100%, $E$9)</f>
        <v>4.4535</v>
      </c>
      <c r="M127" s="81">
        <f>4.4588 * CHOOSE(CONTROL!$C$32, $C$9, 100%, $E$9)</f>
        <v>4.4588000000000001</v>
      </c>
      <c r="N127" s="81">
        <f>4.4535 * CHOOSE(CONTROL!$C$32, $C$9, 100%, $E$9)</f>
        <v>4.4535</v>
      </c>
      <c r="O127" s="81">
        <f>4.4588 * CHOOSE(CONTROL!$C$32, $C$9, 100%, $E$9)</f>
        <v>4.4588000000000001</v>
      </c>
      <c r="P127" s="10"/>
      <c r="Q127" s="10"/>
      <c r="R127" s="10"/>
    </row>
    <row r="128" spans="1:18" ht="15" x14ac:dyDescent="0.2">
      <c r="A128" s="16">
        <v>45108</v>
      </c>
      <c r="B128" s="80">
        <f>3.5764 * CHOOSE(CONTROL!$C$32, $C$9, 100%, $E$9)</f>
        <v>3.5764</v>
      </c>
      <c r="C128" s="80">
        <f>3.5764 * CHOOSE(CONTROL!$C$32, $C$9, 100%, $E$9)</f>
        <v>3.5764</v>
      </c>
      <c r="D128" s="80">
        <f>3.578 * CHOOSE(CONTROL!$C$32, $C$9, 100%, $E$9)</f>
        <v>3.5779999999999998</v>
      </c>
      <c r="E128" s="81">
        <f>4.5283 * CHOOSE(CONTROL!$C$32, $C$9, 100%, $E$9)</f>
        <v>4.5282999999999998</v>
      </c>
      <c r="F128" s="81">
        <f>4.5283 * CHOOSE(CONTROL!$C$32, $C$9, 100%, $E$9)</f>
        <v>4.5282999999999998</v>
      </c>
      <c r="G128" s="81">
        <f>4.5336 * CHOOSE(CONTROL!$C$32, $C$9, 100%, $E$9)</f>
        <v>4.5335999999999999</v>
      </c>
      <c r="H128" s="81">
        <f>7.3747 * CHOOSE(CONTROL!$C$32, $C$9, 100%, $E$9)</f>
        <v>7.3746999999999998</v>
      </c>
      <c r="I128" s="81">
        <f>7.38 * CHOOSE(CONTROL!$C$32, $C$9, 100%, $E$9)</f>
        <v>7.38</v>
      </c>
      <c r="J128" s="81">
        <f>7.3747 * CHOOSE(CONTROL!$C$32, $C$9, 100%, $E$9)</f>
        <v>7.3746999999999998</v>
      </c>
      <c r="K128" s="81">
        <f>7.38 * CHOOSE(CONTROL!$C$32, $C$9, 100%, $E$9)</f>
        <v>7.38</v>
      </c>
      <c r="L128" s="81">
        <f>4.5283 * CHOOSE(CONTROL!$C$32, $C$9, 100%, $E$9)</f>
        <v>4.5282999999999998</v>
      </c>
      <c r="M128" s="81">
        <f>4.5336 * CHOOSE(CONTROL!$C$32, $C$9, 100%, $E$9)</f>
        <v>4.5335999999999999</v>
      </c>
      <c r="N128" s="81">
        <f>4.5283 * CHOOSE(CONTROL!$C$32, $C$9, 100%, $E$9)</f>
        <v>4.5282999999999998</v>
      </c>
      <c r="O128" s="81">
        <f>4.5336 * CHOOSE(CONTROL!$C$32, $C$9, 100%, $E$9)</f>
        <v>4.5335999999999999</v>
      </c>
      <c r="P128" s="10"/>
      <c r="Q128" s="10"/>
      <c r="R128" s="10"/>
    </row>
    <row r="129" spans="1:18" ht="15" x14ac:dyDescent="0.2">
      <c r="A129" s="16">
        <v>45139</v>
      </c>
      <c r="B129" s="80">
        <f>3.5831 * CHOOSE(CONTROL!$C$32, $C$9, 100%, $E$9)</f>
        <v>3.5831</v>
      </c>
      <c r="C129" s="80">
        <f>3.5831 * CHOOSE(CONTROL!$C$32, $C$9, 100%, $E$9)</f>
        <v>3.5831</v>
      </c>
      <c r="D129" s="80">
        <f>3.5846 * CHOOSE(CONTROL!$C$32, $C$9, 100%, $E$9)</f>
        <v>3.5846</v>
      </c>
      <c r="E129" s="81">
        <f>4.5327 * CHOOSE(CONTROL!$C$32, $C$9, 100%, $E$9)</f>
        <v>4.5327000000000002</v>
      </c>
      <c r="F129" s="81">
        <f>4.5327 * CHOOSE(CONTROL!$C$32, $C$9, 100%, $E$9)</f>
        <v>4.5327000000000002</v>
      </c>
      <c r="G129" s="81">
        <f>4.538 * CHOOSE(CONTROL!$C$32, $C$9, 100%, $E$9)</f>
        <v>4.5380000000000003</v>
      </c>
      <c r="H129" s="81">
        <f>7.3901 * CHOOSE(CONTROL!$C$32, $C$9, 100%, $E$9)</f>
        <v>7.3901000000000003</v>
      </c>
      <c r="I129" s="81">
        <f>7.3953 * CHOOSE(CONTROL!$C$32, $C$9, 100%, $E$9)</f>
        <v>7.3952999999999998</v>
      </c>
      <c r="J129" s="81">
        <f>7.3901 * CHOOSE(CONTROL!$C$32, $C$9, 100%, $E$9)</f>
        <v>7.3901000000000003</v>
      </c>
      <c r="K129" s="81">
        <f>7.3953 * CHOOSE(CONTROL!$C$32, $C$9, 100%, $E$9)</f>
        <v>7.3952999999999998</v>
      </c>
      <c r="L129" s="81">
        <f>4.5327 * CHOOSE(CONTROL!$C$32, $C$9, 100%, $E$9)</f>
        <v>4.5327000000000002</v>
      </c>
      <c r="M129" s="81">
        <f>4.538 * CHOOSE(CONTROL!$C$32, $C$9, 100%, $E$9)</f>
        <v>4.5380000000000003</v>
      </c>
      <c r="N129" s="81">
        <f>4.5327 * CHOOSE(CONTROL!$C$32, $C$9, 100%, $E$9)</f>
        <v>4.5327000000000002</v>
      </c>
      <c r="O129" s="81">
        <f>4.538 * CHOOSE(CONTROL!$C$32, $C$9, 100%, $E$9)</f>
        <v>4.5380000000000003</v>
      </c>
      <c r="P129" s="10"/>
      <c r="Q129" s="10"/>
      <c r="R129" s="10"/>
    </row>
    <row r="130" spans="1:18" ht="15" x14ac:dyDescent="0.2">
      <c r="A130" s="16">
        <v>45170</v>
      </c>
      <c r="B130" s="80">
        <f>3.58 * CHOOSE(CONTROL!$C$32, $C$9, 100%, $E$9)</f>
        <v>3.58</v>
      </c>
      <c r="C130" s="80">
        <f>3.58 * CHOOSE(CONTROL!$C$32, $C$9, 100%, $E$9)</f>
        <v>3.58</v>
      </c>
      <c r="D130" s="80">
        <f>3.5816 * CHOOSE(CONTROL!$C$32, $C$9, 100%, $E$9)</f>
        <v>3.5815999999999999</v>
      </c>
      <c r="E130" s="81">
        <f>4.5307 * CHOOSE(CONTROL!$C$32, $C$9, 100%, $E$9)</f>
        <v>4.5307000000000004</v>
      </c>
      <c r="F130" s="81">
        <f>4.5307 * CHOOSE(CONTROL!$C$32, $C$9, 100%, $E$9)</f>
        <v>4.5307000000000004</v>
      </c>
      <c r="G130" s="81">
        <f>4.536 * CHOOSE(CONTROL!$C$32, $C$9, 100%, $E$9)</f>
        <v>4.5359999999999996</v>
      </c>
      <c r="H130" s="81">
        <f>7.4054 * CHOOSE(CONTROL!$C$32, $C$9, 100%, $E$9)</f>
        <v>7.4054000000000002</v>
      </c>
      <c r="I130" s="81">
        <f>7.4107 * CHOOSE(CONTROL!$C$32, $C$9, 100%, $E$9)</f>
        <v>7.4107000000000003</v>
      </c>
      <c r="J130" s="81">
        <f>7.4054 * CHOOSE(CONTROL!$C$32, $C$9, 100%, $E$9)</f>
        <v>7.4054000000000002</v>
      </c>
      <c r="K130" s="81">
        <f>7.4107 * CHOOSE(CONTROL!$C$32, $C$9, 100%, $E$9)</f>
        <v>7.4107000000000003</v>
      </c>
      <c r="L130" s="81">
        <f>4.5307 * CHOOSE(CONTROL!$C$32, $C$9, 100%, $E$9)</f>
        <v>4.5307000000000004</v>
      </c>
      <c r="M130" s="81">
        <f>4.536 * CHOOSE(CONTROL!$C$32, $C$9, 100%, $E$9)</f>
        <v>4.5359999999999996</v>
      </c>
      <c r="N130" s="81">
        <f>4.5307 * CHOOSE(CONTROL!$C$32, $C$9, 100%, $E$9)</f>
        <v>4.5307000000000004</v>
      </c>
      <c r="O130" s="81">
        <f>4.536 * CHOOSE(CONTROL!$C$32, $C$9, 100%, $E$9)</f>
        <v>4.5359999999999996</v>
      </c>
      <c r="P130" s="10"/>
      <c r="Q130" s="10"/>
      <c r="R130" s="10"/>
    </row>
    <row r="131" spans="1:18" ht="15" x14ac:dyDescent="0.2">
      <c r="A131" s="16">
        <v>45200</v>
      </c>
      <c r="B131" s="80">
        <f>3.5736 * CHOOSE(CONTROL!$C$32, $C$9, 100%, $E$9)</f>
        <v>3.5735999999999999</v>
      </c>
      <c r="C131" s="80">
        <f>3.5736 * CHOOSE(CONTROL!$C$32, $C$9, 100%, $E$9)</f>
        <v>3.5735999999999999</v>
      </c>
      <c r="D131" s="80">
        <f>3.5747 * CHOOSE(CONTROL!$C$32, $C$9, 100%, $E$9)</f>
        <v>3.5747</v>
      </c>
      <c r="E131" s="81">
        <f>4.5247 * CHOOSE(CONTROL!$C$32, $C$9, 100%, $E$9)</f>
        <v>4.5247000000000002</v>
      </c>
      <c r="F131" s="81">
        <f>4.5247 * CHOOSE(CONTROL!$C$32, $C$9, 100%, $E$9)</f>
        <v>4.5247000000000002</v>
      </c>
      <c r="G131" s="81">
        <f>4.5283 * CHOOSE(CONTROL!$C$32, $C$9, 100%, $E$9)</f>
        <v>4.5282999999999998</v>
      </c>
      <c r="H131" s="81">
        <f>7.4209 * CHOOSE(CONTROL!$C$32, $C$9, 100%, $E$9)</f>
        <v>7.4208999999999996</v>
      </c>
      <c r="I131" s="81">
        <f>7.4245 * CHOOSE(CONTROL!$C$32, $C$9, 100%, $E$9)</f>
        <v>7.4245000000000001</v>
      </c>
      <c r="J131" s="81">
        <f>7.4209 * CHOOSE(CONTROL!$C$32, $C$9, 100%, $E$9)</f>
        <v>7.4208999999999996</v>
      </c>
      <c r="K131" s="81">
        <f>7.4245 * CHOOSE(CONTROL!$C$32, $C$9, 100%, $E$9)</f>
        <v>7.4245000000000001</v>
      </c>
      <c r="L131" s="81">
        <f>4.5247 * CHOOSE(CONTROL!$C$32, $C$9, 100%, $E$9)</f>
        <v>4.5247000000000002</v>
      </c>
      <c r="M131" s="81">
        <f>4.5283 * CHOOSE(CONTROL!$C$32, $C$9, 100%, $E$9)</f>
        <v>4.5282999999999998</v>
      </c>
      <c r="N131" s="81">
        <f>4.5247 * CHOOSE(CONTROL!$C$32, $C$9, 100%, $E$9)</f>
        <v>4.5247000000000002</v>
      </c>
      <c r="O131" s="81">
        <f>4.5283 * CHOOSE(CONTROL!$C$32, $C$9, 100%, $E$9)</f>
        <v>4.5282999999999998</v>
      </c>
      <c r="P131" s="10"/>
      <c r="Q131" s="10"/>
      <c r="R131" s="10"/>
    </row>
    <row r="132" spans="1:18" ht="15" x14ac:dyDescent="0.2">
      <c r="A132" s="16">
        <v>45231</v>
      </c>
      <c r="B132" s="80">
        <f>3.5766 * CHOOSE(CONTROL!$C$32, $C$9, 100%, $E$9)</f>
        <v>3.5766</v>
      </c>
      <c r="C132" s="80">
        <f>3.5766 * CHOOSE(CONTROL!$C$32, $C$9, 100%, $E$9)</f>
        <v>3.5766</v>
      </c>
      <c r="D132" s="80">
        <f>3.5777 * CHOOSE(CONTROL!$C$32, $C$9, 100%, $E$9)</f>
        <v>3.5777000000000001</v>
      </c>
      <c r="E132" s="81">
        <f>4.5267 * CHOOSE(CONTROL!$C$32, $C$9, 100%, $E$9)</f>
        <v>4.5266999999999999</v>
      </c>
      <c r="F132" s="81">
        <f>4.5267 * CHOOSE(CONTROL!$C$32, $C$9, 100%, $E$9)</f>
        <v>4.5266999999999999</v>
      </c>
      <c r="G132" s="81">
        <f>4.5303 * CHOOSE(CONTROL!$C$32, $C$9, 100%, $E$9)</f>
        <v>4.5303000000000004</v>
      </c>
      <c r="H132" s="81">
        <f>7.4363 * CHOOSE(CONTROL!$C$32, $C$9, 100%, $E$9)</f>
        <v>7.4363000000000001</v>
      </c>
      <c r="I132" s="81">
        <f>7.44 * CHOOSE(CONTROL!$C$32, $C$9, 100%, $E$9)</f>
        <v>7.44</v>
      </c>
      <c r="J132" s="81">
        <f>7.4363 * CHOOSE(CONTROL!$C$32, $C$9, 100%, $E$9)</f>
        <v>7.4363000000000001</v>
      </c>
      <c r="K132" s="81">
        <f>7.44 * CHOOSE(CONTROL!$C$32, $C$9, 100%, $E$9)</f>
        <v>7.44</v>
      </c>
      <c r="L132" s="81">
        <f>4.5267 * CHOOSE(CONTROL!$C$32, $C$9, 100%, $E$9)</f>
        <v>4.5266999999999999</v>
      </c>
      <c r="M132" s="81">
        <f>4.5303 * CHOOSE(CONTROL!$C$32, $C$9, 100%, $E$9)</f>
        <v>4.5303000000000004</v>
      </c>
      <c r="N132" s="81">
        <f>4.5267 * CHOOSE(CONTROL!$C$32, $C$9, 100%, $E$9)</f>
        <v>4.5266999999999999</v>
      </c>
      <c r="O132" s="81">
        <f>4.5303 * CHOOSE(CONTROL!$C$32, $C$9, 100%, $E$9)</f>
        <v>4.5303000000000004</v>
      </c>
      <c r="P132" s="10"/>
      <c r="Q132" s="10"/>
      <c r="R132" s="10"/>
    </row>
    <row r="133" spans="1:18" ht="15" x14ac:dyDescent="0.2">
      <c r="A133" s="16">
        <v>45261</v>
      </c>
      <c r="B133" s="80">
        <f>3.5766 * CHOOSE(CONTROL!$C$32, $C$9, 100%, $E$9)</f>
        <v>3.5766</v>
      </c>
      <c r="C133" s="80">
        <f>3.5766 * CHOOSE(CONTROL!$C$32, $C$9, 100%, $E$9)</f>
        <v>3.5766</v>
      </c>
      <c r="D133" s="80">
        <f>3.5777 * CHOOSE(CONTROL!$C$32, $C$9, 100%, $E$9)</f>
        <v>3.5777000000000001</v>
      </c>
      <c r="E133" s="81">
        <f>4.5267 * CHOOSE(CONTROL!$C$32, $C$9, 100%, $E$9)</f>
        <v>4.5266999999999999</v>
      </c>
      <c r="F133" s="81">
        <f>4.5267 * CHOOSE(CONTROL!$C$32, $C$9, 100%, $E$9)</f>
        <v>4.5266999999999999</v>
      </c>
      <c r="G133" s="81">
        <f>4.5303 * CHOOSE(CONTROL!$C$32, $C$9, 100%, $E$9)</f>
        <v>4.5303000000000004</v>
      </c>
      <c r="H133" s="81">
        <f>7.4518 * CHOOSE(CONTROL!$C$32, $C$9, 100%, $E$9)</f>
        <v>7.4518000000000004</v>
      </c>
      <c r="I133" s="81">
        <f>7.4554 * CHOOSE(CONTROL!$C$32, $C$9, 100%, $E$9)</f>
        <v>7.4554</v>
      </c>
      <c r="J133" s="81">
        <f>7.4518 * CHOOSE(CONTROL!$C$32, $C$9, 100%, $E$9)</f>
        <v>7.4518000000000004</v>
      </c>
      <c r="K133" s="81">
        <f>7.4554 * CHOOSE(CONTROL!$C$32, $C$9, 100%, $E$9)</f>
        <v>7.4554</v>
      </c>
      <c r="L133" s="81">
        <f>4.5267 * CHOOSE(CONTROL!$C$32, $C$9, 100%, $E$9)</f>
        <v>4.5266999999999999</v>
      </c>
      <c r="M133" s="81">
        <f>4.5303 * CHOOSE(CONTROL!$C$32, $C$9, 100%, $E$9)</f>
        <v>4.5303000000000004</v>
      </c>
      <c r="N133" s="81">
        <f>4.5267 * CHOOSE(CONTROL!$C$32, $C$9, 100%, $E$9)</f>
        <v>4.5266999999999999</v>
      </c>
      <c r="O133" s="81">
        <f>4.5303 * CHOOSE(CONTROL!$C$32, $C$9, 100%, $E$9)</f>
        <v>4.5303000000000004</v>
      </c>
      <c r="P133" s="10"/>
      <c r="Q133" s="10"/>
      <c r="R133" s="10"/>
    </row>
    <row r="134" spans="1:18" ht="15" x14ac:dyDescent="0.2">
      <c r="A134" s="16">
        <v>45292</v>
      </c>
      <c r="B134" s="80">
        <f>3.6058 * CHOOSE(CONTROL!$C$32, $C$9, 100%, $E$9)</f>
        <v>3.6057999999999999</v>
      </c>
      <c r="C134" s="80">
        <f>3.6058 * CHOOSE(CONTROL!$C$32, $C$9, 100%, $E$9)</f>
        <v>3.6057999999999999</v>
      </c>
      <c r="D134" s="80">
        <f>3.6069 * CHOOSE(CONTROL!$C$32, $C$9, 100%, $E$9)</f>
        <v>3.6069</v>
      </c>
      <c r="E134" s="81">
        <f>4.5664 * CHOOSE(CONTROL!$C$32, $C$9, 100%, $E$9)</f>
        <v>4.5663999999999998</v>
      </c>
      <c r="F134" s="81">
        <f>4.5664 * CHOOSE(CONTROL!$C$32, $C$9, 100%, $E$9)</f>
        <v>4.5663999999999998</v>
      </c>
      <c r="G134" s="81">
        <f>4.57 * CHOOSE(CONTROL!$C$32, $C$9, 100%, $E$9)</f>
        <v>4.57</v>
      </c>
      <c r="H134" s="81">
        <f>7.4674 * CHOOSE(CONTROL!$C$32, $C$9, 100%, $E$9)</f>
        <v>7.4673999999999996</v>
      </c>
      <c r="I134" s="81">
        <f>7.471 * CHOOSE(CONTROL!$C$32, $C$9, 100%, $E$9)</f>
        <v>7.4710000000000001</v>
      </c>
      <c r="J134" s="81">
        <f>7.4674 * CHOOSE(CONTROL!$C$32, $C$9, 100%, $E$9)</f>
        <v>7.4673999999999996</v>
      </c>
      <c r="K134" s="81">
        <f>7.471 * CHOOSE(CONTROL!$C$32, $C$9, 100%, $E$9)</f>
        <v>7.4710000000000001</v>
      </c>
      <c r="L134" s="81">
        <f>4.5664 * CHOOSE(CONTROL!$C$32, $C$9, 100%, $E$9)</f>
        <v>4.5663999999999998</v>
      </c>
      <c r="M134" s="81">
        <f>4.57 * CHOOSE(CONTROL!$C$32, $C$9, 100%, $E$9)</f>
        <v>4.57</v>
      </c>
      <c r="N134" s="81">
        <f>4.5664 * CHOOSE(CONTROL!$C$32, $C$9, 100%, $E$9)</f>
        <v>4.5663999999999998</v>
      </c>
      <c r="O134" s="81">
        <f>4.57 * CHOOSE(CONTROL!$C$32, $C$9, 100%, $E$9)</f>
        <v>4.57</v>
      </c>
      <c r="P134" s="10"/>
      <c r="Q134" s="10"/>
      <c r="R134" s="10"/>
    </row>
    <row r="135" spans="1:18" ht="15" x14ac:dyDescent="0.2">
      <c r="A135" s="16">
        <v>45323</v>
      </c>
      <c r="B135" s="80">
        <f>3.6028 * CHOOSE(CONTROL!$C$32, $C$9, 100%, $E$9)</f>
        <v>3.6027999999999998</v>
      </c>
      <c r="C135" s="80">
        <f>3.6028 * CHOOSE(CONTROL!$C$32, $C$9, 100%, $E$9)</f>
        <v>3.6027999999999998</v>
      </c>
      <c r="D135" s="80">
        <f>3.6038 * CHOOSE(CONTROL!$C$32, $C$9, 100%, $E$9)</f>
        <v>3.6038000000000001</v>
      </c>
      <c r="E135" s="81">
        <f>4.5644 * CHOOSE(CONTROL!$C$32, $C$9, 100%, $E$9)</f>
        <v>4.5644</v>
      </c>
      <c r="F135" s="81">
        <f>4.5644 * CHOOSE(CONTROL!$C$32, $C$9, 100%, $E$9)</f>
        <v>4.5644</v>
      </c>
      <c r="G135" s="81">
        <f>4.568 * CHOOSE(CONTROL!$C$32, $C$9, 100%, $E$9)</f>
        <v>4.5679999999999996</v>
      </c>
      <c r="H135" s="81">
        <f>7.4829 * CHOOSE(CONTROL!$C$32, $C$9, 100%, $E$9)</f>
        <v>7.4828999999999999</v>
      </c>
      <c r="I135" s="81">
        <f>7.4865 * CHOOSE(CONTROL!$C$32, $C$9, 100%, $E$9)</f>
        <v>7.4865000000000004</v>
      </c>
      <c r="J135" s="81">
        <f>7.4829 * CHOOSE(CONTROL!$C$32, $C$9, 100%, $E$9)</f>
        <v>7.4828999999999999</v>
      </c>
      <c r="K135" s="81">
        <f>7.4865 * CHOOSE(CONTROL!$C$32, $C$9, 100%, $E$9)</f>
        <v>7.4865000000000004</v>
      </c>
      <c r="L135" s="81">
        <f>4.5644 * CHOOSE(CONTROL!$C$32, $C$9, 100%, $E$9)</f>
        <v>4.5644</v>
      </c>
      <c r="M135" s="81">
        <f>4.568 * CHOOSE(CONTROL!$C$32, $C$9, 100%, $E$9)</f>
        <v>4.5679999999999996</v>
      </c>
      <c r="N135" s="81">
        <f>4.5644 * CHOOSE(CONTROL!$C$32, $C$9, 100%, $E$9)</f>
        <v>4.5644</v>
      </c>
      <c r="O135" s="81">
        <f>4.568 * CHOOSE(CONTROL!$C$32, $C$9, 100%, $E$9)</f>
        <v>4.5679999999999996</v>
      </c>
      <c r="P135" s="10"/>
      <c r="Q135" s="10"/>
      <c r="R135" s="10"/>
    </row>
    <row r="136" spans="1:18" ht="15" x14ac:dyDescent="0.2">
      <c r="A136" s="16">
        <v>45352</v>
      </c>
      <c r="B136" s="80">
        <f>3.5997 * CHOOSE(CONTROL!$C$32, $C$9, 100%, $E$9)</f>
        <v>3.5996999999999999</v>
      </c>
      <c r="C136" s="80">
        <f>3.5997 * CHOOSE(CONTROL!$C$32, $C$9, 100%, $E$9)</f>
        <v>3.5996999999999999</v>
      </c>
      <c r="D136" s="80">
        <f>3.6008 * CHOOSE(CONTROL!$C$32, $C$9, 100%, $E$9)</f>
        <v>3.6008</v>
      </c>
      <c r="E136" s="81">
        <f>4.5624 * CHOOSE(CONTROL!$C$32, $C$9, 100%, $E$9)</f>
        <v>4.5624000000000002</v>
      </c>
      <c r="F136" s="81">
        <f>4.5624 * CHOOSE(CONTROL!$C$32, $C$9, 100%, $E$9)</f>
        <v>4.5624000000000002</v>
      </c>
      <c r="G136" s="81">
        <f>4.566 * CHOOSE(CONTROL!$C$32, $C$9, 100%, $E$9)</f>
        <v>4.5659999999999998</v>
      </c>
      <c r="H136" s="81">
        <f>7.4985 * CHOOSE(CONTROL!$C$32, $C$9, 100%, $E$9)</f>
        <v>7.4984999999999999</v>
      </c>
      <c r="I136" s="81">
        <f>7.5021 * CHOOSE(CONTROL!$C$32, $C$9, 100%, $E$9)</f>
        <v>7.5021000000000004</v>
      </c>
      <c r="J136" s="81">
        <f>7.4985 * CHOOSE(CONTROL!$C$32, $C$9, 100%, $E$9)</f>
        <v>7.4984999999999999</v>
      </c>
      <c r="K136" s="81">
        <f>7.5021 * CHOOSE(CONTROL!$C$32, $C$9, 100%, $E$9)</f>
        <v>7.5021000000000004</v>
      </c>
      <c r="L136" s="81">
        <f>4.5624 * CHOOSE(CONTROL!$C$32, $C$9, 100%, $E$9)</f>
        <v>4.5624000000000002</v>
      </c>
      <c r="M136" s="81">
        <f>4.566 * CHOOSE(CONTROL!$C$32, $C$9, 100%, $E$9)</f>
        <v>4.5659999999999998</v>
      </c>
      <c r="N136" s="81">
        <f>4.5624 * CHOOSE(CONTROL!$C$32, $C$9, 100%, $E$9)</f>
        <v>4.5624000000000002</v>
      </c>
      <c r="O136" s="81">
        <f>4.566 * CHOOSE(CONTROL!$C$32, $C$9, 100%, $E$9)</f>
        <v>4.5659999999999998</v>
      </c>
      <c r="P136" s="10"/>
      <c r="Q136" s="10"/>
      <c r="R136" s="10"/>
    </row>
    <row r="137" spans="1:18" ht="15" x14ac:dyDescent="0.2">
      <c r="A137" s="16">
        <v>45383</v>
      </c>
      <c r="B137" s="80">
        <f>3.597 * CHOOSE(CONTROL!$C$32, $C$9, 100%, $E$9)</f>
        <v>3.597</v>
      </c>
      <c r="C137" s="80">
        <f>3.597 * CHOOSE(CONTROL!$C$32, $C$9, 100%, $E$9)</f>
        <v>3.597</v>
      </c>
      <c r="D137" s="80">
        <f>3.5981 * CHOOSE(CONTROL!$C$32, $C$9, 100%, $E$9)</f>
        <v>3.5981000000000001</v>
      </c>
      <c r="E137" s="81">
        <f>4.5602 * CHOOSE(CONTROL!$C$32, $C$9, 100%, $E$9)</f>
        <v>4.5602</v>
      </c>
      <c r="F137" s="81">
        <f>4.5602 * CHOOSE(CONTROL!$C$32, $C$9, 100%, $E$9)</f>
        <v>4.5602</v>
      </c>
      <c r="G137" s="81">
        <f>4.5638 * CHOOSE(CONTROL!$C$32, $C$9, 100%, $E$9)</f>
        <v>4.5637999999999996</v>
      </c>
      <c r="H137" s="81">
        <f>7.5141 * CHOOSE(CONTROL!$C$32, $C$9, 100%, $E$9)</f>
        <v>7.5141</v>
      </c>
      <c r="I137" s="81">
        <f>7.5177 * CHOOSE(CONTROL!$C$32, $C$9, 100%, $E$9)</f>
        <v>7.5176999999999996</v>
      </c>
      <c r="J137" s="81">
        <f>7.5141 * CHOOSE(CONTROL!$C$32, $C$9, 100%, $E$9)</f>
        <v>7.5141</v>
      </c>
      <c r="K137" s="81">
        <f>7.5177 * CHOOSE(CONTROL!$C$32, $C$9, 100%, $E$9)</f>
        <v>7.5176999999999996</v>
      </c>
      <c r="L137" s="81">
        <f>4.5602 * CHOOSE(CONTROL!$C$32, $C$9, 100%, $E$9)</f>
        <v>4.5602</v>
      </c>
      <c r="M137" s="81">
        <f>4.5638 * CHOOSE(CONTROL!$C$32, $C$9, 100%, $E$9)</f>
        <v>4.5637999999999996</v>
      </c>
      <c r="N137" s="81">
        <f>4.5602 * CHOOSE(CONTROL!$C$32, $C$9, 100%, $E$9)</f>
        <v>4.5602</v>
      </c>
      <c r="O137" s="81">
        <f>4.5638 * CHOOSE(CONTROL!$C$32, $C$9, 100%, $E$9)</f>
        <v>4.5637999999999996</v>
      </c>
      <c r="P137" s="10"/>
      <c r="Q137" s="10"/>
      <c r="R137" s="10"/>
    </row>
    <row r="138" spans="1:18" ht="15" x14ac:dyDescent="0.2">
      <c r="A138" s="16">
        <v>45413</v>
      </c>
      <c r="B138" s="80">
        <f>3.597 * CHOOSE(CONTROL!$C$32, $C$9, 100%, $E$9)</f>
        <v>3.597</v>
      </c>
      <c r="C138" s="80">
        <f>3.597 * CHOOSE(CONTROL!$C$32, $C$9, 100%, $E$9)</f>
        <v>3.597</v>
      </c>
      <c r="D138" s="80">
        <f>3.5986 * CHOOSE(CONTROL!$C$32, $C$9, 100%, $E$9)</f>
        <v>3.5985999999999998</v>
      </c>
      <c r="E138" s="81">
        <f>4.5602 * CHOOSE(CONTROL!$C$32, $C$9, 100%, $E$9)</f>
        <v>4.5602</v>
      </c>
      <c r="F138" s="81">
        <f>4.5602 * CHOOSE(CONTROL!$C$32, $C$9, 100%, $E$9)</f>
        <v>4.5602</v>
      </c>
      <c r="G138" s="81">
        <f>4.5654 * CHOOSE(CONTROL!$C$32, $C$9, 100%, $E$9)</f>
        <v>4.5654000000000003</v>
      </c>
      <c r="H138" s="81">
        <f>7.5298 * CHOOSE(CONTROL!$C$32, $C$9, 100%, $E$9)</f>
        <v>7.5297999999999998</v>
      </c>
      <c r="I138" s="81">
        <f>7.5351 * CHOOSE(CONTROL!$C$32, $C$9, 100%, $E$9)</f>
        <v>7.5350999999999999</v>
      </c>
      <c r="J138" s="81">
        <f>7.5298 * CHOOSE(CONTROL!$C$32, $C$9, 100%, $E$9)</f>
        <v>7.5297999999999998</v>
      </c>
      <c r="K138" s="81">
        <f>7.5351 * CHOOSE(CONTROL!$C$32, $C$9, 100%, $E$9)</f>
        <v>7.5350999999999999</v>
      </c>
      <c r="L138" s="81">
        <f>4.5602 * CHOOSE(CONTROL!$C$32, $C$9, 100%, $E$9)</f>
        <v>4.5602</v>
      </c>
      <c r="M138" s="81">
        <f>4.5654 * CHOOSE(CONTROL!$C$32, $C$9, 100%, $E$9)</f>
        <v>4.5654000000000003</v>
      </c>
      <c r="N138" s="81">
        <f>4.5602 * CHOOSE(CONTROL!$C$32, $C$9, 100%, $E$9)</f>
        <v>4.5602</v>
      </c>
      <c r="O138" s="81">
        <f>4.5654 * CHOOSE(CONTROL!$C$32, $C$9, 100%, $E$9)</f>
        <v>4.5654000000000003</v>
      </c>
      <c r="P138" s="10"/>
      <c r="Q138" s="10"/>
      <c r="R138" s="10"/>
    </row>
    <row r="139" spans="1:18" ht="15" x14ac:dyDescent="0.2">
      <c r="A139" s="16">
        <v>45444</v>
      </c>
      <c r="B139" s="80">
        <f>3.6031 * CHOOSE(CONTROL!$C$32, $C$9, 100%, $E$9)</f>
        <v>3.6031</v>
      </c>
      <c r="C139" s="80">
        <f>3.6031 * CHOOSE(CONTROL!$C$32, $C$9, 100%, $E$9)</f>
        <v>3.6031</v>
      </c>
      <c r="D139" s="80">
        <f>3.6047 * CHOOSE(CONTROL!$C$32, $C$9, 100%, $E$9)</f>
        <v>3.6046999999999998</v>
      </c>
      <c r="E139" s="81">
        <f>4.5642 * CHOOSE(CONTROL!$C$32, $C$9, 100%, $E$9)</f>
        <v>4.5641999999999996</v>
      </c>
      <c r="F139" s="81">
        <f>4.5642 * CHOOSE(CONTROL!$C$32, $C$9, 100%, $E$9)</f>
        <v>4.5641999999999996</v>
      </c>
      <c r="G139" s="81">
        <f>4.5694 * CHOOSE(CONTROL!$C$32, $C$9, 100%, $E$9)</f>
        <v>4.5693999999999999</v>
      </c>
      <c r="H139" s="81">
        <f>7.5455 * CHOOSE(CONTROL!$C$32, $C$9, 100%, $E$9)</f>
        <v>7.5454999999999997</v>
      </c>
      <c r="I139" s="81">
        <f>7.5508 * CHOOSE(CONTROL!$C$32, $C$9, 100%, $E$9)</f>
        <v>7.5507999999999997</v>
      </c>
      <c r="J139" s="81">
        <f>7.5455 * CHOOSE(CONTROL!$C$32, $C$9, 100%, $E$9)</f>
        <v>7.5454999999999997</v>
      </c>
      <c r="K139" s="81">
        <f>7.5508 * CHOOSE(CONTROL!$C$32, $C$9, 100%, $E$9)</f>
        <v>7.5507999999999997</v>
      </c>
      <c r="L139" s="81">
        <f>4.5642 * CHOOSE(CONTROL!$C$32, $C$9, 100%, $E$9)</f>
        <v>4.5641999999999996</v>
      </c>
      <c r="M139" s="81">
        <f>4.5694 * CHOOSE(CONTROL!$C$32, $C$9, 100%, $E$9)</f>
        <v>4.5693999999999999</v>
      </c>
      <c r="N139" s="81">
        <f>4.5642 * CHOOSE(CONTROL!$C$32, $C$9, 100%, $E$9)</f>
        <v>4.5641999999999996</v>
      </c>
      <c r="O139" s="81">
        <f>4.5694 * CHOOSE(CONTROL!$C$32, $C$9, 100%, $E$9)</f>
        <v>4.5693999999999999</v>
      </c>
      <c r="P139" s="10"/>
      <c r="Q139" s="10"/>
      <c r="R139" s="10"/>
    </row>
    <row r="140" spans="1:18" ht="15" x14ac:dyDescent="0.2">
      <c r="A140" s="16">
        <v>45474</v>
      </c>
      <c r="B140" s="80">
        <f>3.6559 * CHOOSE(CONTROL!$C$32, $C$9, 100%, $E$9)</f>
        <v>3.6558999999999999</v>
      </c>
      <c r="C140" s="80">
        <f>3.6559 * CHOOSE(CONTROL!$C$32, $C$9, 100%, $E$9)</f>
        <v>3.6558999999999999</v>
      </c>
      <c r="D140" s="80">
        <f>3.6575 * CHOOSE(CONTROL!$C$32, $C$9, 100%, $E$9)</f>
        <v>3.6575000000000002</v>
      </c>
      <c r="E140" s="81">
        <f>4.6521 * CHOOSE(CONTROL!$C$32, $C$9, 100%, $E$9)</f>
        <v>4.6520999999999999</v>
      </c>
      <c r="F140" s="81">
        <f>4.6521 * CHOOSE(CONTROL!$C$32, $C$9, 100%, $E$9)</f>
        <v>4.6520999999999999</v>
      </c>
      <c r="G140" s="81">
        <f>4.6574 * CHOOSE(CONTROL!$C$32, $C$9, 100%, $E$9)</f>
        <v>4.6574</v>
      </c>
      <c r="H140" s="81">
        <f>7.5612 * CHOOSE(CONTROL!$C$32, $C$9, 100%, $E$9)</f>
        <v>7.5612000000000004</v>
      </c>
      <c r="I140" s="81">
        <f>7.5665 * CHOOSE(CONTROL!$C$32, $C$9, 100%, $E$9)</f>
        <v>7.5664999999999996</v>
      </c>
      <c r="J140" s="81">
        <f>7.5612 * CHOOSE(CONTROL!$C$32, $C$9, 100%, $E$9)</f>
        <v>7.5612000000000004</v>
      </c>
      <c r="K140" s="81">
        <f>7.5665 * CHOOSE(CONTROL!$C$32, $C$9, 100%, $E$9)</f>
        <v>7.5664999999999996</v>
      </c>
      <c r="L140" s="81">
        <f>4.6521 * CHOOSE(CONTROL!$C$32, $C$9, 100%, $E$9)</f>
        <v>4.6520999999999999</v>
      </c>
      <c r="M140" s="81">
        <f>4.6574 * CHOOSE(CONTROL!$C$32, $C$9, 100%, $E$9)</f>
        <v>4.6574</v>
      </c>
      <c r="N140" s="81">
        <f>4.6521 * CHOOSE(CONTROL!$C$32, $C$9, 100%, $E$9)</f>
        <v>4.6520999999999999</v>
      </c>
      <c r="O140" s="81">
        <f>4.6574 * CHOOSE(CONTROL!$C$32, $C$9, 100%, $E$9)</f>
        <v>4.6574</v>
      </c>
      <c r="P140" s="10"/>
      <c r="Q140" s="10"/>
      <c r="R140" s="10"/>
    </row>
    <row r="141" spans="1:18" ht="15" x14ac:dyDescent="0.2">
      <c r="A141" s="16">
        <v>45505</v>
      </c>
      <c r="B141" s="80">
        <f>3.6626 * CHOOSE(CONTROL!$C$32, $C$9, 100%, $E$9)</f>
        <v>3.6625999999999999</v>
      </c>
      <c r="C141" s="80">
        <f>3.6626 * CHOOSE(CONTROL!$C$32, $C$9, 100%, $E$9)</f>
        <v>3.6625999999999999</v>
      </c>
      <c r="D141" s="80">
        <f>3.6642 * CHOOSE(CONTROL!$C$32, $C$9, 100%, $E$9)</f>
        <v>3.6642000000000001</v>
      </c>
      <c r="E141" s="81">
        <f>4.6565 * CHOOSE(CONTROL!$C$32, $C$9, 100%, $E$9)</f>
        <v>4.6565000000000003</v>
      </c>
      <c r="F141" s="81">
        <f>4.6565 * CHOOSE(CONTROL!$C$32, $C$9, 100%, $E$9)</f>
        <v>4.6565000000000003</v>
      </c>
      <c r="G141" s="81">
        <f>4.6618 * CHOOSE(CONTROL!$C$32, $C$9, 100%, $E$9)</f>
        <v>4.6618000000000004</v>
      </c>
      <c r="H141" s="81">
        <f>7.5769 * CHOOSE(CONTROL!$C$32, $C$9, 100%, $E$9)</f>
        <v>7.5769000000000002</v>
      </c>
      <c r="I141" s="81">
        <f>7.5822 * CHOOSE(CONTROL!$C$32, $C$9, 100%, $E$9)</f>
        <v>7.5822000000000003</v>
      </c>
      <c r="J141" s="81">
        <f>7.5769 * CHOOSE(CONTROL!$C$32, $C$9, 100%, $E$9)</f>
        <v>7.5769000000000002</v>
      </c>
      <c r="K141" s="81">
        <f>7.5822 * CHOOSE(CONTROL!$C$32, $C$9, 100%, $E$9)</f>
        <v>7.5822000000000003</v>
      </c>
      <c r="L141" s="81">
        <f>4.6565 * CHOOSE(CONTROL!$C$32, $C$9, 100%, $E$9)</f>
        <v>4.6565000000000003</v>
      </c>
      <c r="M141" s="81">
        <f>4.6618 * CHOOSE(CONTROL!$C$32, $C$9, 100%, $E$9)</f>
        <v>4.6618000000000004</v>
      </c>
      <c r="N141" s="81">
        <f>4.6565 * CHOOSE(CONTROL!$C$32, $C$9, 100%, $E$9)</f>
        <v>4.6565000000000003</v>
      </c>
      <c r="O141" s="81">
        <f>4.6618 * CHOOSE(CONTROL!$C$32, $C$9, 100%, $E$9)</f>
        <v>4.6618000000000004</v>
      </c>
      <c r="P141" s="10"/>
      <c r="Q141" s="10"/>
      <c r="R141" s="10"/>
    </row>
    <row r="142" spans="1:18" ht="15" x14ac:dyDescent="0.2">
      <c r="A142" s="16">
        <v>45536</v>
      </c>
      <c r="B142" s="80">
        <f>3.6595 * CHOOSE(CONTROL!$C$32, $C$9, 100%, $E$9)</f>
        <v>3.6595</v>
      </c>
      <c r="C142" s="80">
        <f>3.6595 * CHOOSE(CONTROL!$C$32, $C$9, 100%, $E$9)</f>
        <v>3.6595</v>
      </c>
      <c r="D142" s="80">
        <f>3.6611 * CHOOSE(CONTROL!$C$32, $C$9, 100%, $E$9)</f>
        <v>3.6610999999999998</v>
      </c>
      <c r="E142" s="81">
        <f>4.6545 * CHOOSE(CONTROL!$C$32, $C$9, 100%, $E$9)</f>
        <v>4.6544999999999996</v>
      </c>
      <c r="F142" s="81">
        <f>4.6545 * CHOOSE(CONTROL!$C$32, $C$9, 100%, $E$9)</f>
        <v>4.6544999999999996</v>
      </c>
      <c r="G142" s="81">
        <f>4.6598 * CHOOSE(CONTROL!$C$32, $C$9, 100%, $E$9)</f>
        <v>4.6597999999999997</v>
      </c>
      <c r="H142" s="81">
        <f>7.5927 * CHOOSE(CONTROL!$C$32, $C$9, 100%, $E$9)</f>
        <v>7.5926999999999998</v>
      </c>
      <c r="I142" s="81">
        <f>7.598 * CHOOSE(CONTROL!$C$32, $C$9, 100%, $E$9)</f>
        <v>7.5979999999999999</v>
      </c>
      <c r="J142" s="81">
        <f>7.5927 * CHOOSE(CONTROL!$C$32, $C$9, 100%, $E$9)</f>
        <v>7.5926999999999998</v>
      </c>
      <c r="K142" s="81">
        <f>7.598 * CHOOSE(CONTROL!$C$32, $C$9, 100%, $E$9)</f>
        <v>7.5979999999999999</v>
      </c>
      <c r="L142" s="81">
        <f>4.6545 * CHOOSE(CONTROL!$C$32, $C$9, 100%, $E$9)</f>
        <v>4.6544999999999996</v>
      </c>
      <c r="M142" s="81">
        <f>4.6598 * CHOOSE(CONTROL!$C$32, $C$9, 100%, $E$9)</f>
        <v>4.6597999999999997</v>
      </c>
      <c r="N142" s="81">
        <f>4.6545 * CHOOSE(CONTROL!$C$32, $C$9, 100%, $E$9)</f>
        <v>4.6544999999999996</v>
      </c>
      <c r="O142" s="81">
        <f>4.6598 * CHOOSE(CONTROL!$C$32, $C$9, 100%, $E$9)</f>
        <v>4.6597999999999997</v>
      </c>
      <c r="P142" s="10"/>
      <c r="Q142" s="10"/>
      <c r="R142" s="10"/>
    </row>
    <row r="143" spans="1:18" ht="15" x14ac:dyDescent="0.2">
      <c r="A143" s="16">
        <v>45566</v>
      </c>
      <c r="B143" s="80">
        <f>3.6534 * CHOOSE(CONTROL!$C$32, $C$9, 100%, $E$9)</f>
        <v>3.6534</v>
      </c>
      <c r="C143" s="80">
        <f>3.6534 * CHOOSE(CONTROL!$C$32, $C$9, 100%, $E$9)</f>
        <v>3.6534</v>
      </c>
      <c r="D143" s="80">
        <f>3.6545 * CHOOSE(CONTROL!$C$32, $C$9, 100%, $E$9)</f>
        <v>3.6545000000000001</v>
      </c>
      <c r="E143" s="81">
        <f>4.6486 * CHOOSE(CONTROL!$C$32, $C$9, 100%, $E$9)</f>
        <v>4.6486000000000001</v>
      </c>
      <c r="F143" s="81">
        <f>4.6486 * CHOOSE(CONTROL!$C$32, $C$9, 100%, $E$9)</f>
        <v>4.6486000000000001</v>
      </c>
      <c r="G143" s="81">
        <f>4.6522 * CHOOSE(CONTROL!$C$32, $C$9, 100%, $E$9)</f>
        <v>4.6521999999999997</v>
      </c>
      <c r="H143" s="81">
        <f>7.6085 * CHOOSE(CONTROL!$C$32, $C$9, 100%, $E$9)</f>
        <v>7.6085000000000003</v>
      </c>
      <c r="I143" s="81">
        <f>7.6122 * CHOOSE(CONTROL!$C$32, $C$9, 100%, $E$9)</f>
        <v>7.6121999999999996</v>
      </c>
      <c r="J143" s="81">
        <f>7.6085 * CHOOSE(CONTROL!$C$32, $C$9, 100%, $E$9)</f>
        <v>7.6085000000000003</v>
      </c>
      <c r="K143" s="81">
        <f>7.6122 * CHOOSE(CONTROL!$C$32, $C$9, 100%, $E$9)</f>
        <v>7.6121999999999996</v>
      </c>
      <c r="L143" s="81">
        <f>4.6486 * CHOOSE(CONTROL!$C$32, $C$9, 100%, $E$9)</f>
        <v>4.6486000000000001</v>
      </c>
      <c r="M143" s="81">
        <f>4.6522 * CHOOSE(CONTROL!$C$32, $C$9, 100%, $E$9)</f>
        <v>4.6521999999999997</v>
      </c>
      <c r="N143" s="81">
        <f>4.6486 * CHOOSE(CONTROL!$C$32, $C$9, 100%, $E$9)</f>
        <v>4.6486000000000001</v>
      </c>
      <c r="O143" s="81">
        <f>4.6522 * CHOOSE(CONTROL!$C$32, $C$9, 100%, $E$9)</f>
        <v>4.6521999999999997</v>
      </c>
      <c r="P143" s="10"/>
      <c r="Q143" s="10"/>
      <c r="R143" s="10"/>
    </row>
    <row r="144" spans="1:18" ht="15" x14ac:dyDescent="0.2">
      <c r="A144" s="16">
        <v>45597</v>
      </c>
      <c r="B144" s="80">
        <f>3.6565 * CHOOSE(CONTROL!$C$32, $C$9, 100%, $E$9)</f>
        <v>3.6564999999999999</v>
      </c>
      <c r="C144" s="80">
        <f>3.6565 * CHOOSE(CONTROL!$C$32, $C$9, 100%, $E$9)</f>
        <v>3.6564999999999999</v>
      </c>
      <c r="D144" s="80">
        <f>3.6576 * CHOOSE(CONTROL!$C$32, $C$9, 100%, $E$9)</f>
        <v>3.6576</v>
      </c>
      <c r="E144" s="81">
        <f>4.6506 * CHOOSE(CONTROL!$C$32, $C$9, 100%, $E$9)</f>
        <v>4.6505999999999998</v>
      </c>
      <c r="F144" s="81">
        <f>4.6506 * CHOOSE(CONTROL!$C$32, $C$9, 100%, $E$9)</f>
        <v>4.6505999999999998</v>
      </c>
      <c r="G144" s="81">
        <f>4.6542 * CHOOSE(CONTROL!$C$32, $C$9, 100%, $E$9)</f>
        <v>4.6542000000000003</v>
      </c>
      <c r="H144" s="81">
        <f>7.6244 * CHOOSE(CONTROL!$C$32, $C$9, 100%, $E$9)</f>
        <v>7.6243999999999996</v>
      </c>
      <c r="I144" s="81">
        <f>7.628 * CHOOSE(CONTROL!$C$32, $C$9, 100%, $E$9)</f>
        <v>7.6280000000000001</v>
      </c>
      <c r="J144" s="81">
        <f>7.6244 * CHOOSE(CONTROL!$C$32, $C$9, 100%, $E$9)</f>
        <v>7.6243999999999996</v>
      </c>
      <c r="K144" s="81">
        <f>7.628 * CHOOSE(CONTROL!$C$32, $C$9, 100%, $E$9)</f>
        <v>7.6280000000000001</v>
      </c>
      <c r="L144" s="81">
        <f>4.6506 * CHOOSE(CONTROL!$C$32, $C$9, 100%, $E$9)</f>
        <v>4.6505999999999998</v>
      </c>
      <c r="M144" s="81">
        <f>4.6542 * CHOOSE(CONTROL!$C$32, $C$9, 100%, $E$9)</f>
        <v>4.6542000000000003</v>
      </c>
      <c r="N144" s="81">
        <f>4.6506 * CHOOSE(CONTROL!$C$32, $C$9, 100%, $E$9)</f>
        <v>4.6505999999999998</v>
      </c>
      <c r="O144" s="81">
        <f>4.6542 * CHOOSE(CONTROL!$C$32, $C$9, 100%, $E$9)</f>
        <v>4.6542000000000003</v>
      </c>
      <c r="P144" s="10"/>
      <c r="Q144" s="10"/>
      <c r="R144" s="10"/>
    </row>
    <row r="145" spans="1:18" ht="15" x14ac:dyDescent="0.2">
      <c r="A145" s="16">
        <v>45627</v>
      </c>
      <c r="B145" s="80">
        <f>3.6565 * CHOOSE(CONTROL!$C$32, $C$9, 100%, $E$9)</f>
        <v>3.6564999999999999</v>
      </c>
      <c r="C145" s="80">
        <f>3.6565 * CHOOSE(CONTROL!$C$32, $C$9, 100%, $E$9)</f>
        <v>3.6564999999999999</v>
      </c>
      <c r="D145" s="80">
        <f>3.6576 * CHOOSE(CONTROL!$C$32, $C$9, 100%, $E$9)</f>
        <v>3.6576</v>
      </c>
      <c r="E145" s="81">
        <f>4.6506 * CHOOSE(CONTROL!$C$32, $C$9, 100%, $E$9)</f>
        <v>4.6505999999999998</v>
      </c>
      <c r="F145" s="81">
        <f>4.6506 * CHOOSE(CONTROL!$C$32, $C$9, 100%, $E$9)</f>
        <v>4.6505999999999998</v>
      </c>
      <c r="G145" s="81">
        <f>4.6542 * CHOOSE(CONTROL!$C$32, $C$9, 100%, $E$9)</f>
        <v>4.6542000000000003</v>
      </c>
      <c r="H145" s="81">
        <f>7.6403 * CHOOSE(CONTROL!$C$32, $C$9, 100%, $E$9)</f>
        <v>7.6402999999999999</v>
      </c>
      <c r="I145" s="81">
        <f>7.6439 * CHOOSE(CONTROL!$C$32, $C$9, 100%, $E$9)</f>
        <v>7.6439000000000004</v>
      </c>
      <c r="J145" s="81">
        <f>7.6403 * CHOOSE(CONTROL!$C$32, $C$9, 100%, $E$9)</f>
        <v>7.6402999999999999</v>
      </c>
      <c r="K145" s="81">
        <f>7.6439 * CHOOSE(CONTROL!$C$32, $C$9, 100%, $E$9)</f>
        <v>7.6439000000000004</v>
      </c>
      <c r="L145" s="81">
        <f>4.6506 * CHOOSE(CONTROL!$C$32, $C$9, 100%, $E$9)</f>
        <v>4.6505999999999998</v>
      </c>
      <c r="M145" s="81">
        <f>4.6542 * CHOOSE(CONTROL!$C$32, $C$9, 100%, $E$9)</f>
        <v>4.6542000000000003</v>
      </c>
      <c r="N145" s="81">
        <f>4.6506 * CHOOSE(CONTROL!$C$32, $C$9, 100%, $E$9)</f>
        <v>4.6505999999999998</v>
      </c>
      <c r="O145" s="81">
        <f>4.6542 * CHOOSE(CONTROL!$C$32, $C$9, 100%, $E$9)</f>
        <v>4.6542000000000003</v>
      </c>
      <c r="P145" s="10"/>
      <c r="Q145" s="10"/>
      <c r="R145" s="10"/>
    </row>
    <row r="146" spans="1:18" ht="15" x14ac:dyDescent="0.2">
      <c r="A146" s="16">
        <v>45658</v>
      </c>
      <c r="B146" s="80">
        <f>3.691 * CHOOSE(CONTROL!$C$32, $C$9, 100%, $E$9)</f>
        <v>3.6909999999999998</v>
      </c>
      <c r="C146" s="80">
        <f>3.691 * CHOOSE(CONTROL!$C$32, $C$9, 100%, $E$9)</f>
        <v>3.6909999999999998</v>
      </c>
      <c r="D146" s="80">
        <f>3.6921 * CHOOSE(CONTROL!$C$32, $C$9, 100%, $E$9)</f>
        <v>3.6920999999999999</v>
      </c>
      <c r="E146" s="81">
        <f>4.6908 * CHOOSE(CONTROL!$C$32, $C$9, 100%, $E$9)</f>
        <v>4.6908000000000003</v>
      </c>
      <c r="F146" s="81">
        <f>4.6908 * CHOOSE(CONTROL!$C$32, $C$9, 100%, $E$9)</f>
        <v>4.6908000000000003</v>
      </c>
      <c r="G146" s="81">
        <f>4.6945 * CHOOSE(CONTROL!$C$32, $C$9, 100%, $E$9)</f>
        <v>4.6944999999999997</v>
      </c>
      <c r="H146" s="81">
        <f>7.6562 * CHOOSE(CONTROL!$C$32, $C$9, 100%, $E$9)</f>
        <v>7.6562000000000001</v>
      </c>
      <c r="I146" s="81">
        <f>7.6598 * CHOOSE(CONTROL!$C$32, $C$9, 100%, $E$9)</f>
        <v>7.6597999999999997</v>
      </c>
      <c r="J146" s="81">
        <f>7.6562 * CHOOSE(CONTROL!$C$32, $C$9, 100%, $E$9)</f>
        <v>7.6562000000000001</v>
      </c>
      <c r="K146" s="81">
        <f>7.6598 * CHOOSE(CONTROL!$C$32, $C$9, 100%, $E$9)</f>
        <v>7.6597999999999997</v>
      </c>
      <c r="L146" s="81">
        <f>4.6908 * CHOOSE(CONTROL!$C$32, $C$9, 100%, $E$9)</f>
        <v>4.6908000000000003</v>
      </c>
      <c r="M146" s="81">
        <f>4.6945 * CHOOSE(CONTROL!$C$32, $C$9, 100%, $E$9)</f>
        <v>4.6944999999999997</v>
      </c>
      <c r="N146" s="81">
        <f>4.6908 * CHOOSE(CONTROL!$C$32, $C$9, 100%, $E$9)</f>
        <v>4.6908000000000003</v>
      </c>
      <c r="O146" s="81">
        <f>4.6945 * CHOOSE(CONTROL!$C$32, $C$9, 100%, $E$9)</f>
        <v>4.6944999999999997</v>
      </c>
      <c r="P146" s="10"/>
      <c r="Q146" s="10"/>
      <c r="R146" s="10"/>
    </row>
    <row r="147" spans="1:18" ht="15" x14ac:dyDescent="0.2">
      <c r="A147" s="16">
        <v>45689</v>
      </c>
      <c r="B147" s="80">
        <f>3.688 * CHOOSE(CONTROL!$C$32, $C$9, 100%, $E$9)</f>
        <v>3.6880000000000002</v>
      </c>
      <c r="C147" s="80">
        <f>3.688 * CHOOSE(CONTROL!$C$32, $C$9, 100%, $E$9)</f>
        <v>3.6880000000000002</v>
      </c>
      <c r="D147" s="80">
        <f>3.6891 * CHOOSE(CONTROL!$C$32, $C$9, 100%, $E$9)</f>
        <v>3.6890999999999998</v>
      </c>
      <c r="E147" s="81">
        <f>4.6888 * CHOOSE(CONTROL!$C$32, $C$9, 100%, $E$9)</f>
        <v>4.6887999999999996</v>
      </c>
      <c r="F147" s="81">
        <f>4.6888 * CHOOSE(CONTROL!$C$32, $C$9, 100%, $E$9)</f>
        <v>4.6887999999999996</v>
      </c>
      <c r="G147" s="81">
        <f>4.6925 * CHOOSE(CONTROL!$C$32, $C$9, 100%, $E$9)</f>
        <v>4.6924999999999999</v>
      </c>
      <c r="H147" s="81">
        <f>7.6721 * CHOOSE(CONTROL!$C$32, $C$9, 100%, $E$9)</f>
        <v>7.6721000000000004</v>
      </c>
      <c r="I147" s="81">
        <f>7.6758 * CHOOSE(CONTROL!$C$32, $C$9, 100%, $E$9)</f>
        <v>7.6757999999999997</v>
      </c>
      <c r="J147" s="81">
        <f>7.6721 * CHOOSE(CONTROL!$C$32, $C$9, 100%, $E$9)</f>
        <v>7.6721000000000004</v>
      </c>
      <c r="K147" s="81">
        <f>7.6758 * CHOOSE(CONTROL!$C$32, $C$9, 100%, $E$9)</f>
        <v>7.6757999999999997</v>
      </c>
      <c r="L147" s="81">
        <f>4.6888 * CHOOSE(CONTROL!$C$32, $C$9, 100%, $E$9)</f>
        <v>4.6887999999999996</v>
      </c>
      <c r="M147" s="81">
        <f>4.6925 * CHOOSE(CONTROL!$C$32, $C$9, 100%, $E$9)</f>
        <v>4.6924999999999999</v>
      </c>
      <c r="N147" s="81">
        <f>4.6888 * CHOOSE(CONTROL!$C$32, $C$9, 100%, $E$9)</f>
        <v>4.6887999999999996</v>
      </c>
      <c r="O147" s="81">
        <f>4.6925 * CHOOSE(CONTROL!$C$32, $C$9, 100%, $E$9)</f>
        <v>4.6924999999999999</v>
      </c>
      <c r="P147" s="10"/>
      <c r="Q147" s="10"/>
      <c r="R147" s="10"/>
    </row>
    <row r="148" spans="1:18" ht="15" x14ac:dyDescent="0.2">
      <c r="A148" s="16">
        <v>45717</v>
      </c>
      <c r="B148" s="80">
        <f>3.685 * CHOOSE(CONTROL!$C$32, $C$9, 100%, $E$9)</f>
        <v>3.6850000000000001</v>
      </c>
      <c r="C148" s="80">
        <f>3.685 * CHOOSE(CONTROL!$C$32, $C$9, 100%, $E$9)</f>
        <v>3.6850000000000001</v>
      </c>
      <c r="D148" s="80">
        <f>3.686 * CHOOSE(CONTROL!$C$32, $C$9, 100%, $E$9)</f>
        <v>3.6859999999999999</v>
      </c>
      <c r="E148" s="81">
        <f>4.6868 * CHOOSE(CONTROL!$C$32, $C$9, 100%, $E$9)</f>
        <v>4.6867999999999999</v>
      </c>
      <c r="F148" s="81">
        <f>4.6868 * CHOOSE(CONTROL!$C$32, $C$9, 100%, $E$9)</f>
        <v>4.6867999999999999</v>
      </c>
      <c r="G148" s="81">
        <f>4.6905 * CHOOSE(CONTROL!$C$32, $C$9, 100%, $E$9)</f>
        <v>4.6905000000000001</v>
      </c>
      <c r="H148" s="81">
        <f>7.6881 * CHOOSE(CONTROL!$C$32, $C$9, 100%, $E$9)</f>
        <v>7.6881000000000004</v>
      </c>
      <c r="I148" s="81">
        <f>7.6917 * CHOOSE(CONTROL!$C$32, $C$9, 100%, $E$9)</f>
        <v>7.6917</v>
      </c>
      <c r="J148" s="81">
        <f>7.6881 * CHOOSE(CONTROL!$C$32, $C$9, 100%, $E$9)</f>
        <v>7.6881000000000004</v>
      </c>
      <c r="K148" s="81">
        <f>7.6917 * CHOOSE(CONTROL!$C$32, $C$9, 100%, $E$9)</f>
        <v>7.6917</v>
      </c>
      <c r="L148" s="81">
        <f>4.6868 * CHOOSE(CONTROL!$C$32, $C$9, 100%, $E$9)</f>
        <v>4.6867999999999999</v>
      </c>
      <c r="M148" s="81">
        <f>4.6905 * CHOOSE(CONTROL!$C$32, $C$9, 100%, $E$9)</f>
        <v>4.6905000000000001</v>
      </c>
      <c r="N148" s="81">
        <f>4.6868 * CHOOSE(CONTROL!$C$32, $C$9, 100%, $E$9)</f>
        <v>4.6867999999999999</v>
      </c>
      <c r="O148" s="81">
        <f>4.6905 * CHOOSE(CONTROL!$C$32, $C$9, 100%, $E$9)</f>
        <v>4.6905000000000001</v>
      </c>
      <c r="P148" s="10"/>
      <c r="Q148" s="10"/>
      <c r="R148" s="10"/>
    </row>
    <row r="149" spans="1:18" ht="15" x14ac:dyDescent="0.2">
      <c r="A149" s="16">
        <v>45748</v>
      </c>
      <c r="B149" s="80">
        <f>3.6823 * CHOOSE(CONTROL!$C$32, $C$9, 100%, $E$9)</f>
        <v>3.6823000000000001</v>
      </c>
      <c r="C149" s="80">
        <f>3.6823 * CHOOSE(CONTROL!$C$32, $C$9, 100%, $E$9)</f>
        <v>3.6823000000000001</v>
      </c>
      <c r="D149" s="80">
        <f>3.6834 * CHOOSE(CONTROL!$C$32, $C$9, 100%, $E$9)</f>
        <v>3.6833999999999998</v>
      </c>
      <c r="E149" s="81">
        <f>4.6846 * CHOOSE(CONTROL!$C$32, $C$9, 100%, $E$9)</f>
        <v>4.6845999999999997</v>
      </c>
      <c r="F149" s="81">
        <f>4.6846 * CHOOSE(CONTROL!$C$32, $C$9, 100%, $E$9)</f>
        <v>4.6845999999999997</v>
      </c>
      <c r="G149" s="81">
        <f>4.6882 * CHOOSE(CONTROL!$C$32, $C$9, 100%, $E$9)</f>
        <v>4.6882000000000001</v>
      </c>
      <c r="H149" s="81">
        <f>7.7041 * CHOOSE(CONTROL!$C$32, $C$9, 100%, $E$9)</f>
        <v>7.7041000000000004</v>
      </c>
      <c r="I149" s="81">
        <f>7.7078 * CHOOSE(CONTROL!$C$32, $C$9, 100%, $E$9)</f>
        <v>7.7077999999999998</v>
      </c>
      <c r="J149" s="81">
        <f>7.7041 * CHOOSE(CONTROL!$C$32, $C$9, 100%, $E$9)</f>
        <v>7.7041000000000004</v>
      </c>
      <c r="K149" s="81">
        <f>7.7078 * CHOOSE(CONTROL!$C$32, $C$9, 100%, $E$9)</f>
        <v>7.7077999999999998</v>
      </c>
      <c r="L149" s="81">
        <f>4.6846 * CHOOSE(CONTROL!$C$32, $C$9, 100%, $E$9)</f>
        <v>4.6845999999999997</v>
      </c>
      <c r="M149" s="81">
        <f>4.6882 * CHOOSE(CONTROL!$C$32, $C$9, 100%, $E$9)</f>
        <v>4.6882000000000001</v>
      </c>
      <c r="N149" s="81">
        <f>4.6846 * CHOOSE(CONTROL!$C$32, $C$9, 100%, $E$9)</f>
        <v>4.6845999999999997</v>
      </c>
      <c r="O149" s="81">
        <f>4.6882 * CHOOSE(CONTROL!$C$32, $C$9, 100%, $E$9)</f>
        <v>4.6882000000000001</v>
      </c>
      <c r="P149" s="10"/>
      <c r="Q149" s="10"/>
      <c r="R149" s="10"/>
    </row>
    <row r="150" spans="1:18" ht="15" x14ac:dyDescent="0.2">
      <c r="A150" s="16">
        <v>45778</v>
      </c>
      <c r="B150" s="80">
        <f>3.6823 * CHOOSE(CONTROL!$C$32, $C$9, 100%, $E$9)</f>
        <v>3.6823000000000001</v>
      </c>
      <c r="C150" s="80">
        <f>3.6823 * CHOOSE(CONTROL!$C$32, $C$9, 100%, $E$9)</f>
        <v>3.6823000000000001</v>
      </c>
      <c r="D150" s="80">
        <f>3.6839 * CHOOSE(CONTROL!$C$32, $C$9, 100%, $E$9)</f>
        <v>3.6839</v>
      </c>
      <c r="E150" s="81">
        <f>4.6846 * CHOOSE(CONTROL!$C$32, $C$9, 100%, $E$9)</f>
        <v>4.6845999999999997</v>
      </c>
      <c r="F150" s="81">
        <f>4.6846 * CHOOSE(CONTROL!$C$32, $C$9, 100%, $E$9)</f>
        <v>4.6845999999999997</v>
      </c>
      <c r="G150" s="81">
        <f>4.6899 * CHOOSE(CONTROL!$C$32, $C$9, 100%, $E$9)</f>
        <v>4.6898999999999997</v>
      </c>
      <c r="H150" s="81">
        <f>7.7202 * CHOOSE(CONTROL!$C$32, $C$9, 100%, $E$9)</f>
        <v>7.7202000000000002</v>
      </c>
      <c r="I150" s="81">
        <f>7.7255 * CHOOSE(CONTROL!$C$32, $C$9, 100%, $E$9)</f>
        <v>7.7255000000000003</v>
      </c>
      <c r="J150" s="81">
        <f>7.7202 * CHOOSE(CONTROL!$C$32, $C$9, 100%, $E$9)</f>
        <v>7.7202000000000002</v>
      </c>
      <c r="K150" s="81">
        <f>7.7255 * CHOOSE(CONTROL!$C$32, $C$9, 100%, $E$9)</f>
        <v>7.7255000000000003</v>
      </c>
      <c r="L150" s="81">
        <f>4.6846 * CHOOSE(CONTROL!$C$32, $C$9, 100%, $E$9)</f>
        <v>4.6845999999999997</v>
      </c>
      <c r="M150" s="81">
        <f>4.6899 * CHOOSE(CONTROL!$C$32, $C$9, 100%, $E$9)</f>
        <v>4.6898999999999997</v>
      </c>
      <c r="N150" s="81">
        <f>4.6846 * CHOOSE(CONTROL!$C$32, $C$9, 100%, $E$9)</f>
        <v>4.6845999999999997</v>
      </c>
      <c r="O150" s="81">
        <f>4.6899 * CHOOSE(CONTROL!$C$32, $C$9, 100%, $E$9)</f>
        <v>4.6898999999999997</v>
      </c>
      <c r="P150" s="10"/>
      <c r="Q150" s="10"/>
      <c r="R150" s="10"/>
    </row>
    <row r="151" spans="1:18" ht="15" x14ac:dyDescent="0.2">
      <c r="A151" s="16">
        <v>45809</v>
      </c>
      <c r="B151" s="80">
        <f>3.6884 * CHOOSE(CONTROL!$C$32, $C$9, 100%, $E$9)</f>
        <v>3.6884000000000001</v>
      </c>
      <c r="C151" s="80">
        <f>3.6884 * CHOOSE(CONTROL!$C$32, $C$9, 100%, $E$9)</f>
        <v>3.6884000000000001</v>
      </c>
      <c r="D151" s="80">
        <f>3.69 * CHOOSE(CONTROL!$C$32, $C$9, 100%, $E$9)</f>
        <v>3.69</v>
      </c>
      <c r="E151" s="81">
        <f>4.6886 * CHOOSE(CONTROL!$C$32, $C$9, 100%, $E$9)</f>
        <v>4.6886000000000001</v>
      </c>
      <c r="F151" s="81">
        <f>4.6886 * CHOOSE(CONTROL!$C$32, $C$9, 100%, $E$9)</f>
        <v>4.6886000000000001</v>
      </c>
      <c r="G151" s="81">
        <f>4.6939 * CHOOSE(CONTROL!$C$32, $C$9, 100%, $E$9)</f>
        <v>4.6939000000000002</v>
      </c>
      <c r="H151" s="81">
        <f>7.7363 * CHOOSE(CONTROL!$C$32, $C$9, 100%, $E$9)</f>
        <v>7.7363</v>
      </c>
      <c r="I151" s="81">
        <f>7.7416 * CHOOSE(CONTROL!$C$32, $C$9, 100%, $E$9)</f>
        <v>7.7416</v>
      </c>
      <c r="J151" s="81">
        <f>7.7363 * CHOOSE(CONTROL!$C$32, $C$9, 100%, $E$9)</f>
        <v>7.7363</v>
      </c>
      <c r="K151" s="81">
        <f>7.7416 * CHOOSE(CONTROL!$C$32, $C$9, 100%, $E$9)</f>
        <v>7.7416</v>
      </c>
      <c r="L151" s="81">
        <f>4.6886 * CHOOSE(CONTROL!$C$32, $C$9, 100%, $E$9)</f>
        <v>4.6886000000000001</v>
      </c>
      <c r="M151" s="81">
        <f>4.6939 * CHOOSE(CONTROL!$C$32, $C$9, 100%, $E$9)</f>
        <v>4.6939000000000002</v>
      </c>
      <c r="N151" s="81">
        <f>4.6886 * CHOOSE(CONTROL!$C$32, $C$9, 100%, $E$9)</f>
        <v>4.6886000000000001</v>
      </c>
      <c r="O151" s="81">
        <f>4.6939 * CHOOSE(CONTROL!$C$32, $C$9, 100%, $E$9)</f>
        <v>4.6939000000000002</v>
      </c>
      <c r="P151" s="10"/>
      <c r="Q151" s="10"/>
      <c r="R151" s="10"/>
    </row>
    <row r="152" spans="1:18" ht="15" x14ac:dyDescent="0.2">
      <c r="A152" s="16">
        <v>45839</v>
      </c>
      <c r="B152" s="80">
        <f>3.7541 * CHOOSE(CONTROL!$C$32, $C$9, 100%, $E$9)</f>
        <v>3.7541000000000002</v>
      </c>
      <c r="C152" s="80">
        <f>3.7541 * CHOOSE(CONTROL!$C$32, $C$9, 100%, $E$9)</f>
        <v>3.7541000000000002</v>
      </c>
      <c r="D152" s="80">
        <f>3.7556 * CHOOSE(CONTROL!$C$32, $C$9, 100%, $E$9)</f>
        <v>3.7555999999999998</v>
      </c>
      <c r="E152" s="81">
        <f>4.7776 * CHOOSE(CONTROL!$C$32, $C$9, 100%, $E$9)</f>
        <v>4.7775999999999996</v>
      </c>
      <c r="F152" s="81">
        <f>4.7776 * CHOOSE(CONTROL!$C$32, $C$9, 100%, $E$9)</f>
        <v>4.7775999999999996</v>
      </c>
      <c r="G152" s="81">
        <f>4.7829 * CHOOSE(CONTROL!$C$32, $C$9, 100%, $E$9)</f>
        <v>4.7828999999999997</v>
      </c>
      <c r="H152" s="81">
        <f>7.7524 * CHOOSE(CONTROL!$C$32, $C$9, 100%, $E$9)</f>
        <v>7.7523999999999997</v>
      </c>
      <c r="I152" s="81">
        <f>7.7577 * CHOOSE(CONTROL!$C$32, $C$9, 100%, $E$9)</f>
        <v>7.7576999999999998</v>
      </c>
      <c r="J152" s="81">
        <f>7.7524 * CHOOSE(CONTROL!$C$32, $C$9, 100%, $E$9)</f>
        <v>7.7523999999999997</v>
      </c>
      <c r="K152" s="81">
        <f>7.7577 * CHOOSE(CONTROL!$C$32, $C$9, 100%, $E$9)</f>
        <v>7.7576999999999998</v>
      </c>
      <c r="L152" s="81">
        <f>4.7776 * CHOOSE(CONTROL!$C$32, $C$9, 100%, $E$9)</f>
        <v>4.7775999999999996</v>
      </c>
      <c r="M152" s="81">
        <f>4.7829 * CHOOSE(CONTROL!$C$32, $C$9, 100%, $E$9)</f>
        <v>4.7828999999999997</v>
      </c>
      <c r="N152" s="81">
        <f>4.7776 * CHOOSE(CONTROL!$C$32, $C$9, 100%, $E$9)</f>
        <v>4.7775999999999996</v>
      </c>
      <c r="O152" s="81">
        <f>4.7829 * CHOOSE(CONTROL!$C$32, $C$9, 100%, $E$9)</f>
        <v>4.7828999999999997</v>
      </c>
      <c r="P152" s="10"/>
      <c r="Q152" s="10"/>
      <c r="R152" s="10"/>
    </row>
    <row r="153" spans="1:18" ht="15" x14ac:dyDescent="0.2">
      <c r="A153" s="16">
        <v>45870</v>
      </c>
      <c r="B153" s="80">
        <f>3.7607 * CHOOSE(CONTROL!$C$32, $C$9, 100%, $E$9)</f>
        <v>3.7606999999999999</v>
      </c>
      <c r="C153" s="80">
        <f>3.7607 * CHOOSE(CONTROL!$C$32, $C$9, 100%, $E$9)</f>
        <v>3.7606999999999999</v>
      </c>
      <c r="D153" s="80">
        <f>3.7623 * CHOOSE(CONTROL!$C$32, $C$9, 100%, $E$9)</f>
        <v>3.7623000000000002</v>
      </c>
      <c r="E153" s="81">
        <f>4.782 * CHOOSE(CONTROL!$C$32, $C$9, 100%, $E$9)</f>
        <v>4.782</v>
      </c>
      <c r="F153" s="81">
        <f>4.782 * CHOOSE(CONTROL!$C$32, $C$9, 100%, $E$9)</f>
        <v>4.782</v>
      </c>
      <c r="G153" s="81">
        <f>4.7873 * CHOOSE(CONTROL!$C$32, $C$9, 100%, $E$9)</f>
        <v>4.7873000000000001</v>
      </c>
      <c r="H153" s="81">
        <f>7.7685 * CHOOSE(CONTROL!$C$32, $C$9, 100%, $E$9)</f>
        <v>7.7685000000000004</v>
      </c>
      <c r="I153" s="81">
        <f>7.7738 * CHOOSE(CONTROL!$C$32, $C$9, 100%, $E$9)</f>
        <v>7.7737999999999996</v>
      </c>
      <c r="J153" s="81">
        <f>7.7685 * CHOOSE(CONTROL!$C$32, $C$9, 100%, $E$9)</f>
        <v>7.7685000000000004</v>
      </c>
      <c r="K153" s="81">
        <f>7.7738 * CHOOSE(CONTROL!$C$32, $C$9, 100%, $E$9)</f>
        <v>7.7737999999999996</v>
      </c>
      <c r="L153" s="81">
        <f>4.782 * CHOOSE(CONTROL!$C$32, $C$9, 100%, $E$9)</f>
        <v>4.782</v>
      </c>
      <c r="M153" s="81">
        <f>4.7873 * CHOOSE(CONTROL!$C$32, $C$9, 100%, $E$9)</f>
        <v>4.7873000000000001</v>
      </c>
      <c r="N153" s="81">
        <f>4.782 * CHOOSE(CONTROL!$C$32, $C$9, 100%, $E$9)</f>
        <v>4.782</v>
      </c>
      <c r="O153" s="81">
        <f>4.7873 * CHOOSE(CONTROL!$C$32, $C$9, 100%, $E$9)</f>
        <v>4.7873000000000001</v>
      </c>
      <c r="P153" s="10"/>
      <c r="Q153" s="10"/>
      <c r="R153" s="10"/>
    </row>
    <row r="154" spans="1:18" ht="15" x14ac:dyDescent="0.2">
      <c r="A154" s="16">
        <v>45901</v>
      </c>
      <c r="B154" s="80">
        <f>3.7577 * CHOOSE(CONTROL!$C$32, $C$9, 100%, $E$9)</f>
        <v>3.7576999999999998</v>
      </c>
      <c r="C154" s="80">
        <f>3.7577 * CHOOSE(CONTROL!$C$32, $C$9, 100%, $E$9)</f>
        <v>3.7576999999999998</v>
      </c>
      <c r="D154" s="80">
        <f>3.7593 * CHOOSE(CONTROL!$C$32, $C$9, 100%, $E$9)</f>
        <v>3.7593000000000001</v>
      </c>
      <c r="E154" s="81">
        <f>4.78 * CHOOSE(CONTROL!$C$32, $C$9, 100%, $E$9)</f>
        <v>4.78</v>
      </c>
      <c r="F154" s="81">
        <f>4.78 * CHOOSE(CONTROL!$C$32, $C$9, 100%, $E$9)</f>
        <v>4.78</v>
      </c>
      <c r="G154" s="81">
        <f>4.7853 * CHOOSE(CONTROL!$C$32, $C$9, 100%, $E$9)</f>
        <v>4.7853000000000003</v>
      </c>
      <c r="H154" s="81">
        <f>7.7847 * CHOOSE(CONTROL!$C$32, $C$9, 100%, $E$9)</f>
        <v>7.7847</v>
      </c>
      <c r="I154" s="81">
        <f>7.79 * CHOOSE(CONTROL!$C$32, $C$9, 100%, $E$9)</f>
        <v>7.79</v>
      </c>
      <c r="J154" s="81">
        <f>7.7847 * CHOOSE(CONTROL!$C$32, $C$9, 100%, $E$9)</f>
        <v>7.7847</v>
      </c>
      <c r="K154" s="81">
        <f>7.79 * CHOOSE(CONTROL!$C$32, $C$9, 100%, $E$9)</f>
        <v>7.79</v>
      </c>
      <c r="L154" s="81">
        <f>4.78 * CHOOSE(CONTROL!$C$32, $C$9, 100%, $E$9)</f>
        <v>4.78</v>
      </c>
      <c r="M154" s="81">
        <f>4.7853 * CHOOSE(CONTROL!$C$32, $C$9, 100%, $E$9)</f>
        <v>4.7853000000000003</v>
      </c>
      <c r="N154" s="81">
        <f>4.78 * CHOOSE(CONTROL!$C$32, $C$9, 100%, $E$9)</f>
        <v>4.78</v>
      </c>
      <c r="O154" s="81">
        <f>4.7853 * CHOOSE(CONTROL!$C$32, $C$9, 100%, $E$9)</f>
        <v>4.7853000000000003</v>
      </c>
      <c r="P154" s="10"/>
      <c r="Q154" s="10"/>
      <c r="R154" s="10"/>
    </row>
    <row r="155" spans="1:18" ht="15" x14ac:dyDescent="0.2">
      <c r="A155" s="16">
        <v>45931</v>
      </c>
      <c r="B155" s="80">
        <f>3.7519 * CHOOSE(CONTROL!$C$32, $C$9, 100%, $E$9)</f>
        <v>3.7519</v>
      </c>
      <c r="C155" s="80">
        <f>3.7519 * CHOOSE(CONTROL!$C$32, $C$9, 100%, $E$9)</f>
        <v>3.7519</v>
      </c>
      <c r="D155" s="80">
        <f>3.753 * CHOOSE(CONTROL!$C$32, $C$9, 100%, $E$9)</f>
        <v>3.7530000000000001</v>
      </c>
      <c r="E155" s="81">
        <f>4.7743 * CHOOSE(CONTROL!$C$32, $C$9, 100%, $E$9)</f>
        <v>4.7743000000000002</v>
      </c>
      <c r="F155" s="81">
        <f>4.7743 * CHOOSE(CONTROL!$C$32, $C$9, 100%, $E$9)</f>
        <v>4.7743000000000002</v>
      </c>
      <c r="G155" s="81">
        <f>4.7779 * CHOOSE(CONTROL!$C$32, $C$9, 100%, $E$9)</f>
        <v>4.7778999999999998</v>
      </c>
      <c r="H155" s="81">
        <f>7.8009 * CHOOSE(CONTROL!$C$32, $C$9, 100%, $E$9)</f>
        <v>7.8009000000000004</v>
      </c>
      <c r="I155" s="81">
        <f>7.8046 * CHOOSE(CONTROL!$C$32, $C$9, 100%, $E$9)</f>
        <v>7.8045999999999998</v>
      </c>
      <c r="J155" s="81">
        <f>7.8009 * CHOOSE(CONTROL!$C$32, $C$9, 100%, $E$9)</f>
        <v>7.8009000000000004</v>
      </c>
      <c r="K155" s="81">
        <f>7.8046 * CHOOSE(CONTROL!$C$32, $C$9, 100%, $E$9)</f>
        <v>7.8045999999999998</v>
      </c>
      <c r="L155" s="81">
        <f>4.7743 * CHOOSE(CONTROL!$C$32, $C$9, 100%, $E$9)</f>
        <v>4.7743000000000002</v>
      </c>
      <c r="M155" s="81">
        <f>4.7779 * CHOOSE(CONTROL!$C$32, $C$9, 100%, $E$9)</f>
        <v>4.7778999999999998</v>
      </c>
      <c r="N155" s="81">
        <f>4.7743 * CHOOSE(CONTROL!$C$32, $C$9, 100%, $E$9)</f>
        <v>4.7743000000000002</v>
      </c>
      <c r="O155" s="81">
        <f>4.7779 * CHOOSE(CONTROL!$C$32, $C$9, 100%, $E$9)</f>
        <v>4.7778999999999998</v>
      </c>
      <c r="P155" s="10"/>
      <c r="Q155" s="10"/>
      <c r="R155" s="10"/>
    </row>
    <row r="156" spans="1:18" ht="15" x14ac:dyDescent="0.2">
      <c r="A156" s="16">
        <v>45962</v>
      </c>
      <c r="B156" s="80">
        <f>3.755 * CHOOSE(CONTROL!$C$32, $C$9, 100%, $E$9)</f>
        <v>3.7549999999999999</v>
      </c>
      <c r="C156" s="80">
        <f>3.755 * CHOOSE(CONTROL!$C$32, $C$9, 100%, $E$9)</f>
        <v>3.7549999999999999</v>
      </c>
      <c r="D156" s="80">
        <f>3.7561 * CHOOSE(CONTROL!$C$32, $C$9, 100%, $E$9)</f>
        <v>3.7561</v>
      </c>
      <c r="E156" s="81">
        <f>4.7763 * CHOOSE(CONTROL!$C$32, $C$9, 100%, $E$9)</f>
        <v>4.7763</v>
      </c>
      <c r="F156" s="81">
        <f>4.7763 * CHOOSE(CONTROL!$C$32, $C$9, 100%, $E$9)</f>
        <v>4.7763</v>
      </c>
      <c r="G156" s="81">
        <f>4.7799 * CHOOSE(CONTROL!$C$32, $C$9, 100%, $E$9)</f>
        <v>4.7798999999999996</v>
      </c>
      <c r="H156" s="81">
        <f>7.8172 * CHOOSE(CONTROL!$C$32, $C$9, 100%, $E$9)</f>
        <v>7.8171999999999997</v>
      </c>
      <c r="I156" s="81">
        <f>7.8208 * CHOOSE(CONTROL!$C$32, $C$9, 100%, $E$9)</f>
        <v>7.8208000000000002</v>
      </c>
      <c r="J156" s="81">
        <f>7.8172 * CHOOSE(CONTROL!$C$32, $C$9, 100%, $E$9)</f>
        <v>7.8171999999999997</v>
      </c>
      <c r="K156" s="81">
        <f>7.8208 * CHOOSE(CONTROL!$C$32, $C$9, 100%, $E$9)</f>
        <v>7.8208000000000002</v>
      </c>
      <c r="L156" s="81">
        <f>4.7763 * CHOOSE(CONTROL!$C$32, $C$9, 100%, $E$9)</f>
        <v>4.7763</v>
      </c>
      <c r="M156" s="81">
        <f>4.7799 * CHOOSE(CONTROL!$C$32, $C$9, 100%, $E$9)</f>
        <v>4.7798999999999996</v>
      </c>
      <c r="N156" s="81">
        <f>4.7763 * CHOOSE(CONTROL!$C$32, $C$9, 100%, $E$9)</f>
        <v>4.7763</v>
      </c>
      <c r="O156" s="81">
        <f>4.7799 * CHOOSE(CONTROL!$C$32, $C$9, 100%, $E$9)</f>
        <v>4.7798999999999996</v>
      </c>
    </row>
    <row r="157" spans="1:18" ht="15" x14ac:dyDescent="0.2">
      <c r="A157" s="16">
        <v>45992</v>
      </c>
      <c r="B157" s="80">
        <f>3.755 * CHOOSE(CONTROL!$C$32, $C$9, 100%, $E$9)</f>
        <v>3.7549999999999999</v>
      </c>
      <c r="C157" s="80">
        <f>3.755 * CHOOSE(CONTROL!$C$32, $C$9, 100%, $E$9)</f>
        <v>3.7549999999999999</v>
      </c>
      <c r="D157" s="80">
        <f>3.7561 * CHOOSE(CONTROL!$C$32, $C$9, 100%, $E$9)</f>
        <v>3.7561</v>
      </c>
      <c r="E157" s="81">
        <f>4.7763 * CHOOSE(CONTROL!$C$32, $C$9, 100%, $E$9)</f>
        <v>4.7763</v>
      </c>
      <c r="F157" s="81">
        <f>4.7763 * CHOOSE(CONTROL!$C$32, $C$9, 100%, $E$9)</f>
        <v>4.7763</v>
      </c>
      <c r="G157" s="81">
        <f>4.7799 * CHOOSE(CONTROL!$C$32, $C$9, 100%, $E$9)</f>
        <v>4.7798999999999996</v>
      </c>
      <c r="H157" s="81">
        <f>7.8335 * CHOOSE(CONTROL!$C$32, $C$9, 100%, $E$9)</f>
        <v>7.8334999999999999</v>
      </c>
      <c r="I157" s="81">
        <f>7.8371 * CHOOSE(CONTROL!$C$32, $C$9, 100%, $E$9)</f>
        <v>7.8371000000000004</v>
      </c>
      <c r="J157" s="81">
        <f>7.8335 * CHOOSE(CONTROL!$C$32, $C$9, 100%, $E$9)</f>
        <v>7.8334999999999999</v>
      </c>
      <c r="K157" s="81">
        <f>7.8371 * CHOOSE(CONTROL!$C$32, $C$9, 100%, $E$9)</f>
        <v>7.8371000000000004</v>
      </c>
      <c r="L157" s="81">
        <f>4.7763 * CHOOSE(CONTROL!$C$32, $C$9, 100%, $E$9)</f>
        <v>4.7763</v>
      </c>
      <c r="M157" s="81">
        <f>4.7799 * CHOOSE(CONTROL!$C$32, $C$9, 100%, $E$9)</f>
        <v>4.7798999999999996</v>
      </c>
      <c r="N157" s="81">
        <f>4.7763 * CHOOSE(CONTROL!$C$32, $C$9, 100%, $E$9)</f>
        <v>4.7763</v>
      </c>
      <c r="O157" s="81">
        <f>4.7799 * CHOOSE(CONTROL!$C$32, $C$9, 100%, $E$9)</f>
        <v>4.7798999999999996</v>
      </c>
    </row>
    <row r="158" spans="1:18" ht="15" x14ac:dyDescent="0.2">
      <c r="A158" s="16">
        <v>46023</v>
      </c>
      <c r="B158" s="80">
        <f>3.7892 * CHOOSE(CONTROL!$C$32, $C$9, 100%, $E$9)</f>
        <v>3.7892000000000001</v>
      </c>
      <c r="C158" s="80">
        <f>3.7892 * CHOOSE(CONTROL!$C$32, $C$9, 100%, $E$9)</f>
        <v>3.7892000000000001</v>
      </c>
      <c r="D158" s="80">
        <f>3.7902 * CHOOSE(CONTROL!$C$32, $C$9, 100%, $E$9)</f>
        <v>3.7902</v>
      </c>
      <c r="E158" s="81">
        <f>4.8185 * CHOOSE(CONTROL!$C$32, $C$9, 100%, $E$9)</f>
        <v>4.8185000000000002</v>
      </c>
      <c r="F158" s="81">
        <f>4.8185 * CHOOSE(CONTROL!$C$32, $C$9, 100%, $E$9)</f>
        <v>4.8185000000000002</v>
      </c>
      <c r="G158" s="81">
        <f>4.8221 * CHOOSE(CONTROL!$C$32, $C$9, 100%, $E$9)</f>
        <v>4.8220999999999998</v>
      </c>
      <c r="H158" s="81">
        <f>7.8498 * CHOOSE(CONTROL!$C$32, $C$9, 100%, $E$9)</f>
        <v>7.8498000000000001</v>
      </c>
      <c r="I158" s="81">
        <f>7.8534 * CHOOSE(CONTROL!$C$32, $C$9, 100%, $E$9)</f>
        <v>7.8533999999999997</v>
      </c>
      <c r="J158" s="81">
        <f>7.8498 * CHOOSE(CONTROL!$C$32, $C$9, 100%, $E$9)</f>
        <v>7.8498000000000001</v>
      </c>
      <c r="K158" s="81">
        <f>7.8534 * CHOOSE(CONTROL!$C$32, $C$9, 100%, $E$9)</f>
        <v>7.8533999999999997</v>
      </c>
      <c r="L158" s="81">
        <f>4.8185 * CHOOSE(CONTROL!$C$32, $C$9, 100%, $E$9)</f>
        <v>4.8185000000000002</v>
      </c>
      <c r="M158" s="81">
        <f>4.8221 * CHOOSE(CONTROL!$C$32, $C$9, 100%, $E$9)</f>
        <v>4.8220999999999998</v>
      </c>
      <c r="N158" s="81">
        <f>4.8185 * CHOOSE(CONTROL!$C$32, $C$9, 100%, $E$9)</f>
        <v>4.8185000000000002</v>
      </c>
      <c r="O158" s="81">
        <f>4.8221 * CHOOSE(CONTROL!$C$32, $C$9, 100%, $E$9)</f>
        <v>4.8220999999999998</v>
      </c>
    </row>
    <row r="159" spans="1:18" ht="15" x14ac:dyDescent="0.2">
      <c r="A159" s="16">
        <v>46054</v>
      </c>
      <c r="B159" s="80">
        <f>3.7861 * CHOOSE(CONTROL!$C$32, $C$9, 100%, $E$9)</f>
        <v>3.7860999999999998</v>
      </c>
      <c r="C159" s="80">
        <f>3.7861 * CHOOSE(CONTROL!$C$32, $C$9, 100%, $E$9)</f>
        <v>3.7860999999999998</v>
      </c>
      <c r="D159" s="80">
        <f>3.7872 * CHOOSE(CONTROL!$C$32, $C$9, 100%, $E$9)</f>
        <v>3.7871999999999999</v>
      </c>
      <c r="E159" s="81">
        <f>4.8165 * CHOOSE(CONTROL!$C$32, $C$9, 100%, $E$9)</f>
        <v>4.8164999999999996</v>
      </c>
      <c r="F159" s="81">
        <f>4.8165 * CHOOSE(CONTROL!$C$32, $C$9, 100%, $E$9)</f>
        <v>4.8164999999999996</v>
      </c>
      <c r="G159" s="81">
        <f>4.8201 * CHOOSE(CONTROL!$C$32, $C$9, 100%, $E$9)</f>
        <v>4.8201000000000001</v>
      </c>
      <c r="H159" s="81">
        <f>7.8662 * CHOOSE(CONTROL!$C$32, $C$9, 100%, $E$9)</f>
        <v>7.8662000000000001</v>
      </c>
      <c r="I159" s="81">
        <f>7.8698 * CHOOSE(CONTROL!$C$32, $C$9, 100%, $E$9)</f>
        <v>7.8697999999999997</v>
      </c>
      <c r="J159" s="81">
        <f>7.8662 * CHOOSE(CONTROL!$C$32, $C$9, 100%, $E$9)</f>
        <v>7.8662000000000001</v>
      </c>
      <c r="K159" s="81">
        <f>7.8698 * CHOOSE(CONTROL!$C$32, $C$9, 100%, $E$9)</f>
        <v>7.8697999999999997</v>
      </c>
      <c r="L159" s="81">
        <f>4.8165 * CHOOSE(CONTROL!$C$32, $C$9, 100%, $E$9)</f>
        <v>4.8164999999999996</v>
      </c>
      <c r="M159" s="81">
        <f>4.8201 * CHOOSE(CONTROL!$C$32, $C$9, 100%, $E$9)</f>
        <v>4.8201000000000001</v>
      </c>
      <c r="N159" s="81">
        <f>4.8165 * CHOOSE(CONTROL!$C$32, $C$9, 100%, $E$9)</f>
        <v>4.8164999999999996</v>
      </c>
      <c r="O159" s="81">
        <f>4.8201 * CHOOSE(CONTROL!$C$32, $C$9, 100%, $E$9)</f>
        <v>4.8201000000000001</v>
      </c>
    </row>
    <row r="160" spans="1:18" ht="15" x14ac:dyDescent="0.2">
      <c r="A160" s="16">
        <v>46082</v>
      </c>
      <c r="B160" s="80">
        <f>3.7831 * CHOOSE(CONTROL!$C$32, $C$9, 100%, $E$9)</f>
        <v>3.7831000000000001</v>
      </c>
      <c r="C160" s="80">
        <f>3.7831 * CHOOSE(CONTROL!$C$32, $C$9, 100%, $E$9)</f>
        <v>3.7831000000000001</v>
      </c>
      <c r="D160" s="80">
        <f>3.7842 * CHOOSE(CONTROL!$C$32, $C$9, 100%, $E$9)</f>
        <v>3.7841999999999998</v>
      </c>
      <c r="E160" s="81">
        <f>4.8145 * CHOOSE(CONTROL!$C$32, $C$9, 100%, $E$9)</f>
        <v>4.8144999999999998</v>
      </c>
      <c r="F160" s="81">
        <f>4.8145 * CHOOSE(CONTROL!$C$32, $C$9, 100%, $E$9)</f>
        <v>4.8144999999999998</v>
      </c>
      <c r="G160" s="81">
        <f>4.8181 * CHOOSE(CONTROL!$C$32, $C$9, 100%, $E$9)</f>
        <v>4.8181000000000003</v>
      </c>
      <c r="H160" s="81">
        <f>7.8825 * CHOOSE(CONTROL!$C$32, $C$9, 100%, $E$9)</f>
        <v>7.8825000000000003</v>
      </c>
      <c r="I160" s="81">
        <f>7.8862 * CHOOSE(CONTROL!$C$32, $C$9, 100%, $E$9)</f>
        <v>7.8861999999999997</v>
      </c>
      <c r="J160" s="81">
        <f>7.8825 * CHOOSE(CONTROL!$C$32, $C$9, 100%, $E$9)</f>
        <v>7.8825000000000003</v>
      </c>
      <c r="K160" s="81">
        <f>7.8862 * CHOOSE(CONTROL!$C$32, $C$9, 100%, $E$9)</f>
        <v>7.8861999999999997</v>
      </c>
      <c r="L160" s="81">
        <f>4.8145 * CHOOSE(CONTROL!$C$32, $C$9, 100%, $E$9)</f>
        <v>4.8144999999999998</v>
      </c>
      <c r="M160" s="81">
        <f>4.8181 * CHOOSE(CONTROL!$C$32, $C$9, 100%, $E$9)</f>
        <v>4.8181000000000003</v>
      </c>
      <c r="N160" s="81">
        <f>4.8145 * CHOOSE(CONTROL!$C$32, $C$9, 100%, $E$9)</f>
        <v>4.8144999999999998</v>
      </c>
      <c r="O160" s="81">
        <f>4.8181 * CHOOSE(CONTROL!$C$32, $C$9, 100%, $E$9)</f>
        <v>4.8181000000000003</v>
      </c>
    </row>
    <row r="161" spans="1:15" ht="15" x14ac:dyDescent="0.2">
      <c r="A161" s="16">
        <v>46113</v>
      </c>
      <c r="B161" s="80">
        <f>3.7805 * CHOOSE(CONTROL!$C$32, $C$9, 100%, $E$9)</f>
        <v>3.7805</v>
      </c>
      <c r="C161" s="80">
        <f>3.7805 * CHOOSE(CONTROL!$C$32, $C$9, 100%, $E$9)</f>
        <v>3.7805</v>
      </c>
      <c r="D161" s="80">
        <f>3.7816 * CHOOSE(CONTROL!$C$32, $C$9, 100%, $E$9)</f>
        <v>3.7816000000000001</v>
      </c>
      <c r="E161" s="81">
        <f>4.8123 * CHOOSE(CONTROL!$C$32, $C$9, 100%, $E$9)</f>
        <v>4.8122999999999996</v>
      </c>
      <c r="F161" s="81">
        <f>4.8123 * CHOOSE(CONTROL!$C$32, $C$9, 100%, $E$9)</f>
        <v>4.8122999999999996</v>
      </c>
      <c r="G161" s="81">
        <f>4.816 * CHOOSE(CONTROL!$C$32, $C$9, 100%, $E$9)</f>
        <v>4.8159999999999998</v>
      </c>
      <c r="H161" s="81">
        <f>7.899 * CHOOSE(CONTROL!$C$32, $C$9, 100%, $E$9)</f>
        <v>7.899</v>
      </c>
      <c r="I161" s="81">
        <f>7.9026 * CHOOSE(CONTROL!$C$32, $C$9, 100%, $E$9)</f>
        <v>7.9025999999999996</v>
      </c>
      <c r="J161" s="81">
        <f>7.899 * CHOOSE(CONTROL!$C$32, $C$9, 100%, $E$9)</f>
        <v>7.899</v>
      </c>
      <c r="K161" s="81">
        <f>7.9026 * CHOOSE(CONTROL!$C$32, $C$9, 100%, $E$9)</f>
        <v>7.9025999999999996</v>
      </c>
      <c r="L161" s="81">
        <f>4.8123 * CHOOSE(CONTROL!$C$32, $C$9, 100%, $E$9)</f>
        <v>4.8122999999999996</v>
      </c>
      <c r="M161" s="81">
        <f>4.816 * CHOOSE(CONTROL!$C$32, $C$9, 100%, $E$9)</f>
        <v>4.8159999999999998</v>
      </c>
      <c r="N161" s="81">
        <f>4.8123 * CHOOSE(CONTROL!$C$32, $C$9, 100%, $E$9)</f>
        <v>4.8122999999999996</v>
      </c>
      <c r="O161" s="81">
        <f>4.816 * CHOOSE(CONTROL!$C$32, $C$9, 100%, $E$9)</f>
        <v>4.8159999999999998</v>
      </c>
    </row>
    <row r="162" spans="1:15" ht="15" x14ac:dyDescent="0.2">
      <c r="A162" s="16">
        <v>46143</v>
      </c>
      <c r="B162" s="80">
        <f>3.7805 * CHOOSE(CONTROL!$C$32, $C$9, 100%, $E$9)</f>
        <v>3.7805</v>
      </c>
      <c r="C162" s="80">
        <f>3.7805 * CHOOSE(CONTROL!$C$32, $C$9, 100%, $E$9)</f>
        <v>3.7805</v>
      </c>
      <c r="D162" s="80">
        <f>3.7821 * CHOOSE(CONTROL!$C$32, $C$9, 100%, $E$9)</f>
        <v>3.7820999999999998</v>
      </c>
      <c r="E162" s="81">
        <f>4.8123 * CHOOSE(CONTROL!$C$32, $C$9, 100%, $E$9)</f>
        <v>4.8122999999999996</v>
      </c>
      <c r="F162" s="81">
        <f>4.8123 * CHOOSE(CONTROL!$C$32, $C$9, 100%, $E$9)</f>
        <v>4.8122999999999996</v>
      </c>
      <c r="G162" s="81">
        <f>4.8176 * CHOOSE(CONTROL!$C$32, $C$9, 100%, $E$9)</f>
        <v>4.8175999999999997</v>
      </c>
      <c r="H162" s="81">
        <f>7.9154 * CHOOSE(CONTROL!$C$32, $C$9, 100%, $E$9)</f>
        <v>7.9154</v>
      </c>
      <c r="I162" s="81">
        <f>7.9207 * CHOOSE(CONTROL!$C$32, $C$9, 100%, $E$9)</f>
        <v>7.9207000000000001</v>
      </c>
      <c r="J162" s="81">
        <f>7.9154 * CHOOSE(CONTROL!$C$32, $C$9, 100%, $E$9)</f>
        <v>7.9154</v>
      </c>
      <c r="K162" s="81">
        <f>7.9207 * CHOOSE(CONTROL!$C$32, $C$9, 100%, $E$9)</f>
        <v>7.9207000000000001</v>
      </c>
      <c r="L162" s="81">
        <f>4.8123 * CHOOSE(CONTROL!$C$32, $C$9, 100%, $E$9)</f>
        <v>4.8122999999999996</v>
      </c>
      <c r="M162" s="81">
        <f>4.8176 * CHOOSE(CONTROL!$C$32, $C$9, 100%, $E$9)</f>
        <v>4.8175999999999997</v>
      </c>
      <c r="N162" s="81">
        <f>4.8123 * CHOOSE(CONTROL!$C$32, $C$9, 100%, $E$9)</f>
        <v>4.8122999999999996</v>
      </c>
      <c r="O162" s="81">
        <f>4.8176 * CHOOSE(CONTROL!$C$32, $C$9, 100%, $E$9)</f>
        <v>4.8175999999999997</v>
      </c>
    </row>
    <row r="163" spans="1:15" ht="15" x14ac:dyDescent="0.2">
      <c r="A163" s="16">
        <v>46174</v>
      </c>
      <c r="B163" s="80">
        <f>3.7866 * CHOOSE(CONTROL!$C$32, $C$9, 100%, $E$9)</f>
        <v>3.7866</v>
      </c>
      <c r="C163" s="80">
        <f>3.7866 * CHOOSE(CONTROL!$C$32, $C$9, 100%, $E$9)</f>
        <v>3.7866</v>
      </c>
      <c r="D163" s="80">
        <f>3.7882 * CHOOSE(CONTROL!$C$32, $C$9, 100%, $E$9)</f>
        <v>3.7881999999999998</v>
      </c>
      <c r="E163" s="81">
        <f>4.8163 * CHOOSE(CONTROL!$C$32, $C$9, 100%, $E$9)</f>
        <v>4.8163</v>
      </c>
      <c r="F163" s="81">
        <f>4.8163 * CHOOSE(CONTROL!$C$32, $C$9, 100%, $E$9)</f>
        <v>4.8163</v>
      </c>
      <c r="G163" s="81">
        <f>4.8216 * CHOOSE(CONTROL!$C$32, $C$9, 100%, $E$9)</f>
        <v>4.8216000000000001</v>
      </c>
      <c r="H163" s="81">
        <f>7.9319 * CHOOSE(CONTROL!$C$32, $C$9, 100%, $E$9)</f>
        <v>7.9318999999999997</v>
      </c>
      <c r="I163" s="81">
        <f>7.9372 * CHOOSE(CONTROL!$C$32, $C$9, 100%, $E$9)</f>
        <v>7.9371999999999998</v>
      </c>
      <c r="J163" s="81">
        <f>7.9319 * CHOOSE(CONTROL!$C$32, $C$9, 100%, $E$9)</f>
        <v>7.9318999999999997</v>
      </c>
      <c r="K163" s="81">
        <f>7.9372 * CHOOSE(CONTROL!$C$32, $C$9, 100%, $E$9)</f>
        <v>7.9371999999999998</v>
      </c>
      <c r="L163" s="81">
        <f>4.8163 * CHOOSE(CONTROL!$C$32, $C$9, 100%, $E$9)</f>
        <v>4.8163</v>
      </c>
      <c r="M163" s="81">
        <f>4.8216 * CHOOSE(CONTROL!$C$32, $C$9, 100%, $E$9)</f>
        <v>4.8216000000000001</v>
      </c>
      <c r="N163" s="81">
        <f>4.8163 * CHOOSE(CONTROL!$C$32, $C$9, 100%, $E$9)</f>
        <v>4.8163</v>
      </c>
      <c r="O163" s="81">
        <f>4.8216 * CHOOSE(CONTROL!$C$32, $C$9, 100%, $E$9)</f>
        <v>4.8216000000000001</v>
      </c>
    </row>
    <row r="164" spans="1:15" ht="15" x14ac:dyDescent="0.2">
      <c r="A164" s="16">
        <v>46204</v>
      </c>
      <c r="B164" s="80">
        <f>3.8506 * CHOOSE(CONTROL!$C$32, $C$9, 100%, $E$9)</f>
        <v>3.8506</v>
      </c>
      <c r="C164" s="80">
        <f>3.8506 * CHOOSE(CONTROL!$C$32, $C$9, 100%, $E$9)</f>
        <v>3.8506</v>
      </c>
      <c r="D164" s="80">
        <f>3.8522 * CHOOSE(CONTROL!$C$32, $C$9, 100%, $E$9)</f>
        <v>3.8521999999999998</v>
      </c>
      <c r="E164" s="81">
        <f>4.9098 * CHOOSE(CONTROL!$C$32, $C$9, 100%, $E$9)</f>
        <v>4.9097999999999997</v>
      </c>
      <c r="F164" s="81">
        <f>4.9098 * CHOOSE(CONTROL!$C$32, $C$9, 100%, $E$9)</f>
        <v>4.9097999999999997</v>
      </c>
      <c r="G164" s="81">
        <f>4.9151 * CHOOSE(CONTROL!$C$32, $C$9, 100%, $E$9)</f>
        <v>4.9150999999999998</v>
      </c>
      <c r="H164" s="81">
        <f>7.9484 * CHOOSE(CONTROL!$C$32, $C$9, 100%, $E$9)</f>
        <v>7.9484000000000004</v>
      </c>
      <c r="I164" s="81">
        <f>7.9537 * CHOOSE(CONTROL!$C$32, $C$9, 100%, $E$9)</f>
        <v>7.9537000000000004</v>
      </c>
      <c r="J164" s="81">
        <f>7.9484 * CHOOSE(CONTROL!$C$32, $C$9, 100%, $E$9)</f>
        <v>7.9484000000000004</v>
      </c>
      <c r="K164" s="81">
        <f>7.9537 * CHOOSE(CONTROL!$C$32, $C$9, 100%, $E$9)</f>
        <v>7.9537000000000004</v>
      </c>
      <c r="L164" s="81">
        <f>4.9098 * CHOOSE(CONTROL!$C$32, $C$9, 100%, $E$9)</f>
        <v>4.9097999999999997</v>
      </c>
      <c r="M164" s="81">
        <f>4.9151 * CHOOSE(CONTROL!$C$32, $C$9, 100%, $E$9)</f>
        <v>4.9150999999999998</v>
      </c>
      <c r="N164" s="81">
        <f>4.9098 * CHOOSE(CONTROL!$C$32, $C$9, 100%, $E$9)</f>
        <v>4.9097999999999997</v>
      </c>
      <c r="O164" s="81">
        <f>4.9151 * CHOOSE(CONTROL!$C$32, $C$9, 100%, $E$9)</f>
        <v>4.9150999999999998</v>
      </c>
    </row>
    <row r="165" spans="1:15" ht="15" x14ac:dyDescent="0.2">
      <c r="A165" s="16">
        <v>46235</v>
      </c>
      <c r="B165" s="80">
        <f>3.8573 * CHOOSE(CONTROL!$C$32, $C$9, 100%, $E$9)</f>
        <v>3.8573</v>
      </c>
      <c r="C165" s="80">
        <f>3.8573 * CHOOSE(CONTROL!$C$32, $C$9, 100%, $E$9)</f>
        <v>3.8573</v>
      </c>
      <c r="D165" s="80">
        <f>3.8589 * CHOOSE(CONTROL!$C$32, $C$9, 100%, $E$9)</f>
        <v>3.8589000000000002</v>
      </c>
      <c r="E165" s="81">
        <f>4.9142 * CHOOSE(CONTROL!$C$32, $C$9, 100%, $E$9)</f>
        <v>4.9142000000000001</v>
      </c>
      <c r="F165" s="81">
        <f>4.9142 * CHOOSE(CONTROL!$C$32, $C$9, 100%, $E$9)</f>
        <v>4.9142000000000001</v>
      </c>
      <c r="G165" s="81">
        <f>4.9195 * CHOOSE(CONTROL!$C$32, $C$9, 100%, $E$9)</f>
        <v>4.9195000000000002</v>
      </c>
      <c r="H165" s="81">
        <f>7.965 * CHOOSE(CONTROL!$C$32, $C$9, 100%, $E$9)</f>
        <v>7.9649999999999999</v>
      </c>
      <c r="I165" s="81">
        <f>7.9703 * CHOOSE(CONTROL!$C$32, $C$9, 100%, $E$9)</f>
        <v>7.9702999999999999</v>
      </c>
      <c r="J165" s="81">
        <f>7.965 * CHOOSE(CONTROL!$C$32, $C$9, 100%, $E$9)</f>
        <v>7.9649999999999999</v>
      </c>
      <c r="K165" s="81">
        <f>7.9703 * CHOOSE(CONTROL!$C$32, $C$9, 100%, $E$9)</f>
        <v>7.9702999999999999</v>
      </c>
      <c r="L165" s="81">
        <f>4.9142 * CHOOSE(CONTROL!$C$32, $C$9, 100%, $E$9)</f>
        <v>4.9142000000000001</v>
      </c>
      <c r="M165" s="81">
        <f>4.9195 * CHOOSE(CONTROL!$C$32, $C$9, 100%, $E$9)</f>
        <v>4.9195000000000002</v>
      </c>
      <c r="N165" s="81">
        <f>4.9142 * CHOOSE(CONTROL!$C$32, $C$9, 100%, $E$9)</f>
        <v>4.9142000000000001</v>
      </c>
      <c r="O165" s="81">
        <f>4.9195 * CHOOSE(CONTROL!$C$32, $C$9, 100%, $E$9)</f>
        <v>4.9195000000000002</v>
      </c>
    </row>
    <row r="166" spans="1:15" ht="15" x14ac:dyDescent="0.2">
      <c r="A166" s="16">
        <v>46266</v>
      </c>
      <c r="B166" s="80">
        <f>3.8543 * CHOOSE(CONTROL!$C$32, $C$9, 100%, $E$9)</f>
        <v>3.8542999999999998</v>
      </c>
      <c r="C166" s="80">
        <f>3.8543 * CHOOSE(CONTROL!$C$32, $C$9, 100%, $E$9)</f>
        <v>3.8542999999999998</v>
      </c>
      <c r="D166" s="80">
        <f>3.8558 * CHOOSE(CONTROL!$C$32, $C$9, 100%, $E$9)</f>
        <v>3.8557999999999999</v>
      </c>
      <c r="E166" s="81">
        <f>4.9122 * CHOOSE(CONTROL!$C$32, $C$9, 100%, $E$9)</f>
        <v>4.9122000000000003</v>
      </c>
      <c r="F166" s="81">
        <f>4.9122 * CHOOSE(CONTROL!$C$32, $C$9, 100%, $E$9)</f>
        <v>4.9122000000000003</v>
      </c>
      <c r="G166" s="81">
        <f>4.9175 * CHOOSE(CONTROL!$C$32, $C$9, 100%, $E$9)</f>
        <v>4.9175000000000004</v>
      </c>
      <c r="H166" s="81">
        <f>7.9816 * CHOOSE(CONTROL!$C$32, $C$9, 100%, $E$9)</f>
        <v>7.9816000000000003</v>
      </c>
      <c r="I166" s="81">
        <f>7.9869 * CHOOSE(CONTROL!$C$32, $C$9, 100%, $E$9)</f>
        <v>7.9869000000000003</v>
      </c>
      <c r="J166" s="81">
        <f>7.9816 * CHOOSE(CONTROL!$C$32, $C$9, 100%, $E$9)</f>
        <v>7.9816000000000003</v>
      </c>
      <c r="K166" s="81">
        <f>7.9869 * CHOOSE(CONTROL!$C$32, $C$9, 100%, $E$9)</f>
        <v>7.9869000000000003</v>
      </c>
      <c r="L166" s="81">
        <f>4.9122 * CHOOSE(CONTROL!$C$32, $C$9, 100%, $E$9)</f>
        <v>4.9122000000000003</v>
      </c>
      <c r="M166" s="81">
        <f>4.9175 * CHOOSE(CONTROL!$C$32, $C$9, 100%, $E$9)</f>
        <v>4.9175000000000004</v>
      </c>
      <c r="N166" s="81">
        <f>4.9122 * CHOOSE(CONTROL!$C$32, $C$9, 100%, $E$9)</f>
        <v>4.9122000000000003</v>
      </c>
      <c r="O166" s="81">
        <f>4.9175 * CHOOSE(CONTROL!$C$32, $C$9, 100%, $E$9)</f>
        <v>4.9175000000000004</v>
      </c>
    </row>
    <row r="167" spans="1:15" ht="15" x14ac:dyDescent="0.2">
      <c r="A167" s="16">
        <v>46296</v>
      </c>
      <c r="B167" s="80">
        <f>3.8489 * CHOOSE(CONTROL!$C$32, $C$9, 100%, $E$9)</f>
        <v>3.8489</v>
      </c>
      <c r="C167" s="80">
        <f>3.8489 * CHOOSE(CONTROL!$C$32, $C$9, 100%, $E$9)</f>
        <v>3.8489</v>
      </c>
      <c r="D167" s="80">
        <f>3.8499 * CHOOSE(CONTROL!$C$32, $C$9, 100%, $E$9)</f>
        <v>3.8498999999999999</v>
      </c>
      <c r="E167" s="81">
        <f>4.9067 * CHOOSE(CONTROL!$C$32, $C$9, 100%, $E$9)</f>
        <v>4.9066999999999998</v>
      </c>
      <c r="F167" s="81">
        <f>4.9067 * CHOOSE(CONTROL!$C$32, $C$9, 100%, $E$9)</f>
        <v>4.9066999999999998</v>
      </c>
      <c r="G167" s="81">
        <f>4.9103 * CHOOSE(CONTROL!$C$32, $C$9, 100%, $E$9)</f>
        <v>4.9103000000000003</v>
      </c>
      <c r="H167" s="81">
        <f>7.9982 * CHOOSE(CONTROL!$C$32, $C$9, 100%, $E$9)</f>
        <v>7.9981999999999998</v>
      </c>
      <c r="I167" s="81">
        <f>8.0018 * CHOOSE(CONTROL!$C$32, $C$9, 100%, $E$9)</f>
        <v>8.0017999999999994</v>
      </c>
      <c r="J167" s="81">
        <f>7.9982 * CHOOSE(CONTROL!$C$32, $C$9, 100%, $E$9)</f>
        <v>7.9981999999999998</v>
      </c>
      <c r="K167" s="81">
        <f>8.0018 * CHOOSE(CONTROL!$C$32, $C$9, 100%, $E$9)</f>
        <v>8.0017999999999994</v>
      </c>
      <c r="L167" s="81">
        <f>4.9067 * CHOOSE(CONTROL!$C$32, $C$9, 100%, $E$9)</f>
        <v>4.9066999999999998</v>
      </c>
      <c r="M167" s="81">
        <f>4.9103 * CHOOSE(CONTROL!$C$32, $C$9, 100%, $E$9)</f>
        <v>4.9103000000000003</v>
      </c>
      <c r="N167" s="81">
        <f>4.9067 * CHOOSE(CONTROL!$C$32, $C$9, 100%, $E$9)</f>
        <v>4.9066999999999998</v>
      </c>
      <c r="O167" s="81">
        <f>4.9103 * CHOOSE(CONTROL!$C$32, $C$9, 100%, $E$9)</f>
        <v>4.9103000000000003</v>
      </c>
    </row>
    <row r="168" spans="1:15" ht="15" x14ac:dyDescent="0.2">
      <c r="A168" s="16">
        <v>46327</v>
      </c>
      <c r="B168" s="80">
        <f>3.8519 * CHOOSE(CONTROL!$C$32, $C$9, 100%, $E$9)</f>
        <v>3.8519000000000001</v>
      </c>
      <c r="C168" s="80">
        <f>3.8519 * CHOOSE(CONTROL!$C$32, $C$9, 100%, $E$9)</f>
        <v>3.8519000000000001</v>
      </c>
      <c r="D168" s="80">
        <f>3.853 * CHOOSE(CONTROL!$C$32, $C$9, 100%, $E$9)</f>
        <v>3.8530000000000002</v>
      </c>
      <c r="E168" s="81">
        <f>4.9087 * CHOOSE(CONTROL!$C$32, $C$9, 100%, $E$9)</f>
        <v>4.9086999999999996</v>
      </c>
      <c r="F168" s="81">
        <f>4.9087 * CHOOSE(CONTROL!$C$32, $C$9, 100%, $E$9)</f>
        <v>4.9086999999999996</v>
      </c>
      <c r="G168" s="81">
        <f>4.9123 * CHOOSE(CONTROL!$C$32, $C$9, 100%, $E$9)</f>
        <v>4.9123000000000001</v>
      </c>
      <c r="H168" s="81">
        <f>8.0149 * CHOOSE(CONTROL!$C$32, $C$9, 100%, $E$9)</f>
        <v>8.0149000000000008</v>
      </c>
      <c r="I168" s="81">
        <f>8.0185 * CHOOSE(CONTROL!$C$32, $C$9, 100%, $E$9)</f>
        <v>8.0184999999999995</v>
      </c>
      <c r="J168" s="81">
        <f>8.0149 * CHOOSE(CONTROL!$C$32, $C$9, 100%, $E$9)</f>
        <v>8.0149000000000008</v>
      </c>
      <c r="K168" s="81">
        <f>8.0185 * CHOOSE(CONTROL!$C$32, $C$9, 100%, $E$9)</f>
        <v>8.0184999999999995</v>
      </c>
      <c r="L168" s="81">
        <f>4.9087 * CHOOSE(CONTROL!$C$32, $C$9, 100%, $E$9)</f>
        <v>4.9086999999999996</v>
      </c>
      <c r="M168" s="81">
        <f>4.9123 * CHOOSE(CONTROL!$C$32, $C$9, 100%, $E$9)</f>
        <v>4.9123000000000001</v>
      </c>
      <c r="N168" s="81">
        <f>4.9087 * CHOOSE(CONTROL!$C$32, $C$9, 100%, $E$9)</f>
        <v>4.9086999999999996</v>
      </c>
      <c r="O168" s="81">
        <f>4.9123 * CHOOSE(CONTROL!$C$32, $C$9, 100%, $E$9)</f>
        <v>4.9123000000000001</v>
      </c>
    </row>
    <row r="169" spans="1:15" ht="15" x14ac:dyDescent="0.2">
      <c r="A169" s="16">
        <v>46357</v>
      </c>
      <c r="B169" s="80">
        <f>3.8519 * CHOOSE(CONTROL!$C$32, $C$9, 100%, $E$9)</f>
        <v>3.8519000000000001</v>
      </c>
      <c r="C169" s="80">
        <f>3.8519 * CHOOSE(CONTROL!$C$32, $C$9, 100%, $E$9)</f>
        <v>3.8519000000000001</v>
      </c>
      <c r="D169" s="80">
        <f>3.853 * CHOOSE(CONTROL!$C$32, $C$9, 100%, $E$9)</f>
        <v>3.8530000000000002</v>
      </c>
      <c r="E169" s="81">
        <f>4.9087 * CHOOSE(CONTROL!$C$32, $C$9, 100%, $E$9)</f>
        <v>4.9086999999999996</v>
      </c>
      <c r="F169" s="81">
        <f>4.9087 * CHOOSE(CONTROL!$C$32, $C$9, 100%, $E$9)</f>
        <v>4.9086999999999996</v>
      </c>
      <c r="G169" s="81">
        <f>4.9123 * CHOOSE(CONTROL!$C$32, $C$9, 100%, $E$9)</f>
        <v>4.9123000000000001</v>
      </c>
      <c r="H169" s="81">
        <f>8.0316 * CHOOSE(CONTROL!$C$32, $C$9, 100%, $E$9)</f>
        <v>8.0315999999999992</v>
      </c>
      <c r="I169" s="81">
        <f>8.0352 * CHOOSE(CONTROL!$C$32, $C$9, 100%, $E$9)</f>
        <v>8.0351999999999997</v>
      </c>
      <c r="J169" s="81">
        <f>8.0316 * CHOOSE(CONTROL!$C$32, $C$9, 100%, $E$9)</f>
        <v>8.0315999999999992</v>
      </c>
      <c r="K169" s="81">
        <f>8.0352 * CHOOSE(CONTROL!$C$32, $C$9, 100%, $E$9)</f>
        <v>8.0351999999999997</v>
      </c>
      <c r="L169" s="81">
        <f>4.9087 * CHOOSE(CONTROL!$C$32, $C$9, 100%, $E$9)</f>
        <v>4.9086999999999996</v>
      </c>
      <c r="M169" s="81">
        <f>4.9123 * CHOOSE(CONTROL!$C$32, $C$9, 100%, $E$9)</f>
        <v>4.9123000000000001</v>
      </c>
      <c r="N169" s="81">
        <f>4.9087 * CHOOSE(CONTROL!$C$32, $C$9, 100%, $E$9)</f>
        <v>4.9086999999999996</v>
      </c>
      <c r="O169" s="81">
        <f>4.9123 * CHOOSE(CONTROL!$C$32, $C$9, 100%, $E$9)</f>
        <v>4.9123000000000001</v>
      </c>
    </row>
    <row r="170" spans="1:15" ht="15" x14ac:dyDescent="0.2">
      <c r="A170" s="16">
        <v>46388</v>
      </c>
      <c r="B170" s="80">
        <f>3.8871 * CHOOSE(CONTROL!$C$32, $C$9, 100%, $E$9)</f>
        <v>3.8871000000000002</v>
      </c>
      <c r="C170" s="80">
        <f>3.8871 * CHOOSE(CONTROL!$C$32, $C$9, 100%, $E$9)</f>
        <v>3.8871000000000002</v>
      </c>
      <c r="D170" s="80">
        <f>3.8882 * CHOOSE(CONTROL!$C$32, $C$9, 100%, $E$9)</f>
        <v>3.8881999999999999</v>
      </c>
      <c r="E170" s="81">
        <f>4.9479 * CHOOSE(CONTROL!$C$32, $C$9, 100%, $E$9)</f>
        <v>4.9478999999999997</v>
      </c>
      <c r="F170" s="81">
        <f>4.9479 * CHOOSE(CONTROL!$C$32, $C$9, 100%, $E$9)</f>
        <v>4.9478999999999997</v>
      </c>
      <c r="G170" s="81">
        <f>4.9515 * CHOOSE(CONTROL!$C$32, $C$9, 100%, $E$9)</f>
        <v>4.9515000000000002</v>
      </c>
      <c r="H170" s="81">
        <f>8.0483 * CHOOSE(CONTROL!$C$32, $C$9, 100%, $E$9)</f>
        <v>8.0482999999999993</v>
      </c>
      <c r="I170" s="81">
        <f>8.0519 * CHOOSE(CONTROL!$C$32, $C$9, 100%, $E$9)</f>
        <v>8.0518999999999998</v>
      </c>
      <c r="J170" s="81">
        <f>8.0483 * CHOOSE(CONTROL!$C$32, $C$9, 100%, $E$9)</f>
        <v>8.0482999999999993</v>
      </c>
      <c r="K170" s="81">
        <f>8.0519 * CHOOSE(CONTROL!$C$32, $C$9, 100%, $E$9)</f>
        <v>8.0518999999999998</v>
      </c>
      <c r="L170" s="81">
        <f>4.9479 * CHOOSE(CONTROL!$C$32, $C$9, 100%, $E$9)</f>
        <v>4.9478999999999997</v>
      </c>
      <c r="M170" s="81">
        <f>4.9515 * CHOOSE(CONTROL!$C$32, $C$9, 100%, $E$9)</f>
        <v>4.9515000000000002</v>
      </c>
      <c r="N170" s="81">
        <f>4.9479 * CHOOSE(CONTROL!$C$32, $C$9, 100%, $E$9)</f>
        <v>4.9478999999999997</v>
      </c>
      <c r="O170" s="81">
        <f>4.9515 * CHOOSE(CONTROL!$C$32, $C$9, 100%, $E$9)</f>
        <v>4.9515000000000002</v>
      </c>
    </row>
    <row r="171" spans="1:15" ht="15" x14ac:dyDescent="0.2">
      <c r="A171" s="16">
        <v>46419</v>
      </c>
      <c r="B171" s="80">
        <f>3.884 * CHOOSE(CONTROL!$C$32, $C$9, 100%, $E$9)</f>
        <v>3.8839999999999999</v>
      </c>
      <c r="C171" s="80">
        <f>3.884 * CHOOSE(CONTROL!$C$32, $C$9, 100%, $E$9)</f>
        <v>3.8839999999999999</v>
      </c>
      <c r="D171" s="80">
        <f>3.8851 * CHOOSE(CONTROL!$C$32, $C$9, 100%, $E$9)</f>
        <v>3.8851</v>
      </c>
      <c r="E171" s="81">
        <f>4.9459 * CHOOSE(CONTROL!$C$32, $C$9, 100%, $E$9)</f>
        <v>4.9459</v>
      </c>
      <c r="F171" s="81">
        <f>4.9459 * CHOOSE(CONTROL!$C$32, $C$9, 100%, $E$9)</f>
        <v>4.9459</v>
      </c>
      <c r="G171" s="81">
        <f>4.9495 * CHOOSE(CONTROL!$C$32, $C$9, 100%, $E$9)</f>
        <v>4.9494999999999996</v>
      </c>
      <c r="H171" s="81">
        <f>8.0651 * CHOOSE(CONTROL!$C$32, $C$9, 100%, $E$9)</f>
        <v>8.0650999999999993</v>
      </c>
      <c r="I171" s="81">
        <f>8.0687 * CHOOSE(CONTROL!$C$32, $C$9, 100%, $E$9)</f>
        <v>8.0686999999999998</v>
      </c>
      <c r="J171" s="81">
        <f>8.0651 * CHOOSE(CONTROL!$C$32, $C$9, 100%, $E$9)</f>
        <v>8.0650999999999993</v>
      </c>
      <c r="K171" s="81">
        <f>8.0687 * CHOOSE(CONTROL!$C$32, $C$9, 100%, $E$9)</f>
        <v>8.0686999999999998</v>
      </c>
      <c r="L171" s="81">
        <f>4.9459 * CHOOSE(CONTROL!$C$32, $C$9, 100%, $E$9)</f>
        <v>4.9459</v>
      </c>
      <c r="M171" s="81">
        <f>4.9495 * CHOOSE(CONTROL!$C$32, $C$9, 100%, $E$9)</f>
        <v>4.9494999999999996</v>
      </c>
      <c r="N171" s="81">
        <f>4.9459 * CHOOSE(CONTROL!$C$32, $C$9, 100%, $E$9)</f>
        <v>4.9459</v>
      </c>
      <c r="O171" s="81">
        <f>4.9495 * CHOOSE(CONTROL!$C$32, $C$9, 100%, $E$9)</f>
        <v>4.9494999999999996</v>
      </c>
    </row>
    <row r="172" spans="1:15" ht="15" x14ac:dyDescent="0.2">
      <c r="A172" s="16">
        <v>46447</v>
      </c>
      <c r="B172" s="80">
        <f>3.881 * CHOOSE(CONTROL!$C$32, $C$9, 100%, $E$9)</f>
        <v>3.8809999999999998</v>
      </c>
      <c r="C172" s="80">
        <f>3.881 * CHOOSE(CONTROL!$C$32, $C$9, 100%, $E$9)</f>
        <v>3.8809999999999998</v>
      </c>
      <c r="D172" s="80">
        <f>3.8821 * CHOOSE(CONTROL!$C$32, $C$9, 100%, $E$9)</f>
        <v>3.8820999999999999</v>
      </c>
      <c r="E172" s="81">
        <f>4.9439 * CHOOSE(CONTROL!$C$32, $C$9, 100%, $E$9)</f>
        <v>4.9439000000000002</v>
      </c>
      <c r="F172" s="81">
        <f>4.9439 * CHOOSE(CONTROL!$C$32, $C$9, 100%, $E$9)</f>
        <v>4.9439000000000002</v>
      </c>
      <c r="G172" s="81">
        <f>4.9475 * CHOOSE(CONTROL!$C$32, $C$9, 100%, $E$9)</f>
        <v>4.9474999999999998</v>
      </c>
      <c r="H172" s="81">
        <f>8.0819 * CHOOSE(CONTROL!$C$32, $C$9, 100%, $E$9)</f>
        <v>8.0818999999999992</v>
      </c>
      <c r="I172" s="81">
        <f>8.0855 * CHOOSE(CONTROL!$C$32, $C$9, 100%, $E$9)</f>
        <v>8.0854999999999997</v>
      </c>
      <c r="J172" s="81">
        <f>8.0819 * CHOOSE(CONTROL!$C$32, $C$9, 100%, $E$9)</f>
        <v>8.0818999999999992</v>
      </c>
      <c r="K172" s="81">
        <f>8.0855 * CHOOSE(CONTROL!$C$32, $C$9, 100%, $E$9)</f>
        <v>8.0854999999999997</v>
      </c>
      <c r="L172" s="81">
        <f>4.9439 * CHOOSE(CONTROL!$C$32, $C$9, 100%, $E$9)</f>
        <v>4.9439000000000002</v>
      </c>
      <c r="M172" s="81">
        <f>4.9475 * CHOOSE(CONTROL!$C$32, $C$9, 100%, $E$9)</f>
        <v>4.9474999999999998</v>
      </c>
      <c r="N172" s="81">
        <f>4.9439 * CHOOSE(CONTROL!$C$32, $C$9, 100%, $E$9)</f>
        <v>4.9439000000000002</v>
      </c>
      <c r="O172" s="81">
        <f>4.9475 * CHOOSE(CONTROL!$C$32, $C$9, 100%, $E$9)</f>
        <v>4.9474999999999998</v>
      </c>
    </row>
    <row r="173" spans="1:15" ht="15" x14ac:dyDescent="0.2">
      <c r="A173" s="16">
        <v>46478</v>
      </c>
      <c r="B173" s="80">
        <f>3.8786 * CHOOSE(CONTROL!$C$32, $C$9, 100%, $E$9)</f>
        <v>3.8786</v>
      </c>
      <c r="C173" s="80">
        <f>3.8786 * CHOOSE(CONTROL!$C$32, $C$9, 100%, $E$9)</f>
        <v>3.8786</v>
      </c>
      <c r="D173" s="80">
        <f>3.8796 * CHOOSE(CONTROL!$C$32, $C$9, 100%, $E$9)</f>
        <v>3.8795999999999999</v>
      </c>
      <c r="E173" s="81">
        <f>4.9418 * CHOOSE(CONTROL!$C$32, $C$9, 100%, $E$9)</f>
        <v>4.9417999999999997</v>
      </c>
      <c r="F173" s="81">
        <f>4.9418 * CHOOSE(CONTROL!$C$32, $C$9, 100%, $E$9)</f>
        <v>4.9417999999999997</v>
      </c>
      <c r="G173" s="81">
        <f>4.9454 * CHOOSE(CONTROL!$C$32, $C$9, 100%, $E$9)</f>
        <v>4.9454000000000002</v>
      </c>
      <c r="H173" s="81">
        <f>8.0987 * CHOOSE(CONTROL!$C$32, $C$9, 100%, $E$9)</f>
        <v>8.0986999999999991</v>
      </c>
      <c r="I173" s="81">
        <f>8.1023 * CHOOSE(CONTROL!$C$32, $C$9, 100%, $E$9)</f>
        <v>8.1022999999999996</v>
      </c>
      <c r="J173" s="81">
        <f>8.0987 * CHOOSE(CONTROL!$C$32, $C$9, 100%, $E$9)</f>
        <v>8.0986999999999991</v>
      </c>
      <c r="K173" s="81">
        <f>8.1023 * CHOOSE(CONTROL!$C$32, $C$9, 100%, $E$9)</f>
        <v>8.1022999999999996</v>
      </c>
      <c r="L173" s="81">
        <f>4.9418 * CHOOSE(CONTROL!$C$32, $C$9, 100%, $E$9)</f>
        <v>4.9417999999999997</v>
      </c>
      <c r="M173" s="81">
        <f>4.9454 * CHOOSE(CONTROL!$C$32, $C$9, 100%, $E$9)</f>
        <v>4.9454000000000002</v>
      </c>
      <c r="N173" s="81">
        <f>4.9418 * CHOOSE(CONTROL!$C$32, $C$9, 100%, $E$9)</f>
        <v>4.9417999999999997</v>
      </c>
      <c r="O173" s="81">
        <f>4.9454 * CHOOSE(CONTROL!$C$32, $C$9, 100%, $E$9)</f>
        <v>4.9454000000000002</v>
      </c>
    </row>
    <row r="174" spans="1:15" ht="15" x14ac:dyDescent="0.2">
      <c r="A174" s="16">
        <v>46508</v>
      </c>
      <c r="B174" s="80">
        <f>3.8786 * CHOOSE(CONTROL!$C$32, $C$9, 100%, $E$9)</f>
        <v>3.8786</v>
      </c>
      <c r="C174" s="80">
        <f>3.8786 * CHOOSE(CONTROL!$C$32, $C$9, 100%, $E$9)</f>
        <v>3.8786</v>
      </c>
      <c r="D174" s="80">
        <f>3.8801 * CHOOSE(CONTROL!$C$32, $C$9, 100%, $E$9)</f>
        <v>3.8801000000000001</v>
      </c>
      <c r="E174" s="81">
        <f>4.9418 * CHOOSE(CONTROL!$C$32, $C$9, 100%, $E$9)</f>
        <v>4.9417999999999997</v>
      </c>
      <c r="F174" s="81">
        <f>4.9418 * CHOOSE(CONTROL!$C$32, $C$9, 100%, $E$9)</f>
        <v>4.9417999999999997</v>
      </c>
      <c r="G174" s="81">
        <f>4.9471 * CHOOSE(CONTROL!$C$32, $C$9, 100%, $E$9)</f>
        <v>4.9470999999999998</v>
      </c>
      <c r="H174" s="81">
        <f>8.1156 * CHOOSE(CONTROL!$C$32, $C$9, 100%, $E$9)</f>
        <v>8.1156000000000006</v>
      </c>
      <c r="I174" s="81">
        <f>8.1209 * CHOOSE(CONTROL!$C$32, $C$9, 100%, $E$9)</f>
        <v>8.1209000000000007</v>
      </c>
      <c r="J174" s="81">
        <f>8.1156 * CHOOSE(CONTROL!$C$32, $C$9, 100%, $E$9)</f>
        <v>8.1156000000000006</v>
      </c>
      <c r="K174" s="81">
        <f>8.1209 * CHOOSE(CONTROL!$C$32, $C$9, 100%, $E$9)</f>
        <v>8.1209000000000007</v>
      </c>
      <c r="L174" s="81">
        <f>4.9418 * CHOOSE(CONTROL!$C$32, $C$9, 100%, $E$9)</f>
        <v>4.9417999999999997</v>
      </c>
      <c r="M174" s="81">
        <f>4.9471 * CHOOSE(CONTROL!$C$32, $C$9, 100%, $E$9)</f>
        <v>4.9470999999999998</v>
      </c>
      <c r="N174" s="81">
        <f>4.9418 * CHOOSE(CONTROL!$C$32, $C$9, 100%, $E$9)</f>
        <v>4.9417999999999997</v>
      </c>
      <c r="O174" s="81">
        <f>4.9471 * CHOOSE(CONTROL!$C$32, $C$9, 100%, $E$9)</f>
        <v>4.9470999999999998</v>
      </c>
    </row>
    <row r="175" spans="1:15" ht="15" x14ac:dyDescent="0.2">
      <c r="A175" s="16">
        <v>46539</v>
      </c>
      <c r="B175" s="80">
        <f>3.8846 * CHOOSE(CONTROL!$C$32, $C$9, 100%, $E$9)</f>
        <v>3.8845999999999998</v>
      </c>
      <c r="C175" s="80">
        <f>3.8846 * CHOOSE(CONTROL!$C$32, $C$9, 100%, $E$9)</f>
        <v>3.8845999999999998</v>
      </c>
      <c r="D175" s="80">
        <f>3.8862 * CHOOSE(CONTROL!$C$32, $C$9, 100%, $E$9)</f>
        <v>3.8862000000000001</v>
      </c>
      <c r="E175" s="81">
        <f>4.9458 * CHOOSE(CONTROL!$C$32, $C$9, 100%, $E$9)</f>
        <v>4.9458000000000002</v>
      </c>
      <c r="F175" s="81">
        <f>4.9458 * CHOOSE(CONTROL!$C$32, $C$9, 100%, $E$9)</f>
        <v>4.9458000000000002</v>
      </c>
      <c r="G175" s="81">
        <f>4.9511 * CHOOSE(CONTROL!$C$32, $C$9, 100%, $E$9)</f>
        <v>4.9511000000000003</v>
      </c>
      <c r="H175" s="81">
        <f>8.1325 * CHOOSE(CONTROL!$C$32, $C$9, 100%, $E$9)</f>
        <v>8.1325000000000003</v>
      </c>
      <c r="I175" s="81">
        <f>8.1378 * CHOOSE(CONTROL!$C$32, $C$9, 100%, $E$9)</f>
        <v>8.1378000000000004</v>
      </c>
      <c r="J175" s="81">
        <f>8.1325 * CHOOSE(CONTROL!$C$32, $C$9, 100%, $E$9)</f>
        <v>8.1325000000000003</v>
      </c>
      <c r="K175" s="81">
        <f>8.1378 * CHOOSE(CONTROL!$C$32, $C$9, 100%, $E$9)</f>
        <v>8.1378000000000004</v>
      </c>
      <c r="L175" s="81">
        <f>4.9458 * CHOOSE(CONTROL!$C$32, $C$9, 100%, $E$9)</f>
        <v>4.9458000000000002</v>
      </c>
      <c r="M175" s="81">
        <f>4.9511 * CHOOSE(CONTROL!$C$32, $C$9, 100%, $E$9)</f>
        <v>4.9511000000000003</v>
      </c>
      <c r="N175" s="81">
        <f>4.9458 * CHOOSE(CONTROL!$C$32, $C$9, 100%, $E$9)</f>
        <v>4.9458000000000002</v>
      </c>
      <c r="O175" s="81">
        <f>4.9511 * CHOOSE(CONTROL!$C$32, $C$9, 100%, $E$9)</f>
        <v>4.9511000000000003</v>
      </c>
    </row>
    <row r="176" spans="1:15" ht="15" x14ac:dyDescent="0.2">
      <c r="A176" s="16">
        <v>46569</v>
      </c>
      <c r="B176" s="80">
        <f>3.951 * CHOOSE(CONTROL!$C$32, $C$9, 100%, $E$9)</f>
        <v>3.9510000000000001</v>
      </c>
      <c r="C176" s="80">
        <f>3.951 * CHOOSE(CONTROL!$C$32, $C$9, 100%, $E$9)</f>
        <v>3.9510000000000001</v>
      </c>
      <c r="D176" s="80">
        <f>3.9526 * CHOOSE(CONTROL!$C$32, $C$9, 100%, $E$9)</f>
        <v>3.9525999999999999</v>
      </c>
      <c r="E176" s="81">
        <f>5.0318 * CHOOSE(CONTROL!$C$32, $C$9, 100%, $E$9)</f>
        <v>5.0317999999999996</v>
      </c>
      <c r="F176" s="81">
        <f>5.0318 * CHOOSE(CONTROL!$C$32, $C$9, 100%, $E$9)</f>
        <v>5.0317999999999996</v>
      </c>
      <c r="G176" s="81">
        <f>5.0371 * CHOOSE(CONTROL!$C$32, $C$9, 100%, $E$9)</f>
        <v>5.0370999999999997</v>
      </c>
      <c r="H176" s="81">
        <f>8.1494 * CHOOSE(CONTROL!$C$32, $C$9, 100%, $E$9)</f>
        <v>8.1494</v>
      </c>
      <c r="I176" s="81">
        <f>8.1547 * CHOOSE(CONTROL!$C$32, $C$9, 100%, $E$9)</f>
        <v>8.1547000000000001</v>
      </c>
      <c r="J176" s="81">
        <f>8.1494 * CHOOSE(CONTROL!$C$32, $C$9, 100%, $E$9)</f>
        <v>8.1494</v>
      </c>
      <c r="K176" s="81">
        <f>8.1547 * CHOOSE(CONTROL!$C$32, $C$9, 100%, $E$9)</f>
        <v>8.1547000000000001</v>
      </c>
      <c r="L176" s="81">
        <f>5.0318 * CHOOSE(CONTROL!$C$32, $C$9, 100%, $E$9)</f>
        <v>5.0317999999999996</v>
      </c>
      <c r="M176" s="81">
        <f>5.0371 * CHOOSE(CONTROL!$C$32, $C$9, 100%, $E$9)</f>
        <v>5.0370999999999997</v>
      </c>
      <c r="N176" s="81">
        <f>5.0318 * CHOOSE(CONTROL!$C$32, $C$9, 100%, $E$9)</f>
        <v>5.0317999999999996</v>
      </c>
      <c r="O176" s="81">
        <f>5.0371 * CHOOSE(CONTROL!$C$32, $C$9, 100%, $E$9)</f>
        <v>5.0370999999999997</v>
      </c>
    </row>
    <row r="177" spans="1:15" ht="15" x14ac:dyDescent="0.2">
      <c r="A177" s="16">
        <v>46600</v>
      </c>
      <c r="B177" s="80">
        <f>3.9577 * CHOOSE(CONTROL!$C$32, $C$9, 100%, $E$9)</f>
        <v>3.9577</v>
      </c>
      <c r="C177" s="80">
        <f>3.9577 * CHOOSE(CONTROL!$C$32, $C$9, 100%, $E$9)</f>
        <v>3.9577</v>
      </c>
      <c r="D177" s="80">
        <f>3.9592 * CHOOSE(CONTROL!$C$32, $C$9, 100%, $E$9)</f>
        <v>3.9592000000000001</v>
      </c>
      <c r="E177" s="81">
        <f>5.0362 * CHOOSE(CONTROL!$C$32, $C$9, 100%, $E$9)</f>
        <v>5.0362</v>
      </c>
      <c r="F177" s="81">
        <f>5.0362 * CHOOSE(CONTROL!$C$32, $C$9, 100%, $E$9)</f>
        <v>5.0362</v>
      </c>
      <c r="G177" s="81">
        <f>5.0415 * CHOOSE(CONTROL!$C$32, $C$9, 100%, $E$9)</f>
        <v>5.0415000000000001</v>
      </c>
      <c r="H177" s="81">
        <f>8.1664 * CHOOSE(CONTROL!$C$32, $C$9, 100%, $E$9)</f>
        <v>8.1663999999999994</v>
      </c>
      <c r="I177" s="81">
        <f>8.1717 * CHOOSE(CONTROL!$C$32, $C$9, 100%, $E$9)</f>
        <v>8.1716999999999995</v>
      </c>
      <c r="J177" s="81">
        <f>8.1664 * CHOOSE(CONTROL!$C$32, $C$9, 100%, $E$9)</f>
        <v>8.1663999999999994</v>
      </c>
      <c r="K177" s="81">
        <f>8.1717 * CHOOSE(CONTROL!$C$32, $C$9, 100%, $E$9)</f>
        <v>8.1716999999999995</v>
      </c>
      <c r="L177" s="81">
        <f>5.0362 * CHOOSE(CONTROL!$C$32, $C$9, 100%, $E$9)</f>
        <v>5.0362</v>
      </c>
      <c r="M177" s="81">
        <f>5.0415 * CHOOSE(CONTROL!$C$32, $C$9, 100%, $E$9)</f>
        <v>5.0415000000000001</v>
      </c>
      <c r="N177" s="81">
        <f>5.0362 * CHOOSE(CONTROL!$C$32, $C$9, 100%, $E$9)</f>
        <v>5.0362</v>
      </c>
      <c r="O177" s="81">
        <f>5.0415 * CHOOSE(CONTROL!$C$32, $C$9, 100%, $E$9)</f>
        <v>5.0415000000000001</v>
      </c>
    </row>
    <row r="178" spans="1:15" ht="15" x14ac:dyDescent="0.2">
      <c r="A178" s="16">
        <v>46631</v>
      </c>
      <c r="B178" s="80">
        <f>3.9546 * CHOOSE(CONTROL!$C$32, $C$9, 100%, $E$9)</f>
        <v>3.9546000000000001</v>
      </c>
      <c r="C178" s="80">
        <f>3.9546 * CHOOSE(CONTROL!$C$32, $C$9, 100%, $E$9)</f>
        <v>3.9546000000000001</v>
      </c>
      <c r="D178" s="80">
        <f>3.9562 * CHOOSE(CONTROL!$C$32, $C$9, 100%, $E$9)</f>
        <v>3.9561999999999999</v>
      </c>
      <c r="E178" s="81">
        <f>5.0342 * CHOOSE(CONTROL!$C$32, $C$9, 100%, $E$9)</f>
        <v>5.0342000000000002</v>
      </c>
      <c r="F178" s="81">
        <f>5.0342 * CHOOSE(CONTROL!$C$32, $C$9, 100%, $E$9)</f>
        <v>5.0342000000000002</v>
      </c>
      <c r="G178" s="81">
        <f>5.0395 * CHOOSE(CONTROL!$C$32, $C$9, 100%, $E$9)</f>
        <v>5.0395000000000003</v>
      </c>
      <c r="H178" s="81">
        <f>8.1834 * CHOOSE(CONTROL!$C$32, $C$9, 100%, $E$9)</f>
        <v>8.1834000000000007</v>
      </c>
      <c r="I178" s="81">
        <f>8.1887 * CHOOSE(CONTROL!$C$32, $C$9, 100%, $E$9)</f>
        <v>8.1887000000000008</v>
      </c>
      <c r="J178" s="81">
        <f>8.1834 * CHOOSE(CONTROL!$C$32, $C$9, 100%, $E$9)</f>
        <v>8.1834000000000007</v>
      </c>
      <c r="K178" s="81">
        <f>8.1887 * CHOOSE(CONTROL!$C$32, $C$9, 100%, $E$9)</f>
        <v>8.1887000000000008</v>
      </c>
      <c r="L178" s="81">
        <f>5.0342 * CHOOSE(CONTROL!$C$32, $C$9, 100%, $E$9)</f>
        <v>5.0342000000000002</v>
      </c>
      <c r="M178" s="81">
        <f>5.0395 * CHOOSE(CONTROL!$C$32, $C$9, 100%, $E$9)</f>
        <v>5.0395000000000003</v>
      </c>
      <c r="N178" s="81">
        <f>5.0342 * CHOOSE(CONTROL!$C$32, $C$9, 100%, $E$9)</f>
        <v>5.0342000000000002</v>
      </c>
      <c r="O178" s="81">
        <f>5.0395 * CHOOSE(CONTROL!$C$32, $C$9, 100%, $E$9)</f>
        <v>5.0395000000000003</v>
      </c>
    </row>
    <row r="179" spans="1:15" ht="15" x14ac:dyDescent="0.2">
      <c r="A179" s="16">
        <v>46661</v>
      </c>
      <c r="B179" s="80">
        <f>3.9496 * CHOOSE(CONTROL!$C$32, $C$9, 100%, $E$9)</f>
        <v>3.9496000000000002</v>
      </c>
      <c r="C179" s="80">
        <f>3.9496 * CHOOSE(CONTROL!$C$32, $C$9, 100%, $E$9)</f>
        <v>3.9496000000000002</v>
      </c>
      <c r="D179" s="80">
        <f>3.9506 * CHOOSE(CONTROL!$C$32, $C$9, 100%, $E$9)</f>
        <v>3.9506000000000001</v>
      </c>
      <c r="E179" s="81">
        <f>5.0288 * CHOOSE(CONTROL!$C$32, $C$9, 100%, $E$9)</f>
        <v>5.0288000000000004</v>
      </c>
      <c r="F179" s="81">
        <f>5.0288 * CHOOSE(CONTROL!$C$32, $C$9, 100%, $E$9)</f>
        <v>5.0288000000000004</v>
      </c>
      <c r="G179" s="81">
        <f>5.0324 * CHOOSE(CONTROL!$C$32, $C$9, 100%, $E$9)</f>
        <v>5.0324</v>
      </c>
      <c r="H179" s="81">
        <f>8.2005 * CHOOSE(CONTROL!$C$32, $C$9, 100%, $E$9)</f>
        <v>8.2004999999999999</v>
      </c>
      <c r="I179" s="81">
        <f>8.2041 * CHOOSE(CONTROL!$C$32, $C$9, 100%, $E$9)</f>
        <v>8.2041000000000004</v>
      </c>
      <c r="J179" s="81">
        <f>8.2005 * CHOOSE(CONTROL!$C$32, $C$9, 100%, $E$9)</f>
        <v>8.2004999999999999</v>
      </c>
      <c r="K179" s="81">
        <f>8.2041 * CHOOSE(CONTROL!$C$32, $C$9, 100%, $E$9)</f>
        <v>8.2041000000000004</v>
      </c>
      <c r="L179" s="81">
        <f>5.0288 * CHOOSE(CONTROL!$C$32, $C$9, 100%, $E$9)</f>
        <v>5.0288000000000004</v>
      </c>
      <c r="M179" s="81">
        <f>5.0324 * CHOOSE(CONTROL!$C$32, $C$9, 100%, $E$9)</f>
        <v>5.0324</v>
      </c>
      <c r="N179" s="81">
        <f>5.0288 * CHOOSE(CONTROL!$C$32, $C$9, 100%, $E$9)</f>
        <v>5.0288000000000004</v>
      </c>
      <c r="O179" s="81">
        <f>5.0324 * CHOOSE(CONTROL!$C$32, $C$9, 100%, $E$9)</f>
        <v>5.0324</v>
      </c>
    </row>
    <row r="180" spans="1:15" ht="15" x14ac:dyDescent="0.2">
      <c r="A180" s="16">
        <v>46692</v>
      </c>
      <c r="B180" s="80">
        <f>3.9526 * CHOOSE(CONTROL!$C$32, $C$9, 100%, $E$9)</f>
        <v>3.9525999999999999</v>
      </c>
      <c r="C180" s="80">
        <f>3.9526 * CHOOSE(CONTROL!$C$32, $C$9, 100%, $E$9)</f>
        <v>3.9525999999999999</v>
      </c>
      <c r="D180" s="80">
        <f>3.9537 * CHOOSE(CONTROL!$C$32, $C$9, 100%, $E$9)</f>
        <v>3.9537</v>
      </c>
      <c r="E180" s="81">
        <f>5.0308 * CHOOSE(CONTROL!$C$32, $C$9, 100%, $E$9)</f>
        <v>5.0308000000000002</v>
      </c>
      <c r="F180" s="81">
        <f>5.0308 * CHOOSE(CONTROL!$C$32, $C$9, 100%, $E$9)</f>
        <v>5.0308000000000002</v>
      </c>
      <c r="G180" s="81">
        <f>5.0344 * CHOOSE(CONTROL!$C$32, $C$9, 100%, $E$9)</f>
        <v>5.0343999999999998</v>
      </c>
      <c r="H180" s="81">
        <f>8.2176 * CHOOSE(CONTROL!$C$32, $C$9, 100%, $E$9)</f>
        <v>8.2175999999999991</v>
      </c>
      <c r="I180" s="81">
        <f>8.2212 * CHOOSE(CONTROL!$C$32, $C$9, 100%, $E$9)</f>
        <v>8.2211999999999996</v>
      </c>
      <c r="J180" s="81">
        <f>8.2176 * CHOOSE(CONTROL!$C$32, $C$9, 100%, $E$9)</f>
        <v>8.2175999999999991</v>
      </c>
      <c r="K180" s="81">
        <f>8.2212 * CHOOSE(CONTROL!$C$32, $C$9, 100%, $E$9)</f>
        <v>8.2211999999999996</v>
      </c>
      <c r="L180" s="81">
        <f>5.0308 * CHOOSE(CONTROL!$C$32, $C$9, 100%, $E$9)</f>
        <v>5.0308000000000002</v>
      </c>
      <c r="M180" s="81">
        <f>5.0344 * CHOOSE(CONTROL!$C$32, $C$9, 100%, $E$9)</f>
        <v>5.0343999999999998</v>
      </c>
      <c r="N180" s="81">
        <f>5.0308 * CHOOSE(CONTROL!$C$32, $C$9, 100%, $E$9)</f>
        <v>5.0308000000000002</v>
      </c>
      <c r="O180" s="81">
        <f>5.0344 * CHOOSE(CONTROL!$C$32, $C$9, 100%, $E$9)</f>
        <v>5.0343999999999998</v>
      </c>
    </row>
    <row r="181" spans="1:15" ht="15" x14ac:dyDescent="0.2">
      <c r="A181" s="16">
        <v>46722</v>
      </c>
      <c r="B181" s="80">
        <f>3.9526 * CHOOSE(CONTROL!$C$32, $C$9, 100%, $E$9)</f>
        <v>3.9525999999999999</v>
      </c>
      <c r="C181" s="80">
        <f>3.9526 * CHOOSE(CONTROL!$C$32, $C$9, 100%, $E$9)</f>
        <v>3.9525999999999999</v>
      </c>
      <c r="D181" s="80">
        <f>3.9537 * CHOOSE(CONTROL!$C$32, $C$9, 100%, $E$9)</f>
        <v>3.9537</v>
      </c>
      <c r="E181" s="81">
        <f>5.0308 * CHOOSE(CONTROL!$C$32, $C$9, 100%, $E$9)</f>
        <v>5.0308000000000002</v>
      </c>
      <c r="F181" s="81">
        <f>5.0308 * CHOOSE(CONTROL!$C$32, $C$9, 100%, $E$9)</f>
        <v>5.0308000000000002</v>
      </c>
      <c r="G181" s="81">
        <f>5.0344 * CHOOSE(CONTROL!$C$32, $C$9, 100%, $E$9)</f>
        <v>5.0343999999999998</v>
      </c>
      <c r="H181" s="81">
        <f>8.2347 * CHOOSE(CONTROL!$C$32, $C$9, 100%, $E$9)</f>
        <v>8.2347000000000001</v>
      </c>
      <c r="I181" s="81">
        <f>8.2383 * CHOOSE(CONTROL!$C$32, $C$9, 100%, $E$9)</f>
        <v>8.2383000000000006</v>
      </c>
      <c r="J181" s="81">
        <f>8.2347 * CHOOSE(CONTROL!$C$32, $C$9, 100%, $E$9)</f>
        <v>8.2347000000000001</v>
      </c>
      <c r="K181" s="81">
        <f>8.2383 * CHOOSE(CONTROL!$C$32, $C$9, 100%, $E$9)</f>
        <v>8.2383000000000006</v>
      </c>
      <c r="L181" s="81">
        <f>5.0308 * CHOOSE(CONTROL!$C$32, $C$9, 100%, $E$9)</f>
        <v>5.0308000000000002</v>
      </c>
      <c r="M181" s="81">
        <f>5.0344 * CHOOSE(CONTROL!$C$32, $C$9, 100%, $E$9)</f>
        <v>5.0343999999999998</v>
      </c>
      <c r="N181" s="81">
        <f>5.0308 * CHOOSE(CONTROL!$C$32, $C$9, 100%, $E$9)</f>
        <v>5.0308000000000002</v>
      </c>
      <c r="O181" s="81">
        <f>5.0344 * CHOOSE(CONTROL!$C$32, $C$9, 100%, $E$9)</f>
        <v>5.0343999999999998</v>
      </c>
    </row>
    <row r="182" spans="1:15" ht="15" x14ac:dyDescent="0.2">
      <c r="A182" s="16">
        <v>46753</v>
      </c>
      <c r="B182" s="80">
        <f>3.9901 * CHOOSE(CONTROL!$C$32, $C$9, 100%, $E$9)</f>
        <v>3.9901</v>
      </c>
      <c r="C182" s="80">
        <f>3.9901 * CHOOSE(CONTROL!$C$32, $C$9, 100%, $E$9)</f>
        <v>3.9901</v>
      </c>
      <c r="D182" s="80">
        <f>3.9912 * CHOOSE(CONTROL!$C$32, $C$9, 100%, $E$9)</f>
        <v>3.9912000000000001</v>
      </c>
      <c r="E182" s="81">
        <f>5.0753 * CHOOSE(CONTROL!$C$32, $C$9, 100%, $E$9)</f>
        <v>5.0753000000000004</v>
      </c>
      <c r="F182" s="81">
        <f>5.0753 * CHOOSE(CONTROL!$C$32, $C$9, 100%, $E$9)</f>
        <v>5.0753000000000004</v>
      </c>
      <c r="G182" s="81">
        <f>5.0789 * CHOOSE(CONTROL!$C$32, $C$9, 100%, $E$9)</f>
        <v>5.0789</v>
      </c>
      <c r="H182" s="81">
        <f>8.2518 * CHOOSE(CONTROL!$C$32, $C$9, 100%, $E$9)</f>
        <v>8.2517999999999994</v>
      </c>
      <c r="I182" s="81">
        <f>8.2555 * CHOOSE(CONTROL!$C$32, $C$9, 100%, $E$9)</f>
        <v>8.2554999999999996</v>
      </c>
      <c r="J182" s="81">
        <f>8.2518 * CHOOSE(CONTROL!$C$32, $C$9, 100%, $E$9)</f>
        <v>8.2517999999999994</v>
      </c>
      <c r="K182" s="81">
        <f>8.2555 * CHOOSE(CONTROL!$C$32, $C$9, 100%, $E$9)</f>
        <v>8.2554999999999996</v>
      </c>
      <c r="L182" s="81">
        <f>5.0753 * CHOOSE(CONTROL!$C$32, $C$9, 100%, $E$9)</f>
        <v>5.0753000000000004</v>
      </c>
      <c r="M182" s="81">
        <f>5.0789 * CHOOSE(CONTROL!$C$32, $C$9, 100%, $E$9)</f>
        <v>5.0789</v>
      </c>
      <c r="N182" s="81">
        <f>5.0753 * CHOOSE(CONTROL!$C$32, $C$9, 100%, $E$9)</f>
        <v>5.0753000000000004</v>
      </c>
      <c r="O182" s="81">
        <f>5.0789 * CHOOSE(CONTROL!$C$32, $C$9, 100%, $E$9)</f>
        <v>5.0789</v>
      </c>
    </row>
    <row r="183" spans="1:15" ht="15" x14ac:dyDescent="0.2">
      <c r="A183" s="16">
        <v>46784</v>
      </c>
      <c r="B183" s="80">
        <f>3.9871 * CHOOSE(CONTROL!$C$32, $C$9, 100%, $E$9)</f>
        <v>3.9870999999999999</v>
      </c>
      <c r="C183" s="80">
        <f>3.9871 * CHOOSE(CONTROL!$C$32, $C$9, 100%, $E$9)</f>
        <v>3.9870999999999999</v>
      </c>
      <c r="D183" s="80">
        <f>3.9882 * CHOOSE(CONTROL!$C$32, $C$9, 100%, $E$9)</f>
        <v>3.9882</v>
      </c>
      <c r="E183" s="81">
        <f>5.0733 * CHOOSE(CONTROL!$C$32, $C$9, 100%, $E$9)</f>
        <v>5.0732999999999997</v>
      </c>
      <c r="F183" s="81">
        <f>5.0733 * CHOOSE(CONTROL!$C$32, $C$9, 100%, $E$9)</f>
        <v>5.0732999999999997</v>
      </c>
      <c r="G183" s="81">
        <f>5.0769 * CHOOSE(CONTROL!$C$32, $C$9, 100%, $E$9)</f>
        <v>5.0769000000000002</v>
      </c>
      <c r="H183" s="81">
        <f>8.269 * CHOOSE(CONTROL!$C$32, $C$9, 100%, $E$9)</f>
        <v>8.2690000000000001</v>
      </c>
      <c r="I183" s="81">
        <f>8.2727 * CHOOSE(CONTROL!$C$32, $C$9, 100%, $E$9)</f>
        <v>8.2727000000000004</v>
      </c>
      <c r="J183" s="81">
        <f>8.269 * CHOOSE(CONTROL!$C$32, $C$9, 100%, $E$9)</f>
        <v>8.2690000000000001</v>
      </c>
      <c r="K183" s="81">
        <f>8.2727 * CHOOSE(CONTROL!$C$32, $C$9, 100%, $E$9)</f>
        <v>8.2727000000000004</v>
      </c>
      <c r="L183" s="81">
        <f>5.0733 * CHOOSE(CONTROL!$C$32, $C$9, 100%, $E$9)</f>
        <v>5.0732999999999997</v>
      </c>
      <c r="M183" s="81">
        <f>5.0769 * CHOOSE(CONTROL!$C$32, $C$9, 100%, $E$9)</f>
        <v>5.0769000000000002</v>
      </c>
      <c r="N183" s="81">
        <f>5.0733 * CHOOSE(CONTROL!$C$32, $C$9, 100%, $E$9)</f>
        <v>5.0732999999999997</v>
      </c>
      <c r="O183" s="81">
        <f>5.0769 * CHOOSE(CONTROL!$C$32, $C$9, 100%, $E$9)</f>
        <v>5.0769000000000002</v>
      </c>
    </row>
    <row r="184" spans="1:15" ht="15" x14ac:dyDescent="0.2">
      <c r="A184" s="16">
        <v>46813</v>
      </c>
      <c r="B184" s="80">
        <f>3.984 * CHOOSE(CONTROL!$C$32, $C$9, 100%, $E$9)</f>
        <v>3.984</v>
      </c>
      <c r="C184" s="80">
        <f>3.984 * CHOOSE(CONTROL!$C$32, $C$9, 100%, $E$9)</f>
        <v>3.984</v>
      </c>
      <c r="D184" s="80">
        <f>3.9851 * CHOOSE(CONTROL!$C$32, $C$9, 100%, $E$9)</f>
        <v>3.9851000000000001</v>
      </c>
      <c r="E184" s="81">
        <f>5.0713 * CHOOSE(CONTROL!$C$32, $C$9, 100%, $E$9)</f>
        <v>5.0712999999999999</v>
      </c>
      <c r="F184" s="81">
        <f>5.0713 * CHOOSE(CONTROL!$C$32, $C$9, 100%, $E$9)</f>
        <v>5.0712999999999999</v>
      </c>
      <c r="G184" s="81">
        <f>5.0749 * CHOOSE(CONTROL!$C$32, $C$9, 100%, $E$9)</f>
        <v>5.0749000000000004</v>
      </c>
      <c r="H184" s="81">
        <f>8.2863 * CHOOSE(CONTROL!$C$32, $C$9, 100%, $E$9)</f>
        <v>8.2863000000000007</v>
      </c>
      <c r="I184" s="81">
        <f>8.2899 * CHOOSE(CONTROL!$C$32, $C$9, 100%, $E$9)</f>
        <v>8.2898999999999994</v>
      </c>
      <c r="J184" s="81">
        <f>8.2863 * CHOOSE(CONTROL!$C$32, $C$9, 100%, $E$9)</f>
        <v>8.2863000000000007</v>
      </c>
      <c r="K184" s="81">
        <f>8.2899 * CHOOSE(CONTROL!$C$32, $C$9, 100%, $E$9)</f>
        <v>8.2898999999999994</v>
      </c>
      <c r="L184" s="81">
        <f>5.0713 * CHOOSE(CONTROL!$C$32, $C$9, 100%, $E$9)</f>
        <v>5.0712999999999999</v>
      </c>
      <c r="M184" s="81">
        <f>5.0749 * CHOOSE(CONTROL!$C$32, $C$9, 100%, $E$9)</f>
        <v>5.0749000000000004</v>
      </c>
      <c r="N184" s="81">
        <f>5.0713 * CHOOSE(CONTROL!$C$32, $C$9, 100%, $E$9)</f>
        <v>5.0712999999999999</v>
      </c>
      <c r="O184" s="81">
        <f>5.0749 * CHOOSE(CONTROL!$C$32, $C$9, 100%, $E$9)</f>
        <v>5.0749000000000004</v>
      </c>
    </row>
    <row r="185" spans="1:15" ht="15" x14ac:dyDescent="0.2">
      <c r="A185" s="16">
        <v>46844</v>
      </c>
      <c r="B185" s="80">
        <f>3.9817 * CHOOSE(CONTROL!$C$32, $C$9, 100%, $E$9)</f>
        <v>3.9817</v>
      </c>
      <c r="C185" s="80">
        <f>3.9817 * CHOOSE(CONTROL!$C$32, $C$9, 100%, $E$9)</f>
        <v>3.9817</v>
      </c>
      <c r="D185" s="80">
        <f>3.9828 * CHOOSE(CONTROL!$C$32, $C$9, 100%, $E$9)</f>
        <v>3.9828000000000001</v>
      </c>
      <c r="E185" s="81">
        <f>5.0692 * CHOOSE(CONTROL!$C$32, $C$9, 100%, $E$9)</f>
        <v>5.0692000000000004</v>
      </c>
      <c r="F185" s="81">
        <f>5.0692 * CHOOSE(CONTROL!$C$32, $C$9, 100%, $E$9)</f>
        <v>5.0692000000000004</v>
      </c>
      <c r="G185" s="81">
        <f>5.0728 * CHOOSE(CONTROL!$C$32, $C$9, 100%, $E$9)</f>
        <v>5.0728</v>
      </c>
      <c r="H185" s="81">
        <f>8.3035 * CHOOSE(CONTROL!$C$32, $C$9, 100%, $E$9)</f>
        <v>8.3034999999999997</v>
      </c>
      <c r="I185" s="81">
        <f>8.3071 * CHOOSE(CONTROL!$C$32, $C$9, 100%, $E$9)</f>
        <v>8.3071000000000002</v>
      </c>
      <c r="J185" s="81">
        <f>8.3035 * CHOOSE(CONTROL!$C$32, $C$9, 100%, $E$9)</f>
        <v>8.3034999999999997</v>
      </c>
      <c r="K185" s="81">
        <f>8.3071 * CHOOSE(CONTROL!$C$32, $C$9, 100%, $E$9)</f>
        <v>8.3071000000000002</v>
      </c>
      <c r="L185" s="81">
        <f>5.0692 * CHOOSE(CONTROL!$C$32, $C$9, 100%, $E$9)</f>
        <v>5.0692000000000004</v>
      </c>
      <c r="M185" s="81">
        <f>5.0728 * CHOOSE(CONTROL!$C$32, $C$9, 100%, $E$9)</f>
        <v>5.0728</v>
      </c>
      <c r="N185" s="81">
        <f>5.0692 * CHOOSE(CONTROL!$C$32, $C$9, 100%, $E$9)</f>
        <v>5.0692000000000004</v>
      </c>
      <c r="O185" s="81">
        <f>5.0728 * CHOOSE(CONTROL!$C$32, $C$9, 100%, $E$9)</f>
        <v>5.0728</v>
      </c>
    </row>
    <row r="186" spans="1:15" ht="15" x14ac:dyDescent="0.2">
      <c r="A186" s="16">
        <v>46874</v>
      </c>
      <c r="B186" s="80">
        <f>3.9817 * CHOOSE(CONTROL!$C$32, $C$9, 100%, $E$9)</f>
        <v>3.9817</v>
      </c>
      <c r="C186" s="80">
        <f>3.9817 * CHOOSE(CONTROL!$C$32, $C$9, 100%, $E$9)</f>
        <v>3.9817</v>
      </c>
      <c r="D186" s="80">
        <f>3.9833 * CHOOSE(CONTROL!$C$32, $C$9, 100%, $E$9)</f>
        <v>3.9832999999999998</v>
      </c>
      <c r="E186" s="81">
        <f>5.0692 * CHOOSE(CONTROL!$C$32, $C$9, 100%, $E$9)</f>
        <v>5.0692000000000004</v>
      </c>
      <c r="F186" s="81">
        <f>5.0692 * CHOOSE(CONTROL!$C$32, $C$9, 100%, $E$9)</f>
        <v>5.0692000000000004</v>
      </c>
      <c r="G186" s="81">
        <f>5.0745 * CHOOSE(CONTROL!$C$32, $C$9, 100%, $E$9)</f>
        <v>5.0744999999999996</v>
      </c>
      <c r="H186" s="81">
        <f>8.3208 * CHOOSE(CONTROL!$C$32, $C$9, 100%, $E$9)</f>
        <v>8.3208000000000002</v>
      </c>
      <c r="I186" s="81">
        <f>8.3261 * CHOOSE(CONTROL!$C$32, $C$9, 100%, $E$9)</f>
        <v>8.3261000000000003</v>
      </c>
      <c r="J186" s="81">
        <f>8.3208 * CHOOSE(CONTROL!$C$32, $C$9, 100%, $E$9)</f>
        <v>8.3208000000000002</v>
      </c>
      <c r="K186" s="81">
        <f>8.3261 * CHOOSE(CONTROL!$C$32, $C$9, 100%, $E$9)</f>
        <v>8.3261000000000003</v>
      </c>
      <c r="L186" s="81">
        <f>5.0692 * CHOOSE(CONTROL!$C$32, $C$9, 100%, $E$9)</f>
        <v>5.0692000000000004</v>
      </c>
      <c r="M186" s="81">
        <f>5.0745 * CHOOSE(CONTROL!$C$32, $C$9, 100%, $E$9)</f>
        <v>5.0744999999999996</v>
      </c>
      <c r="N186" s="81">
        <f>5.0692 * CHOOSE(CONTROL!$C$32, $C$9, 100%, $E$9)</f>
        <v>5.0692000000000004</v>
      </c>
      <c r="O186" s="81">
        <f>5.0745 * CHOOSE(CONTROL!$C$32, $C$9, 100%, $E$9)</f>
        <v>5.0744999999999996</v>
      </c>
    </row>
    <row r="187" spans="1:15" ht="15" x14ac:dyDescent="0.2">
      <c r="A187" s="16">
        <v>46905</v>
      </c>
      <c r="B187" s="80">
        <f>3.9878 * CHOOSE(CONTROL!$C$32, $C$9, 100%, $E$9)</f>
        <v>3.9878</v>
      </c>
      <c r="C187" s="80">
        <f>3.9878 * CHOOSE(CONTROL!$C$32, $C$9, 100%, $E$9)</f>
        <v>3.9878</v>
      </c>
      <c r="D187" s="80">
        <f>3.9893 * CHOOSE(CONTROL!$C$32, $C$9, 100%, $E$9)</f>
        <v>3.9893000000000001</v>
      </c>
      <c r="E187" s="81">
        <f>5.0732 * CHOOSE(CONTROL!$C$32, $C$9, 100%, $E$9)</f>
        <v>5.0731999999999999</v>
      </c>
      <c r="F187" s="81">
        <f>5.0732 * CHOOSE(CONTROL!$C$32, $C$9, 100%, $E$9)</f>
        <v>5.0731999999999999</v>
      </c>
      <c r="G187" s="81">
        <f>5.0785 * CHOOSE(CONTROL!$C$32, $C$9, 100%, $E$9)</f>
        <v>5.0785</v>
      </c>
      <c r="H187" s="81">
        <f>8.3382 * CHOOSE(CONTROL!$C$32, $C$9, 100%, $E$9)</f>
        <v>8.3382000000000005</v>
      </c>
      <c r="I187" s="81">
        <f>8.3435 * CHOOSE(CONTROL!$C$32, $C$9, 100%, $E$9)</f>
        <v>8.3435000000000006</v>
      </c>
      <c r="J187" s="81">
        <f>8.3382 * CHOOSE(CONTROL!$C$32, $C$9, 100%, $E$9)</f>
        <v>8.3382000000000005</v>
      </c>
      <c r="K187" s="81">
        <f>8.3435 * CHOOSE(CONTROL!$C$32, $C$9, 100%, $E$9)</f>
        <v>8.3435000000000006</v>
      </c>
      <c r="L187" s="81">
        <f>5.0732 * CHOOSE(CONTROL!$C$32, $C$9, 100%, $E$9)</f>
        <v>5.0731999999999999</v>
      </c>
      <c r="M187" s="81">
        <f>5.0785 * CHOOSE(CONTROL!$C$32, $C$9, 100%, $E$9)</f>
        <v>5.0785</v>
      </c>
      <c r="N187" s="81">
        <f>5.0732 * CHOOSE(CONTROL!$C$32, $C$9, 100%, $E$9)</f>
        <v>5.0731999999999999</v>
      </c>
      <c r="O187" s="81">
        <f>5.0785 * CHOOSE(CONTROL!$C$32, $C$9, 100%, $E$9)</f>
        <v>5.0785</v>
      </c>
    </row>
    <row r="188" spans="1:15" ht="15" x14ac:dyDescent="0.2">
      <c r="A188" s="16">
        <v>46935</v>
      </c>
      <c r="B188" s="80">
        <f>4.0588 * CHOOSE(CONTROL!$C$32, $C$9, 100%, $E$9)</f>
        <v>4.0587999999999997</v>
      </c>
      <c r="C188" s="80">
        <f>4.0588 * CHOOSE(CONTROL!$C$32, $C$9, 100%, $E$9)</f>
        <v>4.0587999999999997</v>
      </c>
      <c r="D188" s="80">
        <f>4.0603 * CHOOSE(CONTROL!$C$32, $C$9, 100%, $E$9)</f>
        <v>4.0602999999999998</v>
      </c>
      <c r="E188" s="81">
        <f>5.1714 * CHOOSE(CONTROL!$C$32, $C$9, 100%, $E$9)</f>
        <v>5.1714000000000002</v>
      </c>
      <c r="F188" s="81">
        <f>5.1714 * CHOOSE(CONTROL!$C$32, $C$9, 100%, $E$9)</f>
        <v>5.1714000000000002</v>
      </c>
      <c r="G188" s="81">
        <f>5.1767 * CHOOSE(CONTROL!$C$32, $C$9, 100%, $E$9)</f>
        <v>5.1767000000000003</v>
      </c>
      <c r="H188" s="81">
        <f>8.3555 * CHOOSE(CONTROL!$C$32, $C$9, 100%, $E$9)</f>
        <v>8.3554999999999993</v>
      </c>
      <c r="I188" s="81">
        <f>8.3608 * CHOOSE(CONTROL!$C$32, $C$9, 100%, $E$9)</f>
        <v>8.3607999999999993</v>
      </c>
      <c r="J188" s="81">
        <f>8.3555 * CHOOSE(CONTROL!$C$32, $C$9, 100%, $E$9)</f>
        <v>8.3554999999999993</v>
      </c>
      <c r="K188" s="81">
        <f>8.3608 * CHOOSE(CONTROL!$C$32, $C$9, 100%, $E$9)</f>
        <v>8.3607999999999993</v>
      </c>
      <c r="L188" s="81">
        <f>5.1714 * CHOOSE(CONTROL!$C$32, $C$9, 100%, $E$9)</f>
        <v>5.1714000000000002</v>
      </c>
      <c r="M188" s="81">
        <f>5.1767 * CHOOSE(CONTROL!$C$32, $C$9, 100%, $E$9)</f>
        <v>5.1767000000000003</v>
      </c>
      <c r="N188" s="81">
        <f>5.1714 * CHOOSE(CONTROL!$C$32, $C$9, 100%, $E$9)</f>
        <v>5.1714000000000002</v>
      </c>
      <c r="O188" s="81">
        <f>5.1767 * CHOOSE(CONTROL!$C$32, $C$9, 100%, $E$9)</f>
        <v>5.1767000000000003</v>
      </c>
    </row>
    <row r="189" spans="1:15" ht="15" x14ac:dyDescent="0.2">
      <c r="A189" s="16">
        <v>46966</v>
      </c>
      <c r="B189" s="80">
        <f>4.0654 * CHOOSE(CONTROL!$C$32, $C$9, 100%, $E$9)</f>
        <v>4.0654000000000003</v>
      </c>
      <c r="C189" s="80">
        <f>4.0654 * CHOOSE(CONTROL!$C$32, $C$9, 100%, $E$9)</f>
        <v>4.0654000000000003</v>
      </c>
      <c r="D189" s="80">
        <f>4.067 * CHOOSE(CONTROL!$C$32, $C$9, 100%, $E$9)</f>
        <v>4.0670000000000002</v>
      </c>
      <c r="E189" s="81">
        <f>5.1758 * CHOOSE(CONTROL!$C$32, $C$9, 100%, $E$9)</f>
        <v>5.1757999999999997</v>
      </c>
      <c r="F189" s="81">
        <f>5.1758 * CHOOSE(CONTROL!$C$32, $C$9, 100%, $E$9)</f>
        <v>5.1757999999999997</v>
      </c>
      <c r="G189" s="81">
        <f>5.1811 * CHOOSE(CONTROL!$C$32, $C$9, 100%, $E$9)</f>
        <v>5.1810999999999998</v>
      </c>
      <c r="H189" s="81">
        <f>8.3729 * CHOOSE(CONTROL!$C$32, $C$9, 100%, $E$9)</f>
        <v>8.3728999999999996</v>
      </c>
      <c r="I189" s="81">
        <f>8.3782 * CHOOSE(CONTROL!$C$32, $C$9, 100%, $E$9)</f>
        <v>8.3781999999999996</v>
      </c>
      <c r="J189" s="81">
        <f>8.3729 * CHOOSE(CONTROL!$C$32, $C$9, 100%, $E$9)</f>
        <v>8.3728999999999996</v>
      </c>
      <c r="K189" s="81">
        <f>8.3782 * CHOOSE(CONTROL!$C$32, $C$9, 100%, $E$9)</f>
        <v>8.3781999999999996</v>
      </c>
      <c r="L189" s="81">
        <f>5.1758 * CHOOSE(CONTROL!$C$32, $C$9, 100%, $E$9)</f>
        <v>5.1757999999999997</v>
      </c>
      <c r="M189" s="81">
        <f>5.1811 * CHOOSE(CONTROL!$C$32, $C$9, 100%, $E$9)</f>
        <v>5.1810999999999998</v>
      </c>
      <c r="N189" s="81">
        <f>5.1758 * CHOOSE(CONTROL!$C$32, $C$9, 100%, $E$9)</f>
        <v>5.1757999999999997</v>
      </c>
      <c r="O189" s="81">
        <f>5.1811 * CHOOSE(CONTROL!$C$32, $C$9, 100%, $E$9)</f>
        <v>5.1810999999999998</v>
      </c>
    </row>
    <row r="190" spans="1:15" ht="15" x14ac:dyDescent="0.2">
      <c r="A190" s="16">
        <v>46997</v>
      </c>
      <c r="B190" s="80">
        <f>4.0624 * CHOOSE(CONTROL!$C$32, $C$9, 100%, $E$9)</f>
        <v>4.0624000000000002</v>
      </c>
      <c r="C190" s="80">
        <f>4.0624 * CHOOSE(CONTROL!$C$32, $C$9, 100%, $E$9)</f>
        <v>4.0624000000000002</v>
      </c>
      <c r="D190" s="80">
        <f>4.064 * CHOOSE(CONTROL!$C$32, $C$9, 100%, $E$9)</f>
        <v>4.0640000000000001</v>
      </c>
      <c r="E190" s="81">
        <f>5.1738 * CHOOSE(CONTROL!$C$32, $C$9, 100%, $E$9)</f>
        <v>5.1738</v>
      </c>
      <c r="F190" s="81">
        <f>5.1738 * CHOOSE(CONTROL!$C$32, $C$9, 100%, $E$9)</f>
        <v>5.1738</v>
      </c>
      <c r="G190" s="81">
        <f>5.1791 * CHOOSE(CONTROL!$C$32, $C$9, 100%, $E$9)</f>
        <v>5.1791</v>
      </c>
      <c r="H190" s="81">
        <f>8.3904 * CHOOSE(CONTROL!$C$32, $C$9, 100%, $E$9)</f>
        <v>8.3903999999999996</v>
      </c>
      <c r="I190" s="81">
        <f>8.3957 * CHOOSE(CONTROL!$C$32, $C$9, 100%, $E$9)</f>
        <v>8.3956999999999997</v>
      </c>
      <c r="J190" s="81">
        <f>8.3904 * CHOOSE(CONTROL!$C$32, $C$9, 100%, $E$9)</f>
        <v>8.3903999999999996</v>
      </c>
      <c r="K190" s="81">
        <f>8.3957 * CHOOSE(CONTROL!$C$32, $C$9, 100%, $E$9)</f>
        <v>8.3956999999999997</v>
      </c>
      <c r="L190" s="81">
        <f>5.1738 * CHOOSE(CONTROL!$C$32, $C$9, 100%, $E$9)</f>
        <v>5.1738</v>
      </c>
      <c r="M190" s="81">
        <f>5.1791 * CHOOSE(CONTROL!$C$32, $C$9, 100%, $E$9)</f>
        <v>5.1791</v>
      </c>
      <c r="N190" s="81">
        <f>5.1738 * CHOOSE(CONTROL!$C$32, $C$9, 100%, $E$9)</f>
        <v>5.1738</v>
      </c>
      <c r="O190" s="81">
        <f>5.1791 * CHOOSE(CONTROL!$C$32, $C$9, 100%, $E$9)</f>
        <v>5.1791</v>
      </c>
    </row>
    <row r="191" spans="1:15" ht="15" x14ac:dyDescent="0.2">
      <c r="A191" s="16">
        <v>47027</v>
      </c>
      <c r="B191" s="80">
        <f>4.0577 * CHOOSE(CONTROL!$C$32, $C$9, 100%, $E$9)</f>
        <v>4.0576999999999996</v>
      </c>
      <c r="C191" s="80">
        <f>4.0577 * CHOOSE(CONTROL!$C$32, $C$9, 100%, $E$9)</f>
        <v>4.0576999999999996</v>
      </c>
      <c r="D191" s="80">
        <f>4.0588 * CHOOSE(CONTROL!$C$32, $C$9, 100%, $E$9)</f>
        <v>4.0587999999999997</v>
      </c>
      <c r="E191" s="81">
        <f>5.1686 * CHOOSE(CONTROL!$C$32, $C$9, 100%, $E$9)</f>
        <v>5.1685999999999996</v>
      </c>
      <c r="F191" s="81">
        <f>5.1686 * CHOOSE(CONTROL!$C$32, $C$9, 100%, $E$9)</f>
        <v>5.1685999999999996</v>
      </c>
      <c r="G191" s="81">
        <f>5.1722 * CHOOSE(CONTROL!$C$32, $C$9, 100%, $E$9)</f>
        <v>5.1722000000000001</v>
      </c>
      <c r="H191" s="81">
        <f>8.4079 * CHOOSE(CONTROL!$C$32, $C$9, 100%, $E$9)</f>
        <v>8.4078999999999997</v>
      </c>
      <c r="I191" s="81">
        <f>8.4115 * CHOOSE(CONTROL!$C$32, $C$9, 100%, $E$9)</f>
        <v>8.4115000000000002</v>
      </c>
      <c r="J191" s="81">
        <f>8.4079 * CHOOSE(CONTROL!$C$32, $C$9, 100%, $E$9)</f>
        <v>8.4078999999999997</v>
      </c>
      <c r="K191" s="81">
        <f>8.4115 * CHOOSE(CONTROL!$C$32, $C$9, 100%, $E$9)</f>
        <v>8.4115000000000002</v>
      </c>
      <c r="L191" s="81">
        <f>5.1686 * CHOOSE(CONTROL!$C$32, $C$9, 100%, $E$9)</f>
        <v>5.1685999999999996</v>
      </c>
      <c r="M191" s="81">
        <f>5.1722 * CHOOSE(CONTROL!$C$32, $C$9, 100%, $E$9)</f>
        <v>5.1722000000000001</v>
      </c>
      <c r="N191" s="81">
        <f>5.1686 * CHOOSE(CONTROL!$C$32, $C$9, 100%, $E$9)</f>
        <v>5.1685999999999996</v>
      </c>
      <c r="O191" s="81">
        <f>5.1722 * CHOOSE(CONTROL!$C$32, $C$9, 100%, $E$9)</f>
        <v>5.1722000000000001</v>
      </c>
    </row>
    <row r="192" spans="1:15" ht="15" x14ac:dyDescent="0.2">
      <c r="A192" s="16">
        <v>47058</v>
      </c>
      <c r="B192" s="80">
        <f>4.0607 * CHOOSE(CONTROL!$C$32, $C$9, 100%, $E$9)</f>
        <v>4.0606999999999998</v>
      </c>
      <c r="C192" s="80">
        <f>4.0607 * CHOOSE(CONTROL!$C$32, $C$9, 100%, $E$9)</f>
        <v>4.0606999999999998</v>
      </c>
      <c r="D192" s="80">
        <f>4.0618 * CHOOSE(CONTROL!$C$32, $C$9, 100%, $E$9)</f>
        <v>4.0617999999999999</v>
      </c>
      <c r="E192" s="81">
        <f>5.1706 * CHOOSE(CONTROL!$C$32, $C$9, 100%, $E$9)</f>
        <v>5.1706000000000003</v>
      </c>
      <c r="F192" s="81">
        <f>5.1706 * CHOOSE(CONTROL!$C$32, $C$9, 100%, $E$9)</f>
        <v>5.1706000000000003</v>
      </c>
      <c r="G192" s="81">
        <f>5.1742 * CHOOSE(CONTROL!$C$32, $C$9, 100%, $E$9)</f>
        <v>5.1741999999999999</v>
      </c>
      <c r="H192" s="81">
        <f>8.4254 * CHOOSE(CONTROL!$C$32, $C$9, 100%, $E$9)</f>
        <v>8.4253999999999998</v>
      </c>
      <c r="I192" s="81">
        <f>8.429 * CHOOSE(CONTROL!$C$32, $C$9, 100%, $E$9)</f>
        <v>8.4290000000000003</v>
      </c>
      <c r="J192" s="81">
        <f>8.4254 * CHOOSE(CONTROL!$C$32, $C$9, 100%, $E$9)</f>
        <v>8.4253999999999998</v>
      </c>
      <c r="K192" s="81">
        <f>8.429 * CHOOSE(CONTROL!$C$32, $C$9, 100%, $E$9)</f>
        <v>8.4290000000000003</v>
      </c>
      <c r="L192" s="81">
        <f>5.1706 * CHOOSE(CONTROL!$C$32, $C$9, 100%, $E$9)</f>
        <v>5.1706000000000003</v>
      </c>
      <c r="M192" s="81">
        <f>5.1742 * CHOOSE(CONTROL!$C$32, $C$9, 100%, $E$9)</f>
        <v>5.1741999999999999</v>
      </c>
      <c r="N192" s="81">
        <f>5.1706 * CHOOSE(CONTROL!$C$32, $C$9, 100%, $E$9)</f>
        <v>5.1706000000000003</v>
      </c>
      <c r="O192" s="81">
        <f>5.1742 * CHOOSE(CONTROL!$C$32, $C$9, 100%, $E$9)</f>
        <v>5.1741999999999999</v>
      </c>
    </row>
    <row r="193" spans="1:15" ht="15" x14ac:dyDescent="0.2">
      <c r="A193" s="16">
        <v>47088</v>
      </c>
      <c r="B193" s="80">
        <f>4.0607 * CHOOSE(CONTROL!$C$32, $C$9, 100%, $E$9)</f>
        <v>4.0606999999999998</v>
      </c>
      <c r="C193" s="80">
        <f>4.0607 * CHOOSE(CONTROL!$C$32, $C$9, 100%, $E$9)</f>
        <v>4.0606999999999998</v>
      </c>
      <c r="D193" s="80">
        <f>4.0618 * CHOOSE(CONTROL!$C$32, $C$9, 100%, $E$9)</f>
        <v>4.0617999999999999</v>
      </c>
      <c r="E193" s="81">
        <f>5.1706 * CHOOSE(CONTROL!$C$32, $C$9, 100%, $E$9)</f>
        <v>5.1706000000000003</v>
      </c>
      <c r="F193" s="81">
        <f>5.1706 * CHOOSE(CONTROL!$C$32, $C$9, 100%, $E$9)</f>
        <v>5.1706000000000003</v>
      </c>
      <c r="G193" s="81">
        <f>5.1742 * CHOOSE(CONTROL!$C$32, $C$9, 100%, $E$9)</f>
        <v>5.1741999999999999</v>
      </c>
      <c r="H193" s="81">
        <f>8.4429 * CHOOSE(CONTROL!$C$32, $C$9, 100%, $E$9)</f>
        <v>8.4428999999999998</v>
      </c>
      <c r="I193" s="81">
        <f>8.4465 * CHOOSE(CONTROL!$C$32, $C$9, 100%, $E$9)</f>
        <v>8.4465000000000003</v>
      </c>
      <c r="J193" s="81">
        <f>8.4429 * CHOOSE(CONTROL!$C$32, $C$9, 100%, $E$9)</f>
        <v>8.4428999999999998</v>
      </c>
      <c r="K193" s="81">
        <f>8.4465 * CHOOSE(CONTROL!$C$32, $C$9, 100%, $E$9)</f>
        <v>8.4465000000000003</v>
      </c>
      <c r="L193" s="81">
        <f>5.1706 * CHOOSE(CONTROL!$C$32, $C$9, 100%, $E$9)</f>
        <v>5.1706000000000003</v>
      </c>
      <c r="M193" s="81">
        <f>5.1742 * CHOOSE(CONTROL!$C$32, $C$9, 100%, $E$9)</f>
        <v>5.1741999999999999</v>
      </c>
      <c r="N193" s="81">
        <f>5.1706 * CHOOSE(CONTROL!$C$32, $C$9, 100%, $E$9)</f>
        <v>5.1706000000000003</v>
      </c>
      <c r="O193" s="81">
        <f>5.1742 * CHOOSE(CONTROL!$C$32, $C$9, 100%, $E$9)</f>
        <v>5.1741999999999999</v>
      </c>
    </row>
    <row r="194" spans="1:15" ht="15" x14ac:dyDescent="0.2">
      <c r="A194" s="16">
        <v>47119</v>
      </c>
      <c r="B194" s="80">
        <f>4.0932 * CHOOSE(CONTROL!$C$32, $C$9, 100%, $E$9)</f>
        <v>4.0932000000000004</v>
      </c>
      <c r="C194" s="80">
        <f>4.0932 * CHOOSE(CONTROL!$C$32, $C$9, 100%, $E$9)</f>
        <v>4.0932000000000004</v>
      </c>
      <c r="D194" s="80">
        <f>4.0943 * CHOOSE(CONTROL!$C$32, $C$9, 100%, $E$9)</f>
        <v>4.0942999999999996</v>
      </c>
      <c r="E194" s="81">
        <f>5.2103 * CHOOSE(CONTROL!$C$32, $C$9, 100%, $E$9)</f>
        <v>5.2103000000000002</v>
      </c>
      <c r="F194" s="81">
        <f>5.2103 * CHOOSE(CONTROL!$C$32, $C$9, 100%, $E$9)</f>
        <v>5.2103000000000002</v>
      </c>
      <c r="G194" s="81">
        <f>5.2139 * CHOOSE(CONTROL!$C$32, $C$9, 100%, $E$9)</f>
        <v>5.2138999999999998</v>
      </c>
      <c r="H194" s="81">
        <f>8.4605 * CHOOSE(CONTROL!$C$32, $C$9, 100%, $E$9)</f>
        <v>8.4604999999999997</v>
      </c>
      <c r="I194" s="81">
        <f>8.4641 * CHOOSE(CONTROL!$C$32, $C$9, 100%, $E$9)</f>
        <v>8.4641000000000002</v>
      </c>
      <c r="J194" s="81">
        <f>8.4605 * CHOOSE(CONTROL!$C$32, $C$9, 100%, $E$9)</f>
        <v>8.4604999999999997</v>
      </c>
      <c r="K194" s="81">
        <f>8.4641 * CHOOSE(CONTROL!$C$32, $C$9, 100%, $E$9)</f>
        <v>8.4641000000000002</v>
      </c>
      <c r="L194" s="81">
        <f>5.2103 * CHOOSE(CONTROL!$C$32, $C$9, 100%, $E$9)</f>
        <v>5.2103000000000002</v>
      </c>
      <c r="M194" s="81">
        <f>5.2139 * CHOOSE(CONTROL!$C$32, $C$9, 100%, $E$9)</f>
        <v>5.2138999999999998</v>
      </c>
      <c r="N194" s="81">
        <f>5.2103 * CHOOSE(CONTROL!$C$32, $C$9, 100%, $E$9)</f>
        <v>5.2103000000000002</v>
      </c>
      <c r="O194" s="81">
        <f>5.2139 * CHOOSE(CONTROL!$C$32, $C$9, 100%, $E$9)</f>
        <v>5.2138999999999998</v>
      </c>
    </row>
    <row r="195" spans="1:15" ht="15" x14ac:dyDescent="0.2">
      <c r="A195" s="16">
        <v>47150</v>
      </c>
      <c r="B195" s="80">
        <f>4.0902 * CHOOSE(CONTROL!$C$32, $C$9, 100%, $E$9)</f>
        <v>4.0902000000000003</v>
      </c>
      <c r="C195" s="80">
        <f>4.0902 * CHOOSE(CONTROL!$C$32, $C$9, 100%, $E$9)</f>
        <v>4.0902000000000003</v>
      </c>
      <c r="D195" s="80">
        <f>4.0913 * CHOOSE(CONTROL!$C$32, $C$9, 100%, $E$9)</f>
        <v>4.0913000000000004</v>
      </c>
      <c r="E195" s="81">
        <f>5.2083 * CHOOSE(CONTROL!$C$32, $C$9, 100%, $E$9)</f>
        <v>5.2083000000000004</v>
      </c>
      <c r="F195" s="81">
        <f>5.2083 * CHOOSE(CONTROL!$C$32, $C$9, 100%, $E$9)</f>
        <v>5.2083000000000004</v>
      </c>
      <c r="G195" s="81">
        <f>5.2119 * CHOOSE(CONTROL!$C$32, $C$9, 100%, $E$9)</f>
        <v>5.2119</v>
      </c>
      <c r="H195" s="81">
        <f>8.4781 * CHOOSE(CONTROL!$C$32, $C$9, 100%, $E$9)</f>
        <v>8.4780999999999995</v>
      </c>
      <c r="I195" s="81">
        <f>8.4818 * CHOOSE(CONTROL!$C$32, $C$9, 100%, $E$9)</f>
        <v>8.4817999999999998</v>
      </c>
      <c r="J195" s="81">
        <f>8.4781 * CHOOSE(CONTROL!$C$32, $C$9, 100%, $E$9)</f>
        <v>8.4780999999999995</v>
      </c>
      <c r="K195" s="81">
        <f>8.4818 * CHOOSE(CONTROL!$C$32, $C$9, 100%, $E$9)</f>
        <v>8.4817999999999998</v>
      </c>
      <c r="L195" s="81">
        <f>5.2083 * CHOOSE(CONTROL!$C$32, $C$9, 100%, $E$9)</f>
        <v>5.2083000000000004</v>
      </c>
      <c r="M195" s="81">
        <f>5.2119 * CHOOSE(CONTROL!$C$32, $C$9, 100%, $E$9)</f>
        <v>5.2119</v>
      </c>
      <c r="N195" s="81">
        <f>5.2083 * CHOOSE(CONTROL!$C$32, $C$9, 100%, $E$9)</f>
        <v>5.2083000000000004</v>
      </c>
      <c r="O195" s="81">
        <f>5.2119 * CHOOSE(CONTROL!$C$32, $C$9, 100%, $E$9)</f>
        <v>5.2119</v>
      </c>
    </row>
    <row r="196" spans="1:15" ht="15" x14ac:dyDescent="0.2">
      <c r="A196" s="16">
        <v>47178</v>
      </c>
      <c r="B196" s="80">
        <f>4.0872 * CHOOSE(CONTROL!$C$32, $C$9, 100%, $E$9)</f>
        <v>4.0872000000000002</v>
      </c>
      <c r="C196" s="80">
        <f>4.0872 * CHOOSE(CONTROL!$C$32, $C$9, 100%, $E$9)</f>
        <v>4.0872000000000002</v>
      </c>
      <c r="D196" s="80">
        <f>4.0882 * CHOOSE(CONTROL!$C$32, $C$9, 100%, $E$9)</f>
        <v>4.0881999999999996</v>
      </c>
      <c r="E196" s="81">
        <f>5.2063 * CHOOSE(CONTROL!$C$32, $C$9, 100%, $E$9)</f>
        <v>5.2062999999999997</v>
      </c>
      <c r="F196" s="81">
        <f>5.2063 * CHOOSE(CONTROL!$C$32, $C$9, 100%, $E$9)</f>
        <v>5.2062999999999997</v>
      </c>
      <c r="G196" s="81">
        <f>5.2099 * CHOOSE(CONTROL!$C$32, $C$9, 100%, $E$9)</f>
        <v>5.2099000000000002</v>
      </c>
      <c r="H196" s="81">
        <f>8.4958 * CHOOSE(CONTROL!$C$32, $C$9, 100%, $E$9)</f>
        <v>8.4957999999999991</v>
      </c>
      <c r="I196" s="81">
        <f>8.4994 * CHOOSE(CONTROL!$C$32, $C$9, 100%, $E$9)</f>
        <v>8.4993999999999996</v>
      </c>
      <c r="J196" s="81">
        <f>8.4958 * CHOOSE(CONTROL!$C$32, $C$9, 100%, $E$9)</f>
        <v>8.4957999999999991</v>
      </c>
      <c r="K196" s="81">
        <f>8.4994 * CHOOSE(CONTROL!$C$32, $C$9, 100%, $E$9)</f>
        <v>8.4993999999999996</v>
      </c>
      <c r="L196" s="81">
        <f>5.2063 * CHOOSE(CONTROL!$C$32, $C$9, 100%, $E$9)</f>
        <v>5.2062999999999997</v>
      </c>
      <c r="M196" s="81">
        <f>5.2099 * CHOOSE(CONTROL!$C$32, $C$9, 100%, $E$9)</f>
        <v>5.2099000000000002</v>
      </c>
      <c r="N196" s="81">
        <f>5.2063 * CHOOSE(CONTROL!$C$32, $C$9, 100%, $E$9)</f>
        <v>5.2062999999999997</v>
      </c>
      <c r="O196" s="81">
        <f>5.2099 * CHOOSE(CONTROL!$C$32, $C$9, 100%, $E$9)</f>
        <v>5.2099000000000002</v>
      </c>
    </row>
    <row r="197" spans="1:15" ht="15" x14ac:dyDescent="0.2">
      <c r="A197" s="16">
        <v>47209</v>
      </c>
      <c r="B197" s="80">
        <f>4.0849 * CHOOSE(CONTROL!$C$32, $C$9, 100%, $E$9)</f>
        <v>4.0849000000000002</v>
      </c>
      <c r="C197" s="80">
        <f>4.0849 * CHOOSE(CONTROL!$C$32, $C$9, 100%, $E$9)</f>
        <v>4.0849000000000002</v>
      </c>
      <c r="D197" s="80">
        <f>4.086 * CHOOSE(CONTROL!$C$32, $C$9, 100%, $E$9)</f>
        <v>4.0860000000000003</v>
      </c>
      <c r="E197" s="81">
        <f>5.2043 * CHOOSE(CONTROL!$C$32, $C$9, 100%, $E$9)</f>
        <v>5.2042999999999999</v>
      </c>
      <c r="F197" s="81">
        <f>5.2043 * CHOOSE(CONTROL!$C$32, $C$9, 100%, $E$9)</f>
        <v>5.2042999999999999</v>
      </c>
      <c r="G197" s="81">
        <f>5.2079 * CHOOSE(CONTROL!$C$32, $C$9, 100%, $E$9)</f>
        <v>5.2079000000000004</v>
      </c>
      <c r="H197" s="81">
        <f>8.5135 * CHOOSE(CONTROL!$C$32, $C$9, 100%, $E$9)</f>
        <v>8.5135000000000005</v>
      </c>
      <c r="I197" s="81">
        <f>8.5171 * CHOOSE(CONTROL!$C$32, $C$9, 100%, $E$9)</f>
        <v>8.5170999999999992</v>
      </c>
      <c r="J197" s="81">
        <f>8.5135 * CHOOSE(CONTROL!$C$32, $C$9, 100%, $E$9)</f>
        <v>8.5135000000000005</v>
      </c>
      <c r="K197" s="81">
        <f>8.5171 * CHOOSE(CONTROL!$C$32, $C$9, 100%, $E$9)</f>
        <v>8.5170999999999992</v>
      </c>
      <c r="L197" s="81">
        <f>5.2043 * CHOOSE(CONTROL!$C$32, $C$9, 100%, $E$9)</f>
        <v>5.2042999999999999</v>
      </c>
      <c r="M197" s="81">
        <f>5.2079 * CHOOSE(CONTROL!$C$32, $C$9, 100%, $E$9)</f>
        <v>5.2079000000000004</v>
      </c>
      <c r="N197" s="81">
        <f>5.2043 * CHOOSE(CONTROL!$C$32, $C$9, 100%, $E$9)</f>
        <v>5.2042999999999999</v>
      </c>
      <c r="O197" s="81">
        <f>5.2079 * CHOOSE(CONTROL!$C$32, $C$9, 100%, $E$9)</f>
        <v>5.2079000000000004</v>
      </c>
    </row>
    <row r="198" spans="1:15" ht="15" x14ac:dyDescent="0.2">
      <c r="A198" s="16">
        <v>47239</v>
      </c>
      <c r="B198" s="80">
        <f>4.0849 * CHOOSE(CONTROL!$C$32, $C$9, 100%, $E$9)</f>
        <v>4.0849000000000002</v>
      </c>
      <c r="C198" s="80">
        <f>4.0849 * CHOOSE(CONTROL!$C$32, $C$9, 100%, $E$9)</f>
        <v>4.0849000000000002</v>
      </c>
      <c r="D198" s="80">
        <f>4.0865 * CHOOSE(CONTROL!$C$32, $C$9, 100%, $E$9)</f>
        <v>4.0865</v>
      </c>
      <c r="E198" s="81">
        <f>5.2043 * CHOOSE(CONTROL!$C$32, $C$9, 100%, $E$9)</f>
        <v>5.2042999999999999</v>
      </c>
      <c r="F198" s="81">
        <f>5.2043 * CHOOSE(CONTROL!$C$32, $C$9, 100%, $E$9)</f>
        <v>5.2042999999999999</v>
      </c>
      <c r="G198" s="81">
        <f>5.2096 * CHOOSE(CONTROL!$C$32, $C$9, 100%, $E$9)</f>
        <v>5.2096</v>
      </c>
      <c r="H198" s="81">
        <f>8.5312 * CHOOSE(CONTROL!$C$32, $C$9, 100%, $E$9)</f>
        <v>8.5312000000000001</v>
      </c>
      <c r="I198" s="81">
        <f>8.5365 * CHOOSE(CONTROL!$C$32, $C$9, 100%, $E$9)</f>
        <v>8.5365000000000002</v>
      </c>
      <c r="J198" s="81">
        <f>8.5312 * CHOOSE(CONTROL!$C$32, $C$9, 100%, $E$9)</f>
        <v>8.5312000000000001</v>
      </c>
      <c r="K198" s="81">
        <f>8.5365 * CHOOSE(CONTROL!$C$32, $C$9, 100%, $E$9)</f>
        <v>8.5365000000000002</v>
      </c>
      <c r="L198" s="81">
        <f>5.2043 * CHOOSE(CONTROL!$C$32, $C$9, 100%, $E$9)</f>
        <v>5.2042999999999999</v>
      </c>
      <c r="M198" s="81">
        <f>5.2096 * CHOOSE(CONTROL!$C$32, $C$9, 100%, $E$9)</f>
        <v>5.2096</v>
      </c>
      <c r="N198" s="81">
        <f>5.2043 * CHOOSE(CONTROL!$C$32, $C$9, 100%, $E$9)</f>
        <v>5.2042999999999999</v>
      </c>
      <c r="O198" s="81">
        <f>5.2096 * CHOOSE(CONTROL!$C$32, $C$9, 100%, $E$9)</f>
        <v>5.2096</v>
      </c>
    </row>
    <row r="199" spans="1:15" ht="15" x14ac:dyDescent="0.2">
      <c r="A199" s="16">
        <v>47270</v>
      </c>
      <c r="B199" s="80">
        <f>4.091 * CHOOSE(CONTROL!$C$32, $C$9, 100%, $E$9)</f>
        <v>4.0910000000000002</v>
      </c>
      <c r="C199" s="80">
        <f>4.091 * CHOOSE(CONTROL!$C$32, $C$9, 100%, $E$9)</f>
        <v>4.0910000000000002</v>
      </c>
      <c r="D199" s="80">
        <f>4.0925 * CHOOSE(CONTROL!$C$32, $C$9, 100%, $E$9)</f>
        <v>4.0925000000000002</v>
      </c>
      <c r="E199" s="81">
        <f>5.2083 * CHOOSE(CONTROL!$C$32, $C$9, 100%, $E$9)</f>
        <v>5.2083000000000004</v>
      </c>
      <c r="F199" s="81">
        <f>5.2083 * CHOOSE(CONTROL!$C$32, $C$9, 100%, $E$9)</f>
        <v>5.2083000000000004</v>
      </c>
      <c r="G199" s="81">
        <f>5.2136 * CHOOSE(CONTROL!$C$32, $C$9, 100%, $E$9)</f>
        <v>5.2135999999999996</v>
      </c>
      <c r="H199" s="81">
        <f>8.549 * CHOOSE(CONTROL!$C$32, $C$9, 100%, $E$9)</f>
        <v>8.5489999999999995</v>
      </c>
      <c r="I199" s="81">
        <f>8.5543 * CHOOSE(CONTROL!$C$32, $C$9, 100%, $E$9)</f>
        <v>8.5542999999999996</v>
      </c>
      <c r="J199" s="81">
        <f>8.549 * CHOOSE(CONTROL!$C$32, $C$9, 100%, $E$9)</f>
        <v>8.5489999999999995</v>
      </c>
      <c r="K199" s="81">
        <f>8.5543 * CHOOSE(CONTROL!$C$32, $C$9, 100%, $E$9)</f>
        <v>8.5542999999999996</v>
      </c>
      <c r="L199" s="81">
        <f>5.2083 * CHOOSE(CONTROL!$C$32, $C$9, 100%, $E$9)</f>
        <v>5.2083000000000004</v>
      </c>
      <c r="M199" s="81">
        <f>5.2136 * CHOOSE(CONTROL!$C$32, $C$9, 100%, $E$9)</f>
        <v>5.2135999999999996</v>
      </c>
      <c r="N199" s="81">
        <f>5.2083 * CHOOSE(CONTROL!$C$32, $C$9, 100%, $E$9)</f>
        <v>5.2083000000000004</v>
      </c>
      <c r="O199" s="81">
        <f>5.2136 * CHOOSE(CONTROL!$C$32, $C$9, 100%, $E$9)</f>
        <v>5.2135999999999996</v>
      </c>
    </row>
    <row r="200" spans="1:15" ht="15" x14ac:dyDescent="0.2">
      <c r="A200" s="16">
        <v>47300</v>
      </c>
      <c r="B200" s="80">
        <f>4.1496 * CHOOSE(CONTROL!$C$32, $C$9, 100%, $E$9)</f>
        <v>4.1496000000000004</v>
      </c>
      <c r="C200" s="80">
        <f>4.1496 * CHOOSE(CONTROL!$C$32, $C$9, 100%, $E$9)</f>
        <v>4.1496000000000004</v>
      </c>
      <c r="D200" s="80">
        <f>4.1512 * CHOOSE(CONTROL!$C$32, $C$9, 100%, $E$9)</f>
        <v>4.1512000000000002</v>
      </c>
      <c r="E200" s="81">
        <f>5.2949 * CHOOSE(CONTROL!$C$32, $C$9, 100%, $E$9)</f>
        <v>5.2949000000000002</v>
      </c>
      <c r="F200" s="81">
        <f>5.2949 * CHOOSE(CONTROL!$C$32, $C$9, 100%, $E$9)</f>
        <v>5.2949000000000002</v>
      </c>
      <c r="G200" s="81">
        <f>5.3002 * CHOOSE(CONTROL!$C$32, $C$9, 100%, $E$9)</f>
        <v>5.3002000000000002</v>
      </c>
      <c r="H200" s="81">
        <f>8.5668 * CHOOSE(CONTROL!$C$32, $C$9, 100%, $E$9)</f>
        <v>8.5668000000000006</v>
      </c>
      <c r="I200" s="81">
        <f>8.5721 * CHOOSE(CONTROL!$C$32, $C$9, 100%, $E$9)</f>
        <v>8.5721000000000007</v>
      </c>
      <c r="J200" s="81">
        <f>8.5668 * CHOOSE(CONTROL!$C$32, $C$9, 100%, $E$9)</f>
        <v>8.5668000000000006</v>
      </c>
      <c r="K200" s="81">
        <f>8.5721 * CHOOSE(CONTROL!$C$32, $C$9, 100%, $E$9)</f>
        <v>8.5721000000000007</v>
      </c>
      <c r="L200" s="81">
        <f>5.2949 * CHOOSE(CONTROL!$C$32, $C$9, 100%, $E$9)</f>
        <v>5.2949000000000002</v>
      </c>
      <c r="M200" s="81">
        <f>5.3002 * CHOOSE(CONTROL!$C$32, $C$9, 100%, $E$9)</f>
        <v>5.3002000000000002</v>
      </c>
      <c r="N200" s="81">
        <f>5.2949 * CHOOSE(CONTROL!$C$32, $C$9, 100%, $E$9)</f>
        <v>5.2949000000000002</v>
      </c>
      <c r="O200" s="81">
        <f>5.3002 * CHOOSE(CONTROL!$C$32, $C$9, 100%, $E$9)</f>
        <v>5.3002000000000002</v>
      </c>
    </row>
    <row r="201" spans="1:15" ht="15" x14ac:dyDescent="0.2">
      <c r="A201" s="16">
        <v>47331</v>
      </c>
      <c r="B201" s="80">
        <f>4.1563 * CHOOSE(CONTROL!$C$32, $C$9, 100%, $E$9)</f>
        <v>4.1562999999999999</v>
      </c>
      <c r="C201" s="80">
        <f>4.1563 * CHOOSE(CONTROL!$C$32, $C$9, 100%, $E$9)</f>
        <v>4.1562999999999999</v>
      </c>
      <c r="D201" s="80">
        <f>4.1579 * CHOOSE(CONTROL!$C$32, $C$9, 100%, $E$9)</f>
        <v>4.1578999999999997</v>
      </c>
      <c r="E201" s="81">
        <f>5.2993 * CHOOSE(CONTROL!$C$32, $C$9, 100%, $E$9)</f>
        <v>5.2992999999999997</v>
      </c>
      <c r="F201" s="81">
        <f>5.2993 * CHOOSE(CONTROL!$C$32, $C$9, 100%, $E$9)</f>
        <v>5.2992999999999997</v>
      </c>
      <c r="G201" s="81">
        <f>5.3046 * CHOOSE(CONTROL!$C$32, $C$9, 100%, $E$9)</f>
        <v>5.3045999999999998</v>
      </c>
      <c r="H201" s="81">
        <f>8.5847 * CHOOSE(CONTROL!$C$32, $C$9, 100%, $E$9)</f>
        <v>8.5846999999999998</v>
      </c>
      <c r="I201" s="81">
        <f>8.59 * CHOOSE(CONTROL!$C$32, $C$9, 100%, $E$9)</f>
        <v>8.59</v>
      </c>
      <c r="J201" s="81">
        <f>8.5847 * CHOOSE(CONTROL!$C$32, $C$9, 100%, $E$9)</f>
        <v>8.5846999999999998</v>
      </c>
      <c r="K201" s="81">
        <f>8.59 * CHOOSE(CONTROL!$C$32, $C$9, 100%, $E$9)</f>
        <v>8.59</v>
      </c>
      <c r="L201" s="81">
        <f>5.2993 * CHOOSE(CONTROL!$C$32, $C$9, 100%, $E$9)</f>
        <v>5.2992999999999997</v>
      </c>
      <c r="M201" s="81">
        <f>5.3046 * CHOOSE(CONTROL!$C$32, $C$9, 100%, $E$9)</f>
        <v>5.3045999999999998</v>
      </c>
      <c r="N201" s="81">
        <f>5.2993 * CHOOSE(CONTROL!$C$32, $C$9, 100%, $E$9)</f>
        <v>5.2992999999999997</v>
      </c>
      <c r="O201" s="81">
        <f>5.3046 * CHOOSE(CONTROL!$C$32, $C$9, 100%, $E$9)</f>
        <v>5.3045999999999998</v>
      </c>
    </row>
    <row r="202" spans="1:15" ht="15" x14ac:dyDescent="0.2">
      <c r="A202" s="16">
        <v>47362</v>
      </c>
      <c r="B202" s="80">
        <f>4.1533 * CHOOSE(CONTROL!$C$32, $C$9, 100%, $E$9)</f>
        <v>4.1532999999999998</v>
      </c>
      <c r="C202" s="80">
        <f>4.1533 * CHOOSE(CONTROL!$C$32, $C$9, 100%, $E$9)</f>
        <v>4.1532999999999998</v>
      </c>
      <c r="D202" s="80">
        <f>4.1548 * CHOOSE(CONTROL!$C$32, $C$9, 100%, $E$9)</f>
        <v>4.1547999999999998</v>
      </c>
      <c r="E202" s="81">
        <f>5.2973 * CHOOSE(CONTROL!$C$32, $C$9, 100%, $E$9)</f>
        <v>5.2972999999999999</v>
      </c>
      <c r="F202" s="81">
        <f>5.2973 * CHOOSE(CONTROL!$C$32, $C$9, 100%, $E$9)</f>
        <v>5.2972999999999999</v>
      </c>
      <c r="G202" s="81">
        <f>5.3026 * CHOOSE(CONTROL!$C$32, $C$9, 100%, $E$9)</f>
        <v>5.3026</v>
      </c>
      <c r="H202" s="81">
        <f>8.6026 * CHOOSE(CONTROL!$C$32, $C$9, 100%, $E$9)</f>
        <v>8.6026000000000007</v>
      </c>
      <c r="I202" s="81">
        <f>8.6079 * CHOOSE(CONTROL!$C$32, $C$9, 100%, $E$9)</f>
        <v>8.6079000000000008</v>
      </c>
      <c r="J202" s="81">
        <f>8.6026 * CHOOSE(CONTROL!$C$32, $C$9, 100%, $E$9)</f>
        <v>8.6026000000000007</v>
      </c>
      <c r="K202" s="81">
        <f>8.6079 * CHOOSE(CONTROL!$C$32, $C$9, 100%, $E$9)</f>
        <v>8.6079000000000008</v>
      </c>
      <c r="L202" s="81">
        <f>5.2973 * CHOOSE(CONTROL!$C$32, $C$9, 100%, $E$9)</f>
        <v>5.2972999999999999</v>
      </c>
      <c r="M202" s="81">
        <f>5.3026 * CHOOSE(CONTROL!$C$32, $C$9, 100%, $E$9)</f>
        <v>5.3026</v>
      </c>
      <c r="N202" s="81">
        <f>5.2973 * CHOOSE(CONTROL!$C$32, $C$9, 100%, $E$9)</f>
        <v>5.2972999999999999</v>
      </c>
      <c r="O202" s="81">
        <f>5.3026 * CHOOSE(CONTROL!$C$32, $C$9, 100%, $E$9)</f>
        <v>5.3026</v>
      </c>
    </row>
    <row r="203" spans="1:15" ht="15" x14ac:dyDescent="0.2">
      <c r="A203" s="16">
        <v>47392</v>
      </c>
      <c r="B203" s="80">
        <f>4.1489 * CHOOSE(CONTROL!$C$32, $C$9, 100%, $E$9)</f>
        <v>4.1489000000000003</v>
      </c>
      <c r="C203" s="80">
        <f>4.1489 * CHOOSE(CONTROL!$C$32, $C$9, 100%, $E$9)</f>
        <v>4.1489000000000003</v>
      </c>
      <c r="D203" s="80">
        <f>4.15 * CHOOSE(CONTROL!$C$32, $C$9, 100%, $E$9)</f>
        <v>4.1500000000000004</v>
      </c>
      <c r="E203" s="81">
        <f>5.2923 * CHOOSE(CONTROL!$C$32, $C$9, 100%, $E$9)</f>
        <v>5.2923</v>
      </c>
      <c r="F203" s="81">
        <f>5.2923 * CHOOSE(CONTROL!$C$32, $C$9, 100%, $E$9)</f>
        <v>5.2923</v>
      </c>
      <c r="G203" s="81">
        <f>5.2959 * CHOOSE(CONTROL!$C$32, $C$9, 100%, $E$9)</f>
        <v>5.2958999999999996</v>
      </c>
      <c r="H203" s="81">
        <f>8.6205 * CHOOSE(CONTROL!$C$32, $C$9, 100%, $E$9)</f>
        <v>8.6204999999999998</v>
      </c>
      <c r="I203" s="81">
        <f>8.6241 * CHOOSE(CONTROL!$C$32, $C$9, 100%, $E$9)</f>
        <v>8.6241000000000003</v>
      </c>
      <c r="J203" s="81">
        <f>8.6205 * CHOOSE(CONTROL!$C$32, $C$9, 100%, $E$9)</f>
        <v>8.6204999999999998</v>
      </c>
      <c r="K203" s="81">
        <f>8.6241 * CHOOSE(CONTROL!$C$32, $C$9, 100%, $E$9)</f>
        <v>8.6241000000000003</v>
      </c>
      <c r="L203" s="81">
        <f>5.2923 * CHOOSE(CONTROL!$C$32, $C$9, 100%, $E$9)</f>
        <v>5.2923</v>
      </c>
      <c r="M203" s="81">
        <f>5.2959 * CHOOSE(CONTROL!$C$32, $C$9, 100%, $E$9)</f>
        <v>5.2958999999999996</v>
      </c>
      <c r="N203" s="81">
        <f>5.2923 * CHOOSE(CONTROL!$C$32, $C$9, 100%, $E$9)</f>
        <v>5.2923</v>
      </c>
      <c r="O203" s="81">
        <f>5.2959 * CHOOSE(CONTROL!$C$32, $C$9, 100%, $E$9)</f>
        <v>5.2958999999999996</v>
      </c>
    </row>
    <row r="204" spans="1:15" ht="15" x14ac:dyDescent="0.2">
      <c r="A204" s="16">
        <v>47423</v>
      </c>
      <c r="B204" s="80">
        <f>4.152 * CHOOSE(CONTROL!$C$32, $C$9, 100%, $E$9)</f>
        <v>4.1520000000000001</v>
      </c>
      <c r="C204" s="80">
        <f>4.152 * CHOOSE(CONTROL!$C$32, $C$9, 100%, $E$9)</f>
        <v>4.1520000000000001</v>
      </c>
      <c r="D204" s="80">
        <f>4.153 * CHOOSE(CONTROL!$C$32, $C$9, 100%, $E$9)</f>
        <v>4.1529999999999996</v>
      </c>
      <c r="E204" s="81">
        <f>5.2943 * CHOOSE(CONTROL!$C$32, $C$9, 100%, $E$9)</f>
        <v>5.2942999999999998</v>
      </c>
      <c r="F204" s="81">
        <f>5.2943 * CHOOSE(CONTROL!$C$32, $C$9, 100%, $E$9)</f>
        <v>5.2942999999999998</v>
      </c>
      <c r="G204" s="81">
        <f>5.2979 * CHOOSE(CONTROL!$C$32, $C$9, 100%, $E$9)</f>
        <v>5.2979000000000003</v>
      </c>
      <c r="H204" s="81">
        <f>8.6384 * CHOOSE(CONTROL!$C$32, $C$9, 100%, $E$9)</f>
        <v>8.6384000000000007</v>
      </c>
      <c r="I204" s="81">
        <f>8.6421 * CHOOSE(CONTROL!$C$32, $C$9, 100%, $E$9)</f>
        <v>8.6420999999999992</v>
      </c>
      <c r="J204" s="81">
        <f>8.6384 * CHOOSE(CONTROL!$C$32, $C$9, 100%, $E$9)</f>
        <v>8.6384000000000007</v>
      </c>
      <c r="K204" s="81">
        <f>8.6421 * CHOOSE(CONTROL!$C$32, $C$9, 100%, $E$9)</f>
        <v>8.6420999999999992</v>
      </c>
      <c r="L204" s="81">
        <f>5.2943 * CHOOSE(CONTROL!$C$32, $C$9, 100%, $E$9)</f>
        <v>5.2942999999999998</v>
      </c>
      <c r="M204" s="81">
        <f>5.2979 * CHOOSE(CONTROL!$C$32, $C$9, 100%, $E$9)</f>
        <v>5.2979000000000003</v>
      </c>
      <c r="N204" s="81">
        <f>5.2943 * CHOOSE(CONTROL!$C$32, $C$9, 100%, $E$9)</f>
        <v>5.2942999999999998</v>
      </c>
      <c r="O204" s="81">
        <f>5.2979 * CHOOSE(CONTROL!$C$32, $C$9, 100%, $E$9)</f>
        <v>5.2979000000000003</v>
      </c>
    </row>
    <row r="205" spans="1:15" ht="15" x14ac:dyDescent="0.2">
      <c r="A205" s="16">
        <v>47453</v>
      </c>
      <c r="B205" s="80">
        <f>4.152 * CHOOSE(CONTROL!$C$32, $C$9, 100%, $E$9)</f>
        <v>4.1520000000000001</v>
      </c>
      <c r="C205" s="80">
        <f>4.152 * CHOOSE(CONTROL!$C$32, $C$9, 100%, $E$9)</f>
        <v>4.1520000000000001</v>
      </c>
      <c r="D205" s="80">
        <f>4.153 * CHOOSE(CONTROL!$C$32, $C$9, 100%, $E$9)</f>
        <v>4.1529999999999996</v>
      </c>
      <c r="E205" s="81">
        <f>5.2943 * CHOOSE(CONTROL!$C$32, $C$9, 100%, $E$9)</f>
        <v>5.2942999999999998</v>
      </c>
      <c r="F205" s="81">
        <f>5.2943 * CHOOSE(CONTROL!$C$32, $C$9, 100%, $E$9)</f>
        <v>5.2942999999999998</v>
      </c>
      <c r="G205" s="81">
        <f>5.2979 * CHOOSE(CONTROL!$C$32, $C$9, 100%, $E$9)</f>
        <v>5.2979000000000003</v>
      </c>
      <c r="H205" s="81">
        <f>8.6564 * CHOOSE(CONTROL!$C$32, $C$9, 100%, $E$9)</f>
        <v>8.6563999999999997</v>
      </c>
      <c r="I205" s="81">
        <f>8.6601 * CHOOSE(CONTROL!$C$32, $C$9, 100%, $E$9)</f>
        <v>8.6600999999999999</v>
      </c>
      <c r="J205" s="81">
        <f>8.6564 * CHOOSE(CONTROL!$C$32, $C$9, 100%, $E$9)</f>
        <v>8.6563999999999997</v>
      </c>
      <c r="K205" s="81">
        <f>8.6601 * CHOOSE(CONTROL!$C$32, $C$9, 100%, $E$9)</f>
        <v>8.6600999999999999</v>
      </c>
      <c r="L205" s="81">
        <f>5.2943 * CHOOSE(CONTROL!$C$32, $C$9, 100%, $E$9)</f>
        <v>5.2942999999999998</v>
      </c>
      <c r="M205" s="81">
        <f>5.2979 * CHOOSE(CONTROL!$C$32, $C$9, 100%, $E$9)</f>
        <v>5.2979000000000003</v>
      </c>
      <c r="N205" s="81">
        <f>5.2943 * CHOOSE(CONTROL!$C$32, $C$9, 100%, $E$9)</f>
        <v>5.2942999999999998</v>
      </c>
      <c r="O205" s="81">
        <f>5.2979 * CHOOSE(CONTROL!$C$32, $C$9, 100%, $E$9)</f>
        <v>5.2979000000000003</v>
      </c>
    </row>
    <row r="206" spans="1:15" ht="15" x14ac:dyDescent="0.2">
      <c r="A206" s="16">
        <v>47484</v>
      </c>
      <c r="B206" s="80">
        <f>4.1883 * CHOOSE(CONTROL!$C$32, $C$9, 100%, $E$9)</f>
        <v>4.1882999999999999</v>
      </c>
      <c r="C206" s="80">
        <f>4.1883 * CHOOSE(CONTROL!$C$32, $C$9, 100%, $E$9)</f>
        <v>4.1882999999999999</v>
      </c>
      <c r="D206" s="80">
        <f>4.1893 * CHOOSE(CONTROL!$C$32, $C$9, 100%, $E$9)</f>
        <v>4.1893000000000002</v>
      </c>
      <c r="E206" s="81">
        <f>5.3388 * CHOOSE(CONTROL!$C$32, $C$9, 100%, $E$9)</f>
        <v>5.3388</v>
      </c>
      <c r="F206" s="81">
        <f>5.3388 * CHOOSE(CONTROL!$C$32, $C$9, 100%, $E$9)</f>
        <v>5.3388</v>
      </c>
      <c r="G206" s="81">
        <f>5.3424 * CHOOSE(CONTROL!$C$32, $C$9, 100%, $E$9)</f>
        <v>5.3423999999999996</v>
      </c>
      <c r="H206" s="81">
        <f>8.6745 * CHOOSE(CONTROL!$C$32, $C$9, 100%, $E$9)</f>
        <v>8.6745000000000001</v>
      </c>
      <c r="I206" s="81">
        <f>8.6781 * CHOOSE(CONTROL!$C$32, $C$9, 100%, $E$9)</f>
        <v>8.6781000000000006</v>
      </c>
      <c r="J206" s="81">
        <f>8.6745 * CHOOSE(CONTROL!$C$32, $C$9, 100%, $E$9)</f>
        <v>8.6745000000000001</v>
      </c>
      <c r="K206" s="81">
        <f>8.6781 * CHOOSE(CONTROL!$C$32, $C$9, 100%, $E$9)</f>
        <v>8.6781000000000006</v>
      </c>
      <c r="L206" s="81">
        <f>5.3388 * CHOOSE(CONTROL!$C$32, $C$9, 100%, $E$9)</f>
        <v>5.3388</v>
      </c>
      <c r="M206" s="81">
        <f>5.3424 * CHOOSE(CONTROL!$C$32, $C$9, 100%, $E$9)</f>
        <v>5.3423999999999996</v>
      </c>
      <c r="N206" s="81">
        <f>5.3388 * CHOOSE(CONTROL!$C$32, $C$9, 100%, $E$9)</f>
        <v>5.3388</v>
      </c>
      <c r="O206" s="81">
        <f>5.3424 * CHOOSE(CONTROL!$C$32, $C$9, 100%, $E$9)</f>
        <v>5.3423999999999996</v>
      </c>
    </row>
    <row r="207" spans="1:15" ht="15" x14ac:dyDescent="0.2">
      <c r="A207" s="16">
        <v>47515</v>
      </c>
      <c r="B207" s="80">
        <f>4.1852 * CHOOSE(CONTROL!$C$32, $C$9, 100%, $E$9)</f>
        <v>4.1852</v>
      </c>
      <c r="C207" s="80">
        <f>4.1852 * CHOOSE(CONTROL!$C$32, $C$9, 100%, $E$9)</f>
        <v>4.1852</v>
      </c>
      <c r="D207" s="80">
        <f>4.1863 * CHOOSE(CONTROL!$C$32, $C$9, 100%, $E$9)</f>
        <v>4.1863000000000001</v>
      </c>
      <c r="E207" s="81">
        <f>5.3368 * CHOOSE(CONTROL!$C$32, $C$9, 100%, $E$9)</f>
        <v>5.3368000000000002</v>
      </c>
      <c r="F207" s="81">
        <f>5.3368 * CHOOSE(CONTROL!$C$32, $C$9, 100%, $E$9)</f>
        <v>5.3368000000000002</v>
      </c>
      <c r="G207" s="81">
        <f>5.3404 * CHOOSE(CONTROL!$C$32, $C$9, 100%, $E$9)</f>
        <v>5.3403999999999998</v>
      </c>
      <c r="H207" s="81">
        <f>8.6925 * CHOOSE(CONTROL!$C$32, $C$9, 100%, $E$9)</f>
        <v>8.6925000000000008</v>
      </c>
      <c r="I207" s="81">
        <f>8.6962 * CHOOSE(CONTROL!$C$32, $C$9, 100%, $E$9)</f>
        <v>8.6961999999999993</v>
      </c>
      <c r="J207" s="81">
        <f>8.6925 * CHOOSE(CONTROL!$C$32, $C$9, 100%, $E$9)</f>
        <v>8.6925000000000008</v>
      </c>
      <c r="K207" s="81">
        <f>8.6962 * CHOOSE(CONTROL!$C$32, $C$9, 100%, $E$9)</f>
        <v>8.6961999999999993</v>
      </c>
      <c r="L207" s="81">
        <f>5.3368 * CHOOSE(CONTROL!$C$32, $C$9, 100%, $E$9)</f>
        <v>5.3368000000000002</v>
      </c>
      <c r="M207" s="81">
        <f>5.3404 * CHOOSE(CONTROL!$C$32, $C$9, 100%, $E$9)</f>
        <v>5.3403999999999998</v>
      </c>
      <c r="N207" s="81">
        <f>5.3368 * CHOOSE(CONTROL!$C$32, $C$9, 100%, $E$9)</f>
        <v>5.3368000000000002</v>
      </c>
      <c r="O207" s="81">
        <f>5.3404 * CHOOSE(CONTROL!$C$32, $C$9, 100%, $E$9)</f>
        <v>5.3403999999999998</v>
      </c>
    </row>
    <row r="208" spans="1:15" ht="15" x14ac:dyDescent="0.2">
      <c r="A208" s="16">
        <v>47543</v>
      </c>
      <c r="B208" s="80">
        <f>4.1822 * CHOOSE(CONTROL!$C$32, $C$9, 100%, $E$9)</f>
        <v>4.1821999999999999</v>
      </c>
      <c r="C208" s="80">
        <f>4.1822 * CHOOSE(CONTROL!$C$32, $C$9, 100%, $E$9)</f>
        <v>4.1821999999999999</v>
      </c>
      <c r="D208" s="80">
        <f>4.1833 * CHOOSE(CONTROL!$C$32, $C$9, 100%, $E$9)</f>
        <v>4.1833</v>
      </c>
      <c r="E208" s="81">
        <f>5.3348 * CHOOSE(CONTROL!$C$32, $C$9, 100%, $E$9)</f>
        <v>5.3348000000000004</v>
      </c>
      <c r="F208" s="81">
        <f>5.3348 * CHOOSE(CONTROL!$C$32, $C$9, 100%, $E$9)</f>
        <v>5.3348000000000004</v>
      </c>
      <c r="G208" s="81">
        <f>5.3384 * CHOOSE(CONTROL!$C$32, $C$9, 100%, $E$9)</f>
        <v>5.3384</v>
      </c>
      <c r="H208" s="81">
        <f>8.7107 * CHOOSE(CONTROL!$C$32, $C$9, 100%, $E$9)</f>
        <v>8.7106999999999992</v>
      </c>
      <c r="I208" s="81">
        <f>8.7143 * CHOOSE(CONTROL!$C$32, $C$9, 100%, $E$9)</f>
        <v>8.7142999999999997</v>
      </c>
      <c r="J208" s="81">
        <f>8.7107 * CHOOSE(CONTROL!$C$32, $C$9, 100%, $E$9)</f>
        <v>8.7106999999999992</v>
      </c>
      <c r="K208" s="81">
        <f>8.7143 * CHOOSE(CONTROL!$C$32, $C$9, 100%, $E$9)</f>
        <v>8.7142999999999997</v>
      </c>
      <c r="L208" s="81">
        <f>5.3348 * CHOOSE(CONTROL!$C$32, $C$9, 100%, $E$9)</f>
        <v>5.3348000000000004</v>
      </c>
      <c r="M208" s="81">
        <f>5.3384 * CHOOSE(CONTROL!$C$32, $C$9, 100%, $E$9)</f>
        <v>5.3384</v>
      </c>
      <c r="N208" s="81">
        <f>5.3348 * CHOOSE(CONTROL!$C$32, $C$9, 100%, $E$9)</f>
        <v>5.3348000000000004</v>
      </c>
      <c r="O208" s="81">
        <f>5.3384 * CHOOSE(CONTROL!$C$32, $C$9, 100%, $E$9)</f>
        <v>5.3384</v>
      </c>
    </row>
    <row r="209" spans="1:15" ht="15" x14ac:dyDescent="0.2">
      <c r="A209" s="16">
        <v>47574</v>
      </c>
      <c r="B209" s="80">
        <f>4.18 * CHOOSE(CONTROL!$C$32, $C$9, 100%, $E$9)</f>
        <v>4.18</v>
      </c>
      <c r="C209" s="80">
        <f>4.18 * CHOOSE(CONTROL!$C$32, $C$9, 100%, $E$9)</f>
        <v>4.18</v>
      </c>
      <c r="D209" s="80">
        <f>4.1811 * CHOOSE(CONTROL!$C$32, $C$9, 100%, $E$9)</f>
        <v>4.1810999999999998</v>
      </c>
      <c r="E209" s="81">
        <f>5.3328 * CHOOSE(CONTROL!$C$32, $C$9, 100%, $E$9)</f>
        <v>5.3327999999999998</v>
      </c>
      <c r="F209" s="81">
        <f>5.3328 * CHOOSE(CONTROL!$C$32, $C$9, 100%, $E$9)</f>
        <v>5.3327999999999998</v>
      </c>
      <c r="G209" s="81">
        <f>5.3364 * CHOOSE(CONTROL!$C$32, $C$9, 100%, $E$9)</f>
        <v>5.3364000000000003</v>
      </c>
      <c r="H209" s="81">
        <f>8.7288 * CHOOSE(CONTROL!$C$32, $C$9, 100%, $E$9)</f>
        <v>8.7287999999999997</v>
      </c>
      <c r="I209" s="81">
        <f>8.7324 * CHOOSE(CONTROL!$C$32, $C$9, 100%, $E$9)</f>
        <v>8.7324000000000002</v>
      </c>
      <c r="J209" s="81">
        <f>8.7288 * CHOOSE(CONTROL!$C$32, $C$9, 100%, $E$9)</f>
        <v>8.7287999999999997</v>
      </c>
      <c r="K209" s="81">
        <f>8.7324 * CHOOSE(CONTROL!$C$32, $C$9, 100%, $E$9)</f>
        <v>8.7324000000000002</v>
      </c>
      <c r="L209" s="81">
        <f>5.3328 * CHOOSE(CONTROL!$C$32, $C$9, 100%, $E$9)</f>
        <v>5.3327999999999998</v>
      </c>
      <c r="M209" s="81">
        <f>5.3364 * CHOOSE(CONTROL!$C$32, $C$9, 100%, $E$9)</f>
        <v>5.3364000000000003</v>
      </c>
      <c r="N209" s="81">
        <f>5.3328 * CHOOSE(CONTROL!$C$32, $C$9, 100%, $E$9)</f>
        <v>5.3327999999999998</v>
      </c>
      <c r="O209" s="81">
        <f>5.3364 * CHOOSE(CONTROL!$C$32, $C$9, 100%, $E$9)</f>
        <v>5.3364000000000003</v>
      </c>
    </row>
    <row r="210" spans="1:15" ht="15" x14ac:dyDescent="0.2">
      <c r="A210" s="16">
        <v>47604</v>
      </c>
      <c r="B210" s="80">
        <f>4.18 * CHOOSE(CONTROL!$C$32, $C$9, 100%, $E$9)</f>
        <v>4.18</v>
      </c>
      <c r="C210" s="80">
        <f>4.18 * CHOOSE(CONTROL!$C$32, $C$9, 100%, $E$9)</f>
        <v>4.18</v>
      </c>
      <c r="D210" s="80">
        <f>4.1816 * CHOOSE(CONTROL!$C$32, $C$9, 100%, $E$9)</f>
        <v>4.1816000000000004</v>
      </c>
      <c r="E210" s="81">
        <f>5.3328 * CHOOSE(CONTROL!$C$32, $C$9, 100%, $E$9)</f>
        <v>5.3327999999999998</v>
      </c>
      <c r="F210" s="81">
        <f>5.3328 * CHOOSE(CONTROL!$C$32, $C$9, 100%, $E$9)</f>
        <v>5.3327999999999998</v>
      </c>
      <c r="G210" s="81">
        <f>5.3381 * CHOOSE(CONTROL!$C$32, $C$9, 100%, $E$9)</f>
        <v>5.3380999999999998</v>
      </c>
      <c r="H210" s="81">
        <f>8.747 * CHOOSE(CONTROL!$C$32, $C$9, 100%, $E$9)</f>
        <v>8.7469999999999999</v>
      </c>
      <c r="I210" s="81">
        <f>8.7523 * CHOOSE(CONTROL!$C$32, $C$9, 100%, $E$9)</f>
        <v>8.7523</v>
      </c>
      <c r="J210" s="81">
        <f>8.747 * CHOOSE(CONTROL!$C$32, $C$9, 100%, $E$9)</f>
        <v>8.7469999999999999</v>
      </c>
      <c r="K210" s="81">
        <f>8.7523 * CHOOSE(CONTROL!$C$32, $C$9, 100%, $E$9)</f>
        <v>8.7523</v>
      </c>
      <c r="L210" s="81">
        <f>5.3328 * CHOOSE(CONTROL!$C$32, $C$9, 100%, $E$9)</f>
        <v>5.3327999999999998</v>
      </c>
      <c r="M210" s="81">
        <f>5.3381 * CHOOSE(CONTROL!$C$32, $C$9, 100%, $E$9)</f>
        <v>5.3380999999999998</v>
      </c>
      <c r="N210" s="81">
        <f>5.3328 * CHOOSE(CONTROL!$C$32, $C$9, 100%, $E$9)</f>
        <v>5.3327999999999998</v>
      </c>
      <c r="O210" s="81">
        <f>5.3381 * CHOOSE(CONTROL!$C$32, $C$9, 100%, $E$9)</f>
        <v>5.3380999999999998</v>
      </c>
    </row>
    <row r="211" spans="1:15" ht="15" x14ac:dyDescent="0.2">
      <c r="A211" s="16">
        <v>47635</v>
      </c>
      <c r="B211" s="80">
        <f>4.1861 * CHOOSE(CONTROL!$C$32, $C$9, 100%, $E$9)</f>
        <v>4.1860999999999997</v>
      </c>
      <c r="C211" s="80">
        <f>4.1861 * CHOOSE(CONTROL!$C$32, $C$9, 100%, $E$9)</f>
        <v>4.1860999999999997</v>
      </c>
      <c r="D211" s="80">
        <f>4.1877 * CHOOSE(CONTROL!$C$32, $C$9, 100%, $E$9)</f>
        <v>4.1877000000000004</v>
      </c>
      <c r="E211" s="81">
        <f>5.3368 * CHOOSE(CONTROL!$C$32, $C$9, 100%, $E$9)</f>
        <v>5.3368000000000002</v>
      </c>
      <c r="F211" s="81">
        <f>5.3368 * CHOOSE(CONTROL!$C$32, $C$9, 100%, $E$9)</f>
        <v>5.3368000000000002</v>
      </c>
      <c r="G211" s="81">
        <f>5.3421 * CHOOSE(CONTROL!$C$32, $C$9, 100%, $E$9)</f>
        <v>5.3421000000000003</v>
      </c>
      <c r="H211" s="81">
        <f>8.7652 * CHOOSE(CONTROL!$C$32, $C$9, 100%, $E$9)</f>
        <v>8.7652000000000001</v>
      </c>
      <c r="I211" s="81">
        <f>8.7705 * CHOOSE(CONTROL!$C$32, $C$9, 100%, $E$9)</f>
        <v>8.7705000000000002</v>
      </c>
      <c r="J211" s="81">
        <f>8.7652 * CHOOSE(CONTROL!$C$32, $C$9, 100%, $E$9)</f>
        <v>8.7652000000000001</v>
      </c>
      <c r="K211" s="81">
        <f>8.7705 * CHOOSE(CONTROL!$C$32, $C$9, 100%, $E$9)</f>
        <v>8.7705000000000002</v>
      </c>
      <c r="L211" s="81">
        <f>5.3368 * CHOOSE(CONTROL!$C$32, $C$9, 100%, $E$9)</f>
        <v>5.3368000000000002</v>
      </c>
      <c r="M211" s="81">
        <f>5.3421 * CHOOSE(CONTROL!$C$32, $C$9, 100%, $E$9)</f>
        <v>5.3421000000000003</v>
      </c>
      <c r="N211" s="81">
        <f>5.3368 * CHOOSE(CONTROL!$C$32, $C$9, 100%, $E$9)</f>
        <v>5.3368000000000002</v>
      </c>
      <c r="O211" s="81">
        <f>5.3421 * CHOOSE(CONTROL!$C$32, $C$9, 100%, $E$9)</f>
        <v>5.3421000000000003</v>
      </c>
    </row>
    <row r="212" spans="1:15" ht="15" x14ac:dyDescent="0.2">
      <c r="A212" s="16">
        <v>47665</v>
      </c>
      <c r="B212" s="80">
        <f>4.2533 * CHOOSE(CONTROL!$C$32, $C$9, 100%, $E$9)</f>
        <v>4.2533000000000003</v>
      </c>
      <c r="C212" s="80">
        <f>4.2533 * CHOOSE(CONTROL!$C$32, $C$9, 100%, $E$9)</f>
        <v>4.2533000000000003</v>
      </c>
      <c r="D212" s="80">
        <f>4.2549 * CHOOSE(CONTROL!$C$32, $C$9, 100%, $E$9)</f>
        <v>4.2549000000000001</v>
      </c>
      <c r="E212" s="81">
        <f>5.4347 * CHOOSE(CONTROL!$C$32, $C$9, 100%, $E$9)</f>
        <v>5.4347000000000003</v>
      </c>
      <c r="F212" s="81">
        <f>5.4347 * CHOOSE(CONTROL!$C$32, $C$9, 100%, $E$9)</f>
        <v>5.4347000000000003</v>
      </c>
      <c r="G212" s="81">
        <f>5.44 * CHOOSE(CONTROL!$C$32, $C$9, 100%, $E$9)</f>
        <v>5.44</v>
      </c>
      <c r="H212" s="81">
        <f>8.7835 * CHOOSE(CONTROL!$C$32, $C$9, 100%, $E$9)</f>
        <v>8.7835000000000001</v>
      </c>
      <c r="I212" s="81">
        <f>8.7888 * CHOOSE(CONTROL!$C$32, $C$9, 100%, $E$9)</f>
        <v>8.7888000000000002</v>
      </c>
      <c r="J212" s="81">
        <f>8.7835 * CHOOSE(CONTROL!$C$32, $C$9, 100%, $E$9)</f>
        <v>8.7835000000000001</v>
      </c>
      <c r="K212" s="81">
        <f>8.7888 * CHOOSE(CONTROL!$C$32, $C$9, 100%, $E$9)</f>
        <v>8.7888000000000002</v>
      </c>
      <c r="L212" s="81">
        <f>5.4347 * CHOOSE(CONTROL!$C$32, $C$9, 100%, $E$9)</f>
        <v>5.4347000000000003</v>
      </c>
      <c r="M212" s="81">
        <f>5.44 * CHOOSE(CONTROL!$C$32, $C$9, 100%, $E$9)</f>
        <v>5.44</v>
      </c>
      <c r="N212" s="81">
        <f>5.4347 * CHOOSE(CONTROL!$C$32, $C$9, 100%, $E$9)</f>
        <v>5.4347000000000003</v>
      </c>
      <c r="O212" s="81">
        <f>5.44 * CHOOSE(CONTROL!$C$32, $C$9, 100%, $E$9)</f>
        <v>5.44</v>
      </c>
    </row>
    <row r="213" spans="1:15" ht="15" x14ac:dyDescent="0.2">
      <c r="A213" s="16">
        <v>47696</v>
      </c>
      <c r="B213" s="80">
        <f>4.26 * CHOOSE(CONTROL!$C$32, $C$9, 100%, $E$9)</f>
        <v>4.26</v>
      </c>
      <c r="C213" s="80">
        <f>4.26 * CHOOSE(CONTROL!$C$32, $C$9, 100%, $E$9)</f>
        <v>4.26</v>
      </c>
      <c r="D213" s="80">
        <f>4.2616 * CHOOSE(CONTROL!$C$32, $C$9, 100%, $E$9)</f>
        <v>4.2615999999999996</v>
      </c>
      <c r="E213" s="81">
        <f>5.4391 * CHOOSE(CONTROL!$C$32, $C$9, 100%, $E$9)</f>
        <v>5.4390999999999998</v>
      </c>
      <c r="F213" s="81">
        <f>5.4391 * CHOOSE(CONTROL!$C$32, $C$9, 100%, $E$9)</f>
        <v>5.4390999999999998</v>
      </c>
      <c r="G213" s="81">
        <f>5.4444 * CHOOSE(CONTROL!$C$32, $C$9, 100%, $E$9)</f>
        <v>5.4443999999999999</v>
      </c>
      <c r="H213" s="81">
        <f>8.8018 * CHOOSE(CONTROL!$C$32, $C$9, 100%, $E$9)</f>
        <v>8.8018000000000001</v>
      </c>
      <c r="I213" s="81">
        <f>8.8071 * CHOOSE(CONTROL!$C$32, $C$9, 100%, $E$9)</f>
        <v>8.8071000000000002</v>
      </c>
      <c r="J213" s="81">
        <f>8.8018 * CHOOSE(CONTROL!$C$32, $C$9, 100%, $E$9)</f>
        <v>8.8018000000000001</v>
      </c>
      <c r="K213" s="81">
        <f>8.8071 * CHOOSE(CONTROL!$C$32, $C$9, 100%, $E$9)</f>
        <v>8.8071000000000002</v>
      </c>
      <c r="L213" s="81">
        <f>5.4391 * CHOOSE(CONTROL!$C$32, $C$9, 100%, $E$9)</f>
        <v>5.4390999999999998</v>
      </c>
      <c r="M213" s="81">
        <f>5.4444 * CHOOSE(CONTROL!$C$32, $C$9, 100%, $E$9)</f>
        <v>5.4443999999999999</v>
      </c>
      <c r="N213" s="81">
        <f>5.4391 * CHOOSE(CONTROL!$C$32, $C$9, 100%, $E$9)</f>
        <v>5.4390999999999998</v>
      </c>
      <c r="O213" s="81">
        <f>5.4444 * CHOOSE(CONTROL!$C$32, $C$9, 100%, $E$9)</f>
        <v>5.4443999999999999</v>
      </c>
    </row>
    <row r="214" spans="1:15" ht="15" x14ac:dyDescent="0.2">
      <c r="A214" s="16">
        <v>47727</v>
      </c>
      <c r="B214" s="80">
        <f>4.2569 * CHOOSE(CONTROL!$C$32, $C$9, 100%, $E$9)</f>
        <v>4.2568999999999999</v>
      </c>
      <c r="C214" s="80">
        <f>4.2569 * CHOOSE(CONTROL!$C$32, $C$9, 100%, $E$9)</f>
        <v>4.2568999999999999</v>
      </c>
      <c r="D214" s="80">
        <f>4.2585 * CHOOSE(CONTROL!$C$32, $C$9, 100%, $E$9)</f>
        <v>4.2584999999999997</v>
      </c>
      <c r="E214" s="81">
        <f>5.4371 * CHOOSE(CONTROL!$C$32, $C$9, 100%, $E$9)</f>
        <v>5.4371</v>
      </c>
      <c r="F214" s="81">
        <f>5.4371 * CHOOSE(CONTROL!$C$32, $C$9, 100%, $E$9)</f>
        <v>5.4371</v>
      </c>
      <c r="G214" s="81">
        <f>5.4424 * CHOOSE(CONTROL!$C$32, $C$9, 100%, $E$9)</f>
        <v>5.4424000000000001</v>
      </c>
      <c r="H214" s="81">
        <f>8.8201 * CHOOSE(CONTROL!$C$32, $C$9, 100%, $E$9)</f>
        <v>8.8201000000000001</v>
      </c>
      <c r="I214" s="81">
        <f>8.8254 * CHOOSE(CONTROL!$C$32, $C$9, 100%, $E$9)</f>
        <v>8.8254000000000001</v>
      </c>
      <c r="J214" s="81">
        <f>8.8201 * CHOOSE(CONTROL!$C$32, $C$9, 100%, $E$9)</f>
        <v>8.8201000000000001</v>
      </c>
      <c r="K214" s="81">
        <f>8.8254 * CHOOSE(CONTROL!$C$32, $C$9, 100%, $E$9)</f>
        <v>8.8254000000000001</v>
      </c>
      <c r="L214" s="81">
        <f>5.4371 * CHOOSE(CONTROL!$C$32, $C$9, 100%, $E$9)</f>
        <v>5.4371</v>
      </c>
      <c r="M214" s="81">
        <f>5.4424 * CHOOSE(CONTROL!$C$32, $C$9, 100%, $E$9)</f>
        <v>5.4424000000000001</v>
      </c>
      <c r="N214" s="81">
        <f>5.4371 * CHOOSE(CONTROL!$C$32, $C$9, 100%, $E$9)</f>
        <v>5.4371</v>
      </c>
      <c r="O214" s="81">
        <f>5.4424 * CHOOSE(CONTROL!$C$32, $C$9, 100%, $E$9)</f>
        <v>5.4424000000000001</v>
      </c>
    </row>
    <row r="215" spans="1:15" ht="15" x14ac:dyDescent="0.2">
      <c r="A215" s="16">
        <v>47757</v>
      </c>
      <c r="B215" s="80">
        <f>4.253 * CHOOSE(CONTROL!$C$32, $C$9, 100%, $E$9)</f>
        <v>4.2530000000000001</v>
      </c>
      <c r="C215" s="80">
        <f>4.253 * CHOOSE(CONTROL!$C$32, $C$9, 100%, $E$9)</f>
        <v>4.2530000000000001</v>
      </c>
      <c r="D215" s="80">
        <f>4.254 * CHOOSE(CONTROL!$C$32, $C$9, 100%, $E$9)</f>
        <v>4.2539999999999996</v>
      </c>
      <c r="E215" s="81">
        <f>5.4323 * CHOOSE(CONTROL!$C$32, $C$9, 100%, $E$9)</f>
        <v>5.4322999999999997</v>
      </c>
      <c r="F215" s="81">
        <f>5.4323 * CHOOSE(CONTROL!$C$32, $C$9, 100%, $E$9)</f>
        <v>5.4322999999999997</v>
      </c>
      <c r="G215" s="81">
        <f>5.436 * CHOOSE(CONTROL!$C$32, $C$9, 100%, $E$9)</f>
        <v>5.4359999999999999</v>
      </c>
      <c r="H215" s="81">
        <f>8.8385 * CHOOSE(CONTROL!$C$32, $C$9, 100%, $E$9)</f>
        <v>8.8384999999999998</v>
      </c>
      <c r="I215" s="81">
        <f>8.8421 * CHOOSE(CONTROL!$C$32, $C$9, 100%, $E$9)</f>
        <v>8.8421000000000003</v>
      </c>
      <c r="J215" s="81">
        <f>8.8385 * CHOOSE(CONTROL!$C$32, $C$9, 100%, $E$9)</f>
        <v>8.8384999999999998</v>
      </c>
      <c r="K215" s="81">
        <f>8.8421 * CHOOSE(CONTROL!$C$32, $C$9, 100%, $E$9)</f>
        <v>8.8421000000000003</v>
      </c>
      <c r="L215" s="81">
        <f>5.4323 * CHOOSE(CONTROL!$C$32, $C$9, 100%, $E$9)</f>
        <v>5.4322999999999997</v>
      </c>
      <c r="M215" s="81">
        <f>5.436 * CHOOSE(CONTROL!$C$32, $C$9, 100%, $E$9)</f>
        <v>5.4359999999999999</v>
      </c>
      <c r="N215" s="81">
        <f>5.4323 * CHOOSE(CONTROL!$C$32, $C$9, 100%, $E$9)</f>
        <v>5.4322999999999997</v>
      </c>
      <c r="O215" s="81">
        <f>5.436 * CHOOSE(CONTROL!$C$32, $C$9, 100%, $E$9)</f>
        <v>5.4359999999999999</v>
      </c>
    </row>
    <row r="216" spans="1:15" ht="15" x14ac:dyDescent="0.2">
      <c r="A216" s="16">
        <v>47788</v>
      </c>
      <c r="B216" s="80">
        <f>4.256 * CHOOSE(CONTROL!$C$32, $C$9, 100%, $E$9)</f>
        <v>4.2560000000000002</v>
      </c>
      <c r="C216" s="80">
        <f>4.256 * CHOOSE(CONTROL!$C$32, $C$9, 100%, $E$9)</f>
        <v>4.2560000000000002</v>
      </c>
      <c r="D216" s="80">
        <f>4.2571 * CHOOSE(CONTROL!$C$32, $C$9, 100%, $E$9)</f>
        <v>4.2571000000000003</v>
      </c>
      <c r="E216" s="81">
        <f>5.4343 * CHOOSE(CONTROL!$C$32, $C$9, 100%, $E$9)</f>
        <v>5.4343000000000004</v>
      </c>
      <c r="F216" s="81">
        <f>5.4343 * CHOOSE(CONTROL!$C$32, $C$9, 100%, $E$9)</f>
        <v>5.4343000000000004</v>
      </c>
      <c r="G216" s="81">
        <f>5.438 * CHOOSE(CONTROL!$C$32, $C$9, 100%, $E$9)</f>
        <v>5.4379999999999997</v>
      </c>
      <c r="H216" s="81">
        <f>8.8569 * CHOOSE(CONTROL!$C$32, $C$9, 100%, $E$9)</f>
        <v>8.8568999999999996</v>
      </c>
      <c r="I216" s="81">
        <f>8.8605 * CHOOSE(CONTROL!$C$32, $C$9, 100%, $E$9)</f>
        <v>8.8605</v>
      </c>
      <c r="J216" s="81">
        <f>8.8569 * CHOOSE(CONTROL!$C$32, $C$9, 100%, $E$9)</f>
        <v>8.8568999999999996</v>
      </c>
      <c r="K216" s="81">
        <f>8.8605 * CHOOSE(CONTROL!$C$32, $C$9, 100%, $E$9)</f>
        <v>8.8605</v>
      </c>
      <c r="L216" s="81">
        <f>5.4343 * CHOOSE(CONTROL!$C$32, $C$9, 100%, $E$9)</f>
        <v>5.4343000000000004</v>
      </c>
      <c r="M216" s="81">
        <f>5.438 * CHOOSE(CONTROL!$C$32, $C$9, 100%, $E$9)</f>
        <v>5.4379999999999997</v>
      </c>
      <c r="N216" s="81">
        <f>5.4343 * CHOOSE(CONTROL!$C$32, $C$9, 100%, $E$9)</f>
        <v>5.4343000000000004</v>
      </c>
      <c r="O216" s="81">
        <f>5.438 * CHOOSE(CONTROL!$C$32, $C$9, 100%, $E$9)</f>
        <v>5.4379999999999997</v>
      </c>
    </row>
    <row r="217" spans="1:15" ht="15" x14ac:dyDescent="0.2">
      <c r="A217" s="16">
        <v>47818</v>
      </c>
      <c r="B217" s="80">
        <f>4.256 * CHOOSE(CONTROL!$C$32, $C$9, 100%, $E$9)</f>
        <v>4.2560000000000002</v>
      </c>
      <c r="C217" s="80">
        <f>4.256 * CHOOSE(CONTROL!$C$32, $C$9, 100%, $E$9)</f>
        <v>4.2560000000000002</v>
      </c>
      <c r="D217" s="80">
        <f>4.2571 * CHOOSE(CONTROL!$C$32, $C$9, 100%, $E$9)</f>
        <v>4.2571000000000003</v>
      </c>
      <c r="E217" s="81">
        <f>5.4343 * CHOOSE(CONTROL!$C$32, $C$9, 100%, $E$9)</f>
        <v>5.4343000000000004</v>
      </c>
      <c r="F217" s="81">
        <f>5.4343 * CHOOSE(CONTROL!$C$32, $C$9, 100%, $E$9)</f>
        <v>5.4343000000000004</v>
      </c>
      <c r="G217" s="81">
        <f>5.438 * CHOOSE(CONTROL!$C$32, $C$9, 100%, $E$9)</f>
        <v>5.4379999999999997</v>
      </c>
      <c r="H217" s="81">
        <f>8.8753 * CHOOSE(CONTROL!$C$32, $C$9, 100%, $E$9)</f>
        <v>8.8752999999999993</v>
      </c>
      <c r="I217" s="81">
        <f>8.879 * CHOOSE(CONTROL!$C$32, $C$9, 100%, $E$9)</f>
        <v>8.8789999999999996</v>
      </c>
      <c r="J217" s="81">
        <f>8.8753 * CHOOSE(CONTROL!$C$32, $C$9, 100%, $E$9)</f>
        <v>8.8752999999999993</v>
      </c>
      <c r="K217" s="81">
        <f>8.879 * CHOOSE(CONTROL!$C$32, $C$9, 100%, $E$9)</f>
        <v>8.8789999999999996</v>
      </c>
      <c r="L217" s="81">
        <f>5.4343 * CHOOSE(CONTROL!$C$32, $C$9, 100%, $E$9)</f>
        <v>5.4343000000000004</v>
      </c>
      <c r="M217" s="81">
        <f>5.438 * CHOOSE(CONTROL!$C$32, $C$9, 100%, $E$9)</f>
        <v>5.4379999999999997</v>
      </c>
      <c r="N217" s="81">
        <f>5.4343 * CHOOSE(CONTROL!$C$32, $C$9, 100%, $E$9)</f>
        <v>5.4343000000000004</v>
      </c>
      <c r="O217" s="81">
        <f>5.438 * CHOOSE(CONTROL!$C$32, $C$9, 100%, $E$9)</f>
        <v>5.4379999999999997</v>
      </c>
    </row>
    <row r="218" spans="1:15" ht="15" x14ac:dyDescent="0.2">
      <c r="A218" s="16">
        <v>47849</v>
      </c>
      <c r="B218" s="80">
        <f>4.2906 * CHOOSE(CONTROL!$C$32, $C$9, 100%, $E$9)</f>
        <v>4.2906000000000004</v>
      </c>
      <c r="C218" s="80">
        <f>4.2906 * CHOOSE(CONTROL!$C$32, $C$9, 100%, $E$9)</f>
        <v>4.2906000000000004</v>
      </c>
      <c r="D218" s="80">
        <f>4.2916 * CHOOSE(CONTROL!$C$32, $C$9, 100%, $E$9)</f>
        <v>4.2915999999999999</v>
      </c>
      <c r="E218" s="81">
        <f>5.4769 * CHOOSE(CONTROL!$C$32, $C$9, 100%, $E$9)</f>
        <v>5.4768999999999997</v>
      </c>
      <c r="F218" s="81">
        <f>5.4769 * CHOOSE(CONTROL!$C$32, $C$9, 100%, $E$9)</f>
        <v>5.4768999999999997</v>
      </c>
      <c r="G218" s="81">
        <f>5.4806 * CHOOSE(CONTROL!$C$32, $C$9, 100%, $E$9)</f>
        <v>5.4805999999999999</v>
      </c>
      <c r="H218" s="81">
        <f>8.8938 * CHOOSE(CONTROL!$C$32, $C$9, 100%, $E$9)</f>
        <v>8.8938000000000006</v>
      </c>
      <c r="I218" s="81">
        <f>8.8975 * CHOOSE(CONTROL!$C$32, $C$9, 100%, $E$9)</f>
        <v>8.8975000000000009</v>
      </c>
      <c r="J218" s="81">
        <f>8.8938 * CHOOSE(CONTROL!$C$32, $C$9, 100%, $E$9)</f>
        <v>8.8938000000000006</v>
      </c>
      <c r="K218" s="81">
        <f>8.8975 * CHOOSE(CONTROL!$C$32, $C$9, 100%, $E$9)</f>
        <v>8.8975000000000009</v>
      </c>
      <c r="L218" s="81">
        <f>5.4769 * CHOOSE(CONTROL!$C$32, $C$9, 100%, $E$9)</f>
        <v>5.4768999999999997</v>
      </c>
      <c r="M218" s="81">
        <f>5.4806 * CHOOSE(CONTROL!$C$32, $C$9, 100%, $E$9)</f>
        <v>5.4805999999999999</v>
      </c>
      <c r="N218" s="81">
        <f>5.4769 * CHOOSE(CONTROL!$C$32, $C$9, 100%, $E$9)</f>
        <v>5.4768999999999997</v>
      </c>
      <c r="O218" s="81">
        <f>5.4806 * CHOOSE(CONTROL!$C$32, $C$9, 100%, $E$9)</f>
        <v>5.4805999999999999</v>
      </c>
    </row>
    <row r="219" spans="1:15" ht="15" x14ac:dyDescent="0.2">
      <c r="A219" s="16">
        <v>47880</v>
      </c>
      <c r="B219" s="80">
        <f>4.2875 * CHOOSE(CONTROL!$C$32, $C$9, 100%, $E$9)</f>
        <v>4.2874999999999996</v>
      </c>
      <c r="C219" s="80">
        <f>4.2875 * CHOOSE(CONTROL!$C$32, $C$9, 100%, $E$9)</f>
        <v>4.2874999999999996</v>
      </c>
      <c r="D219" s="80">
        <f>4.2886 * CHOOSE(CONTROL!$C$32, $C$9, 100%, $E$9)</f>
        <v>4.2885999999999997</v>
      </c>
      <c r="E219" s="81">
        <f>5.4749 * CHOOSE(CONTROL!$C$32, $C$9, 100%, $E$9)</f>
        <v>5.4748999999999999</v>
      </c>
      <c r="F219" s="81">
        <f>5.4749 * CHOOSE(CONTROL!$C$32, $C$9, 100%, $E$9)</f>
        <v>5.4748999999999999</v>
      </c>
      <c r="G219" s="81">
        <f>5.4786 * CHOOSE(CONTROL!$C$32, $C$9, 100%, $E$9)</f>
        <v>5.4786000000000001</v>
      </c>
      <c r="H219" s="81">
        <f>8.9124 * CHOOSE(CONTROL!$C$32, $C$9, 100%, $E$9)</f>
        <v>8.9123999999999999</v>
      </c>
      <c r="I219" s="81">
        <f>8.916 * CHOOSE(CONTROL!$C$32, $C$9, 100%, $E$9)</f>
        <v>8.9160000000000004</v>
      </c>
      <c r="J219" s="81">
        <f>8.9124 * CHOOSE(CONTROL!$C$32, $C$9, 100%, $E$9)</f>
        <v>8.9123999999999999</v>
      </c>
      <c r="K219" s="81">
        <f>8.916 * CHOOSE(CONTROL!$C$32, $C$9, 100%, $E$9)</f>
        <v>8.9160000000000004</v>
      </c>
      <c r="L219" s="81">
        <f>5.4749 * CHOOSE(CONTROL!$C$32, $C$9, 100%, $E$9)</f>
        <v>5.4748999999999999</v>
      </c>
      <c r="M219" s="81">
        <f>5.4786 * CHOOSE(CONTROL!$C$32, $C$9, 100%, $E$9)</f>
        <v>5.4786000000000001</v>
      </c>
      <c r="N219" s="81">
        <f>5.4749 * CHOOSE(CONTROL!$C$32, $C$9, 100%, $E$9)</f>
        <v>5.4748999999999999</v>
      </c>
      <c r="O219" s="81">
        <f>5.4786 * CHOOSE(CONTROL!$C$32, $C$9, 100%, $E$9)</f>
        <v>5.4786000000000001</v>
      </c>
    </row>
    <row r="220" spans="1:15" ht="15" x14ac:dyDescent="0.2">
      <c r="A220" s="16">
        <v>47908</v>
      </c>
      <c r="B220" s="80">
        <f>4.2845 * CHOOSE(CONTROL!$C$32, $C$9, 100%, $E$9)</f>
        <v>4.2845000000000004</v>
      </c>
      <c r="C220" s="80">
        <f>4.2845 * CHOOSE(CONTROL!$C$32, $C$9, 100%, $E$9)</f>
        <v>4.2845000000000004</v>
      </c>
      <c r="D220" s="80">
        <f>4.2856 * CHOOSE(CONTROL!$C$32, $C$9, 100%, $E$9)</f>
        <v>4.2855999999999996</v>
      </c>
      <c r="E220" s="81">
        <f>5.4729 * CHOOSE(CONTROL!$C$32, $C$9, 100%, $E$9)</f>
        <v>5.4729000000000001</v>
      </c>
      <c r="F220" s="81">
        <f>5.4729 * CHOOSE(CONTROL!$C$32, $C$9, 100%, $E$9)</f>
        <v>5.4729000000000001</v>
      </c>
      <c r="G220" s="81">
        <f>5.4766 * CHOOSE(CONTROL!$C$32, $C$9, 100%, $E$9)</f>
        <v>5.4766000000000004</v>
      </c>
      <c r="H220" s="81">
        <f>8.9309 * CHOOSE(CONTROL!$C$32, $C$9, 100%, $E$9)</f>
        <v>8.9308999999999994</v>
      </c>
      <c r="I220" s="81">
        <f>8.9346 * CHOOSE(CONTROL!$C$32, $C$9, 100%, $E$9)</f>
        <v>8.9345999999999997</v>
      </c>
      <c r="J220" s="81">
        <f>8.9309 * CHOOSE(CONTROL!$C$32, $C$9, 100%, $E$9)</f>
        <v>8.9308999999999994</v>
      </c>
      <c r="K220" s="81">
        <f>8.9346 * CHOOSE(CONTROL!$C$32, $C$9, 100%, $E$9)</f>
        <v>8.9345999999999997</v>
      </c>
      <c r="L220" s="81">
        <f>5.4729 * CHOOSE(CONTROL!$C$32, $C$9, 100%, $E$9)</f>
        <v>5.4729000000000001</v>
      </c>
      <c r="M220" s="81">
        <f>5.4766 * CHOOSE(CONTROL!$C$32, $C$9, 100%, $E$9)</f>
        <v>5.4766000000000004</v>
      </c>
      <c r="N220" s="81">
        <f>5.4729 * CHOOSE(CONTROL!$C$32, $C$9, 100%, $E$9)</f>
        <v>5.4729000000000001</v>
      </c>
      <c r="O220" s="81">
        <f>5.4766 * CHOOSE(CONTROL!$C$32, $C$9, 100%, $E$9)</f>
        <v>5.4766000000000004</v>
      </c>
    </row>
    <row r="221" spans="1:15" ht="15" x14ac:dyDescent="0.2">
      <c r="A221" s="16">
        <v>47939</v>
      </c>
      <c r="B221" s="80">
        <f>4.2824 * CHOOSE(CONTROL!$C$32, $C$9, 100%, $E$9)</f>
        <v>4.2824</v>
      </c>
      <c r="C221" s="80">
        <f>4.2824 * CHOOSE(CONTROL!$C$32, $C$9, 100%, $E$9)</f>
        <v>4.2824</v>
      </c>
      <c r="D221" s="80">
        <f>4.2835 * CHOOSE(CONTROL!$C$32, $C$9, 100%, $E$9)</f>
        <v>4.2835000000000001</v>
      </c>
      <c r="E221" s="81">
        <f>5.471 * CHOOSE(CONTROL!$C$32, $C$9, 100%, $E$9)</f>
        <v>5.4710000000000001</v>
      </c>
      <c r="F221" s="81">
        <f>5.471 * CHOOSE(CONTROL!$C$32, $C$9, 100%, $E$9)</f>
        <v>5.4710000000000001</v>
      </c>
      <c r="G221" s="81">
        <f>5.4746 * CHOOSE(CONTROL!$C$32, $C$9, 100%, $E$9)</f>
        <v>5.4745999999999997</v>
      </c>
      <c r="H221" s="81">
        <f>8.9495 * CHOOSE(CONTROL!$C$32, $C$9, 100%, $E$9)</f>
        <v>8.9495000000000005</v>
      </c>
      <c r="I221" s="81">
        <f>8.9532 * CHOOSE(CONTROL!$C$32, $C$9, 100%, $E$9)</f>
        <v>8.9532000000000007</v>
      </c>
      <c r="J221" s="81">
        <f>8.9495 * CHOOSE(CONTROL!$C$32, $C$9, 100%, $E$9)</f>
        <v>8.9495000000000005</v>
      </c>
      <c r="K221" s="81">
        <f>8.9532 * CHOOSE(CONTROL!$C$32, $C$9, 100%, $E$9)</f>
        <v>8.9532000000000007</v>
      </c>
      <c r="L221" s="81">
        <f>5.471 * CHOOSE(CONTROL!$C$32, $C$9, 100%, $E$9)</f>
        <v>5.4710000000000001</v>
      </c>
      <c r="M221" s="81">
        <f>5.4746 * CHOOSE(CONTROL!$C$32, $C$9, 100%, $E$9)</f>
        <v>5.4745999999999997</v>
      </c>
      <c r="N221" s="81">
        <f>5.471 * CHOOSE(CONTROL!$C$32, $C$9, 100%, $E$9)</f>
        <v>5.4710000000000001</v>
      </c>
      <c r="O221" s="81">
        <f>5.4746 * CHOOSE(CONTROL!$C$32, $C$9, 100%, $E$9)</f>
        <v>5.4745999999999997</v>
      </c>
    </row>
    <row r="222" spans="1:15" ht="15" x14ac:dyDescent="0.2">
      <c r="A222" s="16">
        <v>47969</v>
      </c>
      <c r="B222" s="80">
        <f>4.2824 * CHOOSE(CONTROL!$C$32, $C$9, 100%, $E$9)</f>
        <v>4.2824</v>
      </c>
      <c r="C222" s="80">
        <f>4.2824 * CHOOSE(CONTROL!$C$32, $C$9, 100%, $E$9)</f>
        <v>4.2824</v>
      </c>
      <c r="D222" s="80">
        <f>4.284 * CHOOSE(CONTROL!$C$32, $C$9, 100%, $E$9)</f>
        <v>4.2839999999999998</v>
      </c>
      <c r="E222" s="81">
        <f>5.471 * CHOOSE(CONTROL!$C$32, $C$9, 100%, $E$9)</f>
        <v>5.4710000000000001</v>
      </c>
      <c r="F222" s="81">
        <f>5.471 * CHOOSE(CONTROL!$C$32, $C$9, 100%, $E$9)</f>
        <v>5.4710000000000001</v>
      </c>
      <c r="G222" s="81">
        <f>5.4763 * CHOOSE(CONTROL!$C$32, $C$9, 100%, $E$9)</f>
        <v>5.4763000000000002</v>
      </c>
      <c r="H222" s="81">
        <f>8.9682 * CHOOSE(CONTROL!$C$32, $C$9, 100%, $E$9)</f>
        <v>8.9681999999999995</v>
      </c>
      <c r="I222" s="81">
        <f>8.9735 * CHOOSE(CONTROL!$C$32, $C$9, 100%, $E$9)</f>
        <v>8.9734999999999996</v>
      </c>
      <c r="J222" s="81">
        <f>8.9682 * CHOOSE(CONTROL!$C$32, $C$9, 100%, $E$9)</f>
        <v>8.9681999999999995</v>
      </c>
      <c r="K222" s="81">
        <f>8.9735 * CHOOSE(CONTROL!$C$32, $C$9, 100%, $E$9)</f>
        <v>8.9734999999999996</v>
      </c>
      <c r="L222" s="81">
        <f>5.471 * CHOOSE(CONTROL!$C$32, $C$9, 100%, $E$9)</f>
        <v>5.4710000000000001</v>
      </c>
      <c r="M222" s="81">
        <f>5.4763 * CHOOSE(CONTROL!$C$32, $C$9, 100%, $E$9)</f>
        <v>5.4763000000000002</v>
      </c>
      <c r="N222" s="81">
        <f>5.471 * CHOOSE(CONTROL!$C$32, $C$9, 100%, $E$9)</f>
        <v>5.4710000000000001</v>
      </c>
      <c r="O222" s="81">
        <f>5.4763 * CHOOSE(CONTROL!$C$32, $C$9, 100%, $E$9)</f>
        <v>5.4763000000000002</v>
      </c>
    </row>
    <row r="223" spans="1:15" ht="15" x14ac:dyDescent="0.2">
      <c r="A223" s="16">
        <v>48000</v>
      </c>
      <c r="B223" s="80">
        <f>4.2885 * CHOOSE(CONTROL!$C$32, $C$9, 100%, $E$9)</f>
        <v>4.2885</v>
      </c>
      <c r="C223" s="80">
        <f>4.2885 * CHOOSE(CONTROL!$C$32, $C$9, 100%, $E$9)</f>
        <v>4.2885</v>
      </c>
      <c r="D223" s="80">
        <f>4.2901 * CHOOSE(CONTROL!$C$32, $C$9, 100%, $E$9)</f>
        <v>4.2900999999999998</v>
      </c>
      <c r="E223" s="81">
        <f>5.475 * CHOOSE(CONTROL!$C$32, $C$9, 100%, $E$9)</f>
        <v>5.4749999999999996</v>
      </c>
      <c r="F223" s="81">
        <f>5.475 * CHOOSE(CONTROL!$C$32, $C$9, 100%, $E$9)</f>
        <v>5.4749999999999996</v>
      </c>
      <c r="G223" s="81">
        <f>5.4803 * CHOOSE(CONTROL!$C$32, $C$9, 100%, $E$9)</f>
        <v>5.4802999999999997</v>
      </c>
      <c r="H223" s="81">
        <f>8.9869 * CHOOSE(CONTROL!$C$32, $C$9, 100%, $E$9)</f>
        <v>8.9869000000000003</v>
      </c>
      <c r="I223" s="81">
        <f>8.9922 * CHOOSE(CONTROL!$C$32, $C$9, 100%, $E$9)</f>
        <v>8.9922000000000004</v>
      </c>
      <c r="J223" s="81">
        <f>8.9869 * CHOOSE(CONTROL!$C$32, $C$9, 100%, $E$9)</f>
        <v>8.9869000000000003</v>
      </c>
      <c r="K223" s="81">
        <f>8.9922 * CHOOSE(CONTROL!$C$32, $C$9, 100%, $E$9)</f>
        <v>8.9922000000000004</v>
      </c>
      <c r="L223" s="81">
        <f>5.475 * CHOOSE(CONTROL!$C$32, $C$9, 100%, $E$9)</f>
        <v>5.4749999999999996</v>
      </c>
      <c r="M223" s="81">
        <f>5.4803 * CHOOSE(CONTROL!$C$32, $C$9, 100%, $E$9)</f>
        <v>5.4802999999999997</v>
      </c>
      <c r="N223" s="81">
        <f>5.475 * CHOOSE(CONTROL!$C$32, $C$9, 100%, $E$9)</f>
        <v>5.4749999999999996</v>
      </c>
      <c r="O223" s="81">
        <f>5.4803 * CHOOSE(CONTROL!$C$32, $C$9, 100%, $E$9)</f>
        <v>5.4802999999999997</v>
      </c>
    </row>
    <row r="224" spans="1:15" ht="15" x14ac:dyDescent="0.2">
      <c r="A224" s="16">
        <v>48030</v>
      </c>
      <c r="B224" s="80">
        <f>4.3512 * CHOOSE(CONTROL!$C$32, $C$9, 100%, $E$9)</f>
        <v>4.3512000000000004</v>
      </c>
      <c r="C224" s="80">
        <f>4.3512 * CHOOSE(CONTROL!$C$32, $C$9, 100%, $E$9)</f>
        <v>4.3512000000000004</v>
      </c>
      <c r="D224" s="80">
        <f>4.3528 * CHOOSE(CONTROL!$C$32, $C$9, 100%, $E$9)</f>
        <v>4.3528000000000002</v>
      </c>
      <c r="E224" s="81">
        <f>5.5682 * CHOOSE(CONTROL!$C$32, $C$9, 100%, $E$9)</f>
        <v>5.5682</v>
      </c>
      <c r="F224" s="81">
        <f>5.5682 * CHOOSE(CONTROL!$C$32, $C$9, 100%, $E$9)</f>
        <v>5.5682</v>
      </c>
      <c r="G224" s="81">
        <f>5.5735 * CHOOSE(CONTROL!$C$32, $C$9, 100%, $E$9)</f>
        <v>5.5735000000000001</v>
      </c>
      <c r="H224" s="81">
        <f>9.0056 * CHOOSE(CONTROL!$C$32, $C$9, 100%, $E$9)</f>
        <v>9.0055999999999994</v>
      </c>
      <c r="I224" s="81">
        <f>9.0109 * CHOOSE(CONTROL!$C$32, $C$9, 100%, $E$9)</f>
        <v>9.0108999999999995</v>
      </c>
      <c r="J224" s="81">
        <f>9.0056 * CHOOSE(CONTROL!$C$32, $C$9, 100%, $E$9)</f>
        <v>9.0055999999999994</v>
      </c>
      <c r="K224" s="81">
        <f>9.0109 * CHOOSE(CONTROL!$C$32, $C$9, 100%, $E$9)</f>
        <v>9.0108999999999995</v>
      </c>
      <c r="L224" s="81">
        <f>5.5682 * CHOOSE(CONTROL!$C$32, $C$9, 100%, $E$9)</f>
        <v>5.5682</v>
      </c>
      <c r="M224" s="81">
        <f>5.5735 * CHOOSE(CONTROL!$C$32, $C$9, 100%, $E$9)</f>
        <v>5.5735000000000001</v>
      </c>
      <c r="N224" s="81">
        <f>5.5682 * CHOOSE(CONTROL!$C$32, $C$9, 100%, $E$9)</f>
        <v>5.5682</v>
      </c>
      <c r="O224" s="81">
        <f>5.5735 * CHOOSE(CONTROL!$C$32, $C$9, 100%, $E$9)</f>
        <v>5.5735000000000001</v>
      </c>
    </row>
    <row r="225" spans="1:15" ht="15" x14ac:dyDescent="0.2">
      <c r="A225" s="16">
        <v>48061</v>
      </c>
      <c r="B225" s="80">
        <f>4.3579 * CHOOSE(CONTROL!$C$32, $C$9, 100%, $E$9)</f>
        <v>4.3578999999999999</v>
      </c>
      <c r="C225" s="80">
        <f>4.3579 * CHOOSE(CONTROL!$C$32, $C$9, 100%, $E$9)</f>
        <v>4.3578999999999999</v>
      </c>
      <c r="D225" s="80">
        <f>4.3595 * CHOOSE(CONTROL!$C$32, $C$9, 100%, $E$9)</f>
        <v>4.3594999999999997</v>
      </c>
      <c r="E225" s="81">
        <f>5.5726 * CHOOSE(CONTROL!$C$32, $C$9, 100%, $E$9)</f>
        <v>5.5726000000000004</v>
      </c>
      <c r="F225" s="81">
        <f>5.5726 * CHOOSE(CONTROL!$C$32, $C$9, 100%, $E$9)</f>
        <v>5.5726000000000004</v>
      </c>
      <c r="G225" s="81">
        <f>5.5779 * CHOOSE(CONTROL!$C$32, $C$9, 100%, $E$9)</f>
        <v>5.5778999999999996</v>
      </c>
      <c r="H225" s="81">
        <f>9.0244 * CHOOSE(CONTROL!$C$32, $C$9, 100%, $E$9)</f>
        <v>9.0244</v>
      </c>
      <c r="I225" s="81">
        <f>9.0296 * CHOOSE(CONTROL!$C$32, $C$9, 100%, $E$9)</f>
        <v>9.0296000000000003</v>
      </c>
      <c r="J225" s="81">
        <f>9.0244 * CHOOSE(CONTROL!$C$32, $C$9, 100%, $E$9)</f>
        <v>9.0244</v>
      </c>
      <c r="K225" s="81">
        <f>9.0296 * CHOOSE(CONTROL!$C$32, $C$9, 100%, $E$9)</f>
        <v>9.0296000000000003</v>
      </c>
      <c r="L225" s="81">
        <f>5.5726 * CHOOSE(CONTROL!$C$32, $C$9, 100%, $E$9)</f>
        <v>5.5726000000000004</v>
      </c>
      <c r="M225" s="81">
        <f>5.5779 * CHOOSE(CONTROL!$C$32, $C$9, 100%, $E$9)</f>
        <v>5.5778999999999996</v>
      </c>
      <c r="N225" s="81">
        <f>5.5726 * CHOOSE(CONTROL!$C$32, $C$9, 100%, $E$9)</f>
        <v>5.5726000000000004</v>
      </c>
      <c r="O225" s="81">
        <f>5.5779 * CHOOSE(CONTROL!$C$32, $C$9, 100%, $E$9)</f>
        <v>5.5778999999999996</v>
      </c>
    </row>
    <row r="226" spans="1:15" ht="15" x14ac:dyDescent="0.2">
      <c r="A226" s="16">
        <v>48092</v>
      </c>
      <c r="B226" s="80">
        <f>4.3549 * CHOOSE(CONTROL!$C$32, $C$9, 100%, $E$9)</f>
        <v>4.3548999999999998</v>
      </c>
      <c r="C226" s="80">
        <f>4.3549 * CHOOSE(CONTROL!$C$32, $C$9, 100%, $E$9)</f>
        <v>4.3548999999999998</v>
      </c>
      <c r="D226" s="80">
        <f>4.3565 * CHOOSE(CONTROL!$C$32, $C$9, 100%, $E$9)</f>
        <v>4.3564999999999996</v>
      </c>
      <c r="E226" s="81">
        <f>5.5706 * CHOOSE(CONTROL!$C$32, $C$9, 100%, $E$9)</f>
        <v>5.5705999999999998</v>
      </c>
      <c r="F226" s="81">
        <f>5.5706 * CHOOSE(CONTROL!$C$32, $C$9, 100%, $E$9)</f>
        <v>5.5705999999999998</v>
      </c>
      <c r="G226" s="81">
        <f>5.5759 * CHOOSE(CONTROL!$C$32, $C$9, 100%, $E$9)</f>
        <v>5.5758999999999999</v>
      </c>
      <c r="H226" s="81">
        <f>9.0432 * CHOOSE(CONTROL!$C$32, $C$9, 100%, $E$9)</f>
        <v>9.0432000000000006</v>
      </c>
      <c r="I226" s="81">
        <f>9.0484 * CHOOSE(CONTROL!$C$32, $C$9, 100%, $E$9)</f>
        <v>9.0484000000000009</v>
      </c>
      <c r="J226" s="81">
        <f>9.0432 * CHOOSE(CONTROL!$C$32, $C$9, 100%, $E$9)</f>
        <v>9.0432000000000006</v>
      </c>
      <c r="K226" s="81">
        <f>9.0484 * CHOOSE(CONTROL!$C$32, $C$9, 100%, $E$9)</f>
        <v>9.0484000000000009</v>
      </c>
      <c r="L226" s="81">
        <f>5.5706 * CHOOSE(CONTROL!$C$32, $C$9, 100%, $E$9)</f>
        <v>5.5705999999999998</v>
      </c>
      <c r="M226" s="81">
        <f>5.5759 * CHOOSE(CONTROL!$C$32, $C$9, 100%, $E$9)</f>
        <v>5.5758999999999999</v>
      </c>
      <c r="N226" s="81">
        <f>5.5706 * CHOOSE(CONTROL!$C$32, $C$9, 100%, $E$9)</f>
        <v>5.5705999999999998</v>
      </c>
      <c r="O226" s="81">
        <f>5.5759 * CHOOSE(CONTROL!$C$32, $C$9, 100%, $E$9)</f>
        <v>5.5758999999999999</v>
      </c>
    </row>
    <row r="227" spans="1:15" ht="15" x14ac:dyDescent="0.2">
      <c r="A227" s="16">
        <v>48122</v>
      </c>
      <c r="B227" s="80">
        <f>4.3513 * CHOOSE(CONTROL!$C$32, $C$9, 100%, $E$9)</f>
        <v>4.3513000000000002</v>
      </c>
      <c r="C227" s="80">
        <f>4.3513 * CHOOSE(CONTROL!$C$32, $C$9, 100%, $E$9)</f>
        <v>4.3513000000000002</v>
      </c>
      <c r="D227" s="80">
        <f>4.3523 * CHOOSE(CONTROL!$C$32, $C$9, 100%, $E$9)</f>
        <v>4.3522999999999996</v>
      </c>
      <c r="E227" s="81">
        <f>5.566 * CHOOSE(CONTROL!$C$32, $C$9, 100%, $E$9)</f>
        <v>5.5659999999999998</v>
      </c>
      <c r="F227" s="81">
        <f>5.566 * CHOOSE(CONTROL!$C$32, $C$9, 100%, $E$9)</f>
        <v>5.5659999999999998</v>
      </c>
      <c r="G227" s="81">
        <f>5.5696 * CHOOSE(CONTROL!$C$32, $C$9, 100%, $E$9)</f>
        <v>5.5696000000000003</v>
      </c>
      <c r="H227" s="81">
        <f>9.062 * CHOOSE(CONTROL!$C$32, $C$9, 100%, $E$9)</f>
        <v>9.0619999999999994</v>
      </c>
      <c r="I227" s="81">
        <f>9.0656 * CHOOSE(CONTROL!$C$32, $C$9, 100%, $E$9)</f>
        <v>9.0655999999999999</v>
      </c>
      <c r="J227" s="81">
        <f>9.062 * CHOOSE(CONTROL!$C$32, $C$9, 100%, $E$9)</f>
        <v>9.0619999999999994</v>
      </c>
      <c r="K227" s="81">
        <f>9.0656 * CHOOSE(CONTROL!$C$32, $C$9, 100%, $E$9)</f>
        <v>9.0655999999999999</v>
      </c>
      <c r="L227" s="81">
        <f>5.566 * CHOOSE(CONTROL!$C$32, $C$9, 100%, $E$9)</f>
        <v>5.5659999999999998</v>
      </c>
      <c r="M227" s="81">
        <f>5.5696 * CHOOSE(CONTROL!$C$32, $C$9, 100%, $E$9)</f>
        <v>5.5696000000000003</v>
      </c>
      <c r="N227" s="81">
        <f>5.566 * CHOOSE(CONTROL!$C$32, $C$9, 100%, $E$9)</f>
        <v>5.5659999999999998</v>
      </c>
      <c r="O227" s="81">
        <f>5.5696 * CHOOSE(CONTROL!$C$32, $C$9, 100%, $E$9)</f>
        <v>5.5696000000000003</v>
      </c>
    </row>
    <row r="228" spans="1:15" ht="15" x14ac:dyDescent="0.2">
      <c r="A228" s="16">
        <v>48153</v>
      </c>
      <c r="B228" s="80">
        <f>4.3543 * CHOOSE(CONTROL!$C$32, $C$9, 100%, $E$9)</f>
        <v>4.3543000000000003</v>
      </c>
      <c r="C228" s="80">
        <f>4.3543 * CHOOSE(CONTROL!$C$32, $C$9, 100%, $E$9)</f>
        <v>4.3543000000000003</v>
      </c>
      <c r="D228" s="80">
        <f>4.3554 * CHOOSE(CONTROL!$C$32, $C$9, 100%, $E$9)</f>
        <v>4.3554000000000004</v>
      </c>
      <c r="E228" s="81">
        <f>5.568 * CHOOSE(CONTROL!$C$32, $C$9, 100%, $E$9)</f>
        <v>5.5679999999999996</v>
      </c>
      <c r="F228" s="81">
        <f>5.568 * CHOOSE(CONTROL!$C$32, $C$9, 100%, $E$9)</f>
        <v>5.5679999999999996</v>
      </c>
      <c r="G228" s="81">
        <f>5.5716 * CHOOSE(CONTROL!$C$32, $C$9, 100%, $E$9)</f>
        <v>5.5716000000000001</v>
      </c>
      <c r="H228" s="81">
        <f>9.0809 * CHOOSE(CONTROL!$C$32, $C$9, 100%, $E$9)</f>
        <v>9.0808999999999997</v>
      </c>
      <c r="I228" s="81">
        <f>9.0845 * CHOOSE(CONTROL!$C$32, $C$9, 100%, $E$9)</f>
        <v>9.0845000000000002</v>
      </c>
      <c r="J228" s="81">
        <f>9.0809 * CHOOSE(CONTROL!$C$32, $C$9, 100%, $E$9)</f>
        <v>9.0808999999999997</v>
      </c>
      <c r="K228" s="81">
        <f>9.0845 * CHOOSE(CONTROL!$C$32, $C$9, 100%, $E$9)</f>
        <v>9.0845000000000002</v>
      </c>
      <c r="L228" s="81">
        <f>5.568 * CHOOSE(CONTROL!$C$32, $C$9, 100%, $E$9)</f>
        <v>5.5679999999999996</v>
      </c>
      <c r="M228" s="81">
        <f>5.5716 * CHOOSE(CONTROL!$C$32, $C$9, 100%, $E$9)</f>
        <v>5.5716000000000001</v>
      </c>
      <c r="N228" s="81">
        <f>5.568 * CHOOSE(CONTROL!$C$32, $C$9, 100%, $E$9)</f>
        <v>5.5679999999999996</v>
      </c>
      <c r="O228" s="81">
        <f>5.5716 * CHOOSE(CONTROL!$C$32, $C$9, 100%, $E$9)</f>
        <v>5.5716000000000001</v>
      </c>
    </row>
    <row r="229" spans="1:15" ht="15" x14ac:dyDescent="0.2">
      <c r="A229" s="16">
        <v>48183</v>
      </c>
      <c r="B229" s="80">
        <f>4.3543 * CHOOSE(CONTROL!$C$32, $C$9, 100%, $E$9)</f>
        <v>4.3543000000000003</v>
      </c>
      <c r="C229" s="80">
        <f>4.3543 * CHOOSE(CONTROL!$C$32, $C$9, 100%, $E$9)</f>
        <v>4.3543000000000003</v>
      </c>
      <c r="D229" s="80">
        <f>4.3554 * CHOOSE(CONTROL!$C$32, $C$9, 100%, $E$9)</f>
        <v>4.3554000000000004</v>
      </c>
      <c r="E229" s="81">
        <f>5.568 * CHOOSE(CONTROL!$C$32, $C$9, 100%, $E$9)</f>
        <v>5.5679999999999996</v>
      </c>
      <c r="F229" s="81">
        <f>5.568 * CHOOSE(CONTROL!$C$32, $C$9, 100%, $E$9)</f>
        <v>5.5679999999999996</v>
      </c>
      <c r="G229" s="81">
        <f>5.5716 * CHOOSE(CONTROL!$C$32, $C$9, 100%, $E$9)</f>
        <v>5.5716000000000001</v>
      </c>
      <c r="H229" s="81">
        <f>9.0998 * CHOOSE(CONTROL!$C$32, $C$9, 100%, $E$9)</f>
        <v>9.0998000000000001</v>
      </c>
      <c r="I229" s="81">
        <f>9.1034 * CHOOSE(CONTROL!$C$32, $C$9, 100%, $E$9)</f>
        <v>9.1034000000000006</v>
      </c>
      <c r="J229" s="81">
        <f>9.0998 * CHOOSE(CONTROL!$C$32, $C$9, 100%, $E$9)</f>
        <v>9.0998000000000001</v>
      </c>
      <c r="K229" s="81">
        <f>9.1034 * CHOOSE(CONTROL!$C$32, $C$9, 100%, $E$9)</f>
        <v>9.1034000000000006</v>
      </c>
      <c r="L229" s="81">
        <f>5.568 * CHOOSE(CONTROL!$C$32, $C$9, 100%, $E$9)</f>
        <v>5.5679999999999996</v>
      </c>
      <c r="M229" s="81">
        <f>5.5716 * CHOOSE(CONTROL!$C$32, $C$9, 100%, $E$9)</f>
        <v>5.5716000000000001</v>
      </c>
      <c r="N229" s="81">
        <f>5.568 * CHOOSE(CONTROL!$C$32, $C$9, 100%, $E$9)</f>
        <v>5.5679999999999996</v>
      </c>
      <c r="O229" s="81">
        <f>5.5716 * CHOOSE(CONTROL!$C$32, $C$9, 100%, $E$9)</f>
        <v>5.5716000000000001</v>
      </c>
    </row>
    <row r="230" spans="1:15" ht="15" x14ac:dyDescent="0.2">
      <c r="A230" s="16">
        <v>48214</v>
      </c>
      <c r="B230" s="80">
        <f>4.3913 * CHOOSE(CONTROL!$C$32, $C$9, 100%, $E$9)</f>
        <v>4.3913000000000002</v>
      </c>
      <c r="C230" s="80">
        <f>4.3913 * CHOOSE(CONTROL!$C$32, $C$9, 100%, $E$9)</f>
        <v>4.3913000000000002</v>
      </c>
      <c r="D230" s="80">
        <f>4.3923 * CHOOSE(CONTROL!$C$32, $C$9, 100%, $E$9)</f>
        <v>4.3922999999999996</v>
      </c>
      <c r="E230" s="81">
        <f>5.6146 * CHOOSE(CONTROL!$C$32, $C$9, 100%, $E$9)</f>
        <v>5.6146000000000003</v>
      </c>
      <c r="F230" s="81">
        <f>5.6146 * CHOOSE(CONTROL!$C$32, $C$9, 100%, $E$9)</f>
        <v>5.6146000000000003</v>
      </c>
      <c r="G230" s="81">
        <f>5.6182 * CHOOSE(CONTROL!$C$32, $C$9, 100%, $E$9)</f>
        <v>5.6181999999999999</v>
      </c>
      <c r="H230" s="81">
        <f>9.1187 * CHOOSE(CONTROL!$C$32, $C$9, 100%, $E$9)</f>
        <v>9.1187000000000005</v>
      </c>
      <c r="I230" s="81">
        <f>9.1224 * CHOOSE(CONTROL!$C$32, $C$9, 100%, $E$9)</f>
        <v>9.1224000000000007</v>
      </c>
      <c r="J230" s="81">
        <f>9.1187 * CHOOSE(CONTROL!$C$32, $C$9, 100%, $E$9)</f>
        <v>9.1187000000000005</v>
      </c>
      <c r="K230" s="81">
        <f>9.1224 * CHOOSE(CONTROL!$C$32, $C$9, 100%, $E$9)</f>
        <v>9.1224000000000007</v>
      </c>
      <c r="L230" s="81">
        <f>5.6146 * CHOOSE(CONTROL!$C$32, $C$9, 100%, $E$9)</f>
        <v>5.6146000000000003</v>
      </c>
      <c r="M230" s="81">
        <f>5.6182 * CHOOSE(CONTROL!$C$32, $C$9, 100%, $E$9)</f>
        <v>5.6181999999999999</v>
      </c>
      <c r="N230" s="81">
        <f>5.6146 * CHOOSE(CONTROL!$C$32, $C$9, 100%, $E$9)</f>
        <v>5.6146000000000003</v>
      </c>
      <c r="O230" s="81">
        <f>5.6182 * CHOOSE(CONTROL!$C$32, $C$9, 100%, $E$9)</f>
        <v>5.6181999999999999</v>
      </c>
    </row>
    <row r="231" spans="1:15" ht="15" x14ac:dyDescent="0.2">
      <c r="A231" s="16">
        <v>48245</v>
      </c>
      <c r="B231" s="80">
        <f>4.3882 * CHOOSE(CONTROL!$C$32, $C$9, 100%, $E$9)</f>
        <v>4.3882000000000003</v>
      </c>
      <c r="C231" s="80">
        <f>4.3882 * CHOOSE(CONTROL!$C$32, $C$9, 100%, $E$9)</f>
        <v>4.3882000000000003</v>
      </c>
      <c r="D231" s="80">
        <f>4.3893 * CHOOSE(CONTROL!$C$32, $C$9, 100%, $E$9)</f>
        <v>4.3893000000000004</v>
      </c>
      <c r="E231" s="81">
        <f>5.6126 * CHOOSE(CONTROL!$C$32, $C$9, 100%, $E$9)</f>
        <v>5.6125999999999996</v>
      </c>
      <c r="F231" s="81">
        <f>5.6126 * CHOOSE(CONTROL!$C$32, $C$9, 100%, $E$9)</f>
        <v>5.6125999999999996</v>
      </c>
      <c r="G231" s="81">
        <f>5.6162 * CHOOSE(CONTROL!$C$32, $C$9, 100%, $E$9)</f>
        <v>5.6162000000000001</v>
      </c>
      <c r="H231" s="81">
        <f>9.1377 * CHOOSE(CONTROL!$C$32, $C$9, 100%, $E$9)</f>
        <v>9.1377000000000006</v>
      </c>
      <c r="I231" s="81">
        <f>9.1414 * CHOOSE(CONTROL!$C$32, $C$9, 100%, $E$9)</f>
        <v>9.1414000000000009</v>
      </c>
      <c r="J231" s="81">
        <f>9.1377 * CHOOSE(CONTROL!$C$32, $C$9, 100%, $E$9)</f>
        <v>9.1377000000000006</v>
      </c>
      <c r="K231" s="81">
        <f>9.1414 * CHOOSE(CONTROL!$C$32, $C$9, 100%, $E$9)</f>
        <v>9.1414000000000009</v>
      </c>
      <c r="L231" s="81">
        <f>5.6126 * CHOOSE(CONTROL!$C$32, $C$9, 100%, $E$9)</f>
        <v>5.6125999999999996</v>
      </c>
      <c r="M231" s="81">
        <f>5.6162 * CHOOSE(CONTROL!$C$32, $C$9, 100%, $E$9)</f>
        <v>5.6162000000000001</v>
      </c>
      <c r="N231" s="81">
        <f>5.6126 * CHOOSE(CONTROL!$C$32, $C$9, 100%, $E$9)</f>
        <v>5.6125999999999996</v>
      </c>
      <c r="O231" s="81">
        <f>5.6162 * CHOOSE(CONTROL!$C$32, $C$9, 100%, $E$9)</f>
        <v>5.6162000000000001</v>
      </c>
    </row>
    <row r="232" spans="1:15" ht="15" x14ac:dyDescent="0.2">
      <c r="A232" s="16">
        <v>48274</v>
      </c>
      <c r="B232" s="80">
        <f>4.3852 * CHOOSE(CONTROL!$C$32, $C$9, 100%, $E$9)</f>
        <v>4.3852000000000002</v>
      </c>
      <c r="C232" s="80">
        <f>4.3852 * CHOOSE(CONTROL!$C$32, $C$9, 100%, $E$9)</f>
        <v>4.3852000000000002</v>
      </c>
      <c r="D232" s="80">
        <f>4.3862 * CHOOSE(CONTROL!$C$32, $C$9, 100%, $E$9)</f>
        <v>4.3861999999999997</v>
      </c>
      <c r="E232" s="81">
        <f>5.6106 * CHOOSE(CONTROL!$C$32, $C$9, 100%, $E$9)</f>
        <v>5.6105999999999998</v>
      </c>
      <c r="F232" s="81">
        <f>5.6106 * CHOOSE(CONTROL!$C$32, $C$9, 100%, $E$9)</f>
        <v>5.6105999999999998</v>
      </c>
      <c r="G232" s="81">
        <f>5.6142 * CHOOSE(CONTROL!$C$32, $C$9, 100%, $E$9)</f>
        <v>5.6142000000000003</v>
      </c>
      <c r="H232" s="81">
        <f>9.1568 * CHOOSE(CONTROL!$C$32, $C$9, 100%, $E$9)</f>
        <v>9.1568000000000005</v>
      </c>
      <c r="I232" s="81">
        <f>9.1604 * CHOOSE(CONTROL!$C$32, $C$9, 100%, $E$9)</f>
        <v>9.1603999999999992</v>
      </c>
      <c r="J232" s="81">
        <f>9.1568 * CHOOSE(CONTROL!$C$32, $C$9, 100%, $E$9)</f>
        <v>9.1568000000000005</v>
      </c>
      <c r="K232" s="81">
        <f>9.1604 * CHOOSE(CONTROL!$C$32, $C$9, 100%, $E$9)</f>
        <v>9.1603999999999992</v>
      </c>
      <c r="L232" s="81">
        <f>5.6106 * CHOOSE(CONTROL!$C$32, $C$9, 100%, $E$9)</f>
        <v>5.6105999999999998</v>
      </c>
      <c r="M232" s="81">
        <f>5.6142 * CHOOSE(CONTROL!$C$32, $C$9, 100%, $E$9)</f>
        <v>5.6142000000000003</v>
      </c>
      <c r="N232" s="81">
        <f>5.6106 * CHOOSE(CONTROL!$C$32, $C$9, 100%, $E$9)</f>
        <v>5.6105999999999998</v>
      </c>
      <c r="O232" s="81">
        <f>5.6142 * CHOOSE(CONTROL!$C$32, $C$9, 100%, $E$9)</f>
        <v>5.6142000000000003</v>
      </c>
    </row>
    <row r="233" spans="1:15" ht="15" x14ac:dyDescent="0.2">
      <c r="A233" s="16">
        <v>48305</v>
      </c>
      <c r="B233" s="80">
        <f>4.3832 * CHOOSE(CONTROL!$C$32, $C$9, 100%, $E$9)</f>
        <v>4.3832000000000004</v>
      </c>
      <c r="C233" s="80">
        <f>4.3832 * CHOOSE(CONTROL!$C$32, $C$9, 100%, $E$9)</f>
        <v>4.3832000000000004</v>
      </c>
      <c r="D233" s="80">
        <f>4.3843 * CHOOSE(CONTROL!$C$32, $C$9, 100%, $E$9)</f>
        <v>4.3842999999999996</v>
      </c>
      <c r="E233" s="81">
        <f>5.6087 * CHOOSE(CONTROL!$C$32, $C$9, 100%, $E$9)</f>
        <v>5.6086999999999998</v>
      </c>
      <c r="F233" s="81">
        <f>5.6087 * CHOOSE(CONTROL!$C$32, $C$9, 100%, $E$9)</f>
        <v>5.6086999999999998</v>
      </c>
      <c r="G233" s="81">
        <f>5.6123 * CHOOSE(CONTROL!$C$32, $C$9, 100%, $E$9)</f>
        <v>5.6123000000000003</v>
      </c>
      <c r="H233" s="81">
        <f>9.1759 * CHOOSE(CONTROL!$C$32, $C$9, 100%, $E$9)</f>
        <v>9.1759000000000004</v>
      </c>
      <c r="I233" s="81">
        <f>9.1795 * CHOOSE(CONTROL!$C$32, $C$9, 100%, $E$9)</f>
        <v>9.1795000000000009</v>
      </c>
      <c r="J233" s="81">
        <f>9.1759 * CHOOSE(CONTROL!$C$32, $C$9, 100%, $E$9)</f>
        <v>9.1759000000000004</v>
      </c>
      <c r="K233" s="81">
        <f>9.1795 * CHOOSE(CONTROL!$C$32, $C$9, 100%, $E$9)</f>
        <v>9.1795000000000009</v>
      </c>
      <c r="L233" s="81">
        <f>5.6087 * CHOOSE(CONTROL!$C$32, $C$9, 100%, $E$9)</f>
        <v>5.6086999999999998</v>
      </c>
      <c r="M233" s="81">
        <f>5.6123 * CHOOSE(CONTROL!$C$32, $C$9, 100%, $E$9)</f>
        <v>5.6123000000000003</v>
      </c>
      <c r="N233" s="81">
        <f>5.6087 * CHOOSE(CONTROL!$C$32, $C$9, 100%, $E$9)</f>
        <v>5.6086999999999998</v>
      </c>
      <c r="O233" s="81">
        <f>5.6123 * CHOOSE(CONTROL!$C$32, $C$9, 100%, $E$9)</f>
        <v>5.6123000000000003</v>
      </c>
    </row>
    <row r="234" spans="1:15" ht="15" x14ac:dyDescent="0.2">
      <c r="A234" s="16">
        <v>48335</v>
      </c>
      <c r="B234" s="80">
        <f>4.3832 * CHOOSE(CONTROL!$C$32, $C$9, 100%, $E$9)</f>
        <v>4.3832000000000004</v>
      </c>
      <c r="C234" s="80">
        <f>4.3832 * CHOOSE(CONTROL!$C$32, $C$9, 100%, $E$9)</f>
        <v>4.3832000000000004</v>
      </c>
      <c r="D234" s="80">
        <f>4.3848 * CHOOSE(CONTROL!$C$32, $C$9, 100%, $E$9)</f>
        <v>4.3848000000000003</v>
      </c>
      <c r="E234" s="81">
        <f>5.6087 * CHOOSE(CONTROL!$C$32, $C$9, 100%, $E$9)</f>
        <v>5.6086999999999998</v>
      </c>
      <c r="F234" s="81">
        <f>5.6087 * CHOOSE(CONTROL!$C$32, $C$9, 100%, $E$9)</f>
        <v>5.6086999999999998</v>
      </c>
      <c r="G234" s="81">
        <f>5.614 * CHOOSE(CONTROL!$C$32, $C$9, 100%, $E$9)</f>
        <v>5.6139999999999999</v>
      </c>
      <c r="H234" s="81">
        <f>9.195 * CHOOSE(CONTROL!$C$32, $C$9, 100%, $E$9)</f>
        <v>9.1950000000000003</v>
      </c>
      <c r="I234" s="81">
        <f>9.2003 * CHOOSE(CONTROL!$C$32, $C$9, 100%, $E$9)</f>
        <v>9.2003000000000004</v>
      </c>
      <c r="J234" s="81">
        <f>9.195 * CHOOSE(CONTROL!$C$32, $C$9, 100%, $E$9)</f>
        <v>9.1950000000000003</v>
      </c>
      <c r="K234" s="81">
        <f>9.2003 * CHOOSE(CONTROL!$C$32, $C$9, 100%, $E$9)</f>
        <v>9.2003000000000004</v>
      </c>
      <c r="L234" s="81">
        <f>5.6087 * CHOOSE(CONTROL!$C$32, $C$9, 100%, $E$9)</f>
        <v>5.6086999999999998</v>
      </c>
      <c r="M234" s="81">
        <f>5.614 * CHOOSE(CONTROL!$C$32, $C$9, 100%, $E$9)</f>
        <v>5.6139999999999999</v>
      </c>
      <c r="N234" s="81">
        <f>5.6087 * CHOOSE(CONTROL!$C$32, $C$9, 100%, $E$9)</f>
        <v>5.6086999999999998</v>
      </c>
      <c r="O234" s="81">
        <f>5.614 * CHOOSE(CONTROL!$C$32, $C$9, 100%, $E$9)</f>
        <v>5.6139999999999999</v>
      </c>
    </row>
    <row r="235" spans="1:15" ht="15" x14ac:dyDescent="0.2">
      <c r="A235" s="16">
        <v>48366</v>
      </c>
      <c r="B235" s="80">
        <f>4.3893 * CHOOSE(CONTROL!$C$32, $C$9, 100%, $E$9)</f>
        <v>4.3893000000000004</v>
      </c>
      <c r="C235" s="80">
        <f>4.3893 * CHOOSE(CONTROL!$C$32, $C$9, 100%, $E$9)</f>
        <v>4.3893000000000004</v>
      </c>
      <c r="D235" s="80">
        <f>4.3909 * CHOOSE(CONTROL!$C$32, $C$9, 100%, $E$9)</f>
        <v>4.3909000000000002</v>
      </c>
      <c r="E235" s="81">
        <f>5.6127 * CHOOSE(CONTROL!$C$32, $C$9, 100%, $E$9)</f>
        <v>5.6127000000000002</v>
      </c>
      <c r="F235" s="81">
        <f>5.6127 * CHOOSE(CONTROL!$C$32, $C$9, 100%, $E$9)</f>
        <v>5.6127000000000002</v>
      </c>
      <c r="G235" s="81">
        <f>5.618 * CHOOSE(CONTROL!$C$32, $C$9, 100%, $E$9)</f>
        <v>5.6180000000000003</v>
      </c>
      <c r="H235" s="81">
        <f>9.2141 * CHOOSE(CONTROL!$C$32, $C$9, 100%, $E$9)</f>
        <v>9.2141000000000002</v>
      </c>
      <c r="I235" s="81">
        <f>9.2194 * CHOOSE(CONTROL!$C$32, $C$9, 100%, $E$9)</f>
        <v>9.2194000000000003</v>
      </c>
      <c r="J235" s="81">
        <f>9.2141 * CHOOSE(CONTROL!$C$32, $C$9, 100%, $E$9)</f>
        <v>9.2141000000000002</v>
      </c>
      <c r="K235" s="81">
        <f>9.2194 * CHOOSE(CONTROL!$C$32, $C$9, 100%, $E$9)</f>
        <v>9.2194000000000003</v>
      </c>
      <c r="L235" s="81">
        <f>5.6127 * CHOOSE(CONTROL!$C$32, $C$9, 100%, $E$9)</f>
        <v>5.6127000000000002</v>
      </c>
      <c r="M235" s="81">
        <f>5.618 * CHOOSE(CONTROL!$C$32, $C$9, 100%, $E$9)</f>
        <v>5.6180000000000003</v>
      </c>
      <c r="N235" s="81">
        <f>5.6127 * CHOOSE(CONTROL!$C$32, $C$9, 100%, $E$9)</f>
        <v>5.6127000000000002</v>
      </c>
      <c r="O235" s="81">
        <f>5.618 * CHOOSE(CONTROL!$C$32, $C$9, 100%, $E$9)</f>
        <v>5.6180000000000003</v>
      </c>
    </row>
    <row r="236" spans="1:15" ht="15" x14ac:dyDescent="0.2">
      <c r="A236" s="16">
        <v>48396</v>
      </c>
      <c r="B236" s="80">
        <f>4.4571 * CHOOSE(CONTROL!$C$32, $C$9, 100%, $E$9)</f>
        <v>4.4570999999999996</v>
      </c>
      <c r="C236" s="80">
        <f>4.4571 * CHOOSE(CONTROL!$C$32, $C$9, 100%, $E$9)</f>
        <v>4.4570999999999996</v>
      </c>
      <c r="D236" s="80">
        <f>4.4586 * CHOOSE(CONTROL!$C$32, $C$9, 100%, $E$9)</f>
        <v>4.4585999999999997</v>
      </c>
      <c r="E236" s="81">
        <f>5.7152 * CHOOSE(CONTROL!$C$32, $C$9, 100%, $E$9)</f>
        <v>5.7152000000000003</v>
      </c>
      <c r="F236" s="81">
        <f>5.7152 * CHOOSE(CONTROL!$C$32, $C$9, 100%, $E$9)</f>
        <v>5.7152000000000003</v>
      </c>
      <c r="G236" s="81">
        <f>5.7205 * CHOOSE(CONTROL!$C$32, $C$9, 100%, $E$9)</f>
        <v>5.7205000000000004</v>
      </c>
      <c r="H236" s="81">
        <f>9.2333 * CHOOSE(CONTROL!$C$32, $C$9, 100%, $E$9)</f>
        <v>9.2332999999999998</v>
      </c>
      <c r="I236" s="81">
        <f>9.2386 * CHOOSE(CONTROL!$C$32, $C$9, 100%, $E$9)</f>
        <v>9.2385999999999999</v>
      </c>
      <c r="J236" s="81">
        <f>9.2333 * CHOOSE(CONTROL!$C$32, $C$9, 100%, $E$9)</f>
        <v>9.2332999999999998</v>
      </c>
      <c r="K236" s="81">
        <f>9.2386 * CHOOSE(CONTROL!$C$32, $C$9, 100%, $E$9)</f>
        <v>9.2385999999999999</v>
      </c>
      <c r="L236" s="81">
        <f>5.7152 * CHOOSE(CONTROL!$C$32, $C$9, 100%, $E$9)</f>
        <v>5.7152000000000003</v>
      </c>
      <c r="M236" s="81">
        <f>5.7205 * CHOOSE(CONTROL!$C$32, $C$9, 100%, $E$9)</f>
        <v>5.7205000000000004</v>
      </c>
      <c r="N236" s="81">
        <f>5.7152 * CHOOSE(CONTROL!$C$32, $C$9, 100%, $E$9)</f>
        <v>5.7152000000000003</v>
      </c>
      <c r="O236" s="81">
        <f>5.7205 * CHOOSE(CONTROL!$C$32, $C$9, 100%, $E$9)</f>
        <v>5.7205000000000004</v>
      </c>
    </row>
    <row r="237" spans="1:15" ht="15" x14ac:dyDescent="0.2">
      <c r="A237" s="16">
        <v>48427</v>
      </c>
      <c r="B237" s="80">
        <f>4.4637 * CHOOSE(CONTROL!$C$32, $C$9, 100%, $E$9)</f>
        <v>4.4637000000000002</v>
      </c>
      <c r="C237" s="80">
        <f>4.4637 * CHOOSE(CONTROL!$C$32, $C$9, 100%, $E$9)</f>
        <v>4.4637000000000002</v>
      </c>
      <c r="D237" s="80">
        <f>4.4653 * CHOOSE(CONTROL!$C$32, $C$9, 100%, $E$9)</f>
        <v>4.4653</v>
      </c>
      <c r="E237" s="81">
        <f>5.7196 * CHOOSE(CONTROL!$C$32, $C$9, 100%, $E$9)</f>
        <v>5.7195999999999998</v>
      </c>
      <c r="F237" s="81">
        <f>5.7196 * CHOOSE(CONTROL!$C$32, $C$9, 100%, $E$9)</f>
        <v>5.7195999999999998</v>
      </c>
      <c r="G237" s="81">
        <f>5.7249 * CHOOSE(CONTROL!$C$32, $C$9, 100%, $E$9)</f>
        <v>5.7248999999999999</v>
      </c>
      <c r="H237" s="81">
        <f>9.2526 * CHOOSE(CONTROL!$C$32, $C$9, 100%, $E$9)</f>
        <v>9.2525999999999993</v>
      </c>
      <c r="I237" s="81">
        <f>9.2579 * CHOOSE(CONTROL!$C$32, $C$9, 100%, $E$9)</f>
        <v>9.2578999999999994</v>
      </c>
      <c r="J237" s="81">
        <f>9.2526 * CHOOSE(CONTROL!$C$32, $C$9, 100%, $E$9)</f>
        <v>9.2525999999999993</v>
      </c>
      <c r="K237" s="81">
        <f>9.2579 * CHOOSE(CONTROL!$C$32, $C$9, 100%, $E$9)</f>
        <v>9.2578999999999994</v>
      </c>
      <c r="L237" s="81">
        <f>5.7196 * CHOOSE(CONTROL!$C$32, $C$9, 100%, $E$9)</f>
        <v>5.7195999999999998</v>
      </c>
      <c r="M237" s="81">
        <f>5.7249 * CHOOSE(CONTROL!$C$32, $C$9, 100%, $E$9)</f>
        <v>5.7248999999999999</v>
      </c>
      <c r="N237" s="81">
        <f>5.7196 * CHOOSE(CONTROL!$C$32, $C$9, 100%, $E$9)</f>
        <v>5.7195999999999998</v>
      </c>
      <c r="O237" s="81">
        <f>5.7249 * CHOOSE(CONTROL!$C$32, $C$9, 100%, $E$9)</f>
        <v>5.7248999999999999</v>
      </c>
    </row>
    <row r="238" spans="1:15" ht="15" x14ac:dyDescent="0.2">
      <c r="A238" s="16">
        <v>48458</v>
      </c>
      <c r="B238" s="80">
        <f>4.4607 * CHOOSE(CONTROL!$C$32, $C$9, 100%, $E$9)</f>
        <v>4.4607000000000001</v>
      </c>
      <c r="C238" s="80">
        <f>4.4607 * CHOOSE(CONTROL!$C$32, $C$9, 100%, $E$9)</f>
        <v>4.4607000000000001</v>
      </c>
      <c r="D238" s="80">
        <f>4.4623 * CHOOSE(CONTROL!$C$32, $C$9, 100%, $E$9)</f>
        <v>4.4622999999999999</v>
      </c>
      <c r="E238" s="81">
        <f>5.7176 * CHOOSE(CONTROL!$C$32, $C$9, 100%, $E$9)</f>
        <v>5.7176</v>
      </c>
      <c r="F238" s="81">
        <f>5.7176 * CHOOSE(CONTROL!$C$32, $C$9, 100%, $E$9)</f>
        <v>5.7176</v>
      </c>
      <c r="G238" s="81">
        <f>5.7229 * CHOOSE(CONTROL!$C$32, $C$9, 100%, $E$9)</f>
        <v>5.7229000000000001</v>
      </c>
      <c r="H238" s="81">
        <f>9.2718 * CHOOSE(CONTROL!$C$32, $C$9, 100%, $E$9)</f>
        <v>9.2718000000000007</v>
      </c>
      <c r="I238" s="81">
        <f>9.2771 * CHOOSE(CONTROL!$C$32, $C$9, 100%, $E$9)</f>
        <v>9.2771000000000008</v>
      </c>
      <c r="J238" s="81">
        <f>9.2718 * CHOOSE(CONTROL!$C$32, $C$9, 100%, $E$9)</f>
        <v>9.2718000000000007</v>
      </c>
      <c r="K238" s="81">
        <f>9.2771 * CHOOSE(CONTROL!$C$32, $C$9, 100%, $E$9)</f>
        <v>9.2771000000000008</v>
      </c>
      <c r="L238" s="81">
        <f>5.7176 * CHOOSE(CONTROL!$C$32, $C$9, 100%, $E$9)</f>
        <v>5.7176</v>
      </c>
      <c r="M238" s="81">
        <f>5.7229 * CHOOSE(CONTROL!$C$32, $C$9, 100%, $E$9)</f>
        <v>5.7229000000000001</v>
      </c>
      <c r="N238" s="81">
        <f>5.7176 * CHOOSE(CONTROL!$C$32, $C$9, 100%, $E$9)</f>
        <v>5.7176</v>
      </c>
      <c r="O238" s="81">
        <f>5.7229 * CHOOSE(CONTROL!$C$32, $C$9, 100%, $E$9)</f>
        <v>5.7229000000000001</v>
      </c>
    </row>
    <row r="239" spans="1:15" ht="15" x14ac:dyDescent="0.2">
      <c r="A239" s="16">
        <v>48488</v>
      </c>
      <c r="B239" s="80">
        <f>4.4575 * CHOOSE(CONTROL!$C$32, $C$9, 100%, $E$9)</f>
        <v>4.4574999999999996</v>
      </c>
      <c r="C239" s="80">
        <f>4.4575 * CHOOSE(CONTROL!$C$32, $C$9, 100%, $E$9)</f>
        <v>4.4574999999999996</v>
      </c>
      <c r="D239" s="80">
        <f>4.4586 * CHOOSE(CONTROL!$C$32, $C$9, 100%, $E$9)</f>
        <v>4.4585999999999997</v>
      </c>
      <c r="E239" s="81">
        <f>5.7132 * CHOOSE(CONTROL!$C$32, $C$9, 100%, $E$9)</f>
        <v>5.7131999999999996</v>
      </c>
      <c r="F239" s="81">
        <f>5.7132 * CHOOSE(CONTROL!$C$32, $C$9, 100%, $E$9)</f>
        <v>5.7131999999999996</v>
      </c>
      <c r="G239" s="81">
        <f>5.7168 * CHOOSE(CONTROL!$C$32, $C$9, 100%, $E$9)</f>
        <v>5.7168000000000001</v>
      </c>
      <c r="H239" s="81">
        <f>9.2912 * CHOOSE(CONTROL!$C$32, $C$9, 100%, $E$9)</f>
        <v>9.2911999999999999</v>
      </c>
      <c r="I239" s="81">
        <f>9.2948 * CHOOSE(CONTROL!$C$32, $C$9, 100%, $E$9)</f>
        <v>9.2948000000000004</v>
      </c>
      <c r="J239" s="81">
        <f>9.2912 * CHOOSE(CONTROL!$C$32, $C$9, 100%, $E$9)</f>
        <v>9.2911999999999999</v>
      </c>
      <c r="K239" s="81">
        <f>9.2948 * CHOOSE(CONTROL!$C$32, $C$9, 100%, $E$9)</f>
        <v>9.2948000000000004</v>
      </c>
      <c r="L239" s="81">
        <f>5.7132 * CHOOSE(CONTROL!$C$32, $C$9, 100%, $E$9)</f>
        <v>5.7131999999999996</v>
      </c>
      <c r="M239" s="81">
        <f>5.7168 * CHOOSE(CONTROL!$C$32, $C$9, 100%, $E$9)</f>
        <v>5.7168000000000001</v>
      </c>
      <c r="N239" s="81">
        <f>5.7132 * CHOOSE(CONTROL!$C$32, $C$9, 100%, $E$9)</f>
        <v>5.7131999999999996</v>
      </c>
      <c r="O239" s="81">
        <f>5.7168 * CHOOSE(CONTROL!$C$32, $C$9, 100%, $E$9)</f>
        <v>5.7168000000000001</v>
      </c>
    </row>
    <row r="240" spans="1:15" ht="15" x14ac:dyDescent="0.2">
      <c r="A240" s="16">
        <v>48519</v>
      </c>
      <c r="B240" s="80">
        <f>4.4605 * CHOOSE(CONTROL!$C$32, $C$9, 100%, $E$9)</f>
        <v>4.4604999999999997</v>
      </c>
      <c r="C240" s="80">
        <f>4.4605 * CHOOSE(CONTROL!$C$32, $C$9, 100%, $E$9)</f>
        <v>4.4604999999999997</v>
      </c>
      <c r="D240" s="80">
        <f>4.4616 * CHOOSE(CONTROL!$C$32, $C$9, 100%, $E$9)</f>
        <v>4.4615999999999998</v>
      </c>
      <c r="E240" s="81">
        <f>5.7152 * CHOOSE(CONTROL!$C$32, $C$9, 100%, $E$9)</f>
        <v>5.7152000000000003</v>
      </c>
      <c r="F240" s="81">
        <f>5.7152 * CHOOSE(CONTROL!$C$32, $C$9, 100%, $E$9)</f>
        <v>5.7152000000000003</v>
      </c>
      <c r="G240" s="81">
        <f>5.7188 * CHOOSE(CONTROL!$C$32, $C$9, 100%, $E$9)</f>
        <v>5.7187999999999999</v>
      </c>
      <c r="H240" s="81">
        <f>9.3105 * CHOOSE(CONTROL!$C$32, $C$9, 100%, $E$9)</f>
        <v>9.3104999999999993</v>
      </c>
      <c r="I240" s="81">
        <f>9.3141 * CHOOSE(CONTROL!$C$32, $C$9, 100%, $E$9)</f>
        <v>9.3140999999999998</v>
      </c>
      <c r="J240" s="81">
        <f>9.3105 * CHOOSE(CONTROL!$C$32, $C$9, 100%, $E$9)</f>
        <v>9.3104999999999993</v>
      </c>
      <c r="K240" s="81">
        <f>9.3141 * CHOOSE(CONTROL!$C$32, $C$9, 100%, $E$9)</f>
        <v>9.3140999999999998</v>
      </c>
      <c r="L240" s="81">
        <f>5.7152 * CHOOSE(CONTROL!$C$32, $C$9, 100%, $E$9)</f>
        <v>5.7152000000000003</v>
      </c>
      <c r="M240" s="81">
        <f>5.7188 * CHOOSE(CONTROL!$C$32, $C$9, 100%, $E$9)</f>
        <v>5.7187999999999999</v>
      </c>
      <c r="N240" s="81">
        <f>5.7152 * CHOOSE(CONTROL!$C$32, $C$9, 100%, $E$9)</f>
        <v>5.7152000000000003</v>
      </c>
      <c r="O240" s="81">
        <f>5.7188 * CHOOSE(CONTROL!$C$32, $C$9, 100%, $E$9)</f>
        <v>5.7187999999999999</v>
      </c>
    </row>
    <row r="241" spans="1:15" ht="15" x14ac:dyDescent="0.2">
      <c r="A241" s="16">
        <v>48549</v>
      </c>
      <c r="B241" s="80">
        <f>4.4605 * CHOOSE(CONTROL!$C$32, $C$9, 100%, $E$9)</f>
        <v>4.4604999999999997</v>
      </c>
      <c r="C241" s="80">
        <f>4.4605 * CHOOSE(CONTROL!$C$32, $C$9, 100%, $E$9)</f>
        <v>4.4604999999999997</v>
      </c>
      <c r="D241" s="80">
        <f>4.4616 * CHOOSE(CONTROL!$C$32, $C$9, 100%, $E$9)</f>
        <v>4.4615999999999998</v>
      </c>
      <c r="E241" s="81">
        <f>5.7152 * CHOOSE(CONTROL!$C$32, $C$9, 100%, $E$9)</f>
        <v>5.7152000000000003</v>
      </c>
      <c r="F241" s="81">
        <f>5.7152 * CHOOSE(CONTROL!$C$32, $C$9, 100%, $E$9)</f>
        <v>5.7152000000000003</v>
      </c>
      <c r="G241" s="81">
        <f>5.7188 * CHOOSE(CONTROL!$C$32, $C$9, 100%, $E$9)</f>
        <v>5.7187999999999999</v>
      </c>
      <c r="H241" s="81">
        <f>9.3299 * CHOOSE(CONTROL!$C$32, $C$9, 100%, $E$9)</f>
        <v>9.3299000000000003</v>
      </c>
      <c r="I241" s="81">
        <f>9.3335 * CHOOSE(CONTROL!$C$32, $C$9, 100%, $E$9)</f>
        <v>9.3335000000000008</v>
      </c>
      <c r="J241" s="81">
        <f>9.3299 * CHOOSE(CONTROL!$C$32, $C$9, 100%, $E$9)</f>
        <v>9.3299000000000003</v>
      </c>
      <c r="K241" s="81">
        <f>9.3335 * CHOOSE(CONTROL!$C$32, $C$9, 100%, $E$9)</f>
        <v>9.3335000000000008</v>
      </c>
      <c r="L241" s="81">
        <f>5.7152 * CHOOSE(CONTROL!$C$32, $C$9, 100%, $E$9)</f>
        <v>5.7152000000000003</v>
      </c>
      <c r="M241" s="81">
        <f>5.7188 * CHOOSE(CONTROL!$C$32, $C$9, 100%, $E$9)</f>
        <v>5.7187999999999999</v>
      </c>
      <c r="N241" s="81">
        <f>5.7152 * CHOOSE(CONTROL!$C$32, $C$9, 100%, $E$9)</f>
        <v>5.7152000000000003</v>
      </c>
      <c r="O241" s="81">
        <f>5.7188 * CHOOSE(CONTROL!$C$32, $C$9, 100%, $E$9)</f>
        <v>5.7187999999999999</v>
      </c>
    </row>
    <row r="242" spans="1:15" ht="15" x14ac:dyDescent="0.2">
      <c r="A242" s="16">
        <v>48580</v>
      </c>
      <c r="B242" s="80">
        <f>4.4966 * CHOOSE(CONTROL!$C$32, $C$9, 100%, $E$9)</f>
        <v>4.4965999999999999</v>
      </c>
      <c r="C242" s="80">
        <f>4.4966 * CHOOSE(CONTROL!$C$32, $C$9, 100%, $E$9)</f>
        <v>4.4965999999999999</v>
      </c>
      <c r="D242" s="80">
        <f>4.4977 * CHOOSE(CONTROL!$C$32, $C$9, 100%, $E$9)</f>
        <v>4.4977</v>
      </c>
      <c r="E242" s="81">
        <f>5.7608 * CHOOSE(CONTROL!$C$32, $C$9, 100%, $E$9)</f>
        <v>5.7607999999999997</v>
      </c>
      <c r="F242" s="81">
        <f>5.7608 * CHOOSE(CONTROL!$C$32, $C$9, 100%, $E$9)</f>
        <v>5.7607999999999997</v>
      </c>
      <c r="G242" s="81">
        <f>5.7644 * CHOOSE(CONTROL!$C$32, $C$9, 100%, $E$9)</f>
        <v>5.7644000000000002</v>
      </c>
      <c r="H242" s="81">
        <f>9.3493 * CHOOSE(CONTROL!$C$32, $C$9, 100%, $E$9)</f>
        <v>9.3492999999999995</v>
      </c>
      <c r="I242" s="81">
        <f>9.353 * CHOOSE(CONTROL!$C$32, $C$9, 100%, $E$9)</f>
        <v>9.3529999999999998</v>
      </c>
      <c r="J242" s="81">
        <f>9.3493 * CHOOSE(CONTROL!$C$32, $C$9, 100%, $E$9)</f>
        <v>9.3492999999999995</v>
      </c>
      <c r="K242" s="81">
        <f>9.353 * CHOOSE(CONTROL!$C$32, $C$9, 100%, $E$9)</f>
        <v>9.3529999999999998</v>
      </c>
      <c r="L242" s="81">
        <f>5.7608 * CHOOSE(CONTROL!$C$32, $C$9, 100%, $E$9)</f>
        <v>5.7607999999999997</v>
      </c>
      <c r="M242" s="81">
        <f>5.7644 * CHOOSE(CONTROL!$C$32, $C$9, 100%, $E$9)</f>
        <v>5.7644000000000002</v>
      </c>
      <c r="N242" s="81">
        <f>5.7608 * CHOOSE(CONTROL!$C$32, $C$9, 100%, $E$9)</f>
        <v>5.7607999999999997</v>
      </c>
      <c r="O242" s="81">
        <f>5.7644 * CHOOSE(CONTROL!$C$32, $C$9, 100%, $E$9)</f>
        <v>5.7644000000000002</v>
      </c>
    </row>
    <row r="243" spans="1:15" ht="15" x14ac:dyDescent="0.2">
      <c r="A243" s="16">
        <v>48611</v>
      </c>
      <c r="B243" s="80">
        <f>4.4936 * CHOOSE(CONTROL!$C$32, $C$9, 100%, $E$9)</f>
        <v>4.4935999999999998</v>
      </c>
      <c r="C243" s="80">
        <f>4.4936 * CHOOSE(CONTROL!$C$32, $C$9, 100%, $E$9)</f>
        <v>4.4935999999999998</v>
      </c>
      <c r="D243" s="80">
        <f>4.4946 * CHOOSE(CONTROL!$C$32, $C$9, 100%, $E$9)</f>
        <v>4.4946000000000002</v>
      </c>
      <c r="E243" s="81">
        <f>5.7588 * CHOOSE(CONTROL!$C$32, $C$9, 100%, $E$9)</f>
        <v>5.7587999999999999</v>
      </c>
      <c r="F243" s="81">
        <f>5.7588 * CHOOSE(CONTROL!$C$32, $C$9, 100%, $E$9)</f>
        <v>5.7587999999999999</v>
      </c>
      <c r="G243" s="81">
        <f>5.7624 * CHOOSE(CONTROL!$C$32, $C$9, 100%, $E$9)</f>
        <v>5.7624000000000004</v>
      </c>
      <c r="H243" s="81">
        <f>9.3688 * CHOOSE(CONTROL!$C$32, $C$9, 100%, $E$9)</f>
        <v>9.3688000000000002</v>
      </c>
      <c r="I243" s="81">
        <f>9.3724 * CHOOSE(CONTROL!$C$32, $C$9, 100%, $E$9)</f>
        <v>9.3724000000000007</v>
      </c>
      <c r="J243" s="81">
        <f>9.3688 * CHOOSE(CONTROL!$C$32, $C$9, 100%, $E$9)</f>
        <v>9.3688000000000002</v>
      </c>
      <c r="K243" s="81">
        <f>9.3724 * CHOOSE(CONTROL!$C$32, $C$9, 100%, $E$9)</f>
        <v>9.3724000000000007</v>
      </c>
      <c r="L243" s="81">
        <f>5.7588 * CHOOSE(CONTROL!$C$32, $C$9, 100%, $E$9)</f>
        <v>5.7587999999999999</v>
      </c>
      <c r="M243" s="81">
        <f>5.7624 * CHOOSE(CONTROL!$C$32, $C$9, 100%, $E$9)</f>
        <v>5.7624000000000004</v>
      </c>
      <c r="N243" s="81">
        <f>5.7588 * CHOOSE(CONTROL!$C$32, $C$9, 100%, $E$9)</f>
        <v>5.7587999999999999</v>
      </c>
      <c r="O243" s="81">
        <f>5.7624 * CHOOSE(CONTROL!$C$32, $C$9, 100%, $E$9)</f>
        <v>5.7624000000000004</v>
      </c>
    </row>
    <row r="244" spans="1:15" ht="15" x14ac:dyDescent="0.2">
      <c r="A244" s="16">
        <v>48639</v>
      </c>
      <c r="B244" s="80">
        <f>4.4905 * CHOOSE(CONTROL!$C$32, $C$9, 100%, $E$9)</f>
        <v>4.4904999999999999</v>
      </c>
      <c r="C244" s="80">
        <f>4.4905 * CHOOSE(CONTROL!$C$32, $C$9, 100%, $E$9)</f>
        <v>4.4904999999999999</v>
      </c>
      <c r="D244" s="80">
        <f>4.4916 * CHOOSE(CONTROL!$C$32, $C$9, 100%, $E$9)</f>
        <v>4.4916</v>
      </c>
      <c r="E244" s="81">
        <f>5.7568 * CHOOSE(CONTROL!$C$32, $C$9, 100%, $E$9)</f>
        <v>5.7568000000000001</v>
      </c>
      <c r="F244" s="81">
        <f>5.7568 * CHOOSE(CONTROL!$C$32, $C$9, 100%, $E$9)</f>
        <v>5.7568000000000001</v>
      </c>
      <c r="G244" s="81">
        <f>5.7604 * CHOOSE(CONTROL!$C$32, $C$9, 100%, $E$9)</f>
        <v>5.7603999999999997</v>
      </c>
      <c r="H244" s="81">
        <f>9.3883 * CHOOSE(CONTROL!$C$32, $C$9, 100%, $E$9)</f>
        <v>9.3882999999999992</v>
      </c>
      <c r="I244" s="81">
        <f>9.392 * CHOOSE(CONTROL!$C$32, $C$9, 100%, $E$9)</f>
        <v>9.3919999999999995</v>
      </c>
      <c r="J244" s="81">
        <f>9.3883 * CHOOSE(CONTROL!$C$32, $C$9, 100%, $E$9)</f>
        <v>9.3882999999999992</v>
      </c>
      <c r="K244" s="81">
        <f>9.392 * CHOOSE(CONTROL!$C$32, $C$9, 100%, $E$9)</f>
        <v>9.3919999999999995</v>
      </c>
      <c r="L244" s="81">
        <f>5.7568 * CHOOSE(CONTROL!$C$32, $C$9, 100%, $E$9)</f>
        <v>5.7568000000000001</v>
      </c>
      <c r="M244" s="81">
        <f>5.7604 * CHOOSE(CONTROL!$C$32, $C$9, 100%, $E$9)</f>
        <v>5.7603999999999997</v>
      </c>
      <c r="N244" s="81">
        <f>5.7568 * CHOOSE(CONTROL!$C$32, $C$9, 100%, $E$9)</f>
        <v>5.7568000000000001</v>
      </c>
      <c r="O244" s="81">
        <f>5.7604 * CHOOSE(CONTROL!$C$32, $C$9, 100%, $E$9)</f>
        <v>5.7603999999999997</v>
      </c>
    </row>
    <row r="245" spans="1:15" ht="15" x14ac:dyDescent="0.2">
      <c r="A245" s="16">
        <v>48670</v>
      </c>
      <c r="B245" s="80">
        <f>4.4887 * CHOOSE(CONTROL!$C$32, $C$9, 100%, $E$9)</f>
        <v>4.4886999999999997</v>
      </c>
      <c r="C245" s="80">
        <f>4.4887 * CHOOSE(CONTROL!$C$32, $C$9, 100%, $E$9)</f>
        <v>4.4886999999999997</v>
      </c>
      <c r="D245" s="80">
        <f>4.4897 * CHOOSE(CONTROL!$C$32, $C$9, 100%, $E$9)</f>
        <v>4.4897</v>
      </c>
      <c r="E245" s="81">
        <f>5.755 * CHOOSE(CONTROL!$C$32, $C$9, 100%, $E$9)</f>
        <v>5.7549999999999999</v>
      </c>
      <c r="F245" s="81">
        <f>5.755 * CHOOSE(CONTROL!$C$32, $C$9, 100%, $E$9)</f>
        <v>5.7549999999999999</v>
      </c>
      <c r="G245" s="81">
        <f>5.7586 * CHOOSE(CONTROL!$C$32, $C$9, 100%, $E$9)</f>
        <v>5.7586000000000004</v>
      </c>
      <c r="H245" s="81">
        <f>9.4079 * CHOOSE(CONTROL!$C$32, $C$9, 100%, $E$9)</f>
        <v>9.4078999999999997</v>
      </c>
      <c r="I245" s="81">
        <f>9.4115 * CHOOSE(CONTROL!$C$32, $C$9, 100%, $E$9)</f>
        <v>9.4115000000000002</v>
      </c>
      <c r="J245" s="81">
        <f>9.4079 * CHOOSE(CONTROL!$C$32, $C$9, 100%, $E$9)</f>
        <v>9.4078999999999997</v>
      </c>
      <c r="K245" s="81">
        <f>9.4115 * CHOOSE(CONTROL!$C$32, $C$9, 100%, $E$9)</f>
        <v>9.4115000000000002</v>
      </c>
      <c r="L245" s="81">
        <f>5.755 * CHOOSE(CONTROL!$C$32, $C$9, 100%, $E$9)</f>
        <v>5.7549999999999999</v>
      </c>
      <c r="M245" s="81">
        <f>5.7586 * CHOOSE(CONTROL!$C$32, $C$9, 100%, $E$9)</f>
        <v>5.7586000000000004</v>
      </c>
      <c r="N245" s="81">
        <f>5.755 * CHOOSE(CONTROL!$C$32, $C$9, 100%, $E$9)</f>
        <v>5.7549999999999999</v>
      </c>
      <c r="O245" s="81">
        <f>5.7586 * CHOOSE(CONTROL!$C$32, $C$9, 100%, $E$9)</f>
        <v>5.7586000000000004</v>
      </c>
    </row>
    <row r="246" spans="1:15" ht="15" x14ac:dyDescent="0.2">
      <c r="A246" s="16">
        <v>48700</v>
      </c>
      <c r="B246" s="80">
        <f>4.4887 * CHOOSE(CONTROL!$C$32, $C$9, 100%, $E$9)</f>
        <v>4.4886999999999997</v>
      </c>
      <c r="C246" s="80">
        <f>4.4887 * CHOOSE(CONTROL!$C$32, $C$9, 100%, $E$9)</f>
        <v>4.4886999999999997</v>
      </c>
      <c r="D246" s="80">
        <f>4.4902 * CHOOSE(CONTROL!$C$32, $C$9, 100%, $E$9)</f>
        <v>4.4901999999999997</v>
      </c>
      <c r="E246" s="81">
        <f>5.755 * CHOOSE(CONTROL!$C$32, $C$9, 100%, $E$9)</f>
        <v>5.7549999999999999</v>
      </c>
      <c r="F246" s="81">
        <f>5.755 * CHOOSE(CONTROL!$C$32, $C$9, 100%, $E$9)</f>
        <v>5.7549999999999999</v>
      </c>
      <c r="G246" s="81">
        <f>5.7602 * CHOOSE(CONTROL!$C$32, $C$9, 100%, $E$9)</f>
        <v>5.7602000000000002</v>
      </c>
      <c r="H246" s="81">
        <f>9.4275 * CHOOSE(CONTROL!$C$32, $C$9, 100%, $E$9)</f>
        <v>9.4275000000000002</v>
      </c>
      <c r="I246" s="81">
        <f>9.4328 * CHOOSE(CONTROL!$C$32, $C$9, 100%, $E$9)</f>
        <v>9.4328000000000003</v>
      </c>
      <c r="J246" s="81">
        <f>9.4275 * CHOOSE(CONTROL!$C$32, $C$9, 100%, $E$9)</f>
        <v>9.4275000000000002</v>
      </c>
      <c r="K246" s="81">
        <f>9.4328 * CHOOSE(CONTROL!$C$32, $C$9, 100%, $E$9)</f>
        <v>9.4328000000000003</v>
      </c>
      <c r="L246" s="81">
        <f>5.755 * CHOOSE(CONTROL!$C$32, $C$9, 100%, $E$9)</f>
        <v>5.7549999999999999</v>
      </c>
      <c r="M246" s="81">
        <f>5.7602 * CHOOSE(CONTROL!$C$32, $C$9, 100%, $E$9)</f>
        <v>5.7602000000000002</v>
      </c>
      <c r="N246" s="81">
        <f>5.755 * CHOOSE(CONTROL!$C$32, $C$9, 100%, $E$9)</f>
        <v>5.7549999999999999</v>
      </c>
      <c r="O246" s="81">
        <f>5.7602 * CHOOSE(CONTROL!$C$32, $C$9, 100%, $E$9)</f>
        <v>5.7602000000000002</v>
      </c>
    </row>
    <row r="247" spans="1:15" ht="15" x14ac:dyDescent="0.2">
      <c r="A247" s="16">
        <v>48731</v>
      </c>
      <c r="B247" s="80">
        <f>4.4947 * CHOOSE(CONTROL!$C$32, $C$9, 100%, $E$9)</f>
        <v>4.4946999999999999</v>
      </c>
      <c r="C247" s="80">
        <f>4.4947 * CHOOSE(CONTROL!$C$32, $C$9, 100%, $E$9)</f>
        <v>4.4946999999999999</v>
      </c>
      <c r="D247" s="80">
        <f>4.4963 * CHOOSE(CONTROL!$C$32, $C$9, 100%, $E$9)</f>
        <v>4.4962999999999997</v>
      </c>
      <c r="E247" s="81">
        <f>5.759 * CHOOSE(CONTROL!$C$32, $C$9, 100%, $E$9)</f>
        <v>5.7590000000000003</v>
      </c>
      <c r="F247" s="81">
        <f>5.759 * CHOOSE(CONTROL!$C$32, $C$9, 100%, $E$9)</f>
        <v>5.7590000000000003</v>
      </c>
      <c r="G247" s="81">
        <f>5.7642 * CHOOSE(CONTROL!$C$32, $C$9, 100%, $E$9)</f>
        <v>5.7641999999999998</v>
      </c>
      <c r="H247" s="81">
        <f>9.4471 * CHOOSE(CONTROL!$C$32, $C$9, 100%, $E$9)</f>
        <v>9.4471000000000007</v>
      </c>
      <c r="I247" s="81">
        <f>9.4524 * CHOOSE(CONTROL!$C$32, $C$9, 100%, $E$9)</f>
        <v>9.4524000000000008</v>
      </c>
      <c r="J247" s="81">
        <f>9.4471 * CHOOSE(CONTROL!$C$32, $C$9, 100%, $E$9)</f>
        <v>9.4471000000000007</v>
      </c>
      <c r="K247" s="81">
        <f>9.4524 * CHOOSE(CONTROL!$C$32, $C$9, 100%, $E$9)</f>
        <v>9.4524000000000008</v>
      </c>
      <c r="L247" s="81">
        <f>5.759 * CHOOSE(CONTROL!$C$32, $C$9, 100%, $E$9)</f>
        <v>5.7590000000000003</v>
      </c>
      <c r="M247" s="81">
        <f>5.7642 * CHOOSE(CONTROL!$C$32, $C$9, 100%, $E$9)</f>
        <v>5.7641999999999998</v>
      </c>
      <c r="N247" s="81">
        <f>5.759 * CHOOSE(CONTROL!$C$32, $C$9, 100%, $E$9)</f>
        <v>5.7590000000000003</v>
      </c>
      <c r="O247" s="81">
        <f>5.7642 * CHOOSE(CONTROL!$C$32, $C$9, 100%, $E$9)</f>
        <v>5.7641999999999998</v>
      </c>
    </row>
    <row r="248" spans="1:15" ht="15" x14ac:dyDescent="0.2">
      <c r="A248" s="16">
        <v>48761</v>
      </c>
      <c r="B248" s="80">
        <f>4.5602 * CHOOSE(CONTROL!$C$32, $C$9, 100%, $E$9)</f>
        <v>4.5602</v>
      </c>
      <c r="C248" s="80">
        <f>4.5602 * CHOOSE(CONTROL!$C$32, $C$9, 100%, $E$9)</f>
        <v>4.5602</v>
      </c>
      <c r="D248" s="80">
        <f>4.5618 * CHOOSE(CONTROL!$C$32, $C$9, 100%, $E$9)</f>
        <v>4.5617999999999999</v>
      </c>
      <c r="E248" s="81">
        <f>5.8589 * CHOOSE(CONTROL!$C$32, $C$9, 100%, $E$9)</f>
        <v>5.8589000000000002</v>
      </c>
      <c r="F248" s="81">
        <f>5.8589 * CHOOSE(CONTROL!$C$32, $C$9, 100%, $E$9)</f>
        <v>5.8589000000000002</v>
      </c>
      <c r="G248" s="81">
        <f>5.8642 * CHOOSE(CONTROL!$C$32, $C$9, 100%, $E$9)</f>
        <v>5.8642000000000003</v>
      </c>
      <c r="H248" s="81">
        <f>9.4668 * CHOOSE(CONTROL!$C$32, $C$9, 100%, $E$9)</f>
        <v>9.4667999999999992</v>
      </c>
      <c r="I248" s="81">
        <f>9.4721 * CHOOSE(CONTROL!$C$32, $C$9, 100%, $E$9)</f>
        <v>9.4720999999999993</v>
      </c>
      <c r="J248" s="81">
        <f>9.4668 * CHOOSE(CONTROL!$C$32, $C$9, 100%, $E$9)</f>
        <v>9.4667999999999992</v>
      </c>
      <c r="K248" s="81">
        <f>9.4721 * CHOOSE(CONTROL!$C$32, $C$9, 100%, $E$9)</f>
        <v>9.4720999999999993</v>
      </c>
      <c r="L248" s="81">
        <f>5.8589 * CHOOSE(CONTROL!$C$32, $C$9, 100%, $E$9)</f>
        <v>5.8589000000000002</v>
      </c>
      <c r="M248" s="81">
        <f>5.8642 * CHOOSE(CONTROL!$C$32, $C$9, 100%, $E$9)</f>
        <v>5.8642000000000003</v>
      </c>
      <c r="N248" s="81">
        <f>5.8589 * CHOOSE(CONTROL!$C$32, $C$9, 100%, $E$9)</f>
        <v>5.8589000000000002</v>
      </c>
      <c r="O248" s="81">
        <f>5.8642 * CHOOSE(CONTROL!$C$32, $C$9, 100%, $E$9)</f>
        <v>5.8642000000000003</v>
      </c>
    </row>
    <row r="249" spans="1:15" ht="15" x14ac:dyDescent="0.2">
      <c r="A249" s="16">
        <v>48792</v>
      </c>
      <c r="B249" s="80">
        <f>4.5669 * CHOOSE(CONTROL!$C$32, $C$9, 100%, $E$9)</f>
        <v>4.5669000000000004</v>
      </c>
      <c r="C249" s="80">
        <f>4.5669 * CHOOSE(CONTROL!$C$32, $C$9, 100%, $E$9)</f>
        <v>4.5669000000000004</v>
      </c>
      <c r="D249" s="80">
        <f>4.5685 * CHOOSE(CONTROL!$C$32, $C$9, 100%, $E$9)</f>
        <v>4.5685000000000002</v>
      </c>
      <c r="E249" s="81">
        <f>5.8633 * CHOOSE(CONTROL!$C$32, $C$9, 100%, $E$9)</f>
        <v>5.8632999999999997</v>
      </c>
      <c r="F249" s="81">
        <f>5.8633 * CHOOSE(CONTROL!$C$32, $C$9, 100%, $E$9)</f>
        <v>5.8632999999999997</v>
      </c>
      <c r="G249" s="81">
        <f>5.8686 * CHOOSE(CONTROL!$C$32, $C$9, 100%, $E$9)</f>
        <v>5.8685999999999998</v>
      </c>
      <c r="H249" s="81">
        <f>9.4865 * CHOOSE(CONTROL!$C$32, $C$9, 100%, $E$9)</f>
        <v>9.4864999999999995</v>
      </c>
      <c r="I249" s="81">
        <f>9.4918 * CHOOSE(CONTROL!$C$32, $C$9, 100%, $E$9)</f>
        <v>9.4917999999999996</v>
      </c>
      <c r="J249" s="81">
        <f>9.4865 * CHOOSE(CONTROL!$C$32, $C$9, 100%, $E$9)</f>
        <v>9.4864999999999995</v>
      </c>
      <c r="K249" s="81">
        <f>9.4918 * CHOOSE(CONTROL!$C$32, $C$9, 100%, $E$9)</f>
        <v>9.4917999999999996</v>
      </c>
      <c r="L249" s="81">
        <f>5.8633 * CHOOSE(CONTROL!$C$32, $C$9, 100%, $E$9)</f>
        <v>5.8632999999999997</v>
      </c>
      <c r="M249" s="81">
        <f>5.8686 * CHOOSE(CONTROL!$C$32, $C$9, 100%, $E$9)</f>
        <v>5.8685999999999998</v>
      </c>
      <c r="N249" s="81">
        <f>5.8633 * CHOOSE(CONTROL!$C$32, $C$9, 100%, $E$9)</f>
        <v>5.8632999999999997</v>
      </c>
      <c r="O249" s="81">
        <f>5.8686 * CHOOSE(CONTROL!$C$32, $C$9, 100%, $E$9)</f>
        <v>5.8685999999999998</v>
      </c>
    </row>
    <row r="250" spans="1:15" ht="15" x14ac:dyDescent="0.2">
      <c r="A250" s="16">
        <v>48823</v>
      </c>
      <c r="B250" s="80">
        <f>4.5638 * CHOOSE(CONTROL!$C$32, $C$9, 100%, $E$9)</f>
        <v>4.5637999999999996</v>
      </c>
      <c r="C250" s="80">
        <f>4.5638 * CHOOSE(CONTROL!$C$32, $C$9, 100%, $E$9)</f>
        <v>4.5637999999999996</v>
      </c>
      <c r="D250" s="80">
        <f>4.5654 * CHOOSE(CONTROL!$C$32, $C$9, 100%, $E$9)</f>
        <v>4.5654000000000003</v>
      </c>
      <c r="E250" s="81">
        <f>5.8613 * CHOOSE(CONTROL!$C$32, $C$9, 100%, $E$9)</f>
        <v>5.8613</v>
      </c>
      <c r="F250" s="81">
        <f>5.8613 * CHOOSE(CONTROL!$C$32, $C$9, 100%, $E$9)</f>
        <v>5.8613</v>
      </c>
      <c r="G250" s="81">
        <f>5.8666 * CHOOSE(CONTROL!$C$32, $C$9, 100%, $E$9)</f>
        <v>5.8666</v>
      </c>
      <c r="H250" s="81">
        <f>9.5063 * CHOOSE(CONTROL!$C$32, $C$9, 100%, $E$9)</f>
        <v>9.5062999999999995</v>
      </c>
      <c r="I250" s="81">
        <f>9.5116 * CHOOSE(CONTROL!$C$32, $C$9, 100%, $E$9)</f>
        <v>9.5115999999999996</v>
      </c>
      <c r="J250" s="81">
        <f>9.5063 * CHOOSE(CONTROL!$C$32, $C$9, 100%, $E$9)</f>
        <v>9.5062999999999995</v>
      </c>
      <c r="K250" s="81">
        <f>9.5116 * CHOOSE(CONTROL!$C$32, $C$9, 100%, $E$9)</f>
        <v>9.5115999999999996</v>
      </c>
      <c r="L250" s="81">
        <f>5.8613 * CHOOSE(CONTROL!$C$32, $C$9, 100%, $E$9)</f>
        <v>5.8613</v>
      </c>
      <c r="M250" s="81">
        <f>5.8666 * CHOOSE(CONTROL!$C$32, $C$9, 100%, $E$9)</f>
        <v>5.8666</v>
      </c>
      <c r="N250" s="81">
        <f>5.8613 * CHOOSE(CONTROL!$C$32, $C$9, 100%, $E$9)</f>
        <v>5.8613</v>
      </c>
      <c r="O250" s="81">
        <f>5.8666 * CHOOSE(CONTROL!$C$32, $C$9, 100%, $E$9)</f>
        <v>5.8666</v>
      </c>
    </row>
    <row r="251" spans="1:15" ht="15" x14ac:dyDescent="0.2">
      <c r="A251" s="16">
        <v>48853</v>
      </c>
      <c r="B251" s="80">
        <f>4.561 * CHOOSE(CONTROL!$C$32, $C$9, 100%, $E$9)</f>
        <v>4.5609999999999999</v>
      </c>
      <c r="C251" s="80">
        <f>4.561 * CHOOSE(CONTROL!$C$32, $C$9, 100%, $E$9)</f>
        <v>4.5609999999999999</v>
      </c>
      <c r="D251" s="80">
        <f>4.5621 * CHOOSE(CONTROL!$C$32, $C$9, 100%, $E$9)</f>
        <v>4.5621</v>
      </c>
      <c r="E251" s="81">
        <f>5.8571 * CHOOSE(CONTROL!$C$32, $C$9, 100%, $E$9)</f>
        <v>5.8571</v>
      </c>
      <c r="F251" s="81">
        <f>5.8571 * CHOOSE(CONTROL!$C$32, $C$9, 100%, $E$9)</f>
        <v>5.8571</v>
      </c>
      <c r="G251" s="81">
        <f>5.8607 * CHOOSE(CONTROL!$C$32, $C$9, 100%, $E$9)</f>
        <v>5.8606999999999996</v>
      </c>
      <c r="H251" s="81">
        <f>9.5261 * CHOOSE(CONTROL!$C$32, $C$9, 100%, $E$9)</f>
        <v>9.5260999999999996</v>
      </c>
      <c r="I251" s="81">
        <f>9.5297 * CHOOSE(CONTROL!$C$32, $C$9, 100%, $E$9)</f>
        <v>9.5297000000000001</v>
      </c>
      <c r="J251" s="81">
        <f>9.5261 * CHOOSE(CONTROL!$C$32, $C$9, 100%, $E$9)</f>
        <v>9.5260999999999996</v>
      </c>
      <c r="K251" s="81">
        <f>9.5297 * CHOOSE(CONTROL!$C$32, $C$9, 100%, $E$9)</f>
        <v>9.5297000000000001</v>
      </c>
      <c r="L251" s="81">
        <f>5.8571 * CHOOSE(CONTROL!$C$32, $C$9, 100%, $E$9)</f>
        <v>5.8571</v>
      </c>
      <c r="M251" s="81">
        <f>5.8607 * CHOOSE(CONTROL!$C$32, $C$9, 100%, $E$9)</f>
        <v>5.8606999999999996</v>
      </c>
      <c r="N251" s="81">
        <f>5.8571 * CHOOSE(CONTROL!$C$32, $C$9, 100%, $E$9)</f>
        <v>5.8571</v>
      </c>
      <c r="O251" s="81">
        <f>5.8607 * CHOOSE(CONTROL!$C$32, $C$9, 100%, $E$9)</f>
        <v>5.8606999999999996</v>
      </c>
    </row>
    <row r="252" spans="1:15" ht="15" x14ac:dyDescent="0.2">
      <c r="A252" s="16">
        <v>48884</v>
      </c>
      <c r="B252" s="80">
        <f>4.564 * CHOOSE(CONTROL!$C$32, $C$9, 100%, $E$9)</f>
        <v>4.5640000000000001</v>
      </c>
      <c r="C252" s="80">
        <f>4.564 * CHOOSE(CONTROL!$C$32, $C$9, 100%, $E$9)</f>
        <v>4.5640000000000001</v>
      </c>
      <c r="D252" s="80">
        <f>4.5651 * CHOOSE(CONTROL!$C$32, $C$9, 100%, $E$9)</f>
        <v>4.5651000000000002</v>
      </c>
      <c r="E252" s="81">
        <f>5.8591 * CHOOSE(CONTROL!$C$32, $C$9, 100%, $E$9)</f>
        <v>5.8590999999999998</v>
      </c>
      <c r="F252" s="81">
        <f>5.8591 * CHOOSE(CONTROL!$C$32, $C$9, 100%, $E$9)</f>
        <v>5.8590999999999998</v>
      </c>
      <c r="G252" s="81">
        <f>5.8627 * CHOOSE(CONTROL!$C$32, $C$9, 100%, $E$9)</f>
        <v>5.8627000000000002</v>
      </c>
      <c r="H252" s="81">
        <f>9.546 * CHOOSE(CONTROL!$C$32, $C$9, 100%, $E$9)</f>
        <v>9.5459999999999994</v>
      </c>
      <c r="I252" s="81">
        <f>9.5496 * CHOOSE(CONTROL!$C$32, $C$9, 100%, $E$9)</f>
        <v>9.5495999999999999</v>
      </c>
      <c r="J252" s="81">
        <f>9.546 * CHOOSE(CONTROL!$C$32, $C$9, 100%, $E$9)</f>
        <v>9.5459999999999994</v>
      </c>
      <c r="K252" s="81">
        <f>9.5496 * CHOOSE(CONTROL!$C$32, $C$9, 100%, $E$9)</f>
        <v>9.5495999999999999</v>
      </c>
      <c r="L252" s="81">
        <f>5.8591 * CHOOSE(CONTROL!$C$32, $C$9, 100%, $E$9)</f>
        <v>5.8590999999999998</v>
      </c>
      <c r="M252" s="81">
        <f>5.8627 * CHOOSE(CONTROL!$C$32, $C$9, 100%, $E$9)</f>
        <v>5.8627000000000002</v>
      </c>
      <c r="N252" s="81">
        <f>5.8591 * CHOOSE(CONTROL!$C$32, $C$9, 100%, $E$9)</f>
        <v>5.8590999999999998</v>
      </c>
      <c r="O252" s="81">
        <f>5.8627 * CHOOSE(CONTROL!$C$32, $C$9, 100%, $E$9)</f>
        <v>5.8627000000000002</v>
      </c>
    </row>
    <row r="253" spans="1:15" ht="15" x14ac:dyDescent="0.2">
      <c r="A253" s="16">
        <v>48914</v>
      </c>
      <c r="B253" s="80">
        <f>4.564 * CHOOSE(CONTROL!$C$32, $C$9, 100%, $E$9)</f>
        <v>4.5640000000000001</v>
      </c>
      <c r="C253" s="80">
        <f>4.564 * CHOOSE(CONTROL!$C$32, $C$9, 100%, $E$9)</f>
        <v>4.5640000000000001</v>
      </c>
      <c r="D253" s="80">
        <f>4.5651 * CHOOSE(CONTROL!$C$32, $C$9, 100%, $E$9)</f>
        <v>4.5651000000000002</v>
      </c>
      <c r="E253" s="81">
        <f>5.8591 * CHOOSE(CONTROL!$C$32, $C$9, 100%, $E$9)</f>
        <v>5.8590999999999998</v>
      </c>
      <c r="F253" s="81">
        <f>5.8591 * CHOOSE(CONTROL!$C$32, $C$9, 100%, $E$9)</f>
        <v>5.8590999999999998</v>
      </c>
      <c r="G253" s="81">
        <f>5.8627 * CHOOSE(CONTROL!$C$32, $C$9, 100%, $E$9)</f>
        <v>5.8627000000000002</v>
      </c>
      <c r="H253" s="81">
        <f>9.5659 * CHOOSE(CONTROL!$C$32, $C$9, 100%, $E$9)</f>
        <v>9.5658999999999992</v>
      </c>
      <c r="I253" s="81">
        <f>9.5695 * CHOOSE(CONTROL!$C$32, $C$9, 100%, $E$9)</f>
        <v>9.5694999999999997</v>
      </c>
      <c r="J253" s="81">
        <f>9.5659 * CHOOSE(CONTROL!$C$32, $C$9, 100%, $E$9)</f>
        <v>9.5658999999999992</v>
      </c>
      <c r="K253" s="81">
        <f>9.5695 * CHOOSE(CONTROL!$C$32, $C$9, 100%, $E$9)</f>
        <v>9.5694999999999997</v>
      </c>
      <c r="L253" s="81">
        <f>5.8591 * CHOOSE(CONTROL!$C$32, $C$9, 100%, $E$9)</f>
        <v>5.8590999999999998</v>
      </c>
      <c r="M253" s="81">
        <f>5.8627 * CHOOSE(CONTROL!$C$32, $C$9, 100%, $E$9)</f>
        <v>5.8627000000000002</v>
      </c>
      <c r="N253" s="81">
        <f>5.8591 * CHOOSE(CONTROL!$C$32, $C$9, 100%, $E$9)</f>
        <v>5.8590999999999998</v>
      </c>
      <c r="O253" s="81">
        <f>5.8627 * CHOOSE(CONTROL!$C$32, $C$9, 100%, $E$9)</f>
        <v>5.8627000000000002</v>
      </c>
    </row>
    <row r="254" spans="1:15" ht="15" x14ac:dyDescent="0.2">
      <c r="A254" s="16">
        <v>48945</v>
      </c>
      <c r="B254" s="80">
        <f>4.6027 * CHOOSE(CONTROL!$C$32, $C$9, 100%, $E$9)</f>
        <v>4.6026999999999996</v>
      </c>
      <c r="C254" s="80">
        <f>4.6027 * CHOOSE(CONTROL!$C$32, $C$9, 100%, $E$9)</f>
        <v>4.6026999999999996</v>
      </c>
      <c r="D254" s="80">
        <f>4.6037 * CHOOSE(CONTROL!$C$32, $C$9, 100%, $E$9)</f>
        <v>4.6036999999999999</v>
      </c>
      <c r="E254" s="81">
        <f>5.9092 * CHOOSE(CONTROL!$C$32, $C$9, 100%, $E$9)</f>
        <v>5.9092000000000002</v>
      </c>
      <c r="F254" s="81">
        <f>5.9092 * CHOOSE(CONTROL!$C$32, $C$9, 100%, $E$9)</f>
        <v>5.9092000000000002</v>
      </c>
      <c r="G254" s="81">
        <f>5.9129 * CHOOSE(CONTROL!$C$32, $C$9, 100%, $E$9)</f>
        <v>5.9128999999999996</v>
      </c>
      <c r="H254" s="81">
        <f>9.5858 * CHOOSE(CONTROL!$C$32, $C$9, 100%, $E$9)</f>
        <v>9.5858000000000008</v>
      </c>
      <c r="I254" s="81">
        <f>9.5894 * CHOOSE(CONTROL!$C$32, $C$9, 100%, $E$9)</f>
        <v>9.5893999999999995</v>
      </c>
      <c r="J254" s="81">
        <f>9.5858 * CHOOSE(CONTROL!$C$32, $C$9, 100%, $E$9)</f>
        <v>9.5858000000000008</v>
      </c>
      <c r="K254" s="81">
        <f>9.5894 * CHOOSE(CONTROL!$C$32, $C$9, 100%, $E$9)</f>
        <v>9.5893999999999995</v>
      </c>
      <c r="L254" s="81">
        <f>5.9092 * CHOOSE(CONTROL!$C$32, $C$9, 100%, $E$9)</f>
        <v>5.9092000000000002</v>
      </c>
      <c r="M254" s="81">
        <f>5.9129 * CHOOSE(CONTROL!$C$32, $C$9, 100%, $E$9)</f>
        <v>5.9128999999999996</v>
      </c>
      <c r="N254" s="81">
        <f>5.9092 * CHOOSE(CONTROL!$C$32, $C$9, 100%, $E$9)</f>
        <v>5.9092000000000002</v>
      </c>
      <c r="O254" s="81">
        <f>5.9129 * CHOOSE(CONTROL!$C$32, $C$9, 100%, $E$9)</f>
        <v>5.9128999999999996</v>
      </c>
    </row>
    <row r="255" spans="1:15" ht="15" x14ac:dyDescent="0.2">
      <c r="A255" s="16">
        <v>48976</v>
      </c>
      <c r="B255" s="80">
        <f>4.5996 * CHOOSE(CONTROL!$C$32, $C$9, 100%, $E$9)</f>
        <v>4.5995999999999997</v>
      </c>
      <c r="C255" s="80">
        <f>4.5996 * CHOOSE(CONTROL!$C$32, $C$9, 100%, $E$9)</f>
        <v>4.5995999999999997</v>
      </c>
      <c r="D255" s="80">
        <f>4.6007 * CHOOSE(CONTROL!$C$32, $C$9, 100%, $E$9)</f>
        <v>4.6006999999999998</v>
      </c>
      <c r="E255" s="81">
        <f>5.9072 * CHOOSE(CONTROL!$C$32, $C$9, 100%, $E$9)</f>
        <v>5.9071999999999996</v>
      </c>
      <c r="F255" s="81">
        <f>5.9072 * CHOOSE(CONTROL!$C$32, $C$9, 100%, $E$9)</f>
        <v>5.9071999999999996</v>
      </c>
      <c r="G255" s="81">
        <f>5.9109 * CHOOSE(CONTROL!$C$32, $C$9, 100%, $E$9)</f>
        <v>5.9108999999999998</v>
      </c>
      <c r="H255" s="81">
        <f>9.6057 * CHOOSE(CONTROL!$C$32, $C$9, 100%, $E$9)</f>
        <v>9.6057000000000006</v>
      </c>
      <c r="I255" s="81">
        <f>9.6094 * CHOOSE(CONTROL!$C$32, $C$9, 100%, $E$9)</f>
        <v>9.6094000000000008</v>
      </c>
      <c r="J255" s="81">
        <f>9.6057 * CHOOSE(CONTROL!$C$32, $C$9, 100%, $E$9)</f>
        <v>9.6057000000000006</v>
      </c>
      <c r="K255" s="81">
        <f>9.6094 * CHOOSE(CONTROL!$C$32, $C$9, 100%, $E$9)</f>
        <v>9.6094000000000008</v>
      </c>
      <c r="L255" s="81">
        <f>5.9072 * CHOOSE(CONTROL!$C$32, $C$9, 100%, $E$9)</f>
        <v>5.9071999999999996</v>
      </c>
      <c r="M255" s="81">
        <f>5.9109 * CHOOSE(CONTROL!$C$32, $C$9, 100%, $E$9)</f>
        <v>5.9108999999999998</v>
      </c>
      <c r="N255" s="81">
        <f>5.9072 * CHOOSE(CONTROL!$C$32, $C$9, 100%, $E$9)</f>
        <v>5.9071999999999996</v>
      </c>
      <c r="O255" s="81">
        <f>5.9109 * CHOOSE(CONTROL!$C$32, $C$9, 100%, $E$9)</f>
        <v>5.9108999999999998</v>
      </c>
    </row>
    <row r="256" spans="1:15" ht="15" x14ac:dyDescent="0.2">
      <c r="A256" s="16">
        <v>49004</v>
      </c>
      <c r="B256" s="80">
        <f>4.5966 * CHOOSE(CONTROL!$C$32, $C$9, 100%, $E$9)</f>
        <v>4.5965999999999996</v>
      </c>
      <c r="C256" s="80">
        <f>4.5966 * CHOOSE(CONTROL!$C$32, $C$9, 100%, $E$9)</f>
        <v>4.5965999999999996</v>
      </c>
      <c r="D256" s="80">
        <f>4.5977 * CHOOSE(CONTROL!$C$32, $C$9, 100%, $E$9)</f>
        <v>4.5976999999999997</v>
      </c>
      <c r="E256" s="81">
        <f>5.9052 * CHOOSE(CONTROL!$C$32, $C$9, 100%, $E$9)</f>
        <v>5.9051999999999998</v>
      </c>
      <c r="F256" s="81">
        <f>5.9052 * CHOOSE(CONTROL!$C$32, $C$9, 100%, $E$9)</f>
        <v>5.9051999999999998</v>
      </c>
      <c r="G256" s="81">
        <f>5.9089 * CHOOSE(CONTROL!$C$32, $C$9, 100%, $E$9)</f>
        <v>5.9089</v>
      </c>
      <c r="H256" s="81">
        <f>9.6258 * CHOOSE(CONTROL!$C$32, $C$9, 100%, $E$9)</f>
        <v>9.6257999999999999</v>
      </c>
      <c r="I256" s="81">
        <f>9.6294 * CHOOSE(CONTROL!$C$32, $C$9, 100%, $E$9)</f>
        <v>9.6294000000000004</v>
      </c>
      <c r="J256" s="81">
        <f>9.6258 * CHOOSE(CONTROL!$C$32, $C$9, 100%, $E$9)</f>
        <v>9.6257999999999999</v>
      </c>
      <c r="K256" s="81">
        <f>9.6294 * CHOOSE(CONTROL!$C$32, $C$9, 100%, $E$9)</f>
        <v>9.6294000000000004</v>
      </c>
      <c r="L256" s="81">
        <f>5.9052 * CHOOSE(CONTROL!$C$32, $C$9, 100%, $E$9)</f>
        <v>5.9051999999999998</v>
      </c>
      <c r="M256" s="81">
        <f>5.9089 * CHOOSE(CONTROL!$C$32, $C$9, 100%, $E$9)</f>
        <v>5.9089</v>
      </c>
      <c r="N256" s="81">
        <f>5.9052 * CHOOSE(CONTROL!$C$32, $C$9, 100%, $E$9)</f>
        <v>5.9051999999999998</v>
      </c>
      <c r="O256" s="81">
        <f>5.9089 * CHOOSE(CONTROL!$C$32, $C$9, 100%, $E$9)</f>
        <v>5.9089</v>
      </c>
    </row>
    <row r="257" spans="1:15" ht="15" x14ac:dyDescent="0.2">
      <c r="A257" s="16">
        <v>49035</v>
      </c>
      <c r="B257" s="80">
        <f>4.5948 * CHOOSE(CONTROL!$C$32, $C$9, 100%, $E$9)</f>
        <v>4.5948000000000002</v>
      </c>
      <c r="C257" s="80">
        <f>4.5948 * CHOOSE(CONTROL!$C$32, $C$9, 100%, $E$9)</f>
        <v>4.5948000000000002</v>
      </c>
      <c r="D257" s="80">
        <f>4.5959 * CHOOSE(CONTROL!$C$32, $C$9, 100%, $E$9)</f>
        <v>4.5959000000000003</v>
      </c>
      <c r="E257" s="81">
        <f>5.9035 * CHOOSE(CONTROL!$C$32, $C$9, 100%, $E$9)</f>
        <v>5.9035000000000002</v>
      </c>
      <c r="F257" s="81">
        <f>5.9035 * CHOOSE(CONTROL!$C$32, $C$9, 100%, $E$9)</f>
        <v>5.9035000000000002</v>
      </c>
      <c r="G257" s="81">
        <f>5.9071 * CHOOSE(CONTROL!$C$32, $C$9, 100%, $E$9)</f>
        <v>5.9070999999999998</v>
      </c>
      <c r="H257" s="81">
        <f>9.6458 * CHOOSE(CONTROL!$C$32, $C$9, 100%, $E$9)</f>
        <v>9.6457999999999995</v>
      </c>
      <c r="I257" s="81">
        <f>9.6494 * CHOOSE(CONTROL!$C$32, $C$9, 100%, $E$9)</f>
        <v>9.6494</v>
      </c>
      <c r="J257" s="81">
        <f>9.6458 * CHOOSE(CONTROL!$C$32, $C$9, 100%, $E$9)</f>
        <v>9.6457999999999995</v>
      </c>
      <c r="K257" s="81">
        <f>9.6494 * CHOOSE(CONTROL!$C$32, $C$9, 100%, $E$9)</f>
        <v>9.6494</v>
      </c>
      <c r="L257" s="81">
        <f>5.9035 * CHOOSE(CONTROL!$C$32, $C$9, 100%, $E$9)</f>
        <v>5.9035000000000002</v>
      </c>
      <c r="M257" s="81">
        <f>5.9071 * CHOOSE(CONTROL!$C$32, $C$9, 100%, $E$9)</f>
        <v>5.9070999999999998</v>
      </c>
      <c r="N257" s="81">
        <f>5.9035 * CHOOSE(CONTROL!$C$32, $C$9, 100%, $E$9)</f>
        <v>5.9035000000000002</v>
      </c>
      <c r="O257" s="81">
        <f>5.9071 * CHOOSE(CONTROL!$C$32, $C$9, 100%, $E$9)</f>
        <v>5.9070999999999998</v>
      </c>
    </row>
    <row r="258" spans="1:15" ht="15" x14ac:dyDescent="0.2">
      <c r="A258" s="16">
        <v>49065</v>
      </c>
      <c r="B258" s="80">
        <f>4.5948 * CHOOSE(CONTROL!$C$32, $C$9, 100%, $E$9)</f>
        <v>4.5948000000000002</v>
      </c>
      <c r="C258" s="80">
        <f>4.5948 * CHOOSE(CONTROL!$C$32, $C$9, 100%, $E$9)</f>
        <v>4.5948000000000002</v>
      </c>
      <c r="D258" s="80">
        <f>4.5964 * CHOOSE(CONTROL!$C$32, $C$9, 100%, $E$9)</f>
        <v>4.5964</v>
      </c>
      <c r="E258" s="81">
        <f>5.9035 * CHOOSE(CONTROL!$C$32, $C$9, 100%, $E$9)</f>
        <v>5.9035000000000002</v>
      </c>
      <c r="F258" s="81">
        <f>5.9035 * CHOOSE(CONTROL!$C$32, $C$9, 100%, $E$9)</f>
        <v>5.9035000000000002</v>
      </c>
      <c r="G258" s="81">
        <f>5.9088 * CHOOSE(CONTROL!$C$32, $C$9, 100%, $E$9)</f>
        <v>5.9088000000000003</v>
      </c>
      <c r="H258" s="81">
        <f>9.6659 * CHOOSE(CONTROL!$C$32, $C$9, 100%, $E$9)</f>
        <v>9.6659000000000006</v>
      </c>
      <c r="I258" s="81">
        <f>9.6712 * CHOOSE(CONTROL!$C$32, $C$9, 100%, $E$9)</f>
        <v>9.6712000000000007</v>
      </c>
      <c r="J258" s="81">
        <f>9.6659 * CHOOSE(CONTROL!$C$32, $C$9, 100%, $E$9)</f>
        <v>9.6659000000000006</v>
      </c>
      <c r="K258" s="81">
        <f>9.6712 * CHOOSE(CONTROL!$C$32, $C$9, 100%, $E$9)</f>
        <v>9.6712000000000007</v>
      </c>
      <c r="L258" s="81">
        <f>5.9035 * CHOOSE(CONTROL!$C$32, $C$9, 100%, $E$9)</f>
        <v>5.9035000000000002</v>
      </c>
      <c r="M258" s="81">
        <f>5.9088 * CHOOSE(CONTROL!$C$32, $C$9, 100%, $E$9)</f>
        <v>5.9088000000000003</v>
      </c>
      <c r="N258" s="81">
        <f>5.9035 * CHOOSE(CONTROL!$C$32, $C$9, 100%, $E$9)</f>
        <v>5.9035000000000002</v>
      </c>
      <c r="O258" s="81">
        <f>5.9088 * CHOOSE(CONTROL!$C$32, $C$9, 100%, $E$9)</f>
        <v>5.9088000000000003</v>
      </c>
    </row>
    <row r="259" spans="1:15" ht="15" x14ac:dyDescent="0.2">
      <c r="A259" s="16">
        <v>49096</v>
      </c>
      <c r="B259" s="80">
        <f>4.6009 * CHOOSE(CONTROL!$C$32, $C$9, 100%, $E$9)</f>
        <v>4.6009000000000002</v>
      </c>
      <c r="C259" s="80">
        <f>4.6009 * CHOOSE(CONTROL!$C$32, $C$9, 100%, $E$9)</f>
        <v>4.6009000000000002</v>
      </c>
      <c r="D259" s="80">
        <f>4.6025 * CHOOSE(CONTROL!$C$32, $C$9, 100%, $E$9)</f>
        <v>4.6025</v>
      </c>
      <c r="E259" s="81">
        <f>5.9075 * CHOOSE(CONTROL!$C$32, $C$9, 100%, $E$9)</f>
        <v>5.9074999999999998</v>
      </c>
      <c r="F259" s="81">
        <f>5.9075 * CHOOSE(CONTROL!$C$32, $C$9, 100%, $E$9)</f>
        <v>5.9074999999999998</v>
      </c>
      <c r="G259" s="81">
        <f>5.9128 * CHOOSE(CONTROL!$C$32, $C$9, 100%, $E$9)</f>
        <v>5.9127999999999998</v>
      </c>
      <c r="H259" s="81">
        <f>9.686 * CHOOSE(CONTROL!$C$32, $C$9, 100%, $E$9)</f>
        <v>9.6859999999999999</v>
      </c>
      <c r="I259" s="81">
        <f>9.6913 * CHOOSE(CONTROL!$C$32, $C$9, 100%, $E$9)</f>
        <v>9.6913</v>
      </c>
      <c r="J259" s="81">
        <f>9.686 * CHOOSE(CONTROL!$C$32, $C$9, 100%, $E$9)</f>
        <v>9.6859999999999999</v>
      </c>
      <c r="K259" s="81">
        <f>9.6913 * CHOOSE(CONTROL!$C$32, $C$9, 100%, $E$9)</f>
        <v>9.6913</v>
      </c>
      <c r="L259" s="81">
        <f>5.9075 * CHOOSE(CONTROL!$C$32, $C$9, 100%, $E$9)</f>
        <v>5.9074999999999998</v>
      </c>
      <c r="M259" s="81">
        <f>5.9128 * CHOOSE(CONTROL!$C$32, $C$9, 100%, $E$9)</f>
        <v>5.9127999999999998</v>
      </c>
      <c r="N259" s="81">
        <f>5.9075 * CHOOSE(CONTROL!$C$32, $C$9, 100%, $E$9)</f>
        <v>5.9074999999999998</v>
      </c>
      <c r="O259" s="81">
        <f>5.9128 * CHOOSE(CONTROL!$C$32, $C$9, 100%, $E$9)</f>
        <v>5.9127999999999998</v>
      </c>
    </row>
    <row r="260" spans="1:15" ht="15" x14ac:dyDescent="0.2">
      <c r="A260" s="16">
        <v>49126</v>
      </c>
      <c r="B260" s="80">
        <f>4.6716 * CHOOSE(CONTROL!$C$32, $C$9, 100%, $E$9)</f>
        <v>4.6715999999999998</v>
      </c>
      <c r="C260" s="80">
        <f>4.6716 * CHOOSE(CONTROL!$C$32, $C$9, 100%, $E$9)</f>
        <v>4.6715999999999998</v>
      </c>
      <c r="D260" s="80">
        <f>4.6731 * CHOOSE(CONTROL!$C$32, $C$9, 100%, $E$9)</f>
        <v>4.6730999999999998</v>
      </c>
      <c r="E260" s="81">
        <f>6.0182 * CHOOSE(CONTROL!$C$32, $C$9, 100%, $E$9)</f>
        <v>6.0182000000000002</v>
      </c>
      <c r="F260" s="81">
        <f>6.0182 * CHOOSE(CONTROL!$C$32, $C$9, 100%, $E$9)</f>
        <v>6.0182000000000002</v>
      </c>
      <c r="G260" s="81">
        <f>6.0235 * CHOOSE(CONTROL!$C$32, $C$9, 100%, $E$9)</f>
        <v>6.0235000000000003</v>
      </c>
      <c r="H260" s="81">
        <f>9.7062 * CHOOSE(CONTROL!$C$32, $C$9, 100%, $E$9)</f>
        <v>9.7062000000000008</v>
      </c>
      <c r="I260" s="81">
        <f>9.7115 * CHOOSE(CONTROL!$C$32, $C$9, 100%, $E$9)</f>
        <v>9.7114999999999991</v>
      </c>
      <c r="J260" s="81">
        <f>9.7062 * CHOOSE(CONTROL!$C$32, $C$9, 100%, $E$9)</f>
        <v>9.7062000000000008</v>
      </c>
      <c r="K260" s="81">
        <f>9.7115 * CHOOSE(CONTROL!$C$32, $C$9, 100%, $E$9)</f>
        <v>9.7114999999999991</v>
      </c>
      <c r="L260" s="81">
        <f>6.0182 * CHOOSE(CONTROL!$C$32, $C$9, 100%, $E$9)</f>
        <v>6.0182000000000002</v>
      </c>
      <c r="M260" s="81">
        <f>6.0235 * CHOOSE(CONTROL!$C$32, $C$9, 100%, $E$9)</f>
        <v>6.0235000000000003</v>
      </c>
      <c r="N260" s="81">
        <f>6.0182 * CHOOSE(CONTROL!$C$32, $C$9, 100%, $E$9)</f>
        <v>6.0182000000000002</v>
      </c>
      <c r="O260" s="81">
        <f>6.0235 * CHOOSE(CONTROL!$C$32, $C$9, 100%, $E$9)</f>
        <v>6.0235000000000003</v>
      </c>
    </row>
    <row r="261" spans="1:15" ht="15" x14ac:dyDescent="0.2">
      <c r="A261" s="16">
        <v>49157</v>
      </c>
      <c r="B261" s="80">
        <f>4.6783 * CHOOSE(CONTROL!$C$32, $C$9, 100%, $E$9)</f>
        <v>4.6783000000000001</v>
      </c>
      <c r="C261" s="80">
        <f>4.6783 * CHOOSE(CONTROL!$C$32, $C$9, 100%, $E$9)</f>
        <v>4.6783000000000001</v>
      </c>
      <c r="D261" s="80">
        <f>4.6798 * CHOOSE(CONTROL!$C$32, $C$9, 100%, $E$9)</f>
        <v>4.6798000000000002</v>
      </c>
      <c r="E261" s="81">
        <f>6.0226 * CHOOSE(CONTROL!$C$32, $C$9, 100%, $E$9)</f>
        <v>6.0225999999999997</v>
      </c>
      <c r="F261" s="81">
        <f>6.0226 * CHOOSE(CONTROL!$C$32, $C$9, 100%, $E$9)</f>
        <v>6.0225999999999997</v>
      </c>
      <c r="G261" s="81">
        <f>6.0279 * CHOOSE(CONTROL!$C$32, $C$9, 100%, $E$9)</f>
        <v>6.0278999999999998</v>
      </c>
      <c r="H261" s="81">
        <f>9.7264 * CHOOSE(CONTROL!$C$32, $C$9, 100%, $E$9)</f>
        <v>9.7263999999999999</v>
      </c>
      <c r="I261" s="81">
        <f>9.7317 * CHOOSE(CONTROL!$C$32, $C$9, 100%, $E$9)</f>
        <v>9.7317</v>
      </c>
      <c r="J261" s="81">
        <f>9.7264 * CHOOSE(CONTROL!$C$32, $C$9, 100%, $E$9)</f>
        <v>9.7263999999999999</v>
      </c>
      <c r="K261" s="81">
        <f>9.7317 * CHOOSE(CONTROL!$C$32, $C$9, 100%, $E$9)</f>
        <v>9.7317</v>
      </c>
      <c r="L261" s="81">
        <f>6.0226 * CHOOSE(CONTROL!$C$32, $C$9, 100%, $E$9)</f>
        <v>6.0225999999999997</v>
      </c>
      <c r="M261" s="81">
        <f>6.0279 * CHOOSE(CONTROL!$C$32, $C$9, 100%, $E$9)</f>
        <v>6.0278999999999998</v>
      </c>
      <c r="N261" s="81">
        <f>6.0226 * CHOOSE(CONTROL!$C$32, $C$9, 100%, $E$9)</f>
        <v>6.0225999999999997</v>
      </c>
      <c r="O261" s="81">
        <f>6.0279 * CHOOSE(CONTROL!$C$32, $C$9, 100%, $E$9)</f>
        <v>6.0278999999999998</v>
      </c>
    </row>
    <row r="262" spans="1:15" ht="15" x14ac:dyDescent="0.2">
      <c r="A262" s="16">
        <v>49188</v>
      </c>
      <c r="B262" s="80">
        <f>4.6752 * CHOOSE(CONTROL!$C$32, $C$9, 100%, $E$9)</f>
        <v>4.6752000000000002</v>
      </c>
      <c r="C262" s="80">
        <f>4.6752 * CHOOSE(CONTROL!$C$32, $C$9, 100%, $E$9)</f>
        <v>4.6752000000000002</v>
      </c>
      <c r="D262" s="80">
        <f>4.6768 * CHOOSE(CONTROL!$C$32, $C$9, 100%, $E$9)</f>
        <v>4.6768000000000001</v>
      </c>
      <c r="E262" s="81">
        <f>6.0206 * CHOOSE(CONTROL!$C$32, $C$9, 100%, $E$9)</f>
        <v>6.0206</v>
      </c>
      <c r="F262" s="81">
        <f>6.0206 * CHOOSE(CONTROL!$C$32, $C$9, 100%, $E$9)</f>
        <v>6.0206</v>
      </c>
      <c r="G262" s="81">
        <f>6.0259 * CHOOSE(CONTROL!$C$32, $C$9, 100%, $E$9)</f>
        <v>6.0259</v>
      </c>
      <c r="H262" s="81">
        <f>9.7467 * CHOOSE(CONTROL!$C$32, $C$9, 100%, $E$9)</f>
        <v>9.7467000000000006</v>
      </c>
      <c r="I262" s="81">
        <f>9.752 * CHOOSE(CONTROL!$C$32, $C$9, 100%, $E$9)</f>
        <v>9.7520000000000007</v>
      </c>
      <c r="J262" s="81">
        <f>9.7467 * CHOOSE(CONTROL!$C$32, $C$9, 100%, $E$9)</f>
        <v>9.7467000000000006</v>
      </c>
      <c r="K262" s="81">
        <f>9.752 * CHOOSE(CONTROL!$C$32, $C$9, 100%, $E$9)</f>
        <v>9.7520000000000007</v>
      </c>
      <c r="L262" s="81">
        <f>6.0206 * CHOOSE(CONTROL!$C$32, $C$9, 100%, $E$9)</f>
        <v>6.0206</v>
      </c>
      <c r="M262" s="81">
        <f>6.0259 * CHOOSE(CONTROL!$C$32, $C$9, 100%, $E$9)</f>
        <v>6.0259</v>
      </c>
      <c r="N262" s="81">
        <f>6.0206 * CHOOSE(CONTROL!$C$32, $C$9, 100%, $E$9)</f>
        <v>6.0206</v>
      </c>
      <c r="O262" s="81">
        <f>6.0259 * CHOOSE(CONTROL!$C$32, $C$9, 100%, $E$9)</f>
        <v>6.0259</v>
      </c>
    </row>
    <row r="263" spans="1:15" ht="15" x14ac:dyDescent="0.2">
      <c r="A263" s="16">
        <v>49218</v>
      </c>
      <c r="B263" s="80">
        <f>4.6728 * CHOOSE(CONTROL!$C$32, $C$9, 100%, $E$9)</f>
        <v>4.6727999999999996</v>
      </c>
      <c r="C263" s="80">
        <f>4.6728 * CHOOSE(CONTROL!$C$32, $C$9, 100%, $E$9)</f>
        <v>4.6727999999999996</v>
      </c>
      <c r="D263" s="80">
        <f>4.6739 * CHOOSE(CONTROL!$C$32, $C$9, 100%, $E$9)</f>
        <v>4.6738999999999997</v>
      </c>
      <c r="E263" s="81">
        <f>6.0166 * CHOOSE(CONTROL!$C$32, $C$9, 100%, $E$9)</f>
        <v>6.0166000000000004</v>
      </c>
      <c r="F263" s="81">
        <f>6.0166 * CHOOSE(CONTROL!$C$32, $C$9, 100%, $E$9)</f>
        <v>6.0166000000000004</v>
      </c>
      <c r="G263" s="81">
        <f>6.0202 * CHOOSE(CONTROL!$C$32, $C$9, 100%, $E$9)</f>
        <v>6.0202</v>
      </c>
      <c r="H263" s="81">
        <f>9.767 * CHOOSE(CONTROL!$C$32, $C$9, 100%, $E$9)</f>
        <v>9.7669999999999995</v>
      </c>
      <c r="I263" s="81">
        <f>9.7706 * CHOOSE(CONTROL!$C$32, $C$9, 100%, $E$9)</f>
        <v>9.7706</v>
      </c>
      <c r="J263" s="81">
        <f>9.767 * CHOOSE(CONTROL!$C$32, $C$9, 100%, $E$9)</f>
        <v>9.7669999999999995</v>
      </c>
      <c r="K263" s="81">
        <f>9.7706 * CHOOSE(CONTROL!$C$32, $C$9, 100%, $E$9)</f>
        <v>9.7706</v>
      </c>
      <c r="L263" s="81">
        <f>6.0166 * CHOOSE(CONTROL!$C$32, $C$9, 100%, $E$9)</f>
        <v>6.0166000000000004</v>
      </c>
      <c r="M263" s="81">
        <f>6.0202 * CHOOSE(CONTROL!$C$32, $C$9, 100%, $E$9)</f>
        <v>6.0202</v>
      </c>
      <c r="N263" s="81">
        <f>6.0166 * CHOOSE(CONTROL!$C$32, $C$9, 100%, $E$9)</f>
        <v>6.0166000000000004</v>
      </c>
      <c r="O263" s="81">
        <f>6.0202 * CHOOSE(CONTROL!$C$32, $C$9, 100%, $E$9)</f>
        <v>6.0202</v>
      </c>
    </row>
    <row r="264" spans="1:15" ht="15" x14ac:dyDescent="0.2">
      <c r="A264" s="16">
        <v>49249</v>
      </c>
      <c r="B264" s="80">
        <f>4.6758 * CHOOSE(CONTROL!$C$32, $C$9, 100%, $E$9)</f>
        <v>4.6757999999999997</v>
      </c>
      <c r="C264" s="80">
        <f>4.6758 * CHOOSE(CONTROL!$C$32, $C$9, 100%, $E$9)</f>
        <v>4.6757999999999997</v>
      </c>
      <c r="D264" s="80">
        <f>4.6769 * CHOOSE(CONTROL!$C$32, $C$9, 100%, $E$9)</f>
        <v>4.6768999999999998</v>
      </c>
      <c r="E264" s="81">
        <f>6.0186 * CHOOSE(CONTROL!$C$32, $C$9, 100%, $E$9)</f>
        <v>6.0186000000000002</v>
      </c>
      <c r="F264" s="81">
        <f>6.0186 * CHOOSE(CONTROL!$C$32, $C$9, 100%, $E$9)</f>
        <v>6.0186000000000002</v>
      </c>
      <c r="G264" s="81">
        <f>6.0222 * CHOOSE(CONTROL!$C$32, $C$9, 100%, $E$9)</f>
        <v>6.0221999999999998</v>
      </c>
      <c r="H264" s="81">
        <f>9.7874 * CHOOSE(CONTROL!$C$32, $C$9, 100%, $E$9)</f>
        <v>9.7873999999999999</v>
      </c>
      <c r="I264" s="81">
        <f>9.791 * CHOOSE(CONTROL!$C$32, $C$9, 100%, $E$9)</f>
        <v>9.7910000000000004</v>
      </c>
      <c r="J264" s="81">
        <f>9.7874 * CHOOSE(CONTROL!$C$32, $C$9, 100%, $E$9)</f>
        <v>9.7873999999999999</v>
      </c>
      <c r="K264" s="81">
        <f>9.791 * CHOOSE(CONTROL!$C$32, $C$9, 100%, $E$9)</f>
        <v>9.7910000000000004</v>
      </c>
      <c r="L264" s="81">
        <f>6.0186 * CHOOSE(CONTROL!$C$32, $C$9, 100%, $E$9)</f>
        <v>6.0186000000000002</v>
      </c>
      <c r="M264" s="81">
        <f>6.0222 * CHOOSE(CONTROL!$C$32, $C$9, 100%, $E$9)</f>
        <v>6.0221999999999998</v>
      </c>
      <c r="N264" s="81">
        <f>6.0186 * CHOOSE(CONTROL!$C$32, $C$9, 100%, $E$9)</f>
        <v>6.0186000000000002</v>
      </c>
      <c r="O264" s="81">
        <f>6.0222 * CHOOSE(CONTROL!$C$32, $C$9, 100%, $E$9)</f>
        <v>6.0221999999999998</v>
      </c>
    </row>
    <row r="265" spans="1:15" ht="15" x14ac:dyDescent="0.2">
      <c r="A265" s="16">
        <v>49279</v>
      </c>
      <c r="B265" s="80">
        <f>4.6758 * CHOOSE(CONTROL!$C$32, $C$9, 100%, $E$9)</f>
        <v>4.6757999999999997</v>
      </c>
      <c r="C265" s="80">
        <f>4.6758 * CHOOSE(CONTROL!$C$32, $C$9, 100%, $E$9)</f>
        <v>4.6757999999999997</v>
      </c>
      <c r="D265" s="80">
        <f>4.6769 * CHOOSE(CONTROL!$C$32, $C$9, 100%, $E$9)</f>
        <v>4.6768999999999998</v>
      </c>
      <c r="E265" s="81">
        <f>6.0186 * CHOOSE(CONTROL!$C$32, $C$9, 100%, $E$9)</f>
        <v>6.0186000000000002</v>
      </c>
      <c r="F265" s="81">
        <f>6.0186 * CHOOSE(CONTROL!$C$32, $C$9, 100%, $E$9)</f>
        <v>6.0186000000000002</v>
      </c>
      <c r="G265" s="81">
        <f>6.0222 * CHOOSE(CONTROL!$C$32, $C$9, 100%, $E$9)</f>
        <v>6.0221999999999998</v>
      </c>
      <c r="H265" s="81">
        <f>9.8078 * CHOOSE(CONTROL!$C$32, $C$9, 100%, $E$9)</f>
        <v>9.8078000000000003</v>
      </c>
      <c r="I265" s="81">
        <f>9.8114 * CHOOSE(CONTROL!$C$32, $C$9, 100%, $E$9)</f>
        <v>9.8114000000000008</v>
      </c>
      <c r="J265" s="81">
        <f>9.8078 * CHOOSE(CONTROL!$C$32, $C$9, 100%, $E$9)</f>
        <v>9.8078000000000003</v>
      </c>
      <c r="K265" s="81">
        <f>9.8114 * CHOOSE(CONTROL!$C$32, $C$9, 100%, $E$9)</f>
        <v>9.8114000000000008</v>
      </c>
      <c r="L265" s="81">
        <f>6.0186 * CHOOSE(CONTROL!$C$32, $C$9, 100%, $E$9)</f>
        <v>6.0186000000000002</v>
      </c>
      <c r="M265" s="81">
        <f>6.0222 * CHOOSE(CONTROL!$C$32, $C$9, 100%, $E$9)</f>
        <v>6.0221999999999998</v>
      </c>
      <c r="N265" s="81">
        <f>6.0186 * CHOOSE(CONTROL!$C$32, $C$9, 100%, $E$9)</f>
        <v>6.0186000000000002</v>
      </c>
      <c r="O265" s="81">
        <f>6.0222 * CHOOSE(CONTROL!$C$32, $C$9, 100%, $E$9)</f>
        <v>6.0221999999999998</v>
      </c>
    </row>
    <row r="266" spans="1:15" ht="15" x14ac:dyDescent="0.2">
      <c r="A266" s="16">
        <v>49310</v>
      </c>
      <c r="B266" s="80">
        <f>4.713 * CHOOSE(CONTROL!$C$32, $C$9, 100%, $E$9)</f>
        <v>4.7130000000000001</v>
      </c>
      <c r="C266" s="80">
        <f>4.713 * CHOOSE(CONTROL!$C$32, $C$9, 100%, $E$9)</f>
        <v>4.7130000000000001</v>
      </c>
      <c r="D266" s="80">
        <f>4.7141 * CHOOSE(CONTROL!$C$32, $C$9, 100%, $E$9)</f>
        <v>4.7141000000000002</v>
      </c>
      <c r="E266" s="81">
        <f>6.0663 * CHOOSE(CONTROL!$C$32, $C$9, 100%, $E$9)</f>
        <v>6.0663</v>
      </c>
      <c r="F266" s="81">
        <f>6.0663 * CHOOSE(CONTROL!$C$32, $C$9, 100%, $E$9)</f>
        <v>6.0663</v>
      </c>
      <c r="G266" s="81">
        <f>6.0699 * CHOOSE(CONTROL!$C$32, $C$9, 100%, $E$9)</f>
        <v>6.0698999999999996</v>
      </c>
      <c r="H266" s="81">
        <f>9.8282 * CHOOSE(CONTROL!$C$32, $C$9, 100%, $E$9)</f>
        <v>9.8282000000000007</v>
      </c>
      <c r="I266" s="81">
        <f>9.8318 * CHOOSE(CONTROL!$C$32, $C$9, 100%, $E$9)</f>
        <v>9.8317999999999994</v>
      </c>
      <c r="J266" s="81">
        <f>9.8282 * CHOOSE(CONTROL!$C$32, $C$9, 100%, $E$9)</f>
        <v>9.8282000000000007</v>
      </c>
      <c r="K266" s="81">
        <f>9.8318 * CHOOSE(CONTROL!$C$32, $C$9, 100%, $E$9)</f>
        <v>9.8317999999999994</v>
      </c>
      <c r="L266" s="81">
        <f>6.0663 * CHOOSE(CONTROL!$C$32, $C$9, 100%, $E$9)</f>
        <v>6.0663</v>
      </c>
      <c r="M266" s="81">
        <f>6.0699 * CHOOSE(CONTROL!$C$32, $C$9, 100%, $E$9)</f>
        <v>6.0698999999999996</v>
      </c>
      <c r="N266" s="81">
        <f>6.0663 * CHOOSE(CONTROL!$C$32, $C$9, 100%, $E$9)</f>
        <v>6.0663</v>
      </c>
      <c r="O266" s="81">
        <f>6.0699 * CHOOSE(CONTROL!$C$32, $C$9, 100%, $E$9)</f>
        <v>6.0698999999999996</v>
      </c>
    </row>
    <row r="267" spans="1:15" ht="15" x14ac:dyDescent="0.2">
      <c r="A267" s="16">
        <v>49341</v>
      </c>
      <c r="B267" s="80">
        <f>4.71 * CHOOSE(CONTROL!$C$32, $C$9, 100%, $E$9)</f>
        <v>4.71</v>
      </c>
      <c r="C267" s="80">
        <f>4.71 * CHOOSE(CONTROL!$C$32, $C$9, 100%, $E$9)</f>
        <v>4.71</v>
      </c>
      <c r="D267" s="80">
        <f>4.711 * CHOOSE(CONTROL!$C$32, $C$9, 100%, $E$9)</f>
        <v>4.7110000000000003</v>
      </c>
      <c r="E267" s="81">
        <f>6.3757 * CHOOSE(CONTROL!$C$32, $C$9, 100%, $E$9)</f>
        <v>6.3757000000000001</v>
      </c>
      <c r="F267" s="81">
        <f>6.3757 * CHOOSE(CONTROL!$C$32, $C$9, 100%, $E$9)</f>
        <v>6.3757000000000001</v>
      </c>
      <c r="G267" s="81">
        <f>6.3793 * CHOOSE(CONTROL!$C$32, $C$9, 100%, $E$9)</f>
        <v>6.3792999999999997</v>
      </c>
      <c r="H267" s="81">
        <f>9.8487 * CHOOSE(CONTROL!$C$32, $C$9, 100%, $E$9)</f>
        <v>9.8486999999999991</v>
      </c>
      <c r="I267" s="81">
        <f>9.8523 * CHOOSE(CONTROL!$C$32, $C$9, 100%, $E$9)</f>
        <v>9.8522999999999996</v>
      </c>
      <c r="J267" s="81">
        <f>9.8487 * CHOOSE(CONTROL!$C$32, $C$9, 100%, $E$9)</f>
        <v>9.8486999999999991</v>
      </c>
      <c r="K267" s="81">
        <f>9.8523 * CHOOSE(CONTROL!$C$32, $C$9, 100%, $E$9)</f>
        <v>9.8522999999999996</v>
      </c>
      <c r="L267" s="81">
        <f>6.3757 * CHOOSE(CONTROL!$C$32, $C$9, 100%, $E$9)</f>
        <v>6.3757000000000001</v>
      </c>
      <c r="M267" s="81">
        <f>6.3793 * CHOOSE(CONTROL!$C$32, $C$9, 100%, $E$9)</f>
        <v>6.3792999999999997</v>
      </c>
      <c r="N267" s="81">
        <f>6.3757 * CHOOSE(CONTROL!$C$32, $C$9, 100%, $E$9)</f>
        <v>6.3757000000000001</v>
      </c>
      <c r="O267" s="81">
        <f>6.3793 * CHOOSE(CONTROL!$C$32, $C$9, 100%, $E$9)</f>
        <v>6.3792999999999997</v>
      </c>
    </row>
    <row r="268" spans="1:15" ht="15" x14ac:dyDescent="0.2">
      <c r="A268" s="16">
        <v>49369</v>
      </c>
      <c r="B268" s="80">
        <f>4.7069 * CHOOSE(CONTROL!$C$32, $C$9, 100%, $E$9)</f>
        <v>4.7069000000000001</v>
      </c>
      <c r="C268" s="80">
        <f>4.7069 * CHOOSE(CONTROL!$C$32, $C$9, 100%, $E$9)</f>
        <v>4.7069000000000001</v>
      </c>
      <c r="D268" s="80">
        <f>4.708 * CHOOSE(CONTROL!$C$32, $C$9, 100%, $E$9)</f>
        <v>4.7080000000000002</v>
      </c>
      <c r="E268" s="81">
        <f>6.0623 * CHOOSE(CONTROL!$C$32, $C$9, 100%, $E$9)</f>
        <v>6.0622999999999996</v>
      </c>
      <c r="F268" s="81">
        <f>6.0623 * CHOOSE(CONTROL!$C$32, $C$9, 100%, $E$9)</f>
        <v>6.0622999999999996</v>
      </c>
      <c r="G268" s="81">
        <f>6.0659 * CHOOSE(CONTROL!$C$32, $C$9, 100%, $E$9)</f>
        <v>6.0659000000000001</v>
      </c>
      <c r="H268" s="81">
        <f>9.8692 * CHOOSE(CONTROL!$C$32, $C$9, 100%, $E$9)</f>
        <v>9.8691999999999993</v>
      </c>
      <c r="I268" s="81">
        <f>9.8728 * CHOOSE(CONTROL!$C$32, $C$9, 100%, $E$9)</f>
        <v>9.8727999999999998</v>
      </c>
      <c r="J268" s="81">
        <f>9.8692 * CHOOSE(CONTROL!$C$32, $C$9, 100%, $E$9)</f>
        <v>9.8691999999999993</v>
      </c>
      <c r="K268" s="81">
        <f>9.8728 * CHOOSE(CONTROL!$C$32, $C$9, 100%, $E$9)</f>
        <v>9.8727999999999998</v>
      </c>
      <c r="L268" s="81">
        <f>6.0623 * CHOOSE(CONTROL!$C$32, $C$9, 100%, $E$9)</f>
        <v>6.0622999999999996</v>
      </c>
      <c r="M268" s="81">
        <f>6.0659 * CHOOSE(CONTROL!$C$32, $C$9, 100%, $E$9)</f>
        <v>6.0659000000000001</v>
      </c>
      <c r="N268" s="81">
        <f>6.0623 * CHOOSE(CONTROL!$C$32, $C$9, 100%, $E$9)</f>
        <v>6.0622999999999996</v>
      </c>
      <c r="O268" s="81">
        <f>6.0659 * CHOOSE(CONTROL!$C$32, $C$9, 100%, $E$9)</f>
        <v>6.0659000000000001</v>
      </c>
    </row>
    <row r="269" spans="1:15" ht="15" x14ac:dyDescent="0.2">
      <c r="A269" s="16">
        <v>49400</v>
      </c>
      <c r="B269" s="80">
        <f>4.7052 * CHOOSE(CONTROL!$C$32, $C$9, 100%, $E$9)</f>
        <v>4.7051999999999996</v>
      </c>
      <c r="C269" s="80">
        <f>4.7052 * CHOOSE(CONTROL!$C$32, $C$9, 100%, $E$9)</f>
        <v>4.7051999999999996</v>
      </c>
      <c r="D269" s="80">
        <f>4.7063 * CHOOSE(CONTROL!$C$32, $C$9, 100%, $E$9)</f>
        <v>4.7062999999999997</v>
      </c>
      <c r="E269" s="81">
        <f>6.0605 * CHOOSE(CONTROL!$C$32, $C$9, 100%, $E$9)</f>
        <v>6.0605000000000002</v>
      </c>
      <c r="F269" s="81">
        <f>6.0605 * CHOOSE(CONTROL!$C$32, $C$9, 100%, $E$9)</f>
        <v>6.0605000000000002</v>
      </c>
      <c r="G269" s="81">
        <f>6.0642 * CHOOSE(CONTROL!$C$32, $C$9, 100%, $E$9)</f>
        <v>6.0641999999999996</v>
      </c>
      <c r="H269" s="81">
        <f>9.8897 * CHOOSE(CONTROL!$C$32, $C$9, 100%, $E$9)</f>
        <v>9.8896999999999995</v>
      </c>
      <c r="I269" s="81">
        <f>9.8934 * CHOOSE(CONTROL!$C$32, $C$9, 100%, $E$9)</f>
        <v>9.8933999999999997</v>
      </c>
      <c r="J269" s="81">
        <f>9.8897 * CHOOSE(CONTROL!$C$32, $C$9, 100%, $E$9)</f>
        <v>9.8896999999999995</v>
      </c>
      <c r="K269" s="81">
        <f>9.8934 * CHOOSE(CONTROL!$C$32, $C$9, 100%, $E$9)</f>
        <v>9.8933999999999997</v>
      </c>
      <c r="L269" s="81">
        <f>6.0605 * CHOOSE(CONTROL!$C$32, $C$9, 100%, $E$9)</f>
        <v>6.0605000000000002</v>
      </c>
      <c r="M269" s="81">
        <f>6.0642 * CHOOSE(CONTROL!$C$32, $C$9, 100%, $E$9)</f>
        <v>6.0641999999999996</v>
      </c>
      <c r="N269" s="81">
        <f>6.0605 * CHOOSE(CONTROL!$C$32, $C$9, 100%, $E$9)</f>
        <v>6.0605000000000002</v>
      </c>
      <c r="O269" s="81">
        <f>6.0642 * CHOOSE(CONTROL!$C$32, $C$9, 100%, $E$9)</f>
        <v>6.0641999999999996</v>
      </c>
    </row>
    <row r="270" spans="1:15" ht="15" x14ac:dyDescent="0.2">
      <c r="A270" s="16">
        <v>49430</v>
      </c>
      <c r="B270" s="80">
        <f>4.7052 * CHOOSE(CONTROL!$C$32, $C$9, 100%, $E$9)</f>
        <v>4.7051999999999996</v>
      </c>
      <c r="C270" s="80">
        <f>4.7052 * CHOOSE(CONTROL!$C$32, $C$9, 100%, $E$9)</f>
        <v>4.7051999999999996</v>
      </c>
      <c r="D270" s="80">
        <f>4.7068 * CHOOSE(CONTROL!$C$32, $C$9, 100%, $E$9)</f>
        <v>4.7068000000000003</v>
      </c>
      <c r="E270" s="81">
        <f>6.0605 * CHOOSE(CONTROL!$C$32, $C$9, 100%, $E$9)</f>
        <v>6.0605000000000002</v>
      </c>
      <c r="F270" s="81">
        <f>6.0605 * CHOOSE(CONTROL!$C$32, $C$9, 100%, $E$9)</f>
        <v>6.0605000000000002</v>
      </c>
      <c r="G270" s="81">
        <f>6.0658 * CHOOSE(CONTROL!$C$32, $C$9, 100%, $E$9)</f>
        <v>6.0658000000000003</v>
      </c>
      <c r="H270" s="81">
        <f>9.9103 * CHOOSE(CONTROL!$C$32, $C$9, 100%, $E$9)</f>
        <v>9.9102999999999994</v>
      </c>
      <c r="I270" s="81">
        <f>9.9156 * CHOOSE(CONTROL!$C$32, $C$9, 100%, $E$9)</f>
        <v>9.9155999999999995</v>
      </c>
      <c r="J270" s="81">
        <f>9.9103 * CHOOSE(CONTROL!$C$32, $C$9, 100%, $E$9)</f>
        <v>9.9102999999999994</v>
      </c>
      <c r="K270" s="81">
        <f>9.9156 * CHOOSE(CONTROL!$C$32, $C$9, 100%, $E$9)</f>
        <v>9.9155999999999995</v>
      </c>
      <c r="L270" s="81">
        <f>6.0605 * CHOOSE(CONTROL!$C$32, $C$9, 100%, $E$9)</f>
        <v>6.0605000000000002</v>
      </c>
      <c r="M270" s="81">
        <f>6.0658 * CHOOSE(CONTROL!$C$32, $C$9, 100%, $E$9)</f>
        <v>6.0658000000000003</v>
      </c>
      <c r="N270" s="81">
        <f>6.0605 * CHOOSE(CONTROL!$C$32, $C$9, 100%, $E$9)</f>
        <v>6.0605000000000002</v>
      </c>
      <c r="O270" s="81">
        <f>6.0658 * CHOOSE(CONTROL!$C$32, $C$9, 100%, $E$9)</f>
        <v>6.0658000000000003</v>
      </c>
    </row>
    <row r="271" spans="1:15" ht="15" x14ac:dyDescent="0.2">
      <c r="A271" s="16">
        <v>49461</v>
      </c>
      <c r="B271" s="80">
        <f>4.7113 * CHOOSE(CONTROL!$C$32, $C$9, 100%, $E$9)</f>
        <v>4.7112999999999996</v>
      </c>
      <c r="C271" s="80">
        <f>4.7113 * CHOOSE(CONTROL!$C$32, $C$9, 100%, $E$9)</f>
        <v>4.7112999999999996</v>
      </c>
      <c r="D271" s="80">
        <f>4.7129 * CHOOSE(CONTROL!$C$32, $C$9, 100%, $E$9)</f>
        <v>4.7129000000000003</v>
      </c>
      <c r="E271" s="81">
        <f>6.0645 * CHOOSE(CONTROL!$C$32, $C$9, 100%, $E$9)</f>
        <v>6.0644999999999998</v>
      </c>
      <c r="F271" s="81">
        <f>6.0645 * CHOOSE(CONTROL!$C$32, $C$9, 100%, $E$9)</f>
        <v>6.0644999999999998</v>
      </c>
      <c r="G271" s="81">
        <f>6.0698 * CHOOSE(CONTROL!$C$32, $C$9, 100%, $E$9)</f>
        <v>6.0697999999999999</v>
      </c>
      <c r="H271" s="81">
        <f>9.931 * CHOOSE(CONTROL!$C$32, $C$9, 100%, $E$9)</f>
        <v>9.9309999999999992</v>
      </c>
      <c r="I271" s="81">
        <f>9.9363 * CHOOSE(CONTROL!$C$32, $C$9, 100%, $E$9)</f>
        <v>9.9362999999999992</v>
      </c>
      <c r="J271" s="81">
        <f>9.931 * CHOOSE(CONTROL!$C$32, $C$9, 100%, $E$9)</f>
        <v>9.9309999999999992</v>
      </c>
      <c r="K271" s="81">
        <f>9.9363 * CHOOSE(CONTROL!$C$32, $C$9, 100%, $E$9)</f>
        <v>9.9362999999999992</v>
      </c>
      <c r="L271" s="81">
        <f>6.0645 * CHOOSE(CONTROL!$C$32, $C$9, 100%, $E$9)</f>
        <v>6.0644999999999998</v>
      </c>
      <c r="M271" s="81">
        <f>6.0698 * CHOOSE(CONTROL!$C$32, $C$9, 100%, $E$9)</f>
        <v>6.0697999999999999</v>
      </c>
      <c r="N271" s="81">
        <f>6.0645 * CHOOSE(CONTROL!$C$32, $C$9, 100%, $E$9)</f>
        <v>6.0644999999999998</v>
      </c>
      <c r="O271" s="81">
        <f>6.0698 * CHOOSE(CONTROL!$C$32, $C$9, 100%, $E$9)</f>
        <v>6.0697999999999999</v>
      </c>
    </row>
    <row r="272" spans="1:15" ht="15" x14ac:dyDescent="0.2">
      <c r="A272" s="16">
        <v>49491</v>
      </c>
      <c r="B272" s="80">
        <f>4.7784 * CHOOSE(CONTROL!$C$32, $C$9, 100%, $E$9)</f>
        <v>4.7784000000000004</v>
      </c>
      <c r="C272" s="80">
        <f>4.7784 * CHOOSE(CONTROL!$C$32, $C$9, 100%, $E$9)</f>
        <v>4.7784000000000004</v>
      </c>
      <c r="D272" s="80">
        <f>4.7799 * CHOOSE(CONTROL!$C$32, $C$9, 100%, $E$9)</f>
        <v>4.7798999999999996</v>
      </c>
      <c r="E272" s="81">
        <f>6.1692 * CHOOSE(CONTROL!$C$32, $C$9, 100%, $E$9)</f>
        <v>6.1692</v>
      </c>
      <c r="F272" s="81">
        <f>6.1692 * CHOOSE(CONTROL!$C$32, $C$9, 100%, $E$9)</f>
        <v>6.1692</v>
      </c>
      <c r="G272" s="81">
        <f>6.1745 * CHOOSE(CONTROL!$C$32, $C$9, 100%, $E$9)</f>
        <v>6.1745000000000001</v>
      </c>
      <c r="H272" s="81">
        <f>9.9517 * CHOOSE(CONTROL!$C$32, $C$9, 100%, $E$9)</f>
        <v>9.9517000000000007</v>
      </c>
      <c r="I272" s="81">
        <f>9.957 * CHOOSE(CONTROL!$C$32, $C$9, 100%, $E$9)</f>
        <v>9.9570000000000007</v>
      </c>
      <c r="J272" s="81">
        <f>9.9517 * CHOOSE(CONTROL!$C$32, $C$9, 100%, $E$9)</f>
        <v>9.9517000000000007</v>
      </c>
      <c r="K272" s="81">
        <f>9.957 * CHOOSE(CONTROL!$C$32, $C$9, 100%, $E$9)</f>
        <v>9.9570000000000007</v>
      </c>
      <c r="L272" s="81">
        <f>6.1692 * CHOOSE(CONTROL!$C$32, $C$9, 100%, $E$9)</f>
        <v>6.1692</v>
      </c>
      <c r="M272" s="81">
        <f>6.1745 * CHOOSE(CONTROL!$C$32, $C$9, 100%, $E$9)</f>
        <v>6.1745000000000001</v>
      </c>
      <c r="N272" s="81">
        <f>6.1692 * CHOOSE(CONTROL!$C$32, $C$9, 100%, $E$9)</f>
        <v>6.1692</v>
      </c>
      <c r="O272" s="81">
        <f>6.1745 * CHOOSE(CONTROL!$C$32, $C$9, 100%, $E$9)</f>
        <v>6.1745000000000001</v>
      </c>
    </row>
    <row r="273" spans="1:15" ht="15" x14ac:dyDescent="0.2">
      <c r="A273" s="16">
        <v>49522</v>
      </c>
      <c r="B273" s="80">
        <f>4.785 * CHOOSE(CONTROL!$C$32, $C$9, 100%, $E$9)</f>
        <v>4.7850000000000001</v>
      </c>
      <c r="C273" s="80">
        <f>4.785 * CHOOSE(CONTROL!$C$32, $C$9, 100%, $E$9)</f>
        <v>4.7850000000000001</v>
      </c>
      <c r="D273" s="80">
        <f>4.7866 * CHOOSE(CONTROL!$C$32, $C$9, 100%, $E$9)</f>
        <v>4.7866</v>
      </c>
      <c r="E273" s="81">
        <f>6.523 * CHOOSE(CONTROL!$C$32, $C$9, 100%, $E$9)</f>
        <v>6.5229999999999997</v>
      </c>
      <c r="F273" s="81">
        <f>6.523 * CHOOSE(CONTROL!$C$32, $C$9, 100%, $E$9)</f>
        <v>6.5229999999999997</v>
      </c>
      <c r="G273" s="81">
        <f>6.5283 * CHOOSE(CONTROL!$C$32, $C$9, 100%, $E$9)</f>
        <v>6.5282999999999998</v>
      </c>
      <c r="H273" s="81">
        <f>9.9724 * CHOOSE(CONTROL!$C$32, $C$9, 100%, $E$9)</f>
        <v>9.9724000000000004</v>
      </c>
      <c r="I273" s="81">
        <f>9.9777 * CHOOSE(CONTROL!$C$32, $C$9, 100%, $E$9)</f>
        <v>9.9777000000000005</v>
      </c>
      <c r="J273" s="81">
        <f>9.9724 * CHOOSE(CONTROL!$C$32, $C$9, 100%, $E$9)</f>
        <v>9.9724000000000004</v>
      </c>
      <c r="K273" s="81">
        <f>9.9777 * CHOOSE(CONTROL!$C$32, $C$9, 100%, $E$9)</f>
        <v>9.9777000000000005</v>
      </c>
      <c r="L273" s="81">
        <f>6.523 * CHOOSE(CONTROL!$C$32, $C$9, 100%, $E$9)</f>
        <v>6.5229999999999997</v>
      </c>
      <c r="M273" s="81">
        <f>6.5283 * CHOOSE(CONTROL!$C$32, $C$9, 100%, $E$9)</f>
        <v>6.5282999999999998</v>
      </c>
      <c r="N273" s="81">
        <f>6.523 * CHOOSE(CONTROL!$C$32, $C$9, 100%, $E$9)</f>
        <v>6.5229999999999997</v>
      </c>
      <c r="O273" s="81">
        <f>6.5283 * CHOOSE(CONTROL!$C$32, $C$9, 100%, $E$9)</f>
        <v>6.5282999999999998</v>
      </c>
    </row>
    <row r="274" spans="1:15" ht="15" x14ac:dyDescent="0.2">
      <c r="A274" s="16">
        <v>49553</v>
      </c>
      <c r="B274" s="80">
        <f>4.782 * CHOOSE(CONTROL!$C$32, $C$9, 100%, $E$9)</f>
        <v>4.782</v>
      </c>
      <c r="C274" s="80">
        <f>4.782 * CHOOSE(CONTROL!$C$32, $C$9, 100%, $E$9)</f>
        <v>4.782</v>
      </c>
      <c r="D274" s="80">
        <f>4.7836 * CHOOSE(CONTROL!$C$32, $C$9, 100%, $E$9)</f>
        <v>4.7835999999999999</v>
      </c>
      <c r="E274" s="81">
        <f>6.5105 * CHOOSE(CONTROL!$C$32, $C$9, 100%, $E$9)</f>
        <v>6.5105000000000004</v>
      </c>
      <c r="F274" s="81">
        <f>6.5105 * CHOOSE(CONTROL!$C$32, $C$9, 100%, $E$9)</f>
        <v>6.5105000000000004</v>
      </c>
      <c r="G274" s="81">
        <f>6.5158 * CHOOSE(CONTROL!$C$32, $C$9, 100%, $E$9)</f>
        <v>6.5157999999999996</v>
      </c>
      <c r="H274" s="81">
        <f>9.9932 * CHOOSE(CONTROL!$C$32, $C$9, 100%, $E$9)</f>
        <v>9.9931999999999999</v>
      </c>
      <c r="I274" s="81">
        <f>9.9985 * CHOOSE(CONTROL!$C$32, $C$9, 100%, $E$9)</f>
        <v>9.9984999999999999</v>
      </c>
      <c r="J274" s="81">
        <f>9.9932 * CHOOSE(CONTROL!$C$32, $C$9, 100%, $E$9)</f>
        <v>9.9931999999999999</v>
      </c>
      <c r="K274" s="81">
        <f>9.9985 * CHOOSE(CONTROL!$C$32, $C$9, 100%, $E$9)</f>
        <v>9.9984999999999999</v>
      </c>
      <c r="L274" s="81">
        <f>6.5105 * CHOOSE(CONTROL!$C$32, $C$9, 100%, $E$9)</f>
        <v>6.5105000000000004</v>
      </c>
      <c r="M274" s="81">
        <f>6.5158 * CHOOSE(CONTROL!$C$32, $C$9, 100%, $E$9)</f>
        <v>6.5157999999999996</v>
      </c>
      <c r="N274" s="81">
        <f>6.5105 * CHOOSE(CONTROL!$C$32, $C$9, 100%, $E$9)</f>
        <v>6.5105000000000004</v>
      </c>
      <c r="O274" s="81">
        <f>6.5158 * CHOOSE(CONTROL!$C$32, $C$9, 100%, $E$9)</f>
        <v>6.5157999999999996</v>
      </c>
    </row>
    <row r="275" spans="1:15" ht="15" x14ac:dyDescent="0.2">
      <c r="A275" s="16">
        <v>49583</v>
      </c>
      <c r="B275" s="80">
        <f>4.78 * CHOOSE(CONTROL!$C$32, $C$9, 100%, $E$9)</f>
        <v>4.78</v>
      </c>
      <c r="C275" s="80">
        <f>4.78 * CHOOSE(CONTROL!$C$32, $C$9, 100%, $E$9)</f>
        <v>4.78</v>
      </c>
      <c r="D275" s="80">
        <f>4.781 * CHOOSE(CONTROL!$C$32, $C$9, 100%, $E$9)</f>
        <v>4.7809999999999997</v>
      </c>
      <c r="E275" s="81">
        <f>6.1678 * CHOOSE(CONTROL!$C$32, $C$9, 100%, $E$9)</f>
        <v>6.1677999999999997</v>
      </c>
      <c r="F275" s="81">
        <f>6.1678 * CHOOSE(CONTROL!$C$32, $C$9, 100%, $E$9)</f>
        <v>6.1677999999999997</v>
      </c>
      <c r="G275" s="81">
        <f>6.1714 * CHOOSE(CONTROL!$C$32, $C$9, 100%, $E$9)</f>
        <v>6.1714000000000002</v>
      </c>
      <c r="H275" s="81">
        <f>10.014 * CHOOSE(CONTROL!$C$32, $C$9, 100%, $E$9)</f>
        <v>10.013999999999999</v>
      </c>
      <c r="I275" s="81">
        <f>10.0176 * CHOOSE(CONTROL!$C$32, $C$9, 100%, $E$9)</f>
        <v>10.0176</v>
      </c>
      <c r="J275" s="81">
        <f>10.014 * CHOOSE(CONTROL!$C$32, $C$9, 100%, $E$9)</f>
        <v>10.013999999999999</v>
      </c>
      <c r="K275" s="81">
        <f>10.0176 * CHOOSE(CONTROL!$C$32, $C$9, 100%, $E$9)</f>
        <v>10.0176</v>
      </c>
      <c r="L275" s="81">
        <f>6.1678 * CHOOSE(CONTROL!$C$32, $C$9, 100%, $E$9)</f>
        <v>6.1677999999999997</v>
      </c>
      <c r="M275" s="81">
        <f>6.1714 * CHOOSE(CONTROL!$C$32, $C$9, 100%, $E$9)</f>
        <v>6.1714000000000002</v>
      </c>
      <c r="N275" s="81">
        <f>6.1678 * CHOOSE(CONTROL!$C$32, $C$9, 100%, $E$9)</f>
        <v>6.1677999999999997</v>
      </c>
      <c r="O275" s="81">
        <f>6.1714 * CHOOSE(CONTROL!$C$32, $C$9, 100%, $E$9)</f>
        <v>6.1714000000000002</v>
      </c>
    </row>
    <row r="276" spans="1:15" ht="15" x14ac:dyDescent="0.2">
      <c r="A276" s="16">
        <v>49614</v>
      </c>
      <c r="B276" s="80">
        <f>4.783 * CHOOSE(CONTROL!$C$32, $C$9, 100%, $E$9)</f>
        <v>4.7830000000000004</v>
      </c>
      <c r="C276" s="80">
        <f>4.783 * CHOOSE(CONTROL!$C$32, $C$9, 100%, $E$9)</f>
        <v>4.7830000000000004</v>
      </c>
      <c r="D276" s="80">
        <f>4.7841 * CHOOSE(CONTROL!$C$32, $C$9, 100%, $E$9)</f>
        <v>4.7840999999999996</v>
      </c>
      <c r="E276" s="81">
        <f>6.1698 * CHOOSE(CONTROL!$C$32, $C$9, 100%, $E$9)</f>
        <v>6.1698000000000004</v>
      </c>
      <c r="F276" s="81">
        <f>6.1698 * CHOOSE(CONTROL!$C$32, $C$9, 100%, $E$9)</f>
        <v>6.1698000000000004</v>
      </c>
      <c r="G276" s="81">
        <f>6.1734 * CHOOSE(CONTROL!$C$32, $C$9, 100%, $E$9)</f>
        <v>6.1734</v>
      </c>
      <c r="H276" s="81">
        <f>10.0349 * CHOOSE(CONTROL!$C$32, $C$9, 100%, $E$9)</f>
        <v>10.0349</v>
      </c>
      <c r="I276" s="81">
        <f>10.0385 * CHOOSE(CONTROL!$C$32, $C$9, 100%, $E$9)</f>
        <v>10.038500000000001</v>
      </c>
      <c r="J276" s="81">
        <f>10.0349 * CHOOSE(CONTROL!$C$32, $C$9, 100%, $E$9)</f>
        <v>10.0349</v>
      </c>
      <c r="K276" s="81">
        <f>10.0385 * CHOOSE(CONTROL!$C$32, $C$9, 100%, $E$9)</f>
        <v>10.038500000000001</v>
      </c>
      <c r="L276" s="81">
        <f>6.1698 * CHOOSE(CONTROL!$C$32, $C$9, 100%, $E$9)</f>
        <v>6.1698000000000004</v>
      </c>
      <c r="M276" s="81">
        <f>6.1734 * CHOOSE(CONTROL!$C$32, $C$9, 100%, $E$9)</f>
        <v>6.1734</v>
      </c>
      <c r="N276" s="81">
        <f>6.1698 * CHOOSE(CONTROL!$C$32, $C$9, 100%, $E$9)</f>
        <v>6.1698000000000004</v>
      </c>
      <c r="O276" s="81">
        <f>6.1734 * CHOOSE(CONTROL!$C$32, $C$9, 100%, $E$9)</f>
        <v>6.1734</v>
      </c>
    </row>
    <row r="277" spans="1:15" ht="15" x14ac:dyDescent="0.2">
      <c r="A277" s="16">
        <v>49644</v>
      </c>
      <c r="B277" s="80">
        <f>4.783 * CHOOSE(CONTROL!$C$32, $C$9, 100%, $E$9)</f>
        <v>4.7830000000000004</v>
      </c>
      <c r="C277" s="80">
        <f>4.783 * CHOOSE(CONTROL!$C$32, $C$9, 100%, $E$9)</f>
        <v>4.7830000000000004</v>
      </c>
      <c r="D277" s="80">
        <f>4.7841 * CHOOSE(CONTROL!$C$32, $C$9, 100%, $E$9)</f>
        <v>4.7840999999999996</v>
      </c>
      <c r="E277" s="81">
        <f>6.5096 * CHOOSE(CONTROL!$C$32, $C$9, 100%, $E$9)</f>
        <v>6.5095999999999998</v>
      </c>
      <c r="F277" s="81">
        <f>6.5096 * CHOOSE(CONTROL!$C$32, $C$9, 100%, $E$9)</f>
        <v>6.5095999999999998</v>
      </c>
      <c r="G277" s="81">
        <f>6.5132 * CHOOSE(CONTROL!$C$32, $C$9, 100%, $E$9)</f>
        <v>6.5132000000000003</v>
      </c>
      <c r="H277" s="81">
        <f>10.0558 * CHOOSE(CONTROL!$C$32, $C$9, 100%, $E$9)</f>
        <v>10.0558</v>
      </c>
      <c r="I277" s="81">
        <f>10.0594 * CHOOSE(CONTROL!$C$32, $C$9, 100%, $E$9)</f>
        <v>10.0594</v>
      </c>
      <c r="J277" s="81">
        <f>10.0558 * CHOOSE(CONTROL!$C$32, $C$9, 100%, $E$9)</f>
        <v>10.0558</v>
      </c>
      <c r="K277" s="81">
        <f>10.0594 * CHOOSE(CONTROL!$C$32, $C$9, 100%, $E$9)</f>
        <v>10.0594</v>
      </c>
      <c r="L277" s="81">
        <f>6.5096 * CHOOSE(CONTROL!$C$32, $C$9, 100%, $E$9)</f>
        <v>6.5095999999999998</v>
      </c>
      <c r="M277" s="81">
        <f>6.5132 * CHOOSE(CONTROL!$C$32, $C$9, 100%, $E$9)</f>
        <v>6.5132000000000003</v>
      </c>
      <c r="N277" s="81">
        <f>6.5096 * CHOOSE(CONTROL!$C$32, $C$9, 100%, $E$9)</f>
        <v>6.5095999999999998</v>
      </c>
      <c r="O277" s="81">
        <f>6.5132 * CHOOSE(CONTROL!$C$32, $C$9, 100%, $E$9)</f>
        <v>6.5132000000000003</v>
      </c>
    </row>
    <row r="278" spans="1:15" ht="15" x14ac:dyDescent="0.2">
      <c r="A278" s="16">
        <v>49675</v>
      </c>
      <c r="B278" s="80">
        <f>4.8216 * CHOOSE(CONTROL!$C$32, $C$9, 100%, $E$9)</f>
        <v>4.8216000000000001</v>
      </c>
      <c r="C278" s="80">
        <f>4.8216 * CHOOSE(CONTROL!$C$32, $C$9, 100%, $E$9)</f>
        <v>4.8216000000000001</v>
      </c>
      <c r="D278" s="80">
        <f>4.8227 * CHOOSE(CONTROL!$C$32, $C$9, 100%, $E$9)</f>
        <v>4.8227000000000002</v>
      </c>
      <c r="E278" s="81">
        <f>6.5301 * CHOOSE(CONTROL!$C$32, $C$9, 100%, $E$9)</f>
        <v>6.5301</v>
      </c>
      <c r="F278" s="81">
        <f>6.5301 * CHOOSE(CONTROL!$C$32, $C$9, 100%, $E$9)</f>
        <v>6.5301</v>
      </c>
      <c r="G278" s="81">
        <f>6.5337 * CHOOSE(CONTROL!$C$32, $C$9, 100%, $E$9)</f>
        <v>6.5336999999999996</v>
      </c>
      <c r="H278" s="81">
        <f>10.0767 * CHOOSE(CONTROL!$C$32, $C$9, 100%, $E$9)</f>
        <v>10.076700000000001</v>
      </c>
      <c r="I278" s="81">
        <f>10.0803 * CHOOSE(CONTROL!$C$32, $C$9, 100%, $E$9)</f>
        <v>10.080299999999999</v>
      </c>
      <c r="J278" s="81">
        <f>10.0767 * CHOOSE(CONTROL!$C$32, $C$9, 100%, $E$9)</f>
        <v>10.076700000000001</v>
      </c>
      <c r="K278" s="81">
        <f>10.0803 * CHOOSE(CONTROL!$C$32, $C$9, 100%, $E$9)</f>
        <v>10.080299999999999</v>
      </c>
      <c r="L278" s="81">
        <f>6.5301 * CHOOSE(CONTROL!$C$32, $C$9, 100%, $E$9)</f>
        <v>6.5301</v>
      </c>
      <c r="M278" s="81">
        <f>6.5337 * CHOOSE(CONTROL!$C$32, $C$9, 100%, $E$9)</f>
        <v>6.5336999999999996</v>
      </c>
      <c r="N278" s="81">
        <f>6.5301 * CHOOSE(CONTROL!$C$32, $C$9, 100%, $E$9)</f>
        <v>6.5301</v>
      </c>
      <c r="O278" s="81">
        <f>6.5337 * CHOOSE(CONTROL!$C$32, $C$9, 100%, $E$9)</f>
        <v>6.5336999999999996</v>
      </c>
    </row>
    <row r="279" spans="1:15" ht="15" x14ac:dyDescent="0.2">
      <c r="A279" s="16">
        <v>49706</v>
      </c>
      <c r="B279" s="80">
        <f>4.8186 * CHOOSE(CONTROL!$C$32, $C$9, 100%, $E$9)</f>
        <v>4.8186</v>
      </c>
      <c r="C279" s="80">
        <f>4.8186 * CHOOSE(CONTROL!$C$32, $C$9, 100%, $E$9)</f>
        <v>4.8186</v>
      </c>
      <c r="D279" s="80">
        <f>4.8196 * CHOOSE(CONTROL!$C$32, $C$9, 100%, $E$9)</f>
        <v>4.8196000000000003</v>
      </c>
      <c r="E279" s="81">
        <f>6.4268 * CHOOSE(CONTROL!$C$32, $C$9, 100%, $E$9)</f>
        <v>6.4268000000000001</v>
      </c>
      <c r="F279" s="81">
        <f>6.4268 * CHOOSE(CONTROL!$C$32, $C$9, 100%, $E$9)</f>
        <v>6.4268000000000001</v>
      </c>
      <c r="G279" s="81">
        <f>6.4304 * CHOOSE(CONTROL!$C$32, $C$9, 100%, $E$9)</f>
        <v>6.4303999999999997</v>
      </c>
      <c r="H279" s="81">
        <f>10.0977 * CHOOSE(CONTROL!$C$32, $C$9, 100%, $E$9)</f>
        <v>10.0977</v>
      </c>
      <c r="I279" s="81">
        <f>10.1013 * CHOOSE(CONTROL!$C$32, $C$9, 100%, $E$9)</f>
        <v>10.1013</v>
      </c>
      <c r="J279" s="81">
        <f>10.0977 * CHOOSE(CONTROL!$C$32, $C$9, 100%, $E$9)</f>
        <v>10.0977</v>
      </c>
      <c r="K279" s="81">
        <f>10.1013 * CHOOSE(CONTROL!$C$32, $C$9, 100%, $E$9)</f>
        <v>10.1013</v>
      </c>
      <c r="L279" s="81">
        <f>6.4268 * CHOOSE(CONTROL!$C$32, $C$9, 100%, $E$9)</f>
        <v>6.4268000000000001</v>
      </c>
      <c r="M279" s="81">
        <f>6.4304 * CHOOSE(CONTROL!$C$32, $C$9, 100%, $E$9)</f>
        <v>6.4303999999999997</v>
      </c>
      <c r="N279" s="81">
        <f>6.4268 * CHOOSE(CONTROL!$C$32, $C$9, 100%, $E$9)</f>
        <v>6.4268000000000001</v>
      </c>
      <c r="O279" s="81">
        <f>6.4304 * CHOOSE(CONTROL!$C$32, $C$9, 100%, $E$9)</f>
        <v>6.4303999999999997</v>
      </c>
    </row>
    <row r="280" spans="1:15" ht="15" x14ac:dyDescent="0.2">
      <c r="A280" s="16">
        <v>49735</v>
      </c>
      <c r="B280" s="80">
        <f>4.8155 * CHOOSE(CONTROL!$C$32, $C$9, 100%, $E$9)</f>
        <v>4.8155000000000001</v>
      </c>
      <c r="C280" s="80">
        <f>4.8155 * CHOOSE(CONTROL!$C$32, $C$9, 100%, $E$9)</f>
        <v>4.8155000000000001</v>
      </c>
      <c r="D280" s="80">
        <f>4.8166 * CHOOSE(CONTROL!$C$32, $C$9, 100%, $E$9)</f>
        <v>4.8166000000000002</v>
      </c>
      <c r="E280" s="81">
        <f>6.5044 * CHOOSE(CONTROL!$C$32, $C$9, 100%, $E$9)</f>
        <v>6.5044000000000004</v>
      </c>
      <c r="F280" s="81">
        <f>6.5044 * CHOOSE(CONTROL!$C$32, $C$9, 100%, $E$9)</f>
        <v>6.5044000000000004</v>
      </c>
      <c r="G280" s="81">
        <f>6.508 * CHOOSE(CONTROL!$C$32, $C$9, 100%, $E$9)</f>
        <v>6.508</v>
      </c>
      <c r="H280" s="81">
        <f>10.1188 * CHOOSE(CONTROL!$C$32, $C$9, 100%, $E$9)</f>
        <v>10.1188</v>
      </c>
      <c r="I280" s="81">
        <f>10.1224 * CHOOSE(CONTROL!$C$32, $C$9, 100%, $E$9)</f>
        <v>10.122400000000001</v>
      </c>
      <c r="J280" s="81">
        <f>10.1188 * CHOOSE(CONTROL!$C$32, $C$9, 100%, $E$9)</f>
        <v>10.1188</v>
      </c>
      <c r="K280" s="81">
        <f>10.1224 * CHOOSE(CONTROL!$C$32, $C$9, 100%, $E$9)</f>
        <v>10.122400000000001</v>
      </c>
      <c r="L280" s="81">
        <f>6.5044 * CHOOSE(CONTROL!$C$32, $C$9, 100%, $E$9)</f>
        <v>6.5044000000000004</v>
      </c>
      <c r="M280" s="81">
        <f>6.508 * CHOOSE(CONTROL!$C$32, $C$9, 100%, $E$9)</f>
        <v>6.508</v>
      </c>
      <c r="N280" s="81">
        <f>6.5044 * CHOOSE(CONTROL!$C$32, $C$9, 100%, $E$9)</f>
        <v>6.5044000000000004</v>
      </c>
      <c r="O280" s="81">
        <f>6.508 * CHOOSE(CONTROL!$C$32, $C$9, 100%, $E$9)</f>
        <v>6.508</v>
      </c>
    </row>
    <row r="281" spans="1:15" ht="15" x14ac:dyDescent="0.2">
      <c r="A281" s="16">
        <v>49766</v>
      </c>
      <c r="B281" s="80">
        <f>4.814 * CHOOSE(CONTROL!$C$32, $C$9, 100%, $E$9)</f>
        <v>4.8140000000000001</v>
      </c>
      <c r="C281" s="80">
        <f>4.814 * CHOOSE(CONTROL!$C$32, $C$9, 100%, $E$9)</f>
        <v>4.8140000000000001</v>
      </c>
      <c r="D281" s="80">
        <f>4.815 * CHOOSE(CONTROL!$C$32, $C$9, 100%, $E$9)</f>
        <v>4.8150000000000004</v>
      </c>
      <c r="E281" s="81">
        <f>6.5859 * CHOOSE(CONTROL!$C$32, $C$9, 100%, $E$9)</f>
        <v>6.5858999999999996</v>
      </c>
      <c r="F281" s="81">
        <f>6.5859 * CHOOSE(CONTROL!$C$32, $C$9, 100%, $E$9)</f>
        <v>6.5858999999999996</v>
      </c>
      <c r="G281" s="81">
        <f>6.5895 * CHOOSE(CONTROL!$C$32, $C$9, 100%, $E$9)</f>
        <v>6.5895000000000001</v>
      </c>
      <c r="H281" s="81">
        <f>10.1398 * CHOOSE(CONTROL!$C$32, $C$9, 100%, $E$9)</f>
        <v>10.139799999999999</v>
      </c>
      <c r="I281" s="81">
        <f>10.1435 * CHOOSE(CONTROL!$C$32, $C$9, 100%, $E$9)</f>
        <v>10.1435</v>
      </c>
      <c r="J281" s="81">
        <f>10.1398 * CHOOSE(CONTROL!$C$32, $C$9, 100%, $E$9)</f>
        <v>10.139799999999999</v>
      </c>
      <c r="K281" s="81">
        <f>10.1435 * CHOOSE(CONTROL!$C$32, $C$9, 100%, $E$9)</f>
        <v>10.1435</v>
      </c>
      <c r="L281" s="81">
        <f>6.5859 * CHOOSE(CONTROL!$C$32, $C$9, 100%, $E$9)</f>
        <v>6.5858999999999996</v>
      </c>
      <c r="M281" s="81">
        <f>6.5895 * CHOOSE(CONTROL!$C$32, $C$9, 100%, $E$9)</f>
        <v>6.5895000000000001</v>
      </c>
      <c r="N281" s="81">
        <f>6.5859 * CHOOSE(CONTROL!$C$32, $C$9, 100%, $E$9)</f>
        <v>6.5858999999999996</v>
      </c>
      <c r="O281" s="81">
        <f>6.5895 * CHOOSE(CONTROL!$C$32, $C$9, 100%, $E$9)</f>
        <v>6.5895000000000001</v>
      </c>
    </row>
    <row r="282" spans="1:15" ht="15" x14ac:dyDescent="0.2">
      <c r="A282" s="16">
        <v>49796</v>
      </c>
      <c r="B282" s="80">
        <f>4.814 * CHOOSE(CONTROL!$C$32, $C$9, 100%, $E$9)</f>
        <v>4.8140000000000001</v>
      </c>
      <c r="C282" s="80">
        <f>4.814 * CHOOSE(CONTROL!$C$32, $C$9, 100%, $E$9)</f>
        <v>4.8140000000000001</v>
      </c>
      <c r="D282" s="80">
        <f>4.8155 * CHOOSE(CONTROL!$C$32, $C$9, 100%, $E$9)</f>
        <v>4.8155000000000001</v>
      </c>
      <c r="E282" s="81">
        <f>6.2171 * CHOOSE(CONTROL!$C$32, $C$9, 100%, $E$9)</f>
        <v>6.2171000000000003</v>
      </c>
      <c r="F282" s="81">
        <f>6.2171 * CHOOSE(CONTROL!$C$32, $C$9, 100%, $E$9)</f>
        <v>6.2171000000000003</v>
      </c>
      <c r="G282" s="81">
        <f>6.2224 * CHOOSE(CONTROL!$C$32, $C$9, 100%, $E$9)</f>
        <v>6.2224000000000004</v>
      </c>
      <c r="H282" s="81">
        <f>10.161 * CHOOSE(CONTROL!$C$32, $C$9, 100%, $E$9)</f>
        <v>10.161</v>
      </c>
      <c r="I282" s="81">
        <f>10.1663 * CHOOSE(CONTROL!$C$32, $C$9, 100%, $E$9)</f>
        <v>10.1663</v>
      </c>
      <c r="J282" s="81">
        <f>10.161 * CHOOSE(CONTROL!$C$32, $C$9, 100%, $E$9)</f>
        <v>10.161</v>
      </c>
      <c r="K282" s="81">
        <f>10.1663 * CHOOSE(CONTROL!$C$32, $C$9, 100%, $E$9)</f>
        <v>10.1663</v>
      </c>
      <c r="L282" s="81">
        <f>6.2171 * CHOOSE(CONTROL!$C$32, $C$9, 100%, $E$9)</f>
        <v>6.2171000000000003</v>
      </c>
      <c r="M282" s="81">
        <f>6.2224 * CHOOSE(CONTROL!$C$32, $C$9, 100%, $E$9)</f>
        <v>6.2224000000000004</v>
      </c>
      <c r="N282" s="81">
        <f>6.2171 * CHOOSE(CONTROL!$C$32, $C$9, 100%, $E$9)</f>
        <v>6.2171000000000003</v>
      </c>
      <c r="O282" s="81">
        <f>6.2224 * CHOOSE(CONTROL!$C$32, $C$9, 100%, $E$9)</f>
        <v>6.2224000000000004</v>
      </c>
    </row>
    <row r="283" spans="1:15" ht="15" x14ac:dyDescent="0.2">
      <c r="A283" s="16">
        <v>49827</v>
      </c>
      <c r="B283" s="80">
        <f>4.82 * CHOOSE(CONTROL!$C$32, $C$9, 100%, $E$9)</f>
        <v>4.82</v>
      </c>
      <c r="C283" s="80">
        <f>4.82 * CHOOSE(CONTROL!$C$32, $C$9, 100%, $E$9)</f>
        <v>4.82</v>
      </c>
      <c r="D283" s="80">
        <f>4.8216 * CHOOSE(CONTROL!$C$32, $C$9, 100%, $E$9)</f>
        <v>4.8216000000000001</v>
      </c>
      <c r="E283" s="81">
        <f>6.5901 * CHOOSE(CONTROL!$C$32, $C$9, 100%, $E$9)</f>
        <v>6.5900999999999996</v>
      </c>
      <c r="F283" s="81">
        <f>6.5901 * CHOOSE(CONTROL!$C$32, $C$9, 100%, $E$9)</f>
        <v>6.5900999999999996</v>
      </c>
      <c r="G283" s="81">
        <f>6.5954 * CHOOSE(CONTROL!$C$32, $C$9, 100%, $E$9)</f>
        <v>6.5953999999999997</v>
      </c>
      <c r="H283" s="81">
        <f>10.1821 * CHOOSE(CONTROL!$C$32, $C$9, 100%, $E$9)</f>
        <v>10.1821</v>
      </c>
      <c r="I283" s="81">
        <f>10.1874 * CHOOSE(CONTROL!$C$32, $C$9, 100%, $E$9)</f>
        <v>10.1874</v>
      </c>
      <c r="J283" s="81">
        <f>10.1821 * CHOOSE(CONTROL!$C$32, $C$9, 100%, $E$9)</f>
        <v>10.1821</v>
      </c>
      <c r="K283" s="81">
        <f>10.1874 * CHOOSE(CONTROL!$C$32, $C$9, 100%, $E$9)</f>
        <v>10.1874</v>
      </c>
      <c r="L283" s="81">
        <f>6.5901 * CHOOSE(CONTROL!$C$32, $C$9, 100%, $E$9)</f>
        <v>6.5900999999999996</v>
      </c>
      <c r="M283" s="81">
        <f>6.5954 * CHOOSE(CONTROL!$C$32, $C$9, 100%, $E$9)</f>
        <v>6.5953999999999997</v>
      </c>
      <c r="N283" s="81">
        <f>6.5901 * CHOOSE(CONTROL!$C$32, $C$9, 100%, $E$9)</f>
        <v>6.5900999999999996</v>
      </c>
      <c r="O283" s="81">
        <f>6.5954 * CHOOSE(CONTROL!$C$32, $C$9, 100%, $E$9)</f>
        <v>6.5953999999999997</v>
      </c>
    </row>
    <row r="284" spans="1:15" ht="15" x14ac:dyDescent="0.2">
      <c r="A284" s="16">
        <v>49857</v>
      </c>
      <c r="B284" s="80">
        <f>4.8896 * CHOOSE(CONTROL!$C$32, $C$9, 100%, $E$9)</f>
        <v>4.8895999999999997</v>
      </c>
      <c r="C284" s="80">
        <f>4.8896 * CHOOSE(CONTROL!$C$32, $C$9, 100%, $E$9)</f>
        <v>4.8895999999999997</v>
      </c>
      <c r="D284" s="80">
        <f>4.8911 * CHOOSE(CONTROL!$C$32, $C$9, 100%, $E$9)</f>
        <v>4.8910999999999998</v>
      </c>
      <c r="E284" s="81">
        <f>6.5201 * CHOOSE(CONTROL!$C$32, $C$9, 100%, $E$9)</f>
        <v>6.5201000000000002</v>
      </c>
      <c r="F284" s="81">
        <f>6.5201 * CHOOSE(CONTROL!$C$32, $C$9, 100%, $E$9)</f>
        <v>6.5201000000000002</v>
      </c>
      <c r="G284" s="81">
        <f>6.5254 * CHOOSE(CONTROL!$C$32, $C$9, 100%, $E$9)</f>
        <v>6.5254000000000003</v>
      </c>
      <c r="H284" s="81">
        <f>10.2033 * CHOOSE(CONTROL!$C$32, $C$9, 100%, $E$9)</f>
        <v>10.2033</v>
      </c>
      <c r="I284" s="81">
        <f>10.2086 * CHOOSE(CONTROL!$C$32, $C$9, 100%, $E$9)</f>
        <v>10.208600000000001</v>
      </c>
      <c r="J284" s="81">
        <f>10.2033 * CHOOSE(CONTROL!$C$32, $C$9, 100%, $E$9)</f>
        <v>10.2033</v>
      </c>
      <c r="K284" s="81">
        <f>10.2086 * CHOOSE(CONTROL!$C$32, $C$9, 100%, $E$9)</f>
        <v>10.208600000000001</v>
      </c>
      <c r="L284" s="81">
        <f>6.5201 * CHOOSE(CONTROL!$C$32, $C$9, 100%, $E$9)</f>
        <v>6.5201000000000002</v>
      </c>
      <c r="M284" s="81">
        <f>6.5254 * CHOOSE(CONTROL!$C$32, $C$9, 100%, $E$9)</f>
        <v>6.5254000000000003</v>
      </c>
      <c r="N284" s="81">
        <f>6.5201 * CHOOSE(CONTROL!$C$32, $C$9, 100%, $E$9)</f>
        <v>6.5201000000000002</v>
      </c>
      <c r="O284" s="81">
        <f>6.5254 * CHOOSE(CONTROL!$C$32, $C$9, 100%, $E$9)</f>
        <v>6.5254000000000003</v>
      </c>
    </row>
    <row r="285" spans="1:15" ht="15" x14ac:dyDescent="0.2">
      <c r="A285" s="16">
        <v>49888</v>
      </c>
      <c r="B285" s="80">
        <f>4.8962 * CHOOSE(CONTROL!$C$32, $C$9, 100%, $E$9)</f>
        <v>4.8962000000000003</v>
      </c>
      <c r="C285" s="80">
        <f>4.8962 * CHOOSE(CONTROL!$C$32, $C$9, 100%, $E$9)</f>
        <v>4.8962000000000003</v>
      </c>
      <c r="D285" s="80">
        <f>4.8978 * CHOOSE(CONTROL!$C$32, $C$9, 100%, $E$9)</f>
        <v>4.8978000000000002</v>
      </c>
      <c r="E285" s="81">
        <f>6.4284 * CHOOSE(CONTROL!$C$32, $C$9, 100%, $E$9)</f>
        <v>6.4283999999999999</v>
      </c>
      <c r="F285" s="81">
        <f>6.4284 * CHOOSE(CONTROL!$C$32, $C$9, 100%, $E$9)</f>
        <v>6.4283999999999999</v>
      </c>
      <c r="G285" s="81">
        <f>6.4336 * CHOOSE(CONTROL!$C$32, $C$9, 100%, $E$9)</f>
        <v>6.4336000000000002</v>
      </c>
      <c r="H285" s="81">
        <f>10.2246 * CHOOSE(CONTROL!$C$32, $C$9, 100%, $E$9)</f>
        <v>10.224600000000001</v>
      </c>
      <c r="I285" s="81">
        <f>10.2299 * CHOOSE(CONTROL!$C$32, $C$9, 100%, $E$9)</f>
        <v>10.229900000000001</v>
      </c>
      <c r="J285" s="81">
        <f>10.2246 * CHOOSE(CONTROL!$C$32, $C$9, 100%, $E$9)</f>
        <v>10.224600000000001</v>
      </c>
      <c r="K285" s="81">
        <f>10.2299 * CHOOSE(CONTROL!$C$32, $C$9, 100%, $E$9)</f>
        <v>10.229900000000001</v>
      </c>
      <c r="L285" s="81">
        <f>6.4284 * CHOOSE(CONTROL!$C$32, $C$9, 100%, $E$9)</f>
        <v>6.4283999999999999</v>
      </c>
      <c r="M285" s="81">
        <f>6.4336 * CHOOSE(CONTROL!$C$32, $C$9, 100%, $E$9)</f>
        <v>6.4336000000000002</v>
      </c>
      <c r="N285" s="81">
        <f>6.4284 * CHOOSE(CONTROL!$C$32, $C$9, 100%, $E$9)</f>
        <v>6.4283999999999999</v>
      </c>
      <c r="O285" s="81">
        <f>6.4336 * CHOOSE(CONTROL!$C$32, $C$9, 100%, $E$9)</f>
        <v>6.4336000000000002</v>
      </c>
    </row>
    <row r="286" spans="1:15" ht="15" x14ac:dyDescent="0.2">
      <c r="A286" s="16">
        <v>49919</v>
      </c>
      <c r="B286" s="80">
        <f>4.8932 * CHOOSE(CONTROL!$C$32, $C$9, 100%, $E$9)</f>
        <v>4.8932000000000002</v>
      </c>
      <c r="C286" s="80">
        <f>4.8932 * CHOOSE(CONTROL!$C$32, $C$9, 100%, $E$9)</f>
        <v>4.8932000000000002</v>
      </c>
      <c r="D286" s="80">
        <f>4.8948 * CHOOSE(CONTROL!$C$32, $C$9, 100%, $E$9)</f>
        <v>4.8948</v>
      </c>
      <c r="E286" s="81">
        <f>6.4155 * CHOOSE(CONTROL!$C$32, $C$9, 100%, $E$9)</f>
        <v>6.4154999999999998</v>
      </c>
      <c r="F286" s="81">
        <f>6.4155 * CHOOSE(CONTROL!$C$32, $C$9, 100%, $E$9)</f>
        <v>6.4154999999999998</v>
      </c>
      <c r="G286" s="81">
        <f>6.4208 * CHOOSE(CONTROL!$C$32, $C$9, 100%, $E$9)</f>
        <v>6.4207999999999998</v>
      </c>
      <c r="H286" s="81">
        <f>10.2459 * CHOOSE(CONTROL!$C$32, $C$9, 100%, $E$9)</f>
        <v>10.245900000000001</v>
      </c>
      <c r="I286" s="81">
        <f>10.2512 * CHOOSE(CONTROL!$C$32, $C$9, 100%, $E$9)</f>
        <v>10.251200000000001</v>
      </c>
      <c r="J286" s="81">
        <f>10.2459 * CHOOSE(CONTROL!$C$32, $C$9, 100%, $E$9)</f>
        <v>10.245900000000001</v>
      </c>
      <c r="K286" s="81">
        <f>10.2512 * CHOOSE(CONTROL!$C$32, $C$9, 100%, $E$9)</f>
        <v>10.251200000000001</v>
      </c>
      <c r="L286" s="81">
        <f>6.4155 * CHOOSE(CONTROL!$C$32, $C$9, 100%, $E$9)</f>
        <v>6.4154999999999998</v>
      </c>
      <c r="M286" s="81">
        <f>6.4208 * CHOOSE(CONTROL!$C$32, $C$9, 100%, $E$9)</f>
        <v>6.4207999999999998</v>
      </c>
      <c r="N286" s="81">
        <f>6.4155 * CHOOSE(CONTROL!$C$32, $C$9, 100%, $E$9)</f>
        <v>6.4154999999999998</v>
      </c>
      <c r="O286" s="81">
        <f>6.4208 * CHOOSE(CONTROL!$C$32, $C$9, 100%, $E$9)</f>
        <v>6.4207999999999998</v>
      </c>
    </row>
    <row r="287" spans="1:15" ht="15" x14ac:dyDescent="0.2">
      <c r="A287" s="16">
        <v>49949</v>
      </c>
      <c r="B287" s="80">
        <f>4.8916 * CHOOSE(CONTROL!$C$32, $C$9, 100%, $E$9)</f>
        <v>4.8916000000000004</v>
      </c>
      <c r="C287" s="80">
        <f>4.8916 * CHOOSE(CONTROL!$C$32, $C$9, 100%, $E$9)</f>
        <v>4.8916000000000004</v>
      </c>
      <c r="D287" s="80">
        <f>4.8927 * CHOOSE(CONTROL!$C$32, $C$9, 100%, $E$9)</f>
        <v>4.8926999999999996</v>
      </c>
      <c r="E287" s="81">
        <f>6.4449 * CHOOSE(CONTROL!$C$32, $C$9, 100%, $E$9)</f>
        <v>6.4448999999999996</v>
      </c>
      <c r="F287" s="81">
        <f>6.4449 * CHOOSE(CONTROL!$C$32, $C$9, 100%, $E$9)</f>
        <v>6.4448999999999996</v>
      </c>
      <c r="G287" s="81">
        <f>6.4486 * CHOOSE(CONTROL!$C$32, $C$9, 100%, $E$9)</f>
        <v>6.4485999999999999</v>
      </c>
      <c r="H287" s="81">
        <f>10.2672 * CHOOSE(CONTROL!$C$32, $C$9, 100%, $E$9)</f>
        <v>10.267200000000001</v>
      </c>
      <c r="I287" s="81">
        <f>10.2709 * CHOOSE(CONTROL!$C$32, $C$9, 100%, $E$9)</f>
        <v>10.270899999999999</v>
      </c>
      <c r="J287" s="81">
        <f>10.2672 * CHOOSE(CONTROL!$C$32, $C$9, 100%, $E$9)</f>
        <v>10.267200000000001</v>
      </c>
      <c r="K287" s="81">
        <f>10.2709 * CHOOSE(CONTROL!$C$32, $C$9, 100%, $E$9)</f>
        <v>10.270899999999999</v>
      </c>
      <c r="L287" s="81">
        <f>6.4449 * CHOOSE(CONTROL!$C$32, $C$9, 100%, $E$9)</f>
        <v>6.4448999999999996</v>
      </c>
      <c r="M287" s="81">
        <f>6.4486 * CHOOSE(CONTROL!$C$32, $C$9, 100%, $E$9)</f>
        <v>6.4485999999999999</v>
      </c>
      <c r="N287" s="81">
        <f>6.4449 * CHOOSE(CONTROL!$C$32, $C$9, 100%, $E$9)</f>
        <v>6.4448999999999996</v>
      </c>
      <c r="O287" s="81">
        <f>6.4486 * CHOOSE(CONTROL!$C$32, $C$9, 100%, $E$9)</f>
        <v>6.4485999999999999</v>
      </c>
    </row>
    <row r="288" spans="1:15" ht="15" x14ac:dyDescent="0.2">
      <c r="A288" s="16">
        <v>49980</v>
      </c>
      <c r="B288" s="80">
        <f>4.8946 * CHOOSE(CONTROL!$C$32, $C$9, 100%, $E$9)</f>
        <v>4.8945999999999996</v>
      </c>
      <c r="C288" s="80">
        <f>4.8946 * CHOOSE(CONTROL!$C$32, $C$9, 100%, $E$9)</f>
        <v>4.8945999999999996</v>
      </c>
      <c r="D288" s="80">
        <f>4.8957 * CHOOSE(CONTROL!$C$32, $C$9, 100%, $E$9)</f>
        <v>4.8956999999999997</v>
      </c>
      <c r="E288" s="81">
        <f>6.4685 * CHOOSE(CONTROL!$C$32, $C$9, 100%, $E$9)</f>
        <v>6.4684999999999997</v>
      </c>
      <c r="F288" s="81">
        <f>6.4685 * CHOOSE(CONTROL!$C$32, $C$9, 100%, $E$9)</f>
        <v>6.4684999999999997</v>
      </c>
      <c r="G288" s="81">
        <f>6.4721 * CHOOSE(CONTROL!$C$32, $C$9, 100%, $E$9)</f>
        <v>6.4721000000000002</v>
      </c>
      <c r="H288" s="81">
        <f>10.2886 * CHOOSE(CONTROL!$C$32, $C$9, 100%, $E$9)</f>
        <v>10.288600000000001</v>
      </c>
      <c r="I288" s="81">
        <f>10.2923 * CHOOSE(CONTROL!$C$32, $C$9, 100%, $E$9)</f>
        <v>10.292299999999999</v>
      </c>
      <c r="J288" s="81">
        <f>10.2886 * CHOOSE(CONTROL!$C$32, $C$9, 100%, $E$9)</f>
        <v>10.288600000000001</v>
      </c>
      <c r="K288" s="81">
        <f>10.2923 * CHOOSE(CONTROL!$C$32, $C$9, 100%, $E$9)</f>
        <v>10.292299999999999</v>
      </c>
      <c r="L288" s="81">
        <f>6.4685 * CHOOSE(CONTROL!$C$32, $C$9, 100%, $E$9)</f>
        <v>6.4684999999999997</v>
      </c>
      <c r="M288" s="81">
        <f>6.4721 * CHOOSE(CONTROL!$C$32, $C$9, 100%, $E$9)</f>
        <v>6.4721000000000002</v>
      </c>
      <c r="N288" s="81">
        <f>6.4685 * CHOOSE(CONTROL!$C$32, $C$9, 100%, $E$9)</f>
        <v>6.4684999999999997</v>
      </c>
      <c r="O288" s="81">
        <f>6.4721 * CHOOSE(CONTROL!$C$32, $C$9, 100%, $E$9)</f>
        <v>6.4721000000000002</v>
      </c>
    </row>
    <row r="289" spans="1:15" ht="15" x14ac:dyDescent="0.2">
      <c r="A289" s="16">
        <v>50010</v>
      </c>
      <c r="B289" s="80">
        <f>4.8946 * CHOOSE(CONTROL!$C$32, $C$9, 100%, $E$9)</f>
        <v>4.8945999999999996</v>
      </c>
      <c r="C289" s="80">
        <f>4.8946 * CHOOSE(CONTROL!$C$32, $C$9, 100%, $E$9)</f>
        <v>4.8945999999999996</v>
      </c>
      <c r="D289" s="80">
        <f>4.8957 * CHOOSE(CONTROL!$C$32, $C$9, 100%, $E$9)</f>
        <v>4.8956999999999997</v>
      </c>
      <c r="E289" s="81">
        <f>6.4149 * CHOOSE(CONTROL!$C$32, $C$9, 100%, $E$9)</f>
        <v>6.4149000000000003</v>
      </c>
      <c r="F289" s="81">
        <f>6.4149 * CHOOSE(CONTROL!$C$32, $C$9, 100%, $E$9)</f>
        <v>6.4149000000000003</v>
      </c>
      <c r="G289" s="81">
        <f>6.4185 * CHOOSE(CONTROL!$C$32, $C$9, 100%, $E$9)</f>
        <v>6.4184999999999999</v>
      </c>
      <c r="H289" s="81">
        <f>10.3101 * CHOOSE(CONTROL!$C$32, $C$9, 100%, $E$9)</f>
        <v>10.3101</v>
      </c>
      <c r="I289" s="81">
        <f>10.3137 * CHOOSE(CONTROL!$C$32, $C$9, 100%, $E$9)</f>
        <v>10.313700000000001</v>
      </c>
      <c r="J289" s="81">
        <f>10.3101 * CHOOSE(CONTROL!$C$32, $C$9, 100%, $E$9)</f>
        <v>10.3101</v>
      </c>
      <c r="K289" s="81">
        <f>10.3137 * CHOOSE(CONTROL!$C$32, $C$9, 100%, $E$9)</f>
        <v>10.313700000000001</v>
      </c>
      <c r="L289" s="81">
        <f>6.4149 * CHOOSE(CONTROL!$C$32, $C$9, 100%, $E$9)</f>
        <v>6.4149000000000003</v>
      </c>
      <c r="M289" s="81">
        <f>6.4185 * CHOOSE(CONTROL!$C$32, $C$9, 100%, $E$9)</f>
        <v>6.4184999999999999</v>
      </c>
      <c r="N289" s="81">
        <f>6.4149 * CHOOSE(CONTROL!$C$32, $C$9, 100%, $E$9)</f>
        <v>6.4149000000000003</v>
      </c>
      <c r="O289" s="81">
        <f>6.4185 * CHOOSE(CONTROL!$C$32, $C$9, 100%, $E$9)</f>
        <v>6.4184999999999999</v>
      </c>
    </row>
    <row r="290" spans="1:15" ht="15" x14ac:dyDescent="0.2">
      <c r="A290" s="16">
        <v>50041</v>
      </c>
      <c r="B290" s="80">
        <f>4.9322 * CHOOSE(CONTROL!$C$32, $C$9, 100%, $E$9)</f>
        <v>4.9321999999999999</v>
      </c>
      <c r="C290" s="80">
        <f>4.9322 * CHOOSE(CONTROL!$C$32, $C$9, 100%, $E$9)</f>
        <v>4.9321999999999999</v>
      </c>
      <c r="D290" s="80">
        <f>4.9333 * CHOOSE(CONTROL!$C$32, $C$9, 100%, $E$9)</f>
        <v>4.9333</v>
      </c>
      <c r="E290" s="81">
        <f>6.4909 * CHOOSE(CONTROL!$C$32, $C$9, 100%, $E$9)</f>
        <v>6.4908999999999999</v>
      </c>
      <c r="F290" s="81">
        <f>6.4909 * CHOOSE(CONTROL!$C$32, $C$9, 100%, $E$9)</f>
        <v>6.4908999999999999</v>
      </c>
      <c r="G290" s="81">
        <f>6.4945 * CHOOSE(CONTROL!$C$32, $C$9, 100%, $E$9)</f>
        <v>6.4945000000000004</v>
      </c>
      <c r="H290" s="81">
        <f>10.3316 * CHOOSE(CONTROL!$C$32, $C$9, 100%, $E$9)</f>
        <v>10.3316</v>
      </c>
      <c r="I290" s="81">
        <f>10.3352 * CHOOSE(CONTROL!$C$32, $C$9, 100%, $E$9)</f>
        <v>10.3352</v>
      </c>
      <c r="J290" s="81">
        <f>10.3316 * CHOOSE(CONTROL!$C$32, $C$9, 100%, $E$9)</f>
        <v>10.3316</v>
      </c>
      <c r="K290" s="81">
        <f>10.3352 * CHOOSE(CONTROL!$C$32, $C$9, 100%, $E$9)</f>
        <v>10.3352</v>
      </c>
      <c r="L290" s="81">
        <f>6.4909 * CHOOSE(CONTROL!$C$32, $C$9, 100%, $E$9)</f>
        <v>6.4908999999999999</v>
      </c>
      <c r="M290" s="81">
        <f>6.4945 * CHOOSE(CONTROL!$C$32, $C$9, 100%, $E$9)</f>
        <v>6.4945000000000004</v>
      </c>
      <c r="N290" s="81">
        <f>6.4909 * CHOOSE(CONTROL!$C$32, $C$9, 100%, $E$9)</f>
        <v>6.4908999999999999</v>
      </c>
      <c r="O290" s="81">
        <f>6.4945 * CHOOSE(CONTROL!$C$32, $C$9, 100%, $E$9)</f>
        <v>6.4945000000000004</v>
      </c>
    </row>
    <row r="291" spans="1:15" ht="15" x14ac:dyDescent="0.2">
      <c r="A291" s="16">
        <v>50072</v>
      </c>
      <c r="B291" s="80">
        <f>4.9291 * CHOOSE(CONTROL!$C$32, $C$9, 100%, $E$9)</f>
        <v>4.9291</v>
      </c>
      <c r="C291" s="80">
        <f>4.9291 * CHOOSE(CONTROL!$C$32, $C$9, 100%, $E$9)</f>
        <v>4.9291</v>
      </c>
      <c r="D291" s="80">
        <f>4.9302 * CHOOSE(CONTROL!$C$32, $C$9, 100%, $E$9)</f>
        <v>4.9302000000000001</v>
      </c>
      <c r="E291" s="81">
        <f>6.3843 * CHOOSE(CONTROL!$C$32, $C$9, 100%, $E$9)</f>
        <v>6.3842999999999996</v>
      </c>
      <c r="F291" s="81">
        <f>6.3843 * CHOOSE(CONTROL!$C$32, $C$9, 100%, $E$9)</f>
        <v>6.3842999999999996</v>
      </c>
      <c r="G291" s="81">
        <f>6.3879 * CHOOSE(CONTROL!$C$32, $C$9, 100%, $E$9)</f>
        <v>6.3879000000000001</v>
      </c>
      <c r="H291" s="81">
        <f>10.3531 * CHOOSE(CONTROL!$C$32, $C$9, 100%, $E$9)</f>
        <v>10.3531</v>
      </c>
      <c r="I291" s="81">
        <f>10.3567 * CHOOSE(CONTROL!$C$32, $C$9, 100%, $E$9)</f>
        <v>10.3567</v>
      </c>
      <c r="J291" s="81">
        <f>10.3531 * CHOOSE(CONTROL!$C$32, $C$9, 100%, $E$9)</f>
        <v>10.3531</v>
      </c>
      <c r="K291" s="81">
        <f>10.3567 * CHOOSE(CONTROL!$C$32, $C$9, 100%, $E$9)</f>
        <v>10.3567</v>
      </c>
      <c r="L291" s="81">
        <f>6.3843 * CHOOSE(CONTROL!$C$32, $C$9, 100%, $E$9)</f>
        <v>6.3842999999999996</v>
      </c>
      <c r="M291" s="81">
        <f>6.3879 * CHOOSE(CONTROL!$C$32, $C$9, 100%, $E$9)</f>
        <v>6.3879000000000001</v>
      </c>
      <c r="N291" s="81">
        <f>6.3843 * CHOOSE(CONTROL!$C$32, $C$9, 100%, $E$9)</f>
        <v>6.3842999999999996</v>
      </c>
      <c r="O291" s="81">
        <f>6.3879 * CHOOSE(CONTROL!$C$32, $C$9, 100%, $E$9)</f>
        <v>6.3879000000000001</v>
      </c>
    </row>
    <row r="292" spans="1:15" ht="15" x14ac:dyDescent="0.2">
      <c r="A292" s="16">
        <v>50100</v>
      </c>
      <c r="B292" s="80">
        <f>4.9261 * CHOOSE(CONTROL!$C$32, $C$9, 100%, $E$9)</f>
        <v>4.9260999999999999</v>
      </c>
      <c r="C292" s="80">
        <f>4.9261 * CHOOSE(CONTROL!$C$32, $C$9, 100%, $E$9)</f>
        <v>4.9260999999999999</v>
      </c>
      <c r="D292" s="80">
        <f>4.9272 * CHOOSE(CONTROL!$C$32, $C$9, 100%, $E$9)</f>
        <v>4.9272</v>
      </c>
      <c r="E292" s="81">
        <f>6.4645 * CHOOSE(CONTROL!$C$32, $C$9, 100%, $E$9)</f>
        <v>6.4645000000000001</v>
      </c>
      <c r="F292" s="81">
        <f>6.4645 * CHOOSE(CONTROL!$C$32, $C$9, 100%, $E$9)</f>
        <v>6.4645000000000001</v>
      </c>
      <c r="G292" s="81">
        <f>6.4681 * CHOOSE(CONTROL!$C$32, $C$9, 100%, $E$9)</f>
        <v>6.4680999999999997</v>
      </c>
      <c r="H292" s="81">
        <f>10.3746 * CHOOSE(CONTROL!$C$32, $C$9, 100%, $E$9)</f>
        <v>10.374599999999999</v>
      </c>
      <c r="I292" s="81">
        <f>10.3783 * CHOOSE(CONTROL!$C$32, $C$9, 100%, $E$9)</f>
        <v>10.378299999999999</v>
      </c>
      <c r="J292" s="81">
        <f>10.3746 * CHOOSE(CONTROL!$C$32, $C$9, 100%, $E$9)</f>
        <v>10.374599999999999</v>
      </c>
      <c r="K292" s="81">
        <f>10.3783 * CHOOSE(CONTROL!$C$32, $C$9, 100%, $E$9)</f>
        <v>10.378299999999999</v>
      </c>
      <c r="L292" s="81">
        <f>6.4645 * CHOOSE(CONTROL!$C$32, $C$9, 100%, $E$9)</f>
        <v>6.4645000000000001</v>
      </c>
      <c r="M292" s="81">
        <f>6.4681 * CHOOSE(CONTROL!$C$32, $C$9, 100%, $E$9)</f>
        <v>6.4680999999999997</v>
      </c>
      <c r="N292" s="81">
        <f>6.4645 * CHOOSE(CONTROL!$C$32, $C$9, 100%, $E$9)</f>
        <v>6.4645000000000001</v>
      </c>
      <c r="O292" s="81">
        <f>6.4681 * CHOOSE(CONTROL!$C$32, $C$9, 100%, $E$9)</f>
        <v>6.4680999999999997</v>
      </c>
    </row>
    <row r="293" spans="1:15" ht="15" x14ac:dyDescent="0.2">
      <c r="A293" s="16">
        <v>50131</v>
      </c>
      <c r="B293" s="80">
        <f>4.9246 * CHOOSE(CONTROL!$C$32, $C$9, 100%, $E$9)</f>
        <v>4.9245999999999999</v>
      </c>
      <c r="C293" s="80">
        <f>4.9246 * CHOOSE(CONTROL!$C$32, $C$9, 100%, $E$9)</f>
        <v>4.9245999999999999</v>
      </c>
      <c r="D293" s="80">
        <f>4.9257 * CHOOSE(CONTROL!$C$32, $C$9, 100%, $E$9)</f>
        <v>4.9257</v>
      </c>
      <c r="E293" s="81">
        <f>6.5488 * CHOOSE(CONTROL!$C$32, $C$9, 100%, $E$9)</f>
        <v>6.5488</v>
      </c>
      <c r="F293" s="81">
        <f>6.5488 * CHOOSE(CONTROL!$C$32, $C$9, 100%, $E$9)</f>
        <v>6.5488</v>
      </c>
      <c r="G293" s="81">
        <f>6.5524 * CHOOSE(CONTROL!$C$32, $C$9, 100%, $E$9)</f>
        <v>6.5523999999999996</v>
      </c>
      <c r="H293" s="81">
        <f>10.3963 * CHOOSE(CONTROL!$C$32, $C$9, 100%, $E$9)</f>
        <v>10.3963</v>
      </c>
      <c r="I293" s="81">
        <f>10.3999 * CHOOSE(CONTROL!$C$32, $C$9, 100%, $E$9)</f>
        <v>10.399900000000001</v>
      </c>
      <c r="J293" s="81">
        <f>10.3963 * CHOOSE(CONTROL!$C$32, $C$9, 100%, $E$9)</f>
        <v>10.3963</v>
      </c>
      <c r="K293" s="81">
        <f>10.3999 * CHOOSE(CONTROL!$C$32, $C$9, 100%, $E$9)</f>
        <v>10.399900000000001</v>
      </c>
      <c r="L293" s="81">
        <f>6.5488 * CHOOSE(CONTROL!$C$32, $C$9, 100%, $E$9)</f>
        <v>6.5488</v>
      </c>
      <c r="M293" s="81">
        <f>6.5524 * CHOOSE(CONTROL!$C$32, $C$9, 100%, $E$9)</f>
        <v>6.5523999999999996</v>
      </c>
      <c r="N293" s="81">
        <f>6.5488 * CHOOSE(CONTROL!$C$32, $C$9, 100%, $E$9)</f>
        <v>6.5488</v>
      </c>
      <c r="O293" s="81">
        <f>6.5524 * CHOOSE(CONTROL!$C$32, $C$9, 100%, $E$9)</f>
        <v>6.5523999999999996</v>
      </c>
    </row>
    <row r="294" spans="1:15" ht="15" x14ac:dyDescent="0.2">
      <c r="A294" s="16">
        <v>50161</v>
      </c>
      <c r="B294" s="80">
        <f>4.9246 * CHOOSE(CONTROL!$C$32, $C$9, 100%, $E$9)</f>
        <v>4.9245999999999999</v>
      </c>
      <c r="C294" s="80">
        <f>4.9246 * CHOOSE(CONTROL!$C$32, $C$9, 100%, $E$9)</f>
        <v>4.9245999999999999</v>
      </c>
      <c r="D294" s="80">
        <f>4.9262 * CHOOSE(CONTROL!$C$32, $C$9, 100%, $E$9)</f>
        <v>4.9261999999999997</v>
      </c>
      <c r="E294" s="81">
        <f>6.5819 * CHOOSE(CONTROL!$C$32, $C$9, 100%, $E$9)</f>
        <v>6.5819000000000001</v>
      </c>
      <c r="F294" s="81">
        <f>6.5819 * CHOOSE(CONTROL!$C$32, $C$9, 100%, $E$9)</f>
        <v>6.5819000000000001</v>
      </c>
      <c r="G294" s="81">
        <f>6.5872 * CHOOSE(CONTROL!$C$32, $C$9, 100%, $E$9)</f>
        <v>6.5872000000000002</v>
      </c>
      <c r="H294" s="81">
        <f>10.4179 * CHOOSE(CONTROL!$C$32, $C$9, 100%, $E$9)</f>
        <v>10.417899999999999</v>
      </c>
      <c r="I294" s="81">
        <f>10.4232 * CHOOSE(CONTROL!$C$32, $C$9, 100%, $E$9)</f>
        <v>10.4232</v>
      </c>
      <c r="J294" s="81">
        <f>10.4179 * CHOOSE(CONTROL!$C$32, $C$9, 100%, $E$9)</f>
        <v>10.417899999999999</v>
      </c>
      <c r="K294" s="81">
        <f>10.4232 * CHOOSE(CONTROL!$C$32, $C$9, 100%, $E$9)</f>
        <v>10.4232</v>
      </c>
      <c r="L294" s="81">
        <f>6.5819 * CHOOSE(CONTROL!$C$32, $C$9, 100%, $E$9)</f>
        <v>6.5819000000000001</v>
      </c>
      <c r="M294" s="81">
        <f>6.5872 * CHOOSE(CONTROL!$C$32, $C$9, 100%, $E$9)</f>
        <v>6.5872000000000002</v>
      </c>
      <c r="N294" s="81">
        <f>6.5819 * CHOOSE(CONTROL!$C$32, $C$9, 100%, $E$9)</f>
        <v>6.5819000000000001</v>
      </c>
      <c r="O294" s="81">
        <f>6.5872 * CHOOSE(CONTROL!$C$32, $C$9, 100%, $E$9)</f>
        <v>6.5872000000000002</v>
      </c>
    </row>
    <row r="295" spans="1:15" ht="15" x14ac:dyDescent="0.2">
      <c r="A295" s="16">
        <v>50192</v>
      </c>
      <c r="B295" s="80">
        <f>4.9307 * CHOOSE(CONTROL!$C$32, $C$9, 100%, $E$9)</f>
        <v>4.9306999999999999</v>
      </c>
      <c r="C295" s="80">
        <f>4.9307 * CHOOSE(CONTROL!$C$32, $C$9, 100%, $E$9)</f>
        <v>4.9306999999999999</v>
      </c>
      <c r="D295" s="80">
        <f>4.9323 * CHOOSE(CONTROL!$C$32, $C$9, 100%, $E$9)</f>
        <v>4.9322999999999997</v>
      </c>
      <c r="E295" s="81">
        <f>6.553 * CHOOSE(CONTROL!$C$32, $C$9, 100%, $E$9)</f>
        <v>6.5529999999999999</v>
      </c>
      <c r="F295" s="81">
        <f>6.553 * CHOOSE(CONTROL!$C$32, $C$9, 100%, $E$9)</f>
        <v>6.5529999999999999</v>
      </c>
      <c r="G295" s="81">
        <f>6.5583 * CHOOSE(CONTROL!$C$32, $C$9, 100%, $E$9)</f>
        <v>6.5583</v>
      </c>
      <c r="H295" s="81">
        <f>10.4396 * CHOOSE(CONTROL!$C$32, $C$9, 100%, $E$9)</f>
        <v>10.4396</v>
      </c>
      <c r="I295" s="81">
        <f>10.4449 * CHOOSE(CONTROL!$C$32, $C$9, 100%, $E$9)</f>
        <v>10.444900000000001</v>
      </c>
      <c r="J295" s="81">
        <f>10.4396 * CHOOSE(CONTROL!$C$32, $C$9, 100%, $E$9)</f>
        <v>10.4396</v>
      </c>
      <c r="K295" s="81">
        <f>10.4449 * CHOOSE(CONTROL!$C$32, $C$9, 100%, $E$9)</f>
        <v>10.444900000000001</v>
      </c>
      <c r="L295" s="81">
        <f>6.553 * CHOOSE(CONTROL!$C$32, $C$9, 100%, $E$9)</f>
        <v>6.5529999999999999</v>
      </c>
      <c r="M295" s="81">
        <f>6.5583 * CHOOSE(CONTROL!$C$32, $C$9, 100%, $E$9)</f>
        <v>6.5583</v>
      </c>
      <c r="N295" s="81">
        <f>6.553 * CHOOSE(CONTROL!$C$32, $C$9, 100%, $E$9)</f>
        <v>6.5529999999999999</v>
      </c>
      <c r="O295" s="81">
        <f>6.5583 * CHOOSE(CONTROL!$C$32, $C$9, 100%, $E$9)</f>
        <v>6.5583</v>
      </c>
    </row>
    <row r="296" spans="1:15" ht="15" x14ac:dyDescent="0.2">
      <c r="A296" s="16">
        <v>50222</v>
      </c>
      <c r="B296" s="80">
        <f>4.9977 * CHOOSE(CONTROL!$C$32, $C$9, 100%, $E$9)</f>
        <v>4.9977</v>
      </c>
      <c r="C296" s="80">
        <f>4.9977 * CHOOSE(CONTROL!$C$32, $C$9, 100%, $E$9)</f>
        <v>4.9977</v>
      </c>
      <c r="D296" s="80">
        <f>4.9993 * CHOOSE(CONTROL!$C$32, $C$9, 100%, $E$9)</f>
        <v>4.9992999999999999</v>
      </c>
      <c r="E296" s="81">
        <f>6.6146 * CHOOSE(CONTROL!$C$32, $C$9, 100%, $E$9)</f>
        <v>6.6146000000000003</v>
      </c>
      <c r="F296" s="81">
        <f>6.6146 * CHOOSE(CONTROL!$C$32, $C$9, 100%, $E$9)</f>
        <v>6.6146000000000003</v>
      </c>
      <c r="G296" s="81">
        <f>6.6199 * CHOOSE(CONTROL!$C$32, $C$9, 100%, $E$9)</f>
        <v>6.6199000000000003</v>
      </c>
      <c r="H296" s="81">
        <f>10.4614 * CHOOSE(CONTROL!$C$32, $C$9, 100%, $E$9)</f>
        <v>10.461399999999999</v>
      </c>
      <c r="I296" s="81">
        <f>10.4667 * CHOOSE(CONTROL!$C$32, $C$9, 100%, $E$9)</f>
        <v>10.466699999999999</v>
      </c>
      <c r="J296" s="81">
        <f>10.4614 * CHOOSE(CONTROL!$C$32, $C$9, 100%, $E$9)</f>
        <v>10.461399999999999</v>
      </c>
      <c r="K296" s="81">
        <f>10.4667 * CHOOSE(CONTROL!$C$32, $C$9, 100%, $E$9)</f>
        <v>10.466699999999999</v>
      </c>
      <c r="L296" s="81">
        <f>6.6146 * CHOOSE(CONTROL!$C$32, $C$9, 100%, $E$9)</f>
        <v>6.6146000000000003</v>
      </c>
      <c r="M296" s="81">
        <f>6.6199 * CHOOSE(CONTROL!$C$32, $C$9, 100%, $E$9)</f>
        <v>6.6199000000000003</v>
      </c>
      <c r="N296" s="81">
        <f>6.6146 * CHOOSE(CONTROL!$C$32, $C$9, 100%, $E$9)</f>
        <v>6.6146000000000003</v>
      </c>
      <c r="O296" s="81">
        <f>6.6199 * CHOOSE(CONTROL!$C$32, $C$9, 100%, $E$9)</f>
        <v>6.6199000000000003</v>
      </c>
    </row>
    <row r="297" spans="1:15" ht="15" x14ac:dyDescent="0.2">
      <c r="A297" s="16">
        <v>50253</v>
      </c>
      <c r="B297" s="80">
        <f>5.0044 * CHOOSE(CONTROL!$C$32, $C$9, 100%, $E$9)</f>
        <v>5.0044000000000004</v>
      </c>
      <c r="C297" s="80">
        <f>5.0044 * CHOOSE(CONTROL!$C$32, $C$9, 100%, $E$9)</f>
        <v>5.0044000000000004</v>
      </c>
      <c r="D297" s="80">
        <f>5.006 * CHOOSE(CONTROL!$C$32, $C$9, 100%, $E$9)</f>
        <v>5.0060000000000002</v>
      </c>
      <c r="E297" s="81">
        <f>6.5198 * CHOOSE(CONTROL!$C$32, $C$9, 100%, $E$9)</f>
        <v>6.5198</v>
      </c>
      <c r="F297" s="81">
        <f>6.5198 * CHOOSE(CONTROL!$C$32, $C$9, 100%, $E$9)</f>
        <v>6.5198</v>
      </c>
      <c r="G297" s="81">
        <f>6.525 * CHOOSE(CONTROL!$C$32, $C$9, 100%, $E$9)</f>
        <v>6.5250000000000004</v>
      </c>
      <c r="H297" s="81">
        <f>10.4832 * CHOOSE(CONTROL!$C$32, $C$9, 100%, $E$9)</f>
        <v>10.4832</v>
      </c>
      <c r="I297" s="81">
        <f>10.4885 * CHOOSE(CONTROL!$C$32, $C$9, 100%, $E$9)</f>
        <v>10.4885</v>
      </c>
      <c r="J297" s="81">
        <f>10.4832 * CHOOSE(CONTROL!$C$32, $C$9, 100%, $E$9)</f>
        <v>10.4832</v>
      </c>
      <c r="K297" s="81">
        <f>10.4885 * CHOOSE(CONTROL!$C$32, $C$9, 100%, $E$9)</f>
        <v>10.4885</v>
      </c>
      <c r="L297" s="81">
        <f>6.5198 * CHOOSE(CONTROL!$C$32, $C$9, 100%, $E$9)</f>
        <v>6.5198</v>
      </c>
      <c r="M297" s="81">
        <f>6.525 * CHOOSE(CONTROL!$C$32, $C$9, 100%, $E$9)</f>
        <v>6.5250000000000004</v>
      </c>
      <c r="N297" s="81">
        <f>6.5198 * CHOOSE(CONTROL!$C$32, $C$9, 100%, $E$9)</f>
        <v>6.5198</v>
      </c>
      <c r="O297" s="81">
        <f>6.525 * CHOOSE(CONTROL!$C$32, $C$9, 100%, $E$9)</f>
        <v>6.5250000000000004</v>
      </c>
    </row>
    <row r="298" spans="1:15" ht="15" x14ac:dyDescent="0.2">
      <c r="A298" s="16">
        <v>50284</v>
      </c>
      <c r="B298" s="80">
        <f>5.0014 * CHOOSE(CONTROL!$C$32, $C$9, 100%, $E$9)</f>
        <v>5.0014000000000003</v>
      </c>
      <c r="C298" s="80">
        <f>5.0014 * CHOOSE(CONTROL!$C$32, $C$9, 100%, $E$9)</f>
        <v>5.0014000000000003</v>
      </c>
      <c r="D298" s="80">
        <f>5.003 * CHOOSE(CONTROL!$C$32, $C$9, 100%, $E$9)</f>
        <v>5.0030000000000001</v>
      </c>
      <c r="E298" s="81">
        <f>6.5066 * CHOOSE(CONTROL!$C$32, $C$9, 100%, $E$9)</f>
        <v>6.5065999999999997</v>
      </c>
      <c r="F298" s="81">
        <f>6.5066 * CHOOSE(CONTROL!$C$32, $C$9, 100%, $E$9)</f>
        <v>6.5065999999999997</v>
      </c>
      <c r="G298" s="81">
        <f>6.5119 * CHOOSE(CONTROL!$C$32, $C$9, 100%, $E$9)</f>
        <v>6.5118999999999998</v>
      </c>
      <c r="H298" s="81">
        <f>10.505 * CHOOSE(CONTROL!$C$32, $C$9, 100%, $E$9)</f>
        <v>10.505000000000001</v>
      </c>
      <c r="I298" s="81">
        <f>10.5103 * CHOOSE(CONTROL!$C$32, $C$9, 100%, $E$9)</f>
        <v>10.510300000000001</v>
      </c>
      <c r="J298" s="81">
        <f>10.505 * CHOOSE(CONTROL!$C$32, $C$9, 100%, $E$9)</f>
        <v>10.505000000000001</v>
      </c>
      <c r="K298" s="81">
        <f>10.5103 * CHOOSE(CONTROL!$C$32, $C$9, 100%, $E$9)</f>
        <v>10.510300000000001</v>
      </c>
      <c r="L298" s="81">
        <f>6.5066 * CHOOSE(CONTROL!$C$32, $C$9, 100%, $E$9)</f>
        <v>6.5065999999999997</v>
      </c>
      <c r="M298" s="81">
        <f>6.5119 * CHOOSE(CONTROL!$C$32, $C$9, 100%, $E$9)</f>
        <v>6.5118999999999998</v>
      </c>
      <c r="N298" s="81">
        <f>6.5066 * CHOOSE(CONTROL!$C$32, $C$9, 100%, $E$9)</f>
        <v>6.5065999999999997</v>
      </c>
      <c r="O298" s="81">
        <f>6.5119 * CHOOSE(CONTROL!$C$32, $C$9, 100%, $E$9)</f>
        <v>6.5118999999999998</v>
      </c>
    </row>
    <row r="299" spans="1:15" ht="15" x14ac:dyDescent="0.2">
      <c r="A299" s="16">
        <v>50314</v>
      </c>
      <c r="B299" s="80">
        <f>5.0002 * CHOOSE(CONTROL!$C$32, $C$9, 100%, $E$9)</f>
        <v>5.0002000000000004</v>
      </c>
      <c r="C299" s="80">
        <f>5.0002 * CHOOSE(CONTROL!$C$32, $C$9, 100%, $E$9)</f>
        <v>5.0002000000000004</v>
      </c>
      <c r="D299" s="80">
        <f>5.0012 * CHOOSE(CONTROL!$C$32, $C$9, 100%, $E$9)</f>
        <v>5.0011999999999999</v>
      </c>
      <c r="E299" s="81">
        <f>6.5374 * CHOOSE(CONTROL!$C$32, $C$9, 100%, $E$9)</f>
        <v>6.5373999999999999</v>
      </c>
      <c r="F299" s="81">
        <f>6.5374 * CHOOSE(CONTROL!$C$32, $C$9, 100%, $E$9)</f>
        <v>6.5373999999999999</v>
      </c>
      <c r="G299" s="81">
        <f>6.541 * CHOOSE(CONTROL!$C$32, $C$9, 100%, $E$9)</f>
        <v>6.5410000000000004</v>
      </c>
      <c r="H299" s="81">
        <f>10.5269 * CHOOSE(CONTROL!$C$32, $C$9, 100%, $E$9)</f>
        <v>10.526899999999999</v>
      </c>
      <c r="I299" s="81">
        <f>10.5305 * CHOOSE(CONTROL!$C$32, $C$9, 100%, $E$9)</f>
        <v>10.5305</v>
      </c>
      <c r="J299" s="81">
        <f>10.5269 * CHOOSE(CONTROL!$C$32, $C$9, 100%, $E$9)</f>
        <v>10.526899999999999</v>
      </c>
      <c r="K299" s="81">
        <f>10.5305 * CHOOSE(CONTROL!$C$32, $C$9, 100%, $E$9)</f>
        <v>10.5305</v>
      </c>
      <c r="L299" s="81">
        <f>6.5374 * CHOOSE(CONTROL!$C$32, $C$9, 100%, $E$9)</f>
        <v>6.5373999999999999</v>
      </c>
      <c r="M299" s="81">
        <f>6.541 * CHOOSE(CONTROL!$C$32, $C$9, 100%, $E$9)</f>
        <v>6.5410000000000004</v>
      </c>
      <c r="N299" s="81">
        <f>6.5374 * CHOOSE(CONTROL!$C$32, $C$9, 100%, $E$9)</f>
        <v>6.5373999999999999</v>
      </c>
      <c r="O299" s="81">
        <f>6.541 * CHOOSE(CONTROL!$C$32, $C$9, 100%, $E$9)</f>
        <v>6.5410000000000004</v>
      </c>
    </row>
    <row r="300" spans="1:15" ht="15" x14ac:dyDescent="0.2">
      <c r="A300" s="16">
        <v>50345</v>
      </c>
      <c r="B300" s="80">
        <f>5.0032 * CHOOSE(CONTROL!$C$32, $C$9, 100%, $E$9)</f>
        <v>5.0031999999999996</v>
      </c>
      <c r="C300" s="80">
        <f>5.0032 * CHOOSE(CONTROL!$C$32, $C$9, 100%, $E$9)</f>
        <v>5.0031999999999996</v>
      </c>
      <c r="D300" s="80">
        <f>5.0043 * CHOOSE(CONTROL!$C$32, $C$9, 100%, $E$9)</f>
        <v>5.0042999999999997</v>
      </c>
      <c r="E300" s="81">
        <f>6.5616 * CHOOSE(CONTROL!$C$32, $C$9, 100%, $E$9)</f>
        <v>6.5616000000000003</v>
      </c>
      <c r="F300" s="81">
        <f>6.5616 * CHOOSE(CONTROL!$C$32, $C$9, 100%, $E$9)</f>
        <v>6.5616000000000003</v>
      </c>
      <c r="G300" s="81">
        <f>6.5652 * CHOOSE(CONTROL!$C$32, $C$9, 100%, $E$9)</f>
        <v>6.5651999999999999</v>
      </c>
      <c r="H300" s="81">
        <f>10.5488 * CHOOSE(CONTROL!$C$32, $C$9, 100%, $E$9)</f>
        <v>10.5488</v>
      </c>
      <c r="I300" s="81">
        <f>10.5524 * CHOOSE(CONTROL!$C$32, $C$9, 100%, $E$9)</f>
        <v>10.5524</v>
      </c>
      <c r="J300" s="81">
        <f>10.5488 * CHOOSE(CONTROL!$C$32, $C$9, 100%, $E$9)</f>
        <v>10.5488</v>
      </c>
      <c r="K300" s="81">
        <f>10.5524 * CHOOSE(CONTROL!$C$32, $C$9, 100%, $E$9)</f>
        <v>10.5524</v>
      </c>
      <c r="L300" s="81">
        <f>6.5616 * CHOOSE(CONTROL!$C$32, $C$9, 100%, $E$9)</f>
        <v>6.5616000000000003</v>
      </c>
      <c r="M300" s="81">
        <f>6.5652 * CHOOSE(CONTROL!$C$32, $C$9, 100%, $E$9)</f>
        <v>6.5651999999999999</v>
      </c>
      <c r="N300" s="81">
        <f>6.5616 * CHOOSE(CONTROL!$C$32, $C$9, 100%, $E$9)</f>
        <v>6.5616000000000003</v>
      </c>
      <c r="O300" s="81">
        <f>6.5652 * CHOOSE(CONTROL!$C$32, $C$9, 100%, $E$9)</f>
        <v>6.5651999999999999</v>
      </c>
    </row>
    <row r="301" spans="1:15" ht="15" x14ac:dyDescent="0.2">
      <c r="A301" s="16">
        <v>50375</v>
      </c>
      <c r="B301" s="80">
        <f>5.0032 * CHOOSE(CONTROL!$C$32, $C$9, 100%, $E$9)</f>
        <v>5.0031999999999996</v>
      </c>
      <c r="C301" s="80">
        <f>5.0032 * CHOOSE(CONTROL!$C$32, $C$9, 100%, $E$9)</f>
        <v>5.0031999999999996</v>
      </c>
      <c r="D301" s="80">
        <f>5.0043 * CHOOSE(CONTROL!$C$32, $C$9, 100%, $E$9)</f>
        <v>5.0042999999999997</v>
      </c>
      <c r="E301" s="81">
        <f>6.5063 * CHOOSE(CONTROL!$C$32, $C$9, 100%, $E$9)</f>
        <v>6.5063000000000004</v>
      </c>
      <c r="F301" s="81">
        <f>6.5063 * CHOOSE(CONTROL!$C$32, $C$9, 100%, $E$9)</f>
        <v>6.5063000000000004</v>
      </c>
      <c r="G301" s="81">
        <f>6.51 * CHOOSE(CONTROL!$C$32, $C$9, 100%, $E$9)</f>
        <v>6.51</v>
      </c>
      <c r="H301" s="81">
        <f>10.5708 * CHOOSE(CONTROL!$C$32, $C$9, 100%, $E$9)</f>
        <v>10.5708</v>
      </c>
      <c r="I301" s="81">
        <f>10.5744 * CHOOSE(CONTROL!$C$32, $C$9, 100%, $E$9)</f>
        <v>10.574400000000001</v>
      </c>
      <c r="J301" s="81">
        <f>10.5708 * CHOOSE(CONTROL!$C$32, $C$9, 100%, $E$9)</f>
        <v>10.5708</v>
      </c>
      <c r="K301" s="81">
        <f>10.5744 * CHOOSE(CONTROL!$C$32, $C$9, 100%, $E$9)</f>
        <v>10.574400000000001</v>
      </c>
      <c r="L301" s="81">
        <f>6.5063 * CHOOSE(CONTROL!$C$32, $C$9, 100%, $E$9)</f>
        <v>6.5063000000000004</v>
      </c>
      <c r="M301" s="81">
        <f>6.51 * CHOOSE(CONTROL!$C$32, $C$9, 100%, $E$9)</f>
        <v>6.51</v>
      </c>
      <c r="N301" s="81">
        <f>6.5063 * CHOOSE(CONTROL!$C$32, $C$9, 100%, $E$9)</f>
        <v>6.5063000000000004</v>
      </c>
      <c r="O301" s="81">
        <f>6.51 * CHOOSE(CONTROL!$C$32, $C$9, 100%, $E$9)</f>
        <v>6.51</v>
      </c>
    </row>
    <row r="302" spans="1:15" ht="15" x14ac:dyDescent="0.2">
      <c r="A302" s="16">
        <v>50406</v>
      </c>
      <c r="B302" s="80">
        <f>5.043 * CHOOSE(CONTROL!$C$32, $C$9, 100%, $E$9)</f>
        <v>5.0430000000000001</v>
      </c>
      <c r="C302" s="80">
        <f>5.043 * CHOOSE(CONTROL!$C$32, $C$9, 100%, $E$9)</f>
        <v>5.0430000000000001</v>
      </c>
      <c r="D302" s="80">
        <f>5.044 * CHOOSE(CONTROL!$C$32, $C$9, 100%, $E$9)</f>
        <v>5.0439999999999996</v>
      </c>
      <c r="E302" s="81">
        <f>6.5545 * CHOOSE(CONTROL!$C$32, $C$9, 100%, $E$9)</f>
        <v>6.5545</v>
      </c>
      <c r="F302" s="81">
        <f>6.5545 * CHOOSE(CONTROL!$C$32, $C$9, 100%, $E$9)</f>
        <v>6.5545</v>
      </c>
      <c r="G302" s="81">
        <f>6.5582 * CHOOSE(CONTROL!$C$32, $C$9, 100%, $E$9)</f>
        <v>6.5582000000000003</v>
      </c>
      <c r="H302" s="81">
        <f>10.5928 * CHOOSE(CONTROL!$C$32, $C$9, 100%, $E$9)</f>
        <v>10.5928</v>
      </c>
      <c r="I302" s="81">
        <f>10.5964 * CHOOSE(CONTROL!$C$32, $C$9, 100%, $E$9)</f>
        <v>10.596399999999999</v>
      </c>
      <c r="J302" s="81">
        <f>10.5928 * CHOOSE(CONTROL!$C$32, $C$9, 100%, $E$9)</f>
        <v>10.5928</v>
      </c>
      <c r="K302" s="81">
        <f>10.5964 * CHOOSE(CONTROL!$C$32, $C$9, 100%, $E$9)</f>
        <v>10.596399999999999</v>
      </c>
      <c r="L302" s="81">
        <f>6.5545 * CHOOSE(CONTROL!$C$32, $C$9, 100%, $E$9)</f>
        <v>6.5545</v>
      </c>
      <c r="M302" s="81">
        <f>6.5582 * CHOOSE(CONTROL!$C$32, $C$9, 100%, $E$9)</f>
        <v>6.5582000000000003</v>
      </c>
      <c r="N302" s="81">
        <f>6.5545 * CHOOSE(CONTROL!$C$32, $C$9, 100%, $E$9)</f>
        <v>6.5545</v>
      </c>
      <c r="O302" s="81">
        <f>6.5582 * CHOOSE(CONTROL!$C$32, $C$9, 100%, $E$9)</f>
        <v>6.5582000000000003</v>
      </c>
    </row>
    <row r="303" spans="1:15" ht="15" x14ac:dyDescent="0.2">
      <c r="A303" s="16">
        <v>50437</v>
      </c>
      <c r="B303" s="80">
        <f>5.0399 * CHOOSE(CONTROL!$C$32, $C$9, 100%, $E$9)</f>
        <v>5.0399000000000003</v>
      </c>
      <c r="C303" s="80">
        <f>5.0399 * CHOOSE(CONTROL!$C$32, $C$9, 100%, $E$9)</f>
        <v>5.0399000000000003</v>
      </c>
      <c r="D303" s="80">
        <f>5.041 * CHOOSE(CONTROL!$C$32, $C$9, 100%, $E$9)</f>
        <v>5.0410000000000004</v>
      </c>
      <c r="E303" s="81">
        <f>6.4445 * CHOOSE(CONTROL!$C$32, $C$9, 100%, $E$9)</f>
        <v>6.4444999999999997</v>
      </c>
      <c r="F303" s="81">
        <f>6.4445 * CHOOSE(CONTROL!$C$32, $C$9, 100%, $E$9)</f>
        <v>6.4444999999999997</v>
      </c>
      <c r="G303" s="81">
        <f>6.4481 * CHOOSE(CONTROL!$C$32, $C$9, 100%, $E$9)</f>
        <v>6.4481000000000002</v>
      </c>
      <c r="H303" s="81">
        <f>10.6149 * CHOOSE(CONTROL!$C$32, $C$9, 100%, $E$9)</f>
        <v>10.6149</v>
      </c>
      <c r="I303" s="81">
        <f>10.6185 * CHOOSE(CONTROL!$C$32, $C$9, 100%, $E$9)</f>
        <v>10.618499999999999</v>
      </c>
      <c r="J303" s="81">
        <f>10.6149 * CHOOSE(CONTROL!$C$32, $C$9, 100%, $E$9)</f>
        <v>10.6149</v>
      </c>
      <c r="K303" s="81">
        <f>10.6185 * CHOOSE(CONTROL!$C$32, $C$9, 100%, $E$9)</f>
        <v>10.618499999999999</v>
      </c>
      <c r="L303" s="81">
        <f>6.4445 * CHOOSE(CONTROL!$C$32, $C$9, 100%, $E$9)</f>
        <v>6.4444999999999997</v>
      </c>
      <c r="M303" s="81">
        <f>6.4481 * CHOOSE(CONTROL!$C$32, $C$9, 100%, $E$9)</f>
        <v>6.4481000000000002</v>
      </c>
      <c r="N303" s="81">
        <f>6.4445 * CHOOSE(CONTROL!$C$32, $C$9, 100%, $E$9)</f>
        <v>6.4444999999999997</v>
      </c>
      <c r="O303" s="81">
        <f>6.4481 * CHOOSE(CONTROL!$C$32, $C$9, 100%, $E$9)</f>
        <v>6.4481000000000002</v>
      </c>
    </row>
    <row r="304" spans="1:15" ht="15" x14ac:dyDescent="0.2">
      <c r="A304" s="16">
        <v>50465</v>
      </c>
      <c r="B304" s="80">
        <f>5.0369 * CHOOSE(CONTROL!$C$32, $C$9, 100%, $E$9)</f>
        <v>5.0369000000000002</v>
      </c>
      <c r="C304" s="80">
        <f>5.0369 * CHOOSE(CONTROL!$C$32, $C$9, 100%, $E$9)</f>
        <v>5.0369000000000002</v>
      </c>
      <c r="D304" s="80">
        <f>5.038 * CHOOSE(CONTROL!$C$32, $C$9, 100%, $E$9)</f>
        <v>5.0380000000000003</v>
      </c>
      <c r="E304" s="81">
        <f>6.5275 * CHOOSE(CONTROL!$C$32, $C$9, 100%, $E$9)</f>
        <v>6.5274999999999999</v>
      </c>
      <c r="F304" s="81">
        <f>6.5275 * CHOOSE(CONTROL!$C$32, $C$9, 100%, $E$9)</f>
        <v>6.5274999999999999</v>
      </c>
      <c r="G304" s="81">
        <f>6.5311 * CHOOSE(CONTROL!$C$32, $C$9, 100%, $E$9)</f>
        <v>6.5311000000000003</v>
      </c>
      <c r="H304" s="81">
        <f>10.637 * CHOOSE(CONTROL!$C$32, $C$9, 100%, $E$9)</f>
        <v>10.637</v>
      </c>
      <c r="I304" s="81">
        <f>10.6406 * CHOOSE(CONTROL!$C$32, $C$9, 100%, $E$9)</f>
        <v>10.640599999999999</v>
      </c>
      <c r="J304" s="81">
        <f>10.637 * CHOOSE(CONTROL!$C$32, $C$9, 100%, $E$9)</f>
        <v>10.637</v>
      </c>
      <c r="K304" s="81">
        <f>10.6406 * CHOOSE(CONTROL!$C$32, $C$9, 100%, $E$9)</f>
        <v>10.640599999999999</v>
      </c>
      <c r="L304" s="81">
        <f>6.5275 * CHOOSE(CONTROL!$C$32, $C$9, 100%, $E$9)</f>
        <v>6.5274999999999999</v>
      </c>
      <c r="M304" s="81">
        <f>6.5311 * CHOOSE(CONTROL!$C$32, $C$9, 100%, $E$9)</f>
        <v>6.5311000000000003</v>
      </c>
      <c r="N304" s="81">
        <f>6.5275 * CHOOSE(CONTROL!$C$32, $C$9, 100%, $E$9)</f>
        <v>6.5274999999999999</v>
      </c>
      <c r="O304" s="81">
        <f>6.5311 * CHOOSE(CONTROL!$C$32, $C$9, 100%, $E$9)</f>
        <v>6.5311000000000003</v>
      </c>
    </row>
    <row r="305" spans="1:15" ht="15" x14ac:dyDescent="0.2">
      <c r="A305" s="16">
        <v>50496</v>
      </c>
      <c r="B305" s="80">
        <f>5.0356 * CHOOSE(CONTROL!$C$32, $C$9, 100%, $E$9)</f>
        <v>5.0355999999999996</v>
      </c>
      <c r="C305" s="80">
        <f>5.0356 * CHOOSE(CONTROL!$C$32, $C$9, 100%, $E$9)</f>
        <v>5.0355999999999996</v>
      </c>
      <c r="D305" s="80">
        <f>5.0366 * CHOOSE(CONTROL!$C$32, $C$9, 100%, $E$9)</f>
        <v>5.0366</v>
      </c>
      <c r="E305" s="81">
        <f>6.6146 * CHOOSE(CONTROL!$C$32, $C$9, 100%, $E$9)</f>
        <v>6.6146000000000003</v>
      </c>
      <c r="F305" s="81">
        <f>6.6146 * CHOOSE(CONTROL!$C$32, $C$9, 100%, $E$9)</f>
        <v>6.6146000000000003</v>
      </c>
      <c r="G305" s="81">
        <f>6.6182 * CHOOSE(CONTROL!$C$32, $C$9, 100%, $E$9)</f>
        <v>6.6181999999999999</v>
      </c>
      <c r="H305" s="81">
        <f>10.6592 * CHOOSE(CONTROL!$C$32, $C$9, 100%, $E$9)</f>
        <v>10.6592</v>
      </c>
      <c r="I305" s="81">
        <f>10.6628 * CHOOSE(CONTROL!$C$32, $C$9, 100%, $E$9)</f>
        <v>10.662800000000001</v>
      </c>
      <c r="J305" s="81">
        <f>10.6592 * CHOOSE(CONTROL!$C$32, $C$9, 100%, $E$9)</f>
        <v>10.6592</v>
      </c>
      <c r="K305" s="81">
        <f>10.6628 * CHOOSE(CONTROL!$C$32, $C$9, 100%, $E$9)</f>
        <v>10.662800000000001</v>
      </c>
      <c r="L305" s="81">
        <f>6.6146 * CHOOSE(CONTROL!$C$32, $C$9, 100%, $E$9)</f>
        <v>6.6146000000000003</v>
      </c>
      <c r="M305" s="81">
        <f>6.6182 * CHOOSE(CONTROL!$C$32, $C$9, 100%, $E$9)</f>
        <v>6.6181999999999999</v>
      </c>
      <c r="N305" s="81">
        <f>6.6146 * CHOOSE(CONTROL!$C$32, $C$9, 100%, $E$9)</f>
        <v>6.6146000000000003</v>
      </c>
      <c r="O305" s="81">
        <f>6.6182 * CHOOSE(CONTROL!$C$32, $C$9, 100%, $E$9)</f>
        <v>6.6181999999999999</v>
      </c>
    </row>
    <row r="306" spans="1:15" ht="15" x14ac:dyDescent="0.2">
      <c r="A306" s="16">
        <v>50526</v>
      </c>
      <c r="B306" s="80">
        <f>5.0356 * CHOOSE(CONTROL!$C$32, $C$9, 100%, $E$9)</f>
        <v>5.0355999999999996</v>
      </c>
      <c r="C306" s="80">
        <f>5.0356 * CHOOSE(CONTROL!$C$32, $C$9, 100%, $E$9)</f>
        <v>5.0355999999999996</v>
      </c>
      <c r="D306" s="80">
        <f>5.0371 * CHOOSE(CONTROL!$C$32, $C$9, 100%, $E$9)</f>
        <v>5.0370999999999997</v>
      </c>
      <c r="E306" s="81">
        <f>6.6488 * CHOOSE(CONTROL!$C$32, $C$9, 100%, $E$9)</f>
        <v>6.6487999999999996</v>
      </c>
      <c r="F306" s="81">
        <f>6.6488 * CHOOSE(CONTROL!$C$32, $C$9, 100%, $E$9)</f>
        <v>6.6487999999999996</v>
      </c>
      <c r="G306" s="81">
        <f>6.6541 * CHOOSE(CONTROL!$C$32, $C$9, 100%, $E$9)</f>
        <v>6.6540999999999997</v>
      </c>
      <c r="H306" s="81">
        <f>10.6814 * CHOOSE(CONTROL!$C$32, $C$9, 100%, $E$9)</f>
        <v>10.6814</v>
      </c>
      <c r="I306" s="81">
        <f>10.6867 * CHOOSE(CONTROL!$C$32, $C$9, 100%, $E$9)</f>
        <v>10.6867</v>
      </c>
      <c r="J306" s="81">
        <f>10.6814 * CHOOSE(CONTROL!$C$32, $C$9, 100%, $E$9)</f>
        <v>10.6814</v>
      </c>
      <c r="K306" s="81">
        <f>10.6867 * CHOOSE(CONTROL!$C$32, $C$9, 100%, $E$9)</f>
        <v>10.6867</v>
      </c>
      <c r="L306" s="81">
        <f>6.6488 * CHOOSE(CONTROL!$C$32, $C$9, 100%, $E$9)</f>
        <v>6.6487999999999996</v>
      </c>
      <c r="M306" s="81">
        <f>6.6541 * CHOOSE(CONTROL!$C$32, $C$9, 100%, $E$9)</f>
        <v>6.6540999999999997</v>
      </c>
      <c r="N306" s="81">
        <f>6.6488 * CHOOSE(CONTROL!$C$32, $C$9, 100%, $E$9)</f>
        <v>6.6487999999999996</v>
      </c>
      <c r="O306" s="81">
        <f>6.6541 * CHOOSE(CONTROL!$C$32, $C$9, 100%, $E$9)</f>
        <v>6.6540999999999997</v>
      </c>
    </row>
    <row r="307" spans="1:15" ht="15" x14ac:dyDescent="0.2">
      <c r="A307" s="16">
        <v>50557</v>
      </c>
      <c r="B307" s="80">
        <f>5.0416 * CHOOSE(CONTROL!$C$32, $C$9, 100%, $E$9)</f>
        <v>5.0415999999999999</v>
      </c>
      <c r="C307" s="80">
        <f>5.0416 * CHOOSE(CONTROL!$C$32, $C$9, 100%, $E$9)</f>
        <v>5.0415999999999999</v>
      </c>
      <c r="D307" s="80">
        <f>5.0432 * CHOOSE(CONTROL!$C$32, $C$9, 100%, $E$9)</f>
        <v>5.0431999999999997</v>
      </c>
      <c r="E307" s="81">
        <f>6.6188 * CHOOSE(CONTROL!$C$32, $C$9, 100%, $E$9)</f>
        <v>6.6188000000000002</v>
      </c>
      <c r="F307" s="81">
        <f>6.6188 * CHOOSE(CONTROL!$C$32, $C$9, 100%, $E$9)</f>
        <v>6.6188000000000002</v>
      </c>
      <c r="G307" s="81">
        <f>6.6241 * CHOOSE(CONTROL!$C$32, $C$9, 100%, $E$9)</f>
        <v>6.6241000000000003</v>
      </c>
      <c r="H307" s="81">
        <f>10.7036 * CHOOSE(CONTROL!$C$32, $C$9, 100%, $E$9)</f>
        <v>10.7036</v>
      </c>
      <c r="I307" s="81">
        <f>10.7089 * CHOOSE(CONTROL!$C$32, $C$9, 100%, $E$9)</f>
        <v>10.7089</v>
      </c>
      <c r="J307" s="81">
        <f>10.7036 * CHOOSE(CONTROL!$C$32, $C$9, 100%, $E$9)</f>
        <v>10.7036</v>
      </c>
      <c r="K307" s="81">
        <f>10.7089 * CHOOSE(CONTROL!$C$32, $C$9, 100%, $E$9)</f>
        <v>10.7089</v>
      </c>
      <c r="L307" s="81">
        <f>6.6188 * CHOOSE(CONTROL!$C$32, $C$9, 100%, $E$9)</f>
        <v>6.6188000000000002</v>
      </c>
      <c r="M307" s="81">
        <f>6.6241 * CHOOSE(CONTROL!$C$32, $C$9, 100%, $E$9)</f>
        <v>6.6241000000000003</v>
      </c>
      <c r="N307" s="81">
        <f>6.6188 * CHOOSE(CONTROL!$C$32, $C$9, 100%, $E$9)</f>
        <v>6.6188000000000002</v>
      </c>
      <c r="O307" s="81">
        <f>6.6241 * CHOOSE(CONTROL!$C$32, $C$9, 100%, $E$9)</f>
        <v>6.6241000000000003</v>
      </c>
    </row>
    <row r="308" spans="1:15" ht="15" x14ac:dyDescent="0.2">
      <c r="A308" s="16">
        <v>50587</v>
      </c>
      <c r="B308" s="80">
        <f>5.1131 * CHOOSE(CONTROL!$C$32, $C$9, 100%, $E$9)</f>
        <v>5.1131000000000002</v>
      </c>
      <c r="C308" s="80">
        <f>5.1131 * CHOOSE(CONTROL!$C$32, $C$9, 100%, $E$9)</f>
        <v>5.1131000000000002</v>
      </c>
      <c r="D308" s="80">
        <f>5.1147 * CHOOSE(CONTROL!$C$32, $C$9, 100%, $E$9)</f>
        <v>5.1147</v>
      </c>
      <c r="E308" s="81">
        <f>6.6086 * CHOOSE(CONTROL!$C$32, $C$9, 100%, $E$9)</f>
        <v>6.6086</v>
      </c>
      <c r="F308" s="81">
        <f>6.6086 * CHOOSE(CONTROL!$C$32, $C$9, 100%, $E$9)</f>
        <v>6.6086</v>
      </c>
      <c r="G308" s="81">
        <f>6.6139 * CHOOSE(CONTROL!$C$32, $C$9, 100%, $E$9)</f>
        <v>6.6139000000000001</v>
      </c>
      <c r="H308" s="81">
        <f>10.7259 * CHOOSE(CONTROL!$C$32, $C$9, 100%, $E$9)</f>
        <v>10.725899999999999</v>
      </c>
      <c r="I308" s="81">
        <f>10.7312 * CHOOSE(CONTROL!$C$32, $C$9, 100%, $E$9)</f>
        <v>10.731199999999999</v>
      </c>
      <c r="J308" s="81">
        <f>10.7259 * CHOOSE(CONTROL!$C$32, $C$9, 100%, $E$9)</f>
        <v>10.725899999999999</v>
      </c>
      <c r="K308" s="81">
        <f>10.7312 * CHOOSE(CONTROL!$C$32, $C$9, 100%, $E$9)</f>
        <v>10.731199999999999</v>
      </c>
      <c r="L308" s="81">
        <f>6.6086 * CHOOSE(CONTROL!$C$32, $C$9, 100%, $E$9)</f>
        <v>6.6086</v>
      </c>
      <c r="M308" s="81">
        <f>6.6139 * CHOOSE(CONTROL!$C$32, $C$9, 100%, $E$9)</f>
        <v>6.6139000000000001</v>
      </c>
      <c r="N308" s="81">
        <f>6.6086 * CHOOSE(CONTROL!$C$32, $C$9, 100%, $E$9)</f>
        <v>6.6086</v>
      </c>
      <c r="O308" s="81">
        <f>6.6139 * CHOOSE(CONTROL!$C$32, $C$9, 100%, $E$9)</f>
        <v>6.6139000000000001</v>
      </c>
    </row>
    <row r="309" spans="1:15" ht="15" x14ac:dyDescent="0.2">
      <c r="A309" s="16">
        <v>50618</v>
      </c>
      <c r="B309" s="80">
        <f>5.1198 * CHOOSE(CONTROL!$C$32, $C$9, 100%, $E$9)</f>
        <v>5.1197999999999997</v>
      </c>
      <c r="C309" s="80">
        <f>5.1198 * CHOOSE(CONTROL!$C$32, $C$9, 100%, $E$9)</f>
        <v>5.1197999999999997</v>
      </c>
      <c r="D309" s="80">
        <f>5.1214 * CHOOSE(CONTROL!$C$32, $C$9, 100%, $E$9)</f>
        <v>5.1214000000000004</v>
      </c>
      <c r="E309" s="81">
        <f>6.5105 * CHOOSE(CONTROL!$C$32, $C$9, 100%, $E$9)</f>
        <v>6.5105000000000004</v>
      </c>
      <c r="F309" s="81">
        <f>6.5105 * CHOOSE(CONTROL!$C$32, $C$9, 100%, $E$9)</f>
        <v>6.5105000000000004</v>
      </c>
      <c r="G309" s="81">
        <f>6.5158 * CHOOSE(CONTROL!$C$32, $C$9, 100%, $E$9)</f>
        <v>6.5157999999999996</v>
      </c>
      <c r="H309" s="81">
        <f>10.7483 * CHOOSE(CONTROL!$C$32, $C$9, 100%, $E$9)</f>
        <v>10.7483</v>
      </c>
      <c r="I309" s="81">
        <f>10.7536 * CHOOSE(CONTROL!$C$32, $C$9, 100%, $E$9)</f>
        <v>10.7536</v>
      </c>
      <c r="J309" s="81">
        <f>10.7483 * CHOOSE(CONTROL!$C$32, $C$9, 100%, $E$9)</f>
        <v>10.7483</v>
      </c>
      <c r="K309" s="81">
        <f>10.7536 * CHOOSE(CONTROL!$C$32, $C$9, 100%, $E$9)</f>
        <v>10.7536</v>
      </c>
      <c r="L309" s="81">
        <f>6.5105 * CHOOSE(CONTROL!$C$32, $C$9, 100%, $E$9)</f>
        <v>6.5105000000000004</v>
      </c>
      <c r="M309" s="81">
        <f>6.5158 * CHOOSE(CONTROL!$C$32, $C$9, 100%, $E$9)</f>
        <v>6.5157999999999996</v>
      </c>
      <c r="N309" s="81">
        <f>6.5105 * CHOOSE(CONTROL!$C$32, $C$9, 100%, $E$9)</f>
        <v>6.5105000000000004</v>
      </c>
      <c r="O309" s="81">
        <f>6.5158 * CHOOSE(CONTROL!$C$32, $C$9, 100%, $E$9)</f>
        <v>6.5157999999999996</v>
      </c>
    </row>
    <row r="310" spans="1:15" ht="15" x14ac:dyDescent="0.2">
      <c r="A310" s="16">
        <v>50649</v>
      </c>
      <c r="B310" s="80">
        <f>5.1167 * CHOOSE(CONTROL!$C$32, $C$9, 100%, $E$9)</f>
        <v>5.1166999999999998</v>
      </c>
      <c r="C310" s="80">
        <f>5.1167 * CHOOSE(CONTROL!$C$32, $C$9, 100%, $E$9)</f>
        <v>5.1166999999999998</v>
      </c>
      <c r="D310" s="80">
        <f>5.1183 * CHOOSE(CONTROL!$C$32, $C$9, 100%, $E$9)</f>
        <v>5.1182999999999996</v>
      </c>
      <c r="E310" s="81">
        <f>6.4969 * CHOOSE(CONTROL!$C$32, $C$9, 100%, $E$9)</f>
        <v>6.4969000000000001</v>
      </c>
      <c r="F310" s="81">
        <f>6.4969 * CHOOSE(CONTROL!$C$32, $C$9, 100%, $E$9)</f>
        <v>6.4969000000000001</v>
      </c>
      <c r="G310" s="81">
        <f>6.5022 * CHOOSE(CONTROL!$C$32, $C$9, 100%, $E$9)</f>
        <v>6.5022000000000002</v>
      </c>
      <c r="H310" s="81">
        <f>10.7707 * CHOOSE(CONTROL!$C$32, $C$9, 100%, $E$9)</f>
        <v>10.7707</v>
      </c>
      <c r="I310" s="81">
        <f>10.776 * CHOOSE(CONTROL!$C$32, $C$9, 100%, $E$9)</f>
        <v>10.776</v>
      </c>
      <c r="J310" s="81">
        <f>10.7707 * CHOOSE(CONTROL!$C$32, $C$9, 100%, $E$9)</f>
        <v>10.7707</v>
      </c>
      <c r="K310" s="81">
        <f>10.776 * CHOOSE(CONTROL!$C$32, $C$9, 100%, $E$9)</f>
        <v>10.776</v>
      </c>
      <c r="L310" s="81">
        <f>6.4969 * CHOOSE(CONTROL!$C$32, $C$9, 100%, $E$9)</f>
        <v>6.4969000000000001</v>
      </c>
      <c r="M310" s="81">
        <f>6.5022 * CHOOSE(CONTROL!$C$32, $C$9, 100%, $E$9)</f>
        <v>6.5022000000000002</v>
      </c>
      <c r="N310" s="81">
        <f>6.4969 * CHOOSE(CONTROL!$C$32, $C$9, 100%, $E$9)</f>
        <v>6.4969000000000001</v>
      </c>
      <c r="O310" s="81">
        <f>6.5022 * CHOOSE(CONTROL!$C$32, $C$9, 100%, $E$9)</f>
        <v>6.5022000000000002</v>
      </c>
    </row>
    <row r="311" spans="1:15" ht="15" x14ac:dyDescent="0.2">
      <c r="A311" s="16">
        <v>50679</v>
      </c>
      <c r="B311" s="80">
        <f>5.1159 * CHOOSE(CONTROL!$C$32, $C$9, 100%, $E$9)</f>
        <v>5.1158999999999999</v>
      </c>
      <c r="C311" s="80">
        <f>5.1159 * CHOOSE(CONTROL!$C$32, $C$9, 100%, $E$9)</f>
        <v>5.1158999999999999</v>
      </c>
      <c r="D311" s="80">
        <f>5.117 * CHOOSE(CONTROL!$C$32, $C$9, 100%, $E$9)</f>
        <v>5.117</v>
      </c>
      <c r="E311" s="81">
        <f>6.5292 * CHOOSE(CONTROL!$C$32, $C$9, 100%, $E$9)</f>
        <v>6.5292000000000003</v>
      </c>
      <c r="F311" s="81">
        <f>6.5292 * CHOOSE(CONTROL!$C$32, $C$9, 100%, $E$9)</f>
        <v>6.5292000000000003</v>
      </c>
      <c r="G311" s="81">
        <f>6.5328 * CHOOSE(CONTROL!$C$32, $C$9, 100%, $E$9)</f>
        <v>6.5327999999999999</v>
      </c>
      <c r="H311" s="81">
        <f>10.7931 * CHOOSE(CONTROL!$C$32, $C$9, 100%, $E$9)</f>
        <v>10.793100000000001</v>
      </c>
      <c r="I311" s="81">
        <f>10.7967 * CHOOSE(CONTROL!$C$32, $C$9, 100%, $E$9)</f>
        <v>10.7967</v>
      </c>
      <c r="J311" s="81">
        <f>10.7931 * CHOOSE(CONTROL!$C$32, $C$9, 100%, $E$9)</f>
        <v>10.793100000000001</v>
      </c>
      <c r="K311" s="81">
        <f>10.7967 * CHOOSE(CONTROL!$C$32, $C$9, 100%, $E$9)</f>
        <v>10.7967</v>
      </c>
      <c r="L311" s="81">
        <f>6.5292 * CHOOSE(CONTROL!$C$32, $C$9, 100%, $E$9)</f>
        <v>6.5292000000000003</v>
      </c>
      <c r="M311" s="81">
        <f>6.5328 * CHOOSE(CONTROL!$C$32, $C$9, 100%, $E$9)</f>
        <v>6.5327999999999999</v>
      </c>
      <c r="N311" s="81">
        <f>6.5292 * CHOOSE(CONTROL!$C$32, $C$9, 100%, $E$9)</f>
        <v>6.5292000000000003</v>
      </c>
      <c r="O311" s="81">
        <f>6.5328 * CHOOSE(CONTROL!$C$32, $C$9, 100%, $E$9)</f>
        <v>6.5327999999999999</v>
      </c>
    </row>
    <row r="312" spans="1:15" ht="15" x14ac:dyDescent="0.2">
      <c r="A312" s="16">
        <v>50710</v>
      </c>
      <c r="B312" s="80">
        <f>5.119 * CHOOSE(CONTROL!$C$32, $C$9, 100%, $E$9)</f>
        <v>5.1189999999999998</v>
      </c>
      <c r="C312" s="80">
        <f>5.119 * CHOOSE(CONTROL!$C$32, $C$9, 100%, $E$9)</f>
        <v>5.1189999999999998</v>
      </c>
      <c r="D312" s="80">
        <f>5.1201 * CHOOSE(CONTROL!$C$32, $C$9, 100%, $E$9)</f>
        <v>5.1200999999999999</v>
      </c>
      <c r="E312" s="81">
        <f>6.5541 * CHOOSE(CONTROL!$C$32, $C$9, 100%, $E$9)</f>
        <v>6.5541</v>
      </c>
      <c r="F312" s="81">
        <f>6.5541 * CHOOSE(CONTROL!$C$32, $C$9, 100%, $E$9)</f>
        <v>6.5541</v>
      </c>
      <c r="G312" s="81">
        <f>6.5578 * CHOOSE(CONTROL!$C$32, $C$9, 100%, $E$9)</f>
        <v>6.5578000000000003</v>
      </c>
      <c r="H312" s="81">
        <f>10.8156 * CHOOSE(CONTROL!$C$32, $C$9, 100%, $E$9)</f>
        <v>10.8156</v>
      </c>
      <c r="I312" s="81">
        <f>10.8192 * CHOOSE(CONTROL!$C$32, $C$9, 100%, $E$9)</f>
        <v>10.8192</v>
      </c>
      <c r="J312" s="81">
        <f>10.8156 * CHOOSE(CONTROL!$C$32, $C$9, 100%, $E$9)</f>
        <v>10.8156</v>
      </c>
      <c r="K312" s="81">
        <f>10.8192 * CHOOSE(CONTROL!$C$32, $C$9, 100%, $E$9)</f>
        <v>10.8192</v>
      </c>
      <c r="L312" s="81">
        <f>6.5541 * CHOOSE(CONTROL!$C$32, $C$9, 100%, $E$9)</f>
        <v>6.5541</v>
      </c>
      <c r="M312" s="81">
        <f>6.5578 * CHOOSE(CONTROL!$C$32, $C$9, 100%, $E$9)</f>
        <v>6.5578000000000003</v>
      </c>
      <c r="N312" s="81">
        <f>6.5541 * CHOOSE(CONTROL!$C$32, $C$9, 100%, $E$9)</f>
        <v>6.5541</v>
      </c>
      <c r="O312" s="81">
        <f>6.5578 * CHOOSE(CONTROL!$C$32, $C$9, 100%, $E$9)</f>
        <v>6.5578000000000003</v>
      </c>
    </row>
    <row r="313" spans="1:15" ht="15" x14ac:dyDescent="0.2">
      <c r="A313" s="16">
        <v>50740</v>
      </c>
      <c r="B313" s="80">
        <f>5.119 * CHOOSE(CONTROL!$C$32, $C$9, 100%, $E$9)</f>
        <v>5.1189999999999998</v>
      </c>
      <c r="C313" s="80">
        <f>5.119 * CHOOSE(CONTROL!$C$32, $C$9, 100%, $E$9)</f>
        <v>5.1189999999999998</v>
      </c>
      <c r="D313" s="80">
        <f>5.1201 * CHOOSE(CONTROL!$C$32, $C$9, 100%, $E$9)</f>
        <v>5.1200999999999999</v>
      </c>
      <c r="E313" s="81">
        <f>6.533 * CHOOSE(CONTROL!$C$32, $C$9, 100%, $E$9)</f>
        <v>6.5330000000000004</v>
      </c>
      <c r="F313" s="81">
        <f>6.533 * CHOOSE(CONTROL!$C$32, $C$9, 100%, $E$9)</f>
        <v>6.5330000000000004</v>
      </c>
      <c r="G313" s="81">
        <f>6.5367 * CHOOSE(CONTROL!$C$32, $C$9, 100%, $E$9)</f>
        <v>6.5366999999999997</v>
      </c>
      <c r="H313" s="81">
        <f>10.8381 * CHOOSE(CONTROL!$C$32, $C$9, 100%, $E$9)</f>
        <v>10.838100000000001</v>
      </c>
      <c r="I313" s="81">
        <f>10.8417 * CHOOSE(CONTROL!$C$32, $C$9, 100%, $E$9)</f>
        <v>10.841699999999999</v>
      </c>
      <c r="J313" s="81">
        <f>10.8381 * CHOOSE(CONTROL!$C$32, $C$9, 100%, $E$9)</f>
        <v>10.838100000000001</v>
      </c>
      <c r="K313" s="81">
        <f>10.8417 * CHOOSE(CONTROL!$C$32, $C$9, 100%, $E$9)</f>
        <v>10.841699999999999</v>
      </c>
      <c r="L313" s="81">
        <f>6.533 * CHOOSE(CONTROL!$C$32, $C$9, 100%, $E$9)</f>
        <v>6.5330000000000004</v>
      </c>
      <c r="M313" s="81">
        <f>6.5367 * CHOOSE(CONTROL!$C$32, $C$9, 100%, $E$9)</f>
        <v>6.5366999999999997</v>
      </c>
      <c r="N313" s="81">
        <f>6.533 * CHOOSE(CONTROL!$C$32, $C$9, 100%, $E$9)</f>
        <v>6.5330000000000004</v>
      </c>
      <c r="O313" s="81">
        <f>6.5367 * CHOOSE(CONTROL!$C$32, $C$9, 100%, $E$9)</f>
        <v>6.5366999999999997</v>
      </c>
    </row>
    <row r="314" spans="1:15" ht="15" x14ac:dyDescent="0.2">
      <c r="A314" s="16">
        <v>50771</v>
      </c>
      <c r="B314" s="80">
        <f>5.1575 * CHOOSE(CONTROL!$C$32, $C$9, 100%, $E$9)</f>
        <v>5.1574999999999998</v>
      </c>
      <c r="C314" s="80">
        <f>5.1575 * CHOOSE(CONTROL!$C$32, $C$9, 100%, $E$9)</f>
        <v>5.1574999999999998</v>
      </c>
      <c r="D314" s="80">
        <f>5.1586 * CHOOSE(CONTROL!$C$32, $C$9, 100%, $E$9)</f>
        <v>5.1585999999999999</v>
      </c>
      <c r="E314" s="81">
        <f>6.5634 * CHOOSE(CONTROL!$C$32, $C$9, 100%, $E$9)</f>
        <v>6.5633999999999997</v>
      </c>
      <c r="F314" s="81">
        <f>6.5634 * CHOOSE(CONTROL!$C$32, $C$9, 100%, $E$9)</f>
        <v>6.5633999999999997</v>
      </c>
      <c r="G314" s="81">
        <f>6.567 * CHOOSE(CONTROL!$C$32, $C$9, 100%, $E$9)</f>
        <v>6.5670000000000002</v>
      </c>
      <c r="H314" s="81">
        <f>10.8607 * CHOOSE(CONTROL!$C$32, $C$9, 100%, $E$9)</f>
        <v>10.8607</v>
      </c>
      <c r="I314" s="81">
        <f>10.8643 * CHOOSE(CONTROL!$C$32, $C$9, 100%, $E$9)</f>
        <v>10.8643</v>
      </c>
      <c r="J314" s="81">
        <f>10.8607 * CHOOSE(CONTROL!$C$32, $C$9, 100%, $E$9)</f>
        <v>10.8607</v>
      </c>
      <c r="K314" s="81">
        <f>10.8643 * CHOOSE(CONTROL!$C$32, $C$9, 100%, $E$9)</f>
        <v>10.8643</v>
      </c>
      <c r="L314" s="81">
        <f>6.5634 * CHOOSE(CONTROL!$C$32, $C$9, 100%, $E$9)</f>
        <v>6.5633999999999997</v>
      </c>
      <c r="M314" s="81">
        <f>6.567 * CHOOSE(CONTROL!$C$32, $C$9, 100%, $E$9)</f>
        <v>6.5670000000000002</v>
      </c>
      <c r="N314" s="81">
        <f>6.5634 * CHOOSE(CONTROL!$C$32, $C$9, 100%, $E$9)</f>
        <v>6.5633999999999997</v>
      </c>
      <c r="O314" s="81">
        <f>6.567 * CHOOSE(CONTROL!$C$32, $C$9, 100%, $E$9)</f>
        <v>6.5670000000000002</v>
      </c>
    </row>
    <row r="315" spans="1:15" ht="15" x14ac:dyDescent="0.2">
      <c r="A315" s="16">
        <v>50802</v>
      </c>
      <c r="B315" s="80">
        <f>5.1544 * CHOOSE(CONTROL!$C$32, $C$9, 100%, $E$9)</f>
        <v>5.1543999999999999</v>
      </c>
      <c r="C315" s="80">
        <f>5.1544 * CHOOSE(CONTROL!$C$32, $C$9, 100%, $E$9)</f>
        <v>5.1543999999999999</v>
      </c>
      <c r="D315" s="80">
        <f>5.1555 * CHOOSE(CONTROL!$C$32, $C$9, 100%, $E$9)</f>
        <v>5.1555</v>
      </c>
      <c r="E315" s="81">
        <f>6.4498 * CHOOSE(CONTROL!$C$32, $C$9, 100%, $E$9)</f>
        <v>6.4497999999999998</v>
      </c>
      <c r="F315" s="81">
        <f>6.4498 * CHOOSE(CONTROL!$C$32, $C$9, 100%, $E$9)</f>
        <v>6.4497999999999998</v>
      </c>
      <c r="G315" s="81">
        <f>6.4535 * CHOOSE(CONTROL!$C$32, $C$9, 100%, $E$9)</f>
        <v>6.4535</v>
      </c>
      <c r="H315" s="81">
        <f>10.8833 * CHOOSE(CONTROL!$C$32, $C$9, 100%, $E$9)</f>
        <v>10.8833</v>
      </c>
      <c r="I315" s="81">
        <f>10.8869 * CHOOSE(CONTROL!$C$32, $C$9, 100%, $E$9)</f>
        <v>10.886900000000001</v>
      </c>
      <c r="J315" s="81">
        <f>10.8833 * CHOOSE(CONTROL!$C$32, $C$9, 100%, $E$9)</f>
        <v>10.8833</v>
      </c>
      <c r="K315" s="81">
        <f>10.8869 * CHOOSE(CONTROL!$C$32, $C$9, 100%, $E$9)</f>
        <v>10.886900000000001</v>
      </c>
      <c r="L315" s="81">
        <f>6.4498 * CHOOSE(CONTROL!$C$32, $C$9, 100%, $E$9)</f>
        <v>6.4497999999999998</v>
      </c>
      <c r="M315" s="81">
        <f>6.4535 * CHOOSE(CONTROL!$C$32, $C$9, 100%, $E$9)</f>
        <v>6.4535</v>
      </c>
      <c r="N315" s="81">
        <f>6.4498 * CHOOSE(CONTROL!$C$32, $C$9, 100%, $E$9)</f>
        <v>6.4497999999999998</v>
      </c>
      <c r="O315" s="81">
        <f>6.4535 * CHOOSE(CONTROL!$C$32, $C$9, 100%, $E$9)</f>
        <v>6.4535</v>
      </c>
    </row>
    <row r="316" spans="1:15" ht="15" x14ac:dyDescent="0.2">
      <c r="A316" s="16">
        <v>50830</v>
      </c>
      <c r="B316" s="80">
        <f>5.1514 * CHOOSE(CONTROL!$C$32, $C$9, 100%, $E$9)</f>
        <v>5.1513999999999998</v>
      </c>
      <c r="C316" s="80">
        <f>5.1514 * CHOOSE(CONTROL!$C$32, $C$9, 100%, $E$9)</f>
        <v>5.1513999999999998</v>
      </c>
      <c r="D316" s="80">
        <f>5.1525 * CHOOSE(CONTROL!$C$32, $C$9, 100%, $E$9)</f>
        <v>5.1524999999999999</v>
      </c>
      <c r="E316" s="81">
        <f>6.5356 * CHOOSE(CONTROL!$C$32, $C$9, 100%, $E$9)</f>
        <v>6.5355999999999996</v>
      </c>
      <c r="F316" s="81">
        <f>6.5356 * CHOOSE(CONTROL!$C$32, $C$9, 100%, $E$9)</f>
        <v>6.5355999999999996</v>
      </c>
      <c r="G316" s="81">
        <f>6.5392 * CHOOSE(CONTROL!$C$32, $C$9, 100%, $E$9)</f>
        <v>6.5392000000000001</v>
      </c>
      <c r="H316" s="81">
        <f>10.906 * CHOOSE(CONTROL!$C$32, $C$9, 100%, $E$9)</f>
        <v>10.906000000000001</v>
      </c>
      <c r="I316" s="81">
        <f>10.9096 * CHOOSE(CONTROL!$C$32, $C$9, 100%, $E$9)</f>
        <v>10.909599999999999</v>
      </c>
      <c r="J316" s="81">
        <f>10.906 * CHOOSE(CONTROL!$C$32, $C$9, 100%, $E$9)</f>
        <v>10.906000000000001</v>
      </c>
      <c r="K316" s="81">
        <f>10.9096 * CHOOSE(CONTROL!$C$32, $C$9, 100%, $E$9)</f>
        <v>10.909599999999999</v>
      </c>
      <c r="L316" s="81">
        <f>6.5356 * CHOOSE(CONTROL!$C$32, $C$9, 100%, $E$9)</f>
        <v>6.5355999999999996</v>
      </c>
      <c r="M316" s="81">
        <f>6.5392 * CHOOSE(CONTROL!$C$32, $C$9, 100%, $E$9)</f>
        <v>6.5392000000000001</v>
      </c>
      <c r="N316" s="81">
        <f>6.5356 * CHOOSE(CONTROL!$C$32, $C$9, 100%, $E$9)</f>
        <v>6.5355999999999996</v>
      </c>
      <c r="O316" s="81">
        <f>6.5392 * CHOOSE(CONTROL!$C$32, $C$9, 100%, $E$9)</f>
        <v>6.5392000000000001</v>
      </c>
    </row>
    <row r="317" spans="1:15" ht="15" x14ac:dyDescent="0.2">
      <c r="A317" s="16">
        <v>50861</v>
      </c>
      <c r="B317" s="80">
        <f>5.1502 * CHOOSE(CONTROL!$C$32, $C$9, 100%, $E$9)</f>
        <v>5.1501999999999999</v>
      </c>
      <c r="C317" s="80">
        <f>5.1502 * CHOOSE(CONTROL!$C$32, $C$9, 100%, $E$9)</f>
        <v>5.1501999999999999</v>
      </c>
      <c r="D317" s="80">
        <f>5.1512 * CHOOSE(CONTROL!$C$32, $C$9, 100%, $E$9)</f>
        <v>5.1512000000000002</v>
      </c>
      <c r="E317" s="81">
        <f>6.6256 * CHOOSE(CONTROL!$C$32, $C$9, 100%, $E$9)</f>
        <v>6.6256000000000004</v>
      </c>
      <c r="F317" s="81">
        <f>6.6256 * CHOOSE(CONTROL!$C$32, $C$9, 100%, $E$9)</f>
        <v>6.6256000000000004</v>
      </c>
      <c r="G317" s="81">
        <f>6.6292 * CHOOSE(CONTROL!$C$32, $C$9, 100%, $E$9)</f>
        <v>6.6292</v>
      </c>
      <c r="H317" s="81">
        <f>10.9287 * CHOOSE(CONTROL!$C$32, $C$9, 100%, $E$9)</f>
        <v>10.928699999999999</v>
      </c>
      <c r="I317" s="81">
        <f>10.9323 * CHOOSE(CONTROL!$C$32, $C$9, 100%, $E$9)</f>
        <v>10.9323</v>
      </c>
      <c r="J317" s="81">
        <f>10.9287 * CHOOSE(CONTROL!$C$32, $C$9, 100%, $E$9)</f>
        <v>10.928699999999999</v>
      </c>
      <c r="K317" s="81">
        <f>10.9323 * CHOOSE(CONTROL!$C$32, $C$9, 100%, $E$9)</f>
        <v>10.9323</v>
      </c>
      <c r="L317" s="81">
        <f>6.6256 * CHOOSE(CONTROL!$C$32, $C$9, 100%, $E$9)</f>
        <v>6.6256000000000004</v>
      </c>
      <c r="M317" s="81">
        <f>6.6292 * CHOOSE(CONTROL!$C$32, $C$9, 100%, $E$9)</f>
        <v>6.6292</v>
      </c>
      <c r="N317" s="81">
        <f>6.6256 * CHOOSE(CONTROL!$C$32, $C$9, 100%, $E$9)</f>
        <v>6.6256000000000004</v>
      </c>
      <c r="O317" s="81">
        <f>6.6292 * CHOOSE(CONTROL!$C$32, $C$9, 100%, $E$9)</f>
        <v>6.6292</v>
      </c>
    </row>
    <row r="318" spans="1:15" ht="15" x14ac:dyDescent="0.2">
      <c r="A318" s="16">
        <v>50891</v>
      </c>
      <c r="B318" s="80">
        <f>5.1502 * CHOOSE(CONTROL!$C$32, $C$9, 100%, $E$9)</f>
        <v>5.1501999999999999</v>
      </c>
      <c r="C318" s="80">
        <f>5.1502 * CHOOSE(CONTROL!$C$32, $C$9, 100%, $E$9)</f>
        <v>5.1501999999999999</v>
      </c>
      <c r="D318" s="80">
        <f>5.1517 * CHOOSE(CONTROL!$C$32, $C$9, 100%, $E$9)</f>
        <v>5.1516999999999999</v>
      </c>
      <c r="E318" s="81">
        <f>6.661 * CHOOSE(CONTROL!$C$32, $C$9, 100%, $E$9)</f>
        <v>6.6609999999999996</v>
      </c>
      <c r="F318" s="81">
        <f>6.661 * CHOOSE(CONTROL!$C$32, $C$9, 100%, $E$9)</f>
        <v>6.6609999999999996</v>
      </c>
      <c r="G318" s="81">
        <f>6.6663 * CHOOSE(CONTROL!$C$32, $C$9, 100%, $E$9)</f>
        <v>6.6662999999999997</v>
      </c>
      <c r="H318" s="81">
        <f>10.9515 * CHOOSE(CONTROL!$C$32, $C$9, 100%, $E$9)</f>
        <v>10.951499999999999</v>
      </c>
      <c r="I318" s="81">
        <f>10.9568 * CHOOSE(CONTROL!$C$32, $C$9, 100%, $E$9)</f>
        <v>10.956799999999999</v>
      </c>
      <c r="J318" s="81">
        <f>10.9515 * CHOOSE(CONTROL!$C$32, $C$9, 100%, $E$9)</f>
        <v>10.951499999999999</v>
      </c>
      <c r="K318" s="81">
        <f>10.9568 * CHOOSE(CONTROL!$C$32, $C$9, 100%, $E$9)</f>
        <v>10.956799999999999</v>
      </c>
      <c r="L318" s="81">
        <f>6.661 * CHOOSE(CONTROL!$C$32, $C$9, 100%, $E$9)</f>
        <v>6.6609999999999996</v>
      </c>
      <c r="M318" s="81">
        <f>6.6663 * CHOOSE(CONTROL!$C$32, $C$9, 100%, $E$9)</f>
        <v>6.6662999999999997</v>
      </c>
      <c r="N318" s="81">
        <f>6.661 * CHOOSE(CONTROL!$C$32, $C$9, 100%, $E$9)</f>
        <v>6.6609999999999996</v>
      </c>
      <c r="O318" s="81">
        <f>6.6663 * CHOOSE(CONTROL!$C$32, $C$9, 100%, $E$9)</f>
        <v>6.6662999999999997</v>
      </c>
    </row>
    <row r="319" spans="1:15" ht="15" x14ac:dyDescent="0.2">
      <c r="A319" s="16">
        <v>50922</v>
      </c>
      <c r="B319" s="80">
        <f>5.1562 * CHOOSE(CONTROL!$C$32, $C$9, 100%, $E$9)</f>
        <v>5.1562000000000001</v>
      </c>
      <c r="C319" s="80">
        <f>5.1562 * CHOOSE(CONTROL!$C$32, $C$9, 100%, $E$9)</f>
        <v>5.1562000000000001</v>
      </c>
      <c r="D319" s="80">
        <f>5.1578 * CHOOSE(CONTROL!$C$32, $C$9, 100%, $E$9)</f>
        <v>5.1577999999999999</v>
      </c>
      <c r="E319" s="81">
        <f>6.6299 * CHOOSE(CONTROL!$C$32, $C$9, 100%, $E$9)</f>
        <v>6.6299000000000001</v>
      </c>
      <c r="F319" s="81">
        <f>6.6299 * CHOOSE(CONTROL!$C$32, $C$9, 100%, $E$9)</f>
        <v>6.6299000000000001</v>
      </c>
      <c r="G319" s="81">
        <f>6.6352 * CHOOSE(CONTROL!$C$32, $C$9, 100%, $E$9)</f>
        <v>6.6352000000000002</v>
      </c>
      <c r="H319" s="81">
        <f>10.9743 * CHOOSE(CONTROL!$C$32, $C$9, 100%, $E$9)</f>
        <v>10.974299999999999</v>
      </c>
      <c r="I319" s="81">
        <f>10.9796 * CHOOSE(CONTROL!$C$32, $C$9, 100%, $E$9)</f>
        <v>10.9796</v>
      </c>
      <c r="J319" s="81">
        <f>10.9743 * CHOOSE(CONTROL!$C$32, $C$9, 100%, $E$9)</f>
        <v>10.974299999999999</v>
      </c>
      <c r="K319" s="81">
        <f>10.9796 * CHOOSE(CONTROL!$C$32, $C$9, 100%, $E$9)</f>
        <v>10.9796</v>
      </c>
      <c r="L319" s="81">
        <f>6.6299 * CHOOSE(CONTROL!$C$32, $C$9, 100%, $E$9)</f>
        <v>6.6299000000000001</v>
      </c>
      <c r="M319" s="81">
        <f>6.6352 * CHOOSE(CONTROL!$C$32, $C$9, 100%, $E$9)</f>
        <v>6.6352000000000002</v>
      </c>
      <c r="N319" s="81">
        <f>6.6299 * CHOOSE(CONTROL!$C$32, $C$9, 100%, $E$9)</f>
        <v>6.6299000000000001</v>
      </c>
      <c r="O319" s="81">
        <f>6.6352 * CHOOSE(CONTROL!$C$32, $C$9, 100%, $E$9)</f>
        <v>6.6352000000000002</v>
      </c>
    </row>
    <row r="320" spans="1:15" ht="15" x14ac:dyDescent="0.2">
      <c r="A320" s="16">
        <v>50952</v>
      </c>
      <c r="B320" s="80">
        <f>5.2245 * CHOOSE(CONTROL!$C$32, $C$9, 100%, $E$9)</f>
        <v>5.2244999999999999</v>
      </c>
      <c r="C320" s="80">
        <f>5.2245 * CHOOSE(CONTROL!$C$32, $C$9, 100%, $E$9)</f>
        <v>5.2244999999999999</v>
      </c>
      <c r="D320" s="80">
        <f>5.226 * CHOOSE(CONTROL!$C$32, $C$9, 100%, $E$9)</f>
        <v>5.226</v>
      </c>
      <c r="E320" s="81">
        <f>6.6597 * CHOOSE(CONTROL!$C$32, $C$9, 100%, $E$9)</f>
        <v>6.6597</v>
      </c>
      <c r="F320" s="81">
        <f>6.6597 * CHOOSE(CONTROL!$C$32, $C$9, 100%, $E$9)</f>
        <v>6.6597</v>
      </c>
      <c r="G320" s="81">
        <f>6.665 * CHOOSE(CONTROL!$C$32, $C$9, 100%, $E$9)</f>
        <v>6.665</v>
      </c>
      <c r="H320" s="81">
        <f>10.9972 * CHOOSE(CONTROL!$C$32, $C$9, 100%, $E$9)</f>
        <v>10.997199999999999</v>
      </c>
      <c r="I320" s="81">
        <f>11.0025 * CHOOSE(CONTROL!$C$32, $C$9, 100%, $E$9)</f>
        <v>11.0025</v>
      </c>
      <c r="J320" s="81">
        <f>10.9972 * CHOOSE(CONTROL!$C$32, $C$9, 100%, $E$9)</f>
        <v>10.997199999999999</v>
      </c>
      <c r="K320" s="81">
        <f>11.0025 * CHOOSE(CONTROL!$C$32, $C$9, 100%, $E$9)</f>
        <v>11.0025</v>
      </c>
      <c r="L320" s="81">
        <f>6.6597 * CHOOSE(CONTROL!$C$32, $C$9, 100%, $E$9)</f>
        <v>6.6597</v>
      </c>
      <c r="M320" s="81">
        <f>6.665 * CHOOSE(CONTROL!$C$32, $C$9, 100%, $E$9)</f>
        <v>6.665</v>
      </c>
      <c r="N320" s="81">
        <f>6.6597 * CHOOSE(CONTROL!$C$32, $C$9, 100%, $E$9)</f>
        <v>6.6597</v>
      </c>
      <c r="O320" s="81">
        <f>6.665 * CHOOSE(CONTROL!$C$32, $C$9, 100%, $E$9)</f>
        <v>6.665</v>
      </c>
    </row>
    <row r="321" spans="1:15" ht="15" x14ac:dyDescent="0.2">
      <c r="A321" s="16">
        <v>50983</v>
      </c>
      <c r="B321" s="80">
        <f>5.2312 * CHOOSE(CONTROL!$C$32, $C$9, 100%, $E$9)</f>
        <v>5.2312000000000003</v>
      </c>
      <c r="C321" s="80">
        <f>5.2312 * CHOOSE(CONTROL!$C$32, $C$9, 100%, $E$9)</f>
        <v>5.2312000000000003</v>
      </c>
      <c r="D321" s="80">
        <f>5.2327 * CHOOSE(CONTROL!$C$32, $C$9, 100%, $E$9)</f>
        <v>5.2327000000000004</v>
      </c>
      <c r="E321" s="81">
        <f>6.5583 * CHOOSE(CONTROL!$C$32, $C$9, 100%, $E$9)</f>
        <v>6.5583</v>
      </c>
      <c r="F321" s="81">
        <f>6.5583 * CHOOSE(CONTROL!$C$32, $C$9, 100%, $E$9)</f>
        <v>6.5583</v>
      </c>
      <c r="G321" s="81">
        <f>6.5635 * CHOOSE(CONTROL!$C$32, $C$9, 100%, $E$9)</f>
        <v>6.5635000000000003</v>
      </c>
      <c r="H321" s="81">
        <f>11.0201 * CHOOSE(CONTROL!$C$32, $C$9, 100%, $E$9)</f>
        <v>11.020099999999999</v>
      </c>
      <c r="I321" s="81">
        <f>11.0254 * CHOOSE(CONTROL!$C$32, $C$9, 100%, $E$9)</f>
        <v>11.025399999999999</v>
      </c>
      <c r="J321" s="81">
        <f>11.0201 * CHOOSE(CONTROL!$C$32, $C$9, 100%, $E$9)</f>
        <v>11.020099999999999</v>
      </c>
      <c r="K321" s="81">
        <f>11.0254 * CHOOSE(CONTROL!$C$32, $C$9, 100%, $E$9)</f>
        <v>11.025399999999999</v>
      </c>
      <c r="L321" s="81">
        <f>6.5583 * CHOOSE(CONTROL!$C$32, $C$9, 100%, $E$9)</f>
        <v>6.5583</v>
      </c>
      <c r="M321" s="81">
        <f>6.5635 * CHOOSE(CONTROL!$C$32, $C$9, 100%, $E$9)</f>
        <v>6.5635000000000003</v>
      </c>
      <c r="N321" s="81">
        <f>6.5583 * CHOOSE(CONTROL!$C$32, $C$9, 100%, $E$9)</f>
        <v>6.5583</v>
      </c>
      <c r="O321" s="81">
        <f>6.5635 * CHOOSE(CONTROL!$C$32, $C$9, 100%, $E$9)</f>
        <v>6.5635000000000003</v>
      </c>
    </row>
    <row r="322" spans="1:15" ht="15" x14ac:dyDescent="0.2">
      <c r="A322" s="16">
        <v>51014</v>
      </c>
      <c r="B322" s="80">
        <f>5.2281 * CHOOSE(CONTROL!$C$32, $C$9, 100%, $E$9)</f>
        <v>5.2281000000000004</v>
      </c>
      <c r="C322" s="80">
        <f>5.2281 * CHOOSE(CONTROL!$C$32, $C$9, 100%, $E$9)</f>
        <v>5.2281000000000004</v>
      </c>
      <c r="D322" s="80">
        <f>5.2297 * CHOOSE(CONTROL!$C$32, $C$9, 100%, $E$9)</f>
        <v>5.2297000000000002</v>
      </c>
      <c r="E322" s="81">
        <f>6.5443 * CHOOSE(CONTROL!$C$32, $C$9, 100%, $E$9)</f>
        <v>6.5442999999999998</v>
      </c>
      <c r="F322" s="81">
        <f>6.5443 * CHOOSE(CONTROL!$C$32, $C$9, 100%, $E$9)</f>
        <v>6.5442999999999998</v>
      </c>
      <c r="G322" s="81">
        <f>6.5496 * CHOOSE(CONTROL!$C$32, $C$9, 100%, $E$9)</f>
        <v>6.5495999999999999</v>
      </c>
      <c r="H322" s="81">
        <f>11.043 * CHOOSE(CONTROL!$C$32, $C$9, 100%, $E$9)</f>
        <v>11.042999999999999</v>
      </c>
      <c r="I322" s="81">
        <f>11.0483 * CHOOSE(CONTROL!$C$32, $C$9, 100%, $E$9)</f>
        <v>11.048299999999999</v>
      </c>
      <c r="J322" s="81">
        <f>11.043 * CHOOSE(CONTROL!$C$32, $C$9, 100%, $E$9)</f>
        <v>11.042999999999999</v>
      </c>
      <c r="K322" s="81">
        <f>11.0483 * CHOOSE(CONTROL!$C$32, $C$9, 100%, $E$9)</f>
        <v>11.048299999999999</v>
      </c>
      <c r="L322" s="81">
        <f>6.5443 * CHOOSE(CONTROL!$C$32, $C$9, 100%, $E$9)</f>
        <v>6.5442999999999998</v>
      </c>
      <c r="M322" s="81">
        <f>6.5496 * CHOOSE(CONTROL!$C$32, $C$9, 100%, $E$9)</f>
        <v>6.5495999999999999</v>
      </c>
      <c r="N322" s="81">
        <f>6.5443 * CHOOSE(CONTROL!$C$32, $C$9, 100%, $E$9)</f>
        <v>6.5442999999999998</v>
      </c>
      <c r="O322" s="81">
        <f>6.5496 * CHOOSE(CONTROL!$C$32, $C$9, 100%, $E$9)</f>
        <v>6.5495999999999999</v>
      </c>
    </row>
    <row r="323" spans="1:15" ht="15" x14ac:dyDescent="0.2">
      <c r="A323" s="16">
        <v>51044</v>
      </c>
      <c r="B323" s="80">
        <f>5.2277 * CHOOSE(CONTROL!$C$32, $C$9, 100%, $E$9)</f>
        <v>5.2276999999999996</v>
      </c>
      <c r="C323" s="80">
        <f>5.2277 * CHOOSE(CONTROL!$C$32, $C$9, 100%, $E$9)</f>
        <v>5.2276999999999996</v>
      </c>
      <c r="D323" s="80">
        <f>5.2288 * CHOOSE(CONTROL!$C$32, $C$9, 100%, $E$9)</f>
        <v>5.2287999999999997</v>
      </c>
      <c r="E323" s="81">
        <f>6.5781 * CHOOSE(CONTROL!$C$32, $C$9, 100%, $E$9)</f>
        <v>6.5781000000000001</v>
      </c>
      <c r="F323" s="81">
        <f>6.5781 * CHOOSE(CONTROL!$C$32, $C$9, 100%, $E$9)</f>
        <v>6.5781000000000001</v>
      </c>
      <c r="G323" s="81">
        <f>6.5817 * CHOOSE(CONTROL!$C$32, $C$9, 100%, $E$9)</f>
        <v>6.5816999999999997</v>
      </c>
      <c r="H323" s="81">
        <f>11.066 * CHOOSE(CONTROL!$C$32, $C$9, 100%, $E$9)</f>
        <v>11.066000000000001</v>
      </c>
      <c r="I323" s="81">
        <f>11.0697 * CHOOSE(CONTROL!$C$32, $C$9, 100%, $E$9)</f>
        <v>11.069699999999999</v>
      </c>
      <c r="J323" s="81">
        <f>11.066 * CHOOSE(CONTROL!$C$32, $C$9, 100%, $E$9)</f>
        <v>11.066000000000001</v>
      </c>
      <c r="K323" s="81">
        <f>11.0697 * CHOOSE(CONTROL!$C$32, $C$9, 100%, $E$9)</f>
        <v>11.069699999999999</v>
      </c>
      <c r="L323" s="81">
        <f>6.5781 * CHOOSE(CONTROL!$C$32, $C$9, 100%, $E$9)</f>
        <v>6.5781000000000001</v>
      </c>
      <c r="M323" s="81">
        <f>6.5817 * CHOOSE(CONTROL!$C$32, $C$9, 100%, $E$9)</f>
        <v>6.5816999999999997</v>
      </c>
      <c r="N323" s="81">
        <f>6.5781 * CHOOSE(CONTROL!$C$32, $C$9, 100%, $E$9)</f>
        <v>6.5781000000000001</v>
      </c>
      <c r="O323" s="81">
        <f>6.5817 * CHOOSE(CONTROL!$C$32, $C$9, 100%, $E$9)</f>
        <v>6.5816999999999997</v>
      </c>
    </row>
    <row r="324" spans="1:15" ht="15" x14ac:dyDescent="0.2">
      <c r="A324" s="16">
        <v>51075</v>
      </c>
      <c r="B324" s="80">
        <f>5.2308 * CHOOSE(CONTROL!$C$32, $C$9, 100%, $E$9)</f>
        <v>5.2308000000000003</v>
      </c>
      <c r="C324" s="80">
        <f>5.2308 * CHOOSE(CONTROL!$C$32, $C$9, 100%, $E$9)</f>
        <v>5.2308000000000003</v>
      </c>
      <c r="D324" s="80">
        <f>5.2319 * CHOOSE(CONTROL!$C$32, $C$9, 100%, $E$9)</f>
        <v>5.2319000000000004</v>
      </c>
      <c r="E324" s="81">
        <f>6.6038 * CHOOSE(CONTROL!$C$32, $C$9, 100%, $E$9)</f>
        <v>6.6037999999999997</v>
      </c>
      <c r="F324" s="81">
        <f>6.6038 * CHOOSE(CONTROL!$C$32, $C$9, 100%, $E$9)</f>
        <v>6.6037999999999997</v>
      </c>
      <c r="G324" s="81">
        <f>6.6074 * CHOOSE(CONTROL!$C$32, $C$9, 100%, $E$9)</f>
        <v>6.6074000000000002</v>
      </c>
      <c r="H324" s="81">
        <f>11.0891 * CHOOSE(CONTROL!$C$32, $C$9, 100%, $E$9)</f>
        <v>11.0891</v>
      </c>
      <c r="I324" s="81">
        <f>11.0927 * CHOOSE(CONTROL!$C$32, $C$9, 100%, $E$9)</f>
        <v>11.092700000000001</v>
      </c>
      <c r="J324" s="81">
        <f>11.0891 * CHOOSE(CONTROL!$C$32, $C$9, 100%, $E$9)</f>
        <v>11.0891</v>
      </c>
      <c r="K324" s="81">
        <f>11.0927 * CHOOSE(CONTROL!$C$32, $C$9, 100%, $E$9)</f>
        <v>11.092700000000001</v>
      </c>
      <c r="L324" s="81">
        <f>6.6038 * CHOOSE(CONTROL!$C$32, $C$9, 100%, $E$9)</f>
        <v>6.6037999999999997</v>
      </c>
      <c r="M324" s="81">
        <f>6.6074 * CHOOSE(CONTROL!$C$32, $C$9, 100%, $E$9)</f>
        <v>6.6074000000000002</v>
      </c>
      <c r="N324" s="81">
        <f>6.6038 * CHOOSE(CONTROL!$C$32, $C$9, 100%, $E$9)</f>
        <v>6.6037999999999997</v>
      </c>
      <c r="O324" s="81">
        <f>6.6074 * CHOOSE(CONTROL!$C$32, $C$9, 100%, $E$9)</f>
        <v>6.6074000000000002</v>
      </c>
    </row>
    <row r="325" spans="1:15" ht="15" x14ac:dyDescent="0.2">
      <c r="A325" s="16">
        <v>51105</v>
      </c>
      <c r="B325" s="80">
        <f>5.2308 * CHOOSE(CONTROL!$C$32, $C$9, 100%, $E$9)</f>
        <v>5.2308000000000003</v>
      </c>
      <c r="C325" s="80">
        <f>5.2308 * CHOOSE(CONTROL!$C$32, $C$9, 100%, $E$9)</f>
        <v>5.2308000000000003</v>
      </c>
      <c r="D325" s="80">
        <f>5.2319 * CHOOSE(CONTROL!$C$32, $C$9, 100%, $E$9)</f>
        <v>5.2319000000000004</v>
      </c>
      <c r="E325" s="81">
        <f>6.5448 * CHOOSE(CONTROL!$C$32, $C$9, 100%, $E$9)</f>
        <v>6.5448000000000004</v>
      </c>
      <c r="F325" s="81">
        <f>6.5448 * CHOOSE(CONTROL!$C$32, $C$9, 100%, $E$9)</f>
        <v>6.5448000000000004</v>
      </c>
      <c r="G325" s="81">
        <f>6.5485 * CHOOSE(CONTROL!$C$32, $C$9, 100%, $E$9)</f>
        <v>6.5484999999999998</v>
      </c>
      <c r="H325" s="81">
        <f>11.1122 * CHOOSE(CONTROL!$C$32, $C$9, 100%, $E$9)</f>
        <v>11.1122</v>
      </c>
      <c r="I325" s="81">
        <f>11.1158 * CHOOSE(CONTROL!$C$32, $C$9, 100%, $E$9)</f>
        <v>11.1158</v>
      </c>
      <c r="J325" s="81">
        <f>11.1122 * CHOOSE(CONTROL!$C$32, $C$9, 100%, $E$9)</f>
        <v>11.1122</v>
      </c>
      <c r="K325" s="81">
        <f>11.1158 * CHOOSE(CONTROL!$C$32, $C$9, 100%, $E$9)</f>
        <v>11.1158</v>
      </c>
      <c r="L325" s="81">
        <f>6.5448 * CHOOSE(CONTROL!$C$32, $C$9, 100%, $E$9)</f>
        <v>6.5448000000000004</v>
      </c>
      <c r="M325" s="81">
        <f>6.5485 * CHOOSE(CONTROL!$C$32, $C$9, 100%, $E$9)</f>
        <v>6.5484999999999998</v>
      </c>
      <c r="N325" s="81">
        <f>6.5448 * CHOOSE(CONTROL!$C$32, $C$9, 100%, $E$9)</f>
        <v>6.5448000000000004</v>
      </c>
      <c r="O325" s="81">
        <f>6.5485 * CHOOSE(CONTROL!$C$32, $C$9, 100%, $E$9)</f>
        <v>6.5484999999999998</v>
      </c>
    </row>
    <row r="326" spans="1:15" ht="15" x14ac:dyDescent="0.2">
      <c r="A326" s="16">
        <v>51136</v>
      </c>
      <c r="B326" s="80">
        <f>5.2721 * CHOOSE(CONTROL!$C$32, $C$9, 100%, $E$9)</f>
        <v>5.2721</v>
      </c>
      <c r="C326" s="80">
        <f>5.2721 * CHOOSE(CONTROL!$C$32, $C$9, 100%, $E$9)</f>
        <v>5.2721</v>
      </c>
      <c r="D326" s="80">
        <f>5.2732 * CHOOSE(CONTROL!$C$32, $C$9, 100%, $E$9)</f>
        <v>5.2732000000000001</v>
      </c>
      <c r="E326" s="81">
        <f>6.6042 * CHOOSE(CONTROL!$C$32, $C$9, 100%, $E$9)</f>
        <v>6.6041999999999996</v>
      </c>
      <c r="F326" s="81">
        <f>6.6042 * CHOOSE(CONTROL!$C$32, $C$9, 100%, $E$9)</f>
        <v>6.6041999999999996</v>
      </c>
      <c r="G326" s="81">
        <f>6.6078 * CHOOSE(CONTROL!$C$32, $C$9, 100%, $E$9)</f>
        <v>6.6078000000000001</v>
      </c>
      <c r="H326" s="81">
        <f>11.1353 * CHOOSE(CONTROL!$C$32, $C$9, 100%, $E$9)</f>
        <v>11.135300000000001</v>
      </c>
      <c r="I326" s="81">
        <f>11.139 * CHOOSE(CONTROL!$C$32, $C$9, 100%, $E$9)</f>
        <v>11.138999999999999</v>
      </c>
      <c r="J326" s="81">
        <f>11.1353 * CHOOSE(CONTROL!$C$32, $C$9, 100%, $E$9)</f>
        <v>11.135300000000001</v>
      </c>
      <c r="K326" s="81">
        <f>11.139 * CHOOSE(CONTROL!$C$32, $C$9, 100%, $E$9)</f>
        <v>11.138999999999999</v>
      </c>
      <c r="L326" s="81">
        <f>6.6042 * CHOOSE(CONTROL!$C$32, $C$9, 100%, $E$9)</f>
        <v>6.6041999999999996</v>
      </c>
      <c r="M326" s="81">
        <f>6.6078 * CHOOSE(CONTROL!$C$32, $C$9, 100%, $E$9)</f>
        <v>6.6078000000000001</v>
      </c>
      <c r="N326" s="81">
        <f>6.6042 * CHOOSE(CONTROL!$C$32, $C$9, 100%, $E$9)</f>
        <v>6.6041999999999996</v>
      </c>
      <c r="O326" s="81">
        <f>6.6078 * CHOOSE(CONTROL!$C$32, $C$9, 100%, $E$9)</f>
        <v>6.6078000000000001</v>
      </c>
    </row>
    <row r="327" spans="1:15" ht="15" x14ac:dyDescent="0.2">
      <c r="A327" s="16">
        <v>51167</v>
      </c>
      <c r="B327" s="80">
        <f>5.2691 * CHOOSE(CONTROL!$C$32, $C$9, 100%, $E$9)</f>
        <v>5.2690999999999999</v>
      </c>
      <c r="C327" s="80">
        <f>5.2691 * CHOOSE(CONTROL!$C$32, $C$9, 100%, $E$9)</f>
        <v>5.2690999999999999</v>
      </c>
      <c r="D327" s="80">
        <f>5.2702 * CHOOSE(CONTROL!$C$32, $C$9, 100%, $E$9)</f>
        <v>5.2702</v>
      </c>
      <c r="E327" s="81">
        <f>6.487 * CHOOSE(CONTROL!$C$32, $C$9, 100%, $E$9)</f>
        <v>6.4870000000000001</v>
      </c>
      <c r="F327" s="81">
        <f>6.487 * CHOOSE(CONTROL!$C$32, $C$9, 100%, $E$9)</f>
        <v>6.4870000000000001</v>
      </c>
      <c r="G327" s="81">
        <f>6.4906 * CHOOSE(CONTROL!$C$32, $C$9, 100%, $E$9)</f>
        <v>6.4905999999999997</v>
      </c>
      <c r="H327" s="81">
        <f>11.1585 * CHOOSE(CONTROL!$C$32, $C$9, 100%, $E$9)</f>
        <v>11.1585</v>
      </c>
      <c r="I327" s="81">
        <f>11.1622 * CHOOSE(CONTROL!$C$32, $C$9, 100%, $E$9)</f>
        <v>11.1622</v>
      </c>
      <c r="J327" s="81">
        <f>11.1585 * CHOOSE(CONTROL!$C$32, $C$9, 100%, $E$9)</f>
        <v>11.1585</v>
      </c>
      <c r="K327" s="81">
        <f>11.1622 * CHOOSE(CONTROL!$C$32, $C$9, 100%, $E$9)</f>
        <v>11.1622</v>
      </c>
      <c r="L327" s="81">
        <f>6.487 * CHOOSE(CONTROL!$C$32, $C$9, 100%, $E$9)</f>
        <v>6.4870000000000001</v>
      </c>
      <c r="M327" s="81">
        <f>6.4906 * CHOOSE(CONTROL!$C$32, $C$9, 100%, $E$9)</f>
        <v>6.4905999999999997</v>
      </c>
      <c r="N327" s="81">
        <f>6.487 * CHOOSE(CONTROL!$C$32, $C$9, 100%, $E$9)</f>
        <v>6.4870000000000001</v>
      </c>
      <c r="O327" s="81">
        <f>6.4906 * CHOOSE(CONTROL!$C$32, $C$9, 100%, $E$9)</f>
        <v>6.4905999999999997</v>
      </c>
    </row>
    <row r="328" spans="1:15" ht="15" x14ac:dyDescent="0.2">
      <c r="A328" s="16">
        <v>51196</v>
      </c>
      <c r="B328" s="80">
        <f>5.266 * CHOOSE(CONTROL!$C$32, $C$9, 100%, $E$9)</f>
        <v>5.266</v>
      </c>
      <c r="C328" s="80">
        <f>5.266 * CHOOSE(CONTROL!$C$32, $C$9, 100%, $E$9)</f>
        <v>5.266</v>
      </c>
      <c r="D328" s="80">
        <f>5.2671 * CHOOSE(CONTROL!$C$32, $C$9, 100%, $E$9)</f>
        <v>5.2671000000000001</v>
      </c>
      <c r="E328" s="81">
        <f>6.5756 * CHOOSE(CONTROL!$C$32, $C$9, 100%, $E$9)</f>
        <v>6.5755999999999997</v>
      </c>
      <c r="F328" s="81">
        <f>6.5756 * CHOOSE(CONTROL!$C$32, $C$9, 100%, $E$9)</f>
        <v>6.5755999999999997</v>
      </c>
      <c r="G328" s="81">
        <f>6.5792 * CHOOSE(CONTROL!$C$32, $C$9, 100%, $E$9)</f>
        <v>6.5792000000000002</v>
      </c>
      <c r="H328" s="81">
        <f>11.1818 * CHOOSE(CONTROL!$C$32, $C$9, 100%, $E$9)</f>
        <v>11.181800000000001</v>
      </c>
      <c r="I328" s="81">
        <f>11.1854 * CHOOSE(CONTROL!$C$32, $C$9, 100%, $E$9)</f>
        <v>11.1854</v>
      </c>
      <c r="J328" s="81">
        <f>11.1818 * CHOOSE(CONTROL!$C$32, $C$9, 100%, $E$9)</f>
        <v>11.181800000000001</v>
      </c>
      <c r="K328" s="81">
        <f>11.1854 * CHOOSE(CONTROL!$C$32, $C$9, 100%, $E$9)</f>
        <v>11.1854</v>
      </c>
      <c r="L328" s="81">
        <f>6.5756 * CHOOSE(CONTROL!$C$32, $C$9, 100%, $E$9)</f>
        <v>6.5755999999999997</v>
      </c>
      <c r="M328" s="81">
        <f>6.5792 * CHOOSE(CONTROL!$C$32, $C$9, 100%, $E$9)</f>
        <v>6.5792000000000002</v>
      </c>
      <c r="N328" s="81">
        <f>6.5756 * CHOOSE(CONTROL!$C$32, $C$9, 100%, $E$9)</f>
        <v>6.5755999999999997</v>
      </c>
      <c r="O328" s="81">
        <f>6.5792 * CHOOSE(CONTROL!$C$32, $C$9, 100%, $E$9)</f>
        <v>6.5792000000000002</v>
      </c>
    </row>
    <row r="329" spans="1:15" ht="15" x14ac:dyDescent="0.2">
      <c r="A329" s="16">
        <v>51227</v>
      </c>
      <c r="B329" s="80">
        <f>5.2649 * CHOOSE(CONTROL!$C$32, $C$9, 100%, $E$9)</f>
        <v>5.2648999999999999</v>
      </c>
      <c r="C329" s="80">
        <f>5.2649 * CHOOSE(CONTROL!$C$32, $C$9, 100%, $E$9)</f>
        <v>5.2648999999999999</v>
      </c>
      <c r="D329" s="80">
        <f>5.266 * CHOOSE(CONTROL!$C$32, $C$9, 100%, $E$9)</f>
        <v>5.266</v>
      </c>
      <c r="E329" s="81">
        <f>6.6687 * CHOOSE(CONTROL!$C$32, $C$9, 100%, $E$9)</f>
        <v>6.6687000000000003</v>
      </c>
      <c r="F329" s="81">
        <f>6.6687 * CHOOSE(CONTROL!$C$32, $C$9, 100%, $E$9)</f>
        <v>6.6687000000000003</v>
      </c>
      <c r="G329" s="81">
        <f>6.6723 * CHOOSE(CONTROL!$C$32, $C$9, 100%, $E$9)</f>
        <v>6.6722999999999999</v>
      </c>
      <c r="H329" s="81">
        <f>11.2051 * CHOOSE(CONTROL!$C$32, $C$9, 100%, $E$9)</f>
        <v>11.2051</v>
      </c>
      <c r="I329" s="81">
        <f>11.2087 * CHOOSE(CONTROL!$C$32, $C$9, 100%, $E$9)</f>
        <v>11.2087</v>
      </c>
      <c r="J329" s="81">
        <f>11.2051 * CHOOSE(CONTROL!$C$32, $C$9, 100%, $E$9)</f>
        <v>11.2051</v>
      </c>
      <c r="K329" s="81">
        <f>11.2087 * CHOOSE(CONTROL!$C$32, $C$9, 100%, $E$9)</f>
        <v>11.2087</v>
      </c>
      <c r="L329" s="81">
        <f>6.6687 * CHOOSE(CONTROL!$C$32, $C$9, 100%, $E$9)</f>
        <v>6.6687000000000003</v>
      </c>
      <c r="M329" s="81">
        <f>6.6723 * CHOOSE(CONTROL!$C$32, $C$9, 100%, $E$9)</f>
        <v>6.6722999999999999</v>
      </c>
      <c r="N329" s="81">
        <f>6.6687 * CHOOSE(CONTROL!$C$32, $C$9, 100%, $E$9)</f>
        <v>6.6687000000000003</v>
      </c>
      <c r="O329" s="81">
        <f>6.6723 * CHOOSE(CONTROL!$C$32, $C$9, 100%, $E$9)</f>
        <v>6.6722999999999999</v>
      </c>
    </row>
    <row r="330" spans="1:15" ht="15" x14ac:dyDescent="0.2">
      <c r="A330" s="16">
        <v>51257</v>
      </c>
      <c r="B330" s="80">
        <f>5.2649 * CHOOSE(CONTROL!$C$32, $C$9, 100%, $E$9)</f>
        <v>5.2648999999999999</v>
      </c>
      <c r="C330" s="80">
        <f>5.2649 * CHOOSE(CONTROL!$C$32, $C$9, 100%, $E$9)</f>
        <v>5.2648999999999999</v>
      </c>
      <c r="D330" s="80">
        <f>5.2665 * CHOOSE(CONTROL!$C$32, $C$9, 100%, $E$9)</f>
        <v>5.2664999999999997</v>
      </c>
      <c r="E330" s="81">
        <f>6.7052 * CHOOSE(CONTROL!$C$32, $C$9, 100%, $E$9)</f>
        <v>6.7051999999999996</v>
      </c>
      <c r="F330" s="81">
        <f>6.7052 * CHOOSE(CONTROL!$C$32, $C$9, 100%, $E$9)</f>
        <v>6.7051999999999996</v>
      </c>
      <c r="G330" s="81">
        <f>6.7105 * CHOOSE(CONTROL!$C$32, $C$9, 100%, $E$9)</f>
        <v>6.7104999999999997</v>
      </c>
      <c r="H330" s="81">
        <f>11.2284 * CHOOSE(CONTROL!$C$32, $C$9, 100%, $E$9)</f>
        <v>11.228400000000001</v>
      </c>
      <c r="I330" s="81">
        <f>11.2337 * CHOOSE(CONTROL!$C$32, $C$9, 100%, $E$9)</f>
        <v>11.233700000000001</v>
      </c>
      <c r="J330" s="81">
        <f>11.2284 * CHOOSE(CONTROL!$C$32, $C$9, 100%, $E$9)</f>
        <v>11.228400000000001</v>
      </c>
      <c r="K330" s="81">
        <f>11.2337 * CHOOSE(CONTROL!$C$32, $C$9, 100%, $E$9)</f>
        <v>11.233700000000001</v>
      </c>
      <c r="L330" s="81">
        <f>6.7052 * CHOOSE(CONTROL!$C$32, $C$9, 100%, $E$9)</f>
        <v>6.7051999999999996</v>
      </c>
      <c r="M330" s="81">
        <f>6.7105 * CHOOSE(CONTROL!$C$32, $C$9, 100%, $E$9)</f>
        <v>6.7104999999999997</v>
      </c>
      <c r="N330" s="81">
        <f>6.7052 * CHOOSE(CONTROL!$C$32, $C$9, 100%, $E$9)</f>
        <v>6.7051999999999996</v>
      </c>
      <c r="O330" s="81">
        <f>6.7105 * CHOOSE(CONTROL!$C$32, $C$9, 100%, $E$9)</f>
        <v>6.7104999999999997</v>
      </c>
    </row>
    <row r="331" spans="1:15" ht="15" x14ac:dyDescent="0.2">
      <c r="A331" s="16">
        <v>51288</v>
      </c>
      <c r="B331" s="80">
        <f>5.271 * CHOOSE(CONTROL!$C$32, $C$9, 100%, $E$9)</f>
        <v>5.2709999999999999</v>
      </c>
      <c r="C331" s="80">
        <f>5.271 * CHOOSE(CONTROL!$C$32, $C$9, 100%, $E$9)</f>
        <v>5.2709999999999999</v>
      </c>
      <c r="D331" s="80">
        <f>5.2726 * CHOOSE(CONTROL!$C$32, $C$9, 100%, $E$9)</f>
        <v>5.2725999999999997</v>
      </c>
      <c r="E331" s="81">
        <f>6.673 * CHOOSE(CONTROL!$C$32, $C$9, 100%, $E$9)</f>
        <v>6.673</v>
      </c>
      <c r="F331" s="81">
        <f>6.673 * CHOOSE(CONTROL!$C$32, $C$9, 100%, $E$9)</f>
        <v>6.673</v>
      </c>
      <c r="G331" s="81">
        <f>6.6782 * CHOOSE(CONTROL!$C$32, $C$9, 100%, $E$9)</f>
        <v>6.6782000000000004</v>
      </c>
      <c r="H331" s="81">
        <f>11.2518 * CHOOSE(CONTROL!$C$32, $C$9, 100%, $E$9)</f>
        <v>11.251799999999999</v>
      </c>
      <c r="I331" s="81">
        <f>11.2571 * CHOOSE(CONTROL!$C$32, $C$9, 100%, $E$9)</f>
        <v>11.257099999999999</v>
      </c>
      <c r="J331" s="81">
        <f>11.2518 * CHOOSE(CONTROL!$C$32, $C$9, 100%, $E$9)</f>
        <v>11.251799999999999</v>
      </c>
      <c r="K331" s="81">
        <f>11.2571 * CHOOSE(CONTROL!$C$32, $C$9, 100%, $E$9)</f>
        <v>11.257099999999999</v>
      </c>
      <c r="L331" s="81">
        <f>6.673 * CHOOSE(CONTROL!$C$32, $C$9, 100%, $E$9)</f>
        <v>6.673</v>
      </c>
      <c r="M331" s="81">
        <f>6.6782 * CHOOSE(CONTROL!$C$32, $C$9, 100%, $E$9)</f>
        <v>6.6782000000000004</v>
      </c>
      <c r="N331" s="81">
        <f>6.673 * CHOOSE(CONTROL!$C$32, $C$9, 100%, $E$9)</f>
        <v>6.673</v>
      </c>
      <c r="O331" s="81">
        <f>6.6782 * CHOOSE(CONTROL!$C$32, $C$9, 100%, $E$9)</f>
        <v>6.6782000000000004</v>
      </c>
    </row>
    <row r="332" spans="1:15" ht="15" x14ac:dyDescent="0.2">
      <c r="A332" s="16">
        <v>51318</v>
      </c>
      <c r="B332" s="80">
        <f>5.345 * CHOOSE(CONTROL!$C$32, $C$9, 100%, $E$9)</f>
        <v>5.3449999999999998</v>
      </c>
      <c r="C332" s="80">
        <f>5.345 * CHOOSE(CONTROL!$C$32, $C$9, 100%, $E$9)</f>
        <v>5.3449999999999998</v>
      </c>
      <c r="D332" s="80">
        <f>5.3466 * CHOOSE(CONTROL!$C$32, $C$9, 100%, $E$9)</f>
        <v>5.3465999999999996</v>
      </c>
      <c r="E332" s="81">
        <f>6.6813 * CHOOSE(CONTROL!$C$32, $C$9, 100%, $E$9)</f>
        <v>6.6813000000000002</v>
      </c>
      <c r="F332" s="81">
        <f>6.6813 * CHOOSE(CONTROL!$C$32, $C$9, 100%, $E$9)</f>
        <v>6.6813000000000002</v>
      </c>
      <c r="G332" s="81">
        <f>6.6866 * CHOOSE(CONTROL!$C$32, $C$9, 100%, $E$9)</f>
        <v>6.6866000000000003</v>
      </c>
      <c r="H332" s="81">
        <f>11.2753 * CHOOSE(CONTROL!$C$32, $C$9, 100%, $E$9)</f>
        <v>11.2753</v>
      </c>
      <c r="I332" s="81">
        <f>11.2806 * CHOOSE(CONTROL!$C$32, $C$9, 100%, $E$9)</f>
        <v>11.2806</v>
      </c>
      <c r="J332" s="81">
        <f>11.2753 * CHOOSE(CONTROL!$C$32, $C$9, 100%, $E$9)</f>
        <v>11.2753</v>
      </c>
      <c r="K332" s="81">
        <f>11.2806 * CHOOSE(CONTROL!$C$32, $C$9, 100%, $E$9)</f>
        <v>11.2806</v>
      </c>
      <c r="L332" s="81">
        <f>6.6813 * CHOOSE(CONTROL!$C$32, $C$9, 100%, $E$9)</f>
        <v>6.6813000000000002</v>
      </c>
      <c r="M332" s="81">
        <f>6.6866 * CHOOSE(CONTROL!$C$32, $C$9, 100%, $E$9)</f>
        <v>6.6866000000000003</v>
      </c>
      <c r="N332" s="81">
        <f>6.6813 * CHOOSE(CONTROL!$C$32, $C$9, 100%, $E$9)</f>
        <v>6.6813000000000002</v>
      </c>
      <c r="O332" s="81">
        <f>6.6866 * CHOOSE(CONTROL!$C$32, $C$9, 100%, $E$9)</f>
        <v>6.6866000000000003</v>
      </c>
    </row>
    <row r="333" spans="1:15" ht="15" x14ac:dyDescent="0.2">
      <c r="A333" s="16">
        <v>51349</v>
      </c>
      <c r="B333" s="80">
        <f>5.3517 * CHOOSE(CONTROL!$C$32, $C$9, 100%, $E$9)</f>
        <v>5.3517000000000001</v>
      </c>
      <c r="C333" s="80">
        <f>5.3517 * CHOOSE(CONTROL!$C$32, $C$9, 100%, $E$9)</f>
        <v>5.3517000000000001</v>
      </c>
      <c r="D333" s="80">
        <f>5.3533 * CHOOSE(CONTROL!$C$32, $C$9, 100%, $E$9)</f>
        <v>5.3532999999999999</v>
      </c>
      <c r="E333" s="81">
        <f>6.5764 * CHOOSE(CONTROL!$C$32, $C$9, 100%, $E$9)</f>
        <v>6.5763999999999996</v>
      </c>
      <c r="F333" s="81">
        <f>6.5764 * CHOOSE(CONTROL!$C$32, $C$9, 100%, $E$9)</f>
        <v>6.5763999999999996</v>
      </c>
      <c r="G333" s="81">
        <f>6.5817 * CHOOSE(CONTROL!$C$32, $C$9, 100%, $E$9)</f>
        <v>6.5816999999999997</v>
      </c>
      <c r="H333" s="81">
        <f>11.2988 * CHOOSE(CONTROL!$C$32, $C$9, 100%, $E$9)</f>
        <v>11.2988</v>
      </c>
      <c r="I333" s="81">
        <f>11.3041 * CHOOSE(CONTROL!$C$32, $C$9, 100%, $E$9)</f>
        <v>11.3041</v>
      </c>
      <c r="J333" s="81">
        <f>11.2988 * CHOOSE(CONTROL!$C$32, $C$9, 100%, $E$9)</f>
        <v>11.2988</v>
      </c>
      <c r="K333" s="81">
        <f>11.3041 * CHOOSE(CONTROL!$C$32, $C$9, 100%, $E$9)</f>
        <v>11.3041</v>
      </c>
      <c r="L333" s="81">
        <f>6.5764 * CHOOSE(CONTROL!$C$32, $C$9, 100%, $E$9)</f>
        <v>6.5763999999999996</v>
      </c>
      <c r="M333" s="81">
        <f>6.5817 * CHOOSE(CONTROL!$C$32, $C$9, 100%, $E$9)</f>
        <v>6.5816999999999997</v>
      </c>
      <c r="N333" s="81">
        <f>6.5764 * CHOOSE(CONTROL!$C$32, $C$9, 100%, $E$9)</f>
        <v>6.5763999999999996</v>
      </c>
      <c r="O333" s="81">
        <f>6.5817 * CHOOSE(CONTROL!$C$32, $C$9, 100%, $E$9)</f>
        <v>6.5816999999999997</v>
      </c>
    </row>
    <row r="334" spans="1:15" ht="15" x14ac:dyDescent="0.2">
      <c r="A334" s="16">
        <v>51380</v>
      </c>
      <c r="B334" s="80">
        <f>5.3487 * CHOOSE(CONTROL!$C$32, $C$9, 100%, $E$9)</f>
        <v>5.3487</v>
      </c>
      <c r="C334" s="80">
        <f>5.3487 * CHOOSE(CONTROL!$C$32, $C$9, 100%, $E$9)</f>
        <v>5.3487</v>
      </c>
      <c r="D334" s="80">
        <f>5.3502 * CHOOSE(CONTROL!$C$32, $C$9, 100%, $E$9)</f>
        <v>5.3502000000000001</v>
      </c>
      <c r="E334" s="81">
        <f>6.5621 * CHOOSE(CONTROL!$C$32, $C$9, 100%, $E$9)</f>
        <v>6.5621</v>
      </c>
      <c r="F334" s="81">
        <f>6.5621 * CHOOSE(CONTROL!$C$32, $C$9, 100%, $E$9)</f>
        <v>6.5621</v>
      </c>
      <c r="G334" s="81">
        <f>6.5674 * CHOOSE(CONTROL!$C$32, $C$9, 100%, $E$9)</f>
        <v>6.5674000000000001</v>
      </c>
      <c r="H334" s="81">
        <f>11.3223 * CHOOSE(CONTROL!$C$32, $C$9, 100%, $E$9)</f>
        <v>11.3223</v>
      </c>
      <c r="I334" s="81">
        <f>11.3276 * CHOOSE(CONTROL!$C$32, $C$9, 100%, $E$9)</f>
        <v>11.3276</v>
      </c>
      <c r="J334" s="81">
        <f>11.3223 * CHOOSE(CONTROL!$C$32, $C$9, 100%, $E$9)</f>
        <v>11.3223</v>
      </c>
      <c r="K334" s="81">
        <f>11.3276 * CHOOSE(CONTROL!$C$32, $C$9, 100%, $E$9)</f>
        <v>11.3276</v>
      </c>
      <c r="L334" s="81">
        <f>6.5621 * CHOOSE(CONTROL!$C$32, $C$9, 100%, $E$9)</f>
        <v>6.5621</v>
      </c>
      <c r="M334" s="81">
        <f>6.5674 * CHOOSE(CONTROL!$C$32, $C$9, 100%, $E$9)</f>
        <v>6.5674000000000001</v>
      </c>
      <c r="N334" s="81">
        <f>6.5621 * CHOOSE(CONTROL!$C$32, $C$9, 100%, $E$9)</f>
        <v>6.5621</v>
      </c>
      <c r="O334" s="81">
        <f>6.5674 * CHOOSE(CONTROL!$C$32, $C$9, 100%, $E$9)</f>
        <v>6.5674000000000001</v>
      </c>
    </row>
    <row r="335" spans="1:15" ht="15" x14ac:dyDescent="0.2">
      <c r="A335" s="16">
        <v>51410</v>
      </c>
      <c r="B335" s="80">
        <f>5.3487 * CHOOSE(CONTROL!$C$32, $C$9, 100%, $E$9)</f>
        <v>5.3487</v>
      </c>
      <c r="C335" s="80">
        <f>5.3487 * CHOOSE(CONTROL!$C$32, $C$9, 100%, $E$9)</f>
        <v>5.3487</v>
      </c>
      <c r="D335" s="80">
        <f>5.3498 * CHOOSE(CONTROL!$C$32, $C$9, 100%, $E$9)</f>
        <v>5.3498000000000001</v>
      </c>
      <c r="E335" s="81">
        <f>6.5974 * CHOOSE(CONTROL!$C$32, $C$9, 100%, $E$9)</f>
        <v>6.5974000000000004</v>
      </c>
      <c r="F335" s="81">
        <f>6.5974 * CHOOSE(CONTROL!$C$32, $C$9, 100%, $E$9)</f>
        <v>6.5974000000000004</v>
      </c>
      <c r="G335" s="81">
        <f>6.601 * CHOOSE(CONTROL!$C$32, $C$9, 100%, $E$9)</f>
        <v>6.601</v>
      </c>
      <c r="H335" s="81">
        <f>11.3459 * CHOOSE(CONTROL!$C$32, $C$9, 100%, $E$9)</f>
        <v>11.3459</v>
      </c>
      <c r="I335" s="81">
        <f>11.3495 * CHOOSE(CONTROL!$C$32, $C$9, 100%, $E$9)</f>
        <v>11.349500000000001</v>
      </c>
      <c r="J335" s="81">
        <f>11.3459 * CHOOSE(CONTROL!$C$32, $C$9, 100%, $E$9)</f>
        <v>11.3459</v>
      </c>
      <c r="K335" s="81">
        <f>11.3495 * CHOOSE(CONTROL!$C$32, $C$9, 100%, $E$9)</f>
        <v>11.349500000000001</v>
      </c>
      <c r="L335" s="81">
        <f>6.5974 * CHOOSE(CONTROL!$C$32, $C$9, 100%, $E$9)</f>
        <v>6.5974000000000004</v>
      </c>
      <c r="M335" s="81">
        <f>6.601 * CHOOSE(CONTROL!$C$32, $C$9, 100%, $E$9)</f>
        <v>6.601</v>
      </c>
      <c r="N335" s="81">
        <f>6.5974 * CHOOSE(CONTROL!$C$32, $C$9, 100%, $E$9)</f>
        <v>6.5974000000000004</v>
      </c>
      <c r="O335" s="81">
        <f>6.601 * CHOOSE(CONTROL!$C$32, $C$9, 100%, $E$9)</f>
        <v>6.601</v>
      </c>
    </row>
    <row r="336" spans="1:15" ht="15" x14ac:dyDescent="0.2">
      <c r="A336" s="16">
        <v>51441</v>
      </c>
      <c r="B336" s="80">
        <f>5.3518 * CHOOSE(CONTROL!$C$32, $C$9, 100%, $E$9)</f>
        <v>5.3517999999999999</v>
      </c>
      <c r="C336" s="80">
        <f>5.3518 * CHOOSE(CONTROL!$C$32, $C$9, 100%, $E$9)</f>
        <v>5.3517999999999999</v>
      </c>
      <c r="D336" s="80">
        <f>5.3528 * CHOOSE(CONTROL!$C$32, $C$9, 100%, $E$9)</f>
        <v>5.3528000000000002</v>
      </c>
      <c r="E336" s="81">
        <f>6.6239 * CHOOSE(CONTROL!$C$32, $C$9, 100%, $E$9)</f>
        <v>6.6238999999999999</v>
      </c>
      <c r="F336" s="81">
        <f>6.6239 * CHOOSE(CONTROL!$C$32, $C$9, 100%, $E$9)</f>
        <v>6.6238999999999999</v>
      </c>
      <c r="G336" s="81">
        <f>6.6275 * CHOOSE(CONTROL!$C$32, $C$9, 100%, $E$9)</f>
        <v>6.6275000000000004</v>
      </c>
      <c r="H336" s="81">
        <f>11.3695 * CHOOSE(CONTROL!$C$32, $C$9, 100%, $E$9)</f>
        <v>11.3695</v>
      </c>
      <c r="I336" s="81">
        <f>11.3731 * CHOOSE(CONTROL!$C$32, $C$9, 100%, $E$9)</f>
        <v>11.373100000000001</v>
      </c>
      <c r="J336" s="81">
        <f>11.3695 * CHOOSE(CONTROL!$C$32, $C$9, 100%, $E$9)</f>
        <v>11.3695</v>
      </c>
      <c r="K336" s="81">
        <f>11.3731 * CHOOSE(CONTROL!$C$32, $C$9, 100%, $E$9)</f>
        <v>11.373100000000001</v>
      </c>
      <c r="L336" s="81">
        <f>6.6239 * CHOOSE(CONTROL!$C$32, $C$9, 100%, $E$9)</f>
        <v>6.6238999999999999</v>
      </c>
      <c r="M336" s="81">
        <f>6.6275 * CHOOSE(CONTROL!$C$32, $C$9, 100%, $E$9)</f>
        <v>6.6275000000000004</v>
      </c>
      <c r="N336" s="81">
        <f>6.6239 * CHOOSE(CONTROL!$C$32, $C$9, 100%, $E$9)</f>
        <v>6.6238999999999999</v>
      </c>
      <c r="O336" s="81">
        <f>6.6275 * CHOOSE(CONTROL!$C$32, $C$9, 100%, $E$9)</f>
        <v>6.6275000000000004</v>
      </c>
    </row>
    <row r="337" spans="1:15" ht="15" x14ac:dyDescent="0.2">
      <c r="A337" s="16">
        <v>51471</v>
      </c>
      <c r="B337" s="80">
        <f>5.3518 * CHOOSE(CONTROL!$C$32, $C$9, 100%, $E$9)</f>
        <v>5.3517999999999999</v>
      </c>
      <c r="C337" s="80">
        <f>5.3518 * CHOOSE(CONTROL!$C$32, $C$9, 100%, $E$9)</f>
        <v>5.3517999999999999</v>
      </c>
      <c r="D337" s="80">
        <f>5.3528 * CHOOSE(CONTROL!$C$32, $C$9, 100%, $E$9)</f>
        <v>5.3528000000000002</v>
      </c>
      <c r="E337" s="81">
        <f>6.563 * CHOOSE(CONTROL!$C$32, $C$9, 100%, $E$9)</f>
        <v>6.5629999999999997</v>
      </c>
      <c r="F337" s="81">
        <f>6.563 * CHOOSE(CONTROL!$C$32, $C$9, 100%, $E$9)</f>
        <v>6.5629999999999997</v>
      </c>
      <c r="G337" s="81">
        <f>6.5666 * CHOOSE(CONTROL!$C$32, $C$9, 100%, $E$9)</f>
        <v>6.5666000000000002</v>
      </c>
      <c r="H337" s="81">
        <f>11.3932 * CHOOSE(CONTROL!$C$32, $C$9, 100%, $E$9)</f>
        <v>11.3932</v>
      </c>
      <c r="I337" s="81">
        <f>11.3968 * CHOOSE(CONTROL!$C$32, $C$9, 100%, $E$9)</f>
        <v>11.396800000000001</v>
      </c>
      <c r="J337" s="81">
        <f>11.3932 * CHOOSE(CONTROL!$C$32, $C$9, 100%, $E$9)</f>
        <v>11.3932</v>
      </c>
      <c r="K337" s="81">
        <f>11.3968 * CHOOSE(CONTROL!$C$32, $C$9, 100%, $E$9)</f>
        <v>11.396800000000001</v>
      </c>
      <c r="L337" s="81">
        <f>6.563 * CHOOSE(CONTROL!$C$32, $C$9, 100%, $E$9)</f>
        <v>6.5629999999999997</v>
      </c>
      <c r="M337" s="81">
        <f>6.5666 * CHOOSE(CONTROL!$C$32, $C$9, 100%, $E$9)</f>
        <v>6.5666000000000002</v>
      </c>
      <c r="N337" s="81">
        <f>6.563 * CHOOSE(CONTROL!$C$32, $C$9, 100%, $E$9)</f>
        <v>6.5629999999999997</v>
      </c>
      <c r="O337" s="81">
        <f>6.5666 * CHOOSE(CONTROL!$C$32, $C$9, 100%, $E$9)</f>
        <v>6.5666000000000002</v>
      </c>
    </row>
    <row r="338" spans="1:15" ht="15" x14ac:dyDescent="0.2">
      <c r="A338" s="16">
        <v>51502</v>
      </c>
      <c r="B338" s="80">
        <f>5.3929 * CHOOSE(CONTROL!$C$32, $C$9, 100%, $E$9)</f>
        <v>5.3929</v>
      </c>
      <c r="C338" s="80">
        <f>5.3929 * CHOOSE(CONTROL!$C$32, $C$9, 100%, $E$9)</f>
        <v>5.3929</v>
      </c>
      <c r="D338" s="80">
        <f>5.3939 * CHOOSE(CONTROL!$C$32, $C$9, 100%, $E$9)</f>
        <v>5.3939000000000004</v>
      </c>
      <c r="E338" s="81">
        <f>6.6304 * CHOOSE(CONTROL!$C$32, $C$9, 100%, $E$9)</f>
        <v>6.6303999999999998</v>
      </c>
      <c r="F338" s="81">
        <f>6.6304 * CHOOSE(CONTROL!$C$32, $C$9, 100%, $E$9)</f>
        <v>6.6303999999999998</v>
      </c>
      <c r="G338" s="81">
        <f>6.6341 * CHOOSE(CONTROL!$C$32, $C$9, 100%, $E$9)</f>
        <v>6.6341000000000001</v>
      </c>
      <c r="H338" s="81">
        <f>11.4169 * CHOOSE(CONTROL!$C$32, $C$9, 100%, $E$9)</f>
        <v>11.4169</v>
      </c>
      <c r="I338" s="81">
        <f>11.4206 * CHOOSE(CONTROL!$C$32, $C$9, 100%, $E$9)</f>
        <v>11.4206</v>
      </c>
      <c r="J338" s="81">
        <f>11.4169 * CHOOSE(CONTROL!$C$32, $C$9, 100%, $E$9)</f>
        <v>11.4169</v>
      </c>
      <c r="K338" s="81">
        <f>11.4206 * CHOOSE(CONTROL!$C$32, $C$9, 100%, $E$9)</f>
        <v>11.4206</v>
      </c>
      <c r="L338" s="81">
        <f>6.6304 * CHOOSE(CONTROL!$C$32, $C$9, 100%, $E$9)</f>
        <v>6.6303999999999998</v>
      </c>
      <c r="M338" s="81">
        <f>6.6341 * CHOOSE(CONTROL!$C$32, $C$9, 100%, $E$9)</f>
        <v>6.6341000000000001</v>
      </c>
      <c r="N338" s="81">
        <f>6.6304 * CHOOSE(CONTROL!$C$32, $C$9, 100%, $E$9)</f>
        <v>6.6303999999999998</v>
      </c>
      <c r="O338" s="81">
        <f>6.6341 * CHOOSE(CONTROL!$C$32, $C$9, 100%, $E$9)</f>
        <v>6.6341000000000001</v>
      </c>
    </row>
    <row r="339" spans="1:15" ht="15" x14ac:dyDescent="0.2">
      <c r="A339" s="16">
        <v>51533</v>
      </c>
      <c r="B339" s="80">
        <f>5.3898 * CHOOSE(CONTROL!$C$32, $C$9, 100%, $E$9)</f>
        <v>5.3898000000000001</v>
      </c>
      <c r="C339" s="80">
        <f>5.3898 * CHOOSE(CONTROL!$C$32, $C$9, 100%, $E$9)</f>
        <v>5.3898000000000001</v>
      </c>
      <c r="D339" s="80">
        <f>5.3909 * CHOOSE(CONTROL!$C$32, $C$9, 100%, $E$9)</f>
        <v>5.3909000000000002</v>
      </c>
      <c r="E339" s="81">
        <f>6.5096 * CHOOSE(CONTROL!$C$32, $C$9, 100%, $E$9)</f>
        <v>6.5095999999999998</v>
      </c>
      <c r="F339" s="81">
        <f>6.5096 * CHOOSE(CONTROL!$C$32, $C$9, 100%, $E$9)</f>
        <v>6.5095999999999998</v>
      </c>
      <c r="G339" s="81">
        <f>6.5132 * CHOOSE(CONTROL!$C$32, $C$9, 100%, $E$9)</f>
        <v>6.5132000000000003</v>
      </c>
      <c r="H339" s="81">
        <f>11.4407 * CHOOSE(CONTROL!$C$32, $C$9, 100%, $E$9)</f>
        <v>11.4407</v>
      </c>
      <c r="I339" s="81">
        <f>11.4443 * CHOOSE(CONTROL!$C$32, $C$9, 100%, $E$9)</f>
        <v>11.4443</v>
      </c>
      <c r="J339" s="81">
        <f>11.4407 * CHOOSE(CONTROL!$C$32, $C$9, 100%, $E$9)</f>
        <v>11.4407</v>
      </c>
      <c r="K339" s="81">
        <f>11.4443 * CHOOSE(CONTROL!$C$32, $C$9, 100%, $E$9)</f>
        <v>11.4443</v>
      </c>
      <c r="L339" s="81">
        <f>6.5096 * CHOOSE(CONTROL!$C$32, $C$9, 100%, $E$9)</f>
        <v>6.5095999999999998</v>
      </c>
      <c r="M339" s="81">
        <f>6.5132 * CHOOSE(CONTROL!$C$32, $C$9, 100%, $E$9)</f>
        <v>6.5132000000000003</v>
      </c>
      <c r="N339" s="81">
        <f>6.5096 * CHOOSE(CONTROL!$C$32, $C$9, 100%, $E$9)</f>
        <v>6.5095999999999998</v>
      </c>
      <c r="O339" s="81">
        <f>6.5132 * CHOOSE(CONTROL!$C$32, $C$9, 100%, $E$9)</f>
        <v>6.5132000000000003</v>
      </c>
    </row>
    <row r="340" spans="1:15" ht="15" x14ac:dyDescent="0.2">
      <c r="A340" s="16">
        <v>51561</v>
      </c>
      <c r="B340" s="80">
        <f>5.3868 * CHOOSE(CONTROL!$C$32, $C$9, 100%, $E$9)</f>
        <v>5.3868</v>
      </c>
      <c r="C340" s="80">
        <f>5.3868 * CHOOSE(CONTROL!$C$32, $C$9, 100%, $E$9)</f>
        <v>5.3868</v>
      </c>
      <c r="D340" s="80">
        <f>5.3878 * CHOOSE(CONTROL!$C$32, $C$9, 100%, $E$9)</f>
        <v>5.3878000000000004</v>
      </c>
      <c r="E340" s="81">
        <f>6.6011 * CHOOSE(CONTROL!$C$32, $C$9, 100%, $E$9)</f>
        <v>6.6010999999999997</v>
      </c>
      <c r="F340" s="81">
        <f>6.6011 * CHOOSE(CONTROL!$C$32, $C$9, 100%, $E$9)</f>
        <v>6.6010999999999997</v>
      </c>
      <c r="G340" s="81">
        <f>6.6047 * CHOOSE(CONTROL!$C$32, $C$9, 100%, $E$9)</f>
        <v>6.6047000000000002</v>
      </c>
      <c r="H340" s="81">
        <f>11.4646 * CHOOSE(CONTROL!$C$32, $C$9, 100%, $E$9)</f>
        <v>11.464600000000001</v>
      </c>
      <c r="I340" s="81">
        <f>11.4682 * CHOOSE(CONTROL!$C$32, $C$9, 100%, $E$9)</f>
        <v>11.4682</v>
      </c>
      <c r="J340" s="81">
        <f>11.4646 * CHOOSE(CONTROL!$C$32, $C$9, 100%, $E$9)</f>
        <v>11.464600000000001</v>
      </c>
      <c r="K340" s="81">
        <f>11.4682 * CHOOSE(CONTROL!$C$32, $C$9, 100%, $E$9)</f>
        <v>11.4682</v>
      </c>
      <c r="L340" s="81">
        <f>6.6011 * CHOOSE(CONTROL!$C$32, $C$9, 100%, $E$9)</f>
        <v>6.6010999999999997</v>
      </c>
      <c r="M340" s="81">
        <f>6.6047 * CHOOSE(CONTROL!$C$32, $C$9, 100%, $E$9)</f>
        <v>6.6047000000000002</v>
      </c>
      <c r="N340" s="81">
        <f>6.6011 * CHOOSE(CONTROL!$C$32, $C$9, 100%, $E$9)</f>
        <v>6.6010999999999997</v>
      </c>
      <c r="O340" s="81">
        <f>6.6047 * CHOOSE(CONTROL!$C$32, $C$9, 100%, $E$9)</f>
        <v>6.6047000000000002</v>
      </c>
    </row>
    <row r="341" spans="1:15" ht="15" x14ac:dyDescent="0.2">
      <c r="A341" s="16">
        <v>51592</v>
      </c>
      <c r="B341" s="80">
        <f>5.3858 * CHOOSE(CONTROL!$C$32, $C$9, 100%, $E$9)</f>
        <v>5.3857999999999997</v>
      </c>
      <c r="C341" s="80">
        <f>5.3858 * CHOOSE(CONTROL!$C$32, $C$9, 100%, $E$9)</f>
        <v>5.3857999999999997</v>
      </c>
      <c r="D341" s="80">
        <f>5.3868 * CHOOSE(CONTROL!$C$32, $C$9, 100%, $E$9)</f>
        <v>5.3868</v>
      </c>
      <c r="E341" s="81">
        <f>6.6974 * CHOOSE(CONTROL!$C$32, $C$9, 100%, $E$9)</f>
        <v>6.6974</v>
      </c>
      <c r="F341" s="81">
        <f>6.6974 * CHOOSE(CONTROL!$C$32, $C$9, 100%, $E$9)</f>
        <v>6.6974</v>
      </c>
      <c r="G341" s="81">
        <f>6.701 * CHOOSE(CONTROL!$C$32, $C$9, 100%, $E$9)</f>
        <v>6.7009999999999996</v>
      </c>
      <c r="H341" s="81">
        <f>11.4884 * CHOOSE(CONTROL!$C$32, $C$9, 100%, $E$9)</f>
        <v>11.4884</v>
      </c>
      <c r="I341" s="81">
        <f>11.4921 * CHOOSE(CONTROL!$C$32, $C$9, 100%, $E$9)</f>
        <v>11.492100000000001</v>
      </c>
      <c r="J341" s="81">
        <f>11.4884 * CHOOSE(CONTROL!$C$32, $C$9, 100%, $E$9)</f>
        <v>11.4884</v>
      </c>
      <c r="K341" s="81">
        <f>11.4921 * CHOOSE(CONTROL!$C$32, $C$9, 100%, $E$9)</f>
        <v>11.492100000000001</v>
      </c>
      <c r="L341" s="81">
        <f>6.6974 * CHOOSE(CONTROL!$C$32, $C$9, 100%, $E$9)</f>
        <v>6.6974</v>
      </c>
      <c r="M341" s="81">
        <f>6.701 * CHOOSE(CONTROL!$C$32, $C$9, 100%, $E$9)</f>
        <v>6.7009999999999996</v>
      </c>
      <c r="N341" s="81">
        <f>6.6974 * CHOOSE(CONTROL!$C$32, $C$9, 100%, $E$9)</f>
        <v>6.6974</v>
      </c>
      <c r="O341" s="81">
        <f>6.701 * CHOOSE(CONTROL!$C$32, $C$9, 100%, $E$9)</f>
        <v>6.7009999999999996</v>
      </c>
    </row>
    <row r="342" spans="1:15" ht="15" x14ac:dyDescent="0.2">
      <c r="A342" s="16">
        <v>51622</v>
      </c>
      <c r="B342" s="80">
        <f>5.3858 * CHOOSE(CONTROL!$C$32, $C$9, 100%, $E$9)</f>
        <v>5.3857999999999997</v>
      </c>
      <c r="C342" s="80">
        <f>5.3858 * CHOOSE(CONTROL!$C$32, $C$9, 100%, $E$9)</f>
        <v>5.3857999999999997</v>
      </c>
      <c r="D342" s="80">
        <f>5.3873 * CHOOSE(CONTROL!$C$32, $C$9, 100%, $E$9)</f>
        <v>5.3872999999999998</v>
      </c>
      <c r="E342" s="81">
        <f>6.7351 * CHOOSE(CONTROL!$C$32, $C$9, 100%, $E$9)</f>
        <v>6.7351000000000001</v>
      </c>
      <c r="F342" s="81">
        <f>6.7351 * CHOOSE(CONTROL!$C$32, $C$9, 100%, $E$9)</f>
        <v>6.7351000000000001</v>
      </c>
      <c r="G342" s="81">
        <f>6.7404 * CHOOSE(CONTROL!$C$32, $C$9, 100%, $E$9)</f>
        <v>6.7404000000000002</v>
      </c>
      <c r="H342" s="81">
        <f>11.5124 * CHOOSE(CONTROL!$C$32, $C$9, 100%, $E$9)</f>
        <v>11.5124</v>
      </c>
      <c r="I342" s="81">
        <f>11.5177 * CHOOSE(CONTROL!$C$32, $C$9, 100%, $E$9)</f>
        <v>11.5177</v>
      </c>
      <c r="J342" s="81">
        <f>11.5124 * CHOOSE(CONTROL!$C$32, $C$9, 100%, $E$9)</f>
        <v>11.5124</v>
      </c>
      <c r="K342" s="81">
        <f>11.5177 * CHOOSE(CONTROL!$C$32, $C$9, 100%, $E$9)</f>
        <v>11.5177</v>
      </c>
      <c r="L342" s="81">
        <f>6.7351 * CHOOSE(CONTROL!$C$32, $C$9, 100%, $E$9)</f>
        <v>6.7351000000000001</v>
      </c>
      <c r="M342" s="81">
        <f>6.7404 * CHOOSE(CONTROL!$C$32, $C$9, 100%, $E$9)</f>
        <v>6.7404000000000002</v>
      </c>
      <c r="N342" s="81">
        <f>6.7351 * CHOOSE(CONTROL!$C$32, $C$9, 100%, $E$9)</f>
        <v>6.7351000000000001</v>
      </c>
      <c r="O342" s="81">
        <f>6.7404 * CHOOSE(CONTROL!$C$32, $C$9, 100%, $E$9)</f>
        <v>6.7404000000000002</v>
      </c>
    </row>
    <row r="343" spans="1:15" ht="15" x14ac:dyDescent="0.2">
      <c r="A343" s="16">
        <v>51653</v>
      </c>
      <c r="B343" s="80">
        <f>5.3918 * CHOOSE(CONTROL!$C$32, $C$9, 100%, $E$9)</f>
        <v>5.3917999999999999</v>
      </c>
      <c r="C343" s="80">
        <f>5.3918 * CHOOSE(CONTROL!$C$32, $C$9, 100%, $E$9)</f>
        <v>5.3917999999999999</v>
      </c>
      <c r="D343" s="80">
        <f>5.3934 * CHOOSE(CONTROL!$C$32, $C$9, 100%, $E$9)</f>
        <v>5.3933999999999997</v>
      </c>
      <c r="E343" s="81">
        <f>6.7016 * CHOOSE(CONTROL!$C$32, $C$9, 100%, $E$9)</f>
        <v>6.7016</v>
      </c>
      <c r="F343" s="81">
        <f>6.7016 * CHOOSE(CONTROL!$C$32, $C$9, 100%, $E$9)</f>
        <v>6.7016</v>
      </c>
      <c r="G343" s="81">
        <f>6.7069 * CHOOSE(CONTROL!$C$32, $C$9, 100%, $E$9)</f>
        <v>6.7069000000000001</v>
      </c>
      <c r="H343" s="81">
        <f>11.5364 * CHOOSE(CONTROL!$C$32, $C$9, 100%, $E$9)</f>
        <v>11.5364</v>
      </c>
      <c r="I343" s="81">
        <f>11.5417 * CHOOSE(CONTROL!$C$32, $C$9, 100%, $E$9)</f>
        <v>11.541700000000001</v>
      </c>
      <c r="J343" s="81">
        <f>11.5364 * CHOOSE(CONTROL!$C$32, $C$9, 100%, $E$9)</f>
        <v>11.5364</v>
      </c>
      <c r="K343" s="81">
        <f>11.5417 * CHOOSE(CONTROL!$C$32, $C$9, 100%, $E$9)</f>
        <v>11.541700000000001</v>
      </c>
      <c r="L343" s="81">
        <f>6.7016 * CHOOSE(CONTROL!$C$32, $C$9, 100%, $E$9)</f>
        <v>6.7016</v>
      </c>
      <c r="M343" s="81">
        <f>6.7069 * CHOOSE(CONTROL!$C$32, $C$9, 100%, $E$9)</f>
        <v>6.7069000000000001</v>
      </c>
      <c r="N343" s="81">
        <f>6.7016 * CHOOSE(CONTROL!$C$32, $C$9, 100%, $E$9)</f>
        <v>6.7016</v>
      </c>
      <c r="O343" s="81">
        <f>6.7069 * CHOOSE(CONTROL!$C$32, $C$9, 100%, $E$9)</f>
        <v>6.7069000000000001</v>
      </c>
    </row>
    <row r="344" spans="1:15" ht="15" x14ac:dyDescent="0.2">
      <c r="A344" s="16">
        <v>51683</v>
      </c>
      <c r="B344" s="80">
        <f>5.4648 * CHOOSE(CONTROL!$C$32, $C$9, 100%, $E$9)</f>
        <v>5.4648000000000003</v>
      </c>
      <c r="C344" s="80">
        <f>5.4648 * CHOOSE(CONTROL!$C$32, $C$9, 100%, $E$9)</f>
        <v>5.4648000000000003</v>
      </c>
      <c r="D344" s="80">
        <f>5.4664 * CHOOSE(CONTROL!$C$32, $C$9, 100%, $E$9)</f>
        <v>5.4664000000000001</v>
      </c>
      <c r="E344" s="81">
        <f>6.7253 * CHOOSE(CONTROL!$C$32, $C$9, 100%, $E$9)</f>
        <v>6.7252999999999998</v>
      </c>
      <c r="F344" s="81">
        <f>6.7253 * CHOOSE(CONTROL!$C$32, $C$9, 100%, $E$9)</f>
        <v>6.7252999999999998</v>
      </c>
      <c r="G344" s="81">
        <f>6.7306 * CHOOSE(CONTROL!$C$32, $C$9, 100%, $E$9)</f>
        <v>6.7305999999999999</v>
      </c>
      <c r="H344" s="81">
        <f>11.5604 * CHOOSE(CONTROL!$C$32, $C$9, 100%, $E$9)</f>
        <v>11.5604</v>
      </c>
      <c r="I344" s="81">
        <f>11.5657 * CHOOSE(CONTROL!$C$32, $C$9, 100%, $E$9)</f>
        <v>11.5657</v>
      </c>
      <c r="J344" s="81">
        <f>11.5604 * CHOOSE(CONTROL!$C$32, $C$9, 100%, $E$9)</f>
        <v>11.5604</v>
      </c>
      <c r="K344" s="81">
        <f>11.5657 * CHOOSE(CONTROL!$C$32, $C$9, 100%, $E$9)</f>
        <v>11.5657</v>
      </c>
      <c r="L344" s="81">
        <f>6.7253 * CHOOSE(CONTROL!$C$32, $C$9, 100%, $E$9)</f>
        <v>6.7252999999999998</v>
      </c>
      <c r="M344" s="81">
        <f>6.7306 * CHOOSE(CONTROL!$C$32, $C$9, 100%, $E$9)</f>
        <v>6.7305999999999999</v>
      </c>
      <c r="N344" s="81">
        <f>6.7253 * CHOOSE(CONTROL!$C$32, $C$9, 100%, $E$9)</f>
        <v>6.7252999999999998</v>
      </c>
      <c r="O344" s="81">
        <f>6.7306 * CHOOSE(CONTROL!$C$32, $C$9, 100%, $E$9)</f>
        <v>6.7305999999999999</v>
      </c>
    </row>
    <row r="345" spans="1:15" ht="15" x14ac:dyDescent="0.2">
      <c r="A345" s="16">
        <v>51714</v>
      </c>
      <c r="B345" s="80">
        <f>5.4715 * CHOOSE(CONTROL!$C$32, $C$9, 100%, $E$9)</f>
        <v>5.4714999999999998</v>
      </c>
      <c r="C345" s="80">
        <f>5.4715 * CHOOSE(CONTROL!$C$32, $C$9, 100%, $E$9)</f>
        <v>5.4714999999999998</v>
      </c>
      <c r="D345" s="80">
        <f>5.4731 * CHOOSE(CONTROL!$C$32, $C$9, 100%, $E$9)</f>
        <v>5.4730999999999996</v>
      </c>
      <c r="E345" s="81">
        <f>6.6169 * CHOOSE(CONTROL!$C$32, $C$9, 100%, $E$9)</f>
        <v>6.6169000000000002</v>
      </c>
      <c r="F345" s="81">
        <f>6.6169 * CHOOSE(CONTROL!$C$32, $C$9, 100%, $E$9)</f>
        <v>6.6169000000000002</v>
      </c>
      <c r="G345" s="81">
        <f>6.6222 * CHOOSE(CONTROL!$C$32, $C$9, 100%, $E$9)</f>
        <v>6.6222000000000003</v>
      </c>
      <c r="H345" s="81">
        <f>11.5845 * CHOOSE(CONTROL!$C$32, $C$9, 100%, $E$9)</f>
        <v>11.5845</v>
      </c>
      <c r="I345" s="81">
        <f>11.5898 * CHOOSE(CONTROL!$C$32, $C$9, 100%, $E$9)</f>
        <v>11.5898</v>
      </c>
      <c r="J345" s="81">
        <f>11.5845 * CHOOSE(CONTROL!$C$32, $C$9, 100%, $E$9)</f>
        <v>11.5845</v>
      </c>
      <c r="K345" s="81">
        <f>11.5898 * CHOOSE(CONTROL!$C$32, $C$9, 100%, $E$9)</f>
        <v>11.5898</v>
      </c>
      <c r="L345" s="81">
        <f>6.6169 * CHOOSE(CONTROL!$C$32, $C$9, 100%, $E$9)</f>
        <v>6.6169000000000002</v>
      </c>
      <c r="M345" s="81">
        <f>6.6222 * CHOOSE(CONTROL!$C$32, $C$9, 100%, $E$9)</f>
        <v>6.6222000000000003</v>
      </c>
      <c r="N345" s="81">
        <f>6.6169 * CHOOSE(CONTROL!$C$32, $C$9, 100%, $E$9)</f>
        <v>6.6169000000000002</v>
      </c>
      <c r="O345" s="81">
        <f>6.6222 * CHOOSE(CONTROL!$C$32, $C$9, 100%, $E$9)</f>
        <v>6.6222000000000003</v>
      </c>
    </row>
    <row r="346" spans="1:15" ht="15" x14ac:dyDescent="0.2">
      <c r="A346" s="16">
        <v>51745</v>
      </c>
      <c r="B346" s="80">
        <f>5.4685 * CHOOSE(CONTROL!$C$32, $C$9, 100%, $E$9)</f>
        <v>5.4684999999999997</v>
      </c>
      <c r="C346" s="80">
        <f>5.4685 * CHOOSE(CONTROL!$C$32, $C$9, 100%, $E$9)</f>
        <v>5.4684999999999997</v>
      </c>
      <c r="D346" s="80">
        <f>5.47 * CHOOSE(CONTROL!$C$32, $C$9, 100%, $E$9)</f>
        <v>5.47</v>
      </c>
      <c r="E346" s="81">
        <f>6.6022 * CHOOSE(CONTROL!$C$32, $C$9, 100%, $E$9)</f>
        <v>6.6021999999999998</v>
      </c>
      <c r="F346" s="81">
        <f>6.6022 * CHOOSE(CONTROL!$C$32, $C$9, 100%, $E$9)</f>
        <v>6.6021999999999998</v>
      </c>
      <c r="G346" s="81">
        <f>6.6075 * CHOOSE(CONTROL!$C$32, $C$9, 100%, $E$9)</f>
        <v>6.6074999999999999</v>
      </c>
      <c r="H346" s="81">
        <f>11.6086 * CHOOSE(CONTROL!$C$32, $C$9, 100%, $E$9)</f>
        <v>11.608599999999999</v>
      </c>
      <c r="I346" s="81">
        <f>11.6139 * CHOOSE(CONTROL!$C$32, $C$9, 100%, $E$9)</f>
        <v>11.613899999999999</v>
      </c>
      <c r="J346" s="81">
        <f>11.6086 * CHOOSE(CONTROL!$C$32, $C$9, 100%, $E$9)</f>
        <v>11.608599999999999</v>
      </c>
      <c r="K346" s="81">
        <f>11.6139 * CHOOSE(CONTROL!$C$32, $C$9, 100%, $E$9)</f>
        <v>11.613899999999999</v>
      </c>
      <c r="L346" s="81">
        <f>6.6022 * CHOOSE(CONTROL!$C$32, $C$9, 100%, $E$9)</f>
        <v>6.6021999999999998</v>
      </c>
      <c r="M346" s="81">
        <f>6.6075 * CHOOSE(CONTROL!$C$32, $C$9, 100%, $E$9)</f>
        <v>6.6074999999999999</v>
      </c>
      <c r="N346" s="81">
        <f>6.6022 * CHOOSE(CONTROL!$C$32, $C$9, 100%, $E$9)</f>
        <v>6.6021999999999998</v>
      </c>
      <c r="O346" s="81">
        <f>6.6075 * CHOOSE(CONTROL!$C$32, $C$9, 100%, $E$9)</f>
        <v>6.6074999999999999</v>
      </c>
    </row>
    <row r="347" spans="1:15" ht="15" x14ac:dyDescent="0.2">
      <c r="A347" s="16">
        <v>51775</v>
      </c>
      <c r="B347" s="80">
        <f>5.469 * CHOOSE(CONTROL!$C$32, $C$9, 100%, $E$9)</f>
        <v>5.4690000000000003</v>
      </c>
      <c r="C347" s="80">
        <f>5.469 * CHOOSE(CONTROL!$C$32, $C$9, 100%, $E$9)</f>
        <v>5.4690000000000003</v>
      </c>
      <c r="D347" s="80">
        <f>5.47 * CHOOSE(CONTROL!$C$32, $C$9, 100%, $E$9)</f>
        <v>5.47</v>
      </c>
      <c r="E347" s="81">
        <f>6.639 * CHOOSE(CONTROL!$C$32, $C$9, 100%, $E$9)</f>
        <v>6.6390000000000002</v>
      </c>
      <c r="F347" s="81">
        <f>6.639 * CHOOSE(CONTROL!$C$32, $C$9, 100%, $E$9)</f>
        <v>6.6390000000000002</v>
      </c>
      <c r="G347" s="81">
        <f>6.6427 * CHOOSE(CONTROL!$C$32, $C$9, 100%, $E$9)</f>
        <v>6.6426999999999996</v>
      </c>
      <c r="H347" s="81">
        <f>11.6328 * CHOOSE(CONTROL!$C$32, $C$9, 100%, $E$9)</f>
        <v>11.6328</v>
      </c>
      <c r="I347" s="81">
        <f>11.6364 * CHOOSE(CONTROL!$C$32, $C$9, 100%, $E$9)</f>
        <v>11.6364</v>
      </c>
      <c r="J347" s="81">
        <f>11.6328 * CHOOSE(CONTROL!$C$32, $C$9, 100%, $E$9)</f>
        <v>11.6328</v>
      </c>
      <c r="K347" s="81">
        <f>11.6364 * CHOOSE(CONTROL!$C$32, $C$9, 100%, $E$9)</f>
        <v>11.6364</v>
      </c>
      <c r="L347" s="81">
        <f>6.639 * CHOOSE(CONTROL!$C$32, $C$9, 100%, $E$9)</f>
        <v>6.6390000000000002</v>
      </c>
      <c r="M347" s="81">
        <f>6.6427 * CHOOSE(CONTROL!$C$32, $C$9, 100%, $E$9)</f>
        <v>6.6426999999999996</v>
      </c>
      <c r="N347" s="81">
        <f>6.639 * CHOOSE(CONTROL!$C$32, $C$9, 100%, $E$9)</f>
        <v>6.6390000000000002</v>
      </c>
      <c r="O347" s="81">
        <f>6.6427 * CHOOSE(CONTROL!$C$32, $C$9, 100%, $E$9)</f>
        <v>6.6426999999999996</v>
      </c>
    </row>
    <row r="348" spans="1:15" ht="15" x14ac:dyDescent="0.2">
      <c r="A348" s="16">
        <v>51806</v>
      </c>
      <c r="B348" s="80">
        <f>5.472 * CHOOSE(CONTROL!$C$32, $C$9, 100%, $E$9)</f>
        <v>5.4720000000000004</v>
      </c>
      <c r="C348" s="80">
        <f>5.472 * CHOOSE(CONTROL!$C$32, $C$9, 100%, $E$9)</f>
        <v>5.4720000000000004</v>
      </c>
      <c r="D348" s="80">
        <f>5.4731 * CHOOSE(CONTROL!$C$32, $C$9, 100%, $E$9)</f>
        <v>5.4730999999999996</v>
      </c>
      <c r="E348" s="81">
        <f>6.6663 * CHOOSE(CONTROL!$C$32, $C$9, 100%, $E$9)</f>
        <v>6.6662999999999997</v>
      </c>
      <c r="F348" s="81">
        <f>6.6663 * CHOOSE(CONTROL!$C$32, $C$9, 100%, $E$9)</f>
        <v>6.6662999999999997</v>
      </c>
      <c r="G348" s="81">
        <f>6.6699 * CHOOSE(CONTROL!$C$32, $C$9, 100%, $E$9)</f>
        <v>6.6699000000000002</v>
      </c>
      <c r="H348" s="81">
        <f>11.657 * CHOOSE(CONTROL!$C$32, $C$9, 100%, $E$9)</f>
        <v>11.657</v>
      </c>
      <c r="I348" s="81">
        <f>11.6607 * CHOOSE(CONTROL!$C$32, $C$9, 100%, $E$9)</f>
        <v>11.6607</v>
      </c>
      <c r="J348" s="81">
        <f>11.657 * CHOOSE(CONTROL!$C$32, $C$9, 100%, $E$9)</f>
        <v>11.657</v>
      </c>
      <c r="K348" s="81">
        <f>11.6607 * CHOOSE(CONTROL!$C$32, $C$9, 100%, $E$9)</f>
        <v>11.6607</v>
      </c>
      <c r="L348" s="81">
        <f>6.6663 * CHOOSE(CONTROL!$C$32, $C$9, 100%, $E$9)</f>
        <v>6.6662999999999997</v>
      </c>
      <c r="M348" s="81">
        <f>6.6699 * CHOOSE(CONTROL!$C$32, $C$9, 100%, $E$9)</f>
        <v>6.6699000000000002</v>
      </c>
      <c r="N348" s="81">
        <f>6.6663 * CHOOSE(CONTROL!$C$32, $C$9, 100%, $E$9)</f>
        <v>6.6662999999999997</v>
      </c>
      <c r="O348" s="81">
        <f>6.6699 * CHOOSE(CONTROL!$C$32, $C$9, 100%, $E$9)</f>
        <v>6.6699000000000002</v>
      </c>
    </row>
    <row r="349" spans="1:15" ht="15" x14ac:dyDescent="0.2">
      <c r="A349" s="16">
        <v>51836</v>
      </c>
      <c r="B349" s="80">
        <f>5.472 * CHOOSE(CONTROL!$C$32, $C$9, 100%, $E$9)</f>
        <v>5.4720000000000004</v>
      </c>
      <c r="C349" s="80">
        <f>5.472 * CHOOSE(CONTROL!$C$32, $C$9, 100%, $E$9)</f>
        <v>5.4720000000000004</v>
      </c>
      <c r="D349" s="80">
        <f>5.4731 * CHOOSE(CONTROL!$C$32, $C$9, 100%, $E$9)</f>
        <v>5.4730999999999996</v>
      </c>
      <c r="E349" s="81">
        <f>6.6035 * CHOOSE(CONTROL!$C$32, $C$9, 100%, $E$9)</f>
        <v>6.6035000000000004</v>
      </c>
      <c r="F349" s="81">
        <f>6.6035 * CHOOSE(CONTROL!$C$32, $C$9, 100%, $E$9)</f>
        <v>6.6035000000000004</v>
      </c>
      <c r="G349" s="81">
        <f>6.6071 * CHOOSE(CONTROL!$C$32, $C$9, 100%, $E$9)</f>
        <v>6.6071</v>
      </c>
      <c r="H349" s="81">
        <f>11.6813 * CHOOSE(CONTROL!$C$32, $C$9, 100%, $E$9)</f>
        <v>11.6813</v>
      </c>
      <c r="I349" s="81">
        <f>11.6849 * CHOOSE(CONTROL!$C$32, $C$9, 100%, $E$9)</f>
        <v>11.684900000000001</v>
      </c>
      <c r="J349" s="81">
        <f>11.6813 * CHOOSE(CONTROL!$C$32, $C$9, 100%, $E$9)</f>
        <v>11.6813</v>
      </c>
      <c r="K349" s="81">
        <f>11.6849 * CHOOSE(CONTROL!$C$32, $C$9, 100%, $E$9)</f>
        <v>11.684900000000001</v>
      </c>
      <c r="L349" s="81">
        <f>6.6035 * CHOOSE(CONTROL!$C$32, $C$9, 100%, $E$9)</f>
        <v>6.6035000000000004</v>
      </c>
      <c r="M349" s="81">
        <f>6.6071 * CHOOSE(CONTROL!$C$32, $C$9, 100%, $E$9)</f>
        <v>6.6071</v>
      </c>
      <c r="N349" s="81">
        <f>6.6035 * CHOOSE(CONTROL!$C$32, $C$9, 100%, $E$9)</f>
        <v>6.6035000000000004</v>
      </c>
      <c r="O349" s="81">
        <f>6.6071 * CHOOSE(CONTROL!$C$32, $C$9, 100%, $E$9)</f>
        <v>6.6071</v>
      </c>
    </row>
    <row r="350" spans="1:15" ht="15" x14ac:dyDescent="0.2">
      <c r="A350" s="16">
        <v>51867</v>
      </c>
      <c r="B350" s="80">
        <f>5.5145 * CHOOSE(CONTROL!$C$32, $C$9, 100%, $E$9)</f>
        <v>5.5145</v>
      </c>
      <c r="C350" s="80">
        <f>5.5145 * CHOOSE(CONTROL!$C$32, $C$9, 100%, $E$9)</f>
        <v>5.5145</v>
      </c>
      <c r="D350" s="80">
        <f>5.5156 * CHOOSE(CONTROL!$C$32, $C$9, 100%, $E$9)</f>
        <v>5.5156000000000001</v>
      </c>
      <c r="E350" s="81">
        <f>6.6708 * CHOOSE(CONTROL!$C$32, $C$9, 100%, $E$9)</f>
        <v>6.6707999999999998</v>
      </c>
      <c r="F350" s="81">
        <f>6.6708 * CHOOSE(CONTROL!$C$32, $C$9, 100%, $E$9)</f>
        <v>6.6707999999999998</v>
      </c>
      <c r="G350" s="81">
        <f>6.6744 * CHOOSE(CONTROL!$C$32, $C$9, 100%, $E$9)</f>
        <v>6.6744000000000003</v>
      </c>
      <c r="H350" s="81">
        <f>11.7057 * CHOOSE(CONTROL!$C$32, $C$9, 100%, $E$9)</f>
        <v>11.7057</v>
      </c>
      <c r="I350" s="81">
        <f>11.7093 * CHOOSE(CONTROL!$C$32, $C$9, 100%, $E$9)</f>
        <v>11.709300000000001</v>
      </c>
      <c r="J350" s="81">
        <f>11.7057 * CHOOSE(CONTROL!$C$32, $C$9, 100%, $E$9)</f>
        <v>11.7057</v>
      </c>
      <c r="K350" s="81">
        <f>11.7093 * CHOOSE(CONTROL!$C$32, $C$9, 100%, $E$9)</f>
        <v>11.709300000000001</v>
      </c>
      <c r="L350" s="81">
        <f>6.6708 * CHOOSE(CONTROL!$C$32, $C$9, 100%, $E$9)</f>
        <v>6.6707999999999998</v>
      </c>
      <c r="M350" s="81">
        <f>6.6744 * CHOOSE(CONTROL!$C$32, $C$9, 100%, $E$9)</f>
        <v>6.6744000000000003</v>
      </c>
      <c r="N350" s="81">
        <f>6.6708 * CHOOSE(CONTROL!$C$32, $C$9, 100%, $E$9)</f>
        <v>6.6707999999999998</v>
      </c>
      <c r="O350" s="81">
        <f>6.6744 * CHOOSE(CONTROL!$C$32, $C$9, 100%, $E$9)</f>
        <v>6.6744000000000003</v>
      </c>
    </row>
    <row r="351" spans="1:15" ht="15" x14ac:dyDescent="0.2">
      <c r="A351" s="16">
        <v>51898</v>
      </c>
      <c r="B351" s="80">
        <f>5.5115 * CHOOSE(CONTROL!$C$32, $C$9, 100%, $E$9)</f>
        <v>5.5114999999999998</v>
      </c>
      <c r="C351" s="80">
        <f>5.5115 * CHOOSE(CONTROL!$C$32, $C$9, 100%, $E$9)</f>
        <v>5.5114999999999998</v>
      </c>
      <c r="D351" s="80">
        <f>5.5125 * CHOOSE(CONTROL!$C$32, $C$9, 100%, $E$9)</f>
        <v>5.5125000000000002</v>
      </c>
      <c r="E351" s="81">
        <f>6.5461 * CHOOSE(CONTROL!$C$32, $C$9, 100%, $E$9)</f>
        <v>6.5461</v>
      </c>
      <c r="F351" s="81">
        <f>6.5461 * CHOOSE(CONTROL!$C$32, $C$9, 100%, $E$9)</f>
        <v>6.5461</v>
      </c>
      <c r="G351" s="81">
        <f>6.5497 * CHOOSE(CONTROL!$C$32, $C$9, 100%, $E$9)</f>
        <v>6.5496999999999996</v>
      </c>
      <c r="H351" s="81">
        <f>11.73 * CHOOSE(CONTROL!$C$32, $C$9, 100%, $E$9)</f>
        <v>11.73</v>
      </c>
      <c r="I351" s="81">
        <f>11.7337 * CHOOSE(CONTROL!$C$32, $C$9, 100%, $E$9)</f>
        <v>11.733700000000001</v>
      </c>
      <c r="J351" s="81">
        <f>11.73 * CHOOSE(CONTROL!$C$32, $C$9, 100%, $E$9)</f>
        <v>11.73</v>
      </c>
      <c r="K351" s="81">
        <f>11.7337 * CHOOSE(CONTROL!$C$32, $C$9, 100%, $E$9)</f>
        <v>11.733700000000001</v>
      </c>
      <c r="L351" s="81">
        <f>6.5461 * CHOOSE(CONTROL!$C$32, $C$9, 100%, $E$9)</f>
        <v>6.5461</v>
      </c>
      <c r="M351" s="81">
        <f>6.5497 * CHOOSE(CONTROL!$C$32, $C$9, 100%, $E$9)</f>
        <v>6.5496999999999996</v>
      </c>
      <c r="N351" s="81">
        <f>6.5461 * CHOOSE(CONTROL!$C$32, $C$9, 100%, $E$9)</f>
        <v>6.5461</v>
      </c>
      <c r="O351" s="81">
        <f>6.5497 * CHOOSE(CONTROL!$C$32, $C$9, 100%, $E$9)</f>
        <v>6.5496999999999996</v>
      </c>
    </row>
    <row r="352" spans="1:15" ht="15" x14ac:dyDescent="0.2">
      <c r="A352" s="16">
        <v>51926</v>
      </c>
      <c r="B352" s="80">
        <f>5.5084 * CHOOSE(CONTROL!$C$32, $C$9, 100%, $E$9)</f>
        <v>5.5084</v>
      </c>
      <c r="C352" s="80">
        <f>5.5084 * CHOOSE(CONTROL!$C$32, $C$9, 100%, $E$9)</f>
        <v>5.5084</v>
      </c>
      <c r="D352" s="80">
        <f>5.5095 * CHOOSE(CONTROL!$C$32, $C$9, 100%, $E$9)</f>
        <v>5.5095000000000001</v>
      </c>
      <c r="E352" s="81">
        <f>6.6406 * CHOOSE(CONTROL!$C$32, $C$9, 100%, $E$9)</f>
        <v>6.6406000000000001</v>
      </c>
      <c r="F352" s="81">
        <f>6.6406 * CHOOSE(CONTROL!$C$32, $C$9, 100%, $E$9)</f>
        <v>6.6406000000000001</v>
      </c>
      <c r="G352" s="81">
        <f>6.6442 * CHOOSE(CONTROL!$C$32, $C$9, 100%, $E$9)</f>
        <v>6.6441999999999997</v>
      </c>
      <c r="H352" s="81">
        <f>11.7545 * CHOOSE(CONTROL!$C$32, $C$9, 100%, $E$9)</f>
        <v>11.7545</v>
      </c>
      <c r="I352" s="81">
        <f>11.7581 * CHOOSE(CONTROL!$C$32, $C$9, 100%, $E$9)</f>
        <v>11.758100000000001</v>
      </c>
      <c r="J352" s="81">
        <f>11.7545 * CHOOSE(CONTROL!$C$32, $C$9, 100%, $E$9)</f>
        <v>11.7545</v>
      </c>
      <c r="K352" s="81">
        <f>11.7581 * CHOOSE(CONTROL!$C$32, $C$9, 100%, $E$9)</f>
        <v>11.758100000000001</v>
      </c>
      <c r="L352" s="81">
        <f>6.6406 * CHOOSE(CONTROL!$C$32, $C$9, 100%, $E$9)</f>
        <v>6.6406000000000001</v>
      </c>
      <c r="M352" s="81">
        <f>6.6442 * CHOOSE(CONTROL!$C$32, $C$9, 100%, $E$9)</f>
        <v>6.6441999999999997</v>
      </c>
      <c r="N352" s="81">
        <f>6.6406 * CHOOSE(CONTROL!$C$32, $C$9, 100%, $E$9)</f>
        <v>6.6406000000000001</v>
      </c>
      <c r="O352" s="81">
        <f>6.6442 * CHOOSE(CONTROL!$C$32, $C$9, 100%, $E$9)</f>
        <v>6.6441999999999997</v>
      </c>
    </row>
    <row r="353" spans="1:15" ht="15" x14ac:dyDescent="0.2">
      <c r="A353" s="16">
        <v>51957</v>
      </c>
      <c r="B353" s="80">
        <f>5.5075 * CHOOSE(CONTROL!$C$32, $C$9, 100%, $E$9)</f>
        <v>5.5075000000000003</v>
      </c>
      <c r="C353" s="80">
        <f>5.5075 * CHOOSE(CONTROL!$C$32, $C$9, 100%, $E$9)</f>
        <v>5.5075000000000003</v>
      </c>
      <c r="D353" s="80">
        <f>5.5086 * CHOOSE(CONTROL!$C$32, $C$9, 100%, $E$9)</f>
        <v>5.5086000000000004</v>
      </c>
      <c r="E353" s="81">
        <f>6.7402 * CHOOSE(CONTROL!$C$32, $C$9, 100%, $E$9)</f>
        <v>6.7401999999999997</v>
      </c>
      <c r="F353" s="81">
        <f>6.7402 * CHOOSE(CONTROL!$C$32, $C$9, 100%, $E$9)</f>
        <v>6.7401999999999997</v>
      </c>
      <c r="G353" s="81">
        <f>6.7438 * CHOOSE(CONTROL!$C$32, $C$9, 100%, $E$9)</f>
        <v>6.7438000000000002</v>
      </c>
      <c r="H353" s="81">
        <f>11.779 * CHOOSE(CONTROL!$C$32, $C$9, 100%, $E$9)</f>
        <v>11.779</v>
      </c>
      <c r="I353" s="81">
        <f>11.7826 * CHOOSE(CONTROL!$C$32, $C$9, 100%, $E$9)</f>
        <v>11.7826</v>
      </c>
      <c r="J353" s="81">
        <f>11.779 * CHOOSE(CONTROL!$C$32, $C$9, 100%, $E$9)</f>
        <v>11.779</v>
      </c>
      <c r="K353" s="81">
        <f>11.7826 * CHOOSE(CONTROL!$C$32, $C$9, 100%, $E$9)</f>
        <v>11.7826</v>
      </c>
      <c r="L353" s="81">
        <f>6.7402 * CHOOSE(CONTROL!$C$32, $C$9, 100%, $E$9)</f>
        <v>6.7401999999999997</v>
      </c>
      <c r="M353" s="81">
        <f>6.7438 * CHOOSE(CONTROL!$C$32, $C$9, 100%, $E$9)</f>
        <v>6.7438000000000002</v>
      </c>
      <c r="N353" s="81">
        <f>6.7402 * CHOOSE(CONTROL!$C$32, $C$9, 100%, $E$9)</f>
        <v>6.7401999999999997</v>
      </c>
      <c r="O353" s="81">
        <f>6.7438 * CHOOSE(CONTROL!$C$32, $C$9, 100%, $E$9)</f>
        <v>6.7438000000000002</v>
      </c>
    </row>
    <row r="354" spans="1:15" ht="15" x14ac:dyDescent="0.2">
      <c r="A354" s="16">
        <v>51987</v>
      </c>
      <c r="B354" s="80">
        <f>5.5075 * CHOOSE(CONTROL!$C$32, $C$9, 100%, $E$9)</f>
        <v>5.5075000000000003</v>
      </c>
      <c r="C354" s="80">
        <f>5.5075 * CHOOSE(CONTROL!$C$32, $C$9, 100%, $E$9)</f>
        <v>5.5075000000000003</v>
      </c>
      <c r="D354" s="80">
        <f>5.5091 * CHOOSE(CONTROL!$C$32, $C$9, 100%, $E$9)</f>
        <v>5.5091000000000001</v>
      </c>
      <c r="E354" s="81">
        <f>6.7791 * CHOOSE(CONTROL!$C$32, $C$9, 100%, $E$9)</f>
        <v>6.7790999999999997</v>
      </c>
      <c r="F354" s="81">
        <f>6.7791 * CHOOSE(CONTROL!$C$32, $C$9, 100%, $E$9)</f>
        <v>6.7790999999999997</v>
      </c>
      <c r="G354" s="81">
        <f>6.7844 * CHOOSE(CONTROL!$C$32, $C$9, 100%, $E$9)</f>
        <v>6.7843999999999998</v>
      </c>
      <c r="H354" s="81">
        <f>11.8035 * CHOOSE(CONTROL!$C$32, $C$9, 100%, $E$9)</f>
        <v>11.8035</v>
      </c>
      <c r="I354" s="81">
        <f>11.8088 * CHOOSE(CONTROL!$C$32, $C$9, 100%, $E$9)</f>
        <v>11.8088</v>
      </c>
      <c r="J354" s="81">
        <f>11.8035 * CHOOSE(CONTROL!$C$32, $C$9, 100%, $E$9)</f>
        <v>11.8035</v>
      </c>
      <c r="K354" s="81">
        <f>11.8088 * CHOOSE(CONTROL!$C$32, $C$9, 100%, $E$9)</f>
        <v>11.8088</v>
      </c>
      <c r="L354" s="81">
        <f>6.7791 * CHOOSE(CONTROL!$C$32, $C$9, 100%, $E$9)</f>
        <v>6.7790999999999997</v>
      </c>
      <c r="M354" s="81">
        <f>6.7844 * CHOOSE(CONTROL!$C$32, $C$9, 100%, $E$9)</f>
        <v>6.7843999999999998</v>
      </c>
      <c r="N354" s="81">
        <f>6.7791 * CHOOSE(CONTROL!$C$32, $C$9, 100%, $E$9)</f>
        <v>6.7790999999999997</v>
      </c>
      <c r="O354" s="81">
        <f>6.7844 * CHOOSE(CONTROL!$C$32, $C$9, 100%, $E$9)</f>
        <v>6.7843999999999998</v>
      </c>
    </row>
    <row r="355" spans="1:15" ht="15" x14ac:dyDescent="0.2">
      <c r="A355" s="16">
        <v>52018</v>
      </c>
      <c r="B355" s="80">
        <f>5.5136 * CHOOSE(CONTROL!$C$32, $C$9, 100%, $E$9)</f>
        <v>5.5136000000000003</v>
      </c>
      <c r="C355" s="80">
        <f>5.5136 * CHOOSE(CONTROL!$C$32, $C$9, 100%, $E$9)</f>
        <v>5.5136000000000003</v>
      </c>
      <c r="D355" s="80">
        <f>5.5152 * CHOOSE(CONTROL!$C$32, $C$9, 100%, $E$9)</f>
        <v>5.5152000000000001</v>
      </c>
      <c r="E355" s="81">
        <f>6.7444 * CHOOSE(CONTROL!$C$32, $C$9, 100%, $E$9)</f>
        <v>6.7443999999999997</v>
      </c>
      <c r="F355" s="81">
        <f>6.7444 * CHOOSE(CONTROL!$C$32, $C$9, 100%, $E$9)</f>
        <v>6.7443999999999997</v>
      </c>
      <c r="G355" s="81">
        <f>6.7497 * CHOOSE(CONTROL!$C$32, $C$9, 100%, $E$9)</f>
        <v>6.7496999999999998</v>
      </c>
      <c r="H355" s="81">
        <f>11.8281 * CHOOSE(CONTROL!$C$32, $C$9, 100%, $E$9)</f>
        <v>11.828099999999999</v>
      </c>
      <c r="I355" s="81">
        <f>11.8334 * CHOOSE(CONTROL!$C$32, $C$9, 100%, $E$9)</f>
        <v>11.833399999999999</v>
      </c>
      <c r="J355" s="81">
        <f>11.8281 * CHOOSE(CONTROL!$C$32, $C$9, 100%, $E$9)</f>
        <v>11.828099999999999</v>
      </c>
      <c r="K355" s="81">
        <f>11.8334 * CHOOSE(CONTROL!$C$32, $C$9, 100%, $E$9)</f>
        <v>11.833399999999999</v>
      </c>
      <c r="L355" s="81">
        <f>6.7444 * CHOOSE(CONTROL!$C$32, $C$9, 100%, $E$9)</f>
        <v>6.7443999999999997</v>
      </c>
      <c r="M355" s="81">
        <f>6.7497 * CHOOSE(CONTROL!$C$32, $C$9, 100%, $E$9)</f>
        <v>6.7496999999999998</v>
      </c>
      <c r="N355" s="81">
        <f>6.7444 * CHOOSE(CONTROL!$C$32, $C$9, 100%, $E$9)</f>
        <v>6.7443999999999997</v>
      </c>
      <c r="O355" s="81">
        <f>6.7497 * CHOOSE(CONTROL!$C$32, $C$9, 100%, $E$9)</f>
        <v>6.7496999999999998</v>
      </c>
    </row>
    <row r="356" spans="1:15" ht="15" x14ac:dyDescent="0.2">
      <c r="A356" s="16">
        <v>52048</v>
      </c>
      <c r="B356" s="80">
        <f>5.5892 * CHOOSE(CONTROL!$C$32, $C$9, 100%, $E$9)</f>
        <v>5.5891999999999999</v>
      </c>
      <c r="C356" s="80">
        <f>5.5892 * CHOOSE(CONTROL!$C$32, $C$9, 100%, $E$9)</f>
        <v>5.5891999999999999</v>
      </c>
      <c r="D356" s="80">
        <f>5.5907 * CHOOSE(CONTROL!$C$32, $C$9, 100%, $E$9)</f>
        <v>5.5907</v>
      </c>
      <c r="E356" s="81">
        <f>6.7633 * CHOOSE(CONTROL!$C$32, $C$9, 100%, $E$9)</f>
        <v>6.7633000000000001</v>
      </c>
      <c r="F356" s="81">
        <f>6.7633 * CHOOSE(CONTROL!$C$32, $C$9, 100%, $E$9)</f>
        <v>6.7633000000000001</v>
      </c>
      <c r="G356" s="81">
        <f>6.7686 * CHOOSE(CONTROL!$C$32, $C$9, 100%, $E$9)</f>
        <v>6.7686000000000002</v>
      </c>
      <c r="H356" s="81">
        <f>11.8527 * CHOOSE(CONTROL!$C$32, $C$9, 100%, $E$9)</f>
        <v>11.8527</v>
      </c>
      <c r="I356" s="81">
        <f>11.858 * CHOOSE(CONTROL!$C$32, $C$9, 100%, $E$9)</f>
        <v>11.858000000000001</v>
      </c>
      <c r="J356" s="81">
        <f>11.8527 * CHOOSE(CONTROL!$C$32, $C$9, 100%, $E$9)</f>
        <v>11.8527</v>
      </c>
      <c r="K356" s="81">
        <f>11.858 * CHOOSE(CONTROL!$C$32, $C$9, 100%, $E$9)</f>
        <v>11.858000000000001</v>
      </c>
      <c r="L356" s="81">
        <f>6.7633 * CHOOSE(CONTROL!$C$32, $C$9, 100%, $E$9)</f>
        <v>6.7633000000000001</v>
      </c>
      <c r="M356" s="81">
        <f>6.7686 * CHOOSE(CONTROL!$C$32, $C$9, 100%, $E$9)</f>
        <v>6.7686000000000002</v>
      </c>
      <c r="N356" s="81">
        <f>6.7633 * CHOOSE(CONTROL!$C$32, $C$9, 100%, $E$9)</f>
        <v>6.7633000000000001</v>
      </c>
      <c r="O356" s="81">
        <f>6.7686 * CHOOSE(CONTROL!$C$32, $C$9, 100%, $E$9)</f>
        <v>6.7686000000000002</v>
      </c>
    </row>
    <row r="357" spans="1:15" ht="15" x14ac:dyDescent="0.2">
      <c r="A357" s="16">
        <v>52079</v>
      </c>
      <c r="B357" s="80">
        <f>5.5958 * CHOOSE(CONTROL!$C$32, $C$9, 100%, $E$9)</f>
        <v>5.5957999999999997</v>
      </c>
      <c r="C357" s="80">
        <f>5.5958 * CHOOSE(CONTROL!$C$32, $C$9, 100%, $E$9)</f>
        <v>5.5957999999999997</v>
      </c>
      <c r="D357" s="80">
        <f>5.5974 * CHOOSE(CONTROL!$C$32, $C$9, 100%, $E$9)</f>
        <v>5.5974000000000004</v>
      </c>
      <c r="E357" s="81">
        <f>6.6512 * CHOOSE(CONTROL!$C$32, $C$9, 100%, $E$9)</f>
        <v>6.6512000000000002</v>
      </c>
      <c r="F357" s="81">
        <f>6.6512 * CHOOSE(CONTROL!$C$32, $C$9, 100%, $E$9)</f>
        <v>6.6512000000000002</v>
      </c>
      <c r="G357" s="81">
        <f>6.6565 * CHOOSE(CONTROL!$C$32, $C$9, 100%, $E$9)</f>
        <v>6.6565000000000003</v>
      </c>
      <c r="H357" s="81">
        <f>11.8774 * CHOOSE(CONTROL!$C$32, $C$9, 100%, $E$9)</f>
        <v>11.8774</v>
      </c>
      <c r="I357" s="81">
        <f>11.8827 * CHOOSE(CONTROL!$C$32, $C$9, 100%, $E$9)</f>
        <v>11.8827</v>
      </c>
      <c r="J357" s="81">
        <f>11.8774 * CHOOSE(CONTROL!$C$32, $C$9, 100%, $E$9)</f>
        <v>11.8774</v>
      </c>
      <c r="K357" s="81">
        <f>11.8827 * CHOOSE(CONTROL!$C$32, $C$9, 100%, $E$9)</f>
        <v>11.8827</v>
      </c>
      <c r="L357" s="81">
        <f>6.6512 * CHOOSE(CONTROL!$C$32, $C$9, 100%, $E$9)</f>
        <v>6.6512000000000002</v>
      </c>
      <c r="M357" s="81">
        <f>6.6565 * CHOOSE(CONTROL!$C$32, $C$9, 100%, $E$9)</f>
        <v>6.6565000000000003</v>
      </c>
      <c r="N357" s="81">
        <f>6.6512 * CHOOSE(CONTROL!$C$32, $C$9, 100%, $E$9)</f>
        <v>6.6512000000000002</v>
      </c>
      <c r="O357" s="81">
        <f>6.6565 * CHOOSE(CONTROL!$C$32, $C$9, 100%, $E$9)</f>
        <v>6.6565000000000003</v>
      </c>
    </row>
    <row r="358" spans="1:15" ht="15" x14ac:dyDescent="0.2">
      <c r="A358" s="16">
        <v>52110</v>
      </c>
      <c r="B358" s="80">
        <f>5.5928 * CHOOSE(CONTROL!$C$32, $C$9, 100%, $E$9)</f>
        <v>5.5928000000000004</v>
      </c>
      <c r="C358" s="80">
        <f>5.5928 * CHOOSE(CONTROL!$C$32, $C$9, 100%, $E$9)</f>
        <v>5.5928000000000004</v>
      </c>
      <c r="D358" s="80">
        <f>5.5944 * CHOOSE(CONTROL!$C$32, $C$9, 100%, $E$9)</f>
        <v>5.5944000000000003</v>
      </c>
      <c r="E358" s="81">
        <f>6.6361 * CHOOSE(CONTROL!$C$32, $C$9, 100%, $E$9)</f>
        <v>6.6360999999999999</v>
      </c>
      <c r="F358" s="81">
        <f>6.6361 * CHOOSE(CONTROL!$C$32, $C$9, 100%, $E$9)</f>
        <v>6.6360999999999999</v>
      </c>
      <c r="G358" s="81">
        <f>6.6414 * CHOOSE(CONTROL!$C$32, $C$9, 100%, $E$9)</f>
        <v>6.6414</v>
      </c>
      <c r="H358" s="81">
        <f>11.9022 * CHOOSE(CONTROL!$C$32, $C$9, 100%, $E$9)</f>
        <v>11.902200000000001</v>
      </c>
      <c r="I358" s="81">
        <f>11.9075 * CHOOSE(CONTROL!$C$32, $C$9, 100%, $E$9)</f>
        <v>11.907500000000001</v>
      </c>
      <c r="J358" s="81">
        <f>11.9022 * CHOOSE(CONTROL!$C$32, $C$9, 100%, $E$9)</f>
        <v>11.902200000000001</v>
      </c>
      <c r="K358" s="81">
        <f>11.9075 * CHOOSE(CONTROL!$C$32, $C$9, 100%, $E$9)</f>
        <v>11.907500000000001</v>
      </c>
      <c r="L358" s="81">
        <f>6.6361 * CHOOSE(CONTROL!$C$32, $C$9, 100%, $E$9)</f>
        <v>6.6360999999999999</v>
      </c>
      <c r="M358" s="81">
        <f>6.6414 * CHOOSE(CONTROL!$C$32, $C$9, 100%, $E$9)</f>
        <v>6.6414</v>
      </c>
      <c r="N358" s="81">
        <f>6.6361 * CHOOSE(CONTROL!$C$32, $C$9, 100%, $E$9)</f>
        <v>6.6360999999999999</v>
      </c>
      <c r="O358" s="81">
        <f>6.6414 * CHOOSE(CONTROL!$C$32, $C$9, 100%, $E$9)</f>
        <v>6.6414</v>
      </c>
    </row>
    <row r="359" spans="1:15" ht="15" x14ac:dyDescent="0.2">
      <c r="A359" s="16">
        <v>52140</v>
      </c>
      <c r="B359" s="80">
        <f>5.5938 * CHOOSE(CONTROL!$C$32, $C$9, 100%, $E$9)</f>
        <v>5.5937999999999999</v>
      </c>
      <c r="C359" s="80">
        <f>5.5938 * CHOOSE(CONTROL!$C$32, $C$9, 100%, $E$9)</f>
        <v>5.5937999999999999</v>
      </c>
      <c r="D359" s="80">
        <f>5.5949 * CHOOSE(CONTROL!$C$32, $C$9, 100%, $E$9)</f>
        <v>5.5949</v>
      </c>
      <c r="E359" s="81">
        <f>6.6746 * CHOOSE(CONTROL!$C$32, $C$9, 100%, $E$9)</f>
        <v>6.6745999999999999</v>
      </c>
      <c r="F359" s="81">
        <f>6.6746 * CHOOSE(CONTROL!$C$32, $C$9, 100%, $E$9)</f>
        <v>6.6745999999999999</v>
      </c>
      <c r="G359" s="81">
        <f>6.6782 * CHOOSE(CONTROL!$C$32, $C$9, 100%, $E$9)</f>
        <v>6.6782000000000004</v>
      </c>
      <c r="H359" s="81">
        <f>11.927 * CHOOSE(CONTROL!$C$32, $C$9, 100%, $E$9)</f>
        <v>11.927</v>
      </c>
      <c r="I359" s="81">
        <f>11.9306 * CHOOSE(CONTROL!$C$32, $C$9, 100%, $E$9)</f>
        <v>11.9306</v>
      </c>
      <c r="J359" s="81">
        <f>11.927 * CHOOSE(CONTROL!$C$32, $C$9, 100%, $E$9)</f>
        <v>11.927</v>
      </c>
      <c r="K359" s="81">
        <f>11.9306 * CHOOSE(CONTROL!$C$32, $C$9, 100%, $E$9)</f>
        <v>11.9306</v>
      </c>
      <c r="L359" s="81">
        <f>6.6746 * CHOOSE(CONTROL!$C$32, $C$9, 100%, $E$9)</f>
        <v>6.6745999999999999</v>
      </c>
      <c r="M359" s="81">
        <f>6.6782 * CHOOSE(CONTROL!$C$32, $C$9, 100%, $E$9)</f>
        <v>6.6782000000000004</v>
      </c>
      <c r="N359" s="81">
        <f>6.6746 * CHOOSE(CONTROL!$C$32, $C$9, 100%, $E$9)</f>
        <v>6.6745999999999999</v>
      </c>
      <c r="O359" s="81">
        <f>6.6782 * CHOOSE(CONTROL!$C$32, $C$9, 100%, $E$9)</f>
        <v>6.6782000000000004</v>
      </c>
    </row>
    <row r="360" spans="1:15" ht="15" x14ac:dyDescent="0.2">
      <c r="A360" s="16">
        <v>52171</v>
      </c>
      <c r="B360" s="80">
        <f>5.5968 * CHOOSE(CONTROL!$C$32, $C$9, 100%, $E$9)</f>
        <v>5.5968</v>
      </c>
      <c r="C360" s="80">
        <f>5.5968 * CHOOSE(CONTROL!$C$32, $C$9, 100%, $E$9)</f>
        <v>5.5968</v>
      </c>
      <c r="D360" s="80">
        <f>5.5979 * CHOOSE(CONTROL!$C$32, $C$9, 100%, $E$9)</f>
        <v>5.5979000000000001</v>
      </c>
      <c r="E360" s="81">
        <f>6.7026 * CHOOSE(CONTROL!$C$32, $C$9, 100%, $E$9)</f>
        <v>6.7026000000000003</v>
      </c>
      <c r="F360" s="81">
        <f>6.7026 * CHOOSE(CONTROL!$C$32, $C$9, 100%, $E$9)</f>
        <v>6.7026000000000003</v>
      </c>
      <c r="G360" s="81">
        <f>6.7063 * CHOOSE(CONTROL!$C$32, $C$9, 100%, $E$9)</f>
        <v>6.7062999999999997</v>
      </c>
      <c r="H360" s="81">
        <f>11.9518 * CHOOSE(CONTROL!$C$32, $C$9, 100%, $E$9)</f>
        <v>11.9518</v>
      </c>
      <c r="I360" s="81">
        <f>11.9554 * CHOOSE(CONTROL!$C$32, $C$9, 100%, $E$9)</f>
        <v>11.955399999999999</v>
      </c>
      <c r="J360" s="81">
        <f>11.9518 * CHOOSE(CONTROL!$C$32, $C$9, 100%, $E$9)</f>
        <v>11.9518</v>
      </c>
      <c r="K360" s="81">
        <f>11.9554 * CHOOSE(CONTROL!$C$32, $C$9, 100%, $E$9)</f>
        <v>11.955399999999999</v>
      </c>
      <c r="L360" s="81">
        <f>6.7026 * CHOOSE(CONTROL!$C$32, $C$9, 100%, $E$9)</f>
        <v>6.7026000000000003</v>
      </c>
      <c r="M360" s="81">
        <f>6.7063 * CHOOSE(CONTROL!$C$32, $C$9, 100%, $E$9)</f>
        <v>6.7062999999999997</v>
      </c>
      <c r="N360" s="81">
        <f>6.7026 * CHOOSE(CONTROL!$C$32, $C$9, 100%, $E$9)</f>
        <v>6.7026000000000003</v>
      </c>
      <c r="O360" s="81">
        <f>6.7063 * CHOOSE(CONTROL!$C$32, $C$9, 100%, $E$9)</f>
        <v>6.7062999999999997</v>
      </c>
    </row>
    <row r="361" spans="1:15" ht="15" x14ac:dyDescent="0.2">
      <c r="A361" s="16">
        <v>52201</v>
      </c>
      <c r="B361" s="80">
        <f>5.5968 * CHOOSE(CONTROL!$C$32, $C$9, 100%, $E$9)</f>
        <v>5.5968</v>
      </c>
      <c r="C361" s="80">
        <f>5.5968 * CHOOSE(CONTROL!$C$32, $C$9, 100%, $E$9)</f>
        <v>5.5968</v>
      </c>
      <c r="D361" s="80">
        <f>5.5979 * CHOOSE(CONTROL!$C$32, $C$9, 100%, $E$9)</f>
        <v>5.5979000000000001</v>
      </c>
      <c r="E361" s="81">
        <f>6.6378 * CHOOSE(CONTROL!$C$32, $C$9, 100%, $E$9)</f>
        <v>6.6378000000000004</v>
      </c>
      <c r="F361" s="81">
        <f>6.6378 * CHOOSE(CONTROL!$C$32, $C$9, 100%, $E$9)</f>
        <v>6.6378000000000004</v>
      </c>
      <c r="G361" s="81">
        <f>6.6414 * CHOOSE(CONTROL!$C$32, $C$9, 100%, $E$9)</f>
        <v>6.6414</v>
      </c>
      <c r="H361" s="81">
        <f>11.9767 * CHOOSE(CONTROL!$C$32, $C$9, 100%, $E$9)</f>
        <v>11.976699999999999</v>
      </c>
      <c r="I361" s="81">
        <f>11.9803 * CHOOSE(CONTROL!$C$32, $C$9, 100%, $E$9)</f>
        <v>11.9803</v>
      </c>
      <c r="J361" s="81">
        <f>11.9767 * CHOOSE(CONTROL!$C$32, $C$9, 100%, $E$9)</f>
        <v>11.976699999999999</v>
      </c>
      <c r="K361" s="81">
        <f>11.9803 * CHOOSE(CONTROL!$C$32, $C$9, 100%, $E$9)</f>
        <v>11.9803</v>
      </c>
      <c r="L361" s="81">
        <f>6.6378 * CHOOSE(CONTROL!$C$32, $C$9, 100%, $E$9)</f>
        <v>6.6378000000000004</v>
      </c>
      <c r="M361" s="81">
        <f>6.6414 * CHOOSE(CONTROL!$C$32, $C$9, 100%, $E$9)</f>
        <v>6.6414</v>
      </c>
      <c r="N361" s="81">
        <f>6.6378 * CHOOSE(CONTROL!$C$32, $C$9, 100%, $E$9)</f>
        <v>6.6378000000000004</v>
      </c>
      <c r="O361" s="81">
        <f>6.6414 * CHOOSE(CONTROL!$C$32, $C$9, 100%, $E$9)</f>
        <v>6.6414</v>
      </c>
    </row>
    <row r="362" spans="1:15" ht="15" x14ac:dyDescent="0.2">
      <c r="A362" s="16">
        <v>52232</v>
      </c>
      <c r="B362" s="80">
        <f>5.6399 * CHOOSE(CONTROL!$C$32, $C$9, 100%, $E$9)</f>
        <v>5.6398999999999999</v>
      </c>
      <c r="C362" s="80">
        <f>5.6399 * CHOOSE(CONTROL!$C$32, $C$9, 100%, $E$9)</f>
        <v>5.6398999999999999</v>
      </c>
      <c r="D362" s="80">
        <f>5.6409 * CHOOSE(CONTROL!$C$32, $C$9, 100%, $E$9)</f>
        <v>5.6409000000000002</v>
      </c>
      <c r="E362" s="81">
        <f>6.7096 * CHOOSE(CONTROL!$C$32, $C$9, 100%, $E$9)</f>
        <v>6.7096</v>
      </c>
      <c r="F362" s="81">
        <f>6.7096 * CHOOSE(CONTROL!$C$32, $C$9, 100%, $E$9)</f>
        <v>6.7096</v>
      </c>
      <c r="G362" s="81">
        <f>6.7132 * CHOOSE(CONTROL!$C$32, $C$9, 100%, $E$9)</f>
        <v>6.7131999999999996</v>
      </c>
      <c r="H362" s="81">
        <f>12.0017 * CHOOSE(CONTROL!$C$32, $C$9, 100%, $E$9)</f>
        <v>12.0017</v>
      </c>
      <c r="I362" s="81">
        <f>12.0053 * CHOOSE(CONTROL!$C$32, $C$9, 100%, $E$9)</f>
        <v>12.0053</v>
      </c>
      <c r="J362" s="81">
        <f>12.0017 * CHOOSE(CONTROL!$C$32, $C$9, 100%, $E$9)</f>
        <v>12.0017</v>
      </c>
      <c r="K362" s="81">
        <f>12.0053 * CHOOSE(CONTROL!$C$32, $C$9, 100%, $E$9)</f>
        <v>12.0053</v>
      </c>
      <c r="L362" s="81">
        <f>6.7096 * CHOOSE(CONTROL!$C$32, $C$9, 100%, $E$9)</f>
        <v>6.7096</v>
      </c>
      <c r="M362" s="81">
        <f>6.7132 * CHOOSE(CONTROL!$C$32, $C$9, 100%, $E$9)</f>
        <v>6.7131999999999996</v>
      </c>
      <c r="N362" s="81">
        <f>6.7096 * CHOOSE(CONTROL!$C$32, $C$9, 100%, $E$9)</f>
        <v>6.7096</v>
      </c>
      <c r="O362" s="81">
        <f>6.7132 * CHOOSE(CONTROL!$C$32, $C$9, 100%, $E$9)</f>
        <v>6.7131999999999996</v>
      </c>
    </row>
    <row r="363" spans="1:15" ht="15" x14ac:dyDescent="0.2">
      <c r="A363" s="16">
        <v>52263</v>
      </c>
      <c r="B363" s="80">
        <f>5.6368 * CHOOSE(CONTROL!$C$32, $C$9, 100%, $E$9)</f>
        <v>5.6368</v>
      </c>
      <c r="C363" s="80">
        <f>5.6368 * CHOOSE(CONTROL!$C$32, $C$9, 100%, $E$9)</f>
        <v>5.6368</v>
      </c>
      <c r="D363" s="80">
        <f>5.6379 * CHOOSE(CONTROL!$C$32, $C$9, 100%, $E$9)</f>
        <v>5.6379000000000001</v>
      </c>
      <c r="E363" s="81">
        <f>6.5809 * CHOOSE(CONTROL!$C$32, $C$9, 100%, $E$9)</f>
        <v>6.5808999999999997</v>
      </c>
      <c r="F363" s="81">
        <f>6.5809 * CHOOSE(CONTROL!$C$32, $C$9, 100%, $E$9)</f>
        <v>6.5808999999999997</v>
      </c>
      <c r="G363" s="81">
        <f>6.5845 * CHOOSE(CONTROL!$C$32, $C$9, 100%, $E$9)</f>
        <v>6.5845000000000002</v>
      </c>
      <c r="H363" s="81">
        <f>12.0267 * CHOOSE(CONTROL!$C$32, $C$9, 100%, $E$9)</f>
        <v>12.0267</v>
      </c>
      <c r="I363" s="81">
        <f>12.0303 * CHOOSE(CONTROL!$C$32, $C$9, 100%, $E$9)</f>
        <v>12.0303</v>
      </c>
      <c r="J363" s="81">
        <f>12.0267 * CHOOSE(CONTROL!$C$32, $C$9, 100%, $E$9)</f>
        <v>12.0267</v>
      </c>
      <c r="K363" s="81">
        <f>12.0303 * CHOOSE(CONTROL!$C$32, $C$9, 100%, $E$9)</f>
        <v>12.0303</v>
      </c>
      <c r="L363" s="81">
        <f>6.5809 * CHOOSE(CONTROL!$C$32, $C$9, 100%, $E$9)</f>
        <v>6.5808999999999997</v>
      </c>
      <c r="M363" s="81">
        <f>6.5845 * CHOOSE(CONTROL!$C$32, $C$9, 100%, $E$9)</f>
        <v>6.5845000000000002</v>
      </c>
      <c r="N363" s="81">
        <f>6.5809 * CHOOSE(CONTROL!$C$32, $C$9, 100%, $E$9)</f>
        <v>6.5808999999999997</v>
      </c>
      <c r="O363" s="81">
        <f>6.5845 * CHOOSE(CONTROL!$C$32, $C$9, 100%, $E$9)</f>
        <v>6.5845000000000002</v>
      </c>
    </row>
    <row r="364" spans="1:15" ht="15" x14ac:dyDescent="0.2">
      <c r="A364" s="16">
        <v>52291</v>
      </c>
      <c r="B364" s="80">
        <f>5.6338 * CHOOSE(CONTROL!$C$32, $C$9, 100%, $E$9)</f>
        <v>5.6337999999999999</v>
      </c>
      <c r="C364" s="80">
        <f>5.6338 * CHOOSE(CONTROL!$C$32, $C$9, 100%, $E$9)</f>
        <v>5.6337999999999999</v>
      </c>
      <c r="D364" s="80">
        <f>5.6349 * CHOOSE(CONTROL!$C$32, $C$9, 100%, $E$9)</f>
        <v>5.6349</v>
      </c>
      <c r="E364" s="81">
        <f>6.6786 * CHOOSE(CONTROL!$C$32, $C$9, 100%, $E$9)</f>
        <v>6.6786000000000003</v>
      </c>
      <c r="F364" s="81">
        <f>6.6786 * CHOOSE(CONTROL!$C$32, $C$9, 100%, $E$9)</f>
        <v>6.6786000000000003</v>
      </c>
      <c r="G364" s="81">
        <f>6.6822 * CHOOSE(CONTROL!$C$32, $C$9, 100%, $E$9)</f>
        <v>6.6821999999999999</v>
      </c>
      <c r="H364" s="81">
        <f>12.0517 * CHOOSE(CONTROL!$C$32, $C$9, 100%, $E$9)</f>
        <v>12.0517</v>
      </c>
      <c r="I364" s="81">
        <f>12.0554 * CHOOSE(CONTROL!$C$32, $C$9, 100%, $E$9)</f>
        <v>12.055400000000001</v>
      </c>
      <c r="J364" s="81">
        <f>12.0517 * CHOOSE(CONTROL!$C$32, $C$9, 100%, $E$9)</f>
        <v>12.0517</v>
      </c>
      <c r="K364" s="81">
        <f>12.0554 * CHOOSE(CONTROL!$C$32, $C$9, 100%, $E$9)</f>
        <v>12.055400000000001</v>
      </c>
      <c r="L364" s="81">
        <f>6.6786 * CHOOSE(CONTROL!$C$32, $C$9, 100%, $E$9)</f>
        <v>6.6786000000000003</v>
      </c>
      <c r="M364" s="81">
        <f>6.6822 * CHOOSE(CONTROL!$C$32, $C$9, 100%, $E$9)</f>
        <v>6.6821999999999999</v>
      </c>
      <c r="N364" s="81">
        <f>6.6786 * CHOOSE(CONTROL!$C$32, $C$9, 100%, $E$9)</f>
        <v>6.6786000000000003</v>
      </c>
      <c r="O364" s="81">
        <f>6.6822 * CHOOSE(CONTROL!$C$32, $C$9, 100%, $E$9)</f>
        <v>6.6821999999999999</v>
      </c>
    </row>
    <row r="365" spans="1:15" ht="15" x14ac:dyDescent="0.2">
      <c r="A365" s="16">
        <v>52322</v>
      </c>
      <c r="B365" s="80">
        <f>5.633 * CHOOSE(CONTROL!$C$32, $C$9, 100%, $E$9)</f>
        <v>5.633</v>
      </c>
      <c r="C365" s="80">
        <f>5.633 * CHOOSE(CONTROL!$C$32, $C$9, 100%, $E$9)</f>
        <v>5.633</v>
      </c>
      <c r="D365" s="80">
        <f>5.6341 * CHOOSE(CONTROL!$C$32, $C$9, 100%, $E$9)</f>
        <v>5.6341000000000001</v>
      </c>
      <c r="E365" s="81">
        <f>6.7815 * CHOOSE(CONTROL!$C$32, $C$9, 100%, $E$9)</f>
        <v>6.7815000000000003</v>
      </c>
      <c r="F365" s="81">
        <f>6.7815 * CHOOSE(CONTROL!$C$32, $C$9, 100%, $E$9)</f>
        <v>6.7815000000000003</v>
      </c>
      <c r="G365" s="81">
        <f>6.7852 * CHOOSE(CONTROL!$C$32, $C$9, 100%, $E$9)</f>
        <v>6.7851999999999997</v>
      </c>
      <c r="H365" s="81">
        <f>12.0768 * CHOOSE(CONTROL!$C$32, $C$9, 100%, $E$9)</f>
        <v>12.0768</v>
      </c>
      <c r="I365" s="81">
        <f>12.0805 * CHOOSE(CONTROL!$C$32, $C$9, 100%, $E$9)</f>
        <v>12.080500000000001</v>
      </c>
      <c r="J365" s="81">
        <f>12.0768 * CHOOSE(CONTROL!$C$32, $C$9, 100%, $E$9)</f>
        <v>12.0768</v>
      </c>
      <c r="K365" s="81">
        <f>12.0805 * CHOOSE(CONTROL!$C$32, $C$9, 100%, $E$9)</f>
        <v>12.080500000000001</v>
      </c>
      <c r="L365" s="81">
        <f>6.7815 * CHOOSE(CONTROL!$C$32, $C$9, 100%, $E$9)</f>
        <v>6.7815000000000003</v>
      </c>
      <c r="M365" s="81">
        <f>6.7852 * CHOOSE(CONTROL!$C$32, $C$9, 100%, $E$9)</f>
        <v>6.7851999999999997</v>
      </c>
      <c r="N365" s="81">
        <f>6.7815 * CHOOSE(CONTROL!$C$32, $C$9, 100%, $E$9)</f>
        <v>6.7815000000000003</v>
      </c>
      <c r="O365" s="81">
        <f>6.7852 * CHOOSE(CONTROL!$C$32, $C$9, 100%, $E$9)</f>
        <v>6.7851999999999997</v>
      </c>
    </row>
    <row r="366" spans="1:15" ht="15" x14ac:dyDescent="0.2">
      <c r="A366" s="16">
        <v>52352</v>
      </c>
      <c r="B366" s="80">
        <f>5.633 * CHOOSE(CONTROL!$C$32, $C$9, 100%, $E$9)</f>
        <v>5.633</v>
      </c>
      <c r="C366" s="80">
        <f>5.633 * CHOOSE(CONTROL!$C$32, $C$9, 100%, $E$9)</f>
        <v>5.633</v>
      </c>
      <c r="D366" s="80">
        <f>5.6346 * CHOOSE(CONTROL!$C$32, $C$9, 100%, $E$9)</f>
        <v>5.6345999999999998</v>
      </c>
      <c r="E366" s="81">
        <f>6.8217 * CHOOSE(CONTROL!$C$32, $C$9, 100%, $E$9)</f>
        <v>6.8216999999999999</v>
      </c>
      <c r="F366" s="81">
        <f>6.8217 * CHOOSE(CONTROL!$C$32, $C$9, 100%, $E$9)</f>
        <v>6.8216999999999999</v>
      </c>
      <c r="G366" s="81">
        <f>6.827 * CHOOSE(CONTROL!$C$32, $C$9, 100%, $E$9)</f>
        <v>6.827</v>
      </c>
      <c r="H366" s="81">
        <f>12.102 * CHOOSE(CONTROL!$C$32, $C$9, 100%, $E$9)</f>
        <v>12.102</v>
      </c>
      <c r="I366" s="81">
        <f>12.1073 * CHOOSE(CONTROL!$C$32, $C$9, 100%, $E$9)</f>
        <v>12.1073</v>
      </c>
      <c r="J366" s="81">
        <f>12.102 * CHOOSE(CONTROL!$C$32, $C$9, 100%, $E$9)</f>
        <v>12.102</v>
      </c>
      <c r="K366" s="81">
        <f>12.1073 * CHOOSE(CONTROL!$C$32, $C$9, 100%, $E$9)</f>
        <v>12.1073</v>
      </c>
      <c r="L366" s="81">
        <f>6.8217 * CHOOSE(CONTROL!$C$32, $C$9, 100%, $E$9)</f>
        <v>6.8216999999999999</v>
      </c>
      <c r="M366" s="81">
        <f>6.827 * CHOOSE(CONTROL!$C$32, $C$9, 100%, $E$9)</f>
        <v>6.827</v>
      </c>
      <c r="N366" s="81">
        <f>6.8217 * CHOOSE(CONTROL!$C$32, $C$9, 100%, $E$9)</f>
        <v>6.8216999999999999</v>
      </c>
      <c r="O366" s="81">
        <f>6.827 * CHOOSE(CONTROL!$C$32, $C$9, 100%, $E$9)</f>
        <v>6.827</v>
      </c>
    </row>
    <row r="367" spans="1:15" ht="15" x14ac:dyDescent="0.2">
      <c r="A367" s="16">
        <v>52383</v>
      </c>
      <c r="B367" s="80">
        <f>5.6391 * CHOOSE(CONTROL!$C$32, $C$9, 100%, $E$9)</f>
        <v>5.6391</v>
      </c>
      <c r="C367" s="80">
        <f>5.6391 * CHOOSE(CONTROL!$C$32, $C$9, 100%, $E$9)</f>
        <v>5.6391</v>
      </c>
      <c r="D367" s="80">
        <f>5.6407 * CHOOSE(CONTROL!$C$32, $C$9, 100%, $E$9)</f>
        <v>5.6406999999999998</v>
      </c>
      <c r="E367" s="81">
        <f>6.7858 * CHOOSE(CONTROL!$C$32, $C$9, 100%, $E$9)</f>
        <v>6.7858000000000001</v>
      </c>
      <c r="F367" s="81">
        <f>6.7858 * CHOOSE(CONTROL!$C$32, $C$9, 100%, $E$9)</f>
        <v>6.7858000000000001</v>
      </c>
      <c r="G367" s="81">
        <f>6.7911 * CHOOSE(CONTROL!$C$32, $C$9, 100%, $E$9)</f>
        <v>6.7911000000000001</v>
      </c>
      <c r="H367" s="81">
        <f>12.1272 * CHOOSE(CONTROL!$C$32, $C$9, 100%, $E$9)</f>
        <v>12.1272</v>
      </c>
      <c r="I367" s="81">
        <f>12.1325 * CHOOSE(CONTROL!$C$32, $C$9, 100%, $E$9)</f>
        <v>12.1325</v>
      </c>
      <c r="J367" s="81">
        <f>12.1272 * CHOOSE(CONTROL!$C$32, $C$9, 100%, $E$9)</f>
        <v>12.1272</v>
      </c>
      <c r="K367" s="81">
        <f>12.1325 * CHOOSE(CONTROL!$C$32, $C$9, 100%, $E$9)</f>
        <v>12.1325</v>
      </c>
      <c r="L367" s="81">
        <f>6.7858 * CHOOSE(CONTROL!$C$32, $C$9, 100%, $E$9)</f>
        <v>6.7858000000000001</v>
      </c>
      <c r="M367" s="81">
        <f>6.7911 * CHOOSE(CONTROL!$C$32, $C$9, 100%, $E$9)</f>
        <v>6.7911000000000001</v>
      </c>
      <c r="N367" s="81">
        <f>6.7858 * CHOOSE(CONTROL!$C$32, $C$9, 100%, $E$9)</f>
        <v>6.7858000000000001</v>
      </c>
      <c r="O367" s="81">
        <f>6.7911 * CHOOSE(CONTROL!$C$32, $C$9, 100%, $E$9)</f>
        <v>6.7911000000000001</v>
      </c>
    </row>
    <row r="368" spans="1:15" ht="15" x14ac:dyDescent="0.2">
      <c r="A368" s="16">
        <v>52413</v>
      </c>
      <c r="B368" s="80">
        <f>5.7154 * CHOOSE(CONTROL!$C$32, $C$9, 100%, $E$9)</f>
        <v>5.7153999999999998</v>
      </c>
      <c r="C368" s="80">
        <f>5.7154 * CHOOSE(CONTROL!$C$32, $C$9, 100%, $E$9)</f>
        <v>5.7153999999999998</v>
      </c>
      <c r="D368" s="80">
        <f>5.7169 * CHOOSE(CONTROL!$C$32, $C$9, 100%, $E$9)</f>
        <v>5.7168999999999999</v>
      </c>
      <c r="E368" s="81">
        <f>6.8109 * CHOOSE(CONTROL!$C$32, $C$9, 100%, $E$9)</f>
        <v>6.8109000000000002</v>
      </c>
      <c r="F368" s="81">
        <f>6.8109 * CHOOSE(CONTROL!$C$32, $C$9, 100%, $E$9)</f>
        <v>6.8109000000000002</v>
      </c>
      <c r="G368" s="81">
        <f>6.8162 * CHOOSE(CONTROL!$C$32, $C$9, 100%, $E$9)</f>
        <v>6.8162000000000003</v>
      </c>
      <c r="H368" s="81">
        <f>12.1525 * CHOOSE(CONTROL!$C$32, $C$9, 100%, $E$9)</f>
        <v>12.1525</v>
      </c>
      <c r="I368" s="81">
        <f>12.1578 * CHOOSE(CONTROL!$C$32, $C$9, 100%, $E$9)</f>
        <v>12.1578</v>
      </c>
      <c r="J368" s="81">
        <f>12.1525 * CHOOSE(CONTROL!$C$32, $C$9, 100%, $E$9)</f>
        <v>12.1525</v>
      </c>
      <c r="K368" s="81">
        <f>12.1578 * CHOOSE(CONTROL!$C$32, $C$9, 100%, $E$9)</f>
        <v>12.1578</v>
      </c>
      <c r="L368" s="81">
        <f>6.8109 * CHOOSE(CONTROL!$C$32, $C$9, 100%, $E$9)</f>
        <v>6.8109000000000002</v>
      </c>
      <c r="M368" s="81">
        <f>6.8162 * CHOOSE(CONTROL!$C$32, $C$9, 100%, $E$9)</f>
        <v>6.8162000000000003</v>
      </c>
      <c r="N368" s="81">
        <f>6.8109 * CHOOSE(CONTROL!$C$32, $C$9, 100%, $E$9)</f>
        <v>6.8109000000000002</v>
      </c>
      <c r="O368" s="81">
        <f>6.8162 * CHOOSE(CONTROL!$C$32, $C$9, 100%, $E$9)</f>
        <v>6.8162000000000003</v>
      </c>
    </row>
    <row r="369" spans="1:15" ht="15" x14ac:dyDescent="0.2">
      <c r="A369" s="16">
        <v>52444</v>
      </c>
      <c r="B369" s="80">
        <f>5.7221 * CHOOSE(CONTROL!$C$32, $C$9, 100%, $E$9)</f>
        <v>5.7221000000000002</v>
      </c>
      <c r="C369" s="80">
        <f>5.7221 * CHOOSE(CONTROL!$C$32, $C$9, 100%, $E$9)</f>
        <v>5.7221000000000002</v>
      </c>
      <c r="D369" s="80">
        <f>5.7236 * CHOOSE(CONTROL!$C$32, $C$9, 100%, $E$9)</f>
        <v>5.7236000000000002</v>
      </c>
      <c r="E369" s="81">
        <f>6.695 * CHOOSE(CONTROL!$C$32, $C$9, 100%, $E$9)</f>
        <v>6.6950000000000003</v>
      </c>
      <c r="F369" s="81">
        <f>6.695 * CHOOSE(CONTROL!$C$32, $C$9, 100%, $E$9)</f>
        <v>6.6950000000000003</v>
      </c>
      <c r="G369" s="81">
        <f>6.7003 * CHOOSE(CONTROL!$C$32, $C$9, 100%, $E$9)</f>
        <v>6.7003000000000004</v>
      </c>
      <c r="H369" s="81">
        <f>12.1778 * CHOOSE(CONTROL!$C$32, $C$9, 100%, $E$9)</f>
        <v>12.1778</v>
      </c>
      <c r="I369" s="81">
        <f>12.1831 * CHOOSE(CONTROL!$C$32, $C$9, 100%, $E$9)</f>
        <v>12.1831</v>
      </c>
      <c r="J369" s="81">
        <f>12.1778 * CHOOSE(CONTROL!$C$32, $C$9, 100%, $E$9)</f>
        <v>12.1778</v>
      </c>
      <c r="K369" s="81">
        <f>12.1831 * CHOOSE(CONTROL!$C$32, $C$9, 100%, $E$9)</f>
        <v>12.1831</v>
      </c>
      <c r="L369" s="81">
        <f>6.695 * CHOOSE(CONTROL!$C$32, $C$9, 100%, $E$9)</f>
        <v>6.6950000000000003</v>
      </c>
      <c r="M369" s="81">
        <f>6.7003 * CHOOSE(CONTROL!$C$32, $C$9, 100%, $E$9)</f>
        <v>6.7003000000000004</v>
      </c>
      <c r="N369" s="81">
        <f>6.695 * CHOOSE(CONTROL!$C$32, $C$9, 100%, $E$9)</f>
        <v>6.6950000000000003</v>
      </c>
      <c r="O369" s="81">
        <f>6.7003 * CHOOSE(CONTROL!$C$32, $C$9, 100%, $E$9)</f>
        <v>6.7003000000000004</v>
      </c>
    </row>
    <row r="370" spans="1:15" ht="15" x14ac:dyDescent="0.2">
      <c r="A370" s="16">
        <v>52475</v>
      </c>
      <c r="B370" s="80">
        <f>5.719 * CHOOSE(CONTROL!$C$32, $C$9, 100%, $E$9)</f>
        <v>5.7190000000000003</v>
      </c>
      <c r="C370" s="80">
        <f>5.719 * CHOOSE(CONTROL!$C$32, $C$9, 100%, $E$9)</f>
        <v>5.7190000000000003</v>
      </c>
      <c r="D370" s="80">
        <f>5.7206 * CHOOSE(CONTROL!$C$32, $C$9, 100%, $E$9)</f>
        <v>5.7206000000000001</v>
      </c>
      <c r="E370" s="81">
        <f>6.6795 * CHOOSE(CONTROL!$C$32, $C$9, 100%, $E$9)</f>
        <v>6.6795</v>
      </c>
      <c r="F370" s="81">
        <f>6.6795 * CHOOSE(CONTROL!$C$32, $C$9, 100%, $E$9)</f>
        <v>6.6795</v>
      </c>
      <c r="G370" s="81">
        <f>6.6848 * CHOOSE(CONTROL!$C$32, $C$9, 100%, $E$9)</f>
        <v>6.6848000000000001</v>
      </c>
      <c r="H370" s="81">
        <f>12.2032 * CHOOSE(CONTROL!$C$32, $C$9, 100%, $E$9)</f>
        <v>12.203200000000001</v>
      </c>
      <c r="I370" s="81">
        <f>12.2085 * CHOOSE(CONTROL!$C$32, $C$9, 100%, $E$9)</f>
        <v>12.208500000000001</v>
      </c>
      <c r="J370" s="81">
        <f>12.2032 * CHOOSE(CONTROL!$C$32, $C$9, 100%, $E$9)</f>
        <v>12.203200000000001</v>
      </c>
      <c r="K370" s="81">
        <f>12.2085 * CHOOSE(CONTROL!$C$32, $C$9, 100%, $E$9)</f>
        <v>12.208500000000001</v>
      </c>
      <c r="L370" s="81">
        <f>6.6795 * CHOOSE(CONTROL!$C$32, $C$9, 100%, $E$9)</f>
        <v>6.6795</v>
      </c>
      <c r="M370" s="81">
        <f>6.6848 * CHOOSE(CONTROL!$C$32, $C$9, 100%, $E$9)</f>
        <v>6.6848000000000001</v>
      </c>
      <c r="N370" s="81">
        <f>6.6795 * CHOOSE(CONTROL!$C$32, $C$9, 100%, $E$9)</f>
        <v>6.6795</v>
      </c>
      <c r="O370" s="81">
        <f>6.6848 * CHOOSE(CONTROL!$C$32, $C$9, 100%, $E$9)</f>
        <v>6.6848000000000001</v>
      </c>
    </row>
    <row r="371" spans="1:15" ht="15" x14ac:dyDescent="0.2">
      <c r="A371" s="16">
        <v>52505</v>
      </c>
      <c r="B371" s="80">
        <f>5.7205 * CHOOSE(CONTROL!$C$32, $C$9, 100%, $E$9)</f>
        <v>5.7205000000000004</v>
      </c>
      <c r="C371" s="80">
        <f>5.7205 * CHOOSE(CONTROL!$C$32, $C$9, 100%, $E$9)</f>
        <v>5.7205000000000004</v>
      </c>
      <c r="D371" s="80">
        <f>5.7215 * CHOOSE(CONTROL!$C$32, $C$9, 100%, $E$9)</f>
        <v>5.7214999999999998</v>
      </c>
      <c r="E371" s="81">
        <f>6.7197 * CHOOSE(CONTROL!$C$32, $C$9, 100%, $E$9)</f>
        <v>6.7196999999999996</v>
      </c>
      <c r="F371" s="81">
        <f>6.7197 * CHOOSE(CONTROL!$C$32, $C$9, 100%, $E$9)</f>
        <v>6.7196999999999996</v>
      </c>
      <c r="G371" s="81">
        <f>6.7233 * CHOOSE(CONTROL!$C$32, $C$9, 100%, $E$9)</f>
        <v>6.7233000000000001</v>
      </c>
      <c r="H371" s="81">
        <f>12.2286 * CHOOSE(CONTROL!$C$32, $C$9, 100%, $E$9)</f>
        <v>12.2286</v>
      </c>
      <c r="I371" s="81">
        <f>12.2322 * CHOOSE(CONTROL!$C$32, $C$9, 100%, $E$9)</f>
        <v>12.232200000000001</v>
      </c>
      <c r="J371" s="81">
        <f>12.2286 * CHOOSE(CONTROL!$C$32, $C$9, 100%, $E$9)</f>
        <v>12.2286</v>
      </c>
      <c r="K371" s="81">
        <f>12.2322 * CHOOSE(CONTROL!$C$32, $C$9, 100%, $E$9)</f>
        <v>12.232200000000001</v>
      </c>
      <c r="L371" s="81">
        <f>6.7197 * CHOOSE(CONTROL!$C$32, $C$9, 100%, $E$9)</f>
        <v>6.7196999999999996</v>
      </c>
      <c r="M371" s="81">
        <f>6.7233 * CHOOSE(CONTROL!$C$32, $C$9, 100%, $E$9)</f>
        <v>6.7233000000000001</v>
      </c>
      <c r="N371" s="81">
        <f>6.7197 * CHOOSE(CONTROL!$C$32, $C$9, 100%, $E$9)</f>
        <v>6.7196999999999996</v>
      </c>
      <c r="O371" s="81">
        <f>6.7233 * CHOOSE(CONTROL!$C$32, $C$9, 100%, $E$9)</f>
        <v>6.7233000000000001</v>
      </c>
    </row>
    <row r="372" spans="1:15" ht="15" x14ac:dyDescent="0.2">
      <c r="A372" s="16">
        <v>52536</v>
      </c>
      <c r="B372" s="80">
        <f>5.7235 * CHOOSE(CONTROL!$C$32, $C$9, 100%, $E$9)</f>
        <v>5.7234999999999996</v>
      </c>
      <c r="C372" s="80">
        <f>5.7235 * CHOOSE(CONTROL!$C$32, $C$9, 100%, $E$9)</f>
        <v>5.7234999999999996</v>
      </c>
      <c r="D372" s="80">
        <f>5.7246 * CHOOSE(CONTROL!$C$32, $C$9, 100%, $E$9)</f>
        <v>5.7245999999999997</v>
      </c>
      <c r="E372" s="81">
        <f>6.7486 * CHOOSE(CONTROL!$C$32, $C$9, 100%, $E$9)</f>
        <v>6.7485999999999997</v>
      </c>
      <c r="F372" s="81">
        <f>6.7486 * CHOOSE(CONTROL!$C$32, $C$9, 100%, $E$9)</f>
        <v>6.7485999999999997</v>
      </c>
      <c r="G372" s="81">
        <f>6.7522 * CHOOSE(CONTROL!$C$32, $C$9, 100%, $E$9)</f>
        <v>6.7522000000000002</v>
      </c>
      <c r="H372" s="81">
        <f>12.2541 * CHOOSE(CONTROL!$C$32, $C$9, 100%, $E$9)</f>
        <v>12.254099999999999</v>
      </c>
      <c r="I372" s="81">
        <f>12.2577 * CHOOSE(CONTROL!$C$32, $C$9, 100%, $E$9)</f>
        <v>12.2577</v>
      </c>
      <c r="J372" s="81">
        <f>12.2541 * CHOOSE(CONTROL!$C$32, $C$9, 100%, $E$9)</f>
        <v>12.254099999999999</v>
      </c>
      <c r="K372" s="81">
        <f>12.2577 * CHOOSE(CONTROL!$C$32, $C$9, 100%, $E$9)</f>
        <v>12.2577</v>
      </c>
      <c r="L372" s="81">
        <f>6.7486 * CHOOSE(CONTROL!$C$32, $C$9, 100%, $E$9)</f>
        <v>6.7485999999999997</v>
      </c>
      <c r="M372" s="81">
        <f>6.7522 * CHOOSE(CONTROL!$C$32, $C$9, 100%, $E$9)</f>
        <v>6.7522000000000002</v>
      </c>
      <c r="N372" s="81">
        <f>6.7486 * CHOOSE(CONTROL!$C$32, $C$9, 100%, $E$9)</f>
        <v>6.7485999999999997</v>
      </c>
      <c r="O372" s="81">
        <f>6.7522 * CHOOSE(CONTROL!$C$32, $C$9, 100%, $E$9)</f>
        <v>6.7522000000000002</v>
      </c>
    </row>
    <row r="373" spans="1:15" ht="15" x14ac:dyDescent="0.2">
      <c r="A373" s="16">
        <v>52566</v>
      </c>
      <c r="B373" s="80">
        <f>5.7235 * CHOOSE(CONTROL!$C$32, $C$9, 100%, $E$9)</f>
        <v>5.7234999999999996</v>
      </c>
      <c r="C373" s="80">
        <f>5.7235 * CHOOSE(CONTROL!$C$32, $C$9, 100%, $E$9)</f>
        <v>5.7234999999999996</v>
      </c>
      <c r="D373" s="80">
        <f>5.7246 * CHOOSE(CONTROL!$C$32, $C$9, 100%, $E$9)</f>
        <v>5.7245999999999997</v>
      </c>
      <c r="E373" s="81">
        <f>6.6816 * CHOOSE(CONTROL!$C$32, $C$9, 100%, $E$9)</f>
        <v>6.6816000000000004</v>
      </c>
      <c r="F373" s="81">
        <f>6.6816 * CHOOSE(CONTROL!$C$32, $C$9, 100%, $E$9)</f>
        <v>6.6816000000000004</v>
      </c>
      <c r="G373" s="81">
        <f>6.6852 * CHOOSE(CONTROL!$C$32, $C$9, 100%, $E$9)</f>
        <v>6.6852</v>
      </c>
      <c r="H373" s="81">
        <f>12.2796 * CHOOSE(CONTROL!$C$32, $C$9, 100%, $E$9)</f>
        <v>12.2796</v>
      </c>
      <c r="I373" s="81">
        <f>12.2832 * CHOOSE(CONTROL!$C$32, $C$9, 100%, $E$9)</f>
        <v>12.283200000000001</v>
      </c>
      <c r="J373" s="81">
        <f>12.2796 * CHOOSE(CONTROL!$C$32, $C$9, 100%, $E$9)</f>
        <v>12.2796</v>
      </c>
      <c r="K373" s="81">
        <f>12.2832 * CHOOSE(CONTROL!$C$32, $C$9, 100%, $E$9)</f>
        <v>12.283200000000001</v>
      </c>
      <c r="L373" s="81">
        <f>6.6816 * CHOOSE(CONTROL!$C$32, $C$9, 100%, $E$9)</f>
        <v>6.6816000000000004</v>
      </c>
      <c r="M373" s="81">
        <f>6.6852 * CHOOSE(CONTROL!$C$32, $C$9, 100%, $E$9)</f>
        <v>6.6852</v>
      </c>
      <c r="N373" s="81">
        <f>6.6816 * CHOOSE(CONTROL!$C$32, $C$9, 100%, $E$9)</f>
        <v>6.6816000000000004</v>
      </c>
      <c r="O373" s="81">
        <f>6.6852 * CHOOSE(CONTROL!$C$32, $C$9, 100%, $E$9)</f>
        <v>6.6852</v>
      </c>
    </row>
    <row r="374" spans="1:15" ht="15" x14ac:dyDescent="0.2">
      <c r="A374" s="16">
        <v>52597</v>
      </c>
      <c r="B374" s="80">
        <f>5.7676 * CHOOSE(CONTROL!$C$32, $C$9, 100%, $E$9)</f>
        <v>5.7675999999999998</v>
      </c>
      <c r="C374" s="80">
        <f>5.7676 * CHOOSE(CONTROL!$C$32, $C$9, 100%, $E$9)</f>
        <v>5.7675999999999998</v>
      </c>
      <c r="D374" s="80">
        <f>5.7686 * CHOOSE(CONTROL!$C$32, $C$9, 100%, $E$9)</f>
        <v>5.7686000000000002</v>
      </c>
      <c r="E374" s="81">
        <f>6.7573 * CHOOSE(CONTROL!$C$32, $C$9, 100%, $E$9)</f>
        <v>6.7572999999999999</v>
      </c>
      <c r="F374" s="81">
        <f>6.7573 * CHOOSE(CONTROL!$C$32, $C$9, 100%, $E$9)</f>
        <v>6.7572999999999999</v>
      </c>
      <c r="G374" s="81">
        <f>6.7609 * CHOOSE(CONTROL!$C$32, $C$9, 100%, $E$9)</f>
        <v>6.7609000000000004</v>
      </c>
      <c r="H374" s="81">
        <f>12.3052 * CHOOSE(CONTROL!$C$32, $C$9, 100%, $E$9)</f>
        <v>12.305199999999999</v>
      </c>
      <c r="I374" s="81">
        <f>12.3088 * CHOOSE(CONTROL!$C$32, $C$9, 100%, $E$9)</f>
        <v>12.3088</v>
      </c>
      <c r="J374" s="81">
        <f>12.3052 * CHOOSE(CONTROL!$C$32, $C$9, 100%, $E$9)</f>
        <v>12.305199999999999</v>
      </c>
      <c r="K374" s="81">
        <f>12.3088 * CHOOSE(CONTROL!$C$32, $C$9, 100%, $E$9)</f>
        <v>12.3088</v>
      </c>
      <c r="L374" s="81">
        <f>6.7573 * CHOOSE(CONTROL!$C$32, $C$9, 100%, $E$9)</f>
        <v>6.7572999999999999</v>
      </c>
      <c r="M374" s="81">
        <f>6.7609 * CHOOSE(CONTROL!$C$32, $C$9, 100%, $E$9)</f>
        <v>6.7609000000000004</v>
      </c>
      <c r="N374" s="81">
        <f>6.7573 * CHOOSE(CONTROL!$C$32, $C$9, 100%, $E$9)</f>
        <v>6.7572999999999999</v>
      </c>
      <c r="O374" s="81">
        <f>6.7609 * CHOOSE(CONTROL!$C$32, $C$9, 100%, $E$9)</f>
        <v>6.7609000000000004</v>
      </c>
    </row>
    <row r="375" spans="1:15" ht="15" x14ac:dyDescent="0.2">
      <c r="A375" s="16">
        <v>52628</v>
      </c>
      <c r="B375" s="80">
        <f>5.7645 * CHOOSE(CONTROL!$C$32, $C$9, 100%, $E$9)</f>
        <v>5.7645</v>
      </c>
      <c r="C375" s="80">
        <f>5.7645 * CHOOSE(CONTROL!$C$32, $C$9, 100%, $E$9)</f>
        <v>5.7645</v>
      </c>
      <c r="D375" s="80">
        <f>5.7656 * CHOOSE(CONTROL!$C$32, $C$9, 100%, $E$9)</f>
        <v>5.7656000000000001</v>
      </c>
      <c r="E375" s="81">
        <f>6.6244 * CHOOSE(CONTROL!$C$32, $C$9, 100%, $E$9)</f>
        <v>6.6243999999999996</v>
      </c>
      <c r="F375" s="81">
        <f>6.6244 * CHOOSE(CONTROL!$C$32, $C$9, 100%, $E$9)</f>
        <v>6.6243999999999996</v>
      </c>
      <c r="G375" s="81">
        <f>6.628 * CHOOSE(CONTROL!$C$32, $C$9, 100%, $E$9)</f>
        <v>6.6280000000000001</v>
      </c>
      <c r="H375" s="81">
        <f>12.3308 * CHOOSE(CONTROL!$C$32, $C$9, 100%, $E$9)</f>
        <v>12.3308</v>
      </c>
      <c r="I375" s="81">
        <f>12.3344 * CHOOSE(CONTROL!$C$32, $C$9, 100%, $E$9)</f>
        <v>12.3344</v>
      </c>
      <c r="J375" s="81">
        <f>12.3308 * CHOOSE(CONTROL!$C$32, $C$9, 100%, $E$9)</f>
        <v>12.3308</v>
      </c>
      <c r="K375" s="81">
        <f>12.3344 * CHOOSE(CONTROL!$C$32, $C$9, 100%, $E$9)</f>
        <v>12.3344</v>
      </c>
      <c r="L375" s="81">
        <f>6.6244 * CHOOSE(CONTROL!$C$32, $C$9, 100%, $E$9)</f>
        <v>6.6243999999999996</v>
      </c>
      <c r="M375" s="81">
        <f>6.628 * CHOOSE(CONTROL!$C$32, $C$9, 100%, $E$9)</f>
        <v>6.6280000000000001</v>
      </c>
      <c r="N375" s="81">
        <f>6.6244 * CHOOSE(CONTROL!$C$32, $C$9, 100%, $E$9)</f>
        <v>6.6243999999999996</v>
      </c>
      <c r="O375" s="81">
        <f>6.628 * CHOOSE(CONTROL!$C$32, $C$9, 100%, $E$9)</f>
        <v>6.6280000000000001</v>
      </c>
    </row>
    <row r="376" spans="1:15" ht="15" x14ac:dyDescent="0.2">
      <c r="A376" s="16">
        <v>52657</v>
      </c>
      <c r="B376" s="80">
        <f>5.7615 * CHOOSE(CONTROL!$C$32, $C$9, 100%, $E$9)</f>
        <v>5.7614999999999998</v>
      </c>
      <c r="C376" s="80">
        <f>5.7615 * CHOOSE(CONTROL!$C$32, $C$9, 100%, $E$9)</f>
        <v>5.7614999999999998</v>
      </c>
      <c r="D376" s="80">
        <f>5.7626 * CHOOSE(CONTROL!$C$32, $C$9, 100%, $E$9)</f>
        <v>5.7625999999999999</v>
      </c>
      <c r="E376" s="81">
        <f>6.7254 * CHOOSE(CONTROL!$C$32, $C$9, 100%, $E$9)</f>
        <v>6.7253999999999996</v>
      </c>
      <c r="F376" s="81">
        <f>6.7254 * CHOOSE(CONTROL!$C$32, $C$9, 100%, $E$9)</f>
        <v>6.7253999999999996</v>
      </c>
      <c r="G376" s="81">
        <f>6.729 * CHOOSE(CONTROL!$C$32, $C$9, 100%, $E$9)</f>
        <v>6.7290000000000001</v>
      </c>
      <c r="H376" s="81">
        <f>12.3565 * CHOOSE(CONTROL!$C$32, $C$9, 100%, $E$9)</f>
        <v>12.3565</v>
      </c>
      <c r="I376" s="81">
        <f>12.3601 * CHOOSE(CONTROL!$C$32, $C$9, 100%, $E$9)</f>
        <v>12.360099999999999</v>
      </c>
      <c r="J376" s="81">
        <f>12.3565 * CHOOSE(CONTROL!$C$32, $C$9, 100%, $E$9)</f>
        <v>12.3565</v>
      </c>
      <c r="K376" s="81">
        <f>12.3601 * CHOOSE(CONTROL!$C$32, $C$9, 100%, $E$9)</f>
        <v>12.360099999999999</v>
      </c>
      <c r="L376" s="81">
        <f>6.7254 * CHOOSE(CONTROL!$C$32, $C$9, 100%, $E$9)</f>
        <v>6.7253999999999996</v>
      </c>
      <c r="M376" s="81">
        <f>6.729 * CHOOSE(CONTROL!$C$32, $C$9, 100%, $E$9)</f>
        <v>6.7290000000000001</v>
      </c>
      <c r="N376" s="81">
        <f>6.7254 * CHOOSE(CONTROL!$C$32, $C$9, 100%, $E$9)</f>
        <v>6.7253999999999996</v>
      </c>
      <c r="O376" s="81">
        <f>6.729 * CHOOSE(CONTROL!$C$32, $C$9, 100%, $E$9)</f>
        <v>6.7290000000000001</v>
      </c>
    </row>
    <row r="377" spans="1:15" ht="15" x14ac:dyDescent="0.2">
      <c r="A377" s="16">
        <v>52688</v>
      </c>
      <c r="B377" s="80">
        <f>5.7608 * CHOOSE(CONTROL!$C$32, $C$9, 100%, $E$9)</f>
        <v>5.7607999999999997</v>
      </c>
      <c r="C377" s="80">
        <f>5.7608 * CHOOSE(CONTROL!$C$32, $C$9, 100%, $E$9)</f>
        <v>5.7607999999999997</v>
      </c>
      <c r="D377" s="80">
        <f>5.7619 * CHOOSE(CONTROL!$C$32, $C$9, 100%, $E$9)</f>
        <v>5.7618999999999998</v>
      </c>
      <c r="E377" s="81">
        <f>6.8318 * CHOOSE(CONTROL!$C$32, $C$9, 100%, $E$9)</f>
        <v>6.8318000000000003</v>
      </c>
      <c r="F377" s="81">
        <f>6.8318 * CHOOSE(CONTROL!$C$32, $C$9, 100%, $E$9)</f>
        <v>6.8318000000000003</v>
      </c>
      <c r="G377" s="81">
        <f>6.8354 * CHOOSE(CONTROL!$C$32, $C$9, 100%, $E$9)</f>
        <v>6.8353999999999999</v>
      </c>
      <c r="H377" s="81">
        <f>12.3823 * CHOOSE(CONTROL!$C$32, $C$9, 100%, $E$9)</f>
        <v>12.382300000000001</v>
      </c>
      <c r="I377" s="81">
        <f>12.3859 * CHOOSE(CONTROL!$C$32, $C$9, 100%, $E$9)</f>
        <v>12.385899999999999</v>
      </c>
      <c r="J377" s="81">
        <f>12.3823 * CHOOSE(CONTROL!$C$32, $C$9, 100%, $E$9)</f>
        <v>12.382300000000001</v>
      </c>
      <c r="K377" s="81">
        <f>12.3859 * CHOOSE(CONTROL!$C$32, $C$9, 100%, $E$9)</f>
        <v>12.385899999999999</v>
      </c>
      <c r="L377" s="81">
        <f>6.8318 * CHOOSE(CONTROL!$C$32, $C$9, 100%, $E$9)</f>
        <v>6.8318000000000003</v>
      </c>
      <c r="M377" s="81">
        <f>6.8354 * CHOOSE(CONTROL!$C$32, $C$9, 100%, $E$9)</f>
        <v>6.8353999999999999</v>
      </c>
      <c r="N377" s="81">
        <f>6.8318 * CHOOSE(CONTROL!$C$32, $C$9, 100%, $E$9)</f>
        <v>6.8318000000000003</v>
      </c>
      <c r="O377" s="81">
        <f>6.8354 * CHOOSE(CONTROL!$C$32, $C$9, 100%, $E$9)</f>
        <v>6.8353999999999999</v>
      </c>
    </row>
    <row r="378" spans="1:15" ht="15" x14ac:dyDescent="0.2">
      <c r="A378" s="16">
        <v>52718</v>
      </c>
      <c r="B378" s="80">
        <f>5.7608 * CHOOSE(CONTROL!$C$32, $C$9, 100%, $E$9)</f>
        <v>5.7607999999999997</v>
      </c>
      <c r="C378" s="80">
        <f>5.7608 * CHOOSE(CONTROL!$C$32, $C$9, 100%, $E$9)</f>
        <v>5.7607999999999997</v>
      </c>
      <c r="D378" s="80">
        <f>5.7624 * CHOOSE(CONTROL!$C$32, $C$9, 100%, $E$9)</f>
        <v>5.7624000000000004</v>
      </c>
      <c r="E378" s="81">
        <f>6.8733 * CHOOSE(CONTROL!$C$32, $C$9, 100%, $E$9)</f>
        <v>6.8733000000000004</v>
      </c>
      <c r="F378" s="81">
        <f>6.8733 * CHOOSE(CONTROL!$C$32, $C$9, 100%, $E$9)</f>
        <v>6.8733000000000004</v>
      </c>
      <c r="G378" s="81">
        <f>6.8786 * CHOOSE(CONTROL!$C$32, $C$9, 100%, $E$9)</f>
        <v>6.8785999999999996</v>
      </c>
      <c r="H378" s="81">
        <f>12.408 * CHOOSE(CONTROL!$C$32, $C$9, 100%, $E$9)</f>
        <v>12.407999999999999</v>
      </c>
      <c r="I378" s="81">
        <f>12.4133 * CHOOSE(CONTROL!$C$32, $C$9, 100%, $E$9)</f>
        <v>12.4133</v>
      </c>
      <c r="J378" s="81">
        <f>12.408 * CHOOSE(CONTROL!$C$32, $C$9, 100%, $E$9)</f>
        <v>12.407999999999999</v>
      </c>
      <c r="K378" s="81">
        <f>12.4133 * CHOOSE(CONTROL!$C$32, $C$9, 100%, $E$9)</f>
        <v>12.4133</v>
      </c>
      <c r="L378" s="81">
        <f>6.8733 * CHOOSE(CONTROL!$C$32, $C$9, 100%, $E$9)</f>
        <v>6.8733000000000004</v>
      </c>
      <c r="M378" s="81">
        <f>6.8786 * CHOOSE(CONTROL!$C$32, $C$9, 100%, $E$9)</f>
        <v>6.8785999999999996</v>
      </c>
      <c r="N378" s="81">
        <f>6.8733 * CHOOSE(CONTROL!$C$32, $C$9, 100%, $E$9)</f>
        <v>6.8733000000000004</v>
      </c>
      <c r="O378" s="81">
        <f>6.8786 * CHOOSE(CONTROL!$C$32, $C$9, 100%, $E$9)</f>
        <v>6.8785999999999996</v>
      </c>
    </row>
    <row r="379" spans="1:15" ht="15" x14ac:dyDescent="0.2">
      <c r="A379" s="16">
        <v>52749</v>
      </c>
      <c r="B379" s="80">
        <f>5.7669 * CHOOSE(CONTROL!$C$32, $C$9, 100%, $E$9)</f>
        <v>5.7668999999999997</v>
      </c>
      <c r="C379" s="80">
        <f>5.7669 * CHOOSE(CONTROL!$C$32, $C$9, 100%, $E$9)</f>
        <v>5.7668999999999997</v>
      </c>
      <c r="D379" s="80">
        <f>5.7685 * CHOOSE(CONTROL!$C$32, $C$9, 100%, $E$9)</f>
        <v>5.7685000000000004</v>
      </c>
      <c r="E379" s="81">
        <f>6.836 * CHOOSE(CONTROL!$C$32, $C$9, 100%, $E$9)</f>
        <v>6.8360000000000003</v>
      </c>
      <c r="F379" s="81">
        <f>6.836 * CHOOSE(CONTROL!$C$32, $C$9, 100%, $E$9)</f>
        <v>6.8360000000000003</v>
      </c>
      <c r="G379" s="81">
        <f>6.8413 * CHOOSE(CONTROL!$C$32, $C$9, 100%, $E$9)</f>
        <v>6.8413000000000004</v>
      </c>
      <c r="H379" s="81">
        <f>12.4339 * CHOOSE(CONTROL!$C$32, $C$9, 100%, $E$9)</f>
        <v>12.4339</v>
      </c>
      <c r="I379" s="81">
        <f>12.4392 * CHOOSE(CONTROL!$C$32, $C$9, 100%, $E$9)</f>
        <v>12.4392</v>
      </c>
      <c r="J379" s="81">
        <f>12.4339 * CHOOSE(CONTROL!$C$32, $C$9, 100%, $E$9)</f>
        <v>12.4339</v>
      </c>
      <c r="K379" s="81">
        <f>12.4392 * CHOOSE(CONTROL!$C$32, $C$9, 100%, $E$9)</f>
        <v>12.4392</v>
      </c>
      <c r="L379" s="81">
        <f>6.836 * CHOOSE(CONTROL!$C$32, $C$9, 100%, $E$9)</f>
        <v>6.8360000000000003</v>
      </c>
      <c r="M379" s="81">
        <f>6.8413 * CHOOSE(CONTROL!$C$32, $C$9, 100%, $E$9)</f>
        <v>6.8413000000000004</v>
      </c>
      <c r="N379" s="81">
        <f>6.836 * CHOOSE(CONTROL!$C$32, $C$9, 100%, $E$9)</f>
        <v>6.8360000000000003</v>
      </c>
      <c r="O379" s="81">
        <f>6.8413 * CHOOSE(CONTROL!$C$32, $C$9, 100%, $E$9)</f>
        <v>6.8413000000000004</v>
      </c>
    </row>
    <row r="380" spans="1:15" ht="15" x14ac:dyDescent="0.2">
      <c r="A380" s="16">
        <v>52779</v>
      </c>
      <c r="B380" s="80">
        <f>5.845 * CHOOSE(CONTROL!$C$32, $C$9, 100%, $E$9)</f>
        <v>5.8449999999999998</v>
      </c>
      <c r="C380" s="80">
        <f>5.845 * CHOOSE(CONTROL!$C$32, $C$9, 100%, $E$9)</f>
        <v>5.8449999999999998</v>
      </c>
      <c r="D380" s="80">
        <f>5.8465 * CHOOSE(CONTROL!$C$32, $C$9, 100%, $E$9)</f>
        <v>5.8464999999999998</v>
      </c>
      <c r="E380" s="81">
        <f>6.8655 * CHOOSE(CONTROL!$C$32, $C$9, 100%, $E$9)</f>
        <v>6.8654999999999999</v>
      </c>
      <c r="F380" s="81">
        <f>6.8655 * CHOOSE(CONTROL!$C$32, $C$9, 100%, $E$9)</f>
        <v>6.8654999999999999</v>
      </c>
      <c r="G380" s="81">
        <f>6.8708 * CHOOSE(CONTROL!$C$32, $C$9, 100%, $E$9)</f>
        <v>6.8708</v>
      </c>
      <c r="H380" s="81">
        <f>12.4598 * CHOOSE(CONTROL!$C$32, $C$9, 100%, $E$9)</f>
        <v>12.4598</v>
      </c>
      <c r="I380" s="81">
        <f>12.4651 * CHOOSE(CONTROL!$C$32, $C$9, 100%, $E$9)</f>
        <v>12.4651</v>
      </c>
      <c r="J380" s="81">
        <f>12.4598 * CHOOSE(CONTROL!$C$32, $C$9, 100%, $E$9)</f>
        <v>12.4598</v>
      </c>
      <c r="K380" s="81">
        <f>12.4651 * CHOOSE(CONTROL!$C$32, $C$9, 100%, $E$9)</f>
        <v>12.4651</v>
      </c>
      <c r="L380" s="81">
        <f>6.8655 * CHOOSE(CONTROL!$C$32, $C$9, 100%, $E$9)</f>
        <v>6.8654999999999999</v>
      </c>
      <c r="M380" s="81">
        <f>6.8708 * CHOOSE(CONTROL!$C$32, $C$9, 100%, $E$9)</f>
        <v>6.8708</v>
      </c>
      <c r="N380" s="81">
        <f>6.8655 * CHOOSE(CONTROL!$C$32, $C$9, 100%, $E$9)</f>
        <v>6.8654999999999999</v>
      </c>
      <c r="O380" s="81">
        <f>6.8708 * CHOOSE(CONTROL!$C$32, $C$9, 100%, $E$9)</f>
        <v>6.8708</v>
      </c>
    </row>
    <row r="381" spans="1:15" ht="15" x14ac:dyDescent="0.2">
      <c r="A381" s="16">
        <v>52810</v>
      </c>
      <c r="B381" s="80">
        <f>5.8516 * CHOOSE(CONTROL!$C$32, $C$9, 100%, $E$9)</f>
        <v>5.8516000000000004</v>
      </c>
      <c r="C381" s="80">
        <f>5.8516 * CHOOSE(CONTROL!$C$32, $C$9, 100%, $E$9)</f>
        <v>5.8516000000000004</v>
      </c>
      <c r="D381" s="80">
        <f>5.8532 * CHOOSE(CONTROL!$C$32, $C$9, 100%, $E$9)</f>
        <v>5.8532000000000002</v>
      </c>
      <c r="E381" s="81">
        <f>6.7456 * CHOOSE(CONTROL!$C$32, $C$9, 100%, $E$9)</f>
        <v>6.7455999999999996</v>
      </c>
      <c r="F381" s="81">
        <f>6.7456 * CHOOSE(CONTROL!$C$32, $C$9, 100%, $E$9)</f>
        <v>6.7455999999999996</v>
      </c>
      <c r="G381" s="81">
        <f>6.7509 * CHOOSE(CONTROL!$C$32, $C$9, 100%, $E$9)</f>
        <v>6.7508999999999997</v>
      </c>
      <c r="H381" s="81">
        <f>12.4858 * CHOOSE(CONTROL!$C$32, $C$9, 100%, $E$9)</f>
        <v>12.485799999999999</v>
      </c>
      <c r="I381" s="81">
        <f>12.4911 * CHOOSE(CONTROL!$C$32, $C$9, 100%, $E$9)</f>
        <v>12.491099999999999</v>
      </c>
      <c r="J381" s="81">
        <f>12.4858 * CHOOSE(CONTROL!$C$32, $C$9, 100%, $E$9)</f>
        <v>12.485799999999999</v>
      </c>
      <c r="K381" s="81">
        <f>12.4911 * CHOOSE(CONTROL!$C$32, $C$9, 100%, $E$9)</f>
        <v>12.491099999999999</v>
      </c>
      <c r="L381" s="81">
        <f>6.7456 * CHOOSE(CONTROL!$C$32, $C$9, 100%, $E$9)</f>
        <v>6.7455999999999996</v>
      </c>
      <c r="M381" s="81">
        <f>6.7509 * CHOOSE(CONTROL!$C$32, $C$9, 100%, $E$9)</f>
        <v>6.7508999999999997</v>
      </c>
      <c r="N381" s="81">
        <f>6.7456 * CHOOSE(CONTROL!$C$32, $C$9, 100%, $E$9)</f>
        <v>6.7455999999999996</v>
      </c>
      <c r="O381" s="81">
        <f>6.7509 * CHOOSE(CONTROL!$C$32, $C$9, 100%, $E$9)</f>
        <v>6.7508999999999997</v>
      </c>
    </row>
    <row r="382" spans="1:15" ht="15" x14ac:dyDescent="0.2">
      <c r="A382" s="16">
        <v>52841</v>
      </c>
      <c r="B382" s="80">
        <f>5.8486 * CHOOSE(CONTROL!$C$32, $C$9, 100%, $E$9)</f>
        <v>5.8486000000000002</v>
      </c>
      <c r="C382" s="80">
        <f>5.8486 * CHOOSE(CONTROL!$C$32, $C$9, 100%, $E$9)</f>
        <v>5.8486000000000002</v>
      </c>
      <c r="D382" s="80">
        <f>5.8502 * CHOOSE(CONTROL!$C$32, $C$9, 100%, $E$9)</f>
        <v>5.8502000000000001</v>
      </c>
      <c r="E382" s="81">
        <f>6.7297 * CHOOSE(CONTROL!$C$32, $C$9, 100%, $E$9)</f>
        <v>6.7297000000000002</v>
      </c>
      <c r="F382" s="81">
        <f>6.7297 * CHOOSE(CONTROL!$C$32, $C$9, 100%, $E$9)</f>
        <v>6.7297000000000002</v>
      </c>
      <c r="G382" s="81">
        <f>6.735 * CHOOSE(CONTROL!$C$32, $C$9, 100%, $E$9)</f>
        <v>6.7350000000000003</v>
      </c>
      <c r="H382" s="81">
        <f>12.5118 * CHOOSE(CONTROL!$C$32, $C$9, 100%, $E$9)</f>
        <v>12.511799999999999</v>
      </c>
      <c r="I382" s="81">
        <f>12.5171 * CHOOSE(CONTROL!$C$32, $C$9, 100%, $E$9)</f>
        <v>12.517099999999999</v>
      </c>
      <c r="J382" s="81">
        <f>12.5118 * CHOOSE(CONTROL!$C$32, $C$9, 100%, $E$9)</f>
        <v>12.511799999999999</v>
      </c>
      <c r="K382" s="81">
        <f>12.5171 * CHOOSE(CONTROL!$C$32, $C$9, 100%, $E$9)</f>
        <v>12.517099999999999</v>
      </c>
      <c r="L382" s="81">
        <f>6.7297 * CHOOSE(CONTROL!$C$32, $C$9, 100%, $E$9)</f>
        <v>6.7297000000000002</v>
      </c>
      <c r="M382" s="81">
        <f>6.735 * CHOOSE(CONTROL!$C$32, $C$9, 100%, $E$9)</f>
        <v>6.7350000000000003</v>
      </c>
      <c r="N382" s="81">
        <f>6.7297 * CHOOSE(CONTROL!$C$32, $C$9, 100%, $E$9)</f>
        <v>6.7297000000000002</v>
      </c>
      <c r="O382" s="81">
        <f>6.735 * CHOOSE(CONTROL!$C$32, $C$9, 100%, $E$9)</f>
        <v>6.7350000000000003</v>
      </c>
    </row>
    <row r="383" spans="1:15" ht="15" x14ac:dyDescent="0.2">
      <c r="A383" s="16">
        <v>52871</v>
      </c>
      <c r="B383" s="80">
        <f>5.8505 * CHOOSE(CONTROL!$C$32, $C$9, 100%, $E$9)</f>
        <v>5.8505000000000003</v>
      </c>
      <c r="C383" s="80">
        <f>5.8505 * CHOOSE(CONTROL!$C$32, $C$9, 100%, $E$9)</f>
        <v>5.8505000000000003</v>
      </c>
      <c r="D383" s="80">
        <f>5.8516 * CHOOSE(CONTROL!$C$32, $C$9, 100%, $E$9)</f>
        <v>5.8516000000000004</v>
      </c>
      <c r="E383" s="81">
        <f>6.7716 * CHOOSE(CONTROL!$C$32, $C$9, 100%, $E$9)</f>
        <v>6.7716000000000003</v>
      </c>
      <c r="F383" s="81">
        <f>6.7716 * CHOOSE(CONTROL!$C$32, $C$9, 100%, $E$9)</f>
        <v>6.7716000000000003</v>
      </c>
      <c r="G383" s="81">
        <f>6.7752 * CHOOSE(CONTROL!$C$32, $C$9, 100%, $E$9)</f>
        <v>6.7751999999999999</v>
      </c>
      <c r="H383" s="81">
        <f>12.5378 * CHOOSE(CONTROL!$C$32, $C$9, 100%, $E$9)</f>
        <v>12.537800000000001</v>
      </c>
      <c r="I383" s="81">
        <f>12.5415 * CHOOSE(CONTROL!$C$32, $C$9, 100%, $E$9)</f>
        <v>12.541499999999999</v>
      </c>
      <c r="J383" s="81">
        <f>12.5378 * CHOOSE(CONTROL!$C$32, $C$9, 100%, $E$9)</f>
        <v>12.537800000000001</v>
      </c>
      <c r="K383" s="81">
        <f>12.5415 * CHOOSE(CONTROL!$C$32, $C$9, 100%, $E$9)</f>
        <v>12.541499999999999</v>
      </c>
      <c r="L383" s="81">
        <f>6.7716 * CHOOSE(CONTROL!$C$32, $C$9, 100%, $E$9)</f>
        <v>6.7716000000000003</v>
      </c>
      <c r="M383" s="81">
        <f>6.7752 * CHOOSE(CONTROL!$C$32, $C$9, 100%, $E$9)</f>
        <v>6.7751999999999999</v>
      </c>
      <c r="N383" s="81">
        <f>6.7716 * CHOOSE(CONTROL!$C$32, $C$9, 100%, $E$9)</f>
        <v>6.7716000000000003</v>
      </c>
      <c r="O383" s="81">
        <f>6.7752 * CHOOSE(CONTROL!$C$32, $C$9, 100%, $E$9)</f>
        <v>6.7751999999999999</v>
      </c>
    </row>
    <row r="384" spans="1:15" ht="15" x14ac:dyDescent="0.2">
      <c r="A384" s="16">
        <v>52902</v>
      </c>
      <c r="B384" s="80">
        <f>5.8536 * CHOOSE(CONTROL!$C$32, $C$9, 100%, $E$9)</f>
        <v>5.8536000000000001</v>
      </c>
      <c r="C384" s="80">
        <f>5.8536 * CHOOSE(CONTROL!$C$32, $C$9, 100%, $E$9)</f>
        <v>5.8536000000000001</v>
      </c>
      <c r="D384" s="80">
        <f>5.8546 * CHOOSE(CONTROL!$C$32, $C$9, 100%, $E$9)</f>
        <v>5.8545999999999996</v>
      </c>
      <c r="E384" s="81">
        <f>6.8014 * CHOOSE(CONTROL!$C$32, $C$9, 100%, $E$9)</f>
        <v>6.8014000000000001</v>
      </c>
      <c r="F384" s="81">
        <f>6.8014 * CHOOSE(CONTROL!$C$32, $C$9, 100%, $E$9)</f>
        <v>6.8014000000000001</v>
      </c>
      <c r="G384" s="81">
        <f>6.805 * CHOOSE(CONTROL!$C$32, $C$9, 100%, $E$9)</f>
        <v>6.8049999999999997</v>
      </c>
      <c r="H384" s="81">
        <f>12.564 * CHOOSE(CONTROL!$C$32, $C$9, 100%, $E$9)</f>
        <v>12.564</v>
      </c>
      <c r="I384" s="81">
        <f>12.5676 * CHOOSE(CONTROL!$C$32, $C$9, 100%, $E$9)</f>
        <v>12.567600000000001</v>
      </c>
      <c r="J384" s="81">
        <f>12.564 * CHOOSE(CONTROL!$C$32, $C$9, 100%, $E$9)</f>
        <v>12.564</v>
      </c>
      <c r="K384" s="81">
        <f>12.5676 * CHOOSE(CONTROL!$C$32, $C$9, 100%, $E$9)</f>
        <v>12.567600000000001</v>
      </c>
      <c r="L384" s="81">
        <f>6.8014 * CHOOSE(CONTROL!$C$32, $C$9, 100%, $E$9)</f>
        <v>6.8014000000000001</v>
      </c>
      <c r="M384" s="81">
        <f>6.805 * CHOOSE(CONTROL!$C$32, $C$9, 100%, $E$9)</f>
        <v>6.8049999999999997</v>
      </c>
      <c r="N384" s="81">
        <f>6.8014 * CHOOSE(CONTROL!$C$32, $C$9, 100%, $E$9)</f>
        <v>6.8014000000000001</v>
      </c>
      <c r="O384" s="81">
        <f>6.805 * CHOOSE(CONTROL!$C$32, $C$9, 100%, $E$9)</f>
        <v>6.8049999999999997</v>
      </c>
    </row>
    <row r="385" spans="1:15" ht="15" x14ac:dyDescent="0.2">
      <c r="A385" s="16">
        <v>52932</v>
      </c>
      <c r="B385" s="80">
        <f>5.8536 * CHOOSE(CONTROL!$C$32, $C$9, 100%, $E$9)</f>
        <v>5.8536000000000001</v>
      </c>
      <c r="C385" s="80">
        <f>5.8536 * CHOOSE(CONTROL!$C$32, $C$9, 100%, $E$9)</f>
        <v>5.8536000000000001</v>
      </c>
      <c r="D385" s="80">
        <f>5.8546 * CHOOSE(CONTROL!$C$32, $C$9, 100%, $E$9)</f>
        <v>5.8545999999999996</v>
      </c>
      <c r="E385" s="81">
        <f>6.7322 * CHOOSE(CONTROL!$C$32, $C$9, 100%, $E$9)</f>
        <v>6.7321999999999997</v>
      </c>
      <c r="F385" s="81">
        <f>6.7322 * CHOOSE(CONTROL!$C$32, $C$9, 100%, $E$9)</f>
        <v>6.7321999999999997</v>
      </c>
      <c r="G385" s="81">
        <f>6.7358 * CHOOSE(CONTROL!$C$32, $C$9, 100%, $E$9)</f>
        <v>6.7358000000000002</v>
      </c>
      <c r="H385" s="81">
        <f>12.5901 * CHOOSE(CONTROL!$C$32, $C$9, 100%, $E$9)</f>
        <v>12.5901</v>
      </c>
      <c r="I385" s="81">
        <f>12.5938 * CHOOSE(CONTROL!$C$32, $C$9, 100%, $E$9)</f>
        <v>12.5938</v>
      </c>
      <c r="J385" s="81">
        <f>12.5901 * CHOOSE(CONTROL!$C$32, $C$9, 100%, $E$9)</f>
        <v>12.5901</v>
      </c>
      <c r="K385" s="81">
        <f>12.5938 * CHOOSE(CONTROL!$C$32, $C$9, 100%, $E$9)</f>
        <v>12.5938</v>
      </c>
      <c r="L385" s="81">
        <f>6.7322 * CHOOSE(CONTROL!$C$32, $C$9, 100%, $E$9)</f>
        <v>6.7321999999999997</v>
      </c>
      <c r="M385" s="81">
        <f>6.7358 * CHOOSE(CONTROL!$C$32, $C$9, 100%, $E$9)</f>
        <v>6.7358000000000002</v>
      </c>
      <c r="N385" s="81">
        <f>6.7322 * CHOOSE(CONTROL!$C$32, $C$9, 100%, $E$9)</f>
        <v>6.7321999999999997</v>
      </c>
      <c r="O385" s="81">
        <f>6.7358 * CHOOSE(CONTROL!$C$32, $C$9, 100%, $E$9)</f>
        <v>6.7358000000000002</v>
      </c>
    </row>
    <row r="386" spans="1:15" ht="15" x14ac:dyDescent="0.2">
      <c r="A386" s="16">
        <v>52963</v>
      </c>
      <c r="B386" s="80">
        <f>5.8984 * CHOOSE(CONTROL!$C$32, $C$9, 100%, $E$9)</f>
        <v>5.8983999999999996</v>
      </c>
      <c r="C386" s="80">
        <f>5.8984 * CHOOSE(CONTROL!$C$32, $C$9, 100%, $E$9)</f>
        <v>5.8983999999999996</v>
      </c>
      <c r="D386" s="80">
        <f>5.8995 * CHOOSE(CONTROL!$C$32, $C$9, 100%, $E$9)</f>
        <v>5.8994999999999997</v>
      </c>
      <c r="E386" s="81">
        <f>6.8151 * CHOOSE(CONTROL!$C$32, $C$9, 100%, $E$9)</f>
        <v>6.8151000000000002</v>
      </c>
      <c r="F386" s="81">
        <f>6.8151 * CHOOSE(CONTROL!$C$32, $C$9, 100%, $E$9)</f>
        <v>6.8151000000000002</v>
      </c>
      <c r="G386" s="81">
        <f>6.8187 * CHOOSE(CONTROL!$C$32, $C$9, 100%, $E$9)</f>
        <v>6.8186999999999998</v>
      </c>
      <c r="H386" s="81">
        <f>12.6164 * CHOOSE(CONTROL!$C$32, $C$9, 100%, $E$9)</f>
        <v>12.616400000000001</v>
      </c>
      <c r="I386" s="81">
        <f>12.62 * CHOOSE(CONTROL!$C$32, $C$9, 100%, $E$9)</f>
        <v>12.62</v>
      </c>
      <c r="J386" s="81">
        <f>12.6164 * CHOOSE(CONTROL!$C$32, $C$9, 100%, $E$9)</f>
        <v>12.616400000000001</v>
      </c>
      <c r="K386" s="81">
        <f>12.62 * CHOOSE(CONTROL!$C$32, $C$9, 100%, $E$9)</f>
        <v>12.62</v>
      </c>
      <c r="L386" s="81">
        <f>6.8151 * CHOOSE(CONTROL!$C$32, $C$9, 100%, $E$9)</f>
        <v>6.8151000000000002</v>
      </c>
      <c r="M386" s="81">
        <f>6.8187 * CHOOSE(CONTROL!$C$32, $C$9, 100%, $E$9)</f>
        <v>6.8186999999999998</v>
      </c>
      <c r="N386" s="81">
        <f>6.8151 * CHOOSE(CONTROL!$C$32, $C$9, 100%, $E$9)</f>
        <v>6.8151000000000002</v>
      </c>
      <c r="O386" s="81">
        <f>6.8187 * CHOOSE(CONTROL!$C$32, $C$9, 100%, $E$9)</f>
        <v>6.8186999999999998</v>
      </c>
    </row>
    <row r="387" spans="1:15" ht="15" x14ac:dyDescent="0.2">
      <c r="A387" s="16">
        <v>52994</v>
      </c>
      <c r="B387" s="80">
        <f>5.8954 * CHOOSE(CONTROL!$C$32, $C$9, 100%, $E$9)</f>
        <v>5.8954000000000004</v>
      </c>
      <c r="C387" s="80">
        <f>5.8954 * CHOOSE(CONTROL!$C$32, $C$9, 100%, $E$9)</f>
        <v>5.8954000000000004</v>
      </c>
      <c r="D387" s="80">
        <f>5.8965 * CHOOSE(CONTROL!$C$32, $C$9, 100%, $E$9)</f>
        <v>5.8964999999999996</v>
      </c>
      <c r="E387" s="81">
        <f>6.678 * CHOOSE(CONTROL!$C$32, $C$9, 100%, $E$9)</f>
        <v>6.6779999999999999</v>
      </c>
      <c r="F387" s="81">
        <f>6.678 * CHOOSE(CONTROL!$C$32, $C$9, 100%, $E$9)</f>
        <v>6.6779999999999999</v>
      </c>
      <c r="G387" s="81">
        <f>6.6816 * CHOOSE(CONTROL!$C$32, $C$9, 100%, $E$9)</f>
        <v>6.6816000000000004</v>
      </c>
      <c r="H387" s="81">
        <f>12.6426 * CHOOSE(CONTROL!$C$32, $C$9, 100%, $E$9)</f>
        <v>12.6426</v>
      </c>
      <c r="I387" s="81">
        <f>12.6463 * CHOOSE(CONTROL!$C$32, $C$9, 100%, $E$9)</f>
        <v>12.6463</v>
      </c>
      <c r="J387" s="81">
        <f>12.6426 * CHOOSE(CONTROL!$C$32, $C$9, 100%, $E$9)</f>
        <v>12.6426</v>
      </c>
      <c r="K387" s="81">
        <f>12.6463 * CHOOSE(CONTROL!$C$32, $C$9, 100%, $E$9)</f>
        <v>12.6463</v>
      </c>
      <c r="L387" s="81">
        <f>6.678 * CHOOSE(CONTROL!$C$32, $C$9, 100%, $E$9)</f>
        <v>6.6779999999999999</v>
      </c>
      <c r="M387" s="81">
        <f>6.6816 * CHOOSE(CONTROL!$C$32, $C$9, 100%, $E$9)</f>
        <v>6.6816000000000004</v>
      </c>
      <c r="N387" s="81">
        <f>6.678 * CHOOSE(CONTROL!$C$32, $C$9, 100%, $E$9)</f>
        <v>6.6779999999999999</v>
      </c>
      <c r="O387" s="81">
        <f>6.6816 * CHOOSE(CONTROL!$C$32, $C$9, 100%, $E$9)</f>
        <v>6.6816000000000004</v>
      </c>
    </row>
    <row r="388" spans="1:15" ht="15" x14ac:dyDescent="0.2">
      <c r="A388" s="16">
        <v>53022</v>
      </c>
      <c r="B388" s="80">
        <f>5.8924 * CHOOSE(CONTROL!$C$32, $C$9, 100%, $E$9)</f>
        <v>5.8924000000000003</v>
      </c>
      <c r="C388" s="80">
        <f>5.8924 * CHOOSE(CONTROL!$C$32, $C$9, 100%, $E$9)</f>
        <v>5.8924000000000003</v>
      </c>
      <c r="D388" s="80">
        <f>5.8934 * CHOOSE(CONTROL!$C$32, $C$9, 100%, $E$9)</f>
        <v>5.8933999999999997</v>
      </c>
      <c r="E388" s="81">
        <f>6.7823 * CHOOSE(CONTROL!$C$32, $C$9, 100%, $E$9)</f>
        <v>6.7823000000000002</v>
      </c>
      <c r="F388" s="81">
        <f>6.7823 * CHOOSE(CONTROL!$C$32, $C$9, 100%, $E$9)</f>
        <v>6.7823000000000002</v>
      </c>
      <c r="G388" s="81">
        <f>6.7859 * CHOOSE(CONTROL!$C$32, $C$9, 100%, $E$9)</f>
        <v>6.7858999999999998</v>
      </c>
      <c r="H388" s="81">
        <f>12.669 * CHOOSE(CONTROL!$C$32, $C$9, 100%, $E$9)</f>
        <v>12.669</v>
      </c>
      <c r="I388" s="81">
        <f>12.6726 * CHOOSE(CONTROL!$C$32, $C$9, 100%, $E$9)</f>
        <v>12.672599999999999</v>
      </c>
      <c r="J388" s="81">
        <f>12.669 * CHOOSE(CONTROL!$C$32, $C$9, 100%, $E$9)</f>
        <v>12.669</v>
      </c>
      <c r="K388" s="81">
        <f>12.6726 * CHOOSE(CONTROL!$C$32, $C$9, 100%, $E$9)</f>
        <v>12.672599999999999</v>
      </c>
      <c r="L388" s="81">
        <f>6.7823 * CHOOSE(CONTROL!$C$32, $C$9, 100%, $E$9)</f>
        <v>6.7823000000000002</v>
      </c>
      <c r="M388" s="81">
        <f>6.7859 * CHOOSE(CONTROL!$C$32, $C$9, 100%, $E$9)</f>
        <v>6.7858999999999998</v>
      </c>
      <c r="N388" s="81">
        <f>6.7823 * CHOOSE(CONTROL!$C$32, $C$9, 100%, $E$9)</f>
        <v>6.7823000000000002</v>
      </c>
      <c r="O388" s="81">
        <f>6.7859 * CHOOSE(CONTROL!$C$32, $C$9, 100%, $E$9)</f>
        <v>6.7858999999999998</v>
      </c>
    </row>
    <row r="389" spans="1:15" ht="15" x14ac:dyDescent="0.2">
      <c r="A389" s="16">
        <v>53053</v>
      </c>
      <c r="B389" s="80">
        <f>5.8918 * CHOOSE(CONTROL!$C$32, $C$9, 100%, $E$9)</f>
        <v>5.8917999999999999</v>
      </c>
      <c r="C389" s="80">
        <f>5.8918 * CHOOSE(CONTROL!$C$32, $C$9, 100%, $E$9)</f>
        <v>5.8917999999999999</v>
      </c>
      <c r="D389" s="80">
        <f>5.8929 * CHOOSE(CONTROL!$C$32, $C$9, 100%, $E$9)</f>
        <v>5.8929</v>
      </c>
      <c r="E389" s="81">
        <f>6.8923 * CHOOSE(CONTROL!$C$32, $C$9, 100%, $E$9)</f>
        <v>6.8922999999999996</v>
      </c>
      <c r="F389" s="81">
        <f>6.8923 * CHOOSE(CONTROL!$C$32, $C$9, 100%, $E$9)</f>
        <v>6.8922999999999996</v>
      </c>
      <c r="G389" s="81">
        <f>6.896 * CHOOSE(CONTROL!$C$32, $C$9, 100%, $E$9)</f>
        <v>6.8959999999999999</v>
      </c>
      <c r="H389" s="81">
        <f>12.6954 * CHOOSE(CONTROL!$C$32, $C$9, 100%, $E$9)</f>
        <v>12.695399999999999</v>
      </c>
      <c r="I389" s="81">
        <f>12.699 * CHOOSE(CONTROL!$C$32, $C$9, 100%, $E$9)</f>
        <v>12.699</v>
      </c>
      <c r="J389" s="81">
        <f>12.6954 * CHOOSE(CONTROL!$C$32, $C$9, 100%, $E$9)</f>
        <v>12.695399999999999</v>
      </c>
      <c r="K389" s="81">
        <f>12.699 * CHOOSE(CONTROL!$C$32, $C$9, 100%, $E$9)</f>
        <v>12.699</v>
      </c>
      <c r="L389" s="81">
        <f>6.8923 * CHOOSE(CONTROL!$C$32, $C$9, 100%, $E$9)</f>
        <v>6.8922999999999996</v>
      </c>
      <c r="M389" s="81">
        <f>6.896 * CHOOSE(CONTROL!$C$32, $C$9, 100%, $E$9)</f>
        <v>6.8959999999999999</v>
      </c>
      <c r="N389" s="81">
        <f>6.8923 * CHOOSE(CONTROL!$C$32, $C$9, 100%, $E$9)</f>
        <v>6.8922999999999996</v>
      </c>
      <c r="O389" s="81">
        <f>6.896 * CHOOSE(CONTROL!$C$32, $C$9, 100%, $E$9)</f>
        <v>6.8959999999999999</v>
      </c>
    </row>
    <row r="390" spans="1:15" ht="15" x14ac:dyDescent="0.2">
      <c r="A390" s="16">
        <v>53083</v>
      </c>
      <c r="B390" s="80">
        <f>5.8918 * CHOOSE(CONTROL!$C$32, $C$9, 100%, $E$9)</f>
        <v>5.8917999999999999</v>
      </c>
      <c r="C390" s="80">
        <f>5.8918 * CHOOSE(CONTROL!$C$32, $C$9, 100%, $E$9)</f>
        <v>5.8917999999999999</v>
      </c>
      <c r="D390" s="80">
        <f>5.8934 * CHOOSE(CONTROL!$C$32, $C$9, 100%, $E$9)</f>
        <v>5.8933999999999997</v>
      </c>
      <c r="E390" s="81">
        <f>6.9352 * CHOOSE(CONTROL!$C$32, $C$9, 100%, $E$9)</f>
        <v>6.9352</v>
      </c>
      <c r="F390" s="81">
        <f>6.9352 * CHOOSE(CONTROL!$C$32, $C$9, 100%, $E$9)</f>
        <v>6.9352</v>
      </c>
      <c r="G390" s="81">
        <f>6.9405 * CHOOSE(CONTROL!$C$32, $C$9, 100%, $E$9)</f>
        <v>6.9405000000000001</v>
      </c>
      <c r="H390" s="81">
        <f>12.7218 * CHOOSE(CONTROL!$C$32, $C$9, 100%, $E$9)</f>
        <v>12.7218</v>
      </c>
      <c r="I390" s="81">
        <f>12.7271 * CHOOSE(CONTROL!$C$32, $C$9, 100%, $E$9)</f>
        <v>12.7271</v>
      </c>
      <c r="J390" s="81">
        <f>12.7218 * CHOOSE(CONTROL!$C$32, $C$9, 100%, $E$9)</f>
        <v>12.7218</v>
      </c>
      <c r="K390" s="81">
        <f>12.7271 * CHOOSE(CONTROL!$C$32, $C$9, 100%, $E$9)</f>
        <v>12.7271</v>
      </c>
      <c r="L390" s="81">
        <f>6.9352 * CHOOSE(CONTROL!$C$32, $C$9, 100%, $E$9)</f>
        <v>6.9352</v>
      </c>
      <c r="M390" s="81">
        <f>6.9405 * CHOOSE(CONTROL!$C$32, $C$9, 100%, $E$9)</f>
        <v>6.9405000000000001</v>
      </c>
      <c r="N390" s="81">
        <f>6.9352 * CHOOSE(CONTROL!$C$32, $C$9, 100%, $E$9)</f>
        <v>6.9352</v>
      </c>
      <c r="O390" s="81">
        <f>6.9405 * CHOOSE(CONTROL!$C$32, $C$9, 100%, $E$9)</f>
        <v>6.9405000000000001</v>
      </c>
    </row>
    <row r="391" spans="1:15" ht="15" x14ac:dyDescent="0.2">
      <c r="A391" s="16">
        <v>53114</v>
      </c>
      <c r="B391" s="80">
        <f>5.8979 * CHOOSE(CONTROL!$C$32, $C$9, 100%, $E$9)</f>
        <v>5.8978999999999999</v>
      </c>
      <c r="C391" s="80">
        <f>5.8979 * CHOOSE(CONTROL!$C$32, $C$9, 100%, $E$9)</f>
        <v>5.8978999999999999</v>
      </c>
      <c r="D391" s="80">
        <f>5.8995 * CHOOSE(CONTROL!$C$32, $C$9, 100%, $E$9)</f>
        <v>5.8994999999999997</v>
      </c>
      <c r="E391" s="81">
        <f>6.8966 * CHOOSE(CONTROL!$C$32, $C$9, 100%, $E$9)</f>
        <v>6.8966000000000003</v>
      </c>
      <c r="F391" s="81">
        <f>6.8966 * CHOOSE(CONTROL!$C$32, $C$9, 100%, $E$9)</f>
        <v>6.8966000000000003</v>
      </c>
      <c r="G391" s="81">
        <f>6.9019 * CHOOSE(CONTROL!$C$32, $C$9, 100%, $E$9)</f>
        <v>6.9019000000000004</v>
      </c>
      <c r="H391" s="81">
        <f>12.7483 * CHOOSE(CONTROL!$C$32, $C$9, 100%, $E$9)</f>
        <v>12.7483</v>
      </c>
      <c r="I391" s="81">
        <f>12.7536 * CHOOSE(CONTROL!$C$32, $C$9, 100%, $E$9)</f>
        <v>12.7536</v>
      </c>
      <c r="J391" s="81">
        <f>12.7483 * CHOOSE(CONTROL!$C$32, $C$9, 100%, $E$9)</f>
        <v>12.7483</v>
      </c>
      <c r="K391" s="81">
        <f>12.7536 * CHOOSE(CONTROL!$C$32, $C$9, 100%, $E$9)</f>
        <v>12.7536</v>
      </c>
      <c r="L391" s="81">
        <f>6.8966 * CHOOSE(CONTROL!$C$32, $C$9, 100%, $E$9)</f>
        <v>6.8966000000000003</v>
      </c>
      <c r="M391" s="81">
        <f>6.9019 * CHOOSE(CONTROL!$C$32, $C$9, 100%, $E$9)</f>
        <v>6.9019000000000004</v>
      </c>
      <c r="N391" s="81">
        <f>6.8966 * CHOOSE(CONTROL!$C$32, $C$9, 100%, $E$9)</f>
        <v>6.8966000000000003</v>
      </c>
      <c r="O391" s="81">
        <f>6.9019 * CHOOSE(CONTROL!$C$32, $C$9, 100%, $E$9)</f>
        <v>6.9019000000000004</v>
      </c>
    </row>
    <row r="392" spans="1:15" ht="15" x14ac:dyDescent="0.2">
      <c r="A392" s="16">
        <v>53144</v>
      </c>
      <c r="B392" s="80">
        <f>5.9772 * CHOOSE(CONTROL!$C$32, $C$9, 100%, $E$9)</f>
        <v>5.9771999999999998</v>
      </c>
      <c r="C392" s="80">
        <f>5.9772 * CHOOSE(CONTROL!$C$32, $C$9, 100%, $E$9)</f>
        <v>5.9771999999999998</v>
      </c>
      <c r="D392" s="80">
        <f>5.9788 * CHOOSE(CONTROL!$C$32, $C$9, 100%, $E$9)</f>
        <v>5.9787999999999997</v>
      </c>
      <c r="E392" s="81">
        <f>6.9386 * CHOOSE(CONTROL!$C$32, $C$9, 100%, $E$9)</f>
        <v>6.9386000000000001</v>
      </c>
      <c r="F392" s="81">
        <f>6.9386 * CHOOSE(CONTROL!$C$32, $C$9, 100%, $E$9)</f>
        <v>6.9386000000000001</v>
      </c>
      <c r="G392" s="81">
        <f>6.9439 * CHOOSE(CONTROL!$C$32, $C$9, 100%, $E$9)</f>
        <v>6.9439000000000002</v>
      </c>
      <c r="H392" s="81">
        <f>12.7749 * CHOOSE(CONTROL!$C$32, $C$9, 100%, $E$9)</f>
        <v>12.774900000000001</v>
      </c>
      <c r="I392" s="81">
        <f>12.7802 * CHOOSE(CONTROL!$C$32, $C$9, 100%, $E$9)</f>
        <v>12.780200000000001</v>
      </c>
      <c r="J392" s="81">
        <f>12.7749 * CHOOSE(CONTROL!$C$32, $C$9, 100%, $E$9)</f>
        <v>12.774900000000001</v>
      </c>
      <c r="K392" s="81">
        <f>12.7802 * CHOOSE(CONTROL!$C$32, $C$9, 100%, $E$9)</f>
        <v>12.780200000000001</v>
      </c>
      <c r="L392" s="81">
        <f>6.9386 * CHOOSE(CONTROL!$C$32, $C$9, 100%, $E$9)</f>
        <v>6.9386000000000001</v>
      </c>
      <c r="M392" s="81">
        <f>6.9439 * CHOOSE(CONTROL!$C$32, $C$9, 100%, $E$9)</f>
        <v>6.9439000000000002</v>
      </c>
      <c r="N392" s="81">
        <f>6.9386 * CHOOSE(CONTROL!$C$32, $C$9, 100%, $E$9)</f>
        <v>6.9386000000000001</v>
      </c>
      <c r="O392" s="81">
        <f>6.9439 * CHOOSE(CONTROL!$C$32, $C$9, 100%, $E$9)</f>
        <v>6.9439000000000002</v>
      </c>
    </row>
    <row r="393" spans="1:15" ht="15" x14ac:dyDescent="0.2">
      <c r="A393" s="16">
        <v>53175</v>
      </c>
      <c r="B393" s="80">
        <f>5.9839 * CHOOSE(CONTROL!$C$32, $C$9, 100%, $E$9)</f>
        <v>5.9839000000000002</v>
      </c>
      <c r="C393" s="80">
        <f>5.9839 * CHOOSE(CONTROL!$C$32, $C$9, 100%, $E$9)</f>
        <v>5.9839000000000002</v>
      </c>
      <c r="D393" s="80">
        <f>5.9855 * CHOOSE(CONTROL!$C$32, $C$9, 100%, $E$9)</f>
        <v>5.9855</v>
      </c>
      <c r="E393" s="81">
        <f>6.8147 * CHOOSE(CONTROL!$C$32, $C$9, 100%, $E$9)</f>
        <v>6.8147000000000002</v>
      </c>
      <c r="F393" s="81">
        <f>6.8147 * CHOOSE(CONTROL!$C$32, $C$9, 100%, $E$9)</f>
        <v>6.8147000000000002</v>
      </c>
      <c r="G393" s="81">
        <f>6.82 * CHOOSE(CONTROL!$C$32, $C$9, 100%, $E$9)</f>
        <v>6.82</v>
      </c>
      <c r="H393" s="81">
        <f>12.8015 * CHOOSE(CONTROL!$C$32, $C$9, 100%, $E$9)</f>
        <v>12.801500000000001</v>
      </c>
      <c r="I393" s="81">
        <f>12.8068 * CHOOSE(CONTROL!$C$32, $C$9, 100%, $E$9)</f>
        <v>12.806800000000001</v>
      </c>
      <c r="J393" s="81">
        <f>12.8015 * CHOOSE(CONTROL!$C$32, $C$9, 100%, $E$9)</f>
        <v>12.801500000000001</v>
      </c>
      <c r="K393" s="81">
        <f>12.8068 * CHOOSE(CONTROL!$C$32, $C$9, 100%, $E$9)</f>
        <v>12.806800000000001</v>
      </c>
      <c r="L393" s="81">
        <f>6.8147 * CHOOSE(CONTROL!$C$32, $C$9, 100%, $E$9)</f>
        <v>6.8147000000000002</v>
      </c>
      <c r="M393" s="81">
        <f>6.82 * CHOOSE(CONTROL!$C$32, $C$9, 100%, $E$9)</f>
        <v>6.82</v>
      </c>
      <c r="N393" s="81">
        <f>6.8147 * CHOOSE(CONTROL!$C$32, $C$9, 100%, $E$9)</f>
        <v>6.8147000000000002</v>
      </c>
      <c r="O393" s="81">
        <f>6.82 * CHOOSE(CONTROL!$C$32, $C$9, 100%, $E$9)</f>
        <v>6.82</v>
      </c>
    </row>
    <row r="394" spans="1:15" ht="15" x14ac:dyDescent="0.2">
      <c r="A394" s="16">
        <v>53206</v>
      </c>
      <c r="B394" s="80">
        <f>5.9809 * CHOOSE(CONTROL!$C$32, $C$9, 100%, $E$9)</f>
        <v>5.9809000000000001</v>
      </c>
      <c r="C394" s="80">
        <f>5.9809 * CHOOSE(CONTROL!$C$32, $C$9, 100%, $E$9)</f>
        <v>5.9809000000000001</v>
      </c>
      <c r="D394" s="80">
        <f>5.9824 * CHOOSE(CONTROL!$C$32, $C$9, 100%, $E$9)</f>
        <v>5.9824000000000002</v>
      </c>
      <c r="E394" s="81">
        <f>6.7983 * CHOOSE(CONTROL!$C$32, $C$9, 100%, $E$9)</f>
        <v>6.7983000000000002</v>
      </c>
      <c r="F394" s="81">
        <f>6.7983 * CHOOSE(CONTROL!$C$32, $C$9, 100%, $E$9)</f>
        <v>6.7983000000000002</v>
      </c>
      <c r="G394" s="81">
        <f>6.8036 * CHOOSE(CONTROL!$C$32, $C$9, 100%, $E$9)</f>
        <v>6.8036000000000003</v>
      </c>
      <c r="H394" s="81">
        <f>12.8282 * CHOOSE(CONTROL!$C$32, $C$9, 100%, $E$9)</f>
        <v>12.828200000000001</v>
      </c>
      <c r="I394" s="81">
        <f>12.8335 * CHOOSE(CONTROL!$C$32, $C$9, 100%, $E$9)</f>
        <v>12.833500000000001</v>
      </c>
      <c r="J394" s="81">
        <f>12.8282 * CHOOSE(CONTROL!$C$32, $C$9, 100%, $E$9)</f>
        <v>12.828200000000001</v>
      </c>
      <c r="K394" s="81">
        <f>12.8335 * CHOOSE(CONTROL!$C$32, $C$9, 100%, $E$9)</f>
        <v>12.833500000000001</v>
      </c>
      <c r="L394" s="81">
        <f>6.7983 * CHOOSE(CONTROL!$C$32, $C$9, 100%, $E$9)</f>
        <v>6.7983000000000002</v>
      </c>
      <c r="M394" s="81">
        <f>6.8036 * CHOOSE(CONTROL!$C$32, $C$9, 100%, $E$9)</f>
        <v>6.8036000000000003</v>
      </c>
      <c r="N394" s="81">
        <f>6.7983 * CHOOSE(CONTROL!$C$32, $C$9, 100%, $E$9)</f>
        <v>6.7983000000000002</v>
      </c>
      <c r="O394" s="81">
        <f>6.8036 * CHOOSE(CONTROL!$C$32, $C$9, 100%, $E$9)</f>
        <v>6.8036000000000003</v>
      </c>
    </row>
    <row r="395" spans="1:15" ht="15" x14ac:dyDescent="0.2">
      <c r="A395" s="16">
        <v>53236</v>
      </c>
      <c r="B395" s="80">
        <f>5.9833 * CHOOSE(CONTROL!$C$32, $C$9, 100%, $E$9)</f>
        <v>5.9832999999999998</v>
      </c>
      <c r="C395" s="80">
        <f>5.9833 * CHOOSE(CONTROL!$C$32, $C$9, 100%, $E$9)</f>
        <v>5.9832999999999998</v>
      </c>
      <c r="D395" s="80">
        <f>5.9844 * CHOOSE(CONTROL!$C$32, $C$9, 100%, $E$9)</f>
        <v>5.9843999999999999</v>
      </c>
      <c r="E395" s="81">
        <f>6.842 * CHOOSE(CONTROL!$C$32, $C$9, 100%, $E$9)</f>
        <v>6.8419999999999996</v>
      </c>
      <c r="F395" s="81">
        <f>6.842 * CHOOSE(CONTROL!$C$32, $C$9, 100%, $E$9)</f>
        <v>6.8419999999999996</v>
      </c>
      <c r="G395" s="81">
        <f>6.8456 * CHOOSE(CONTROL!$C$32, $C$9, 100%, $E$9)</f>
        <v>6.8456000000000001</v>
      </c>
      <c r="H395" s="81">
        <f>12.8549 * CHOOSE(CONTROL!$C$32, $C$9, 100%, $E$9)</f>
        <v>12.854900000000001</v>
      </c>
      <c r="I395" s="81">
        <f>12.8585 * CHOOSE(CONTROL!$C$32, $C$9, 100%, $E$9)</f>
        <v>12.858499999999999</v>
      </c>
      <c r="J395" s="81">
        <f>12.8549 * CHOOSE(CONTROL!$C$32, $C$9, 100%, $E$9)</f>
        <v>12.854900000000001</v>
      </c>
      <c r="K395" s="81">
        <f>12.8585 * CHOOSE(CONTROL!$C$32, $C$9, 100%, $E$9)</f>
        <v>12.858499999999999</v>
      </c>
      <c r="L395" s="81">
        <f>6.842 * CHOOSE(CONTROL!$C$32, $C$9, 100%, $E$9)</f>
        <v>6.8419999999999996</v>
      </c>
      <c r="M395" s="81">
        <f>6.8456 * CHOOSE(CONTROL!$C$32, $C$9, 100%, $E$9)</f>
        <v>6.8456000000000001</v>
      </c>
      <c r="N395" s="81">
        <f>6.842 * CHOOSE(CONTROL!$C$32, $C$9, 100%, $E$9)</f>
        <v>6.8419999999999996</v>
      </c>
      <c r="O395" s="81">
        <f>6.8456 * CHOOSE(CONTROL!$C$32, $C$9, 100%, $E$9)</f>
        <v>6.8456000000000001</v>
      </c>
    </row>
    <row r="396" spans="1:15" ht="15" x14ac:dyDescent="0.2">
      <c r="A396" s="16">
        <v>53267</v>
      </c>
      <c r="B396" s="80">
        <f>5.9863 * CHOOSE(CONTROL!$C$32, $C$9, 100%, $E$9)</f>
        <v>5.9863</v>
      </c>
      <c r="C396" s="80">
        <f>5.9863 * CHOOSE(CONTROL!$C$32, $C$9, 100%, $E$9)</f>
        <v>5.9863</v>
      </c>
      <c r="D396" s="80">
        <f>5.9874 * CHOOSE(CONTROL!$C$32, $C$9, 100%, $E$9)</f>
        <v>5.9874000000000001</v>
      </c>
      <c r="E396" s="81">
        <f>6.8727 * CHOOSE(CONTROL!$C$32, $C$9, 100%, $E$9)</f>
        <v>6.8727</v>
      </c>
      <c r="F396" s="81">
        <f>6.8727 * CHOOSE(CONTROL!$C$32, $C$9, 100%, $E$9)</f>
        <v>6.8727</v>
      </c>
      <c r="G396" s="81">
        <f>6.8763 * CHOOSE(CONTROL!$C$32, $C$9, 100%, $E$9)</f>
        <v>6.8762999999999996</v>
      </c>
      <c r="H396" s="81">
        <f>12.8817 * CHOOSE(CONTROL!$C$32, $C$9, 100%, $E$9)</f>
        <v>12.8817</v>
      </c>
      <c r="I396" s="81">
        <f>12.8853 * CHOOSE(CONTROL!$C$32, $C$9, 100%, $E$9)</f>
        <v>12.885300000000001</v>
      </c>
      <c r="J396" s="81">
        <f>12.8817 * CHOOSE(CONTROL!$C$32, $C$9, 100%, $E$9)</f>
        <v>12.8817</v>
      </c>
      <c r="K396" s="81">
        <f>12.8853 * CHOOSE(CONTROL!$C$32, $C$9, 100%, $E$9)</f>
        <v>12.885300000000001</v>
      </c>
      <c r="L396" s="81">
        <f>6.8727 * CHOOSE(CONTROL!$C$32, $C$9, 100%, $E$9)</f>
        <v>6.8727</v>
      </c>
      <c r="M396" s="81">
        <f>6.8763 * CHOOSE(CONTROL!$C$32, $C$9, 100%, $E$9)</f>
        <v>6.8762999999999996</v>
      </c>
      <c r="N396" s="81">
        <f>6.8727 * CHOOSE(CONTROL!$C$32, $C$9, 100%, $E$9)</f>
        <v>6.8727</v>
      </c>
      <c r="O396" s="81">
        <f>6.8763 * CHOOSE(CONTROL!$C$32, $C$9, 100%, $E$9)</f>
        <v>6.8762999999999996</v>
      </c>
    </row>
    <row r="397" spans="1:15" ht="15" x14ac:dyDescent="0.2">
      <c r="A397" s="16">
        <v>53297</v>
      </c>
      <c r="B397" s="80">
        <f>5.9863 * CHOOSE(CONTROL!$C$32, $C$9, 100%, $E$9)</f>
        <v>5.9863</v>
      </c>
      <c r="C397" s="80">
        <f>5.9863 * CHOOSE(CONTROL!$C$32, $C$9, 100%, $E$9)</f>
        <v>5.9863</v>
      </c>
      <c r="D397" s="80">
        <f>5.9874 * CHOOSE(CONTROL!$C$32, $C$9, 100%, $E$9)</f>
        <v>5.9874000000000001</v>
      </c>
      <c r="E397" s="81">
        <f>6.8013 * CHOOSE(CONTROL!$C$32, $C$9, 100%, $E$9)</f>
        <v>6.8013000000000003</v>
      </c>
      <c r="F397" s="81">
        <f>6.8013 * CHOOSE(CONTROL!$C$32, $C$9, 100%, $E$9)</f>
        <v>6.8013000000000003</v>
      </c>
      <c r="G397" s="81">
        <f>6.8049 * CHOOSE(CONTROL!$C$32, $C$9, 100%, $E$9)</f>
        <v>6.8048999999999999</v>
      </c>
      <c r="H397" s="81">
        <f>12.9085 * CHOOSE(CONTROL!$C$32, $C$9, 100%, $E$9)</f>
        <v>12.9085</v>
      </c>
      <c r="I397" s="81">
        <f>12.9121 * CHOOSE(CONTROL!$C$32, $C$9, 100%, $E$9)</f>
        <v>12.912100000000001</v>
      </c>
      <c r="J397" s="81">
        <f>12.9085 * CHOOSE(CONTROL!$C$32, $C$9, 100%, $E$9)</f>
        <v>12.9085</v>
      </c>
      <c r="K397" s="81">
        <f>12.9121 * CHOOSE(CONTROL!$C$32, $C$9, 100%, $E$9)</f>
        <v>12.912100000000001</v>
      </c>
      <c r="L397" s="81">
        <f>6.8013 * CHOOSE(CONTROL!$C$32, $C$9, 100%, $E$9)</f>
        <v>6.8013000000000003</v>
      </c>
      <c r="M397" s="81">
        <f>6.8049 * CHOOSE(CONTROL!$C$32, $C$9, 100%, $E$9)</f>
        <v>6.8048999999999999</v>
      </c>
      <c r="N397" s="81">
        <f>6.8013 * CHOOSE(CONTROL!$C$32, $C$9, 100%, $E$9)</f>
        <v>6.8013000000000003</v>
      </c>
      <c r="O397" s="81">
        <f>6.8049 * CHOOSE(CONTROL!$C$32, $C$9, 100%, $E$9)</f>
        <v>6.8048999999999999</v>
      </c>
    </row>
    <row r="398" spans="1:15" ht="15" x14ac:dyDescent="0.2">
      <c r="A398" s="16">
        <v>53328</v>
      </c>
      <c r="B398" s="80">
        <f>6.0321 * CHOOSE(CONTROL!$C$32, $C$9, 100%, $E$9)</f>
        <v>6.0320999999999998</v>
      </c>
      <c r="C398" s="80">
        <f>6.0321 * CHOOSE(CONTROL!$C$32, $C$9, 100%, $E$9)</f>
        <v>6.0320999999999998</v>
      </c>
      <c r="D398" s="80">
        <f>6.0332 * CHOOSE(CONTROL!$C$32, $C$9, 100%, $E$9)</f>
        <v>6.0331999999999999</v>
      </c>
      <c r="E398" s="81">
        <f>6.8926 * CHOOSE(CONTROL!$C$32, $C$9, 100%, $E$9)</f>
        <v>6.8925999999999998</v>
      </c>
      <c r="F398" s="81">
        <f>6.8926 * CHOOSE(CONTROL!$C$32, $C$9, 100%, $E$9)</f>
        <v>6.8925999999999998</v>
      </c>
      <c r="G398" s="81">
        <f>6.8962 * CHOOSE(CONTROL!$C$32, $C$9, 100%, $E$9)</f>
        <v>6.8962000000000003</v>
      </c>
      <c r="H398" s="81">
        <f>12.9354 * CHOOSE(CONTROL!$C$32, $C$9, 100%, $E$9)</f>
        <v>12.9354</v>
      </c>
      <c r="I398" s="81">
        <f>12.939 * CHOOSE(CONTROL!$C$32, $C$9, 100%, $E$9)</f>
        <v>12.939</v>
      </c>
      <c r="J398" s="81">
        <f>12.9354 * CHOOSE(CONTROL!$C$32, $C$9, 100%, $E$9)</f>
        <v>12.9354</v>
      </c>
      <c r="K398" s="81">
        <f>12.939 * CHOOSE(CONTROL!$C$32, $C$9, 100%, $E$9)</f>
        <v>12.939</v>
      </c>
      <c r="L398" s="81">
        <f>6.8926 * CHOOSE(CONTROL!$C$32, $C$9, 100%, $E$9)</f>
        <v>6.8925999999999998</v>
      </c>
      <c r="M398" s="81">
        <f>6.8962 * CHOOSE(CONTROL!$C$32, $C$9, 100%, $E$9)</f>
        <v>6.8962000000000003</v>
      </c>
      <c r="N398" s="81">
        <f>6.8926 * CHOOSE(CONTROL!$C$32, $C$9, 100%, $E$9)</f>
        <v>6.8925999999999998</v>
      </c>
      <c r="O398" s="81">
        <f>6.8962 * CHOOSE(CONTROL!$C$32, $C$9, 100%, $E$9)</f>
        <v>6.8962000000000003</v>
      </c>
    </row>
    <row r="399" spans="1:15" ht="15" x14ac:dyDescent="0.2">
      <c r="A399" s="16">
        <v>53359</v>
      </c>
      <c r="B399" s="80">
        <f>6.0291 * CHOOSE(CONTROL!$C$32, $C$9, 100%, $E$9)</f>
        <v>6.0290999999999997</v>
      </c>
      <c r="C399" s="80">
        <f>6.0291 * CHOOSE(CONTROL!$C$32, $C$9, 100%, $E$9)</f>
        <v>6.0290999999999997</v>
      </c>
      <c r="D399" s="80">
        <f>6.0302 * CHOOSE(CONTROL!$C$32, $C$9, 100%, $E$9)</f>
        <v>6.0301999999999998</v>
      </c>
      <c r="E399" s="81">
        <f>6.7511 * CHOOSE(CONTROL!$C$32, $C$9, 100%, $E$9)</f>
        <v>6.7511000000000001</v>
      </c>
      <c r="F399" s="81">
        <f>6.7511 * CHOOSE(CONTROL!$C$32, $C$9, 100%, $E$9)</f>
        <v>6.7511000000000001</v>
      </c>
      <c r="G399" s="81">
        <f>6.7547 * CHOOSE(CONTROL!$C$32, $C$9, 100%, $E$9)</f>
        <v>6.7546999999999997</v>
      </c>
      <c r="H399" s="81">
        <f>12.9624 * CHOOSE(CONTROL!$C$32, $C$9, 100%, $E$9)</f>
        <v>12.962400000000001</v>
      </c>
      <c r="I399" s="81">
        <f>12.966 * CHOOSE(CONTROL!$C$32, $C$9, 100%, $E$9)</f>
        <v>12.965999999999999</v>
      </c>
      <c r="J399" s="81">
        <f>12.9624 * CHOOSE(CONTROL!$C$32, $C$9, 100%, $E$9)</f>
        <v>12.962400000000001</v>
      </c>
      <c r="K399" s="81">
        <f>12.966 * CHOOSE(CONTROL!$C$32, $C$9, 100%, $E$9)</f>
        <v>12.965999999999999</v>
      </c>
      <c r="L399" s="81">
        <f>6.7511 * CHOOSE(CONTROL!$C$32, $C$9, 100%, $E$9)</f>
        <v>6.7511000000000001</v>
      </c>
      <c r="M399" s="81">
        <f>6.7547 * CHOOSE(CONTROL!$C$32, $C$9, 100%, $E$9)</f>
        <v>6.7546999999999997</v>
      </c>
      <c r="N399" s="81">
        <f>6.7511 * CHOOSE(CONTROL!$C$32, $C$9, 100%, $E$9)</f>
        <v>6.7511000000000001</v>
      </c>
      <c r="O399" s="81">
        <f>6.7547 * CHOOSE(CONTROL!$C$32, $C$9, 100%, $E$9)</f>
        <v>6.7546999999999997</v>
      </c>
    </row>
    <row r="400" spans="1:15" ht="15" x14ac:dyDescent="0.2">
      <c r="A400" s="16">
        <v>53387</v>
      </c>
      <c r="B400" s="80">
        <f>6.0261 * CHOOSE(CONTROL!$C$32, $C$9, 100%, $E$9)</f>
        <v>6.0260999999999996</v>
      </c>
      <c r="C400" s="80">
        <f>6.0261 * CHOOSE(CONTROL!$C$32, $C$9, 100%, $E$9)</f>
        <v>6.0260999999999996</v>
      </c>
      <c r="D400" s="80">
        <f>6.0271 * CHOOSE(CONTROL!$C$32, $C$9, 100%, $E$9)</f>
        <v>6.0270999999999999</v>
      </c>
      <c r="E400" s="81">
        <f>6.8589 * CHOOSE(CONTROL!$C$32, $C$9, 100%, $E$9)</f>
        <v>6.8589000000000002</v>
      </c>
      <c r="F400" s="81">
        <f>6.8589 * CHOOSE(CONTROL!$C$32, $C$9, 100%, $E$9)</f>
        <v>6.8589000000000002</v>
      </c>
      <c r="G400" s="81">
        <f>6.8625 * CHOOSE(CONTROL!$C$32, $C$9, 100%, $E$9)</f>
        <v>6.8624999999999998</v>
      </c>
      <c r="H400" s="81">
        <f>12.9894 * CHOOSE(CONTROL!$C$32, $C$9, 100%, $E$9)</f>
        <v>12.9894</v>
      </c>
      <c r="I400" s="81">
        <f>12.993 * CHOOSE(CONTROL!$C$32, $C$9, 100%, $E$9)</f>
        <v>12.993</v>
      </c>
      <c r="J400" s="81">
        <f>12.9894 * CHOOSE(CONTROL!$C$32, $C$9, 100%, $E$9)</f>
        <v>12.9894</v>
      </c>
      <c r="K400" s="81">
        <f>12.993 * CHOOSE(CONTROL!$C$32, $C$9, 100%, $E$9)</f>
        <v>12.993</v>
      </c>
      <c r="L400" s="81">
        <f>6.8589 * CHOOSE(CONTROL!$C$32, $C$9, 100%, $E$9)</f>
        <v>6.8589000000000002</v>
      </c>
      <c r="M400" s="81">
        <f>6.8625 * CHOOSE(CONTROL!$C$32, $C$9, 100%, $E$9)</f>
        <v>6.8624999999999998</v>
      </c>
      <c r="N400" s="81">
        <f>6.8589 * CHOOSE(CONTROL!$C$32, $C$9, 100%, $E$9)</f>
        <v>6.8589000000000002</v>
      </c>
      <c r="O400" s="81">
        <f>6.8625 * CHOOSE(CONTROL!$C$32, $C$9, 100%, $E$9)</f>
        <v>6.8624999999999998</v>
      </c>
    </row>
    <row r="401" spans="1:15" ht="15" x14ac:dyDescent="0.2">
      <c r="A401" s="16">
        <v>53418</v>
      </c>
      <c r="B401" s="80">
        <f>6.0257 * CHOOSE(CONTROL!$C$32, $C$9, 100%, $E$9)</f>
        <v>6.0256999999999996</v>
      </c>
      <c r="C401" s="80">
        <f>6.0257 * CHOOSE(CONTROL!$C$32, $C$9, 100%, $E$9)</f>
        <v>6.0256999999999996</v>
      </c>
      <c r="D401" s="80">
        <f>6.0268 * CHOOSE(CONTROL!$C$32, $C$9, 100%, $E$9)</f>
        <v>6.0267999999999997</v>
      </c>
      <c r="E401" s="81">
        <f>6.9726 * CHOOSE(CONTROL!$C$32, $C$9, 100%, $E$9)</f>
        <v>6.9725999999999999</v>
      </c>
      <c r="F401" s="81">
        <f>6.9726 * CHOOSE(CONTROL!$C$32, $C$9, 100%, $E$9)</f>
        <v>6.9725999999999999</v>
      </c>
      <c r="G401" s="81">
        <f>6.9762 * CHOOSE(CONTROL!$C$32, $C$9, 100%, $E$9)</f>
        <v>6.9762000000000004</v>
      </c>
      <c r="H401" s="81">
        <f>13.0164 * CHOOSE(CONTROL!$C$32, $C$9, 100%, $E$9)</f>
        <v>13.016400000000001</v>
      </c>
      <c r="I401" s="81">
        <f>13.02 * CHOOSE(CONTROL!$C$32, $C$9, 100%, $E$9)</f>
        <v>13.02</v>
      </c>
      <c r="J401" s="81">
        <f>13.0164 * CHOOSE(CONTROL!$C$32, $C$9, 100%, $E$9)</f>
        <v>13.016400000000001</v>
      </c>
      <c r="K401" s="81">
        <f>13.02 * CHOOSE(CONTROL!$C$32, $C$9, 100%, $E$9)</f>
        <v>13.02</v>
      </c>
      <c r="L401" s="81">
        <f>6.9726 * CHOOSE(CONTROL!$C$32, $C$9, 100%, $E$9)</f>
        <v>6.9725999999999999</v>
      </c>
      <c r="M401" s="81">
        <f>6.9762 * CHOOSE(CONTROL!$C$32, $C$9, 100%, $E$9)</f>
        <v>6.9762000000000004</v>
      </c>
      <c r="N401" s="81">
        <f>6.9726 * CHOOSE(CONTROL!$C$32, $C$9, 100%, $E$9)</f>
        <v>6.9725999999999999</v>
      </c>
      <c r="O401" s="81">
        <f>6.9762 * CHOOSE(CONTROL!$C$32, $C$9, 100%, $E$9)</f>
        <v>6.9762000000000004</v>
      </c>
    </row>
    <row r="402" spans="1:15" ht="15" x14ac:dyDescent="0.2">
      <c r="A402" s="16">
        <v>53448</v>
      </c>
      <c r="B402" s="80">
        <f>6.0257 * CHOOSE(CONTROL!$C$32, $C$9, 100%, $E$9)</f>
        <v>6.0256999999999996</v>
      </c>
      <c r="C402" s="80">
        <f>6.0257 * CHOOSE(CONTROL!$C$32, $C$9, 100%, $E$9)</f>
        <v>6.0256999999999996</v>
      </c>
      <c r="D402" s="80">
        <f>6.0273 * CHOOSE(CONTROL!$C$32, $C$9, 100%, $E$9)</f>
        <v>6.0273000000000003</v>
      </c>
      <c r="E402" s="81">
        <f>7.0168 * CHOOSE(CONTROL!$C$32, $C$9, 100%, $E$9)</f>
        <v>7.0167999999999999</v>
      </c>
      <c r="F402" s="81">
        <f>7.0168 * CHOOSE(CONTROL!$C$32, $C$9, 100%, $E$9)</f>
        <v>7.0167999999999999</v>
      </c>
      <c r="G402" s="81">
        <f>7.0221 * CHOOSE(CONTROL!$C$32, $C$9, 100%, $E$9)</f>
        <v>7.0221</v>
      </c>
      <c r="H402" s="81">
        <f>13.0435 * CHOOSE(CONTROL!$C$32, $C$9, 100%, $E$9)</f>
        <v>13.0435</v>
      </c>
      <c r="I402" s="81">
        <f>13.0488 * CHOOSE(CONTROL!$C$32, $C$9, 100%, $E$9)</f>
        <v>13.0488</v>
      </c>
      <c r="J402" s="81">
        <f>13.0435 * CHOOSE(CONTROL!$C$32, $C$9, 100%, $E$9)</f>
        <v>13.0435</v>
      </c>
      <c r="K402" s="81">
        <f>13.0488 * CHOOSE(CONTROL!$C$32, $C$9, 100%, $E$9)</f>
        <v>13.0488</v>
      </c>
      <c r="L402" s="81">
        <f>7.0168 * CHOOSE(CONTROL!$C$32, $C$9, 100%, $E$9)</f>
        <v>7.0167999999999999</v>
      </c>
      <c r="M402" s="81">
        <f>7.0221 * CHOOSE(CONTROL!$C$32, $C$9, 100%, $E$9)</f>
        <v>7.0221</v>
      </c>
      <c r="N402" s="81">
        <f>7.0168 * CHOOSE(CONTROL!$C$32, $C$9, 100%, $E$9)</f>
        <v>7.0167999999999999</v>
      </c>
      <c r="O402" s="81">
        <f>7.0221 * CHOOSE(CONTROL!$C$32, $C$9, 100%, $E$9)</f>
        <v>7.0221</v>
      </c>
    </row>
    <row r="403" spans="1:15" ht="15" x14ac:dyDescent="0.2">
      <c r="A403" s="16">
        <v>53479</v>
      </c>
      <c r="B403" s="80">
        <f>6.0318 * CHOOSE(CONTROL!$C$32, $C$9, 100%, $E$9)</f>
        <v>6.0317999999999996</v>
      </c>
      <c r="C403" s="80">
        <f>6.0318 * CHOOSE(CONTROL!$C$32, $C$9, 100%, $E$9)</f>
        <v>6.0317999999999996</v>
      </c>
      <c r="D403" s="80">
        <f>6.0333 * CHOOSE(CONTROL!$C$32, $C$9, 100%, $E$9)</f>
        <v>6.0332999999999997</v>
      </c>
      <c r="E403" s="81">
        <f>6.9768 * CHOOSE(CONTROL!$C$32, $C$9, 100%, $E$9)</f>
        <v>6.9767999999999999</v>
      </c>
      <c r="F403" s="81">
        <f>6.9768 * CHOOSE(CONTROL!$C$32, $C$9, 100%, $E$9)</f>
        <v>6.9767999999999999</v>
      </c>
      <c r="G403" s="81">
        <f>6.9821 * CHOOSE(CONTROL!$C$32, $C$9, 100%, $E$9)</f>
        <v>6.9821</v>
      </c>
      <c r="H403" s="81">
        <f>13.0707 * CHOOSE(CONTROL!$C$32, $C$9, 100%, $E$9)</f>
        <v>13.0707</v>
      </c>
      <c r="I403" s="81">
        <f>13.076 * CHOOSE(CONTROL!$C$32, $C$9, 100%, $E$9)</f>
        <v>13.076000000000001</v>
      </c>
      <c r="J403" s="81">
        <f>13.0707 * CHOOSE(CONTROL!$C$32, $C$9, 100%, $E$9)</f>
        <v>13.0707</v>
      </c>
      <c r="K403" s="81">
        <f>13.076 * CHOOSE(CONTROL!$C$32, $C$9, 100%, $E$9)</f>
        <v>13.076000000000001</v>
      </c>
      <c r="L403" s="81">
        <f>6.9768 * CHOOSE(CONTROL!$C$32, $C$9, 100%, $E$9)</f>
        <v>6.9767999999999999</v>
      </c>
      <c r="M403" s="81">
        <f>6.9821 * CHOOSE(CONTROL!$C$32, $C$9, 100%, $E$9)</f>
        <v>6.9821</v>
      </c>
      <c r="N403" s="81">
        <f>6.9768 * CHOOSE(CONTROL!$C$32, $C$9, 100%, $E$9)</f>
        <v>6.9767999999999999</v>
      </c>
      <c r="O403" s="81">
        <f>6.9821 * CHOOSE(CONTROL!$C$32, $C$9, 100%, $E$9)</f>
        <v>6.9821</v>
      </c>
    </row>
    <row r="404" spans="1:15" ht="15" x14ac:dyDescent="0.2">
      <c r="A404" s="16">
        <v>53509</v>
      </c>
      <c r="B404" s="80">
        <f>6.1126 * CHOOSE(CONTROL!$C$32, $C$9, 100%, $E$9)</f>
        <v>6.1125999999999996</v>
      </c>
      <c r="C404" s="80">
        <f>6.1126 * CHOOSE(CONTROL!$C$32, $C$9, 100%, $E$9)</f>
        <v>6.1125999999999996</v>
      </c>
      <c r="D404" s="80">
        <f>6.1142 * CHOOSE(CONTROL!$C$32, $C$9, 100%, $E$9)</f>
        <v>6.1142000000000003</v>
      </c>
      <c r="E404" s="81">
        <f>7.0342 * CHOOSE(CONTROL!$C$32, $C$9, 100%, $E$9)</f>
        <v>7.0342000000000002</v>
      </c>
      <c r="F404" s="81">
        <f>7.0342 * CHOOSE(CONTROL!$C$32, $C$9, 100%, $E$9)</f>
        <v>7.0342000000000002</v>
      </c>
      <c r="G404" s="81">
        <f>7.0395 * CHOOSE(CONTROL!$C$32, $C$9, 100%, $E$9)</f>
        <v>7.0395000000000003</v>
      </c>
      <c r="H404" s="81">
        <f>13.0979 * CHOOSE(CONTROL!$C$32, $C$9, 100%, $E$9)</f>
        <v>13.097899999999999</v>
      </c>
      <c r="I404" s="81">
        <f>13.1032 * CHOOSE(CONTROL!$C$32, $C$9, 100%, $E$9)</f>
        <v>13.103199999999999</v>
      </c>
      <c r="J404" s="81">
        <f>13.0979 * CHOOSE(CONTROL!$C$32, $C$9, 100%, $E$9)</f>
        <v>13.097899999999999</v>
      </c>
      <c r="K404" s="81">
        <f>13.1032 * CHOOSE(CONTROL!$C$32, $C$9, 100%, $E$9)</f>
        <v>13.103199999999999</v>
      </c>
      <c r="L404" s="81">
        <f>7.0342 * CHOOSE(CONTROL!$C$32, $C$9, 100%, $E$9)</f>
        <v>7.0342000000000002</v>
      </c>
      <c r="M404" s="81">
        <f>7.0395 * CHOOSE(CONTROL!$C$32, $C$9, 100%, $E$9)</f>
        <v>7.0395000000000003</v>
      </c>
      <c r="N404" s="81">
        <f>7.0342 * CHOOSE(CONTROL!$C$32, $C$9, 100%, $E$9)</f>
        <v>7.0342000000000002</v>
      </c>
      <c r="O404" s="81">
        <f>7.0395 * CHOOSE(CONTROL!$C$32, $C$9, 100%, $E$9)</f>
        <v>7.0395000000000003</v>
      </c>
    </row>
    <row r="405" spans="1:15" ht="15" x14ac:dyDescent="0.2">
      <c r="A405" s="16">
        <v>53540</v>
      </c>
      <c r="B405" s="80">
        <f>6.1193 * CHOOSE(CONTROL!$C$32, $C$9, 100%, $E$9)</f>
        <v>6.1193</v>
      </c>
      <c r="C405" s="80">
        <f>6.1193 * CHOOSE(CONTROL!$C$32, $C$9, 100%, $E$9)</f>
        <v>6.1193</v>
      </c>
      <c r="D405" s="80">
        <f>6.1209 * CHOOSE(CONTROL!$C$32, $C$9, 100%, $E$9)</f>
        <v>6.1208999999999998</v>
      </c>
      <c r="E405" s="81">
        <f>6.9061 * CHOOSE(CONTROL!$C$32, $C$9, 100%, $E$9)</f>
        <v>6.9061000000000003</v>
      </c>
      <c r="F405" s="81">
        <f>6.9061 * CHOOSE(CONTROL!$C$32, $C$9, 100%, $E$9)</f>
        <v>6.9061000000000003</v>
      </c>
      <c r="G405" s="81">
        <f>6.9114 * CHOOSE(CONTROL!$C$32, $C$9, 100%, $E$9)</f>
        <v>6.9114000000000004</v>
      </c>
      <c r="H405" s="81">
        <f>13.1252 * CHOOSE(CONTROL!$C$32, $C$9, 100%, $E$9)</f>
        <v>13.1252</v>
      </c>
      <c r="I405" s="81">
        <f>13.1305 * CHOOSE(CONTROL!$C$32, $C$9, 100%, $E$9)</f>
        <v>13.1305</v>
      </c>
      <c r="J405" s="81">
        <f>13.1252 * CHOOSE(CONTROL!$C$32, $C$9, 100%, $E$9)</f>
        <v>13.1252</v>
      </c>
      <c r="K405" s="81">
        <f>13.1305 * CHOOSE(CONTROL!$C$32, $C$9, 100%, $E$9)</f>
        <v>13.1305</v>
      </c>
      <c r="L405" s="81">
        <f>6.9061 * CHOOSE(CONTROL!$C$32, $C$9, 100%, $E$9)</f>
        <v>6.9061000000000003</v>
      </c>
      <c r="M405" s="81">
        <f>6.9114 * CHOOSE(CONTROL!$C$32, $C$9, 100%, $E$9)</f>
        <v>6.9114000000000004</v>
      </c>
      <c r="N405" s="81">
        <f>6.9061 * CHOOSE(CONTROL!$C$32, $C$9, 100%, $E$9)</f>
        <v>6.9061000000000003</v>
      </c>
      <c r="O405" s="81">
        <f>6.9114 * CHOOSE(CONTROL!$C$32, $C$9, 100%, $E$9)</f>
        <v>6.9114000000000004</v>
      </c>
    </row>
    <row r="406" spans="1:15" ht="15" x14ac:dyDescent="0.2">
      <c r="A406" s="16">
        <v>53571</v>
      </c>
      <c r="B406" s="80">
        <f>6.1163 * CHOOSE(CONTROL!$C$32, $C$9, 100%, $E$9)</f>
        <v>6.1162999999999998</v>
      </c>
      <c r="C406" s="80">
        <f>6.1163 * CHOOSE(CONTROL!$C$32, $C$9, 100%, $E$9)</f>
        <v>6.1162999999999998</v>
      </c>
      <c r="D406" s="80">
        <f>6.1178 * CHOOSE(CONTROL!$C$32, $C$9, 100%, $E$9)</f>
        <v>6.1177999999999999</v>
      </c>
      <c r="E406" s="81">
        <f>6.8892 * CHOOSE(CONTROL!$C$32, $C$9, 100%, $E$9)</f>
        <v>6.8891999999999998</v>
      </c>
      <c r="F406" s="81">
        <f>6.8892 * CHOOSE(CONTROL!$C$32, $C$9, 100%, $E$9)</f>
        <v>6.8891999999999998</v>
      </c>
      <c r="G406" s="81">
        <f>6.8945 * CHOOSE(CONTROL!$C$32, $C$9, 100%, $E$9)</f>
        <v>6.8944999999999999</v>
      </c>
      <c r="H406" s="81">
        <f>13.1526 * CHOOSE(CONTROL!$C$32, $C$9, 100%, $E$9)</f>
        <v>13.1526</v>
      </c>
      <c r="I406" s="81">
        <f>13.1579 * CHOOSE(CONTROL!$C$32, $C$9, 100%, $E$9)</f>
        <v>13.1579</v>
      </c>
      <c r="J406" s="81">
        <f>13.1526 * CHOOSE(CONTROL!$C$32, $C$9, 100%, $E$9)</f>
        <v>13.1526</v>
      </c>
      <c r="K406" s="81">
        <f>13.1579 * CHOOSE(CONTROL!$C$32, $C$9, 100%, $E$9)</f>
        <v>13.1579</v>
      </c>
      <c r="L406" s="81">
        <f>6.8892 * CHOOSE(CONTROL!$C$32, $C$9, 100%, $E$9)</f>
        <v>6.8891999999999998</v>
      </c>
      <c r="M406" s="81">
        <f>6.8945 * CHOOSE(CONTROL!$C$32, $C$9, 100%, $E$9)</f>
        <v>6.8944999999999999</v>
      </c>
      <c r="N406" s="81">
        <f>6.8892 * CHOOSE(CONTROL!$C$32, $C$9, 100%, $E$9)</f>
        <v>6.8891999999999998</v>
      </c>
      <c r="O406" s="81">
        <f>6.8945 * CHOOSE(CONTROL!$C$32, $C$9, 100%, $E$9)</f>
        <v>6.8944999999999999</v>
      </c>
    </row>
    <row r="407" spans="1:15" ht="15" x14ac:dyDescent="0.2">
      <c r="A407" s="16">
        <v>53601</v>
      </c>
      <c r="B407" s="80">
        <f>6.1192 * CHOOSE(CONTROL!$C$32, $C$9, 100%, $E$9)</f>
        <v>6.1192000000000002</v>
      </c>
      <c r="C407" s="80">
        <f>6.1192 * CHOOSE(CONTROL!$C$32, $C$9, 100%, $E$9)</f>
        <v>6.1192000000000002</v>
      </c>
      <c r="D407" s="80">
        <f>6.1203 * CHOOSE(CONTROL!$C$32, $C$9, 100%, $E$9)</f>
        <v>6.1203000000000003</v>
      </c>
      <c r="E407" s="81">
        <f>6.9348 * CHOOSE(CONTROL!$C$32, $C$9, 100%, $E$9)</f>
        <v>6.9348000000000001</v>
      </c>
      <c r="F407" s="81">
        <f>6.9348 * CHOOSE(CONTROL!$C$32, $C$9, 100%, $E$9)</f>
        <v>6.9348000000000001</v>
      </c>
      <c r="G407" s="81">
        <f>6.9384 * CHOOSE(CONTROL!$C$32, $C$9, 100%, $E$9)</f>
        <v>6.9383999999999997</v>
      </c>
      <c r="H407" s="81">
        <f>13.18 * CHOOSE(CONTROL!$C$32, $C$9, 100%, $E$9)</f>
        <v>13.18</v>
      </c>
      <c r="I407" s="81">
        <f>13.1836 * CHOOSE(CONTROL!$C$32, $C$9, 100%, $E$9)</f>
        <v>13.1836</v>
      </c>
      <c r="J407" s="81">
        <f>13.18 * CHOOSE(CONTROL!$C$32, $C$9, 100%, $E$9)</f>
        <v>13.18</v>
      </c>
      <c r="K407" s="81">
        <f>13.1836 * CHOOSE(CONTROL!$C$32, $C$9, 100%, $E$9)</f>
        <v>13.1836</v>
      </c>
      <c r="L407" s="81">
        <f>6.9348 * CHOOSE(CONTROL!$C$32, $C$9, 100%, $E$9)</f>
        <v>6.9348000000000001</v>
      </c>
      <c r="M407" s="81">
        <f>6.9384 * CHOOSE(CONTROL!$C$32, $C$9, 100%, $E$9)</f>
        <v>6.9383999999999997</v>
      </c>
      <c r="N407" s="81">
        <f>6.9348 * CHOOSE(CONTROL!$C$32, $C$9, 100%, $E$9)</f>
        <v>6.9348000000000001</v>
      </c>
      <c r="O407" s="81">
        <f>6.9384 * CHOOSE(CONTROL!$C$32, $C$9, 100%, $E$9)</f>
        <v>6.9383999999999997</v>
      </c>
    </row>
    <row r="408" spans="1:15" ht="15" x14ac:dyDescent="0.2">
      <c r="A408" s="16">
        <v>53632</v>
      </c>
      <c r="B408" s="80">
        <f>6.1222 * CHOOSE(CONTROL!$C$32, $C$9, 100%, $E$9)</f>
        <v>6.1222000000000003</v>
      </c>
      <c r="C408" s="80">
        <f>6.1222 * CHOOSE(CONTROL!$C$32, $C$9, 100%, $E$9)</f>
        <v>6.1222000000000003</v>
      </c>
      <c r="D408" s="80">
        <f>6.1233 * CHOOSE(CONTROL!$C$32, $C$9, 100%, $E$9)</f>
        <v>6.1233000000000004</v>
      </c>
      <c r="E408" s="81">
        <f>6.9664 * CHOOSE(CONTROL!$C$32, $C$9, 100%, $E$9)</f>
        <v>6.9664000000000001</v>
      </c>
      <c r="F408" s="81">
        <f>6.9664 * CHOOSE(CONTROL!$C$32, $C$9, 100%, $E$9)</f>
        <v>6.9664000000000001</v>
      </c>
      <c r="G408" s="81">
        <f>6.97 * CHOOSE(CONTROL!$C$32, $C$9, 100%, $E$9)</f>
        <v>6.97</v>
      </c>
      <c r="H408" s="81">
        <f>13.2074 * CHOOSE(CONTROL!$C$32, $C$9, 100%, $E$9)</f>
        <v>13.2074</v>
      </c>
      <c r="I408" s="81">
        <f>13.2111 * CHOOSE(CONTROL!$C$32, $C$9, 100%, $E$9)</f>
        <v>13.2111</v>
      </c>
      <c r="J408" s="81">
        <f>13.2074 * CHOOSE(CONTROL!$C$32, $C$9, 100%, $E$9)</f>
        <v>13.2074</v>
      </c>
      <c r="K408" s="81">
        <f>13.2111 * CHOOSE(CONTROL!$C$32, $C$9, 100%, $E$9)</f>
        <v>13.2111</v>
      </c>
      <c r="L408" s="81">
        <f>6.9664 * CHOOSE(CONTROL!$C$32, $C$9, 100%, $E$9)</f>
        <v>6.9664000000000001</v>
      </c>
      <c r="M408" s="81">
        <f>6.97 * CHOOSE(CONTROL!$C$32, $C$9, 100%, $E$9)</f>
        <v>6.97</v>
      </c>
      <c r="N408" s="81">
        <f>6.9664 * CHOOSE(CONTROL!$C$32, $C$9, 100%, $E$9)</f>
        <v>6.9664000000000001</v>
      </c>
      <c r="O408" s="81">
        <f>6.97 * CHOOSE(CONTROL!$C$32, $C$9, 100%, $E$9)</f>
        <v>6.97</v>
      </c>
    </row>
    <row r="409" spans="1:15" ht="15" x14ac:dyDescent="0.2">
      <c r="A409" s="16">
        <v>53662</v>
      </c>
      <c r="B409" s="80">
        <f>6.1222 * CHOOSE(CONTROL!$C$32, $C$9, 100%, $E$9)</f>
        <v>6.1222000000000003</v>
      </c>
      <c r="C409" s="80">
        <f>6.1222 * CHOOSE(CONTROL!$C$32, $C$9, 100%, $E$9)</f>
        <v>6.1222000000000003</v>
      </c>
      <c r="D409" s="80">
        <f>6.1233 * CHOOSE(CONTROL!$C$32, $C$9, 100%, $E$9)</f>
        <v>6.1233000000000004</v>
      </c>
      <c r="E409" s="81">
        <f>6.8927 * CHOOSE(CONTROL!$C$32, $C$9, 100%, $E$9)</f>
        <v>6.8926999999999996</v>
      </c>
      <c r="F409" s="81">
        <f>6.8927 * CHOOSE(CONTROL!$C$32, $C$9, 100%, $E$9)</f>
        <v>6.8926999999999996</v>
      </c>
      <c r="G409" s="81">
        <f>6.8963 * CHOOSE(CONTROL!$C$32, $C$9, 100%, $E$9)</f>
        <v>6.8963000000000001</v>
      </c>
      <c r="H409" s="81">
        <f>13.235 * CHOOSE(CONTROL!$C$32, $C$9, 100%, $E$9)</f>
        <v>13.234999999999999</v>
      </c>
      <c r="I409" s="81">
        <f>13.2386 * CHOOSE(CONTROL!$C$32, $C$9, 100%, $E$9)</f>
        <v>13.2386</v>
      </c>
      <c r="J409" s="81">
        <f>13.235 * CHOOSE(CONTROL!$C$32, $C$9, 100%, $E$9)</f>
        <v>13.234999999999999</v>
      </c>
      <c r="K409" s="81">
        <f>13.2386 * CHOOSE(CONTROL!$C$32, $C$9, 100%, $E$9)</f>
        <v>13.2386</v>
      </c>
      <c r="L409" s="81">
        <f>6.8927 * CHOOSE(CONTROL!$C$32, $C$9, 100%, $E$9)</f>
        <v>6.8926999999999996</v>
      </c>
      <c r="M409" s="81">
        <f>6.8963 * CHOOSE(CONTROL!$C$32, $C$9, 100%, $E$9)</f>
        <v>6.8963000000000001</v>
      </c>
      <c r="N409" s="81">
        <f>6.8927 * CHOOSE(CONTROL!$C$32, $C$9, 100%, $E$9)</f>
        <v>6.8926999999999996</v>
      </c>
      <c r="O409" s="81">
        <f>6.8963 * CHOOSE(CONTROL!$C$32, $C$9, 100%, $E$9)</f>
        <v>6.8963000000000001</v>
      </c>
    </row>
    <row r="410" spans="1:15" ht="15" x14ac:dyDescent="0.2">
      <c r="A410" s="16">
        <v>53693</v>
      </c>
      <c r="B410" s="80">
        <f>6.169 * CHOOSE(CONTROL!$C$32, $C$9, 100%, $E$9)</f>
        <v>6.1689999999999996</v>
      </c>
      <c r="C410" s="80">
        <f>6.169 * CHOOSE(CONTROL!$C$32, $C$9, 100%, $E$9)</f>
        <v>6.1689999999999996</v>
      </c>
      <c r="D410" s="80">
        <f>6.17 * CHOOSE(CONTROL!$C$32, $C$9, 100%, $E$9)</f>
        <v>6.17</v>
      </c>
      <c r="E410" s="81">
        <f>6.9915 * CHOOSE(CONTROL!$C$32, $C$9, 100%, $E$9)</f>
        <v>6.9915000000000003</v>
      </c>
      <c r="F410" s="81">
        <f>6.9915 * CHOOSE(CONTROL!$C$32, $C$9, 100%, $E$9)</f>
        <v>6.9915000000000003</v>
      </c>
      <c r="G410" s="81">
        <f>6.9951 * CHOOSE(CONTROL!$C$32, $C$9, 100%, $E$9)</f>
        <v>6.9950999999999999</v>
      </c>
      <c r="H410" s="81">
        <f>13.2625 * CHOOSE(CONTROL!$C$32, $C$9, 100%, $E$9)</f>
        <v>13.262499999999999</v>
      </c>
      <c r="I410" s="81">
        <f>13.2661 * CHOOSE(CONTROL!$C$32, $C$9, 100%, $E$9)</f>
        <v>13.2661</v>
      </c>
      <c r="J410" s="81">
        <f>13.2625 * CHOOSE(CONTROL!$C$32, $C$9, 100%, $E$9)</f>
        <v>13.262499999999999</v>
      </c>
      <c r="K410" s="81">
        <f>13.2661 * CHOOSE(CONTROL!$C$32, $C$9, 100%, $E$9)</f>
        <v>13.2661</v>
      </c>
      <c r="L410" s="81">
        <f>6.9915 * CHOOSE(CONTROL!$C$32, $C$9, 100%, $E$9)</f>
        <v>6.9915000000000003</v>
      </c>
      <c r="M410" s="81">
        <f>6.9951 * CHOOSE(CONTROL!$C$32, $C$9, 100%, $E$9)</f>
        <v>6.9950999999999999</v>
      </c>
      <c r="N410" s="81">
        <f>6.9915 * CHOOSE(CONTROL!$C$32, $C$9, 100%, $E$9)</f>
        <v>6.9915000000000003</v>
      </c>
      <c r="O410" s="81">
        <f>6.9951 * CHOOSE(CONTROL!$C$32, $C$9, 100%, $E$9)</f>
        <v>6.9950999999999999</v>
      </c>
    </row>
    <row r="411" spans="1:15" ht="15" x14ac:dyDescent="0.2">
      <c r="A411" s="16">
        <v>53724</v>
      </c>
      <c r="B411" s="80">
        <f>6.1659 * CHOOSE(CONTROL!$C$32, $C$9, 100%, $E$9)</f>
        <v>6.1658999999999997</v>
      </c>
      <c r="C411" s="80">
        <f>6.1659 * CHOOSE(CONTROL!$C$32, $C$9, 100%, $E$9)</f>
        <v>6.1658999999999997</v>
      </c>
      <c r="D411" s="80">
        <f>6.167 * CHOOSE(CONTROL!$C$32, $C$9, 100%, $E$9)</f>
        <v>6.1669999999999998</v>
      </c>
      <c r="E411" s="81">
        <f>6.8455 * CHOOSE(CONTROL!$C$32, $C$9, 100%, $E$9)</f>
        <v>6.8455000000000004</v>
      </c>
      <c r="F411" s="81">
        <f>6.8455 * CHOOSE(CONTROL!$C$32, $C$9, 100%, $E$9)</f>
        <v>6.8455000000000004</v>
      </c>
      <c r="G411" s="81">
        <f>6.8491 * CHOOSE(CONTROL!$C$32, $C$9, 100%, $E$9)</f>
        <v>6.8491</v>
      </c>
      <c r="H411" s="81">
        <f>13.2902 * CHOOSE(CONTROL!$C$32, $C$9, 100%, $E$9)</f>
        <v>13.2902</v>
      </c>
      <c r="I411" s="81">
        <f>13.2938 * CHOOSE(CONTROL!$C$32, $C$9, 100%, $E$9)</f>
        <v>13.293799999999999</v>
      </c>
      <c r="J411" s="81">
        <f>13.2902 * CHOOSE(CONTROL!$C$32, $C$9, 100%, $E$9)</f>
        <v>13.2902</v>
      </c>
      <c r="K411" s="81">
        <f>13.2938 * CHOOSE(CONTROL!$C$32, $C$9, 100%, $E$9)</f>
        <v>13.293799999999999</v>
      </c>
      <c r="L411" s="81">
        <f>6.8455 * CHOOSE(CONTROL!$C$32, $C$9, 100%, $E$9)</f>
        <v>6.8455000000000004</v>
      </c>
      <c r="M411" s="81">
        <f>6.8491 * CHOOSE(CONTROL!$C$32, $C$9, 100%, $E$9)</f>
        <v>6.8491</v>
      </c>
      <c r="N411" s="81">
        <f>6.8455 * CHOOSE(CONTROL!$C$32, $C$9, 100%, $E$9)</f>
        <v>6.8455000000000004</v>
      </c>
      <c r="O411" s="81">
        <f>6.8491 * CHOOSE(CONTROL!$C$32, $C$9, 100%, $E$9)</f>
        <v>6.8491</v>
      </c>
    </row>
    <row r="412" spans="1:15" ht="15" x14ac:dyDescent="0.2">
      <c r="A412" s="16">
        <v>53752</v>
      </c>
      <c r="B412" s="80">
        <f>6.1629 * CHOOSE(CONTROL!$C$32, $C$9, 100%, $E$9)</f>
        <v>6.1628999999999996</v>
      </c>
      <c r="C412" s="80">
        <f>6.1629 * CHOOSE(CONTROL!$C$32, $C$9, 100%, $E$9)</f>
        <v>6.1628999999999996</v>
      </c>
      <c r="D412" s="80">
        <f>6.164 * CHOOSE(CONTROL!$C$32, $C$9, 100%, $E$9)</f>
        <v>6.1639999999999997</v>
      </c>
      <c r="E412" s="81">
        <f>6.9568 * CHOOSE(CONTROL!$C$32, $C$9, 100%, $E$9)</f>
        <v>6.9568000000000003</v>
      </c>
      <c r="F412" s="81">
        <f>6.9568 * CHOOSE(CONTROL!$C$32, $C$9, 100%, $E$9)</f>
        <v>6.9568000000000003</v>
      </c>
      <c r="G412" s="81">
        <f>6.9605 * CHOOSE(CONTROL!$C$32, $C$9, 100%, $E$9)</f>
        <v>6.9604999999999997</v>
      </c>
      <c r="H412" s="81">
        <f>13.3178 * CHOOSE(CONTROL!$C$32, $C$9, 100%, $E$9)</f>
        <v>13.3178</v>
      </c>
      <c r="I412" s="81">
        <f>13.3215 * CHOOSE(CONTROL!$C$32, $C$9, 100%, $E$9)</f>
        <v>13.3215</v>
      </c>
      <c r="J412" s="81">
        <f>13.3178 * CHOOSE(CONTROL!$C$32, $C$9, 100%, $E$9)</f>
        <v>13.3178</v>
      </c>
      <c r="K412" s="81">
        <f>13.3215 * CHOOSE(CONTROL!$C$32, $C$9, 100%, $E$9)</f>
        <v>13.3215</v>
      </c>
      <c r="L412" s="81">
        <f>6.9568 * CHOOSE(CONTROL!$C$32, $C$9, 100%, $E$9)</f>
        <v>6.9568000000000003</v>
      </c>
      <c r="M412" s="81">
        <f>6.9605 * CHOOSE(CONTROL!$C$32, $C$9, 100%, $E$9)</f>
        <v>6.9604999999999997</v>
      </c>
      <c r="N412" s="81">
        <f>6.9568 * CHOOSE(CONTROL!$C$32, $C$9, 100%, $E$9)</f>
        <v>6.9568000000000003</v>
      </c>
      <c r="O412" s="81">
        <f>6.9605 * CHOOSE(CONTROL!$C$32, $C$9, 100%, $E$9)</f>
        <v>6.9604999999999997</v>
      </c>
    </row>
    <row r="413" spans="1:15" ht="15" x14ac:dyDescent="0.2">
      <c r="A413" s="16">
        <v>53783</v>
      </c>
      <c r="B413" s="80">
        <f>6.1626 * CHOOSE(CONTROL!$C$32, $C$9, 100%, $E$9)</f>
        <v>6.1626000000000003</v>
      </c>
      <c r="C413" s="80">
        <f>6.1626 * CHOOSE(CONTROL!$C$32, $C$9, 100%, $E$9)</f>
        <v>6.1626000000000003</v>
      </c>
      <c r="D413" s="80">
        <f>6.1637 * CHOOSE(CONTROL!$C$32, $C$9, 100%, $E$9)</f>
        <v>6.1637000000000004</v>
      </c>
      <c r="E413" s="81">
        <f>7.0744 * CHOOSE(CONTROL!$C$32, $C$9, 100%, $E$9)</f>
        <v>7.0743999999999998</v>
      </c>
      <c r="F413" s="81">
        <f>7.0744 * CHOOSE(CONTROL!$C$32, $C$9, 100%, $E$9)</f>
        <v>7.0743999999999998</v>
      </c>
      <c r="G413" s="81">
        <f>7.078 * CHOOSE(CONTROL!$C$32, $C$9, 100%, $E$9)</f>
        <v>7.0780000000000003</v>
      </c>
      <c r="H413" s="81">
        <f>13.3456 * CHOOSE(CONTROL!$C$32, $C$9, 100%, $E$9)</f>
        <v>13.345599999999999</v>
      </c>
      <c r="I413" s="81">
        <f>13.3492 * CHOOSE(CONTROL!$C$32, $C$9, 100%, $E$9)</f>
        <v>13.3492</v>
      </c>
      <c r="J413" s="81">
        <f>13.3456 * CHOOSE(CONTROL!$C$32, $C$9, 100%, $E$9)</f>
        <v>13.345599999999999</v>
      </c>
      <c r="K413" s="81">
        <f>13.3492 * CHOOSE(CONTROL!$C$32, $C$9, 100%, $E$9)</f>
        <v>13.3492</v>
      </c>
      <c r="L413" s="81">
        <f>7.0744 * CHOOSE(CONTROL!$C$32, $C$9, 100%, $E$9)</f>
        <v>7.0743999999999998</v>
      </c>
      <c r="M413" s="81">
        <f>7.078 * CHOOSE(CONTROL!$C$32, $C$9, 100%, $E$9)</f>
        <v>7.0780000000000003</v>
      </c>
      <c r="N413" s="81">
        <f>7.0744 * CHOOSE(CONTROL!$C$32, $C$9, 100%, $E$9)</f>
        <v>7.0743999999999998</v>
      </c>
      <c r="O413" s="81">
        <f>7.078 * CHOOSE(CONTROL!$C$32, $C$9, 100%, $E$9)</f>
        <v>7.0780000000000003</v>
      </c>
    </row>
    <row r="414" spans="1:15" ht="15" x14ac:dyDescent="0.2">
      <c r="A414" s="16">
        <v>53813</v>
      </c>
      <c r="B414" s="80">
        <f>6.1626 * CHOOSE(CONTROL!$C$32, $C$9, 100%, $E$9)</f>
        <v>6.1626000000000003</v>
      </c>
      <c r="C414" s="80">
        <f>6.1626 * CHOOSE(CONTROL!$C$32, $C$9, 100%, $E$9)</f>
        <v>6.1626000000000003</v>
      </c>
      <c r="D414" s="80">
        <f>6.1642 * CHOOSE(CONTROL!$C$32, $C$9, 100%, $E$9)</f>
        <v>6.1642000000000001</v>
      </c>
      <c r="E414" s="81">
        <f>7.1201 * CHOOSE(CONTROL!$C$32, $C$9, 100%, $E$9)</f>
        <v>7.1200999999999999</v>
      </c>
      <c r="F414" s="81">
        <f>7.1201 * CHOOSE(CONTROL!$C$32, $C$9, 100%, $E$9)</f>
        <v>7.1200999999999999</v>
      </c>
      <c r="G414" s="81">
        <f>7.1254 * CHOOSE(CONTROL!$C$32, $C$9, 100%, $E$9)</f>
        <v>7.1254</v>
      </c>
      <c r="H414" s="81">
        <f>13.3734 * CHOOSE(CONTROL!$C$32, $C$9, 100%, $E$9)</f>
        <v>13.3734</v>
      </c>
      <c r="I414" s="81">
        <f>13.3787 * CHOOSE(CONTROL!$C$32, $C$9, 100%, $E$9)</f>
        <v>13.3787</v>
      </c>
      <c r="J414" s="81">
        <f>13.3734 * CHOOSE(CONTROL!$C$32, $C$9, 100%, $E$9)</f>
        <v>13.3734</v>
      </c>
      <c r="K414" s="81">
        <f>13.3787 * CHOOSE(CONTROL!$C$32, $C$9, 100%, $E$9)</f>
        <v>13.3787</v>
      </c>
      <c r="L414" s="81">
        <f>7.1201 * CHOOSE(CONTROL!$C$32, $C$9, 100%, $E$9)</f>
        <v>7.1200999999999999</v>
      </c>
      <c r="M414" s="81">
        <f>7.1254 * CHOOSE(CONTROL!$C$32, $C$9, 100%, $E$9)</f>
        <v>7.1254</v>
      </c>
      <c r="N414" s="81">
        <f>7.1201 * CHOOSE(CONTROL!$C$32, $C$9, 100%, $E$9)</f>
        <v>7.1200999999999999</v>
      </c>
      <c r="O414" s="81">
        <f>7.1254 * CHOOSE(CONTROL!$C$32, $C$9, 100%, $E$9)</f>
        <v>7.1254</v>
      </c>
    </row>
    <row r="415" spans="1:15" ht="15" x14ac:dyDescent="0.2">
      <c r="A415" s="16">
        <v>53844</v>
      </c>
      <c r="B415" s="80">
        <f>6.1687 * CHOOSE(CONTROL!$C$32, $C$9, 100%, $E$9)</f>
        <v>6.1687000000000003</v>
      </c>
      <c r="C415" s="80">
        <f>6.1687 * CHOOSE(CONTROL!$C$32, $C$9, 100%, $E$9)</f>
        <v>6.1687000000000003</v>
      </c>
      <c r="D415" s="80">
        <f>6.1703 * CHOOSE(CONTROL!$C$32, $C$9, 100%, $E$9)</f>
        <v>6.1703000000000001</v>
      </c>
      <c r="E415" s="81">
        <f>7.0787 * CHOOSE(CONTROL!$C$32, $C$9, 100%, $E$9)</f>
        <v>7.0787000000000004</v>
      </c>
      <c r="F415" s="81">
        <f>7.0787 * CHOOSE(CONTROL!$C$32, $C$9, 100%, $E$9)</f>
        <v>7.0787000000000004</v>
      </c>
      <c r="G415" s="81">
        <f>7.0839 * CHOOSE(CONTROL!$C$32, $C$9, 100%, $E$9)</f>
        <v>7.0838999999999999</v>
      </c>
      <c r="H415" s="81">
        <f>13.4013 * CHOOSE(CONTROL!$C$32, $C$9, 100%, $E$9)</f>
        <v>13.401300000000001</v>
      </c>
      <c r="I415" s="81">
        <f>13.4065 * CHOOSE(CONTROL!$C$32, $C$9, 100%, $E$9)</f>
        <v>13.406499999999999</v>
      </c>
      <c r="J415" s="81">
        <f>13.4013 * CHOOSE(CONTROL!$C$32, $C$9, 100%, $E$9)</f>
        <v>13.401300000000001</v>
      </c>
      <c r="K415" s="81">
        <f>13.4065 * CHOOSE(CONTROL!$C$32, $C$9, 100%, $E$9)</f>
        <v>13.406499999999999</v>
      </c>
      <c r="L415" s="81">
        <f>7.0787 * CHOOSE(CONTROL!$C$32, $C$9, 100%, $E$9)</f>
        <v>7.0787000000000004</v>
      </c>
      <c r="M415" s="81">
        <f>7.0839 * CHOOSE(CONTROL!$C$32, $C$9, 100%, $E$9)</f>
        <v>7.0838999999999999</v>
      </c>
      <c r="N415" s="81">
        <f>7.0787 * CHOOSE(CONTROL!$C$32, $C$9, 100%, $E$9)</f>
        <v>7.0787000000000004</v>
      </c>
      <c r="O415" s="81">
        <f>7.0839 * CHOOSE(CONTROL!$C$32, $C$9, 100%, $E$9)</f>
        <v>7.0838999999999999</v>
      </c>
    </row>
    <row r="416" spans="1:15" ht="15" x14ac:dyDescent="0.2">
      <c r="A416" s="16">
        <v>53874</v>
      </c>
      <c r="B416" s="80">
        <f>6.251 * CHOOSE(CONTROL!$C$32, $C$9, 100%, $E$9)</f>
        <v>6.2510000000000003</v>
      </c>
      <c r="C416" s="80">
        <f>6.251 * CHOOSE(CONTROL!$C$32, $C$9, 100%, $E$9)</f>
        <v>6.2510000000000003</v>
      </c>
      <c r="D416" s="80">
        <f>6.2526 * CHOOSE(CONTROL!$C$32, $C$9, 100%, $E$9)</f>
        <v>6.2526000000000002</v>
      </c>
      <c r="E416" s="81">
        <f>7.149 * CHOOSE(CONTROL!$C$32, $C$9, 100%, $E$9)</f>
        <v>7.149</v>
      </c>
      <c r="F416" s="81">
        <f>7.149 * CHOOSE(CONTROL!$C$32, $C$9, 100%, $E$9)</f>
        <v>7.149</v>
      </c>
      <c r="G416" s="81">
        <f>7.1543 * CHOOSE(CONTROL!$C$32, $C$9, 100%, $E$9)</f>
        <v>7.1543000000000001</v>
      </c>
      <c r="H416" s="81">
        <f>13.4292 * CHOOSE(CONTROL!$C$32, $C$9, 100%, $E$9)</f>
        <v>13.4292</v>
      </c>
      <c r="I416" s="81">
        <f>13.4345 * CHOOSE(CONTROL!$C$32, $C$9, 100%, $E$9)</f>
        <v>13.4345</v>
      </c>
      <c r="J416" s="81">
        <f>13.4292 * CHOOSE(CONTROL!$C$32, $C$9, 100%, $E$9)</f>
        <v>13.4292</v>
      </c>
      <c r="K416" s="81">
        <f>13.4345 * CHOOSE(CONTROL!$C$32, $C$9, 100%, $E$9)</f>
        <v>13.4345</v>
      </c>
      <c r="L416" s="81">
        <f>7.149 * CHOOSE(CONTROL!$C$32, $C$9, 100%, $E$9)</f>
        <v>7.149</v>
      </c>
      <c r="M416" s="81">
        <f>7.1543 * CHOOSE(CONTROL!$C$32, $C$9, 100%, $E$9)</f>
        <v>7.1543000000000001</v>
      </c>
      <c r="N416" s="81">
        <f>7.149 * CHOOSE(CONTROL!$C$32, $C$9, 100%, $E$9)</f>
        <v>7.149</v>
      </c>
      <c r="O416" s="81">
        <f>7.1543 * CHOOSE(CONTROL!$C$32, $C$9, 100%, $E$9)</f>
        <v>7.1543000000000001</v>
      </c>
    </row>
    <row r="417" spans="1:15" ht="15" x14ac:dyDescent="0.2">
      <c r="A417" s="16">
        <v>53905</v>
      </c>
      <c r="B417" s="80">
        <f>6.2577 * CHOOSE(CONTROL!$C$32, $C$9, 100%, $E$9)</f>
        <v>6.2576999999999998</v>
      </c>
      <c r="C417" s="80">
        <f>6.2577 * CHOOSE(CONTROL!$C$32, $C$9, 100%, $E$9)</f>
        <v>6.2576999999999998</v>
      </c>
      <c r="D417" s="80">
        <f>6.2593 * CHOOSE(CONTROL!$C$32, $C$9, 100%, $E$9)</f>
        <v>6.2592999999999996</v>
      </c>
      <c r="E417" s="81">
        <f>7.0166 * CHOOSE(CONTROL!$C$32, $C$9, 100%, $E$9)</f>
        <v>7.0166000000000004</v>
      </c>
      <c r="F417" s="81">
        <f>7.0166 * CHOOSE(CONTROL!$C$32, $C$9, 100%, $E$9)</f>
        <v>7.0166000000000004</v>
      </c>
      <c r="G417" s="81">
        <f>7.0219 * CHOOSE(CONTROL!$C$32, $C$9, 100%, $E$9)</f>
        <v>7.0218999999999996</v>
      </c>
      <c r="H417" s="81">
        <f>13.4572 * CHOOSE(CONTROL!$C$32, $C$9, 100%, $E$9)</f>
        <v>13.4572</v>
      </c>
      <c r="I417" s="81">
        <f>13.4624 * CHOOSE(CONTROL!$C$32, $C$9, 100%, $E$9)</f>
        <v>13.462400000000001</v>
      </c>
      <c r="J417" s="81">
        <f>13.4572 * CHOOSE(CONTROL!$C$32, $C$9, 100%, $E$9)</f>
        <v>13.4572</v>
      </c>
      <c r="K417" s="81">
        <f>13.4624 * CHOOSE(CONTROL!$C$32, $C$9, 100%, $E$9)</f>
        <v>13.462400000000001</v>
      </c>
      <c r="L417" s="81">
        <f>7.0166 * CHOOSE(CONTROL!$C$32, $C$9, 100%, $E$9)</f>
        <v>7.0166000000000004</v>
      </c>
      <c r="M417" s="81">
        <f>7.0219 * CHOOSE(CONTROL!$C$32, $C$9, 100%, $E$9)</f>
        <v>7.0218999999999996</v>
      </c>
      <c r="N417" s="81">
        <f>7.0166 * CHOOSE(CONTROL!$C$32, $C$9, 100%, $E$9)</f>
        <v>7.0166000000000004</v>
      </c>
      <c r="O417" s="81">
        <f>7.0219 * CHOOSE(CONTROL!$C$32, $C$9, 100%, $E$9)</f>
        <v>7.0218999999999996</v>
      </c>
    </row>
    <row r="418" spans="1:15" ht="15" x14ac:dyDescent="0.2">
      <c r="A418" s="16">
        <v>53936</v>
      </c>
      <c r="B418" s="80">
        <f>6.2547 * CHOOSE(CONTROL!$C$32, $C$9, 100%, $E$9)</f>
        <v>6.2546999999999997</v>
      </c>
      <c r="C418" s="80">
        <f>6.2547 * CHOOSE(CONTROL!$C$32, $C$9, 100%, $E$9)</f>
        <v>6.2546999999999997</v>
      </c>
      <c r="D418" s="80">
        <f>6.2562 * CHOOSE(CONTROL!$C$32, $C$9, 100%, $E$9)</f>
        <v>6.2561999999999998</v>
      </c>
      <c r="E418" s="81">
        <f>6.9993 * CHOOSE(CONTROL!$C$32, $C$9, 100%, $E$9)</f>
        <v>6.9992999999999999</v>
      </c>
      <c r="F418" s="81">
        <f>6.9993 * CHOOSE(CONTROL!$C$32, $C$9, 100%, $E$9)</f>
        <v>6.9992999999999999</v>
      </c>
      <c r="G418" s="81">
        <f>7.0045 * CHOOSE(CONTROL!$C$32, $C$9, 100%, $E$9)</f>
        <v>7.0045000000000002</v>
      </c>
      <c r="H418" s="81">
        <f>13.4852 * CHOOSE(CONTROL!$C$32, $C$9, 100%, $E$9)</f>
        <v>13.485200000000001</v>
      </c>
      <c r="I418" s="81">
        <f>13.4905 * CHOOSE(CONTROL!$C$32, $C$9, 100%, $E$9)</f>
        <v>13.490500000000001</v>
      </c>
      <c r="J418" s="81">
        <f>13.4852 * CHOOSE(CONTROL!$C$32, $C$9, 100%, $E$9)</f>
        <v>13.485200000000001</v>
      </c>
      <c r="K418" s="81">
        <f>13.4905 * CHOOSE(CONTROL!$C$32, $C$9, 100%, $E$9)</f>
        <v>13.490500000000001</v>
      </c>
      <c r="L418" s="81">
        <f>6.9993 * CHOOSE(CONTROL!$C$32, $C$9, 100%, $E$9)</f>
        <v>6.9992999999999999</v>
      </c>
      <c r="M418" s="81">
        <f>7.0045 * CHOOSE(CONTROL!$C$32, $C$9, 100%, $E$9)</f>
        <v>7.0045000000000002</v>
      </c>
      <c r="N418" s="81">
        <f>6.9993 * CHOOSE(CONTROL!$C$32, $C$9, 100%, $E$9)</f>
        <v>6.9992999999999999</v>
      </c>
      <c r="O418" s="81">
        <f>7.0045 * CHOOSE(CONTROL!$C$32, $C$9, 100%, $E$9)</f>
        <v>7.0045000000000002</v>
      </c>
    </row>
    <row r="419" spans="1:15" ht="15" x14ac:dyDescent="0.2">
      <c r="A419" s="16">
        <v>53966</v>
      </c>
      <c r="B419" s="80">
        <f>6.2581 * CHOOSE(CONTROL!$C$32, $C$9, 100%, $E$9)</f>
        <v>6.2580999999999998</v>
      </c>
      <c r="C419" s="80">
        <f>6.2581 * CHOOSE(CONTROL!$C$32, $C$9, 100%, $E$9)</f>
        <v>6.2580999999999998</v>
      </c>
      <c r="D419" s="80">
        <f>6.2592 * CHOOSE(CONTROL!$C$32, $C$9, 100%, $E$9)</f>
        <v>6.2591999999999999</v>
      </c>
      <c r="E419" s="81">
        <f>7.0467 * CHOOSE(CONTROL!$C$32, $C$9, 100%, $E$9)</f>
        <v>7.0467000000000004</v>
      </c>
      <c r="F419" s="81">
        <f>7.0467 * CHOOSE(CONTROL!$C$32, $C$9, 100%, $E$9)</f>
        <v>7.0467000000000004</v>
      </c>
      <c r="G419" s="81">
        <f>7.0504 * CHOOSE(CONTROL!$C$32, $C$9, 100%, $E$9)</f>
        <v>7.0503999999999998</v>
      </c>
      <c r="H419" s="81">
        <f>13.5133 * CHOOSE(CONTROL!$C$32, $C$9, 100%, $E$9)</f>
        <v>13.513299999999999</v>
      </c>
      <c r="I419" s="81">
        <f>13.5169 * CHOOSE(CONTROL!$C$32, $C$9, 100%, $E$9)</f>
        <v>13.5169</v>
      </c>
      <c r="J419" s="81">
        <f>13.5133 * CHOOSE(CONTROL!$C$32, $C$9, 100%, $E$9)</f>
        <v>13.513299999999999</v>
      </c>
      <c r="K419" s="81">
        <f>13.5169 * CHOOSE(CONTROL!$C$32, $C$9, 100%, $E$9)</f>
        <v>13.5169</v>
      </c>
      <c r="L419" s="81">
        <f>7.0467 * CHOOSE(CONTROL!$C$32, $C$9, 100%, $E$9)</f>
        <v>7.0467000000000004</v>
      </c>
      <c r="M419" s="81">
        <f>7.0504 * CHOOSE(CONTROL!$C$32, $C$9, 100%, $E$9)</f>
        <v>7.0503999999999998</v>
      </c>
      <c r="N419" s="81">
        <f>7.0467 * CHOOSE(CONTROL!$C$32, $C$9, 100%, $E$9)</f>
        <v>7.0467000000000004</v>
      </c>
      <c r="O419" s="81">
        <f>7.0504 * CHOOSE(CONTROL!$C$32, $C$9, 100%, $E$9)</f>
        <v>7.0503999999999998</v>
      </c>
    </row>
    <row r="420" spans="1:15" ht="15" x14ac:dyDescent="0.2">
      <c r="A420" s="16">
        <v>53997</v>
      </c>
      <c r="B420" s="80">
        <f>6.2611 * CHOOSE(CONTROL!$C$32, $C$9, 100%, $E$9)</f>
        <v>6.2610999999999999</v>
      </c>
      <c r="C420" s="80">
        <f>6.2611 * CHOOSE(CONTROL!$C$32, $C$9, 100%, $E$9)</f>
        <v>6.2610999999999999</v>
      </c>
      <c r="D420" s="80">
        <f>6.2622 * CHOOSE(CONTROL!$C$32, $C$9, 100%, $E$9)</f>
        <v>6.2622</v>
      </c>
      <c r="E420" s="81">
        <f>7.0793 * CHOOSE(CONTROL!$C$32, $C$9, 100%, $E$9)</f>
        <v>7.0792999999999999</v>
      </c>
      <c r="F420" s="81">
        <f>7.0793 * CHOOSE(CONTROL!$C$32, $C$9, 100%, $E$9)</f>
        <v>7.0792999999999999</v>
      </c>
      <c r="G420" s="81">
        <f>7.0829 * CHOOSE(CONTROL!$C$32, $C$9, 100%, $E$9)</f>
        <v>7.0829000000000004</v>
      </c>
      <c r="H420" s="81">
        <f>13.5414 * CHOOSE(CONTROL!$C$32, $C$9, 100%, $E$9)</f>
        <v>13.541399999999999</v>
      </c>
      <c r="I420" s="81">
        <f>13.5451 * CHOOSE(CONTROL!$C$32, $C$9, 100%, $E$9)</f>
        <v>13.5451</v>
      </c>
      <c r="J420" s="81">
        <f>13.5414 * CHOOSE(CONTROL!$C$32, $C$9, 100%, $E$9)</f>
        <v>13.541399999999999</v>
      </c>
      <c r="K420" s="81">
        <f>13.5451 * CHOOSE(CONTROL!$C$32, $C$9, 100%, $E$9)</f>
        <v>13.5451</v>
      </c>
      <c r="L420" s="81">
        <f>7.0793 * CHOOSE(CONTROL!$C$32, $C$9, 100%, $E$9)</f>
        <v>7.0792999999999999</v>
      </c>
      <c r="M420" s="81">
        <f>7.0829 * CHOOSE(CONTROL!$C$32, $C$9, 100%, $E$9)</f>
        <v>7.0829000000000004</v>
      </c>
      <c r="N420" s="81">
        <f>7.0793 * CHOOSE(CONTROL!$C$32, $C$9, 100%, $E$9)</f>
        <v>7.0792999999999999</v>
      </c>
      <c r="O420" s="81">
        <f>7.0829 * CHOOSE(CONTROL!$C$32, $C$9, 100%, $E$9)</f>
        <v>7.0829000000000004</v>
      </c>
    </row>
    <row r="421" spans="1:15" ht="15" x14ac:dyDescent="0.2">
      <c r="A421" s="16">
        <v>54027</v>
      </c>
      <c r="B421" s="80">
        <f>6.2611 * CHOOSE(CONTROL!$C$32, $C$9, 100%, $E$9)</f>
        <v>6.2610999999999999</v>
      </c>
      <c r="C421" s="80">
        <f>6.2611 * CHOOSE(CONTROL!$C$32, $C$9, 100%, $E$9)</f>
        <v>6.2610999999999999</v>
      </c>
      <c r="D421" s="80">
        <f>6.2622 * CHOOSE(CONTROL!$C$32, $C$9, 100%, $E$9)</f>
        <v>6.2622</v>
      </c>
      <c r="E421" s="81">
        <f>7.0032 * CHOOSE(CONTROL!$C$32, $C$9, 100%, $E$9)</f>
        <v>7.0031999999999996</v>
      </c>
      <c r="F421" s="81">
        <f>7.0032 * CHOOSE(CONTROL!$C$32, $C$9, 100%, $E$9)</f>
        <v>7.0031999999999996</v>
      </c>
      <c r="G421" s="81">
        <f>7.0068 * CHOOSE(CONTROL!$C$32, $C$9, 100%, $E$9)</f>
        <v>7.0068000000000001</v>
      </c>
      <c r="H421" s="81">
        <f>13.5696 * CHOOSE(CONTROL!$C$32, $C$9, 100%, $E$9)</f>
        <v>13.569599999999999</v>
      </c>
      <c r="I421" s="81">
        <f>13.5733 * CHOOSE(CONTROL!$C$32, $C$9, 100%, $E$9)</f>
        <v>13.5733</v>
      </c>
      <c r="J421" s="81">
        <f>13.5696 * CHOOSE(CONTROL!$C$32, $C$9, 100%, $E$9)</f>
        <v>13.569599999999999</v>
      </c>
      <c r="K421" s="81">
        <f>13.5733 * CHOOSE(CONTROL!$C$32, $C$9, 100%, $E$9)</f>
        <v>13.5733</v>
      </c>
      <c r="L421" s="81">
        <f>7.0032 * CHOOSE(CONTROL!$C$32, $C$9, 100%, $E$9)</f>
        <v>7.0031999999999996</v>
      </c>
      <c r="M421" s="81">
        <f>7.0068 * CHOOSE(CONTROL!$C$32, $C$9, 100%, $E$9)</f>
        <v>7.0068000000000001</v>
      </c>
      <c r="N421" s="81">
        <f>7.0032 * CHOOSE(CONTROL!$C$32, $C$9, 100%, $E$9)</f>
        <v>7.0031999999999996</v>
      </c>
      <c r="O421" s="81">
        <f>7.0068 * CHOOSE(CONTROL!$C$32, $C$9, 100%, $E$9)</f>
        <v>7.0068000000000001</v>
      </c>
    </row>
    <row r="422" spans="1:15" ht="15" x14ac:dyDescent="0.2">
      <c r="A422" s="16">
        <v>54058</v>
      </c>
      <c r="B422" s="80">
        <f>6.3089 * CHOOSE(CONTROL!$C$32, $C$9, 100%, $E$9)</f>
        <v>6.3089000000000004</v>
      </c>
      <c r="C422" s="80">
        <f>6.3089 * CHOOSE(CONTROL!$C$32, $C$9, 100%, $E$9)</f>
        <v>6.3089000000000004</v>
      </c>
      <c r="D422" s="80">
        <f>6.3099 * CHOOSE(CONTROL!$C$32, $C$9, 100%, $E$9)</f>
        <v>6.3098999999999998</v>
      </c>
      <c r="E422" s="81">
        <f>7.1107 * CHOOSE(CONTROL!$C$32, $C$9, 100%, $E$9)</f>
        <v>7.1106999999999996</v>
      </c>
      <c r="F422" s="81">
        <f>7.1107 * CHOOSE(CONTROL!$C$32, $C$9, 100%, $E$9)</f>
        <v>7.1106999999999996</v>
      </c>
      <c r="G422" s="81">
        <f>7.1143 * CHOOSE(CONTROL!$C$32, $C$9, 100%, $E$9)</f>
        <v>7.1143000000000001</v>
      </c>
      <c r="H422" s="81">
        <f>13.5979 * CHOOSE(CONTROL!$C$32, $C$9, 100%, $E$9)</f>
        <v>13.597899999999999</v>
      </c>
      <c r="I422" s="81">
        <f>13.6015 * CHOOSE(CONTROL!$C$32, $C$9, 100%, $E$9)</f>
        <v>13.6015</v>
      </c>
      <c r="J422" s="81">
        <f>13.5979 * CHOOSE(CONTROL!$C$32, $C$9, 100%, $E$9)</f>
        <v>13.597899999999999</v>
      </c>
      <c r="K422" s="81">
        <f>13.6015 * CHOOSE(CONTROL!$C$32, $C$9, 100%, $E$9)</f>
        <v>13.6015</v>
      </c>
      <c r="L422" s="81">
        <f>7.1107 * CHOOSE(CONTROL!$C$32, $C$9, 100%, $E$9)</f>
        <v>7.1106999999999996</v>
      </c>
      <c r="M422" s="81">
        <f>7.1143 * CHOOSE(CONTROL!$C$32, $C$9, 100%, $E$9)</f>
        <v>7.1143000000000001</v>
      </c>
      <c r="N422" s="81">
        <f>7.1107 * CHOOSE(CONTROL!$C$32, $C$9, 100%, $E$9)</f>
        <v>7.1106999999999996</v>
      </c>
      <c r="O422" s="81">
        <f>7.1143 * CHOOSE(CONTROL!$C$32, $C$9, 100%, $E$9)</f>
        <v>7.1143000000000001</v>
      </c>
    </row>
    <row r="423" spans="1:15" ht="15" x14ac:dyDescent="0.2">
      <c r="A423" s="16">
        <v>54089</v>
      </c>
      <c r="B423" s="80">
        <f>6.3058 * CHOOSE(CONTROL!$C$32, $C$9, 100%, $E$9)</f>
        <v>6.3057999999999996</v>
      </c>
      <c r="C423" s="80">
        <f>6.3058 * CHOOSE(CONTROL!$C$32, $C$9, 100%, $E$9)</f>
        <v>6.3057999999999996</v>
      </c>
      <c r="D423" s="80">
        <f>6.3069 * CHOOSE(CONTROL!$C$32, $C$9, 100%, $E$9)</f>
        <v>6.3068999999999997</v>
      </c>
      <c r="E423" s="81">
        <f>6.96 * CHOOSE(CONTROL!$C$32, $C$9, 100%, $E$9)</f>
        <v>6.96</v>
      </c>
      <c r="F423" s="81">
        <f>6.96 * CHOOSE(CONTROL!$C$32, $C$9, 100%, $E$9)</f>
        <v>6.96</v>
      </c>
      <c r="G423" s="81">
        <f>6.9636 * CHOOSE(CONTROL!$C$32, $C$9, 100%, $E$9)</f>
        <v>6.9635999999999996</v>
      </c>
      <c r="H423" s="81">
        <f>13.6262 * CHOOSE(CONTROL!$C$32, $C$9, 100%, $E$9)</f>
        <v>13.626200000000001</v>
      </c>
      <c r="I423" s="81">
        <f>13.6299 * CHOOSE(CONTROL!$C$32, $C$9, 100%, $E$9)</f>
        <v>13.629899999999999</v>
      </c>
      <c r="J423" s="81">
        <f>13.6262 * CHOOSE(CONTROL!$C$32, $C$9, 100%, $E$9)</f>
        <v>13.626200000000001</v>
      </c>
      <c r="K423" s="81">
        <f>13.6299 * CHOOSE(CONTROL!$C$32, $C$9, 100%, $E$9)</f>
        <v>13.629899999999999</v>
      </c>
      <c r="L423" s="81">
        <f>6.96 * CHOOSE(CONTROL!$C$32, $C$9, 100%, $E$9)</f>
        <v>6.96</v>
      </c>
      <c r="M423" s="81">
        <f>6.9636 * CHOOSE(CONTROL!$C$32, $C$9, 100%, $E$9)</f>
        <v>6.9635999999999996</v>
      </c>
      <c r="N423" s="81">
        <f>6.96 * CHOOSE(CONTROL!$C$32, $C$9, 100%, $E$9)</f>
        <v>6.96</v>
      </c>
      <c r="O423" s="81">
        <f>6.9636 * CHOOSE(CONTROL!$C$32, $C$9, 100%, $E$9)</f>
        <v>6.9635999999999996</v>
      </c>
    </row>
    <row r="424" spans="1:15" ht="15" x14ac:dyDescent="0.2">
      <c r="A424" s="16">
        <v>54118</v>
      </c>
      <c r="B424" s="80">
        <f>6.3028 * CHOOSE(CONTROL!$C$32, $C$9, 100%, $E$9)</f>
        <v>6.3028000000000004</v>
      </c>
      <c r="C424" s="80">
        <f>6.3028 * CHOOSE(CONTROL!$C$32, $C$9, 100%, $E$9)</f>
        <v>6.3028000000000004</v>
      </c>
      <c r="D424" s="80">
        <f>6.3038 * CHOOSE(CONTROL!$C$32, $C$9, 100%, $E$9)</f>
        <v>6.3037999999999998</v>
      </c>
      <c r="E424" s="81">
        <f>7.075 * CHOOSE(CONTROL!$C$32, $C$9, 100%, $E$9)</f>
        <v>7.0750000000000002</v>
      </c>
      <c r="F424" s="81">
        <f>7.075 * CHOOSE(CONTROL!$C$32, $C$9, 100%, $E$9)</f>
        <v>7.0750000000000002</v>
      </c>
      <c r="G424" s="81">
        <f>7.0786 * CHOOSE(CONTROL!$C$32, $C$9, 100%, $E$9)</f>
        <v>7.0785999999999998</v>
      </c>
      <c r="H424" s="81">
        <f>13.6546 * CHOOSE(CONTROL!$C$32, $C$9, 100%, $E$9)</f>
        <v>13.6546</v>
      </c>
      <c r="I424" s="81">
        <f>13.6583 * CHOOSE(CONTROL!$C$32, $C$9, 100%, $E$9)</f>
        <v>13.658300000000001</v>
      </c>
      <c r="J424" s="81">
        <f>13.6546 * CHOOSE(CONTROL!$C$32, $C$9, 100%, $E$9)</f>
        <v>13.6546</v>
      </c>
      <c r="K424" s="81">
        <f>13.6583 * CHOOSE(CONTROL!$C$32, $C$9, 100%, $E$9)</f>
        <v>13.658300000000001</v>
      </c>
      <c r="L424" s="81">
        <f>7.075 * CHOOSE(CONTROL!$C$32, $C$9, 100%, $E$9)</f>
        <v>7.0750000000000002</v>
      </c>
      <c r="M424" s="81">
        <f>7.0786 * CHOOSE(CONTROL!$C$32, $C$9, 100%, $E$9)</f>
        <v>7.0785999999999998</v>
      </c>
      <c r="N424" s="81">
        <f>7.075 * CHOOSE(CONTROL!$C$32, $C$9, 100%, $E$9)</f>
        <v>7.0750000000000002</v>
      </c>
      <c r="O424" s="81">
        <f>7.0786 * CHOOSE(CONTROL!$C$32, $C$9, 100%, $E$9)</f>
        <v>7.0785999999999998</v>
      </c>
    </row>
    <row r="425" spans="1:15" ht="15" x14ac:dyDescent="0.2">
      <c r="A425" s="16">
        <v>54149</v>
      </c>
      <c r="B425" s="80">
        <f>6.3027 * CHOOSE(CONTROL!$C$32, $C$9, 100%, $E$9)</f>
        <v>6.3026999999999997</v>
      </c>
      <c r="C425" s="80">
        <f>6.3027 * CHOOSE(CONTROL!$C$32, $C$9, 100%, $E$9)</f>
        <v>6.3026999999999997</v>
      </c>
      <c r="D425" s="80">
        <f>6.3037 * CHOOSE(CONTROL!$C$32, $C$9, 100%, $E$9)</f>
        <v>6.3037000000000001</v>
      </c>
      <c r="E425" s="81">
        <f>7.1965 * CHOOSE(CONTROL!$C$32, $C$9, 100%, $E$9)</f>
        <v>7.1965000000000003</v>
      </c>
      <c r="F425" s="81">
        <f>7.1965 * CHOOSE(CONTROL!$C$32, $C$9, 100%, $E$9)</f>
        <v>7.1965000000000003</v>
      </c>
      <c r="G425" s="81">
        <f>7.2001 * CHOOSE(CONTROL!$C$32, $C$9, 100%, $E$9)</f>
        <v>7.2000999999999999</v>
      </c>
      <c r="H425" s="81">
        <f>13.6831 * CHOOSE(CONTROL!$C$32, $C$9, 100%, $E$9)</f>
        <v>13.6831</v>
      </c>
      <c r="I425" s="81">
        <f>13.6867 * CHOOSE(CONTROL!$C$32, $C$9, 100%, $E$9)</f>
        <v>13.6867</v>
      </c>
      <c r="J425" s="81">
        <f>13.6831 * CHOOSE(CONTROL!$C$32, $C$9, 100%, $E$9)</f>
        <v>13.6831</v>
      </c>
      <c r="K425" s="81">
        <f>13.6867 * CHOOSE(CONTROL!$C$32, $C$9, 100%, $E$9)</f>
        <v>13.6867</v>
      </c>
      <c r="L425" s="81">
        <f>7.1965 * CHOOSE(CONTROL!$C$32, $C$9, 100%, $E$9)</f>
        <v>7.1965000000000003</v>
      </c>
      <c r="M425" s="81">
        <f>7.2001 * CHOOSE(CONTROL!$C$32, $C$9, 100%, $E$9)</f>
        <v>7.2000999999999999</v>
      </c>
      <c r="N425" s="81">
        <f>7.1965 * CHOOSE(CONTROL!$C$32, $C$9, 100%, $E$9)</f>
        <v>7.1965000000000003</v>
      </c>
      <c r="O425" s="81">
        <f>7.2001 * CHOOSE(CONTROL!$C$32, $C$9, 100%, $E$9)</f>
        <v>7.2000999999999999</v>
      </c>
    </row>
    <row r="426" spans="1:15" ht="15" x14ac:dyDescent="0.2">
      <c r="A426" s="16">
        <v>54179</v>
      </c>
      <c r="B426" s="80">
        <f>6.3027 * CHOOSE(CONTROL!$C$32, $C$9, 100%, $E$9)</f>
        <v>6.3026999999999997</v>
      </c>
      <c r="C426" s="80">
        <f>6.3027 * CHOOSE(CONTROL!$C$32, $C$9, 100%, $E$9)</f>
        <v>6.3026999999999997</v>
      </c>
      <c r="D426" s="80">
        <f>6.3042 * CHOOSE(CONTROL!$C$32, $C$9, 100%, $E$9)</f>
        <v>6.3041999999999998</v>
      </c>
      <c r="E426" s="81">
        <f>7.2437 * CHOOSE(CONTROL!$C$32, $C$9, 100%, $E$9)</f>
        <v>7.2436999999999996</v>
      </c>
      <c r="F426" s="81">
        <f>7.2437 * CHOOSE(CONTROL!$C$32, $C$9, 100%, $E$9)</f>
        <v>7.2436999999999996</v>
      </c>
      <c r="G426" s="81">
        <f>7.249 * CHOOSE(CONTROL!$C$32, $C$9, 100%, $E$9)</f>
        <v>7.2489999999999997</v>
      </c>
      <c r="H426" s="81">
        <f>13.7116 * CHOOSE(CONTROL!$C$32, $C$9, 100%, $E$9)</f>
        <v>13.711600000000001</v>
      </c>
      <c r="I426" s="81">
        <f>13.7169 * CHOOSE(CONTROL!$C$32, $C$9, 100%, $E$9)</f>
        <v>13.716900000000001</v>
      </c>
      <c r="J426" s="81">
        <f>13.7116 * CHOOSE(CONTROL!$C$32, $C$9, 100%, $E$9)</f>
        <v>13.711600000000001</v>
      </c>
      <c r="K426" s="81">
        <f>13.7169 * CHOOSE(CONTROL!$C$32, $C$9, 100%, $E$9)</f>
        <v>13.716900000000001</v>
      </c>
      <c r="L426" s="81">
        <f>7.2437 * CHOOSE(CONTROL!$C$32, $C$9, 100%, $E$9)</f>
        <v>7.2436999999999996</v>
      </c>
      <c r="M426" s="81">
        <f>7.249 * CHOOSE(CONTROL!$C$32, $C$9, 100%, $E$9)</f>
        <v>7.2489999999999997</v>
      </c>
      <c r="N426" s="81">
        <f>7.2437 * CHOOSE(CONTROL!$C$32, $C$9, 100%, $E$9)</f>
        <v>7.2436999999999996</v>
      </c>
      <c r="O426" s="81">
        <f>7.249 * CHOOSE(CONTROL!$C$32, $C$9, 100%, $E$9)</f>
        <v>7.2489999999999997</v>
      </c>
    </row>
    <row r="427" spans="1:15" ht="15" x14ac:dyDescent="0.2">
      <c r="A427" s="16">
        <v>54210</v>
      </c>
      <c r="B427" s="80">
        <f>6.3087 * CHOOSE(CONTROL!$C$32, $C$9, 100%, $E$9)</f>
        <v>6.3087</v>
      </c>
      <c r="C427" s="80">
        <f>6.3087 * CHOOSE(CONTROL!$C$32, $C$9, 100%, $E$9)</f>
        <v>6.3087</v>
      </c>
      <c r="D427" s="80">
        <f>6.3103 * CHOOSE(CONTROL!$C$32, $C$9, 100%, $E$9)</f>
        <v>6.3102999999999998</v>
      </c>
      <c r="E427" s="81">
        <f>7.2008 * CHOOSE(CONTROL!$C$32, $C$9, 100%, $E$9)</f>
        <v>7.2008000000000001</v>
      </c>
      <c r="F427" s="81">
        <f>7.2008 * CHOOSE(CONTROL!$C$32, $C$9, 100%, $E$9)</f>
        <v>7.2008000000000001</v>
      </c>
      <c r="G427" s="81">
        <f>7.206 * CHOOSE(CONTROL!$C$32, $C$9, 100%, $E$9)</f>
        <v>7.2060000000000004</v>
      </c>
      <c r="H427" s="81">
        <f>13.7402 * CHOOSE(CONTROL!$C$32, $C$9, 100%, $E$9)</f>
        <v>13.7402</v>
      </c>
      <c r="I427" s="81">
        <f>13.7454 * CHOOSE(CONTROL!$C$32, $C$9, 100%, $E$9)</f>
        <v>13.7454</v>
      </c>
      <c r="J427" s="81">
        <f>13.7402 * CHOOSE(CONTROL!$C$32, $C$9, 100%, $E$9)</f>
        <v>13.7402</v>
      </c>
      <c r="K427" s="81">
        <f>13.7454 * CHOOSE(CONTROL!$C$32, $C$9, 100%, $E$9)</f>
        <v>13.7454</v>
      </c>
      <c r="L427" s="81">
        <f>7.2008 * CHOOSE(CONTROL!$C$32, $C$9, 100%, $E$9)</f>
        <v>7.2008000000000001</v>
      </c>
      <c r="M427" s="81">
        <f>7.206 * CHOOSE(CONTROL!$C$32, $C$9, 100%, $E$9)</f>
        <v>7.2060000000000004</v>
      </c>
      <c r="N427" s="81">
        <f>7.2008 * CHOOSE(CONTROL!$C$32, $C$9, 100%, $E$9)</f>
        <v>7.2008000000000001</v>
      </c>
      <c r="O427" s="81">
        <f>7.206 * CHOOSE(CONTROL!$C$32, $C$9, 100%, $E$9)</f>
        <v>7.2060000000000004</v>
      </c>
    </row>
    <row r="428" spans="1:15" ht="15" x14ac:dyDescent="0.2">
      <c r="A428" s="16">
        <v>54240</v>
      </c>
      <c r="B428" s="80">
        <f>6.3926 * CHOOSE(CONTROL!$C$32, $C$9, 100%, $E$9)</f>
        <v>6.3925999999999998</v>
      </c>
      <c r="C428" s="80">
        <f>6.3926 * CHOOSE(CONTROL!$C$32, $C$9, 100%, $E$9)</f>
        <v>6.3925999999999998</v>
      </c>
      <c r="D428" s="80">
        <f>6.3942 * CHOOSE(CONTROL!$C$32, $C$9, 100%, $E$9)</f>
        <v>6.3941999999999997</v>
      </c>
      <c r="E428" s="81">
        <f>7.2866 * CHOOSE(CONTROL!$C$32, $C$9, 100%, $E$9)</f>
        <v>7.2866</v>
      </c>
      <c r="F428" s="81">
        <f>7.2866 * CHOOSE(CONTROL!$C$32, $C$9, 100%, $E$9)</f>
        <v>7.2866</v>
      </c>
      <c r="G428" s="81">
        <f>7.2919 * CHOOSE(CONTROL!$C$32, $C$9, 100%, $E$9)</f>
        <v>7.2919</v>
      </c>
      <c r="H428" s="81">
        <f>13.7688 * CHOOSE(CONTROL!$C$32, $C$9, 100%, $E$9)</f>
        <v>13.768800000000001</v>
      </c>
      <c r="I428" s="81">
        <f>13.7741 * CHOOSE(CONTROL!$C$32, $C$9, 100%, $E$9)</f>
        <v>13.774100000000001</v>
      </c>
      <c r="J428" s="81">
        <f>13.7688 * CHOOSE(CONTROL!$C$32, $C$9, 100%, $E$9)</f>
        <v>13.768800000000001</v>
      </c>
      <c r="K428" s="81">
        <f>13.7741 * CHOOSE(CONTROL!$C$32, $C$9, 100%, $E$9)</f>
        <v>13.774100000000001</v>
      </c>
      <c r="L428" s="81">
        <f>7.2866 * CHOOSE(CONTROL!$C$32, $C$9, 100%, $E$9)</f>
        <v>7.2866</v>
      </c>
      <c r="M428" s="81">
        <f>7.2919 * CHOOSE(CONTROL!$C$32, $C$9, 100%, $E$9)</f>
        <v>7.2919</v>
      </c>
      <c r="N428" s="81">
        <f>7.2866 * CHOOSE(CONTROL!$C$32, $C$9, 100%, $E$9)</f>
        <v>7.2866</v>
      </c>
      <c r="O428" s="81">
        <f>7.2919 * CHOOSE(CONTROL!$C$32, $C$9, 100%, $E$9)</f>
        <v>7.2919</v>
      </c>
    </row>
    <row r="429" spans="1:15" ht="15" x14ac:dyDescent="0.2">
      <c r="A429" s="16">
        <v>54271</v>
      </c>
      <c r="B429" s="80">
        <f>6.3993 * CHOOSE(CONTROL!$C$32, $C$9, 100%, $E$9)</f>
        <v>6.3993000000000002</v>
      </c>
      <c r="C429" s="80">
        <f>6.3993 * CHOOSE(CONTROL!$C$32, $C$9, 100%, $E$9)</f>
        <v>6.3993000000000002</v>
      </c>
      <c r="D429" s="80">
        <f>6.4009 * CHOOSE(CONTROL!$C$32, $C$9, 100%, $E$9)</f>
        <v>6.4009</v>
      </c>
      <c r="E429" s="81">
        <f>7.1497 * CHOOSE(CONTROL!$C$32, $C$9, 100%, $E$9)</f>
        <v>7.1497000000000002</v>
      </c>
      <c r="F429" s="81">
        <f>7.1497 * CHOOSE(CONTROL!$C$32, $C$9, 100%, $E$9)</f>
        <v>7.1497000000000002</v>
      </c>
      <c r="G429" s="81">
        <f>7.155 * CHOOSE(CONTROL!$C$32, $C$9, 100%, $E$9)</f>
        <v>7.1550000000000002</v>
      </c>
      <c r="H429" s="81">
        <f>13.7975 * CHOOSE(CONTROL!$C$32, $C$9, 100%, $E$9)</f>
        <v>13.797499999999999</v>
      </c>
      <c r="I429" s="81">
        <f>13.8028 * CHOOSE(CONTROL!$C$32, $C$9, 100%, $E$9)</f>
        <v>13.8028</v>
      </c>
      <c r="J429" s="81">
        <f>13.7975 * CHOOSE(CONTROL!$C$32, $C$9, 100%, $E$9)</f>
        <v>13.797499999999999</v>
      </c>
      <c r="K429" s="81">
        <f>13.8028 * CHOOSE(CONTROL!$C$32, $C$9, 100%, $E$9)</f>
        <v>13.8028</v>
      </c>
      <c r="L429" s="81">
        <f>7.1497 * CHOOSE(CONTROL!$C$32, $C$9, 100%, $E$9)</f>
        <v>7.1497000000000002</v>
      </c>
      <c r="M429" s="81">
        <f>7.155 * CHOOSE(CONTROL!$C$32, $C$9, 100%, $E$9)</f>
        <v>7.1550000000000002</v>
      </c>
      <c r="N429" s="81">
        <f>7.1497 * CHOOSE(CONTROL!$C$32, $C$9, 100%, $E$9)</f>
        <v>7.1497000000000002</v>
      </c>
      <c r="O429" s="81">
        <f>7.155 * CHOOSE(CONTROL!$C$32, $C$9, 100%, $E$9)</f>
        <v>7.1550000000000002</v>
      </c>
    </row>
    <row r="430" spans="1:15" ht="15" x14ac:dyDescent="0.2">
      <c r="A430" s="16">
        <v>54302</v>
      </c>
      <c r="B430" s="80">
        <f>6.3963 * CHOOSE(CONTROL!$C$32, $C$9, 100%, $E$9)</f>
        <v>6.3963000000000001</v>
      </c>
      <c r="C430" s="80">
        <f>6.3963 * CHOOSE(CONTROL!$C$32, $C$9, 100%, $E$9)</f>
        <v>6.3963000000000001</v>
      </c>
      <c r="D430" s="80">
        <f>6.3978 * CHOOSE(CONTROL!$C$32, $C$9, 100%, $E$9)</f>
        <v>6.3978000000000002</v>
      </c>
      <c r="E430" s="81">
        <f>7.1319 * CHOOSE(CONTROL!$C$32, $C$9, 100%, $E$9)</f>
        <v>7.1318999999999999</v>
      </c>
      <c r="F430" s="81">
        <f>7.1319 * CHOOSE(CONTROL!$C$32, $C$9, 100%, $E$9)</f>
        <v>7.1318999999999999</v>
      </c>
      <c r="G430" s="81">
        <f>7.1372 * CHOOSE(CONTROL!$C$32, $C$9, 100%, $E$9)</f>
        <v>7.1372</v>
      </c>
      <c r="H430" s="81">
        <f>13.8262 * CHOOSE(CONTROL!$C$32, $C$9, 100%, $E$9)</f>
        <v>13.8262</v>
      </c>
      <c r="I430" s="81">
        <f>13.8315 * CHOOSE(CONTROL!$C$32, $C$9, 100%, $E$9)</f>
        <v>13.8315</v>
      </c>
      <c r="J430" s="81">
        <f>13.8262 * CHOOSE(CONTROL!$C$32, $C$9, 100%, $E$9)</f>
        <v>13.8262</v>
      </c>
      <c r="K430" s="81">
        <f>13.8315 * CHOOSE(CONTROL!$C$32, $C$9, 100%, $E$9)</f>
        <v>13.8315</v>
      </c>
      <c r="L430" s="81">
        <f>7.1319 * CHOOSE(CONTROL!$C$32, $C$9, 100%, $E$9)</f>
        <v>7.1318999999999999</v>
      </c>
      <c r="M430" s="81">
        <f>7.1372 * CHOOSE(CONTROL!$C$32, $C$9, 100%, $E$9)</f>
        <v>7.1372</v>
      </c>
      <c r="N430" s="81">
        <f>7.1319 * CHOOSE(CONTROL!$C$32, $C$9, 100%, $E$9)</f>
        <v>7.1318999999999999</v>
      </c>
      <c r="O430" s="81">
        <f>7.1372 * CHOOSE(CONTROL!$C$32, $C$9, 100%, $E$9)</f>
        <v>7.1372</v>
      </c>
    </row>
    <row r="431" spans="1:15" ht="15" x14ac:dyDescent="0.2">
      <c r="A431" s="16">
        <v>54332</v>
      </c>
      <c r="B431" s="80">
        <f>6.4002 * CHOOSE(CONTROL!$C$32, $C$9, 100%, $E$9)</f>
        <v>6.4001999999999999</v>
      </c>
      <c r="C431" s="80">
        <f>6.4002 * CHOOSE(CONTROL!$C$32, $C$9, 100%, $E$9)</f>
        <v>6.4001999999999999</v>
      </c>
      <c r="D431" s="80">
        <f>6.4013 * CHOOSE(CONTROL!$C$32, $C$9, 100%, $E$9)</f>
        <v>6.4013</v>
      </c>
      <c r="E431" s="81">
        <f>7.1814 * CHOOSE(CONTROL!$C$32, $C$9, 100%, $E$9)</f>
        <v>7.1814</v>
      </c>
      <c r="F431" s="81">
        <f>7.1814 * CHOOSE(CONTROL!$C$32, $C$9, 100%, $E$9)</f>
        <v>7.1814</v>
      </c>
      <c r="G431" s="81">
        <f>7.185 * CHOOSE(CONTROL!$C$32, $C$9, 100%, $E$9)</f>
        <v>7.1849999999999996</v>
      </c>
      <c r="H431" s="81">
        <f>13.855 * CHOOSE(CONTROL!$C$32, $C$9, 100%, $E$9)</f>
        <v>13.855</v>
      </c>
      <c r="I431" s="81">
        <f>13.8586 * CHOOSE(CONTROL!$C$32, $C$9, 100%, $E$9)</f>
        <v>13.858599999999999</v>
      </c>
      <c r="J431" s="81">
        <f>13.855 * CHOOSE(CONTROL!$C$32, $C$9, 100%, $E$9)</f>
        <v>13.855</v>
      </c>
      <c r="K431" s="81">
        <f>13.8586 * CHOOSE(CONTROL!$C$32, $C$9, 100%, $E$9)</f>
        <v>13.858599999999999</v>
      </c>
      <c r="L431" s="81">
        <f>7.1814 * CHOOSE(CONTROL!$C$32, $C$9, 100%, $E$9)</f>
        <v>7.1814</v>
      </c>
      <c r="M431" s="81">
        <f>7.185 * CHOOSE(CONTROL!$C$32, $C$9, 100%, $E$9)</f>
        <v>7.1849999999999996</v>
      </c>
      <c r="N431" s="81">
        <f>7.1814 * CHOOSE(CONTROL!$C$32, $C$9, 100%, $E$9)</f>
        <v>7.1814</v>
      </c>
      <c r="O431" s="81">
        <f>7.185 * CHOOSE(CONTROL!$C$32, $C$9, 100%, $E$9)</f>
        <v>7.1849999999999996</v>
      </c>
    </row>
    <row r="432" spans="1:15" ht="15" x14ac:dyDescent="0.2">
      <c r="A432" s="16">
        <v>54363</v>
      </c>
      <c r="B432" s="80">
        <f>6.4033 * CHOOSE(CONTROL!$C$32, $C$9, 100%, $E$9)</f>
        <v>6.4032999999999998</v>
      </c>
      <c r="C432" s="80">
        <f>6.4033 * CHOOSE(CONTROL!$C$32, $C$9, 100%, $E$9)</f>
        <v>6.4032999999999998</v>
      </c>
      <c r="D432" s="80">
        <f>6.4043 * CHOOSE(CONTROL!$C$32, $C$9, 100%, $E$9)</f>
        <v>6.4043000000000001</v>
      </c>
      <c r="E432" s="81">
        <f>7.2149 * CHOOSE(CONTROL!$C$32, $C$9, 100%, $E$9)</f>
        <v>7.2149000000000001</v>
      </c>
      <c r="F432" s="81">
        <f>7.2149 * CHOOSE(CONTROL!$C$32, $C$9, 100%, $E$9)</f>
        <v>7.2149000000000001</v>
      </c>
      <c r="G432" s="81">
        <f>7.2185 * CHOOSE(CONTROL!$C$32, $C$9, 100%, $E$9)</f>
        <v>7.2184999999999997</v>
      </c>
      <c r="H432" s="81">
        <f>13.8839 * CHOOSE(CONTROL!$C$32, $C$9, 100%, $E$9)</f>
        <v>13.883900000000001</v>
      </c>
      <c r="I432" s="81">
        <f>13.8875 * CHOOSE(CONTROL!$C$32, $C$9, 100%, $E$9)</f>
        <v>13.887499999999999</v>
      </c>
      <c r="J432" s="81">
        <f>13.8839 * CHOOSE(CONTROL!$C$32, $C$9, 100%, $E$9)</f>
        <v>13.883900000000001</v>
      </c>
      <c r="K432" s="81">
        <f>13.8875 * CHOOSE(CONTROL!$C$32, $C$9, 100%, $E$9)</f>
        <v>13.887499999999999</v>
      </c>
      <c r="L432" s="81">
        <f>7.2149 * CHOOSE(CONTROL!$C$32, $C$9, 100%, $E$9)</f>
        <v>7.2149000000000001</v>
      </c>
      <c r="M432" s="81">
        <f>7.2185 * CHOOSE(CONTROL!$C$32, $C$9, 100%, $E$9)</f>
        <v>7.2184999999999997</v>
      </c>
      <c r="N432" s="81">
        <f>7.2149 * CHOOSE(CONTROL!$C$32, $C$9, 100%, $E$9)</f>
        <v>7.2149000000000001</v>
      </c>
      <c r="O432" s="81">
        <f>7.2185 * CHOOSE(CONTROL!$C$32, $C$9, 100%, $E$9)</f>
        <v>7.2184999999999997</v>
      </c>
    </row>
    <row r="433" spans="1:15" ht="15" x14ac:dyDescent="0.2">
      <c r="A433" s="16">
        <v>54393</v>
      </c>
      <c r="B433" s="80">
        <f>6.4033 * CHOOSE(CONTROL!$C$32, $C$9, 100%, $E$9)</f>
        <v>6.4032999999999998</v>
      </c>
      <c r="C433" s="80">
        <f>6.4033 * CHOOSE(CONTROL!$C$32, $C$9, 100%, $E$9)</f>
        <v>6.4032999999999998</v>
      </c>
      <c r="D433" s="80">
        <f>6.4043 * CHOOSE(CONTROL!$C$32, $C$9, 100%, $E$9)</f>
        <v>6.4043000000000001</v>
      </c>
      <c r="E433" s="81">
        <f>7.1363 * CHOOSE(CONTROL!$C$32, $C$9, 100%, $E$9)</f>
        <v>7.1363000000000003</v>
      </c>
      <c r="F433" s="81">
        <f>7.1363 * CHOOSE(CONTROL!$C$32, $C$9, 100%, $E$9)</f>
        <v>7.1363000000000003</v>
      </c>
      <c r="G433" s="81">
        <f>7.1399 * CHOOSE(CONTROL!$C$32, $C$9, 100%, $E$9)</f>
        <v>7.1398999999999999</v>
      </c>
      <c r="H433" s="81">
        <f>13.9128 * CHOOSE(CONTROL!$C$32, $C$9, 100%, $E$9)</f>
        <v>13.912800000000001</v>
      </c>
      <c r="I433" s="81">
        <f>13.9164 * CHOOSE(CONTROL!$C$32, $C$9, 100%, $E$9)</f>
        <v>13.916399999999999</v>
      </c>
      <c r="J433" s="81">
        <f>13.9128 * CHOOSE(CONTROL!$C$32, $C$9, 100%, $E$9)</f>
        <v>13.912800000000001</v>
      </c>
      <c r="K433" s="81">
        <f>13.9164 * CHOOSE(CONTROL!$C$32, $C$9, 100%, $E$9)</f>
        <v>13.916399999999999</v>
      </c>
      <c r="L433" s="81">
        <f>7.1363 * CHOOSE(CONTROL!$C$32, $C$9, 100%, $E$9)</f>
        <v>7.1363000000000003</v>
      </c>
      <c r="M433" s="81">
        <f>7.1399 * CHOOSE(CONTROL!$C$32, $C$9, 100%, $E$9)</f>
        <v>7.1398999999999999</v>
      </c>
      <c r="N433" s="81">
        <f>7.1363 * CHOOSE(CONTROL!$C$32, $C$9, 100%, $E$9)</f>
        <v>7.1363000000000003</v>
      </c>
      <c r="O433" s="81">
        <f>7.1399 * CHOOSE(CONTROL!$C$32, $C$9, 100%, $E$9)</f>
        <v>7.1398999999999999</v>
      </c>
    </row>
    <row r="434" spans="1:15" ht="15" x14ac:dyDescent="0.2">
      <c r="A434" s="16">
        <v>54424</v>
      </c>
      <c r="B434" s="80">
        <f>6.4519 * CHOOSE(CONTROL!$C$32, $C$9, 100%, $E$9)</f>
        <v>6.4519000000000002</v>
      </c>
      <c r="C434" s="80">
        <f>6.4519 * CHOOSE(CONTROL!$C$32, $C$9, 100%, $E$9)</f>
        <v>6.4519000000000002</v>
      </c>
      <c r="D434" s="80">
        <f>6.453 * CHOOSE(CONTROL!$C$32, $C$9, 100%, $E$9)</f>
        <v>6.4530000000000003</v>
      </c>
      <c r="E434" s="81">
        <f>7.2513 * CHOOSE(CONTROL!$C$32, $C$9, 100%, $E$9)</f>
        <v>7.2512999999999996</v>
      </c>
      <c r="F434" s="81">
        <f>7.2513 * CHOOSE(CONTROL!$C$32, $C$9, 100%, $E$9)</f>
        <v>7.2512999999999996</v>
      </c>
      <c r="G434" s="81">
        <f>7.2549 * CHOOSE(CONTROL!$C$32, $C$9, 100%, $E$9)</f>
        <v>7.2549000000000001</v>
      </c>
      <c r="H434" s="81">
        <f>13.9418 * CHOOSE(CONTROL!$C$32, $C$9, 100%, $E$9)</f>
        <v>13.941800000000001</v>
      </c>
      <c r="I434" s="81">
        <f>13.9454 * CHOOSE(CONTROL!$C$32, $C$9, 100%, $E$9)</f>
        <v>13.945399999999999</v>
      </c>
      <c r="J434" s="81">
        <f>13.9418 * CHOOSE(CONTROL!$C$32, $C$9, 100%, $E$9)</f>
        <v>13.941800000000001</v>
      </c>
      <c r="K434" s="81">
        <f>13.9454 * CHOOSE(CONTROL!$C$32, $C$9, 100%, $E$9)</f>
        <v>13.945399999999999</v>
      </c>
      <c r="L434" s="81">
        <f>7.2513 * CHOOSE(CONTROL!$C$32, $C$9, 100%, $E$9)</f>
        <v>7.2512999999999996</v>
      </c>
      <c r="M434" s="81">
        <f>7.2549 * CHOOSE(CONTROL!$C$32, $C$9, 100%, $E$9)</f>
        <v>7.2549000000000001</v>
      </c>
      <c r="N434" s="81">
        <f>7.2513 * CHOOSE(CONTROL!$C$32, $C$9, 100%, $E$9)</f>
        <v>7.2512999999999996</v>
      </c>
      <c r="O434" s="81">
        <f>7.2549 * CHOOSE(CONTROL!$C$32, $C$9, 100%, $E$9)</f>
        <v>7.2549000000000001</v>
      </c>
    </row>
    <row r="435" spans="1:15" ht="15" x14ac:dyDescent="0.2">
      <c r="A435" s="16">
        <v>54455</v>
      </c>
      <c r="B435" s="80">
        <f>6.4489 * CHOOSE(CONTROL!$C$32, $C$9, 100%, $E$9)</f>
        <v>6.4489000000000001</v>
      </c>
      <c r="C435" s="80">
        <f>6.4489 * CHOOSE(CONTROL!$C$32, $C$9, 100%, $E$9)</f>
        <v>6.4489000000000001</v>
      </c>
      <c r="D435" s="80">
        <f>6.45 * CHOOSE(CONTROL!$C$32, $C$9, 100%, $E$9)</f>
        <v>6.45</v>
      </c>
      <c r="E435" s="81">
        <f>7.0958 * CHOOSE(CONTROL!$C$32, $C$9, 100%, $E$9)</f>
        <v>7.0957999999999997</v>
      </c>
      <c r="F435" s="81">
        <f>7.0958 * CHOOSE(CONTROL!$C$32, $C$9, 100%, $E$9)</f>
        <v>7.0957999999999997</v>
      </c>
      <c r="G435" s="81">
        <f>7.0994 * CHOOSE(CONTROL!$C$32, $C$9, 100%, $E$9)</f>
        <v>7.0994000000000002</v>
      </c>
      <c r="H435" s="81">
        <f>13.9708 * CHOOSE(CONTROL!$C$32, $C$9, 100%, $E$9)</f>
        <v>13.970800000000001</v>
      </c>
      <c r="I435" s="81">
        <f>13.9744 * CHOOSE(CONTROL!$C$32, $C$9, 100%, $E$9)</f>
        <v>13.974399999999999</v>
      </c>
      <c r="J435" s="81">
        <f>13.9708 * CHOOSE(CONTROL!$C$32, $C$9, 100%, $E$9)</f>
        <v>13.970800000000001</v>
      </c>
      <c r="K435" s="81">
        <f>13.9744 * CHOOSE(CONTROL!$C$32, $C$9, 100%, $E$9)</f>
        <v>13.974399999999999</v>
      </c>
      <c r="L435" s="81">
        <f>7.0958 * CHOOSE(CONTROL!$C$32, $C$9, 100%, $E$9)</f>
        <v>7.0957999999999997</v>
      </c>
      <c r="M435" s="81">
        <f>7.0994 * CHOOSE(CONTROL!$C$32, $C$9, 100%, $E$9)</f>
        <v>7.0994000000000002</v>
      </c>
      <c r="N435" s="81">
        <f>7.0958 * CHOOSE(CONTROL!$C$32, $C$9, 100%, $E$9)</f>
        <v>7.0957999999999997</v>
      </c>
      <c r="O435" s="81">
        <f>7.0994 * CHOOSE(CONTROL!$C$32, $C$9, 100%, $E$9)</f>
        <v>7.0994000000000002</v>
      </c>
    </row>
    <row r="436" spans="1:15" ht="15" x14ac:dyDescent="0.2">
      <c r="A436" s="16">
        <v>54483</v>
      </c>
      <c r="B436" s="80">
        <f>6.4459 * CHOOSE(CONTROL!$C$32, $C$9, 100%, $E$9)</f>
        <v>6.4459</v>
      </c>
      <c r="C436" s="80">
        <f>6.4459 * CHOOSE(CONTROL!$C$32, $C$9, 100%, $E$9)</f>
        <v>6.4459</v>
      </c>
      <c r="D436" s="80">
        <f>6.4469 * CHOOSE(CONTROL!$C$32, $C$9, 100%, $E$9)</f>
        <v>6.4469000000000003</v>
      </c>
      <c r="E436" s="81">
        <f>7.2146 * CHOOSE(CONTROL!$C$32, $C$9, 100%, $E$9)</f>
        <v>7.2145999999999999</v>
      </c>
      <c r="F436" s="81">
        <f>7.2146 * CHOOSE(CONTROL!$C$32, $C$9, 100%, $E$9)</f>
        <v>7.2145999999999999</v>
      </c>
      <c r="G436" s="81">
        <f>7.2182 * CHOOSE(CONTROL!$C$32, $C$9, 100%, $E$9)</f>
        <v>7.2182000000000004</v>
      </c>
      <c r="H436" s="81">
        <f>13.9999 * CHOOSE(CONTROL!$C$32, $C$9, 100%, $E$9)</f>
        <v>13.9999</v>
      </c>
      <c r="I436" s="81">
        <f>14.0036 * CHOOSE(CONTROL!$C$32, $C$9, 100%, $E$9)</f>
        <v>14.0036</v>
      </c>
      <c r="J436" s="81">
        <f>13.9999 * CHOOSE(CONTROL!$C$32, $C$9, 100%, $E$9)</f>
        <v>13.9999</v>
      </c>
      <c r="K436" s="81">
        <f>14.0036 * CHOOSE(CONTROL!$C$32, $C$9, 100%, $E$9)</f>
        <v>14.0036</v>
      </c>
      <c r="L436" s="81">
        <f>7.2146 * CHOOSE(CONTROL!$C$32, $C$9, 100%, $E$9)</f>
        <v>7.2145999999999999</v>
      </c>
      <c r="M436" s="81">
        <f>7.2182 * CHOOSE(CONTROL!$C$32, $C$9, 100%, $E$9)</f>
        <v>7.2182000000000004</v>
      </c>
      <c r="N436" s="81">
        <f>7.2146 * CHOOSE(CONTROL!$C$32, $C$9, 100%, $E$9)</f>
        <v>7.2145999999999999</v>
      </c>
      <c r="O436" s="81">
        <f>7.2182 * CHOOSE(CONTROL!$C$32, $C$9, 100%, $E$9)</f>
        <v>7.2182000000000004</v>
      </c>
    </row>
    <row r="437" spans="1:15" ht="15" x14ac:dyDescent="0.2">
      <c r="A437" s="16">
        <v>54514</v>
      </c>
      <c r="B437" s="80">
        <f>6.4459 * CHOOSE(CONTROL!$C$32, $C$9, 100%, $E$9)</f>
        <v>6.4459</v>
      </c>
      <c r="C437" s="80">
        <f>6.4459 * CHOOSE(CONTROL!$C$32, $C$9, 100%, $E$9)</f>
        <v>6.4459</v>
      </c>
      <c r="D437" s="80">
        <f>6.447 * CHOOSE(CONTROL!$C$32, $C$9, 100%, $E$9)</f>
        <v>6.4470000000000001</v>
      </c>
      <c r="E437" s="81">
        <f>7.3402 * CHOOSE(CONTROL!$C$32, $C$9, 100%, $E$9)</f>
        <v>7.3402000000000003</v>
      </c>
      <c r="F437" s="81">
        <f>7.3402 * CHOOSE(CONTROL!$C$32, $C$9, 100%, $E$9)</f>
        <v>7.3402000000000003</v>
      </c>
      <c r="G437" s="81">
        <f>7.3438 * CHOOSE(CONTROL!$C$32, $C$9, 100%, $E$9)</f>
        <v>7.3437999999999999</v>
      </c>
      <c r="H437" s="81">
        <f>14.0291 * CHOOSE(CONTROL!$C$32, $C$9, 100%, $E$9)</f>
        <v>14.0291</v>
      </c>
      <c r="I437" s="81">
        <f>14.0327 * CHOOSE(CONTROL!$C$32, $C$9, 100%, $E$9)</f>
        <v>14.0327</v>
      </c>
      <c r="J437" s="81">
        <f>14.0291 * CHOOSE(CONTROL!$C$32, $C$9, 100%, $E$9)</f>
        <v>14.0291</v>
      </c>
      <c r="K437" s="81">
        <f>14.0327 * CHOOSE(CONTROL!$C$32, $C$9, 100%, $E$9)</f>
        <v>14.0327</v>
      </c>
      <c r="L437" s="81">
        <f>7.3402 * CHOOSE(CONTROL!$C$32, $C$9, 100%, $E$9)</f>
        <v>7.3402000000000003</v>
      </c>
      <c r="M437" s="81">
        <f>7.3438 * CHOOSE(CONTROL!$C$32, $C$9, 100%, $E$9)</f>
        <v>7.3437999999999999</v>
      </c>
      <c r="N437" s="81">
        <f>7.3402 * CHOOSE(CONTROL!$C$32, $C$9, 100%, $E$9)</f>
        <v>7.3402000000000003</v>
      </c>
      <c r="O437" s="81">
        <f>7.3438 * CHOOSE(CONTROL!$C$32, $C$9, 100%, $E$9)</f>
        <v>7.3437999999999999</v>
      </c>
    </row>
    <row r="438" spans="1:15" ht="15" x14ac:dyDescent="0.2">
      <c r="A438" s="16">
        <v>54544</v>
      </c>
      <c r="B438" s="80">
        <f>6.4459 * CHOOSE(CONTROL!$C$32, $C$9, 100%, $E$9)</f>
        <v>6.4459</v>
      </c>
      <c r="C438" s="80">
        <f>6.4459 * CHOOSE(CONTROL!$C$32, $C$9, 100%, $E$9)</f>
        <v>6.4459</v>
      </c>
      <c r="D438" s="80">
        <f>6.4475 * CHOOSE(CONTROL!$C$32, $C$9, 100%, $E$9)</f>
        <v>6.4474999999999998</v>
      </c>
      <c r="E438" s="81">
        <f>7.3889 * CHOOSE(CONTROL!$C$32, $C$9, 100%, $E$9)</f>
        <v>7.3888999999999996</v>
      </c>
      <c r="F438" s="81">
        <f>7.3889 * CHOOSE(CONTROL!$C$32, $C$9, 100%, $E$9)</f>
        <v>7.3888999999999996</v>
      </c>
      <c r="G438" s="81">
        <f>7.3942 * CHOOSE(CONTROL!$C$32, $C$9, 100%, $E$9)</f>
        <v>7.3941999999999997</v>
      </c>
      <c r="H438" s="81">
        <f>14.0583 * CHOOSE(CONTROL!$C$32, $C$9, 100%, $E$9)</f>
        <v>14.058299999999999</v>
      </c>
      <c r="I438" s="81">
        <f>14.0636 * CHOOSE(CONTROL!$C$32, $C$9, 100%, $E$9)</f>
        <v>14.063599999999999</v>
      </c>
      <c r="J438" s="81">
        <f>14.0583 * CHOOSE(CONTROL!$C$32, $C$9, 100%, $E$9)</f>
        <v>14.058299999999999</v>
      </c>
      <c r="K438" s="81">
        <f>14.0636 * CHOOSE(CONTROL!$C$32, $C$9, 100%, $E$9)</f>
        <v>14.063599999999999</v>
      </c>
      <c r="L438" s="81">
        <f>7.3889 * CHOOSE(CONTROL!$C$32, $C$9, 100%, $E$9)</f>
        <v>7.3888999999999996</v>
      </c>
      <c r="M438" s="81">
        <f>7.3942 * CHOOSE(CONTROL!$C$32, $C$9, 100%, $E$9)</f>
        <v>7.3941999999999997</v>
      </c>
      <c r="N438" s="81">
        <f>7.3889 * CHOOSE(CONTROL!$C$32, $C$9, 100%, $E$9)</f>
        <v>7.3888999999999996</v>
      </c>
      <c r="O438" s="81">
        <f>7.3942 * CHOOSE(CONTROL!$C$32, $C$9, 100%, $E$9)</f>
        <v>7.3941999999999997</v>
      </c>
    </row>
    <row r="439" spans="1:15" ht="15" x14ac:dyDescent="0.2">
      <c r="A439" s="16">
        <v>54575</v>
      </c>
      <c r="B439" s="80">
        <f>6.452 * CHOOSE(CONTROL!$C$32, $C$9, 100%, $E$9)</f>
        <v>6.452</v>
      </c>
      <c r="C439" s="80">
        <f>6.452 * CHOOSE(CONTROL!$C$32, $C$9, 100%, $E$9)</f>
        <v>6.452</v>
      </c>
      <c r="D439" s="80">
        <f>6.4535 * CHOOSE(CONTROL!$C$32, $C$9, 100%, $E$9)</f>
        <v>6.4535</v>
      </c>
      <c r="E439" s="81">
        <f>7.3444 * CHOOSE(CONTROL!$C$32, $C$9, 100%, $E$9)</f>
        <v>7.3444000000000003</v>
      </c>
      <c r="F439" s="81">
        <f>7.3444 * CHOOSE(CONTROL!$C$32, $C$9, 100%, $E$9)</f>
        <v>7.3444000000000003</v>
      </c>
      <c r="G439" s="81">
        <f>7.3497 * CHOOSE(CONTROL!$C$32, $C$9, 100%, $E$9)</f>
        <v>7.3497000000000003</v>
      </c>
      <c r="H439" s="81">
        <f>14.0876 * CHOOSE(CONTROL!$C$32, $C$9, 100%, $E$9)</f>
        <v>14.0876</v>
      </c>
      <c r="I439" s="81">
        <f>14.0929 * CHOOSE(CONTROL!$C$32, $C$9, 100%, $E$9)</f>
        <v>14.0929</v>
      </c>
      <c r="J439" s="81">
        <f>14.0876 * CHOOSE(CONTROL!$C$32, $C$9, 100%, $E$9)</f>
        <v>14.0876</v>
      </c>
      <c r="K439" s="81">
        <f>14.0929 * CHOOSE(CONTROL!$C$32, $C$9, 100%, $E$9)</f>
        <v>14.0929</v>
      </c>
      <c r="L439" s="81">
        <f>7.3444 * CHOOSE(CONTROL!$C$32, $C$9, 100%, $E$9)</f>
        <v>7.3444000000000003</v>
      </c>
      <c r="M439" s="81">
        <f>7.3497 * CHOOSE(CONTROL!$C$32, $C$9, 100%, $E$9)</f>
        <v>7.3497000000000003</v>
      </c>
      <c r="N439" s="81">
        <f>7.3444 * CHOOSE(CONTROL!$C$32, $C$9, 100%, $E$9)</f>
        <v>7.3444000000000003</v>
      </c>
      <c r="O439" s="81">
        <f>7.3497 * CHOOSE(CONTROL!$C$32, $C$9, 100%, $E$9)</f>
        <v>7.3497000000000003</v>
      </c>
    </row>
    <row r="440" spans="1:15" ht="15" x14ac:dyDescent="0.2">
      <c r="A440" s="16">
        <v>54605</v>
      </c>
      <c r="B440" s="80">
        <f>6.5374 * CHOOSE(CONTROL!$C$32, $C$9, 100%, $E$9)</f>
        <v>6.5373999999999999</v>
      </c>
      <c r="C440" s="80">
        <f>6.5374 * CHOOSE(CONTROL!$C$32, $C$9, 100%, $E$9)</f>
        <v>6.5373999999999999</v>
      </c>
      <c r="D440" s="80">
        <f>6.539 * CHOOSE(CONTROL!$C$32, $C$9, 100%, $E$9)</f>
        <v>6.5389999999999997</v>
      </c>
      <c r="E440" s="81">
        <f>7.4428 * CHOOSE(CONTROL!$C$32, $C$9, 100%, $E$9)</f>
        <v>7.4428000000000001</v>
      </c>
      <c r="F440" s="81">
        <f>7.4428 * CHOOSE(CONTROL!$C$32, $C$9, 100%, $E$9)</f>
        <v>7.4428000000000001</v>
      </c>
      <c r="G440" s="81">
        <f>7.448 * CHOOSE(CONTROL!$C$32, $C$9, 100%, $E$9)</f>
        <v>7.4480000000000004</v>
      </c>
      <c r="H440" s="81">
        <f>14.117 * CHOOSE(CONTROL!$C$32, $C$9, 100%, $E$9)</f>
        <v>14.117000000000001</v>
      </c>
      <c r="I440" s="81">
        <f>14.1223 * CHOOSE(CONTROL!$C$32, $C$9, 100%, $E$9)</f>
        <v>14.122299999999999</v>
      </c>
      <c r="J440" s="81">
        <f>14.117 * CHOOSE(CONTROL!$C$32, $C$9, 100%, $E$9)</f>
        <v>14.117000000000001</v>
      </c>
      <c r="K440" s="81">
        <f>14.1223 * CHOOSE(CONTROL!$C$32, $C$9, 100%, $E$9)</f>
        <v>14.122299999999999</v>
      </c>
      <c r="L440" s="81">
        <f>7.4428 * CHOOSE(CONTROL!$C$32, $C$9, 100%, $E$9)</f>
        <v>7.4428000000000001</v>
      </c>
      <c r="M440" s="81">
        <f>7.448 * CHOOSE(CONTROL!$C$32, $C$9, 100%, $E$9)</f>
        <v>7.4480000000000004</v>
      </c>
      <c r="N440" s="81">
        <f>7.4428 * CHOOSE(CONTROL!$C$32, $C$9, 100%, $E$9)</f>
        <v>7.4428000000000001</v>
      </c>
      <c r="O440" s="81">
        <f>7.448 * CHOOSE(CONTROL!$C$32, $C$9, 100%, $E$9)</f>
        <v>7.4480000000000004</v>
      </c>
    </row>
    <row r="441" spans="1:15" ht="15" x14ac:dyDescent="0.2">
      <c r="A441" s="16">
        <v>54636</v>
      </c>
      <c r="B441" s="80">
        <f>6.5441 * CHOOSE(CONTROL!$C$32, $C$9, 100%, $E$9)</f>
        <v>6.5441000000000003</v>
      </c>
      <c r="C441" s="80">
        <f>6.5441 * CHOOSE(CONTROL!$C$32, $C$9, 100%, $E$9)</f>
        <v>6.5441000000000003</v>
      </c>
      <c r="D441" s="80">
        <f>6.5457 * CHOOSE(CONTROL!$C$32, $C$9, 100%, $E$9)</f>
        <v>6.5457000000000001</v>
      </c>
      <c r="E441" s="81">
        <f>7.3013 * CHOOSE(CONTROL!$C$32, $C$9, 100%, $E$9)</f>
        <v>7.3013000000000003</v>
      </c>
      <c r="F441" s="81">
        <f>7.3013 * CHOOSE(CONTROL!$C$32, $C$9, 100%, $E$9)</f>
        <v>7.3013000000000003</v>
      </c>
      <c r="G441" s="81">
        <f>7.3066 * CHOOSE(CONTROL!$C$32, $C$9, 100%, $E$9)</f>
        <v>7.3066000000000004</v>
      </c>
      <c r="H441" s="81">
        <f>14.1464 * CHOOSE(CONTROL!$C$32, $C$9, 100%, $E$9)</f>
        <v>14.1464</v>
      </c>
      <c r="I441" s="81">
        <f>14.1517 * CHOOSE(CONTROL!$C$32, $C$9, 100%, $E$9)</f>
        <v>14.1517</v>
      </c>
      <c r="J441" s="81">
        <f>14.1464 * CHOOSE(CONTROL!$C$32, $C$9, 100%, $E$9)</f>
        <v>14.1464</v>
      </c>
      <c r="K441" s="81">
        <f>14.1517 * CHOOSE(CONTROL!$C$32, $C$9, 100%, $E$9)</f>
        <v>14.1517</v>
      </c>
      <c r="L441" s="81">
        <f>7.3013 * CHOOSE(CONTROL!$C$32, $C$9, 100%, $E$9)</f>
        <v>7.3013000000000003</v>
      </c>
      <c r="M441" s="81">
        <f>7.3066 * CHOOSE(CONTROL!$C$32, $C$9, 100%, $E$9)</f>
        <v>7.3066000000000004</v>
      </c>
      <c r="N441" s="81">
        <f>7.3013 * CHOOSE(CONTROL!$C$32, $C$9, 100%, $E$9)</f>
        <v>7.3013000000000003</v>
      </c>
      <c r="O441" s="81">
        <f>7.3066 * CHOOSE(CONTROL!$C$32, $C$9, 100%, $E$9)</f>
        <v>7.3066000000000004</v>
      </c>
    </row>
    <row r="442" spans="1:15" ht="15" x14ac:dyDescent="0.2">
      <c r="A442" s="16">
        <v>54667</v>
      </c>
      <c r="B442" s="80">
        <f>6.541 * CHOOSE(CONTROL!$C$32, $C$9, 100%, $E$9)</f>
        <v>6.5410000000000004</v>
      </c>
      <c r="C442" s="80">
        <f>6.541 * CHOOSE(CONTROL!$C$32, $C$9, 100%, $E$9)</f>
        <v>6.5410000000000004</v>
      </c>
      <c r="D442" s="80">
        <f>6.5426 * CHOOSE(CONTROL!$C$32, $C$9, 100%, $E$9)</f>
        <v>6.5426000000000002</v>
      </c>
      <c r="E442" s="81">
        <f>7.283 * CHOOSE(CONTROL!$C$32, $C$9, 100%, $E$9)</f>
        <v>7.2830000000000004</v>
      </c>
      <c r="F442" s="81">
        <f>7.283 * CHOOSE(CONTROL!$C$32, $C$9, 100%, $E$9)</f>
        <v>7.2830000000000004</v>
      </c>
      <c r="G442" s="81">
        <f>7.2883 * CHOOSE(CONTROL!$C$32, $C$9, 100%, $E$9)</f>
        <v>7.2882999999999996</v>
      </c>
      <c r="H442" s="81">
        <f>14.1759 * CHOOSE(CONTROL!$C$32, $C$9, 100%, $E$9)</f>
        <v>14.1759</v>
      </c>
      <c r="I442" s="81">
        <f>14.1811 * CHOOSE(CONTROL!$C$32, $C$9, 100%, $E$9)</f>
        <v>14.181100000000001</v>
      </c>
      <c r="J442" s="81">
        <f>14.1759 * CHOOSE(CONTROL!$C$32, $C$9, 100%, $E$9)</f>
        <v>14.1759</v>
      </c>
      <c r="K442" s="81">
        <f>14.1811 * CHOOSE(CONTROL!$C$32, $C$9, 100%, $E$9)</f>
        <v>14.181100000000001</v>
      </c>
      <c r="L442" s="81">
        <f>7.283 * CHOOSE(CONTROL!$C$32, $C$9, 100%, $E$9)</f>
        <v>7.2830000000000004</v>
      </c>
      <c r="M442" s="81">
        <f>7.2883 * CHOOSE(CONTROL!$C$32, $C$9, 100%, $E$9)</f>
        <v>7.2882999999999996</v>
      </c>
      <c r="N442" s="81">
        <f>7.283 * CHOOSE(CONTROL!$C$32, $C$9, 100%, $E$9)</f>
        <v>7.2830000000000004</v>
      </c>
      <c r="O442" s="81">
        <f>7.2883 * CHOOSE(CONTROL!$C$32, $C$9, 100%, $E$9)</f>
        <v>7.2882999999999996</v>
      </c>
    </row>
    <row r="443" spans="1:15" ht="15" x14ac:dyDescent="0.2">
      <c r="A443" s="16">
        <v>54697</v>
      </c>
      <c r="B443" s="80">
        <f>6.5456 * CHOOSE(CONTROL!$C$32, $C$9, 100%, $E$9)</f>
        <v>6.5456000000000003</v>
      </c>
      <c r="C443" s="80">
        <f>6.5456 * CHOOSE(CONTROL!$C$32, $C$9, 100%, $E$9)</f>
        <v>6.5456000000000003</v>
      </c>
      <c r="D443" s="80">
        <f>6.5466 * CHOOSE(CONTROL!$C$32, $C$9, 100%, $E$9)</f>
        <v>6.5465999999999998</v>
      </c>
      <c r="E443" s="81">
        <f>7.3345 * CHOOSE(CONTROL!$C$32, $C$9, 100%, $E$9)</f>
        <v>7.3345000000000002</v>
      </c>
      <c r="F443" s="81">
        <f>7.3345 * CHOOSE(CONTROL!$C$32, $C$9, 100%, $E$9)</f>
        <v>7.3345000000000002</v>
      </c>
      <c r="G443" s="81">
        <f>7.3381 * CHOOSE(CONTROL!$C$32, $C$9, 100%, $E$9)</f>
        <v>7.3380999999999998</v>
      </c>
      <c r="H443" s="81">
        <f>14.2054 * CHOOSE(CONTROL!$C$32, $C$9, 100%, $E$9)</f>
        <v>14.205399999999999</v>
      </c>
      <c r="I443" s="81">
        <f>14.209 * CHOOSE(CONTROL!$C$32, $C$9, 100%, $E$9)</f>
        <v>14.209</v>
      </c>
      <c r="J443" s="81">
        <f>14.2054 * CHOOSE(CONTROL!$C$32, $C$9, 100%, $E$9)</f>
        <v>14.205399999999999</v>
      </c>
      <c r="K443" s="81">
        <f>14.209 * CHOOSE(CONTROL!$C$32, $C$9, 100%, $E$9)</f>
        <v>14.209</v>
      </c>
      <c r="L443" s="81">
        <f>7.3345 * CHOOSE(CONTROL!$C$32, $C$9, 100%, $E$9)</f>
        <v>7.3345000000000002</v>
      </c>
      <c r="M443" s="81">
        <f>7.3381 * CHOOSE(CONTROL!$C$32, $C$9, 100%, $E$9)</f>
        <v>7.3380999999999998</v>
      </c>
      <c r="N443" s="81">
        <f>7.3345 * CHOOSE(CONTROL!$C$32, $C$9, 100%, $E$9)</f>
        <v>7.3345000000000002</v>
      </c>
      <c r="O443" s="81">
        <f>7.3381 * CHOOSE(CONTROL!$C$32, $C$9, 100%, $E$9)</f>
        <v>7.3380999999999998</v>
      </c>
    </row>
    <row r="444" spans="1:15" ht="15" x14ac:dyDescent="0.2">
      <c r="A444" s="16">
        <v>54728</v>
      </c>
      <c r="B444" s="80">
        <f>6.5486 * CHOOSE(CONTROL!$C$32, $C$9, 100%, $E$9)</f>
        <v>6.5486000000000004</v>
      </c>
      <c r="C444" s="80">
        <f>6.5486 * CHOOSE(CONTROL!$C$32, $C$9, 100%, $E$9)</f>
        <v>6.5486000000000004</v>
      </c>
      <c r="D444" s="80">
        <f>6.5497 * CHOOSE(CONTROL!$C$32, $C$9, 100%, $E$9)</f>
        <v>6.5496999999999996</v>
      </c>
      <c r="E444" s="81">
        <f>7.3691 * CHOOSE(CONTROL!$C$32, $C$9, 100%, $E$9)</f>
        <v>7.3691000000000004</v>
      </c>
      <c r="F444" s="81">
        <f>7.3691 * CHOOSE(CONTROL!$C$32, $C$9, 100%, $E$9)</f>
        <v>7.3691000000000004</v>
      </c>
      <c r="G444" s="81">
        <f>7.3727 * CHOOSE(CONTROL!$C$32, $C$9, 100%, $E$9)</f>
        <v>7.3727</v>
      </c>
      <c r="H444" s="81">
        <f>14.235 * CHOOSE(CONTROL!$C$32, $C$9, 100%, $E$9)</f>
        <v>14.234999999999999</v>
      </c>
      <c r="I444" s="81">
        <f>14.2386 * CHOOSE(CONTROL!$C$32, $C$9, 100%, $E$9)</f>
        <v>14.2386</v>
      </c>
      <c r="J444" s="81">
        <f>14.235 * CHOOSE(CONTROL!$C$32, $C$9, 100%, $E$9)</f>
        <v>14.234999999999999</v>
      </c>
      <c r="K444" s="81">
        <f>14.2386 * CHOOSE(CONTROL!$C$32, $C$9, 100%, $E$9)</f>
        <v>14.2386</v>
      </c>
      <c r="L444" s="81">
        <f>7.3691 * CHOOSE(CONTROL!$C$32, $C$9, 100%, $E$9)</f>
        <v>7.3691000000000004</v>
      </c>
      <c r="M444" s="81">
        <f>7.3727 * CHOOSE(CONTROL!$C$32, $C$9, 100%, $E$9)</f>
        <v>7.3727</v>
      </c>
      <c r="N444" s="81">
        <f>7.3691 * CHOOSE(CONTROL!$C$32, $C$9, 100%, $E$9)</f>
        <v>7.3691000000000004</v>
      </c>
      <c r="O444" s="81">
        <f>7.3727 * CHOOSE(CONTROL!$C$32, $C$9, 100%, $E$9)</f>
        <v>7.3727</v>
      </c>
    </row>
    <row r="445" spans="1:15" ht="15" x14ac:dyDescent="0.2">
      <c r="A445" s="16">
        <v>54758</v>
      </c>
      <c r="B445" s="80">
        <f>6.5486 * CHOOSE(CONTROL!$C$32, $C$9, 100%, $E$9)</f>
        <v>6.5486000000000004</v>
      </c>
      <c r="C445" s="80">
        <f>6.5486 * CHOOSE(CONTROL!$C$32, $C$9, 100%, $E$9)</f>
        <v>6.5486000000000004</v>
      </c>
      <c r="D445" s="80">
        <f>6.5497 * CHOOSE(CONTROL!$C$32, $C$9, 100%, $E$9)</f>
        <v>6.5496999999999996</v>
      </c>
      <c r="E445" s="81">
        <f>7.2879 * CHOOSE(CONTROL!$C$32, $C$9, 100%, $E$9)</f>
        <v>7.2878999999999996</v>
      </c>
      <c r="F445" s="81">
        <f>7.2879 * CHOOSE(CONTROL!$C$32, $C$9, 100%, $E$9)</f>
        <v>7.2878999999999996</v>
      </c>
      <c r="G445" s="81">
        <f>7.2915 * CHOOSE(CONTROL!$C$32, $C$9, 100%, $E$9)</f>
        <v>7.2915000000000001</v>
      </c>
      <c r="H445" s="81">
        <f>14.2646 * CHOOSE(CONTROL!$C$32, $C$9, 100%, $E$9)</f>
        <v>14.2646</v>
      </c>
      <c r="I445" s="81">
        <f>14.2683 * CHOOSE(CONTROL!$C$32, $C$9, 100%, $E$9)</f>
        <v>14.2683</v>
      </c>
      <c r="J445" s="81">
        <f>14.2646 * CHOOSE(CONTROL!$C$32, $C$9, 100%, $E$9)</f>
        <v>14.2646</v>
      </c>
      <c r="K445" s="81">
        <f>14.2683 * CHOOSE(CONTROL!$C$32, $C$9, 100%, $E$9)</f>
        <v>14.2683</v>
      </c>
      <c r="L445" s="81">
        <f>7.2879 * CHOOSE(CONTROL!$C$32, $C$9, 100%, $E$9)</f>
        <v>7.2878999999999996</v>
      </c>
      <c r="M445" s="81">
        <f>7.2915 * CHOOSE(CONTROL!$C$32, $C$9, 100%, $E$9)</f>
        <v>7.2915000000000001</v>
      </c>
      <c r="N445" s="81">
        <f>7.2879 * CHOOSE(CONTROL!$C$32, $C$9, 100%, $E$9)</f>
        <v>7.2878999999999996</v>
      </c>
      <c r="O445" s="81">
        <f>7.2915 * CHOOSE(CONTROL!$C$32, $C$9, 100%, $E$9)</f>
        <v>7.2915000000000001</v>
      </c>
    </row>
    <row r="446" spans="1:15" ht="15" x14ac:dyDescent="0.2">
      <c r="A446" s="16">
        <v>54789</v>
      </c>
      <c r="B446" s="80">
        <f>6.5983 * CHOOSE(CONTROL!$C$32, $C$9, 100%, $E$9)</f>
        <v>6.5983000000000001</v>
      </c>
      <c r="C446" s="80">
        <f>6.5983 * CHOOSE(CONTROL!$C$32, $C$9, 100%, $E$9)</f>
        <v>6.5983000000000001</v>
      </c>
      <c r="D446" s="80">
        <f>6.5993 * CHOOSE(CONTROL!$C$32, $C$9, 100%, $E$9)</f>
        <v>6.5993000000000004</v>
      </c>
      <c r="E446" s="81">
        <f>7.4077 * CHOOSE(CONTROL!$C$32, $C$9, 100%, $E$9)</f>
        <v>7.4077000000000002</v>
      </c>
      <c r="F446" s="81">
        <f>7.4077 * CHOOSE(CONTROL!$C$32, $C$9, 100%, $E$9)</f>
        <v>7.4077000000000002</v>
      </c>
      <c r="G446" s="81">
        <f>7.4113 * CHOOSE(CONTROL!$C$32, $C$9, 100%, $E$9)</f>
        <v>7.4112999999999998</v>
      </c>
      <c r="H446" s="81">
        <f>14.2944 * CHOOSE(CONTROL!$C$32, $C$9, 100%, $E$9)</f>
        <v>14.2944</v>
      </c>
      <c r="I446" s="81">
        <f>14.298 * CHOOSE(CONTROL!$C$32, $C$9, 100%, $E$9)</f>
        <v>14.298</v>
      </c>
      <c r="J446" s="81">
        <f>14.2944 * CHOOSE(CONTROL!$C$32, $C$9, 100%, $E$9)</f>
        <v>14.2944</v>
      </c>
      <c r="K446" s="81">
        <f>14.298 * CHOOSE(CONTROL!$C$32, $C$9, 100%, $E$9)</f>
        <v>14.298</v>
      </c>
      <c r="L446" s="81">
        <f>7.4077 * CHOOSE(CONTROL!$C$32, $C$9, 100%, $E$9)</f>
        <v>7.4077000000000002</v>
      </c>
      <c r="M446" s="81">
        <f>7.4113 * CHOOSE(CONTROL!$C$32, $C$9, 100%, $E$9)</f>
        <v>7.4112999999999998</v>
      </c>
      <c r="N446" s="81">
        <f>7.4077 * CHOOSE(CONTROL!$C$32, $C$9, 100%, $E$9)</f>
        <v>7.4077000000000002</v>
      </c>
      <c r="O446" s="81">
        <f>7.4113 * CHOOSE(CONTROL!$C$32, $C$9, 100%, $E$9)</f>
        <v>7.4112999999999998</v>
      </c>
    </row>
    <row r="447" spans="1:15" ht="15" x14ac:dyDescent="0.2">
      <c r="A447" s="16">
        <v>54820</v>
      </c>
      <c r="B447" s="80">
        <f>6.5952 * CHOOSE(CONTROL!$C$32, $C$9, 100%, $E$9)</f>
        <v>6.5952000000000002</v>
      </c>
      <c r="C447" s="80">
        <f>6.5952 * CHOOSE(CONTROL!$C$32, $C$9, 100%, $E$9)</f>
        <v>6.5952000000000002</v>
      </c>
      <c r="D447" s="80">
        <f>6.5963 * CHOOSE(CONTROL!$C$32, $C$9, 100%, $E$9)</f>
        <v>6.5963000000000003</v>
      </c>
      <c r="E447" s="81">
        <f>7.2472 * CHOOSE(CONTROL!$C$32, $C$9, 100%, $E$9)</f>
        <v>7.2472000000000003</v>
      </c>
      <c r="F447" s="81">
        <f>7.2472 * CHOOSE(CONTROL!$C$32, $C$9, 100%, $E$9)</f>
        <v>7.2472000000000003</v>
      </c>
      <c r="G447" s="81">
        <f>7.2508 * CHOOSE(CONTROL!$C$32, $C$9, 100%, $E$9)</f>
        <v>7.2507999999999999</v>
      </c>
      <c r="H447" s="81">
        <f>14.3241 * CHOOSE(CONTROL!$C$32, $C$9, 100%, $E$9)</f>
        <v>14.3241</v>
      </c>
      <c r="I447" s="81">
        <f>14.3278 * CHOOSE(CONTROL!$C$32, $C$9, 100%, $E$9)</f>
        <v>14.3278</v>
      </c>
      <c r="J447" s="81">
        <f>14.3241 * CHOOSE(CONTROL!$C$32, $C$9, 100%, $E$9)</f>
        <v>14.3241</v>
      </c>
      <c r="K447" s="81">
        <f>14.3278 * CHOOSE(CONTROL!$C$32, $C$9, 100%, $E$9)</f>
        <v>14.3278</v>
      </c>
      <c r="L447" s="81">
        <f>7.2472 * CHOOSE(CONTROL!$C$32, $C$9, 100%, $E$9)</f>
        <v>7.2472000000000003</v>
      </c>
      <c r="M447" s="81">
        <f>7.2508 * CHOOSE(CONTROL!$C$32, $C$9, 100%, $E$9)</f>
        <v>7.2507999999999999</v>
      </c>
      <c r="N447" s="81">
        <f>7.2472 * CHOOSE(CONTROL!$C$32, $C$9, 100%, $E$9)</f>
        <v>7.2472000000000003</v>
      </c>
      <c r="O447" s="81">
        <f>7.2508 * CHOOSE(CONTROL!$C$32, $C$9, 100%, $E$9)</f>
        <v>7.2507999999999999</v>
      </c>
    </row>
    <row r="448" spans="1:15" ht="15" x14ac:dyDescent="0.2">
      <c r="A448" s="16">
        <v>54848</v>
      </c>
      <c r="B448" s="80">
        <f>6.5922 * CHOOSE(CONTROL!$C$32, $C$9, 100%, $E$9)</f>
        <v>6.5922000000000001</v>
      </c>
      <c r="C448" s="80">
        <f>6.5922 * CHOOSE(CONTROL!$C$32, $C$9, 100%, $E$9)</f>
        <v>6.5922000000000001</v>
      </c>
      <c r="D448" s="80">
        <f>6.5933 * CHOOSE(CONTROL!$C$32, $C$9, 100%, $E$9)</f>
        <v>6.5933000000000002</v>
      </c>
      <c r="E448" s="81">
        <f>7.3699 * CHOOSE(CONTROL!$C$32, $C$9, 100%, $E$9)</f>
        <v>7.3699000000000003</v>
      </c>
      <c r="F448" s="81">
        <f>7.3699 * CHOOSE(CONTROL!$C$32, $C$9, 100%, $E$9)</f>
        <v>7.3699000000000003</v>
      </c>
      <c r="G448" s="81">
        <f>7.3735 * CHOOSE(CONTROL!$C$32, $C$9, 100%, $E$9)</f>
        <v>7.3734999999999999</v>
      </c>
      <c r="H448" s="81">
        <f>14.354 * CHOOSE(CONTROL!$C$32, $C$9, 100%, $E$9)</f>
        <v>14.353999999999999</v>
      </c>
      <c r="I448" s="81">
        <f>14.3576 * CHOOSE(CONTROL!$C$32, $C$9, 100%, $E$9)</f>
        <v>14.3576</v>
      </c>
      <c r="J448" s="81">
        <f>14.354 * CHOOSE(CONTROL!$C$32, $C$9, 100%, $E$9)</f>
        <v>14.353999999999999</v>
      </c>
      <c r="K448" s="81">
        <f>14.3576 * CHOOSE(CONTROL!$C$32, $C$9, 100%, $E$9)</f>
        <v>14.3576</v>
      </c>
      <c r="L448" s="81">
        <f>7.3699 * CHOOSE(CONTROL!$C$32, $C$9, 100%, $E$9)</f>
        <v>7.3699000000000003</v>
      </c>
      <c r="M448" s="81">
        <f>7.3735 * CHOOSE(CONTROL!$C$32, $C$9, 100%, $E$9)</f>
        <v>7.3734999999999999</v>
      </c>
      <c r="N448" s="81">
        <f>7.3699 * CHOOSE(CONTROL!$C$32, $C$9, 100%, $E$9)</f>
        <v>7.3699000000000003</v>
      </c>
      <c r="O448" s="81">
        <f>7.3735 * CHOOSE(CONTROL!$C$32, $C$9, 100%, $E$9)</f>
        <v>7.3734999999999999</v>
      </c>
    </row>
    <row r="449" spans="1:15" ht="15" x14ac:dyDescent="0.2">
      <c r="A449" s="16">
        <v>54879</v>
      </c>
      <c r="B449" s="80">
        <f>6.5923 * CHOOSE(CONTROL!$C$32, $C$9, 100%, $E$9)</f>
        <v>6.5922999999999998</v>
      </c>
      <c r="C449" s="80">
        <f>6.5923 * CHOOSE(CONTROL!$C$32, $C$9, 100%, $E$9)</f>
        <v>6.5922999999999998</v>
      </c>
      <c r="D449" s="80">
        <f>6.5934 * CHOOSE(CONTROL!$C$32, $C$9, 100%, $E$9)</f>
        <v>6.5933999999999999</v>
      </c>
      <c r="E449" s="81">
        <f>7.4998 * CHOOSE(CONTROL!$C$32, $C$9, 100%, $E$9)</f>
        <v>7.4997999999999996</v>
      </c>
      <c r="F449" s="81">
        <f>7.4998 * CHOOSE(CONTROL!$C$32, $C$9, 100%, $E$9)</f>
        <v>7.4997999999999996</v>
      </c>
      <c r="G449" s="81">
        <f>7.5034 * CHOOSE(CONTROL!$C$32, $C$9, 100%, $E$9)</f>
        <v>7.5034000000000001</v>
      </c>
      <c r="H449" s="81">
        <f>14.3839 * CHOOSE(CONTROL!$C$32, $C$9, 100%, $E$9)</f>
        <v>14.383900000000001</v>
      </c>
      <c r="I449" s="81">
        <f>14.3875 * CHOOSE(CONTROL!$C$32, $C$9, 100%, $E$9)</f>
        <v>14.387499999999999</v>
      </c>
      <c r="J449" s="81">
        <f>14.3839 * CHOOSE(CONTROL!$C$32, $C$9, 100%, $E$9)</f>
        <v>14.383900000000001</v>
      </c>
      <c r="K449" s="81">
        <f>14.3875 * CHOOSE(CONTROL!$C$32, $C$9, 100%, $E$9)</f>
        <v>14.387499999999999</v>
      </c>
      <c r="L449" s="81">
        <f>7.4998 * CHOOSE(CONTROL!$C$32, $C$9, 100%, $E$9)</f>
        <v>7.4997999999999996</v>
      </c>
      <c r="M449" s="81">
        <f>7.5034 * CHOOSE(CONTROL!$C$32, $C$9, 100%, $E$9)</f>
        <v>7.5034000000000001</v>
      </c>
      <c r="N449" s="81">
        <f>7.4998 * CHOOSE(CONTROL!$C$32, $C$9, 100%, $E$9)</f>
        <v>7.4997999999999996</v>
      </c>
      <c r="O449" s="81">
        <f>7.5034 * CHOOSE(CONTROL!$C$32, $C$9, 100%, $E$9)</f>
        <v>7.5034000000000001</v>
      </c>
    </row>
    <row r="450" spans="1:15" ht="15" x14ac:dyDescent="0.2">
      <c r="A450" s="16">
        <v>54909</v>
      </c>
      <c r="B450" s="80">
        <f>6.5923 * CHOOSE(CONTROL!$C$32, $C$9, 100%, $E$9)</f>
        <v>6.5922999999999998</v>
      </c>
      <c r="C450" s="80">
        <f>6.5923 * CHOOSE(CONTROL!$C$32, $C$9, 100%, $E$9)</f>
        <v>6.5922999999999998</v>
      </c>
      <c r="D450" s="80">
        <f>6.5939 * CHOOSE(CONTROL!$C$32, $C$9, 100%, $E$9)</f>
        <v>6.5938999999999997</v>
      </c>
      <c r="E450" s="81">
        <f>7.55 * CHOOSE(CONTROL!$C$32, $C$9, 100%, $E$9)</f>
        <v>7.55</v>
      </c>
      <c r="F450" s="81">
        <f>7.55 * CHOOSE(CONTROL!$C$32, $C$9, 100%, $E$9)</f>
        <v>7.55</v>
      </c>
      <c r="G450" s="81">
        <f>7.5553 * CHOOSE(CONTROL!$C$32, $C$9, 100%, $E$9)</f>
        <v>7.5552999999999999</v>
      </c>
      <c r="H450" s="81">
        <f>14.4138 * CHOOSE(CONTROL!$C$32, $C$9, 100%, $E$9)</f>
        <v>14.4138</v>
      </c>
      <c r="I450" s="81">
        <f>14.4191 * CHOOSE(CONTROL!$C$32, $C$9, 100%, $E$9)</f>
        <v>14.4191</v>
      </c>
      <c r="J450" s="81">
        <f>14.4138 * CHOOSE(CONTROL!$C$32, $C$9, 100%, $E$9)</f>
        <v>14.4138</v>
      </c>
      <c r="K450" s="81">
        <f>14.4191 * CHOOSE(CONTROL!$C$32, $C$9, 100%, $E$9)</f>
        <v>14.4191</v>
      </c>
      <c r="L450" s="81">
        <f>7.55 * CHOOSE(CONTROL!$C$32, $C$9, 100%, $E$9)</f>
        <v>7.55</v>
      </c>
      <c r="M450" s="81">
        <f>7.5553 * CHOOSE(CONTROL!$C$32, $C$9, 100%, $E$9)</f>
        <v>7.5552999999999999</v>
      </c>
      <c r="N450" s="81">
        <f>7.55 * CHOOSE(CONTROL!$C$32, $C$9, 100%, $E$9)</f>
        <v>7.55</v>
      </c>
      <c r="O450" s="81">
        <f>7.5553 * CHOOSE(CONTROL!$C$32, $C$9, 100%, $E$9)</f>
        <v>7.5552999999999999</v>
      </c>
    </row>
    <row r="451" spans="1:15" ht="15" x14ac:dyDescent="0.2">
      <c r="A451" s="16">
        <v>54940</v>
      </c>
      <c r="B451" s="80">
        <f>6.5984 * CHOOSE(CONTROL!$C$32, $C$9, 100%, $E$9)</f>
        <v>6.5983999999999998</v>
      </c>
      <c r="C451" s="80">
        <f>6.5984 * CHOOSE(CONTROL!$C$32, $C$9, 100%, $E$9)</f>
        <v>6.5983999999999998</v>
      </c>
      <c r="D451" s="80">
        <f>6.6 * CHOOSE(CONTROL!$C$32, $C$9, 100%, $E$9)</f>
        <v>6.6</v>
      </c>
      <c r="E451" s="81">
        <f>7.504 * CHOOSE(CONTROL!$C$32, $C$9, 100%, $E$9)</f>
        <v>7.5039999999999996</v>
      </c>
      <c r="F451" s="81">
        <f>7.504 * CHOOSE(CONTROL!$C$32, $C$9, 100%, $E$9)</f>
        <v>7.5039999999999996</v>
      </c>
      <c r="G451" s="81">
        <f>7.5093 * CHOOSE(CONTROL!$C$32, $C$9, 100%, $E$9)</f>
        <v>7.5092999999999996</v>
      </c>
      <c r="H451" s="81">
        <f>14.4439 * CHOOSE(CONTROL!$C$32, $C$9, 100%, $E$9)</f>
        <v>14.443899999999999</v>
      </c>
      <c r="I451" s="81">
        <f>14.4492 * CHOOSE(CONTROL!$C$32, $C$9, 100%, $E$9)</f>
        <v>14.449199999999999</v>
      </c>
      <c r="J451" s="81">
        <f>14.4439 * CHOOSE(CONTROL!$C$32, $C$9, 100%, $E$9)</f>
        <v>14.443899999999999</v>
      </c>
      <c r="K451" s="81">
        <f>14.4492 * CHOOSE(CONTROL!$C$32, $C$9, 100%, $E$9)</f>
        <v>14.449199999999999</v>
      </c>
      <c r="L451" s="81">
        <f>7.504 * CHOOSE(CONTROL!$C$32, $C$9, 100%, $E$9)</f>
        <v>7.5039999999999996</v>
      </c>
      <c r="M451" s="81">
        <f>7.5093 * CHOOSE(CONTROL!$C$32, $C$9, 100%, $E$9)</f>
        <v>7.5092999999999996</v>
      </c>
      <c r="N451" s="81">
        <f>7.504 * CHOOSE(CONTROL!$C$32, $C$9, 100%, $E$9)</f>
        <v>7.5039999999999996</v>
      </c>
      <c r="O451" s="81">
        <f>7.5093 * CHOOSE(CONTROL!$C$32, $C$9, 100%, $E$9)</f>
        <v>7.5092999999999996</v>
      </c>
    </row>
    <row r="452" spans="1:15" ht="15" x14ac:dyDescent="0.2">
      <c r="A452" s="16">
        <v>54970</v>
      </c>
      <c r="B452" s="80">
        <f>6.6855 * CHOOSE(CONTROL!$C$32, $C$9, 100%, $E$9)</f>
        <v>6.6855000000000002</v>
      </c>
      <c r="C452" s="80">
        <f>6.6855 * CHOOSE(CONTROL!$C$32, $C$9, 100%, $E$9)</f>
        <v>6.6855000000000002</v>
      </c>
      <c r="D452" s="80">
        <f>6.6871 * CHOOSE(CONTROL!$C$32, $C$9, 100%, $E$9)</f>
        <v>6.6871</v>
      </c>
      <c r="E452" s="81">
        <f>7.6081 * CHOOSE(CONTROL!$C$32, $C$9, 100%, $E$9)</f>
        <v>7.6081000000000003</v>
      </c>
      <c r="F452" s="81">
        <f>7.6081 * CHOOSE(CONTROL!$C$32, $C$9, 100%, $E$9)</f>
        <v>7.6081000000000003</v>
      </c>
      <c r="G452" s="81">
        <f>7.6134 * CHOOSE(CONTROL!$C$32, $C$9, 100%, $E$9)</f>
        <v>7.6134000000000004</v>
      </c>
      <c r="H452" s="81">
        <f>14.474 * CHOOSE(CONTROL!$C$32, $C$9, 100%, $E$9)</f>
        <v>14.474</v>
      </c>
      <c r="I452" s="81">
        <f>14.4793 * CHOOSE(CONTROL!$C$32, $C$9, 100%, $E$9)</f>
        <v>14.4793</v>
      </c>
      <c r="J452" s="81">
        <f>14.474 * CHOOSE(CONTROL!$C$32, $C$9, 100%, $E$9)</f>
        <v>14.474</v>
      </c>
      <c r="K452" s="81">
        <f>14.4793 * CHOOSE(CONTROL!$C$32, $C$9, 100%, $E$9)</f>
        <v>14.4793</v>
      </c>
      <c r="L452" s="81">
        <f>7.6081 * CHOOSE(CONTROL!$C$32, $C$9, 100%, $E$9)</f>
        <v>7.6081000000000003</v>
      </c>
      <c r="M452" s="81">
        <f>7.6134 * CHOOSE(CONTROL!$C$32, $C$9, 100%, $E$9)</f>
        <v>7.6134000000000004</v>
      </c>
      <c r="N452" s="81">
        <f>7.6081 * CHOOSE(CONTROL!$C$32, $C$9, 100%, $E$9)</f>
        <v>7.6081000000000003</v>
      </c>
      <c r="O452" s="81">
        <f>7.6134 * CHOOSE(CONTROL!$C$32, $C$9, 100%, $E$9)</f>
        <v>7.6134000000000004</v>
      </c>
    </row>
    <row r="453" spans="1:15" ht="15" x14ac:dyDescent="0.2">
      <c r="A453" s="16">
        <v>55001</v>
      </c>
      <c r="B453" s="80">
        <f>6.6922 * CHOOSE(CONTROL!$C$32, $C$9, 100%, $E$9)</f>
        <v>6.6921999999999997</v>
      </c>
      <c r="C453" s="80">
        <f>6.6922 * CHOOSE(CONTROL!$C$32, $C$9, 100%, $E$9)</f>
        <v>6.6921999999999997</v>
      </c>
      <c r="D453" s="80">
        <f>6.6937 * CHOOSE(CONTROL!$C$32, $C$9, 100%, $E$9)</f>
        <v>6.6936999999999998</v>
      </c>
      <c r="E453" s="81">
        <f>7.4619 * CHOOSE(CONTROL!$C$32, $C$9, 100%, $E$9)</f>
        <v>7.4619</v>
      </c>
      <c r="F453" s="81">
        <f>7.4619 * CHOOSE(CONTROL!$C$32, $C$9, 100%, $E$9)</f>
        <v>7.4619</v>
      </c>
      <c r="G453" s="81">
        <f>7.4672 * CHOOSE(CONTROL!$C$32, $C$9, 100%, $E$9)</f>
        <v>7.4672000000000001</v>
      </c>
      <c r="H453" s="81">
        <f>14.5041 * CHOOSE(CONTROL!$C$32, $C$9, 100%, $E$9)</f>
        <v>14.504099999999999</v>
      </c>
      <c r="I453" s="81">
        <f>14.5094 * CHOOSE(CONTROL!$C$32, $C$9, 100%, $E$9)</f>
        <v>14.509399999999999</v>
      </c>
      <c r="J453" s="81">
        <f>14.5041 * CHOOSE(CONTROL!$C$32, $C$9, 100%, $E$9)</f>
        <v>14.504099999999999</v>
      </c>
      <c r="K453" s="81">
        <f>14.5094 * CHOOSE(CONTROL!$C$32, $C$9, 100%, $E$9)</f>
        <v>14.509399999999999</v>
      </c>
      <c r="L453" s="81">
        <f>7.4619 * CHOOSE(CONTROL!$C$32, $C$9, 100%, $E$9)</f>
        <v>7.4619</v>
      </c>
      <c r="M453" s="81">
        <f>7.4672 * CHOOSE(CONTROL!$C$32, $C$9, 100%, $E$9)</f>
        <v>7.4672000000000001</v>
      </c>
      <c r="N453" s="81">
        <f>7.4619 * CHOOSE(CONTROL!$C$32, $C$9, 100%, $E$9)</f>
        <v>7.4619</v>
      </c>
      <c r="O453" s="81">
        <f>7.4672 * CHOOSE(CONTROL!$C$32, $C$9, 100%, $E$9)</f>
        <v>7.4672000000000001</v>
      </c>
    </row>
    <row r="454" spans="1:15" ht="15" x14ac:dyDescent="0.2">
      <c r="A454" s="16">
        <v>55032</v>
      </c>
      <c r="B454" s="80">
        <f>6.6891 * CHOOSE(CONTROL!$C$32, $C$9, 100%, $E$9)</f>
        <v>6.6890999999999998</v>
      </c>
      <c r="C454" s="80">
        <f>6.6891 * CHOOSE(CONTROL!$C$32, $C$9, 100%, $E$9)</f>
        <v>6.6890999999999998</v>
      </c>
      <c r="D454" s="80">
        <f>6.6907 * CHOOSE(CONTROL!$C$32, $C$9, 100%, $E$9)</f>
        <v>6.6906999999999996</v>
      </c>
      <c r="E454" s="81">
        <f>7.443 * CHOOSE(CONTROL!$C$32, $C$9, 100%, $E$9)</f>
        <v>7.4429999999999996</v>
      </c>
      <c r="F454" s="81">
        <f>7.443 * CHOOSE(CONTROL!$C$32, $C$9, 100%, $E$9)</f>
        <v>7.4429999999999996</v>
      </c>
      <c r="G454" s="81">
        <f>7.4483 * CHOOSE(CONTROL!$C$32, $C$9, 100%, $E$9)</f>
        <v>7.4482999999999997</v>
      </c>
      <c r="H454" s="81">
        <f>14.5343 * CHOOSE(CONTROL!$C$32, $C$9, 100%, $E$9)</f>
        <v>14.5343</v>
      </c>
      <c r="I454" s="81">
        <f>14.5396 * CHOOSE(CONTROL!$C$32, $C$9, 100%, $E$9)</f>
        <v>14.5396</v>
      </c>
      <c r="J454" s="81">
        <f>14.5343 * CHOOSE(CONTROL!$C$32, $C$9, 100%, $E$9)</f>
        <v>14.5343</v>
      </c>
      <c r="K454" s="81">
        <f>14.5396 * CHOOSE(CONTROL!$C$32, $C$9, 100%, $E$9)</f>
        <v>14.5396</v>
      </c>
      <c r="L454" s="81">
        <f>7.443 * CHOOSE(CONTROL!$C$32, $C$9, 100%, $E$9)</f>
        <v>7.4429999999999996</v>
      </c>
      <c r="M454" s="81">
        <f>7.4483 * CHOOSE(CONTROL!$C$32, $C$9, 100%, $E$9)</f>
        <v>7.4482999999999997</v>
      </c>
      <c r="N454" s="81">
        <f>7.443 * CHOOSE(CONTROL!$C$32, $C$9, 100%, $E$9)</f>
        <v>7.4429999999999996</v>
      </c>
      <c r="O454" s="81">
        <f>7.4483 * CHOOSE(CONTROL!$C$32, $C$9, 100%, $E$9)</f>
        <v>7.4482999999999997</v>
      </c>
    </row>
    <row r="455" spans="1:15" ht="15" x14ac:dyDescent="0.2">
      <c r="A455" s="16">
        <v>55062</v>
      </c>
      <c r="B455" s="80">
        <f>6.6942 * CHOOSE(CONTROL!$C$32, $C$9, 100%, $E$9)</f>
        <v>6.6942000000000004</v>
      </c>
      <c r="C455" s="80">
        <f>6.6942 * CHOOSE(CONTROL!$C$32, $C$9, 100%, $E$9)</f>
        <v>6.6942000000000004</v>
      </c>
      <c r="D455" s="80">
        <f>6.6953 * CHOOSE(CONTROL!$C$32, $C$9, 100%, $E$9)</f>
        <v>6.6952999999999996</v>
      </c>
      <c r="E455" s="81">
        <f>7.4966 * CHOOSE(CONTROL!$C$32, $C$9, 100%, $E$9)</f>
        <v>7.4965999999999999</v>
      </c>
      <c r="F455" s="81">
        <f>7.4966 * CHOOSE(CONTROL!$C$32, $C$9, 100%, $E$9)</f>
        <v>7.4965999999999999</v>
      </c>
      <c r="G455" s="81">
        <f>7.5002 * CHOOSE(CONTROL!$C$32, $C$9, 100%, $E$9)</f>
        <v>7.5002000000000004</v>
      </c>
      <c r="H455" s="81">
        <f>14.5646 * CHOOSE(CONTROL!$C$32, $C$9, 100%, $E$9)</f>
        <v>14.5646</v>
      </c>
      <c r="I455" s="81">
        <f>14.5682 * CHOOSE(CONTROL!$C$32, $C$9, 100%, $E$9)</f>
        <v>14.568199999999999</v>
      </c>
      <c r="J455" s="81">
        <f>14.5646 * CHOOSE(CONTROL!$C$32, $C$9, 100%, $E$9)</f>
        <v>14.5646</v>
      </c>
      <c r="K455" s="81">
        <f>14.5682 * CHOOSE(CONTROL!$C$32, $C$9, 100%, $E$9)</f>
        <v>14.568199999999999</v>
      </c>
      <c r="L455" s="81">
        <f>7.4966 * CHOOSE(CONTROL!$C$32, $C$9, 100%, $E$9)</f>
        <v>7.4965999999999999</v>
      </c>
      <c r="M455" s="81">
        <f>7.5002 * CHOOSE(CONTROL!$C$32, $C$9, 100%, $E$9)</f>
        <v>7.5002000000000004</v>
      </c>
      <c r="N455" s="81">
        <f>7.4966 * CHOOSE(CONTROL!$C$32, $C$9, 100%, $E$9)</f>
        <v>7.4965999999999999</v>
      </c>
      <c r="O455" s="81">
        <f>7.5002 * CHOOSE(CONTROL!$C$32, $C$9, 100%, $E$9)</f>
        <v>7.5002000000000004</v>
      </c>
    </row>
    <row r="456" spans="1:15" ht="15" x14ac:dyDescent="0.2">
      <c r="A456" s="16">
        <v>55093</v>
      </c>
      <c r="B456" s="80">
        <f>6.6972 * CHOOSE(CONTROL!$C$32, $C$9, 100%, $E$9)</f>
        <v>6.6971999999999996</v>
      </c>
      <c r="C456" s="80">
        <f>6.6972 * CHOOSE(CONTROL!$C$32, $C$9, 100%, $E$9)</f>
        <v>6.6971999999999996</v>
      </c>
      <c r="D456" s="80">
        <f>6.6983 * CHOOSE(CONTROL!$C$32, $C$9, 100%, $E$9)</f>
        <v>6.6982999999999997</v>
      </c>
      <c r="E456" s="81">
        <f>7.5323 * CHOOSE(CONTROL!$C$32, $C$9, 100%, $E$9)</f>
        <v>7.5323000000000002</v>
      </c>
      <c r="F456" s="81">
        <f>7.5323 * CHOOSE(CONTROL!$C$32, $C$9, 100%, $E$9)</f>
        <v>7.5323000000000002</v>
      </c>
      <c r="G456" s="81">
        <f>7.5359 * CHOOSE(CONTROL!$C$32, $C$9, 100%, $E$9)</f>
        <v>7.5358999999999998</v>
      </c>
      <c r="H456" s="81">
        <f>14.595 * CHOOSE(CONTROL!$C$32, $C$9, 100%, $E$9)</f>
        <v>14.595000000000001</v>
      </c>
      <c r="I456" s="81">
        <f>14.5986 * CHOOSE(CONTROL!$C$32, $C$9, 100%, $E$9)</f>
        <v>14.598599999999999</v>
      </c>
      <c r="J456" s="81">
        <f>14.595 * CHOOSE(CONTROL!$C$32, $C$9, 100%, $E$9)</f>
        <v>14.595000000000001</v>
      </c>
      <c r="K456" s="81">
        <f>14.5986 * CHOOSE(CONTROL!$C$32, $C$9, 100%, $E$9)</f>
        <v>14.598599999999999</v>
      </c>
      <c r="L456" s="81">
        <f>7.5323 * CHOOSE(CONTROL!$C$32, $C$9, 100%, $E$9)</f>
        <v>7.5323000000000002</v>
      </c>
      <c r="M456" s="81">
        <f>7.5359 * CHOOSE(CONTROL!$C$32, $C$9, 100%, $E$9)</f>
        <v>7.5358999999999998</v>
      </c>
      <c r="N456" s="81">
        <f>7.5323 * CHOOSE(CONTROL!$C$32, $C$9, 100%, $E$9)</f>
        <v>7.5323000000000002</v>
      </c>
      <c r="O456" s="81">
        <f>7.5359 * CHOOSE(CONTROL!$C$32, $C$9, 100%, $E$9)</f>
        <v>7.5358999999999998</v>
      </c>
    </row>
    <row r="457" spans="1:15" ht="15" x14ac:dyDescent="0.2">
      <c r="A457" s="16">
        <v>55123</v>
      </c>
      <c r="B457" s="80">
        <f>6.6972 * CHOOSE(CONTROL!$C$32, $C$9, 100%, $E$9)</f>
        <v>6.6971999999999996</v>
      </c>
      <c r="C457" s="80">
        <f>6.6972 * CHOOSE(CONTROL!$C$32, $C$9, 100%, $E$9)</f>
        <v>6.6971999999999996</v>
      </c>
      <c r="D457" s="80">
        <f>6.6983 * CHOOSE(CONTROL!$C$32, $C$9, 100%, $E$9)</f>
        <v>6.6982999999999997</v>
      </c>
      <c r="E457" s="81">
        <f>7.4485 * CHOOSE(CONTROL!$C$32, $C$9, 100%, $E$9)</f>
        <v>7.4485000000000001</v>
      </c>
      <c r="F457" s="81">
        <f>7.4485 * CHOOSE(CONTROL!$C$32, $C$9, 100%, $E$9)</f>
        <v>7.4485000000000001</v>
      </c>
      <c r="G457" s="81">
        <f>7.4521 * CHOOSE(CONTROL!$C$32, $C$9, 100%, $E$9)</f>
        <v>7.4520999999999997</v>
      </c>
      <c r="H457" s="81">
        <f>14.6254 * CHOOSE(CONTROL!$C$32, $C$9, 100%, $E$9)</f>
        <v>14.625400000000001</v>
      </c>
      <c r="I457" s="81">
        <f>14.629 * CHOOSE(CONTROL!$C$32, $C$9, 100%, $E$9)</f>
        <v>14.629</v>
      </c>
      <c r="J457" s="81">
        <f>14.6254 * CHOOSE(CONTROL!$C$32, $C$9, 100%, $E$9)</f>
        <v>14.625400000000001</v>
      </c>
      <c r="K457" s="81">
        <f>14.629 * CHOOSE(CONTROL!$C$32, $C$9, 100%, $E$9)</f>
        <v>14.629</v>
      </c>
      <c r="L457" s="81">
        <f>7.4485 * CHOOSE(CONTROL!$C$32, $C$9, 100%, $E$9)</f>
        <v>7.4485000000000001</v>
      </c>
      <c r="M457" s="81">
        <f>7.4521 * CHOOSE(CONTROL!$C$32, $C$9, 100%, $E$9)</f>
        <v>7.4520999999999997</v>
      </c>
      <c r="N457" s="81">
        <f>7.4485 * CHOOSE(CONTROL!$C$32, $C$9, 100%, $E$9)</f>
        <v>7.4485000000000001</v>
      </c>
      <c r="O457" s="81">
        <f>7.4521 * CHOOSE(CONTROL!$C$32, $C$9, 100%, $E$9)</f>
        <v>7.4520999999999997</v>
      </c>
    </row>
    <row r="458" spans="1:15" ht="15" x14ac:dyDescent="0.2">
      <c r="A458" s="16">
        <v>55154</v>
      </c>
      <c r="B458" s="80">
        <f>6.7479 * CHOOSE(CONTROL!$C$32, $C$9, 100%, $E$9)</f>
        <v>6.7478999999999996</v>
      </c>
      <c r="C458" s="80">
        <f>6.7479 * CHOOSE(CONTROL!$C$32, $C$9, 100%, $E$9)</f>
        <v>6.7478999999999996</v>
      </c>
      <c r="D458" s="80">
        <f>6.749 * CHOOSE(CONTROL!$C$32, $C$9, 100%, $E$9)</f>
        <v>6.7489999999999997</v>
      </c>
      <c r="E458" s="81">
        <f>7.571 * CHOOSE(CONTROL!$C$32, $C$9, 100%, $E$9)</f>
        <v>7.5709999999999997</v>
      </c>
      <c r="F458" s="81">
        <f>7.571 * CHOOSE(CONTROL!$C$32, $C$9, 100%, $E$9)</f>
        <v>7.5709999999999997</v>
      </c>
      <c r="G458" s="81">
        <f>7.5746 * CHOOSE(CONTROL!$C$32, $C$9, 100%, $E$9)</f>
        <v>7.5746000000000002</v>
      </c>
      <c r="H458" s="81">
        <f>14.6558 * CHOOSE(CONTROL!$C$32, $C$9, 100%, $E$9)</f>
        <v>14.655799999999999</v>
      </c>
      <c r="I458" s="81">
        <f>14.6595 * CHOOSE(CONTROL!$C$32, $C$9, 100%, $E$9)</f>
        <v>14.6595</v>
      </c>
      <c r="J458" s="81">
        <f>14.6558 * CHOOSE(CONTROL!$C$32, $C$9, 100%, $E$9)</f>
        <v>14.655799999999999</v>
      </c>
      <c r="K458" s="81">
        <f>14.6595 * CHOOSE(CONTROL!$C$32, $C$9, 100%, $E$9)</f>
        <v>14.6595</v>
      </c>
      <c r="L458" s="81">
        <f>7.571 * CHOOSE(CONTROL!$C$32, $C$9, 100%, $E$9)</f>
        <v>7.5709999999999997</v>
      </c>
      <c r="M458" s="81">
        <f>7.5746 * CHOOSE(CONTROL!$C$32, $C$9, 100%, $E$9)</f>
        <v>7.5746000000000002</v>
      </c>
      <c r="N458" s="81">
        <f>7.571 * CHOOSE(CONTROL!$C$32, $C$9, 100%, $E$9)</f>
        <v>7.5709999999999997</v>
      </c>
      <c r="O458" s="81">
        <f>7.5746 * CHOOSE(CONTROL!$C$32, $C$9, 100%, $E$9)</f>
        <v>7.5746000000000002</v>
      </c>
    </row>
    <row r="459" spans="1:15" ht="15" x14ac:dyDescent="0.2">
      <c r="A459" s="16">
        <v>55185</v>
      </c>
      <c r="B459" s="80">
        <f>6.7449 * CHOOSE(CONTROL!$C$32, $C$9, 100%, $E$9)</f>
        <v>6.7449000000000003</v>
      </c>
      <c r="C459" s="80">
        <f>6.7449 * CHOOSE(CONTROL!$C$32, $C$9, 100%, $E$9)</f>
        <v>6.7449000000000003</v>
      </c>
      <c r="D459" s="80">
        <f>6.746 * CHOOSE(CONTROL!$C$32, $C$9, 100%, $E$9)</f>
        <v>6.7460000000000004</v>
      </c>
      <c r="E459" s="81">
        <f>7.4053 * CHOOSE(CONTROL!$C$32, $C$9, 100%, $E$9)</f>
        <v>7.4053000000000004</v>
      </c>
      <c r="F459" s="81">
        <f>7.4053 * CHOOSE(CONTROL!$C$32, $C$9, 100%, $E$9)</f>
        <v>7.4053000000000004</v>
      </c>
      <c r="G459" s="81">
        <f>7.409 * CHOOSE(CONTROL!$C$32, $C$9, 100%, $E$9)</f>
        <v>7.4089999999999998</v>
      </c>
      <c r="H459" s="81">
        <f>14.6864 * CHOOSE(CONTROL!$C$32, $C$9, 100%, $E$9)</f>
        <v>14.686400000000001</v>
      </c>
      <c r="I459" s="81">
        <f>14.69 * CHOOSE(CONTROL!$C$32, $C$9, 100%, $E$9)</f>
        <v>14.69</v>
      </c>
      <c r="J459" s="81">
        <f>14.6864 * CHOOSE(CONTROL!$C$32, $C$9, 100%, $E$9)</f>
        <v>14.686400000000001</v>
      </c>
      <c r="K459" s="81">
        <f>14.69 * CHOOSE(CONTROL!$C$32, $C$9, 100%, $E$9)</f>
        <v>14.69</v>
      </c>
      <c r="L459" s="81">
        <f>7.4053 * CHOOSE(CONTROL!$C$32, $C$9, 100%, $E$9)</f>
        <v>7.4053000000000004</v>
      </c>
      <c r="M459" s="81">
        <f>7.409 * CHOOSE(CONTROL!$C$32, $C$9, 100%, $E$9)</f>
        <v>7.4089999999999998</v>
      </c>
      <c r="N459" s="81">
        <f>7.4053 * CHOOSE(CONTROL!$C$32, $C$9, 100%, $E$9)</f>
        <v>7.4053000000000004</v>
      </c>
      <c r="O459" s="81">
        <f>7.409 * CHOOSE(CONTROL!$C$32, $C$9, 100%, $E$9)</f>
        <v>7.4089999999999998</v>
      </c>
    </row>
    <row r="460" spans="1:15" ht="15" x14ac:dyDescent="0.2">
      <c r="A460" s="16">
        <v>55213</v>
      </c>
      <c r="B460" s="80">
        <f>6.7418 * CHOOSE(CONTROL!$C$32, $C$9, 100%, $E$9)</f>
        <v>6.7417999999999996</v>
      </c>
      <c r="C460" s="80">
        <f>6.7418 * CHOOSE(CONTROL!$C$32, $C$9, 100%, $E$9)</f>
        <v>6.7417999999999996</v>
      </c>
      <c r="D460" s="80">
        <f>6.7429 * CHOOSE(CONTROL!$C$32, $C$9, 100%, $E$9)</f>
        <v>6.7428999999999997</v>
      </c>
      <c r="E460" s="81">
        <f>7.5321 * CHOOSE(CONTROL!$C$32, $C$9, 100%, $E$9)</f>
        <v>7.5320999999999998</v>
      </c>
      <c r="F460" s="81">
        <f>7.5321 * CHOOSE(CONTROL!$C$32, $C$9, 100%, $E$9)</f>
        <v>7.5320999999999998</v>
      </c>
      <c r="G460" s="81">
        <f>7.5357 * CHOOSE(CONTROL!$C$32, $C$9, 100%, $E$9)</f>
        <v>7.5357000000000003</v>
      </c>
      <c r="H460" s="81">
        <f>14.717 * CHOOSE(CONTROL!$C$32, $C$9, 100%, $E$9)</f>
        <v>14.717000000000001</v>
      </c>
      <c r="I460" s="81">
        <f>14.7206 * CHOOSE(CONTROL!$C$32, $C$9, 100%, $E$9)</f>
        <v>14.720599999999999</v>
      </c>
      <c r="J460" s="81">
        <f>14.717 * CHOOSE(CONTROL!$C$32, $C$9, 100%, $E$9)</f>
        <v>14.717000000000001</v>
      </c>
      <c r="K460" s="81">
        <f>14.7206 * CHOOSE(CONTROL!$C$32, $C$9, 100%, $E$9)</f>
        <v>14.720599999999999</v>
      </c>
      <c r="L460" s="81">
        <f>7.5321 * CHOOSE(CONTROL!$C$32, $C$9, 100%, $E$9)</f>
        <v>7.5320999999999998</v>
      </c>
      <c r="M460" s="81">
        <f>7.5357 * CHOOSE(CONTROL!$C$32, $C$9, 100%, $E$9)</f>
        <v>7.5357000000000003</v>
      </c>
      <c r="N460" s="81">
        <f>7.5321 * CHOOSE(CONTROL!$C$32, $C$9, 100%, $E$9)</f>
        <v>7.5320999999999998</v>
      </c>
      <c r="O460" s="81">
        <f>7.5357 * CHOOSE(CONTROL!$C$32, $C$9, 100%, $E$9)</f>
        <v>7.5357000000000003</v>
      </c>
    </row>
    <row r="461" spans="1:15" ht="15" x14ac:dyDescent="0.2">
      <c r="A461" s="16">
        <v>55244</v>
      </c>
      <c r="B461" s="80">
        <f>6.7421 * CHOOSE(CONTROL!$C$32, $C$9, 100%, $E$9)</f>
        <v>6.7420999999999998</v>
      </c>
      <c r="C461" s="80">
        <f>6.7421 * CHOOSE(CONTROL!$C$32, $C$9, 100%, $E$9)</f>
        <v>6.7420999999999998</v>
      </c>
      <c r="D461" s="80">
        <f>6.7432 * CHOOSE(CONTROL!$C$32, $C$9, 100%, $E$9)</f>
        <v>6.7431999999999999</v>
      </c>
      <c r="E461" s="81">
        <f>7.6663 * CHOOSE(CONTROL!$C$32, $C$9, 100%, $E$9)</f>
        <v>7.6662999999999997</v>
      </c>
      <c r="F461" s="81">
        <f>7.6663 * CHOOSE(CONTROL!$C$32, $C$9, 100%, $E$9)</f>
        <v>7.6662999999999997</v>
      </c>
      <c r="G461" s="81">
        <f>7.6699 * CHOOSE(CONTROL!$C$32, $C$9, 100%, $E$9)</f>
        <v>7.6699000000000002</v>
      </c>
      <c r="H461" s="81">
        <f>14.7476 * CHOOSE(CONTROL!$C$32, $C$9, 100%, $E$9)</f>
        <v>14.7476</v>
      </c>
      <c r="I461" s="81">
        <f>14.7512 * CHOOSE(CONTROL!$C$32, $C$9, 100%, $E$9)</f>
        <v>14.751200000000001</v>
      </c>
      <c r="J461" s="81">
        <f>14.7476 * CHOOSE(CONTROL!$C$32, $C$9, 100%, $E$9)</f>
        <v>14.7476</v>
      </c>
      <c r="K461" s="81">
        <f>14.7512 * CHOOSE(CONTROL!$C$32, $C$9, 100%, $E$9)</f>
        <v>14.751200000000001</v>
      </c>
      <c r="L461" s="81">
        <f>7.6663 * CHOOSE(CONTROL!$C$32, $C$9, 100%, $E$9)</f>
        <v>7.6662999999999997</v>
      </c>
      <c r="M461" s="81">
        <f>7.6699 * CHOOSE(CONTROL!$C$32, $C$9, 100%, $E$9)</f>
        <v>7.6699000000000002</v>
      </c>
      <c r="N461" s="81">
        <f>7.6663 * CHOOSE(CONTROL!$C$32, $C$9, 100%, $E$9)</f>
        <v>7.6662999999999997</v>
      </c>
      <c r="O461" s="81">
        <f>7.6699 * CHOOSE(CONTROL!$C$32, $C$9, 100%, $E$9)</f>
        <v>7.6699000000000002</v>
      </c>
    </row>
    <row r="462" spans="1:15" ht="15" x14ac:dyDescent="0.2">
      <c r="A462" s="16">
        <v>55274</v>
      </c>
      <c r="B462" s="80">
        <f>6.7421 * CHOOSE(CONTROL!$C$32, $C$9, 100%, $E$9)</f>
        <v>6.7420999999999998</v>
      </c>
      <c r="C462" s="80">
        <f>6.7421 * CHOOSE(CONTROL!$C$32, $C$9, 100%, $E$9)</f>
        <v>6.7420999999999998</v>
      </c>
      <c r="D462" s="80">
        <f>6.7437 * CHOOSE(CONTROL!$C$32, $C$9, 100%, $E$9)</f>
        <v>6.7436999999999996</v>
      </c>
      <c r="E462" s="81">
        <f>7.7182 * CHOOSE(CONTROL!$C$32, $C$9, 100%, $E$9)</f>
        <v>7.7182000000000004</v>
      </c>
      <c r="F462" s="81">
        <f>7.7182 * CHOOSE(CONTROL!$C$32, $C$9, 100%, $E$9)</f>
        <v>7.7182000000000004</v>
      </c>
      <c r="G462" s="81">
        <f>7.7235 * CHOOSE(CONTROL!$C$32, $C$9, 100%, $E$9)</f>
        <v>7.7234999999999996</v>
      </c>
      <c r="H462" s="81">
        <f>14.7783 * CHOOSE(CONTROL!$C$32, $C$9, 100%, $E$9)</f>
        <v>14.7783</v>
      </c>
      <c r="I462" s="81">
        <f>14.7836 * CHOOSE(CONTROL!$C$32, $C$9, 100%, $E$9)</f>
        <v>14.7836</v>
      </c>
      <c r="J462" s="81">
        <f>14.7783 * CHOOSE(CONTROL!$C$32, $C$9, 100%, $E$9)</f>
        <v>14.7783</v>
      </c>
      <c r="K462" s="81">
        <f>14.7836 * CHOOSE(CONTROL!$C$32, $C$9, 100%, $E$9)</f>
        <v>14.7836</v>
      </c>
      <c r="L462" s="81">
        <f>7.7182 * CHOOSE(CONTROL!$C$32, $C$9, 100%, $E$9)</f>
        <v>7.7182000000000004</v>
      </c>
      <c r="M462" s="81">
        <f>7.7235 * CHOOSE(CONTROL!$C$32, $C$9, 100%, $E$9)</f>
        <v>7.7234999999999996</v>
      </c>
      <c r="N462" s="81">
        <f>7.7182 * CHOOSE(CONTROL!$C$32, $C$9, 100%, $E$9)</f>
        <v>7.7182000000000004</v>
      </c>
      <c r="O462" s="81">
        <f>7.7235 * CHOOSE(CONTROL!$C$32, $C$9, 100%, $E$9)</f>
        <v>7.7234999999999996</v>
      </c>
    </row>
    <row r="463" spans="1:15" ht="15" x14ac:dyDescent="0.2">
      <c r="A463" s="16">
        <v>55305</v>
      </c>
      <c r="B463" s="80">
        <f>6.7482 * CHOOSE(CONTROL!$C$32, $C$9, 100%, $E$9)</f>
        <v>6.7481999999999998</v>
      </c>
      <c r="C463" s="80">
        <f>6.7482 * CHOOSE(CONTROL!$C$32, $C$9, 100%, $E$9)</f>
        <v>6.7481999999999998</v>
      </c>
      <c r="D463" s="80">
        <f>6.7498 * CHOOSE(CONTROL!$C$32, $C$9, 100%, $E$9)</f>
        <v>6.7497999999999996</v>
      </c>
      <c r="E463" s="81">
        <f>7.6706 * CHOOSE(CONTROL!$C$32, $C$9, 100%, $E$9)</f>
        <v>7.6706000000000003</v>
      </c>
      <c r="F463" s="81">
        <f>7.6706 * CHOOSE(CONTROL!$C$32, $C$9, 100%, $E$9)</f>
        <v>7.6706000000000003</v>
      </c>
      <c r="G463" s="81">
        <f>7.6759 * CHOOSE(CONTROL!$C$32, $C$9, 100%, $E$9)</f>
        <v>7.6759000000000004</v>
      </c>
      <c r="H463" s="81">
        <f>14.8091 * CHOOSE(CONTROL!$C$32, $C$9, 100%, $E$9)</f>
        <v>14.809100000000001</v>
      </c>
      <c r="I463" s="81">
        <f>14.8144 * CHOOSE(CONTROL!$C$32, $C$9, 100%, $E$9)</f>
        <v>14.814399999999999</v>
      </c>
      <c r="J463" s="81">
        <f>14.8091 * CHOOSE(CONTROL!$C$32, $C$9, 100%, $E$9)</f>
        <v>14.809100000000001</v>
      </c>
      <c r="K463" s="81">
        <f>14.8144 * CHOOSE(CONTROL!$C$32, $C$9, 100%, $E$9)</f>
        <v>14.814399999999999</v>
      </c>
      <c r="L463" s="81">
        <f>7.6706 * CHOOSE(CONTROL!$C$32, $C$9, 100%, $E$9)</f>
        <v>7.6706000000000003</v>
      </c>
      <c r="M463" s="81">
        <f>7.6759 * CHOOSE(CONTROL!$C$32, $C$9, 100%, $E$9)</f>
        <v>7.6759000000000004</v>
      </c>
      <c r="N463" s="81">
        <f>7.6706 * CHOOSE(CONTROL!$C$32, $C$9, 100%, $E$9)</f>
        <v>7.6706000000000003</v>
      </c>
      <c r="O463" s="81">
        <f>7.6759 * CHOOSE(CONTROL!$C$32, $C$9, 100%, $E$9)</f>
        <v>7.6759000000000004</v>
      </c>
    </row>
    <row r="464" spans="1:15" ht="15" x14ac:dyDescent="0.2">
      <c r="A464" s="16">
        <v>55335</v>
      </c>
      <c r="B464" s="80">
        <f>6.8369 * CHOOSE(CONTROL!$C$32, $C$9, 100%, $E$9)</f>
        <v>6.8369</v>
      </c>
      <c r="C464" s="80">
        <f>6.8369 * CHOOSE(CONTROL!$C$32, $C$9, 100%, $E$9)</f>
        <v>6.8369</v>
      </c>
      <c r="D464" s="80">
        <f>6.8385 * CHOOSE(CONTROL!$C$32, $C$9, 100%, $E$9)</f>
        <v>6.8384999999999998</v>
      </c>
      <c r="E464" s="81">
        <f>7.7751 * CHOOSE(CONTROL!$C$32, $C$9, 100%, $E$9)</f>
        <v>7.7751000000000001</v>
      </c>
      <c r="F464" s="81">
        <f>7.7751 * CHOOSE(CONTROL!$C$32, $C$9, 100%, $E$9)</f>
        <v>7.7751000000000001</v>
      </c>
      <c r="G464" s="81">
        <f>7.7804 * CHOOSE(CONTROL!$C$32, $C$9, 100%, $E$9)</f>
        <v>7.7804000000000002</v>
      </c>
      <c r="H464" s="81">
        <f>14.84 * CHOOSE(CONTROL!$C$32, $C$9, 100%, $E$9)</f>
        <v>14.84</v>
      </c>
      <c r="I464" s="81">
        <f>14.8453 * CHOOSE(CONTROL!$C$32, $C$9, 100%, $E$9)</f>
        <v>14.8453</v>
      </c>
      <c r="J464" s="81">
        <f>14.84 * CHOOSE(CONTROL!$C$32, $C$9, 100%, $E$9)</f>
        <v>14.84</v>
      </c>
      <c r="K464" s="81">
        <f>14.8453 * CHOOSE(CONTROL!$C$32, $C$9, 100%, $E$9)</f>
        <v>14.8453</v>
      </c>
      <c r="L464" s="81">
        <f>7.7751 * CHOOSE(CONTROL!$C$32, $C$9, 100%, $E$9)</f>
        <v>7.7751000000000001</v>
      </c>
      <c r="M464" s="81">
        <f>7.7804 * CHOOSE(CONTROL!$C$32, $C$9, 100%, $E$9)</f>
        <v>7.7804000000000002</v>
      </c>
      <c r="N464" s="81">
        <f>7.7751 * CHOOSE(CONTROL!$C$32, $C$9, 100%, $E$9)</f>
        <v>7.7751000000000001</v>
      </c>
      <c r="O464" s="81">
        <f>7.7804 * CHOOSE(CONTROL!$C$32, $C$9, 100%, $E$9)</f>
        <v>7.7804000000000002</v>
      </c>
    </row>
    <row r="465" spans="1:15" ht="15" x14ac:dyDescent="0.2">
      <c r="A465" s="16">
        <v>55366</v>
      </c>
      <c r="B465" s="80">
        <f>6.8436 * CHOOSE(CONTROL!$C$32, $C$9, 100%, $E$9)</f>
        <v>6.8436000000000003</v>
      </c>
      <c r="C465" s="80">
        <f>6.8436 * CHOOSE(CONTROL!$C$32, $C$9, 100%, $E$9)</f>
        <v>6.8436000000000003</v>
      </c>
      <c r="D465" s="80">
        <f>6.8452 * CHOOSE(CONTROL!$C$32, $C$9, 100%, $E$9)</f>
        <v>6.8452000000000002</v>
      </c>
      <c r="E465" s="81">
        <f>7.6241 * CHOOSE(CONTROL!$C$32, $C$9, 100%, $E$9)</f>
        <v>7.6241000000000003</v>
      </c>
      <c r="F465" s="81">
        <f>7.6241 * CHOOSE(CONTROL!$C$32, $C$9, 100%, $E$9)</f>
        <v>7.6241000000000003</v>
      </c>
      <c r="G465" s="81">
        <f>7.6294 * CHOOSE(CONTROL!$C$32, $C$9, 100%, $E$9)</f>
        <v>7.6294000000000004</v>
      </c>
      <c r="H465" s="81">
        <f>14.8709 * CHOOSE(CONTROL!$C$32, $C$9, 100%, $E$9)</f>
        <v>14.870900000000001</v>
      </c>
      <c r="I465" s="81">
        <f>14.8762 * CHOOSE(CONTROL!$C$32, $C$9, 100%, $E$9)</f>
        <v>14.876200000000001</v>
      </c>
      <c r="J465" s="81">
        <f>14.8709 * CHOOSE(CONTROL!$C$32, $C$9, 100%, $E$9)</f>
        <v>14.870900000000001</v>
      </c>
      <c r="K465" s="81">
        <f>14.8762 * CHOOSE(CONTROL!$C$32, $C$9, 100%, $E$9)</f>
        <v>14.876200000000001</v>
      </c>
      <c r="L465" s="81">
        <f>7.6241 * CHOOSE(CONTROL!$C$32, $C$9, 100%, $E$9)</f>
        <v>7.6241000000000003</v>
      </c>
      <c r="M465" s="81">
        <f>7.6294 * CHOOSE(CONTROL!$C$32, $C$9, 100%, $E$9)</f>
        <v>7.6294000000000004</v>
      </c>
      <c r="N465" s="81">
        <f>7.6241 * CHOOSE(CONTROL!$C$32, $C$9, 100%, $E$9)</f>
        <v>7.6241000000000003</v>
      </c>
      <c r="O465" s="81">
        <f>7.6294 * CHOOSE(CONTROL!$C$32, $C$9, 100%, $E$9)</f>
        <v>7.6294000000000004</v>
      </c>
    </row>
    <row r="466" spans="1:15" ht="15" x14ac:dyDescent="0.2">
      <c r="A466" s="16">
        <v>55397</v>
      </c>
      <c r="B466" s="80">
        <f>6.8406 * CHOOSE(CONTROL!$C$32, $C$9, 100%, $E$9)</f>
        <v>6.8406000000000002</v>
      </c>
      <c r="C466" s="80">
        <f>6.8406 * CHOOSE(CONTROL!$C$32, $C$9, 100%, $E$9)</f>
        <v>6.8406000000000002</v>
      </c>
      <c r="D466" s="80">
        <f>6.8422 * CHOOSE(CONTROL!$C$32, $C$9, 100%, $E$9)</f>
        <v>6.8422000000000001</v>
      </c>
      <c r="E466" s="81">
        <f>7.6046 * CHOOSE(CONTROL!$C$32, $C$9, 100%, $E$9)</f>
        <v>7.6045999999999996</v>
      </c>
      <c r="F466" s="81">
        <f>7.6046 * CHOOSE(CONTROL!$C$32, $C$9, 100%, $E$9)</f>
        <v>7.6045999999999996</v>
      </c>
      <c r="G466" s="81">
        <f>7.6099 * CHOOSE(CONTROL!$C$32, $C$9, 100%, $E$9)</f>
        <v>7.6098999999999997</v>
      </c>
      <c r="H466" s="81">
        <f>14.9019 * CHOOSE(CONTROL!$C$32, $C$9, 100%, $E$9)</f>
        <v>14.901899999999999</v>
      </c>
      <c r="I466" s="81">
        <f>14.9072 * CHOOSE(CONTROL!$C$32, $C$9, 100%, $E$9)</f>
        <v>14.9072</v>
      </c>
      <c r="J466" s="81">
        <f>14.9019 * CHOOSE(CONTROL!$C$32, $C$9, 100%, $E$9)</f>
        <v>14.901899999999999</v>
      </c>
      <c r="K466" s="81">
        <f>14.9072 * CHOOSE(CONTROL!$C$32, $C$9, 100%, $E$9)</f>
        <v>14.9072</v>
      </c>
      <c r="L466" s="81">
        <f>7.6046 * CHOOSE(CONTROL!$C$32, $C$9, 100%, $E$9)</f>
        <v>7.6045999999999996</v>
      </c>
      <c r="M466" s="81">
        <f>7.6099 * CHOOSE(CONTROL!$C$32, $C$9, 100%, $E$9)</f>
        <v>7.6098999999999997</v>
      </c>
      <c r="N466" s="81">
        <f>7.6046 * CHOOSE(CONTROL!$C$32, $C$9, 100%, $E$9)</f>
        <v>7.6045999999999996</v>
      </c>
      <c r="O466" s="81">
        <f>7.6099 * CHOOSE(CONTROL!$C$32, $C$9, 100%, $E$9)</f>
        <v>7.6098999999999997</v>
      </c>
    </row>
    <row r="467" spans="1:15" ht="15" x14ac:dyDescent="0.2">
      <c r="A467" s="16">
        <v>55427</v>
      </c>
      <c r="B467" s="80">
        <f>6.8462 * CHOOSE(CONTROL!$C$32, $C$9, 100%, $E$9)</f>
        <v>6.8461999999999996</v>
      </c>
      <c r="C467" s="80">
        <f>6.8462 * CHOOSE(CONTROL!$C$32, $C$9, 100%, $E$9)</f>
        <v>6.8461999999999996</v>
      </c>
      <c r="D467" s="80">
        <f>6.8473 * CHOOSE(CONTROL!$C$32, $C$9, 100%, $E$9)</f>
        <v>6.8472999999999997</v>
      </c>
      <c r="E467" s="81">
        <f>7.6604 * CHOOSE(CONTROL!$C$32, $C$9, 100%, $E$9)</f>
        <v>7.6604000000000001</v>
      </c>
      <c r="F467" s="81">
        <f>7.6604 * CHOOSE(CONTROL!$C$32, $C$9, 100%, $E$9)</f>
        <v>7.6604000000000001</v>
      </c>
      <c r="G467" s="81">
        <f>7.6641 * CHOOSE(CONTROL!$C$32, $C$9, 100%, $E$9)</f>
        <v>7.6641000000000004</v>
      </c>
      <c r="H467" s="81">
        <f>14.9329 * CHOOSE(CONTROL!$C$32, $C$9, 100%, $E$9)</f>
        <v>14.9329</v>
      </c>
      <c r="I467" s="81">
        <f>14.9366 * CHOOSE(CONTROL!$C$32, $C$9, 100%, $E$9)</f>
        <v>14.9366</v>
      </c>
      <c r="J467" s="81">
        <f>14.9329 * CHOOSE(CONTROL!$C$32, $C$9, 100%, $E$9)</f>
        <v>14.9329</v>
      </c>
      <c r="K467" s="81">
        <f>14.9366 * CHOOSE(CONTROL!$C$32, $C$9, 100%, $E$9)</f>
        <v>14.9366</v>
      </c>
      <c r="L467" s="81">
        <f>7.6604 * CHOOSE(CONTROL!$C$32, $C$9, 100%, $E$9)</f>
        <v>7.6604000000000001</v>
      </c>
      <c r="M467" s="81">
        <f>7.6641 * CHOOSE(CONTROL!$C$32, $C$9, 100%, $E$9)</f>
        <v>7.6641000000000004</v>
      </c>
      <c r="N467" s="81">
        <f>7.6604 * CHOOSE(CONTROL!$C$32, $C$9, 100%, $E$9)</f>
        <v>7.6604000000000001</v>
      </c>
      <c r="O467" s="81">
        <f>7.6641 * CHOOSE(CONTROL!$C$32, $C$9, 100%, $E$9)</f>
        <v>7.6641000000000004</v>
      </c>
    </row>
    <row r="468" spans="1:15" ht="15" x14ac:dyDescent="0.2">
      <c r="A468" s="16">
        <v>55458</v>
      </c>
      <c r="B468" s="80">
        <f>6.8492 * CHOOSE(CONTROL!$C$32, $C$9, 100%, $E$9)</f>
        <v>6.8491999999999997</v>
      </c>
      <c r="C468" s="80">
        <f>6.8492 * CHOOSE(CONTROL!$C$32, $C$9, 100%, $E$9)</f>
        <v>6.8491999999999997</v>
      </c>
      <c r="D468" s="80">
        <f>6.8503 * CHOOSE(CONTROL!$C$32, $C$9, 100%, $E$9)</f>
        <v>6.8502999999999998</v>
      </c>
      <c r="E468" s="81">
        <f>7.6972 * CHOOSE(CONTROL!$C$32, $C$9, 100%, $E$9)</f>
        <v>7.6971999999999996</v>
      </c>
      <c r="F468" s="81">
        <f>7.6972 * CHOOSE(CONTROL!$C$32, $C$9, 100%, $E$9)</f>
        <v>7.6971999999999996</v>
      </c>
      <c r="G468" s="81">
        <f>7.7008 * CHOOSE(CONTROL!$C$32, $C$9, 100%, $E$9)</f>
        <v>7.7008000000000001</v>
      </c>
      <c r="H468" s="81">
        <f>14.964 * CHOOSE(CONTROL!$C$32, $C$9, 100%, $E$9)</f>
        <v>14.964</v>
      </c>
      <c r="I468" s="81">
        <f>14.9677 * CHOOSE(CONTROL!$C$32, $C$9, 100%, $E$9)</f>
        <v>14.967700000000001</v>
      </c>
      <c r="J468" s="81">
        <f>14.964 * CHOOSE(CONTROL!$C$32, $C$9, 100%, $E$9)</f>
        <v>14.964</v>
      </c>
      <c r="K468" s="81">
        <f>14.9677 * CHOOSE(CONTROL!$C$32, $C$9, 100%, $E$9)</f>
        <v>14.967700000000001</v>
      </c>
      <c r="L468" s="81">
        <f>7.6972 * CHOOSE(CONTROL!$C$32, $C$9, 100%, $E$9)</f>
        <v>7.6971999999999996</v>
      </c>
      <c r="M468" s="81">
        <f>7.7008 * CHOOSE(CONTROL!$C$32, $C$9, 100%, $E$9)</f>
        <v>7.7008000000000001</v>
      </c>
      <c r="N468" s="81">
        <f>7.6972 * CHOOSE(CONTROL!$C$32, $C$9, 100%, $E$9)</f>
        <v>7.6971999999999996</v>
      </c>
      <c r="O468" s="81">
        <f>7.7008 * CHOOSE(CONTROL!$C$32, $C$9, 100%, $E$9)</f>
        <v>7.7008000000000001</v>
      </c>
    </row>
    <row r="469" spans="1:15" ht="15" x14ac:dyDescent="0.2">
      <c r="A469" s="16">
        <v>55488</v>
      </c>
      <c r="B469" s="80">
        <f>6.8492 * CHOOSE(CONTROL!$C$32, $C$9, 100%, $E$9)</f>
        <v>6.8491999999999997</v>
      </c>
      <c r="C469" s="80">
        <f>6.8492 * CHOOSE(CONTROL!$C$32, $C$9, 100%, $E$9)</f>
        <v>6.8491999999999997</v>
      </c>
      <c r="D469" s="80">
        <f>6.8503 * CHOOSE(CONTROL!$C$32, $C$9, 100%, $E$9)</f>
        <v>6.8502999999999998</v>
      </c>
      <c r="E469" s="81">
        <f>7.6106 * CHOOSE(CONTROL!$C$32, $C$9, 100%, $E$9)</f>
        <v>7.6105999999999998</v>
      </c>
      <c r="F469" s="81">
        <f>7.6106 * CHOOSE(CONTROL!$C$32, $C$9, 100%, $E$9)</f>
        <v>7.6105999999999998</v>
      </c>
      <c r="G469" s="81">
        <f>7.6143 * CHOOSE(CONTROL!$C$32, $C$9, 100%, $E$9)</f>
        <v>7.6143000000000001</v>
      </c>
      <c r="H469" s="81">
        <f>14.9952 * CHOOSE(CONTROL!$C$32, $C$9, 100%, $E$9)</f>
        <v>14.995200000000001</v>
      </c>
      <c r="I469" s="81">
        <f>14.9988 * CHOOSE(CONTROL!$C$32, $C$9, 100%, $E$9)</f>
        <v>14.998799999999999</v>
      </c>
      <c r="J469" s="81">
        <f>14.9952 * CHOOSE(CONTROL!$C$32, $C$9, 100%, $E$9)</f>
        <v>14.995200000000001</v>
      </c>
      <c r="K469" s="81">
        <f>14.9988 * CHOOSE(CONTROL!$C$32, $C$9, 100%, $E$9)</f>
        <v>14.998799999999999</v>
      </c>
      <c r="L469" s="81">
        <f>7.6106 * CHOOSE(CONTROL!$C$32, $C$9, 100%, $E$9)</f>
        <v>7.6105999999999998</v>
      </c>
      <c r="M469" s="81">
        <f>7.6143 * CHOOSE(CONTROL!$C$32, $C$9, 100%, $E$9)</f>
        <v>7.6143000000000001</v>
      </c>
      <c r="N469" s="81">
        <f>7.6106 * CHOOSE(CONTROL!$C$32, $C$9, 100%, $E$9)</f>
        <v>7.6105999999999998</v>
      </c>
      <c r="O469" s="81">
        <f>7.6143 * CHOOSE(CONTROL!$C$32, $C$9, 100%, $E$9)</f>
        <v>7.6143000000000001</v>
      </c>
    </row>
    <row r="470" spans="1:15" ht="15" x14ac:dyDescent="0.2">
      <c r="A470" s="16">
        <v>55519</v>
      </c>
      <c r="B470" s="80">
        <f>6.901 * CHOOSE(CONTROL!$C$32, $C$9, 100%, $E$9)</f>
        <v>6.9009999999999998</v>
      </c>
      <c r="C470" s="80">
        <f>6.901 * CHOOSE(CONTROL!$C$32, $C$9, 100%, $E$9)</f>
        <v>6.9009999999999998</v>
      </c>
      <c r="D470" s="80">
        <f>6.9021 * CHOOSE(CONTROL!$C$32, $C$9, 100%, $E$9)</f>
        <v>6.9020999999999999</v>
      </c>
      <c r="E470" s="81">
        <f>7.7372 * CHOOSE(CONTROL!$C$32, $C$9, 100%, $E$9)</f>
        <v>7.7371999999999996</v>
      </c>
      <c r="F470" s="81">
        <f>7.7372 * CHOOSE(CONTROL!$C$32, $C$9, 100%, $E$9)</f>
        <v>7.7371999999999996</v>
      </c>
      <c r="G470" s="81">
        <f>7.7408 * CHOOSE(CONTROL!$C$32, $C$9, 100%, $E$9)</f>
        <v>7.7408000000000001</v>
      </c>
      <c r="H470" s="81">
        <f>15.0265 * CHOOSE(CONTROL!$C$32, $C$9, 100%, $E$9)</f>
        <v>15.0265</v>
      </c>
      <c r="I470" s="81">
        <f>15.0301 * CHOOSE(CONTROL!$C$32, $C$9, 100%, $E$9)</f>
        <v>15.030099999999999</v>
      </c>
      <c r="J470" s="81">
        <f>15.0265 * CHOOSE(CONTROL!$C$32, $C$9, 100%, $E$9)</f>
        <v>15.0265</v>
      </c>
      <c r="K470" s="81">
        <f>15.0301 * CHOOSE(CONTROL!$C$32, $C$9, 100%, $E$9)</f>
        <v>15.030099999999999</v>
      </c>
      <c r="L470" s="81">
        <f>7.7372 * CHOOSE(CONTROL!$C$32, $C$9, 100%, $E$9)</f>
        <v>7.7371999999999996</v>
      </c>
      <c r="M470" s="81">
        <f>7.7408 * CHOOSE(CONTROL!$C$32, $C$9, 100%, $E$9)</f>
        <v>7.7408000000000001</v>
      </c>
      <c r="N470" s="81">
        <f>7.7372 * CHOOSE(CONTROL!$C$32, $C$9, 100%, $E$9)</f>
        <v>7.7371999999999996</v>
      </c>
      <c r="O470" s="81">
        <f>7.7408 * CHOOSE(CONTROL!$C$32, $C$9, 100%, $E$9)</f>
        <v>7.7408000000000001</v>
      </c>
    </row>
    <row r="471" spans="1:15" ht="15" x14ac:dyDescent="0.2">
      <c r="A471" s="16">
        <v>55550</v>
      </c>
      <c r="B471" s="80">
        <f>6.8979 * CHOOSE(CONTROL!$C$32, $C$9, 100%, $E$9)</f>
        <v>6.8978999999999999</v>
      </c>
      <c r="C471" s="80">
        <f>6.8979 * CHOOSE(CONTROL!$C$32, $C$9, 100%, $E$9)</f>
        <v>6.8978999999999999</v>
      </c>
      <c r="D471" s="80">
        <f>6.899 * CHOOSE(CONTROL!$C$32, $C$9, 100%, $E$9)</f>
        <v>6.899</v>
      </c>
      <c r="E471" s="81">
        <f>7.5663 * CHOOSE(CONTROL!$C$32, $C$9, 100%, $E$9)</f>
        <v>7.5663</v>
      </c>
      <c r="F471" s="81">
        <f>7.5663 * CHOOSE(CONTROL!$C$32, $C$9, 100%, $E$9)</f>
        <v>7.5663</v>
      </c>
      <c r="G471" s="81">
        <f>7.5699 * CHOOSE(CONTROL!$C$32, $C$9, 100%, $E$9)</f>
        <v>7.5698999999999996</v>
      </c>
      <c r="H471" s="81">
        <f>15.0578 * CHOOSE(CONTROL!$C$32, $C$9, 100%, $E$9)</f>
        <v>15.0578</v>
      </c>
      <c r="I471" s="81">
        <f>15.0614 * CHOOSE(CONTROL!$C$32, $C$9, 100%, $E$9)</f>
        <v>15.061400000000001</v>
      </c>
      <c r="J471" s="81">
        <f>15.0578 * CHOOSE(CONTROL!$C$32, $C$9, 100%, $E$9)</f>
        <v>15.0578</v>
      </c>
      <c r="K471" s="81">
        <f>15.0614 * CHOOSE(CONTROL!$C$32, $C$9, 100%, $E$9)</f>
        <v>15.061400000000001</v>
      </c>
      <c r="L471" s="81">
        <f>7.5663 * CHOOSE(CONTROL!$C$32, $C$9, 100%, $E$9)</f>
        <v>7.5663</v>
      </c>
      <c r="M471" s="81">
        <f>7.5699 * CHOOSE(CONTROL!$C$32, $C$9, 100%, $E$9)</f>
        <v>7.5698999999999996</v>
      </c>
      <c r="N471" s="81">
        <f>7.5663 * CHOOSE(CONTROL!$C$32, $C$9, 100%, $E$9)</f>
        <v>7.5663</v>
      </c>
      <c r="O471" s="81">
        <f>7.5699 * CHOOSE(CONTROL!$C$32, $C$9, 100%, $E$9)</f>
        <v>7.5698999999999996</v>
      </c>
    </row>
    <row r="472" spans="1:15" ht="15" x14ac:dyDescent="0.2">
      <c r="A472" s="16">
        <v>55579</v>
      </c>
      <c r="B472" s="80">
        <f>6.8949 * CHOOSE(CONTROL!$C$32, $C$9, 100%, $E$9)</f>
        <v>6.8948999999999998</v>
      </c>
      <c r="C472" s="80">
        <f>6.8949 * CHOOSE(CONTROL!$C$32, $C$9, 100%, $E$9)</f>
        <v>6.8948999999999998</v>
      </c>
      <c r="D472" s="80">
        <f>6.896 * CHOOSE(CONTROL!$C$32, $C$9, 100%, $E$9)</f>
        <v>6.8959999999999999</v>
      </c>
      <c r="E472" s="81">
        <f>7.6972 * CHOOSE(CONTROL!$C$32, $C$9, 100%, $E$9)</f>
        <v>7.6971999999999996</v>
      </c>
      <c r="F472" s="81">
        <f>7.6972 * CHOOSE(CONTROL!$C$32, $C$9, 100%, $E$9)</f>
        <v>7.6971999999999996</v>
      </c>
      <c r="G472" s="81">
        <f>7.7008 * CHOOSE(CONTROL!$C$32, $C$9, 100%, $E$9)</f>
        <v>7.7008000000000001</v>
      </c>
      <c r="H472" s="81">
        <f>15.0891 * CHOOSE(CONTROL!$C$32, $C$9, 100%, $E$9)</f>
        <v>15.0891</v>
      </c>
      <c r="I472" s="81">
        <f>15.0928 * CHOOSE(CONTROL!$C$32, $C$9, 100%, $E$9)</f>
        <v>15.0928</v>
      </c>
      <c r="J472" s="81">
        <f>15.0891 * CHOOSE(CONTROL!$C$32, $C$9, 100%, $E$9)</f>
        <v>15.0891</v>
      </c>
      <c r="K472" s="81">
        <f>15.0928 * CHOOSE(CONTROL!$C$32, $C$9, 100%, $E$9)</f>
        <v>15.0928</v>
      </c>
      <c r="L472" s="81">
        <f>7.6972 * CHOOSE(CONTROL!$C$32, $C$9, 100%, $E$9)</f>
        <v>7.6971999999999996</v>
      </c>
      <c r="M472" s="81">
        <f>7.7008 * CHOOSE(CONTROL!$C$32, $C$9, 100%, $E$9)</f>
        <v>7.7008000000000001</v>
      </c>
      <c r="N472" s="81">
        <f>7.6972 * CHOOSE(CONTROL!$C$32, $C$9, 100%, $E$9)</f>
        <v>7.6971999999999996</v>
      </c>
      <c r="O472" s="81">
        <f>7.7008 * CHOOSE(CONTROL!$C$32, $C$9, 100%, $E$9)</f>
        <v>7.7008000000000001</v>
      </c>
    </row>
    <row r="473" spans="1:15" ht="15" x14ac:dyDescent="0.2">
      <c r="A473" s="16">
        <v>55610</v>
      </c>
      <c r="B473" s="80">
        <f>6.8953 * CHOOSE(CONTROL!$C$32, $C$9, 100%, $E$9)</f>
        <v>6.8952999999999998</v>
      </c>
      <c r="C473" s="80">
        <f>6.8953 * CHOOSE(CONTROL!$C$32, $C$9, 100%, $E$9)</f>
        <v>6.8952999999999998</v>
      </c>
      <c r="D473" s="80">
        <f>6.8964 * CHOOSE(CONTROL!$C$32, $C$9, 100%, $E$9)</f>
        <v>6.8963999999999999</v>
      </c>
      <c r="E473" s="81">
        <f>7.8359 * CHOOSE(CONTROL!$C$32, $C$9, 100%, $E$9)</f>
        <v>7.8358999999999996</v>
      </c>
      <c r="F473" s="81">
        <f>7.8359 * CHOOSE(CONTROL!$C$32, $C$9, 100%, $E$9)</f>
        <v>7.8358999999999996</v>
      </c>
      <c r="G473" s="81">
        <f>7.8395 * CHOOSE(CONTROL!$C$32, $C$9, 100%, $E$9)</f>
        <v>7.8395000000000001</v>
      </c>
      <c r="H473" s="81">
        <f>15.1206 * CHOOSE(CONTROL!$C$32, $C$9, 100%, $E$9)</f>
        <v>15.1206</v>
      </c>
      <c r="I473" s="81">
        <f>15.1242 * CHOOSE(CONTROL!$C$32, $C$9, 100%, $E$9)</f>
        <v>15.1242</v>
      </c>
      <c r="J473" s="81">
        <f>15.1206 * CHOOSE(CONTROL!$C$32, $C$9, 100%, $E$9)</f>
        <v>15.1206</v>
      </c>
      <c r="K473" s="81">
        <f>15.1242 * CHOOSE(CONTROL!$C$32, $C$9, 100%, $E$9)</f>
        <v>15.1242</v>
      </c>
      <c r="L473" s="81">
        <f>7.8359 * CHOOSE(CONTROL!$C$32, $C$9, 100%, $E$9)</f>
        <v>7.8358999999999996</v>
      </c>
      <c r="M473" s="81">
        <f>7.8395 * CHOOSE(CONTROL!$C$32, $C$9, 100%, $E$9)</f>
        <v>7.8395000000000001</v>
      </c>
      <c r="N473" s="81">
        <f>7.8359 * CHOOSE(CONTROL!$C$32, $C$9, 100%, $E$9)</f>
        <v>7.8358999999999996</v>
      </c>
      <c r="O473" s="81">
        <f>7.8395 * CHOOSE(CONTROL!$C$32, $C$9, 100%, $E$9)</f>
        <v>7.8395000000000001</v>
      </c>
    </row>
    <row r="474" spans="1:15" ht="15" x14ac:dyDescent="0.2">
      <c r="A474" s="16">
        <v>55640</v>
      </c>
      <c r="B474" s="80">
        <f>6.8953 * CHOOSE(CONTROL!$C$32, $C$9, 100%, $E$9)</f>
        <v>6.8952999999999998</v>
      </c>
      <c r="C474" s="80">
        <f>6.8953 * CHOOSE(CONTROL!$C$32, $C$9, 100%, $E$9)</f>
        <v>6.8952999999999998</v>
      </c>
      <c r="D474" s="80">
        <f>6.8969 * CHOOSE(CONTROL!$C$32, $C$9, 100%, $E$9)</f>
        <v>6.8968999999999996</v>
      </c>
      <c r="E474" s="81">
        <f>7.8895 * CHOOSE(CONTROL!$C$32, $C$9, 100%, $E$9)</f>
        <v>7.8895</v>
      </c>
      <c r="F474" s="81">
        <f>7.8895 * CHOOSE(CONTROL!$C$32, $C$9, 100%, $E$9)</f>
        <v>7.8895</v>
      </c>
      <c r="G474" s="81">
        <f>7.8948 * CHOOSE(CONTROL!$C$32, $C$9, 100%, $E$9)</f>
        <v>7.8948</v>
      </c>
      <c r="H474" s="81">
        <f>15.1521 * CHOOSE(CONTROL!$C$32, $C$9, 100%, $E$9)</f>
        <v>15.152100000000001</v>
      </c>
      <c r="I474" s="81">
        <f>15.1574 * CHOOSE(CONTROL!$C$32, $C$9, 100%, $E$9)</f>
        <v>15.157400000000001</v>
      </c>
      <c r="J474" s="81">
        <f>15.1521 * CHOOSE(CONTROL!$C$32, $C$9, 100%, $E$9)</f>
        <v>15.152100000000001</v>
      </c>
      <c r="K474" s="81">
        <f>15.1574 * CHOOSE(CONTROL!$C$32, $C$9, 100%, $E$9)</f>
        <v>15.157400000000001</v>
      </c>
      <c r="L474" s="81">
        <f>7.8895 * CHOOSE(CONTROL!$C$32, $C$9, 100%, $E$9)</f>
        <v>7.8895</v>
      </c>
      <c r="M474" s="81">
        <f>7.8948 * CHOOSE(CONTROL!$C$32, $C$9, 100%, $E$9)</f>
        <v>7.8948</v>
      </c>
      <c r="N474" s="81">
        <f>7.8895 * CHOOSE(CONTROL!$C$32, $C$9, 100%, $E$9)</f>
        <v>7.8895</v>
      </c>
      <c r="O474" s="81">
        <f>7.8948 * CHOOSE(CONTROL!$C$32, $C$9, 100%, $E$9)</f>
        <v>7.8948</v>
      </c>
    </row>
    <row r="475" spans="1:15" ht="15" x14ac:dyDescent="0.2">
      <c r="A475" s="16">
        <v>55671</v>
      </c>
      <c r="B475" s="80">
        <f>6.9014 * CHOOSE(CONTROL!$C$32, $C$9, 100%, $E$9)</f>
        <v>6.9013999999999998</v>
      </c>
      <c r="C475" s="80">
        <f>6.9014 * CHOOSE(CONTROL!$C$32, $C$9, 100%, $E$9)</f>
        <v>6.9013999999999998</v>
      </c>
      <c r="D475" s="80">
        <f>6.903 * CHOOSE(CONTROL!$C$32, $C$9, 100%, $E$9)</f>
        <v>6.9029999999999996</v>
      </c>
      <c r="E475" s="81">
        <f>7.8402 * CHOOSE(CONTROL!$C$32, $C$9, 100%, $E$9)</f>
        <v>7.8402000000000003</v>
      </c>
      <c r="F475" s="81">
        <f>7.8402 * CHOOSE(CONTROL!$C$32, $C$9, 100%, $E$9)</f>
        <v>7.8402000000000003</v>
      </c>
      <c r="G475" s="81">
        <f>7.8455 * CHOOSE(CONTROL!$C$32, $C$9, 100%, $E$9)</f>
        <v>7.8455000000000004</v>
      </c>
      <c r="H475" s="81">
        <f>15.1836 * CHOOSE(CONTROL!$C$32, $C$9, 100%, $E$9)</f>
        <v>15.1836</v>
      </c>
      <c r="I475" s="81">
        <f>15.1889 * CHOOSE(CONTROL!$C$32, $C$9, 100%, $E$9)</f>
        <v>15.1889</v>
      </c>
      <c r="J475" s="81">
        <f>15.1836 * CHOOSE(CONTROL!$C$32, $C$9, 100%, $E$9)</f>
        <v>15.1836</v>
      </c>
      <c r="K475" s="81">
        <f>15.1889 * CHOOSE(CONTROL!$C$32, $C$9, 100%, $E$9)</f>
        <v>15.1889</v>
      </c>
      <c r="L475" s="81">
        <f>7.8402 * CHOOSE(CONTROL!$C$32, $C$9, 100%, $E$9)</f>
        <v>7.8402000000000003</v>
      </c>
      <c r="M475" s="81">
        <f>7.8455 * CHOOSE(CONTROL!$C$32, $C$9, 100%, $E$9)</f>
        <v>7.8455000000000004</v>
      </c>
      <c r="N475" s="81">
        <f>7.8402 * CHOOSE(CONTROL!$C$32, $C$9, 100%, $E$9)</f>
        <v>7.8402000000000003</v>
      </c>
      <c r="O475" s="81">
        <f>7.8455 * CHOOSE(CONTROL!$C$32, $C$9, 100%, $E$9)</f>
        <v>7.8455000000000004</v>
      </c>
    </row>
    <row r="476" spans="1:15" ht="15" x14ac:dyDescent="0.2">
      <c r="A476" s="16">
        <v>55701</v>
      </c>
      <c r="B476" s="80">
        <f>6.9918 * CHOOSE(CONTROL!$C$32, $C$9, 100%, $E$9)</f>
        <v>6.9917999999999996</v>
      </c>
      <c r="C476" s="80">
        <f>6.9918 * CHOOSE(CONTROL!$C$32, $C$9, 100%, $E$9)</f>
        <v>6.9917999999999996</v>
      </c>
      <c r="D476" s="80">
        <f>6.9934 * CHOOSE(CONTROL!$C$32, $C$9, 100%, $E$9)</f>
        <v>6.9934000000000003</v>
      </c>
      <c r="E476" s="81">
        <f>7.9482 * CHOOSE(CONTROL!$C$32, $C$9, 100%, $E$9)</f>
        <v>7.9481999999999999</v>
      </c>
      <c r="F476" s="81">
        <f>7.9482 * CHOOSE(CONTROL!$C$32, $C$9, 100%, $E$9)</f>
        <v>7.9481999999999999</v>
      </c>
      <c r="G476" s="81">
        <f>7.9535 * CHOOSE(CONTROL!$C$32, $C$9, 100%, $E$9)</f>
        <v>7.9535</v>
      </c>
      <c r="H476" s="81">
        <f>15.2153 * CHOOSE(CONTROL!$C$32, $C$9, 100%, $E$9)</f>
        <v>15.215299999999999</v>
      </c>
      <c r="I476" s="81">
        <f>15.2206 * CHOOSE(CONTROL!$C$32, $C$9, 100%, $E$9)</f>
        <v>15.220599999999999</v>
      </c>
      <c r="J476" s="81">
        <f>15.2153 * CHOOSE(CONTROL!$C$32, $C$9, 100%, $E$9)</f>
        <v>15.215299999999999</v>
      </c>
      <c r="K476" s="81">
        <f>15.2206 * CHOOSE(CONTROL!$C$32, $C$9, 100%, $E$9)</f>
        <v>15.220599999999999</v>
      </c>
      <c r="L476" s="81">
        <f>7.9482 * CHOOSE(CONTROL!$C$32, $C$9, 100%, $E$9)</f>
        <v>7.9481999999999999</v>
      </c>
      <c r="M476" s="81">
        <f>7.9535 * CHOOSE(CONTROL!$C$32, $C$9, 100%, $E$9)</f>
        <v>7.9535</v>
      </c>
      <c r="N476" s="81">
        <f>7.9482 * CHOOSE(CONTROL!$C$32, $C$9, 100%, $E$9)</f>
        <v>7.9481999999999999</v>
      </c>
      <c r="O476" s="81">
        <f>7.9535 * CHOOSE(CONTROL!$C$32, $C$9, 100%, $E$9)</f>
        <v>7.9535</v>
      </c>
    </row>
    <row r="477" spans="1:15" ht="15" x14ac:dyDescent="0.2">
      <c r="A477" s="16">
        <v>55732</v>
      </c>
      <c r="B477" s="80">
        <f>6.9985 * CHOOSE(CONTROL!$C$32, $C$9, 100%, $E$9)</f>
        <v>6.9984999999999999</v>
      </c>
      <c r="C477" s="80">
        <f>6.9985 * CHOOSE(CONTROL!$C$32, $C$9, 100%, $E$9)</f>
        <v>6.9984999999999999</v>
      </c>
      <c r="D477" s="80">
        <f>7.0001 * CHOOSE(CONTROL!$C$32, $C$9, 100%, $E$9)</f>
        <v>7.0000999999999998</v>
      </c>
      <c r="E477" s="81">
        <f>7.7921 * CHOOSE(CONTROL!$C$32, $C$9, 100%, $E$9)</f>
        <v>7.7920999999999996</v>
      </c>
      <c r="F477" s="81">
        <f>7.7921 * CHOOSE(CONTROL!$C$32, $C$9, 100%, $E$9)</f>
        <v>7.7920999999999996</v>
      </c>
      <c r="G477" s="81">
        <f>7.7974 * CHOOSE(CONTROL!$C$32, $C$9, 100%, $E$9)</f>
        <v>7.7973999999999997</v>
      </c>
      <c r="H477" s="81">
        <f>15.247 * CHOOSE(CONTROL!$C$32, $C$9, 100%, $E$9)</f>
        <v>15.247</v>
      </c>
      <c r="I477" s="81">
        <f>15.2523 * CHOOSE(CONTROL!$C$32, $C$9, 100%, $E$9)</f>
        <v>15.2523</v>
      </c>
      <c r="J477" s="81">
        <f>15.247 * CHOOSE(CONTROL!$C$32, $C$9, 100%, $E$9)</f>
        <v>15.247</v>
      </c>
      <c r="K477" s="81">
        <f>15.2523 * CHOOSE(CONTROL!$C$32, $C$9, 100%, $E$9)</f>
        <v>15.2523</v>
      </c>
      <c r="L477" s="81">
        <f>7.7921 * CHOOSE(CONTROL!$C$32, $C$9, 100%, $E$9)</f>
        <v>7.7920999999999996</v>
      </c>
      <c r="M477" s="81">
        <f>7.7974 * CHOOSE(CONTROL!$C$32, $C$9, 100%, $E$9)</f>
        <v>7.7973999999999997</v>
      </c>
      <c r="N477" s="81">
        <f>7.7921 * CHOOSE(CONTROL!$C$32, $C$9, 100%, $E$9)</f>
        <v>7.7920999999999996</v>
      </c>
      <c r="O477" s="81">
        <f>7.7974 * CHOOSE(CONTROL!$C$32, $C$9, 100%, $E$9)</f>
        <v>7.7973999999999997</v>
      </c>
    </row>
    <row r="478" spans="1:15" ht="15" x14ac:dyDescent="0.2">
      <c r="A478" s="16">
        <v>55763</v>
      </c>
      <c r="B478" s="80">
        <f>6.9955 * CHOOSE(CONTROL!$C$32, $C$9, 100%, $E$9)</f>
        <v>6.9954999999999998</v>
      </c>
      <c r="C478" s="80">
        <f>6.9955 * CHOOSE(CONTROL!$C$32, $C$9, 100%, $E$9)</f>
        <v>6.9954999999999998</v>
      </c>
      <c r="D478" s="80">
        <f>6.997 * CHOOSE(CONTROL!$C$32, $C$9, 100%, $E$9)</f>
        <v>6.9969999999999999</v>
      </c>
      <c r="E478" s="81">
        <f>7.7721 * CHOOSE(CONTROL!$C$32, $C$9, 100%, $E$9)</f>
        <v>7.7721</v>
      </c>
      <c r="F478" s="81">
        <f>7.7721 * CHOOSE(CONTROL!$C$32, $C$9, 100%, $E$9)</f>
        <v>7.7721</v>
      </c>
      <c r="G478" s="81">
        <f>7.7774 * CHOOSE(CONTROL!$C$32, $C$9, 100%, $E$9)</f>
        <v>7.7774000000000001</v>
      </c>
      <c r="H478" s="81">
        <f>15.2787 * CHOOSE(CONTROL!$C$32, $C$9, 100%, $E$9)</f>
        <v>15.278700000000001</v>
      </c>
      <c r="I478" s="81">
        <f>15.284 * CHOOSE(CONTROL!$C$32, $C$9, 100%, $E$9)</f>
        <v>15.284000000000001</v>
      </c>
      <c r="J478" s="81">
        <f>15.2787 * CHOOSE(CONTROL!$C$32, $C$9, 100%, $E$9)</f>
        <v>15.278700000000001</v>
      </c>
      <c r="K478" s="81">
        <f>15.284 * CHOOSE(CONTROL!$C$32, $C$9, 100%, $E$9)</f>
        <v>15.284000000000001</v>
      </c>
      <c r="L478" s="81">
        <f>7.7721 * CHOOSE(CONTROL!$C$32, $C$9, 100%, $E$9)</f>
        <v>7.7721</v>
      </c>
      <c r="M478" s="81">
        <f>7.7774 * CHOOSE(CONTROL!$C$32, $C$9, 100%, $E$9)</f>
        <v>7.7774000000000001</v>
      </c>
      <c r="N478" s="81">
        <f>7.7721 * CHOOSE(CONTROL!$C$32, $C$9, 100%, $E$9)</f>
        <v>7.7721</v>
      </c>
      <c r="O478" s="81">
        <f>7.7774 * CHOOSE(CONTROL!$C$32, $C$9, 100%, $E$9)</f>
        <v>7.7774000000000001</v>
      </c>
    </row>
    <row r="479" spans="1:15" ht="15" x14ac:dyDescent="0.2">
      <c r="A479" s="16">
        <v>55793</v>
      </c>
      <c r="B479" s="80">
        <f>7.0017 * CHOOSE(CONTROL!$C$32, $C$9, 100%, $E$9)</f>
        <v>7.0016999999999996</v>
      </c>
      <c r="C479" s="80">
        <f>7.0017 * CHOOSE(CONTROL!$C$32, $C$9, 100%, $E$9)</f>
        <v>7.0016999999999996</v>
      </c>
      <c r="D479" s="80">
        <f>7.0027 * CHOOSE(CONTROL!$C$32, $C$9, 100%, $E$9)</f>
        <v>7.0026999999999999</v>
      </c>
      <c r="E479" s="81">
        <f>7.8302 * CHOOSE(CONTROL!$C$32, $C$9, 100%, $E$9)</f>
        <v>7.8301999999999996</v>
      </c>
      <c r="F479" s="81">
        <f>7.8302 * CHOOSE(CONTROL!$C$32, $C$9, 100%, $E$9)</f>
        <v>7.8301999999999996</v>
      </c>
      <c r="G479" s="81">
        <f>7.8338 * CHOOSE(CONTROL!$C$32, $C$9, 100%, $E$9)</f>
        <v>7.8338000000000001</v>
      </c>
      <c r="H479" s="81">
        <f>15.3106 * CHOOSE(CONTROL!$C$32, $C$9, 100%, $E$9)</f>
        <v>15.310600000000001</v>
      </c>
      <c r="I479" s="81">
        <f>15.3142 * CHOOSE(CONTROL!$C$32, $C$9, 100%, $E$9)</f>
        <v>15.3142</v>
      </c>
      <c r="J479" s="81">
        <f>15.3106 * CHOOSE(CONTROL!$C$32, $C$9, 100%, $E$9)</f>
        <v>15.310600000000001</v>
      </c>
      <c r="K479" s="81">
        <f>15.3142 * CHOOSE(CONTROL!$C$32, $C$9, 100%, $E$9)</f>
        <v>15.3142</v>
      </c>
      <c r="L479" s="81">
        <f>7.8302 * CHOOSE(CONTROL!$C$32, $C$9, 100%, $E$9)</f>
        <v>7.8301999999999996</v>
      </c>
      <c r="M479" s="81">
        <f>7.8338 * CHOOSE(CONTROL!$C$32, $C$9, 100%, $E$9)</f>
        <v>7.8338000000000001</v>
      </c>
      <c r="N479" s="81">
        <f>7.8302 * CHOOSE(CONTROL!$C$32, $C$9, 100%, $E$9)</f>
        <v>7.8301999999999996</v>
      </c>
      <c r="O479" s="81">
        <f>7.8338 * CHOOSE(CONTROL!$C$32, $C$9, 100%, $E$9)</f>
        <v>7.8338000000000001</v>
      </c>
    </row>
    <row r="480" spans="1:15" ht="15" x14ac:dyDescent="0.2">
      <c r="A480" s="16">
        <v>55824</v>
      </c>
      <c r="B480" s="80">
        <f>7.0047 * CHOOSE(CONTROL!$C$32, $C$9, 100%, $E$9)</f>
        <v>7.0046999999999997</v>
      </c>
      <c r="C480" s="80">
        <f>7.0047 * CHOOSE(CONTROL!$C$32, $C$9, 100%, $E$9)</f>
        <v>7.0046999999999997</v>
      </c>
      <c r="D480" s="80">
        <f>7.0058 * CHOOSE(CONTROL!$C$32, $C$9, 100%, $E$9)</f>
        <v>7.0057999999999998</v>
      </c>
      <c r="E480" s="81">
        <f>7.868 * CHOOSE(CONTROL!$C$32, $C$9, 100%, $E$9)</f>
        <v>7.8680000000000003</v>
      </c>
      <c r="F480" s="81">
        <f>7.868 * CHOOSE(CONTROL!$C$32, $C$9, 100%, $E$9)</f>
        <v>7.8680000000000003</v>
      </c>
      <c r="G480" s="81">
        <f>7.8716 * CHOOSE(CONTROL!$C$32, $C$9, 100%, $E$9)</f>
        <v>7.8715999999999999</v>
      </c>
      <c r="H480" s="81">
        <f>15.3425 * CHOOSE(CONTROL!$C$32, $C$9, 100%, $E$9)</f>
        <v>15.342499999999999</v>
      </c>
      <c r="I480" s="81">
        <f>15.3461 * CHOOSE(CONTROL!$C$32, $C$9, 100%, $E$9)</f>
        <v>15.3461</v>
      </c>
      <c r="J480" s="81">
        <f>15.3425 * CHOOSE(CONTROL!$C$32, $C$9, 100%, $E$9)</f>
        <v>15.342499999999999</v>
      </c>
      <c r="K480" s="81">
        <f>15.3461 * CHOOSE(CONTROL!$C$32, $C$9, 100%, $E$9)</f>
        <v>15.3461</v>
      </c>
      <c r="L480" s="81">
        <f>7.868 * CHOOSE(CONTROL!$C$32, $C$9, 100%, $E$9)</f>
        <v>7.8680000000000003</v>
      </c>
      <c r="M480" s="81">
        <f>7.8716 * CHOOSE(CONTROL!$C$32, $C$9, 100%, $E$9)</f>
        <v>7.8715999999999999</v>
      </c>
      <c r="N480" s="81">
        <f>7.868 * CHOOSE(CONTROL!$C$32, $C$9, 100%, $E$9)</f>
        <v>7.8680000000000003</v>
      </c>
      <c r="O480" s="81">
        <f>7.8716 * CHOOSE(CONTROL!$C$32, $C$9, 100%, $E$9)</f>
        <v>7.8715999999999999</v>
      </c>
    </row>
    <row r="481" spans="1:15" ht="15" x14ac:dyDescent="0.2">
      <c r="A481" s="16">
        <v>55854</v>
      </c>
      <c r="B481" s="80">
        <f>7.0047 * CHOOSE(CONTROL!$C$32, $C$9, 100%, $E$9)</f>
        <v>7.0046999999999997</v>
      </c>
      <c r="C481" s="80">
        <f>7.0047 * CHOOSE(CONTROL!$C$32, $C$9, 100%, $E$9)</f>
        <v>7.0046999999999997</v>
      </c>
      <c r="D481" s="80">
        <f>7.0058 * CHOOSE(CONTROL!$C$32, $C$9, 100%, $E$9)</f>
        <v>7.0057999999999998</v>
      </c>
      <c r="E481" s="81">
        <f>7.7787 * CHOOSE(CONTROL!$C$32, $C$9, 100%, $E$9)</f>
        <v>7.7786999999999997</v>
      </c>
      <c r="F481" s="81">
        <f>7.7787 * CHOOSE(CONTROL!$C$32, $C$9, 100%, $E$9)</f>
        <v>7.7786999999999997</v>
      </c>
      <c r="G481" s="81">
        <f>7.7823 * CHOOSE(CONTROL!$C$32, $C$9, 100%, $E$9)</f>
        <v>7.7823000000000002</v>
      </c>
      <c r="H481" s="81">
        <f>15.3744 * CHOOSE(CONTROL!$C$32, $C$9, 100%, $E$9)</f>
        <v>15.3744</v>
      </c>
      <c r="I481" s="81">
        <f>15.378 * CHOOSE(CONTROL!$C$32, $C$9, 100%, $E$9)</f>
        <v>15.378</v>
      </c>
      <c r="J481" s="81">
        <f>15.3744 * CHOOSE(CONTROL!$C$32, $C$9, 100%, $E$9)</f>
        <v>15.3744</v>
      </c>
      <c r="K481" s="81">
        <f>15.378 * CHOOSE(CONTROL!$C$32, $C$9, 100%, $E$9)</f>
        <v>15.378</v>
      </c>
      <c r="L481" s="81">
        <f>7.7787 * CHOOSE(CONTROL!$C$32, $C$9, 100%, $E$9)</f>
        <v>7.7786999999999997</v>
      </c>
      <c r="M481" s="81">
        <f>7.7823 * CHOOSE(CONTROL!$C$32, $C$9, 100%, $E$9)</f>
        <v>7.7823000000000002</v>
      </c>
      <c r="N481" s="81">
        <f>7.7787 * CHOOSE(CONTROL!$C$32, $C$9, 100%, $E$9)</f>
        <v>7.7786999999999997</v>
      </c>
      <c r="O481" s="81">
        <f>7.7823 * CHOOSE(CONTROL!$C$32, $C$9, 100%, $E$9)</f>
        <v>7.7823000000000002</v>
      </c>
    </row>
    <row r="482" spans="1:15" ht="15" x14ac:dyDescent="0.2">
      <c r="A482" s="16">
        <v>55885</v>
      </c>
      <c r="B482" s="80">
        <f>7.0575 * CHOOSE(CONTROL!$C$32, $C$9, 100%, $E$9)</f>
        <v>7.0575000000000001</v>
      </c>
      <c r="C482" s="80">
        <f>7.0575 * CHOOSE(CONTROL!$C$32, $C$9, 100%, $E$9)</f>
        <v>7.0575000000000001</v>
      </c>
      <c r="D482" s="80">
        <f>7.0586 * CHOOSE(CONTROL!$C$32, $C$9, 100%, $E$9)</f>
        <v>7.0586000000000002</v>
      </c>
      <c r="E482" s="81">
        <f>7.9087 * CHOOSE(CONTROL!$C$32, $C$9, 100%, $E$9)</f>
        <v>7.9086999999999996</v>
      </c>
      <c r="F482" s="81">
        <f>7.9087 * CHOOSE(CONTROL!$C$32, $C$9, 100%, $E$9)</f>
        <v>7.9086999999999996</v>
      </c>
      <c r="G482" s="81">
        <f>7.9124 * CHOOSE(CONTROL!$C$32, $C$9, 100%, $E$9)</f>
        <v>7.9123999999999999</v>
      </c>
      <c r="H482" s="81">
        <f>15.4065 * CHOOSE(CONTROL!$C$32, $C$9, 100%, $E$9)</f>
        <v>15.406499999999999</v>
      </c>
      <c r="I482" s="81">
        <f>15.4101 * CHOOSE(CONTROL!$C$32, $C$9, 100%, $E$9)</f>
        <v>15.4101</v>
      </c>
      <c r="J482" s="81">
        <f>15.4065 * CHOOSE(CONTROL!$C$32, $C$9, 100%, $E$9)</f>
        <v>15.406499999999999</v>
      </c>
      <c r="K482" s="81">
        <f>15.4101 * CHOOSE(CONTROL!$C$32, $C$9, 100%, $E$9)</f>
        <v>15.4101</v>
      </c>
      <c r="L482" s="81">
        <f>7.9087 * CHOOSE(CONTROL!$C$32, $C$9, 100%, $E$9)</f>
        <v>7.9086999999999996</v>
      </c>
      <c r="M482" s="81">
        <f>7.9124 * CHOOSE(CONTROL!$C$32, $C$9, 100%, $E$9)</f>
        <v>7.9123999999999999</v>
      </c>
      <c r="N482" s="81">
        <f>7.9087 * CHOOSE(CONTROL!$C$32, $C$9, 100%, $E$9)</f>
        <v>7.9086999999999996</v>
      </c>
      <c r="O482" s="81">
        <f>7.9124 * CHOOSE(CONTROL!$C$32, $C$9, 100%, $E$9)</f>
        <v>7.9123999999999999</v>
      </c>
    </row>
    <row r="483" spans="1:15" ht="15" x14ac:dyDescent="0.2">
      <c r="A483" s="16">
        <v>55916</v>
      </c>
      <c r="B483" s="80">
        <f>7.0545 * CHOOSE(CONTROL!$C$32, $C$9, 100%, $E$9)</f>
        <v>7.0545</v>
      </c>
      <c r="C483" s="80">
        <f>7.0545 * CHOOSE(CONTROL!$C$32, $C$9, 100%, $E$9)</f>
        <v>7.0545</v>
      </c>
      <c r="D483" s="80">
        <f>7.0555 * CHOOSE(CONTROL!$C$32, $C$9, 100%, $E$9)</f>
        <v>7.0555000000000003</v>
      </c>
      <c r="E483" s="81">
        <f>7.7323 * CHOOSE(CONTROL!$C$32, $C$9, 100%, $E$9)</f>
        <v>7.7323000000000004</v>
      </c>
      <c r="F483" s="81">
        <f>7.7323 * CHOOSE(CONTROL!$C$32, $C$9, 100%, $E$9)</f>
        <v>7.7323000000000004</v>
      </c>
      <c r="G483" s="81">
        <f>7.7359 * CHOOSE(CONTROL!$C$32, $C$9, 100%, $E$9)</f>
        <v>7.7359</v>
      </c>
      <c r="H483" s="81">
        <f>15.4386 * CHOOSE(CONTROL!$C$32, $C$9, 100%, $E$9)</f>
        <v>15.438599999999999</v>
      </c>
      <c r="I483" s="81">
        <f>15.4422 * CHOOSE(CONTROL!$C$32, $C$9, 100%, $E$9)</f>
        <v>15.4422</v>
      </c>
      <c r="J483" s="81">
        <f>15.4386 * CHOOSE(CONTROL!$C$32, $C$9, 100%, $E$9)</f>
        <v>15.438599999999999</v>
      </c>
      <c r="K483" s="81">
        <f>15.4422 * CHOOSE(CONTROL!$C$32, $C$9, 100%, $E$9)</f>
        <v>15.4422</v>
      </c>
      <c r="L483" s="81">
        <f>7.7323 * CHOOSE(CONTROL!$C$32, $C$9, 100%, $E$9)</f>
        <v>7.7323000000000004</v>
      </c>
      <c r="M483" s="81">
        <f>7.7359 * CHOOSE(CONTROL!$C$32, $C$9, 100%, $E$9)</f>
        <v>7.7359</v>
      </c>
      <c r="N483" s="81">
        <f>7.7323 * CHOOSE(CONTROL!$C$32, $C$9, 100%, $E$9)</f>
        <v>7.7323000000000004</v>
      </c>
      <c r="O483" s="81">
        <f>7.7359 * CHOOSE(CONTROL!$C$32, $C$9, 100%, $E$9)</f>
        <v>7.7359</v>
      </c>
    </row>
    <row r="484" spans="1:15" ht="15" x14ac:dyDescent="0.2">
      <c r="A484" s="16">
        <v>55944</v>
      </c>
      <c r="B484" s="80">
        <f>7.0514 * CHOOSE(CONTROL!$C$32, $C$9, 100%, $E$9)</f>
        <v>7.0514000000000001</v>
      </c>
      <c r="C484" s="80">
        <f>7.0514 * CHOOSE(CONTROL!$C$32, $C$9, 100%, $E$9)</f>
        <v>7.0514000000000001</v>
      </c>
      <c r="D484" s="80">
        <f>7.0525 * CHOOSE(CONTROL!$C$32, $C$9, 100%, $E$9)</f>
        <v>7.0525000000000002</v>
      </c>
      <c r="E484" s="81">
        <f>7.8676 * CHOOSE(CONTROL!$C$32, $C$9, 100%, $E$9)</f>
        <v>7.8676000000000004</v>
      </c>
      <c r="F484" s="81">
        <f>7.8676 * CHOOSE(CONTROL!$C$32, $C$9, 100%, $E$9)</f>
        <v>7.8676000000000004</v>
      </c>
      <c r="G484" s="81">
        <f>7.8712 * CHOOSE(CONTROL!$C$32, $C$9, 100%, $E$9)</f>
        <v>7.8712</v>
      </c>
      <c r="H484" s="81">
        <f>15.4707 * CHOOSE(CONTROL!$C$32, $C$9, 100%, $E$9)</f>
        <v>15.470700000000001</v>
      </c>
      <c r="I484" s="81">
        <f>15.4743 * CHOOSE(CONTROL!$C$32, $C$9, 100%, $E$9)</f>
        <v>15.474299999999999</v>
      </c>
      <c r="J484" s="81">
        <f>15.4707 * CHOOSE(CONTROL!$C$32, $C$9, 100%, $E$9)</f>
        <v>15.470700000000001</v>
      </c>
      <c r="K484" s="81">
        <f>15.4743 * CHOOSE(CONTROL!$C$32, $C$9, 100%, $E$9)</f>
        <v>15.474299999999999</v>
      </c>
      <c r="L484" s="81">
        <f>7.8676 * CHOOSE(CONTROL!$C$32, $C$9, 100%, $E$9)</f>
        <v>7.8676000000000004</v>
      </c>
      <c r="M484" s="81">
        <f>7.8712 * CHOOSE(CONTROL!$C$32, $C$9, 100%, $E$9)</f>
        <v>7.8712</v>
      </c>
      <c r="N484" s="81">
        <f>7.8676 * CHOOSE(CONTROL!$C$32, $C$9, 100%, $E$9)</f>
        <v>7.8676000000000004</v>
      </c>
      <c r="O484" s="81">
        <f>7.8712 * CHOOSE(CONTROL!$C$32, $C$9, 100%, $E$9)</f>
        <v>7.8712</v>
      </c>
    </row>
    <row r="485" spans="1:15" ht="15" x14ac:dyDescent="0.2">
      <c r="A485" s="16">
        <v>55975</v>
      </c>
      <c r="B485" s="80">
        <f>7.052 * CHOOSE(CONTROL!$C$32, $C$9, 100%, $E$9)</f>
        <v>7.0519999999999996</v>
      </c>
      <c r="C485" s="80">
        <f>7.052 * CHOOSE(CONTROL!$C$32, $C$9, 100%, $E$9)</f>
        <v>7.0519999999999996</v>
      </c>
      <c r="D485" s="80">
        <f>7.0531 * CHOOSE(CONTROL!$C$32, $C$9, 100%, $E$9)</f>
        <v>7.0530999999999997</v>
      </c>
      <c r="E485" s="81">
        <f>8.011 * CHOOSE(CONTROL!$C$32, $C$9, 100%, $E$9)</f>
        <v>8.0109999999999992</v>
      </c>
      <c r="F485" s="81">
        <f>8.011 * CHOOSE(CONTROL!$C$32, $C$9, 100%, $E$9)</f>
        <v>8.0109999999999992</v>
      </c>
      <c r="G485" s="81">
        <f>8.0146 * CHOOSE(CONTROL!$C$32, $C$9, 100%, $E$9)</f>
        <v>8.0145999999999997</v>
      </c>
      <c r="H485" s="81">
        <f>15.5029 * CHOOSE(CONTROL!$C$32, $C$9, 100%, $E$9)</f>
        <v>15.5029</v>
      </c>
      <c r="I485" s="81">
        <f>15.5066 * CHOOSE(CONTROL!$C$32, $C$9, 100%, $E$9)</f>
        <v>15.506600000000001</v>
      </c>
      <c r="J485" s="81">
        <f>15.5029 * CHOOSE(CONTROL!$C$32, $C$9, 100%, $E$9)</f>
        <v>15.5029</v>
      </c>
      <c r="K485" s="81">
        <f>15.5066 * CHOOSE(CONTROL!$C$32, $C$9, 100%, $E$9)</f>
        <v>15.506600000000001</v>
      </c>
      <c r="L485" s="81">
        <f>8.011 * CHOOSE(CONTROL!$C$32, $C$9, 100%, $E$9)</f>
        <v>8.0109999999999992</v>
      </c>
      <c r="M485" s="81">
        <f>8.0146 * CHOOSE(CONTROL!$C$32, $C$9, 100%, $E$9)</f>
        <v>8.0145999999999997</v>
      </c>
      <c r="N485" s="81">
        <f>8.011 * CHOOSE(CONTROL!$C$32, $C$9, 100%, $E$9)</f>
        <v>8.0109999999999992</v>
      </c>
      <c r="O485" s="81">
        <f>8.0146 * CHOOSE(CONTROL!$C$32, $C$9, 100%, $E$9)</f>
        <v>8.0145999999999997</v>
      </c>
    </row>
    <row r="486" spans="1:15" ht="15" x14ac:dyDescent="0.2">
      <c r="A486" s="16">
        <v>56005</v>
      </c>
      <c r="B486" s="80">
        <f>7.052 * CHOOSE(CONTROL!$C$32, $C$9, 100%, $E$9)</f>
        <v>7.0519999999999996</v>
      </c>
      <c r="C486" s="80">
        <f>7.052 * CHOOSE(CONTROL!$C$32, $C$9, 100%, $E$9)</f>
        <v>7.0519999999999996</v>
      </c>
      <c r="D486" s="80">
        <f>7.0536 * CHOOSE(CONTROL!$C$32, $C$9, 100%, $E$9)</f>
        <v>7.0536000000000003</v>
      </c>
      <c r="E486" s="81">
        <f>8.0663 * CHOOSE(CONTROL!$C$32, $C$9, 100%, $E$9)</f>
        <v>8.0663</v>
      </c>
      <c r="F486" s="81">
        <f>8.0663 * CHOOSE(CONTROL!$C$32, $C$9, 100%, $E$9)</f>
        <v>8.0663</v>
      </c>
      <c r="G486" s="81">
        <f>8.0716 * CHOOSE(CONTROL!$C$32, $C$9, 100%, $E$9)</f>
        <v>8.0716000000000001</v>
      </c>
      <c r="H486" s="81">
        <f>15.5352 * CHOOSE(CONTROL!$C$32, $C$9, 100%, $E$9)</f>
        <v>15.5352</v>
      </c>
      <c r="I486" s="81">
        <f>15.5405 * CHOOSE(CONTROL!$C$32, $C$9, 100%, $E$9)</f>
        <v>15.5405</v>
      </c>
      <c r="J486" s="81">
        <f>15.5352 * CHOOSE(CONTROL!$C$32, $C$9, 100%, $E$9)</f>
        <v>15.5352</v>
      </c>
      <c r="K486" s="81">
        <f>15.5405 * CHOOSE(CONTROL!$C$32, $C$9, 100%, $E$9)</f>
        <v>15.5405</v>
      </c>
      <c r="L486" s="81">
        <f>8.0663 * CHOOSE(CONTROL!$C$32, $C$9, 100%, $E$9)</f>
        <v>8.0663</v>
      </c>
      <c r="M486" s="81">
        <f>8.0716 * CHOOSE(CONTROL!$C$32, $C$9, 100%, $E$9)</f>
        <v>8.0716000000000001</v>
      </c>
      <c r="N486" s="81">
        <f>8.0663 * CHOOSE(CONTROL!$C$32, $C$9, 100%, $E$9)</f>
        <v>8.0663</v>
      </c>
      <c r="O486" s="81">
        <f>8.0716 * CHOOSE(CONTROL!$C$32, $C$9, 100%, $E$9)</f>
        <v>8.0716000000000001</v>
      </c>
    </row>
    <row r="487" spans="1:15" ht="15" x14ac:dyDescent="0.2">
      <c r="A487" s="16">
        <v>56036</v>
      </c>
      <c r="B487" s="80">
        <f>7.0581 * CHOOSE(CONTROL!$C$32, $C$9, 100%, $E$9)</f>
        <v>7.0580999999999996</v>
      </c>
      <c r="C487" s="80">
        <f>7.0581 * CHOOSE(CONTROL!$C$32, $C$9, 100%, $E$9)</f>
        <v>7.0580999999999996</v>
      </c>
      <c r="D487" s="80">
        <f>7.0597 * CHOOSE(CONTROL!$C$32, $C$9, 100%, $E$9)</f>
        <v>7.0597000000000003</v>
      </c>
      <c r="E487" s="81">
        <f>8.0152 * CHOOSE(CONTROL!$C$32, $C$9, 100%, $E$9)</f>
        <v>8.0152000000000001</v>
      </c>
      <c r="F487" s="81">
        <f>8.0152 * CHOOSE(CONTROL!$C$32, $C$9, 100%, $E$9)</f>
        <v>8.0152000000000001</v>
      </c>
      <c r="G487" s="81">
        <f>8.0205 * CHOOSE(CONTROL!$C$32, $C$9, 100%, $E$9)</f>
        <v>8.0205000000000002</v>
      </c>
      <c r="H487" s="81">
        <f>15.5676 * CHOOSE(CONTROL!$C$32, $C$9, 100%, $E$9)</f>
        <v>15.567600000000001</v>
      </c>
      <c r="I487" s="81">
        <f>15.5729 * CHOOSE(CONTROL!$C$32, $C$9, 100%, $E$9)</f>
        <v>15.572900000000001</v>
      </c>
      <c r="J487" s="81">
        <f>15.5676 * CHOOSE(CONTROL!$C$32, $C$9, 100%, $E$9)</f>
        <v>15.567600000000001</v>
      </c>
      <c r="K487" s="81">
        <f>15.5729 * CHOOSE(CONTROL!$C$32, $C$9, 100%, $E$9)</f>
        <v>15.572900000000001</v>
      </c>
      <c r="L487" s="81">
        <f>8.0152 * CHOOSE(CONTROL!$C$32, $C$9, 100%, $E$9)</f>
        <v>8.0152000000000001</v>
      </c>
      <c r="M487" s="81">
        <f>8.0205 * CHOOSE(CONTROL!$C$32, $C$9, 100%, $E$9)</f>
        <v>8.0205000000000002</v>
      </c>
      <c r="N487" s="81">
        <f>8.0152 * CHOOSE(CONTROL!$C$32, $C$9, 100%, $E$9)</f>
        <v>8.0152000000000001</v>
      </c>
      <c r="O487" s="81">
        <f>8.0205 * CHOOSE(CONTROL!$C$32, $C$9, 100%, $E$9)</f>
        <v>8.0205000000000002</v>
      </c>
    </row>
    <row r="488" spans="1:15" ht="15" x14ac:dyDescent="0.2">
      <c r="A488" s="16">
        <v>56066</v>
      </c>
      <c r="B488" s="80">
        <f>7.1502 * CHOOSE(CONTROL!$C$32, $C$9, 100%, $E$9)</f>
        <v>7.1501999999999999</v>
      </c>
      <c r="C488" s="80">
        <f>7.1502 * CHOOSE(CONTROL!$C$32, $C$9, 100%, $E$9)</f>
        <v>7.1501999999999999</v>
      </c>
      <c r="D488" s="80">
        <f>7.1518 * CHOOSE(CONTROL!$C$32, $C$9, 100%, $E$9)</f>
        <v>7.1517999999999997</v>
      </c>
      <c r="E488" s="81">
        <f>8.1252 * CHOOSE(CONTROL!$C$32, $C$9, 100%, $E$9)</f>
        <v>8.1251999999999995</v>
      </c>
      <c r="F488" s="81">
        <f>8.1252 * CHOOSE(CONTROL!$C$32, $C$9, 100%, $E$9)</f>
        <v>8.1251999999999995</v>
      </c>
      <c r="G488" s="81">
        <f>8.1305 * CHOOSE(CONTROL!$C$32, $C$9, 100%, $E$9)</f>
        <v>8.1304999999999996</v>
      </c>
      <c r="H488" s="81">
        <f>15.6 * CHOOSE(CONTROL!$C$32, $C$9, 100%, $E$9)</f>
        <v>15.6</v>
      </c>
      <c r="I488" s="81">
        <f>15.6053 * CHOOSE(CONTROL!$C$32, $C$9, 100%, $E$9)</f>
        <v>15.6053</v>
      </c>
      <c r="J488" s="81">
        <f>15.6 * CHOOSE(CONTROL!$C$32, $C$9, 100%, $E$9)</f>
        <v>15.6</v>
      </c>
      <c r="K488" s="81">
        <f>15.6053 * CHOOSE(CONTROL!$C$32, $C$9, 100%, $E$9)</f>
        <v>15.6053</v>
      </c>
      <c r="L488" s="81">
        <f>8.1252 * CHOOSE(CONTROL!$C$32, $C$9, 100%, $E$9)</f>
        <v>8.1251999999999995</v>
      </c>
      <c r="M488" s="81">
        <f>8.1305 * CHOOSE(CONTROL!$C$32, $C$9, 100%, $E$9)</f>
        <v>8.1304999999999996</v>
      </c>
      <c r="N488" s="81">
        <f>8.1252 * CHOOSE(CONTROL!$C$32, $C$9, 100%, $E$9)</f>
        <v>8.1251999999999995</v>
      </c>
      <c r="O488" s="81">
        <f>8.1305 * CHOOSE(CONTROL!$C$32, $C$9, 100%, $E$9)</f>
        <v>8.1304999999999996</v>
      </c>
    </row>
    <row r="489" spans="1:15" ht="15" x14ac:dyDescent="0.2">
      <c r="A489" s="16">
        <v>56097</v>
      </c>
      <c r="B489" s="80">
        <f>7.1569 * CHOOSE(CONTROL!$C$32, $C$9, 100%, $E$9)</f>
        <v>7.1569000000000003</v>
      </c>
      <c r="C489" s="80">
        <f>7.1569 * CHOOSE(CONTROL!$C$32, $C$9, 100%, $E$9)</f>
        <v>7.1569000000000003</v>
      </c>
      <c r="D489" s="80">
        <f>7.1585 * CHOOSE(CONTROL!$C$32, $C$9, 100%, $E$9)</f>
        <v>7.1585000000000001</v>
      </c>
      <c r="E489" s="81">
        <f>7.9639 * CHOOSE(CONTROL!$C$32, $C$9, 100%, $E$9)</f>
        <v>7.9638999999999998</v>
      </c>
      <c r="F489" s="81">
        <f>7.9639 * CHOOSE(CONTROL!$C$32, $C$9, 100%, $E$9)</f>
        <v>7.9638999999999998</v>
      </c>
      <c r="G489" s="81">
        <f>7.9692 * CHOOSE(CONTROL!$C$32, $C$9, 100%, $E$9)</f>
        <v>7.9691999999999998</v>
      </c>
      <c r="H489" s="81">
        <f>15.6325 * CHOOSE(CONTROL!$C$32, $C$9, 100%, $E$9)</f>
        <v>15.6325</v>
      </c>
      <c r="I489" s="81">
        <f>15.6378 * CHOOSE(CONTROL!$C$32, $C$9, 100%, $E$9)</f>
        <v>15.6378</v>
      </c>
      <c r="J489" s="81">
        <f>15.6325 * CHOOSE(CONTROL!$C$32, $C$9, 100%, $E$9)</f>
        <v>15.6325</v>
      </c>
      <c r="K489" s="81">
        <f>15.6378 * CHOOSE(CONTROL!$C$32, $C$9, 100%, $E$9)</f>
        <v>15.6378</v>
      </c>
      <c r="L489" s="81">
        <f>7.9639 * CHOOSE(CONTROL!$C$32, $C$9, 100%, $E$9)</f>
        <v>7.9638999999999998</v>
      </c>
      <c r="M489" s="81">
        <f>7.9692 * CHOOSE(CONTROL!$C$32, $C$9, 100%, $E$9)</f>
        <v>7.9691999999999998</v>
      </c>
      <c r="N489" s="81">
        <f>7.9639 * CHOOSE(CONTROL!$C$32, $C$9, 100%, $E$9)</f>
        <v>7.9638999999999998</v>
      </c>
      <c r="O489" s="81">
        <f>7.9692 * CHOOSE(CONTROL!$C$32, $C$9, 100%, $E$9)</f>
        <v>7.9691999999999998</v>
      </c>
    </row>
    <row r="490" spans="1:15" ht="15" x14ac:dyDescent="0.2">
      <c r="A490" s="16">
        <v>56128</v>
      </c>
      <c r="B490" s="80">
        <f>7.1539 * CHOOSE(CONTROL!$C$32, $C$9, 100%, $E$9)</f>
        <v>7.1539000000000001</v>
      </c>
      <c r="C490" s="80">
        <f>7.1539 * CHOOSE(CONTROL!$C$32, $C$9, 100%, $E$9)</f>
        <v>7.1539000000000001</v>
      </c>
      <c r="D490" s="80">
        <f>7.1554 * CHOOSE(CONTROL!$C$32, $C$9, 100%, $E$9)</f>
        <v>7.1554000000000002</v>
      </c>
      <c r="E490" s="81">
        <f>7.9433 * CHOOSE(CONTROL!$C$32, $C$9, 100%, $E$9)</f>
        <v>7.9432999999999998</v>
      </c>
      <c r="F490" s="81">
        <f>7.9433 * CHOOSE(CONTROL!$C$32, $C$9, 100%, $E$9)</f>
        <v>7.9432999999999998</v>
      </c>
      <c r="G490" s="81">
        <f>7.9486 * CHOOSE(CONTROL!$C$32, $C$9, 100%, $E$9)</f>
        <v>7.9485999999999999</v>
      </c>
      <c r="H490" s="81">
        <f>15.6651 * CHOOSE(CONTROL!$C$32, $C$9, 100%, $E$9)</f>
        <v>15.665100000000001</v>
      </c>
      <c r="I490" s="81">
        <f>15.6704 * CHOOSE(CONTROL!$C$32, $C$9, 100%, $E$9)</f>
        <v>15.670400000000001</v>
      </c>
      <c r="J490" s="81">
        <f>15.6651 * CHOOSE(CONTROL!$C$32, $C$9, 100%, $E$9)</f>
        <v>15.665100000000001</v>
      </c>
      <c r="K490" s="81">
        <f>15.6704 * CHOOSE(CONTROL!$C$32, $C$9, 100%, $E$9)</f>
        <v>15.670400000000001</v>
      </c>
      <c r="L490" s="81">
        <f>7.9433 * CHOOSE(CONTROL!$C$32, $C$9, 100%, $E$9)</f>
        <v>7.9432999999999998</v>
      </c>
      <c r="M490" s="81">
        <f>7.9486 * CHOOSE(CONTROL!$C$32, $C$9, 100%, $E$9)</f>
        <v>7.9485999999999999</v>
      </c>
      <c r="N490" s="81">
        <f>7.9433 * CHOOSE(CONTROL!$C$32, $C$9, 100%, $E$9)</f>
        <v>7.9432999999999998</v>
      </c>
      <c r="O490" s="81">
        <f>7.9486 * CHOOSE(CONTROL!$C$32, $C$9, 100%, $E$9)</f>
        <v>7.9485999999999999</v>
      </c>
    </row>
    <row r="491" spans="1:15" ht="15" x14ac:dyDescent="0.2">
      <c r="A491" s="16">
        <v>56158</v>
      </c>
      <c r="B491" s="80">
        <f>7.1607 * CHOOSE(CONTROL!$C$32, $C$9, 100%, $E$9)</f>
        <v>7.1607000000000003</v>
      </c>
      <c r="C491" s="80">
        <f>7.1607 * CHOOSE(CONTROL!$C$32, $C$9, 100%, $E$9)</f>
        <v>7.1607000000000003</v>
      </c>
      <c r="D491" s="80">
        <f>7.1617 * CHOOSE(CONTROL!$C$32, $C$9, 100%, $E$9)</f>
        <v>7.1616999999999997</v>
      </c>
      <c r="E491" s="81">
        <f>8.0037 * CHOOSE(CONTROL!$C$32, $C$9, 100%, $E$9)</f>
        <v>8.0037000000000003</v>
      </c>
      <c r="F491" s="81">
        <f>8.0037 * CHOOSE(CONTROL!$C$32, $C$9, 100%, $E$9)</f>
        <v>8.0037000000000003</v>
      </c>
      <c r="G491" s="81">
        <f>8.0073 * CHOOSE(CONTROL!$C$32, $C$9, 100%, $E$9)</f>
        <v>8.0073000000000008</v>
      </c>
      <c r="H491" s="81">
        <f>15.6977 * CHOOSE(CONTROL!$C$32, $C$9, 100%, $E$9)</f>
        <v>15.697699999999999</v>
      </c>
      <c r="I491" s="81">
        <f>15.7014 * CHOOSE(CONTROL!$C$32, $C$9, 100%, $E$9)</f>
        <v>15.7014</v>
      </c>
      <c r="J491" s="81">
        <f>15.6977 * CHOOSE(CONTROL!$C$32, $C$9, 100%, $E$9)</f>
        <v>15.697699999999999</v>
      </c>
      <c r="K491" s="81">
        <f>15.7014 * CHOOSE(CONTROL!$C$32, $C$9, 100%, $E$9)</f>
        <v>15.7014</v>
      </c>
      <c r="L491" s="81">
        <f>8.0037 * CHOOSE(CONTROL!$C$32, $C$9, 100%, $E$9)</f>
        <v>8.0037000000000003</v>
      </c>
      <c r="M491" s="81">
        <f>8.0073 * CHOOSE(CONTROL!$C$32, $C$9, 100%, $E$9)</f>
        <v>8.0073000000000008</v>
      </c>
      <c r="N491" s="81">
        <f>8.0037 * CHOOSE(CONTROL!$C$32, $C$9, 100%, $E$9)</f>
        <v>8.0037000000000003</v>
      </c>
      <c r="O491" s="81">
        <f>8.0073 * CHOOSE(CONTROL!$C$32, $C$9, 100%, $E$9)</f>
        <v>8.0073000000000008</v>
      </c>
    </row>
    <row r="492" spans="1:15" ht="15" x14ac:dyDescent="0.2">
      <c r="A492" s="16">
        <v>56189</v>
      </c>
      <c r="B492" s="80">
        <f>7.1637 * CHOOSE(CONTROL!$C$32, $C$9, 100%, $E$9)</f>
        <v>7.1637000000000004</v>
      </c>
      <c r="C492" s="80">
        <f>7.1637 * CHOOSE(CONTROL!$C$32, $C$9, 100%, $E$9)</f>
        <v>7.1637000000000004</v>
      </c>
      <c r="D492" s="80">
        <f>7.1648 * CHOOSE(CONTROL!$C$32, $C$9, 100%, $E$9)</f>
        <v>7.1647999999999996</v>
      </c>
      <c r="E492" s="81">
        <f>8.0427 * CHOOSE(CONTROL!$C$32, $C$9, 100%, $E$9)</f>
        <v>8.0427</v>
      </c>
      <c r="F492" s="81">
        <f>8.0427 * CHOOSE(CONTROL!$C$32, $C$9, 100%, $E$9)</f>
        <v>8.0427</v>
      </c>
      <c r="G492" s="81">
        <f>8.0463 * CHOOSE(CONTROL!$C$32, $C$9, 100%, $E$9)</f>
        <v>8.0463000000000005</v>
      </c>
      <c r="H492" s="81">
        <f>15.7304 * CHOOSE(CONTROL!$C$32, $C$9, 100%, $E$9)</f>
        <v>15.730399999999999</v>
      </c>
      <c r="I492" s="81">
        <f>15.7341 * CHOOSE(CONTROL!$C$32, $C$9, 100%, $E$9)</f>
        <v>15.7341</v>
      </c>
      <c r="J492" s="81">
        <f>15.7304 * CHOOSE(CONTROL!$C$32, $C$9, 100%, $E$9)</f>
        <v>15.730399999999999</v>
      </c>
      <c r="K492" s="81">
        <f>15.7341 * CHOOSE(CONTROL!$C$32, $C$9, 100%, $E$9)</f>
        <v>15.7341</v>
      </c>
      <c r="L492" s="81">
        <f>8.0427 * CHOOSE(CONTROL!$C$32, $C$9, 100%, $E$9)</f>
        <v>8.0427</v>
      </c>
      <c r="M492" s="81">
        <f>8.0463 * CHOOSE(CONTROL!$C$32, $C$9, 100%, $E$9)</f>
        <v>8.0463000000000005</v>
      </c>
      <c r="N492" s="81">
        <f>8.0427 * CHOOSE(CONTROL!$C$32, $C$9, 100%, $E$9)</f>
        <v>8.0427</v>
      </c>
      <c r="O492" s="81">
        <f>8.0463 * CHOOSE(CONTROL!$C$32, $C$9, 100%, $E$9)</f>
        <v>8.0463000000000005</v>
      </c>
    </row>
    <row r="493" spans="1:15" ht="15" x14ac:dyDescent="0.2">
      <c r="A493" s="16">
        <v>56219</v>
      </c>
      <c r="B493" s="80">
        <f>7.1637 * CHOOSE(CONTROL!$C$32, $C$9, 100%, $E$9)</f>
        <v>7.1637000000000004</v>
      </c>
      <c r="C493" s="80">
        <f>7.1637 * CHOOSE(CONTROL!$C$32, $C$9, 100%, $E$9)</f>
        <v>7.1637000000000004</v>
      </c>
      <c r="D493" s="80">
        <f>7.1648 * CHOOSE(CONTROL!$C$32, $C$9, 100%, $E$9)</f>
        <v>7.1647999999999996</v>
      </c>
      <c r="E493" s="81">
        <f>7.9504 * CHOOSE(CONTROL!$C$32, $C$9, 100%, $E$9)</f>
        <v>7.9504000000000001</v>
      </c>
      <c r="F493" s="81">
        <f>7.9504 * CHOOSE(CONTROL!$C$32, $C$9, 100%, $E$9)</f>
        <v>7.9504000000000001</v>
      </c>
      <c r="G493" s="81">
        <f>7.9541 * CHOOSE(CONTROL!$C$32, $C$9, 100%, $E$9)</f>
        <v>7.9541000000000004</v>
      </c>
      <c r="H493" s="81">
        <f>15.7632 * CHOOSE(CONTROL!$C$32, $C$9, 100%, $E$9)</f>
        <v>15.763199999999999</v>
      </c>
      <c r="I493" s="81">
        <f>15.7668 * CHOOSE(CONTROL!$C$32, $C$9, 100%, $E$9)</f>
        <v>15.7668</v>
      </c>
      <c r="J493" s="81">
        <f>15.7632 * CHOOSE(CONTROL!$C$32, $C$9, 100%, $E$9)</f>
        <v>15.763199999999999</v>
      </c>
      <c r="K493" s="81">
        <f>15.7668 * CHOOSE(CONTROL!$C$32, $C$9, 100%, $E$9)</f>
        <v>15.7668</v>
      </c>
      <c r="L493" s="81">
        <f>7.9504 * CHOOSE(CONTROL!$C$32, $C$9, 100%, $E$9)</f>
        <v>7.9504000000000001</v>
      </c>
      <c r="M493" s="81">
        <f>7.9541 * CHOOSE(CONTROL!$C$32, $C$9, 100%, $E$9)</f>
        <v>7.9541000000000004</v>
      </c>
      <c r="N493" s="81">
        <f>7.9504 * CHOOSE(CONTROL!$C$32, $C$9, 100%, $E$9)</f>
        <v>7.9504000000000001</v>
      </c>
      <c r="O493" s="81">
        <f>7.9541 * CHOOSE(CONTROL!$C$32, $C$9, 100%, $E$9)</f>
        <v>7.9541000000000004</v>
      </c>
    </row>
    <row r="494" spans="1:15" ht="15" x14ac:dyDescent="0.2">
      <c r="A494" s="16">
        <v>56250</v>
      </c>
      <c r="B494" s="80">
        <f>7.2176 * CHOOSE(CONTROL!$C$32, $C$9, 100%, $E$9)</f>
        <v>7.2176</v>
      </c>
      <c r="C494" s="80">
        <f>7.2176 * CHOOSE(CONTROL!$C$32, $C$9, 100%, $E$9)</f>
        <v>7.2176</v>
      </c>
      <c r="D494" s="80">
        <f>7.2187 * CHOOSE(CONTROL!$C$32, $C$9, 100%, $E$9)</f>
        <v>7.2187000000000001</v>
      </c>
      <c r="E494" s="81">
        <f>8.0845 * CHOOSE(CONTROL!$C$32, $C$9, 100%, $E$9)</f>
        <v>8.0845000000000002</v>
      </c>
      <c r="F494" s="81">
        <f>8.0845 * CHOOSE(CONTROL!$C$32, $C$9, 100%, $E$9)</f>
        <v>8.0845000000000002</v>
      </c>
      <c r="G494" s="81">
        <f>8.0881 * CHOOSE(CONTROL!$C$32, $C$9, 100%, $E$9)</f>
        <v>8.0881000000000007</v>
      </c>
      <c r="H494" s="81">
        <f>15.7961 * CHOOSE(CONTROL!$C$32, $C$9, 100%, $E$9)</f>
        <v>15.796099999999999</v>
      </c>
      <c r="I494" s="81">
        <f>15.7997 * CHOOSE(CONTROL!$C$32, $C$9, 100%, $E$9)</f>
        <v>15.7997</v>
      </c>
      <c r="J494" s="81">
        <f>15.7961 * CHOOSE(CONTROL!$C$32, $C$9, 100%, $E$9)</f>
        <v>15.796099999999999</v>
      </c>
      <c r="K494" s="81">
        <f>15.7997 * CHOOSE(CONTROL!$C$32, $C$9, 100%, $E$9)</f>
        <v>15.7997</v>
      </c>
      <c r="L494" s="81">
        <f>8.0845 * CHOOSE(CONTROL!$C$32, $C$9, 100%, $E$9)</f>
        <v>8.0845000000000002</v>
      </c>
      <c r="M494" s="81">
        <f>8.0881 * CHOOSE(CONTROL!$C$32, $C$9, 100%, $E$9)</f>
        <v>8.0881000000000007</v>
      </c>
      <c r="N494" s="81">
        <f>8.0845 * CHOOSE(CONTROL!$C$32, $C$9, 100%, $E$9)</f>
        <v>8.0845000000000002</v>
      </c>
      <c r="O494" s="81">
        <f>8.0881 * CHOOSE(CONTROL!$C$32, $C$9, 100%, $E$9)</f>
        <v>8.0881000000000007</v>
      </c>
    </row>
    <row r="495" spans="1:15" ht="15" x14ac:dyDescent="0.2">
      <c r="A495" s="16">
        <v>56281</v>
      </c>
      <c r="B495" s="80">
        <f>7.2146 * CHOOSE(CONTROL!$C$32, $C$9, 100%, $E$9)</f>
        <v>7.2145999999999999</v>
      </c>
      <c r="C495" s="80">
        <f>7.2146 * CHOOSE(CONTROL!$C$32, $C$9, 100%, $E$9)</f>
        <v>7.2145999999999999</v>
      </c>
      <c r="D495" s="80">
        <f>7.2156 * CHOOSE(CONTROL!$C$32, $C$9, 100%, $E$9)</f>
        <v>7.2156000000000002</v>
      </c>
      <c r="E495" s="81">
        <f>7.9024 * CHOOSE(CONTROL!$C$32, $C$9, 100%, $E$9)</f>
        <v>7.9024000000000001</v>
      </c>
      <c r="F495" s="81">
        <f>7.9024 * CHOOSE(CONTROL!$C$32, $C$9, 100%, $E$9)</f>
        <v>7.9024000000000001</v>
      </c>
      <c r="G495" s="81">
        <f>7.906 * CHOOSE(CONTROL!$C$32, $C$9, 100%, $E$9)</f>
        <v>7.9059999999999997</v>
      </c>
      <c r="H495" s="81">
        <f>15.829 * CHOOSE(CONTROL!$C$32, $C$9, 100%, $E$9)</f>
        <v>15.829000000000001</v>
      </c>
      <c r="I495" s="81">
        <f>15.8326 * CHOOSE(CONTROL!$C$32, $C$9, 100%, $E$9)</f>
        <v>15.832599999999999</v>
      </c>
      <c r="J495" s="81">
        <f>15.829 * CHOOSE(CONTROL!$C$32, $C$9, 100%, $E$9)</f>
        <v>15.829000000000001</v>
      </c>
      <c r="K495" s="81">
        <f>15.8326 * CHOOSE(CONTROL!$C$32, $C$9, 100%, $E$9)</f>
        <v>15.832599999999999</v>
      </c>
      <c r="L495" s="81">
        <f>7.9024 * CHOOSE(CONTROL!$C$32, $C$9, 100%, $E$9)</f>
        <v>7.9024000000000001</v>
      </c>
      <c r="M495" s="81">
        <f>7.906 * CHOOSE(CONTROL!$C$32, $C$9, 100%, $E$9)</f>
        <v>7.9059999999999997</v>
      </c>
      <c r="N495" s="81">
        <f>7.9024 * CHOOSE(CONTROL!$C$32, $C$9, 100%, $E$9)</f>
        <v>7.9024000000000001</v>
      </c>
      <c r="O495" s="81">
        <f>7.906 * CHOOSE(CONTROL!$C$32, $C$9, 100%, $E$9)</f>
        <v>7.9059999999999997</v>
      </c>
    </row>
    <row r="496" spans="1:15" ht="15" x14ac:dyDescent="0.2">
      <c r="A496" s="16">
        <v>56309</v>
      </c>
      <c r="B496" s="80">
        <f>7.2115 * CHOOSE(CONTROL!$C$32, $C$9, 100%, $E$9)</f>
        <v>7.2115</v>
      </c>
      <c r="C496" s="80">
        <f>7.2115 * CHOOSE(CONTROL!$C$32, $C$9, 100%, $E$9)</f>
        <v>7.2115</v>
      </c>
      <c r="D496" s="80">
        <f>7.2126 * CHOOSE(CONTROL!$C$32, $C$9, 100%, $E$9)</f>
        <v>7.2126000000000001</v>
      </c>
      <c r="E496" s="81">
        <f>8.0422 * CHOOSE(CONTROL!$C$32, $C$9, 100%, $E$9)</f>
        <v>8.0421999999999993</v>
      </c>
      <c r="F496" s="81">
        <f>8.0422 * CHOOSE(CONTROL!$C$32, $C$9, 100%, $E$9)</f>
        <v>8.0421999999999993</v>
      </c>
      <c r="G496" s="81">
        <f>8.0458 * CHOOSE(CONTROL!$C$32, $C$9, 100%, $E$9)</f>
        <v>8.0457999999999998</v>
      </c>
      <c r="H496" s="81">
        <f>15.8619 * CHOOSE(CONTROL!$C$32, $C$9, 100%, $E$9)</f>
        <v>15.8619</v>
      </c>
      <c r="I496" s="81">
        <f>15.8656 * CHOOSE(CONTROL!$C$32, $C$9, 100%, $E$9)</f>
        <v>15.865600000000001</v>
      </c>
      <c r="J496" s="81">
        <f>15.8619 * CHOOSE(CONTROL!$C$32, $C$9, 100%, $E$9)</f>
        <v>15.8619</v>
      </c>
      <c r="K496" s="81">
        <f>15.8656 * CHOOSE(CONTROL!$C$32, $C$9, 100%, $E$9)</f>
        <v>15.865600000000001</v>
      </c>
      <c r="L496" s="81">
        <f>8.0422 * CHOOSE(CONTROL!$C$32, $C$9, 100%, $E$9)</f>
        <v>8.0421999999999993</v>
      </c>
      <c r="M496" s="81">
        <f>8.0458 * CHOOSE(CONTROL!$C$32, $C$9, 100%, $E$9)</f>
        <v>8.0457999999999998</v>
      </c>
      <c r="N496" s="81">
        <f>8.0422 * CHOOSE(CONTROL!$C$32, $C$9, 100%, $E$9)</f>
        <v>8.0421999999999993</v>
      </c>
      <c r="O496" s="81">
        <f>8.0458 * CHOOSE(CONTROL!$C$32, $C$9, 100%, $E$9)</f>
        <v>8.0457999999999998</v>
      </c>
    </row>
    <row r="497" spans="1:15" ht="15" x14ac:dyDescent="0.2">
      <c r="A497" s="16">
        <v>56340</v>
      </c>
      <c r="B497" s="80">
        <f>7.2123 * CHOOSE(CONTROL!$C$32, $C$9, 100%, $E$9)</f>
        <v>7.2122999999999999</v>
      </c>
      <c r="C497" s="80">
        <f>7.2123 * CHOOSE(CONTROL!$C$32, $C$9, 100%, $E$9)</f>
        <v>7.2122999999999999</v>
      </c>
      <c r="D497" s="80">
        <f>7.2134 * CHOOSE(CONTROL!$C$32, $C$9, 100%, $E$9)</f>
        <v>7.2134</v>
      </c>
      <c r="E497" s="81">
        <f>8.1903 * CHOOSE(CONTROL!$C$32, $C$9, 100%, $E$9)</f>
        <v>8.1903000000000006</v>
      </c>
      <c r="F497" s="81">
        <f>8.1903 * CHOOSE(CONTROL!$C$32, $C$9, 100%, $E$9)</f>
        <v>8.1903000000000006</v>
      </c>
      <c r="G497" s="81">
        <f>8.1939 * CHOOSE(CONTROL!$C$32, $C$9, 100%, $E$9)</f>
        <v>8.1938999999999993</v>
      </c>
      <c r="H497" s="81">
        <f>15.895 * CHOOSE(CONTROL!$C$32, $C$9, 100%, $E$9)</f>
        <v>15.895</v>
      </c>
      <c r="I497" s="81">
        <f>15.8986 * CHOOSE(CONTROL!$C$32, $C$9, 100%, $E$9)</f>
        <v>15.8986</v>
      </c>
      <c r="J497" s="81">
        <f>15.895 * CHOOSE(CONTROL!$C$32, $C$9, 100%, $E$9)</f>
        <v>15.895</v>
      </c>
      <c r="K497" s="81">
        <f>15.8986 * CHOOSE(CONTROL!$C$32, $C$9, 100%, $E$9)</f>
        <v>15.8986</v>
      </c>
      <c r="L497" s="81">
        <f>8.1903 * CHOOSE(CONTROL!$C$32, $C$9, 100%, $E$9)</f>
        <v>8.1903000000000006</v>
      </c>
      <c r="M497" s="81">
        <f>8.1939 * CHOOSE(CONTROL!$C$32, $C$9, 100%, $E$9)</f>
        <v>8.1938999999999993</v>
      </c>
      <c r="N497" s="81">
        <f>8.1903 * CHOOSE(CONTROL!$C$32, $C$9, 100%, $E$9)</f>
        <v>8.1903000000000006</v>
      </c>
      <c r="O497" s="81">
        <f>8.1939 * CHOOSE(CONTROL!$C$32, $C$9, 100%, $E$9)</f>
        <v>8.1938999999999993</v>
      </c>
    </row>
    <row r="498" spans="1:15" ht="15" x14ac:dyDescent="0.2">
      <c r="A498" s="16">
        <v>56370</v>
      </c>
      <c r="B498" s="80">
        <f>7.2123 * CHOOSE(CONTROL!$C$32, $C$9, 100%, $E$9)</f>
        <v>7.2122999999999999</v>
      </c>
      <c r="C498" s="80">
        <f>7.2123 * CHOOSE(CONTROL!$C$32, $C$9, 100%, $E$9)</f>
        <v>7.2122999999999999</v>
      </c>
      <c r="D498" s="80">
        <f>7.2139 * CHOOSE(CONTROL!$C$32, $C$9, 100%, $E$9)</f>
        <v>7.2138999999999998</v>
      </c>
      <c r="E498" s="81">
        <f>8.2474 * CHOOSE(CONTROL!$C$32, $C$9, 100%, $E$9)</f>
        <v>8.2474000000000007</v>
      </c>
      <c r="F498" s="81">
        <f>8.2474 * CHOOSE(CONTROL!$C$32, $C$9, 100%, $E$9)</f>
        <v>8.2474000000000007</v>
      </c>
      <c r="G498" s="81">
        <f>8.2527 * CHOOSE(CONTROL!$C$32, $C$9, 100%, $E$9)</f>
        <v>8.2527000000000008</v>
      </c>
      <c r="H498" s="81">
        <f>15.9281 * CHOOSE(CONTROL!$C$32, $C$9, 100%, $E$9)</f>
        <v>15.928100000000001</v>
      </c>
      <c r="I498" s="81">
        <f>15.9334 * CHOOSE(CONTROL!$C$32, $C$9, 100%, $E$9)</f>
        <v>15.933400000000001</v>
      </c>
      <c r="J498" s="81">
        <f>15.9281 * CHOOSE(CONTROL!$C$32, $C$9, 100%, $E$9)</f>
        <v>15.928100000000001</v>
      </c>
      <c r="K498" s="81">
        <f>15.9334 * CHOOSE(CONTROL!$C$32, $C$9, 100%, $E$9)</f>
        <v>15.933400000000001</v>
      </c>
      <c r="L498" s="81">
        <f>8.2474 * CHOOSE(CONTROL!$C$32, $C$9, 100%, $E$9)</f>
        <v>8.2474000000000007</v>
      </c>
      <c r="M498" s="81">
        <f>8.2527 * CHOOSE(CONTROL!$C$32, $C$9, 100%, $E$9)</f>
        <v>8.2527000000000008</v>
      </c>
      <c r="N498" s="81">
        <f>8.2474 * CHOOSE(CONTROL!$C$32, $C$9, 100%, $E$9)</f>
        <v>8.2474000000000007</v>
      </c>
      <c r="O498" s="81">
        <f>8.2527 * CHOOSE(CONTROL!$C$32, $C$9, 100%, $E$9)</f>
        <v>8.2527000000000008</v>
      </c>
    </row>
    <row r="499" spans="1:15" ht="15" x14ac:dyDescent="0.2">
      <c r="A499" s="16">
        <v>56401</v>
      </c>
      <c r="B499" s="80">
        <f>7.2184 * CHOOSE(CONTROL!$C$32, $C$9, 100%, $E$9)</f>
        <v>7.2183999999999999</v>
      </c>
      <c r="C499" s="80">
        <f>7.2184 * CHOOSE(CONTROL!$C$32, $C$9, 100%, $E$9)</f>
        <v>7.2183999999999999</v>
      </c>
      <c r="D499" s="80">
        <f>7.2199 * CHOOSE(CONTROL!$C$32, $C$9, 100%, $E$9)</f>
        <v>7.2199</v>
      </c>
      <c r="E499" s="81">
        <f>8.1945 * CHOOSE(CONTROL!$C$32, $C$9, 100%, $E$9)</f>
        <v>8.1944999999999997</v>
      </c>
      <c r="F499" s="81">
        <f>8.1945 * CHOOSE(CONTROL!$C$32, $C$9, 100%, $E$9)</f>
        <v>8.1944999999999997</v>
      </c>
      <c r="G499" s="81">
        <f>8.1998 * CHOOSE(CONTROL!$C$32, $C$9, 100%, $E$9)</f>
        <v>8.1997999999999998</v>
      </c>
      <c r="H499" s="81">
        <f>15.9613 * CHOOSE(CONTROL!$C$32, $C$9, 100%, $E$9)</f>
        <v>15.9613</v>
      </c>
      <c r="I499" s="81">
        <f>15.9666 * CHOOSE(CONTROL!$C$32, $C$9, 100%, $E$9)</f>
        <v>15.9666</v>
      </c>
      <c r="J499" s="81">
        <f>15.9613 * CHOOSE(CONTROL!$C$32, $C$9, 100%, $E$9)</f>
        <v>15.9613</v>
      </c>
      <c r="K499" s="81">
        <f>15.9666 * CHOOSE(CONTROL!$C$32, $C$9, 100%, $E$9)</f>
        <v>15.9666</v>
      </c>
      <c r="L499" s="81">
        <f>8.1945 * CHOOSE(CONTROL!$C$32, $C$9, 100%, $E$9)</f>
        <v>8.1944999999999997</v>
      </c>
      <c r="M499" s="81">
        <f>8.1998 * CHOOSE(CONTROL!$C$32, $C$9, 100%, $E$9)</f>
        <v>8.1997999999999998</v>
      </c>
      <c r="N499" s="81">
        <f>8.1945 * CHOOSE(CONTROL!$C$32, $C$9, 100%, $E$9)</f>
        <v>8.1944999999999997</v>
      </c>
      <c r="O499" s="81">
        <f>8.1998 * CHOOSE(CONTROL!$C$32, $C$9, 100%, $E$9)</f>
        <v>8.1997999999999998</v>
      </c>
    </row>
    <row r="500" spans="1:15" ht="15" x14ac:dyDescent="0.2">
      <c r="A500" s="16">
        <v>56431</v>
      </c>
      <c r="B500" s="80">
        <f>7.3122 * CHOOSE(CONTROL!$C$32, $C$9, 100%, $E$9)</f>
        <v>7.3121999999999998</v>
      </c>
      <c r="C500" s="80">
        <f>7.3122 * CHOOSE(CONTROL!$C$32, $C$9, 100%, $E$9)</f>
        <v>7.3121999999999998</v>
      </c>
      <c r="D500" s="80">
        <f>7.3138 * CHOOSE(CONTROL!$C$32, $C$9, 100%, $E$9)</f>
        <v>7.3137999999999996</v>
      </c>
      <c r="E500" s="81">
        <f>8.3075 * CHOOSE(CONTROL!$C$32, $C$9, 100%, $E$9)</f>
        <v>8.3074999999999992</v>
      </c>
      <c r="F500" s="81">
        <f>8.3075 * CHOOSE(CONTROL!$C$32, $C$9, 100%, $E$9)</f>
        <v>8.3074999999999992</v>
      </c>
      <c r="G500" s="81">
        <f>8.3128 * CHOOSE(CONTROL!$C$32, $C$9, 100%, $E$9)</f>
        <v>8.3127999999999993</v>
      </c>
      <c r="H500" s="81">
        <f>15.9945 * CHOOSE(CONTROL!$C$32, $C$9, 100%, $E$9)</f>
        <v>15.9945</v>
      </c>
      <c r="I500" s="81">
        <f>15.9998 * CHOOSE(CONTROL!$C$32, $C$9, 100%, $E$9)</f>
        <v>15.9998</v>
      </c>
      <c r="J500" s="81">
        <f>15.9945 * CHOOSE(CONTROL!$C$32, $C$9, 100%, $E$9)</f>
        <v>15.9945</v>
      </c>
      <c r="K500" s="81">
        <f>15.9998 * CHOOSE(CONTROL!$C$32, $C$9, 100%, $E$9)</f>
        <v>15.9998</v>
      </c>
      <c r="L500" s="81">
        <f>8.3075 * CHOOSE(CONTROL!$C$32, $C$9, 100%, $E$9)</f>
        <v>8.3074999999999992</v>
      </c>
      <c r="M500" s="81">
        <f>8.3128 * CHOOSE(CONTROL!$C$32, $C$9, 100%, $E$9)</f>
        <v>8.3127999999999993</v>
      </c>
      <c r="N500" s="81">
        <f>8.3075 * CHOOSE(CONTROL!$C$32, $C$9, 100%, $E$9)</f>
        <v>8.3074999999999992</v>
      </c>
      <c r="O500" s="81">
        <f>8.3128 * CHOOSE(CONTROL!$C$32, $C$9, 100%, $E$9)</f>
        <v>8.3127999999999993</v>
      </c>
    </row>
    <row r="501" spans="1:15" ht="15" x14ac:dyDescent="0.2">
      <c r="A501" s="16">
        <v>56462</v>
      </c>
      <c r="B501" s="80">
        <f>7.3189 * CHOOSE(CONTROL!$C$32, $C$9, 100%, $E$9)</f>
        <v>7.3189000000000002</v>
      </c>
      <c r="C501" s="80">
        <f>7.3189 * CHOOSE(CONTROL!$C$32, $C$9, 100%, $E$9)</f>
        <v>7.3189000000000002</v>
      </c>
      <c r="D501" s="80">
        <f>7.3205 * CHOOSE(CONTROL!$C$32, $C$9, 100%, $E$9)</f>
        <v>7.3205</v>
      </c>
      <c r="E501" s="81">
        <f>8.1407 * CHOOSE(CONTROL!$C$32, $C$9, 100%, $E$9)</f>
        <v>8.1407000000000007</v>
      </c>
      <c r="F501" s="81">
        <f>8.1407 * CHOOSE(CONTROL!$C$32, $C$9, 100%, $E$9)</f>
        <v>8.1407000000000007</v>
      </c>
      <c r="G501" s="81">
        <f>8.146 * CHOOSE(CONTROL!$C$32, $C$9, 100%, $E$9)</f>
        <v>8.1460000000000008</v>
      </c>
      <c r="H501" s="81">
        <f>16.0279 * CHOOSE(CONTROL!$C$32, $C$9, 100%, $E$9)</f>
        <v>16.027899999999999</v>
      </c>
      <c r="I501" s="81">
        <f>16.0332 * CHOOSE(CONTROL!$C$32, $C$9, 100%, $E$9)</f>
        <v>16.033200000000001</v>
      </c>
      <c r="J501" s="81">
        <f>16.0279 * CHOOSE(CONTROL!$C$32, $C$9, 100%, $E$9)</f>
        <v>16.027899999999999</v>
      </c>
      <c r="K501" s="81">
        <f>16.0332 * CHOOSE(CONTROL!$C$32, $C$9, 100%, $E$9)</f>
        <v>16.033200000000001</v>
      </c>
      <c r="L501" s="81">
        <f>8.1407 * CHOOSE(CONTROL!$C$32, $C$9, 100%, $E$9)</f>
        <v>8.1407000000000007</v>
      </c>
      <c r="M501" s="81">
        <f>8.146 * CHOOSE(CONTROL!$C$32, $C$9, 100%, $E$9)</f>
        <v>8.1460000000000008</v>
      </c>
      <c r="N501" s="81">
        <f>8.1407 * CHOOSE(CONTROL!$C$32, $C$9, 100%, $E$9)</f>
        <v>8.1407000000000007</v>
      </c>
      <c r="O501" s="81">
        <f>8.146 * CHOOSE(CONTROL!$C$32, $C$9, 100%, $E$9)</f>
        <v>8.1460000000000008</v>
      </c>
    </row>
    <row r="502" spans="1:15" ht="15" x14ac:dyDescent="0.2">
      <c r="A502" s="16">
        <v>56493</v>
      </c>
      <c r="B502" s="80">
        <f>7.3159 * CHOOSE(CONTROL!$C$32, $C$9, 100%, $E$9)</f>
        <v>7.3159000000000001</v>
      </c>
      <c r="C502" s="80">
        <f>7.3159 * CHOOSE(CONTROL!$C$32, $C$9, 100%, $E$9)</f>
        <v>7.3159000000000001</v>
      </c>
      <c r="D502" s="80">
        <f>7.3174 * CHOOSE(CONTROL!$C$32, $C$9, 100%, $E$9)</f>
        <v>7.3174000000000001</v>
      </c>
      <c r="E502" s="81">
        <f>8.1196 * CHOOSE(CONTROL!$C$32, $C$9, 100%, $E$9)</f>
        <v>8.1196000000000002</v>
      </c>
      <c r="F502" s="81">
        <f>8.1196 * CHOOSE(CONTROL!$C$32, $C$9, 100%, $E$9)</f>
        <v>8.1196000000000002</v>
      </c>
      <c r="G502" s="81">
        <f>8.1249 * CHOOSE(CONTROL!$C$32, $C$9, 100%, $E$9)</f>
        <v>8.1249000000000002</v>
      </c>
      <c r="H502" s="81">
        <f>16.0613 * CHOOSE(CONTROL!$C$32, $C$9, 100%, $E$9)</f>
        <v>16.061299999999999</v>
      </c>
      <c r="I502" s="81">
        <f>16.0665 * CHOOSE(CONTROL!$C$32, $C$9, 100%, $E$9)</f>
        <v>16.066500000000001</v>
      </c>
      <c r="J502" s="81">
        <f>16.0613 * CHOOSE(CONTROL!$C$32, $C$9, 100%, $E$9)</f>
        <v>16.061299999999999</v>
      </c>
      <c r="K502" s="81">
        <f>16.0665 * CHOOSE(CONTROL!$C$32, $C$9, 100%, $E$9)</f>
        <v>16.066500000000001</v>
      </c>
      <c r="L502" s="81">
        <f>8.1196 * CHOOSE(CONTROL!$C$32, $C$9, 100%, $E$9)</f>
        <v>8.1196000000000002</v>
      </c>
      <c r="M502" s="81">
        <f>8.1249 * CHOOSE(CONTROL!$C$32, $C$9, 100%, $E$9)</f>
        <v>8.1249000000000002</v>
      </c>
      <c r="N502" s="81">
        <f>8.1196 * CHOOSE(CONTROL!$C$32, $C$9, 100%, $E$9)</f>
        <v>8.1196000000000002</v>
      </c>
      <c r="O502" s="81">
        <f>8.1249 * CHOOSE(CONTROL!$C$32, $C$9, 100%, $E$9)</f>
        <v>8.1249000000000002</v>
      </c>
    </row>
    <row r="503" spans="1:15" ht="15" x14ac:dyDescent="0.2">
      <c r="A503" s="16">
        <v>56523</v>
      </c>
      <c r="B503" s="80">
        <f>7.3233 * CHOOSE(CONTROL!$C$32, $C$9, 100%, $E$9)</f>
        <v>7.3232999999999997</v>
      </c>
      <c r="C503" s="80">
        <f>7.3233 * CHOOSE(CONTROL!$C$32, $C$9, 100%, $E$9)</f>
        <v>7.3232999999999997</v>
      </c>
      <c r="D503" s="80">
        <f>7.3243 * CHOOSE(CONTROL!$C$32, $C$9, 100%, $E$9)</f>
        <v>7.3243</v>
      </c>
      <c r="E503" s="81">
        <f>8.1823 * CHOOSE(CONTROL!$C$32, $C$9, 100%, $E$9)</f>
        <v>8.1822999999999997</v>
      </c>
      <c r="F503" s="81">
        <f>8.1823 * CHOOSE(CONTROL!$C$32, $C$9, 100%, $E$9)</f>
        <v>8.1822999999999997</v>
      </c>
      <c r="G503" s="81">
        <f>8.186 * CHOOSE(CONTROL!$C$32, $C$9, 100%, $E$9)</f>
        <v>8.1859999999999999</v>
      </c>
      <c r="H503" s="81">
        <f>16.0947 * CHOOSE(CONTROL!$C$32, $C$9, 100%, $E$9)</f>
        <v>16.0947</v>
      </c>
      <c r="I503" s="81">
        <f>16.0983 * CHOOSE(CONTROL!$C$32, $C$9, 100%, $E$9)</f>
        <v>16.098299999999998</v>
      </c>
      <c r="J503" s="81">
        <f>16.0947 * CHOOSE(CONTROL!$C$32, $C$9, 100%, $E$9)</f>
        <v>16.0947</v>
      </c>
      <c r="K503" s="81">
        <f>16.0983 * CHOOSE(CONTROL!$C$32, $C$9, 100%, $E$9)</f>
        <v>16.098299999999998</v>
      </c>
      <c r="L503" s="81">
        <f>8.1823 * CHOOSE(CONTROL!$C$32, $C$9, 100%, $E$9)</f>
        <v>8.1822999999999997</v>
      </c>
      <c r="M503" s="81">
        <f>8.186 * CHOOSE(CONTROL!$C$32, $C$9, 100%, $E$9)</f>
        <v>8.1859999999999999</v>
      </c>
      <c r="N503" s="81">
        <f>8.1823 * CHOOSE(CONTROL!$C$32, $C$9, 100%, $E$9)</f>
        <v>8.1822999999999997</v>
      </c>
      <c r="O503" s="81">
        <f>8.186 * CHOOSE(CONTROL!$C$32, $C$9, 100%, $E$9)</f>
        <v>8.1859999999999999</v>
      </c>
    </row>
    <row r="504" spans="1:15" ht="15" x14ac:dyDescent="0.2">
      <c r="A504" s="16">
        <v>56554</v>
      </c>
      <c r="B504" s="80">
        <f>7.3263 * CHOOSE(CONTROL!$C$32, $C$9, 100%, $E$9)</f>
        <v>7.3262999999999998</v>
      </c>
      <c r="C504" s="80">
        <f>7.3263 * CHOOSE(CONTROL!$C$32, $C$9, 100%, $E$9)</f>
        <v>7.3262999999999998</v>
      </c>
      <c r="D504" s="80">
        <f>7.3274 * CHOOSE(CONTROL!$C$32, $C$9, 100%, $E$9)</f>
        <v>7.3273999999999999</v>
      </c>
      <c r="E504" s="81">
        <f>8.2226 * CHOOSE(CONTROL!$C$32, $C$9, 100%, $E$9)</f>
        <v>8.2225999999999999</v>
      </c>
      <c r="F504" s="81">
        <f>8.2226 * CHOOSE(CONTROL!$C$32, $C$9, 100%, $E$9)</f>
        <v>8.2225999999999999</v>
      </c>
      <c r="G504" s="81">
        <f>8.2262 * CHOOSE(CONTROL!$C$32, $C$9, 100%, $E$9)</f>
        <v>8.2262000000000004</v>
      </c>
      <c r="H504" s="81">
        <f>16.1282 * CHOOSE(CONTROL!$C$32, $C$9, 100%, $E$9)</f>
        <v>16.1282</v>
      </c>
      <c r="I504" s="81">
        <f>16.1319 * CHOOSE(CONTROL!$C$32, $C$9, 100%, $E$9)</f>
        <v>16.131900000000002</v>
      </c>
      <c r="J504" s="81">
        <f>16.1282 * CHOOSE(CONTROL!$C$32, $C$9, 100%, $E$9)</f>
        <v>16.1282</v>
      </c>
      <c r="K504" s="81">
        <f>16.1319 * CHOOSE(CONTROL!$C$32, $C$9, 100%, $E$9)</f>
        <v>16.131900000000002</v>
      </c>
      <c r="L504" s="81">
        <f>8.2226 * CHOOSE(CONTROL!$C$32, $C$9, 100%, $E$9)</f>
        <v>8.2225999999999999</v>
      </c>
      <c r="M504" s="81">
        <f>8.2262 * CHOOSE(CONTROL!$C$32, $C$9, 100%, $E$9)</f>
        <v>8.2262000000000004</v>
      </c>
      <c r="N504" s="81">
        <f>8.2226 * CHOOSE(CONTROL!$C$32, $C$9, 100%, $E$9)</f>
        <v>8.2225999999999999</v>
      </c>
      <c r="O504" s="81">
        <f>8.2262 * CHOOSE(CONTROL!$C$32, $C$9, 100%, $E$9)</f>
        <v>8.2262000000000004</v>
      </c>
    </row>
    <row r="505" spans="1:15" ht="15" x14ac:dyDescent="0.2">
      <c r="A505" s="16">
        <v>56584</v>
      </c>
      <c r="B505" s="80">
        <f>7.3263 * CHOOSE(CONTROL!$C$32, $C$9, 100%, $E$9)</f>
        <v>7.3262999999999998</v>
      </c>
      <c r="C505" s="80">
        <f>7.3263 * CHOOSE(CONTROL!$C$32, $C$9, 100%, $E$9)</f>
        <v>7.3262999999999998</v>
      </c>
      <c r="D505" s="80">
        <f>7.3274 * CHOOSE(CONTROL!$C$32, $C$9, 100%, $E$9)</f>
        <v>7.3273999999999999</v>
      </c>
      <c r="E505" s="81">
        <f>8.1273 * CHOOSE(CONTROL!$C$32, $C$9, 100%, $E$9)</f>
        <v>8.1273</v>
      </c>
      <c r="F505" s="81">
        <f>8.1273 * CHOOSE(CONTROL!$C$32, $C$9, 100%, $E$9)</f>
        <v>8.1273</v>
      </c>
      <c r="G505" s="81">
        <f>8.1309 * CHOOSE(CONTROL!$C$32, $C$9, 100%, $E$9)</f>
        <v>8.1309000000000005</v>
      </c>
      <c r="H505" s="81">
        <f>16.1618 * CHOOSE(CONTROL!$C$32, $C$9, 100%, $E$9)</f>
        <v>16.161799999999999</v>
      </c>
      <c r="I505" s="81">
        <f>16.1655 * CHOOSE(CONTROL!$C$32, $C$9, 100%, $E$9)</f>
        <v>16.165500000000002</v>
      </c>
      <c r="J505" s="81">
        <f>16.1618 * CHOOSE(CONTROL!$C$32, $C$9, 100%, $E$9)</f>
        <v>16.161799999999999</v>
      </c>
      <c r="K505" s="81">
        <f>16.1655 * CHOOSE(CONTROL!$C$32, $C$9, 100%, $E$9)</f>
        <v>16.165500000000002</v>
      </c>
      <c r="L505" s="81">
        <f>8.1273 * CHOOSE(CONTROL!$C$32, $C$9, 100%, $E$9)</f>
        <v>8.1273</v>
      </c>
      <c r="M505" s="81">
        <f>8.1309 * CHOOSE(CONTROL!$C$32, $C$9, 100%, $E$9)</f>
        <v>8.1309000000000005</v>
      </c>
      <c r="N505" s="81">
        <f>8.1273 * CHOOSE(CONTROL!$C$32, $C$9, 100%, $E$9)</f>
        <v>8.1273</v>
      </c>
      <c r="O505" s="81">
        <f>8.1309 * CHOOSE(CONTROL!$C$32, $C$9, 100%, $E$9)</f>
        <v>8.1309000000000005</v>
      </c>
    </row>
    <row r="506" spans="1:15" ht="15" x14ac:dyDescent="0.2">
      <c r="A506" s="16">
        <v>56615</v>
      </c>
      <c r="B506" s="80">
        <f>7.3813 * CHOOSE(CONTROL!$C$32, $C$9, 100%, $E$9)</f>
        <v>7.3813000000000004</v>
      </c>
      <c r="C506" s="80">
        <f>7.3813 * CHOOSE(CONTROL!$C$32, $C$9, 100%, $E$9)</f>
        <v>7.3813000000000004</v>
      </c>
      <c r="D506" s="80">
        <f>7.3824 * CHOOSE(CONTROL!$C$32, $C$9, 100%, $E$9)</f>
        <v>7.3823999999999996</v>
      </c>
      <c r="E506" s="81">
        <f>8.2653 * CHOOSE(CONTROL!$C$32, $C$9, 100%, $E$9)</f>
        <v>8.2652999999999999</v>
      </c>
      <c r="F506" s="81">
        <f>8.2653 * CHOOSE(CONTROL!$C$32, $C$9, 100%, $E$9)</f>
        <v>8.2652999999999999</v>
      </c>
      <c r="G506" s="81">
        <f>8.2689 * CHOOSE(CONTROL!$C$32, $C$9, 100%, $E$9)</f>
        <v>8.2689000000000004</v>
      </c>
      <c r="H506" s="81">
        <f>16.1955 * CHOOSE(CONTROL!$C$32, $C$9, 100%, $E$9)</f>
        <v>16.195499999999999</v>
      </c>
      <c r="I506" s="81">
        <f>16.1991 * CHOOSE(CONTROL!$C$32, $C$9, 100%, $E$9)</f>
        <v>16.199100000000001</v>
      </c>
      <c r="J506" s="81">
        <f>16.1955 * CHOOSE(CONTROL!$C$32, $C$9, 100%, $E$9)</f>
        <v>16.195499999999999</v>
      </c>
      <c r="K506" s="81">
        <f>16.1991 * CHOOSE(CONTROL!$C$32, $C$9, 100%, $E$9)</f>
        <v>16.199100000000001</v>
      </c>
      <c r="L506" s="81">
        <f>8.2653 * CHOOSE(CONTROL!$C$32, $C$9, 100%, $E$9)</f>
        <v>8.2652999999999999</v>
      </c>
      <c r="M506" s="81">
        <f>8.2689 * CHOOSE(CONTROL!$C$32, $C$9, 100%, $E$9)</f>
        <v>8.2689000000000004</v>
      </c>
      <c r="N506" s="81">
        <f>8.2653 * CHOOSE(CONTROL!$C$32, $C$9, 100%, $E$9)</f>
        <v>8.2652999999999999</v>
      </c>
      <c r="O506" s="81">
        <f>8.2689 * CHOOSE(CONTROL!$C$32, $C$9, 100%, $E$9)</f>
        <v>8.2689000000000004</v>
      </c>
    </row>
    <row r="507" spans="1:15" ht="15" x14ac:dyDescent="0.2">
      <c r="A507" s="16">
        <v>56646</v>
      </c>
      <c r="B507" s="80">
        <f>7.3783 * CHOOSE(CONTROL!$C$32, $C$9, 100%, $E$9)</f>
        <v>7.3783000000000003</v>
      </c>
      <c r="C507" s="80">
        <f>7.3783 * CHOOSE(CONTROL!$C$32, $C$9, 100%, $E$9)</f>
        <v>7.3783000000000003</v>
      </c>
      <c r="D507" s="80">
        <f>7.3794 * CHOOSE(CONTROL!$C$32, $C$9, 100%, $E$9)</f>
        <v>7.3794000000000004</v>
      </c>
      <c r="E507" s="81">
        <f>8.0773 * CHOOSE(CONTROL!$C$32, $C$9, 100%, $E$9)</f>
        <v>8.0772999999999993</v>
      </c>
      <c r="F507" s="81">
        <f>8.0773 * CHOOSE(CONTROL!$C$32, $C$9, 100%, $E$9)</f>
        <v>8.0772999999999993</v>
      </c>
      <c r="G507" s="81">
        <f>8.0809 * CHOOSE(CONTROL!$C$32, $C$9, 100%, $E$9)</f>
        <v>8.0808999999999997</v>
      </c>
      <c r="H507" s="81">
        <f>16.2293 * CHOOSE(CONTROL!$C$32, $C$9, 100%, $E$9)</f>
        <v>16.229299999999999</v>
      </c>
      <c r="I507" s="81">
        <f>16.2329 * CHOOSE(CONTROL!$C$32, $C$9, 100%, $E$9)</f>
        <v>16.232900000000001</v>
      </c>
      <c r="J507" s="81">
        <f>16.2293 * CHOOSE(CONTROL!$C$32, $C$9, 100%, $E$9)</f>
        <v>16.229299999999999</v>
      </c>
      <c r="K507" s="81">
        <f>16.2329 * CHOOSE(CONTROL!$C$32, $C$9, 100%, $E$9)</f>
        <v>16.232900000000001</v>
      </c>
      <c r="L507" s="81">
        <f>8.0773 * CHOOSE(CONTROL!$C$32, $C$9, 100%, $E$9)</f>
        <v>8.0772999999999993</v>
      </c>
      <c r="M507" s="81">
        <f>8.0809 * CHOOSE(CONTROL!$C$32, $C$9, 100%, $E$9)</f>
        <v>8.0808999999999997</v>
      </c>
      <c r="N507" s="81">
        <f>8.0773 * CHOOSE(CONTROL!$C$32, $C$9, 100%, $E$9)</f>
        <v>8.0772999999999993</v>
      </c>
      <c r="O507" s="81">
        <f>8.0809 * CHOOSE(CONTROL!$C$32, $C$9, 100%, $E$9)</f>
        <v>8.0808999999999997</v>
      </c>
    </row>
    <row r="508" spans="1:15" ht="15" x14ac:dyDescent="0.2">
      <c r="A508" s="16">
        <v>56674</v>
      </c>
      <c r="B508" s="80">
        <f>7.3752 * CHOOSE(CONTROL!$C$32, $C$9, 100%, $E$9)</f>
        <v>7.3752000000000004</v>
      </c>
      <c r="C508" s="80">
        <f>7.3752 * CHOOSE(CONTROL!$C$32, $C$9, 100%, $E$9)</f>
        <v>7.3752000000000004</v>
      </c>
      <c r="D508" s="80">
        <f>7.3763 * CHOOSE(CONTROL!$C$32, $C$9, 100%, $E$9)</f>
        <v>7.3762999999999996</v>
      </c>
      <c r="E508" s="81">
        <f>8.2217 * CHOOSE(CONTROL!$C$32, $C$9, 100%, $E$9)</f>
        <v>8.2217000000000002</v>
      </c>
      <c r="F508" s="81">
        <f>8.2217 * CHOOSE(CONTROL!$C$32, $C$9, 100%, $E$9)</f>
        <v>8.2217000000000002</v>
      </c>
      <c r="G508" s="81">
        <f>8.2253 * CHOOSE(CONTROL!$C$32, $C$9, 100%, $E$9)</f>
        <v>8.2253000000000007</v>
      </c>
      <c r="H508" s="81">
        <f>16.2631 * CHOOSE(CONTROL!$C$32, $C$9, 100%, $E$9)</f>
        <v>16.263100000000001</v>
      </c>
      <c r="I508" s="81">
        <f>16.2667 * CHOOSE(CONTROL!$C$32, $C$9, 100%, $E$9)</f>
        <v>16.2667</v>
      </c>
      <c r="J508" s="81">
        <f>16.2631 * CHOOSE(CONTROL!$C$32, $C$9, 100%, $E$9)</f>
        <v>16.263100000000001</v>
      </c>
      <c r="K508" s="81">
        <f>16.2667 * CHOOSE(CONTROL!$C$32, $C$9, 100%, $E$9)</f>
        <v>16.2667</v>
      </c>
      <c r="L508" s="81">
        <f>8.2217 * CHOOSE(CONTROL!$C$32, $C$9, 100%, $E$9)</f>
        <v>8.2217000000000002</v>
      </c>
      <c r="M508" s="81">
        <f>8.2253 * CHOOSE(CONTROL!$C$32, $C$9, 100%, $E$9)</f>
        <v>8.2253000000000007</v>
      </c>
      <c r="N508" s="81">
        <f>8.2217 * CHOOSE(CONTROL!$C$32, $C$9, 100%, $E$9)</f>
        <v>8.2217000000000002</v>
      </c>
      <c r="O508" s="81">
        <f>8.2253 * CHOOSE(CONTROL!$C$32, $C$9, 100%, $E$9)</f>
        <v>8.2253000000000007</v>
      </c>
    </row>
    <row r="509" spans="1:15" ht="15" x14ac:dyDescent="0.2">
      <c r="A509" s="16">
        <v>56705</v>
      </c>
      <c r="B509" s="80">
        <f>7.3762 * CHOOSE(CONTROL!$C$32, $C$9, 100%, $E$9)</f>
        <v>7.3761999999999999</v>
      </c>
      <c r="C509" s="80">
        <f>7.3762 * CHOOSE(CONTROL!$C$32, $C$9, 100%, $E$9)</f>
        <v>7.3761999999999999</v>
      </c>
      <c r="D509" s="80">
        <f>7.3772 * CHOOSE(CONTROL!$C$32, $C$9, 100%, $E$9)</f>
        <v>7.3772000000000002</v>
      </c>
      <c r="E509" s="81">
        <f>8.3748 * CHOOSE(CONTROL!$C$32, $C$9, 100%, $E$9)</f>
        <v>8.3748000000000005</v>
      </c>
      <c r="F509" s="81">
        <f>8.3748 * CHOOSE(CONTROL!$C$32, $C$9, 100%, $E$9)</f>
        <v>8.3748000000000005</v>
      </c>
      <c r="G509" s="81">
        <f>8.3784 * CHOOSE(CONTROL!$C$32, $C$9, 100%, $E$9)</f>
        <v>8.3783999999999992</v>
      </c>
      <c r="H509" s="81">
        <f>16.297 * CHOOSE(CONTROL!$C$32, $C$9, 100%, $E$9)</f>
        <v>16.297000000000001</v>
      </c>
      <c r="I509" s="81">
        <f>16.3006 * CHOOSE(CONTROL!$C$32, $C$9, 100%, $E$9)</f>
        <v>16.300599999999999</v>
      </c>
      <c r="J509" s="81">
        <f>16.297 * CHOOSE(CONTROL!$C$32, $C$9, 100%, $E$9)</f>
        <v>16.297000000000001</v>
      </c>
      <c r="K509" s="81">
        <f>16.3006 * CHOOSE(CONTROL!$C$32, $C$9, 100%, $E$9)</f>
        <v>16.300599999999999</v>
      </c>
      <c r="L509" s="81">
        <f>8.3748 * CHOOSE(CONTROL!$C$32, $C$9, 100%, $E$9)</f>
        <v>8.3748000000000005</v>
      </c>
      <c r="M509" s="81">
        <f>8.3784 * CHOOSE(CONTROL!$C$32, $C$9, 100%, $E$9)</f>
        <v>8.3783999999999992</v>
      </c>
      <c r="N509" s="81">
        <f>8.3748 * CHOOSE(CONTROL!$C$32, $C$9, 100%, $E$9)</f>
        <v>8.3748000000000005</v>
      </c>
      <c r="O509" s="81">
        <f>8.3784 * CHOOSE(CONTROL!$C$32, $C$9, 100%, $E$9)</f>
        <v>8.3783999999999992</v>
      </c>
    </row>
    <row r="510" spans="1:15" ht="15" x14ac:dyDescent="0.2">
      <c r="A510" s="16">
        <v>56735</v>
      </c>
      <c r="B510" s="80">
        <f>7.3762 * CHOOSE(CONTROL!$C$32, $C$9, 100%, $E$9)</f>
        <v>7.3761999999999999</v>
      </c>
      <c r="C510" s="80">
        <f>7.3762 * CHOOSE(CONTROL!$C$32, $C$9, 100%, $E$9)</f>
        <v>7.3761999999999999</v>
      </c>
      <c r="D510" s="80">
        <f>7.3777 * CHOOSE(CONTROL!$C$32, $C$9, 100%, $E$9)</f>
        <v>7.3776999999999999</v>
      </c>
      <c r="E510" s="81">
        <f>8.4338 * CHOOSE(CONTROL!$C$32, $C$9, 100%, $E$9)</f>
        <v>8.4337999999999997</v>
      </c>
      <c r="F510" s="81">
        <f>8.4338 * CHOOSE(CONTROL!$C$32, $C$9, 100%, $E$9)</f>
        <v>8.4337999999999997</v>
      </c>
      <c r="G510" s="81">
        <f>8.4391 * CHOOSE(CONTROL!$C$32, $C$9, 100%, $E$9)</f>
        <v>8.4390999999999998</v>
      </c>
      <c r="H510" s="81">
        <f>16.3309 * CHOOSE(CONTROL!$C$32, $C$9, 100%, $E$9)</f>
        <v>16.3309</v>
      </c>
      <c r="I510" s="81">
        <f>16.3362 * CHOOSE(CONTROL!$C$32, $C$9, 100%, $E$9)</f>
        <v>16.336200000000002</v>
      </c>
      <c r="J510" s="81">
        <f>16.3309 * CHOOSE(CONTROL!$C$32, $C$9, 100%, $E$9)</f>
        <v>16.3309</v>
      </c>
      <c r="K510" s="81">
        <f>16.3362 * CHOOSE(CONTROL!$C$32, $C$9, 100%, $E$9)</f>
        <v>16.336200000000002</v>
      </c>
      <c r="L510" s="81">
        <f>8.4338 * CHOOSE(CONTROL!$C$32, $C$9, 100%, $E$9)</f>
        <v>8.4337999999999997</v>
      </c>
      <c r="M510" s="81">
        <f>8.4391 * CHOOSE(CONTROL!$C$32, $C$9, 100%, $E$9)</f>
        <v>8.4390999999999998</v>
      </c>
      <c r="N510" s="81">
        <f>8.4338 * CHOOSE(CONTROL!$C$32, $C$9, 100%, $E$9)</f>
        <v>8.4337999999999997</v>
      </c>
      <c r="O510" s="81">
        <f>8.4391 * CHOOSE(CONTROL!$C$32, $C$9, 100%, $E$9)</f>
        <v>8.4390999999999998</v>
      </c>
    </row>
    <row r="511" spans="1:15" ht="15" x14ac:dyDescent="0.2">
      <c r="A511" s="16">
        <v>56766</v>
      </c>
      <c r="B511" s="80">
        <f>7.3822 * CHOOSE(CONTROL!$C$32, $C$9, 100%, $E$9)</f>
        <v>7.3822000000000001</v>
      </c>
      <c r="C511" s="80">
        <f>7.3822 * CHOOSE(CONTROL!$C$32, $C$9, 100%, $E$9)</f>
        <v>7.3822000000000001</v>
      </c>
      <c r="D511" s="80">
        <f>7.3838 * CHOOSE(CONTROL!$C$32, $C$9, 100%, $E$9)</f>
        <v>7.3837999999999999</v>
      </c>
      <c r="E511" s="81">
        <f>8.379 * CHOOSE(CONTROL!$C$32, $C$9, 100%, $E$9)</f>
        <v>8.3789999999999996</v>
      </c>
      <c r="F511" s="81">
        <f>8.379 * CHOOSE(CONTROL!$C$32, $C$9, 100%, $E$9)</f>
        <v>8.3789999999999996</v>
      </c>
      <c r="G511" s="81">
        <f>8.3843 * CHOOSE(CONTROL!$C$32, $C$9, 100%, $E$9)</f>
        <v>8.3842999999999996</v>
      </c>
      <c r="H511" s="81">
        <f>16.3649 * CHOOSE(CONTROL!$C$32, $C$9, 100%, $E$9)</f>
        <v>16.364899999999999</v>
      </c>
      <c r="I511" s="81">
        <f>16.3702 * CHOOSE(CONTROL!$C$32, $C$9, 100%, $E$9)</f>
        <v>16.370200000000001</v>
      </c>
      <c r="J511" s="81">
        <f>16.3649 * CHOOSE(CONTROL!$C$32, $C$9, 100%, $E$9)</f>
        <v>16.364899999999999</v>
      </c>
      <c r="K511" s="81">
        <f>16.3702 * CHOOSE(CONTROL!$C$32, $C$9, 100%, $E$9)</f>
        <v>16.370200000000001</v>
      </c>
      <c r="L511" s="81">
        <f>8.379 * CHOOSE(CONTROL!$C$32, $C$9, 100%, $E$9)</f>
        <v>8.3789999999999996</v>
      </c>
      <c r="M511" s="81">
        <f>8.3843 * CHOOSE(CONTROL!$C$32, $C$9, 100%, $E$9)</f>
        <v>8.3842999999999996</v>
      </c>
      <c r="N511" s="81">
        <f>8.379 * CHOOSE(CONTROL!$C$32, $C$9, 100%, $E$9)</f>
        <v>8.3789999999999996</v>
      </c>
      <c r="O511" s="81">
        <f>8.3843 * CHOOSE(CONTROL!$C$32, $C$9, 100%, $E$9)</f>
        <v>8.3842999999999996</v>
      </c>
    </row>
    <row r="512" spans="1:15" ht="15" x14ac:dyDescent="0.2">
      <c r="A512" s="16">
        <v>56796</v>
      </c>
      <c r="B512" s="80">
        <f>7.4779 * CHOOSE(CONTROL!$C$32, $C$9, 100%, $E$9)</f>
        <v>7.4779</v>
      </c>
      <c r="C512" s="80">
        <f>7.4779 * CHOOSE(CONTROL!$C$32, $C$9, 100%, $E$9)</f>
        <v>7.4779</v>
      </c>
      <c r="D512" s="80">
        <f>7.4795 * CHOOSE(CONTROL!$C$32, $C$9, 100%, $E$9)</f>
        <v>7.4794999999999998</v>
      </c>
      <c r="E512" s="81">
        <f>8.4945 * CHOOSE(CONTROL!$C$32, $C$9, 100%, $E$9)</f>
        <v>8.4945000000000004</v>
      </c>
      <c r="F512" s="81">
        <f>8.4945 * CHOOSE(CONTROL!$C$32, $C$9, 100%, $E$9)</f>
        <v>8.4945000000000004</v>
      </c>
      <c r="G512" s="81">
        <f>8.4998 * CHOOSE(CONTROL!$C$32, $C$9, 100%, $E$9)</f>
        <v>8.4998000000000005</v>
      </c>
      <c r="H512" s="81">
        <f>16.399 * CHOOSE(CONTROL!$C$32, $C$9, 100%, $E$9)</f>
        <v>16.399000000000001</v>
      </c>
      <c r="I512" s="81">
        <f>16.4043 * CHOOSE(CONTROL!$C$32, $C$9, 100%, $E$9)</f>
        <v>16.404299999999999</v>
      </c>
      <c r="J512" s="81">
        <f>16.399 * CHOOSE(CONTROL!$C$32, $C$9, 100%, $E$9)</f>
        <v>16.399000000000001</v>
      </c>
      <c r="K512" s="81">
        <f>16.4043 * CHOOSE(CONTROL!$C$32, $C$9, 100%, $E$9)</f>
        <v>16.404299999999999</v>
      </c>
      <c r="L512" s="81">
        <f>8.4945 * CHOOSE(CONTROL!$C$32, $C$9, 100%, $E$9)</f>
        <v>8.4945000000000004</v>
      </c>
      <c r="M512" s="81">
        <f>8.4998 * CHOOSE(CONTROL!$C$32, $C$9, 100%, $E$9)</f>
        <v>8.4998000000000005</v>
      </c>
      <c r="N512" s="81">
        <f>8.4945 * CHOOSE(CONTROL!$C$32, $C$9, 100%, $E$9)</f>
        <v>8.4945000000000004</v>
      </c>
      <c r="O512" s="81">
        <f>8.4998 * CHOOSE(CONTROL!$C$32, $C$9, 100%, $E$9)</f>
        <v>8.4998000000000005</v>
      </c>
    </row>
    <row r="513" spans="1:15" ht="15" x14ac:dyDescent="0.2">
      <c r="A513" s="16">
        <v>56827</v>
      </c>
      <c r="B513" s="80">
        <f>7.4846 * CHOOSE(CONTROL!$C$32, $C$9, 100%, $E$9)</f>
        <v>7.4846000000000004</v>
      </c>
      <c r="C513" s="80">
        <f>7.4846 * CHOOSE(CONTROL!$C$32, $C$9, 100%, $E$9)</f>
        <v>7.4846000000000004</v>
      </c>
      <c r="D513" s="80">
        <f>7.4862 * CHOOSE(CONTROL!$C$32, $C$9, 100%, $E$9)</f>
        <v>7.4862000000000002</v>
      </c>
      <c r="E513" s="81">
        <f>8.3222 * CHOOSE(CONTROL!$C$32, $C$9, 100%, $E$9)</f>
        <v>8.3222000000000005</v>
      </c>
      <c r="F513" s="81">
        <f>8.3222 * CHOOSE(CONTROL!$C$32, $C$9, 100%, $E$9)</f>
        <v>8.3222000000000005</v>
      </c>
      <c r="G513" s="81">
        <f>8.3275 * CHOOSE(CONTROL!$C$32, $C$9, 100%, $E$9)</f>
        <v>8.3275000000000006</v>
      </c>
      <c r="H513" s="81">
        <f>16.4332 * CHOOSE(CONTROL!$C$32, $C$9, 100%, $E$9)</f>
        <v>16.433199999999999</v>
      </c>
      <c r="I513" s="81">
        <f>16.4385 * CHOOSE(CONTROL!$C$32, $C$9, 100%, $E$9)</f>
        <v>16.438500000000001</v>
      </c>
      <c r="J513" s="81">
        <f>16.4332 * CHOOSE(CONTROL!$C$32, $C$9, 100%, $E$9)</f>
        <v>16.433199999999999</v>
      </c>
      <c r="K513" s="81">
        <f>16.4385 * CHOOSE(CONTROL!$C$32, $C$9, 100%, $E$9)</f>
        <v>16.438500000000001</v>
      </c>
      <c r="L513" s="81">
        <f>8.3222 * CHOOSE(CONTROL!$C$32, $C$9, 100%, $E$9)</f>
        <v>8.3222000000000005</v>
      </c>
      <c r="M513" s="81">
        <f>8.3275 * CHOOSE(CONTROL!$C$32, $C$9, 100%, $E$9)</f>
        <v>8.3275000000000006</v>
      </c>
      <c r="N513" s="81">
        <f>8.3222 * CHOOSE(CONTROL!$C$32, $C$9, 100%, $E$9)</f>
        <v>8.3222000000000005</v>
      </c>
      <c r="O513" s="81">
        <f>8.3275 * CHOOSE(CONTROL!$C$32, $C$9, 100%, $E$9)</f>
        <v>8.3275000000000006</v>
      </c>
    </row>
    <row r="514" spans="1:15" ht="15" x14ac:dyDescent="0.2">
      <c r="A514" s="16">
        <v>56858</v>
      </c>
      <c r="B514" s="80">
        <f>7.4816 * CHOOSE(CONTROL!$C$32, $C$9, 100%, $E$9)</f>
        <v>7.4816000000000003</v>
      </c>
      <c r="C514" s="80">
        <f>7.4816 * CHOOSE(CONTROL!$C$32, $C$9, 100%, $E$9)</f>
        <v>7.4816000000000003</v>
      </c>
      <c r="D514" s="80">
        <f>7.4831 * CHOOSE(CONTROL!$C$32, $C$9, 100%, $E$9)</f>
        <v>7.4831000000000003</v>
      </c>
      <c r="E514" s="81">
        <f>8.3004 * CHOOSE(CONTROL!$C$32, $C$9, 100%, $E$9)</f>
        <v>8.3003999999999998</v>
      </c>
      <c r="F514" s="81">
        <f>8.3004 * CHOOSE(CONTROL!$C$32, $C$9, 100%, $E$9)</f>
        <v>8.3003999999999998</v>
      </c>
      <c r="G514" s="81">
        <f>8.3057 * CHOOSE(CONTROL!$C$32, $C$9, 100%, $E$9)</f>
        <v>8.3056999999999999</v>
      </c>
      <c r="H514" s="81">
        <f>16.4674 * CHOOSE(CONTROL!$C$32, $C$9, 100%, $E$9)</f>
        <v>16.467400000000001</v>
      </c>
      <c r="I514" s="81">
        <f>16.4727 * CHOOSE(CONTROL!$C$32, $C$9, 100%, $E$9)</f>
        <v>16.4727</v>
      </c>
      <c r="J514" s="81">
        <f>16.4674 * CHOOSE(CONTROL!$C$32, $C$9, 100%, $E$9)</f>
        <v>16.467400000000001</v>
      </c>
      <c r="K514" s="81">
        <f>16.4727 * CHOOSE(CONTROL!$C$32, $C$9, 100%, $E$9)</f>
        <v>16.4727</v>
      </c>
      <c r="L514" s="81">
        <f>8.3004 * CHOOSE(CONTROL!$C$32, $C$9, 100%, $E$9)</f>
        <v>8.3003999999999998</v>
      </c>
      <c r="M514" s="81">
        <f>8.3057 * CHOOSE(CONTROL!$C$32, $C$9, 100%, $E$9)</f>
        <v>8.3056999999999999</v>
      </c>
      <c r="N514" s="81">
        <f>8.3004 * CHOOSE(CONTROL!$C$32, $C$9, 100%, $E$9)</f>
        <v>8.3003999999999998</v>
      </c>
      <c r="O514" s="81">
        <f>8.3057 * CHOOSE(CONTROL!$C$32, $C$9, 100%, $E$9)</f>
        <v>8.3056999999999999</v>
      </c>
    </row>
    <row r="515" spans="1:15" ht="15" x14ac:dyDescent="0.2">
      <c r="A515" s="16">
        <v>56888</v>
      </c>
      <c r="B515" s="80">
        <f>7.4896 * CHOOSE(CONTROL!$C$32, $C$9, 100%, $E$9)</f>
        <v>7.4896000000000003</v>
      </c>
      <c r="C515" s="80">
        <f>7.4896 * CHOOSE(CONTROL!$C$32, $C$9, 100%, $E$9)</f>
        <v>7.4896000000000003</v>
      </c>
      <c r="D515" s="80">
        <f>7.4906 * CHOOSE(CONTROL!$C$32, $C$9, 100%, $E$9)</f>
        <v>7.4905999999999997</v>
      </c>
      <c r="E515" s="81">
        <f>8.3656 * CHOOSE(CONTROL!$C$32, $C$9, 100%, $E$9)</f>
        <v>8.3656000000000006</v>
      </c>
      <c r="F515" s="81">
        <f>8.3656 * CHOOSE(CONTROL!$C$32, $C$9, 100%, $E$9)</f>
        <v>8.3656000000000006</v>
      </c>
      <c r="G515" s="81">
        <f>8.3692 * CHOOSE(CONTROL!$C$32, $C$9, 100%, $E$9)</f>
        <v>8.3691999999999993</v>
      </c>
      <c r="H515" s="81">
        <f>16.5017 * CHOOSE(CONTROL!$C$32, $C$9, 100%, $E$9)</f>
        <v>16.5017</v>
      </c>
      <c r="I515" s="81">
        <f>16.5053 * CHOOSE(CONTROL!$C$32, $C$9, 100%, $E$9)</f>
        <v>16.505299999999998</v>
      </c>
      <c r="J515" s="81">
        <f>16.5017 * CHOOSE(CONTROL!$C$32, $C$9, 100%, $E$9)</f>
        <v>16.5017</v>
      </c>
      <c r="K515" s="81">
        <f>16.5053 * CHOOSE(CONTROL!$C$32, $C$9, 100%, $E$9)</f>
        <v>16.505299999999998</v>
      </c>
      <c r="L515" s="81">
        <f>8.3656 * CHOOSE(CONTROL!$C$32, $C$9, 100%, $E$9)</f>
        <v>8.3656000000000006</v>
      </c>
      <c r="M515" s="81">
        <f>8.3692 * CHOOSE(CONTROL!$C$32, $C$9, 100%, $E$9)</f>
        <v>8.3691999999999993</v>
      </c>
      <c r="N515" s="81">
        <f>8.3656 * CHOOSE(CONTROL!$C$32, $C$9, 100%, $E$9)</f>
        <v>8.3656000000000006</v>
      </c>
      <c r="O515" s="81">
        <f>8.3692 * CHOOSE(CONTROL!$C$32, $C$9, 100%, $E$9)</f>
        <v>8.3691999999999993</v>
      </c>
    </row>
    <row r="516" spans="1:15" ht="15" x14ac:dyDescent="0.2">
      <c r="A516" s="16">
        <v>56919</v>
      </c>
      <c r="B516" s="80">
        <f>7.4926 * CHOOSE(CONTROL!$C$32, $C$9, 100%, $E$9)</f>
        <v>7.4926000000000004</v>
      </c>
      <c r="C516" s="80">
        <f>7.4926 * CHOOSE(CONTROL!$C$32, $C$9, 100%, $E$9)</f>
        <v>7.4926000000000004</v>
      </c>
      <c r="D516" s="80">
        <f>7.4937 * CHOOSE(CONTROL!$C$32, $C$9, 100%, $E$9)</f>
        <v>7.4936999999999996</v>
      </c>
      <c r="E516" s="81">
        <f>8.4071 * CHOOSE(CONTROL!$C$32, $C$9, 100%, $E$9)</f>
        <v>8.4070999999999998</v>
      </c>
      <c r="F516" s="81">
        <f>8.4071 * CHOOSE(CONTROL!$C$32, $C$9, 100%, $E$9)</f>
        <v>8.4070999999999998</v>
      </c>
      <c r="G516" s="81">
        <f>8.4107 * CHOOSE(CONTROL!$C$32, $C$9, 100%, $E$9)</f>
        <v>8.4107000000000003</v>
      </c>
      <c r="H516" s="81">
        <f>16.5361 * CHOOSE(CONTROL!$C$32, $C$9, 100%, $E$9)</f>
        <v>16.536100000000001</v>
      </c>
      <c r="I516" s="81">
        <f>16.5397 * CHOOSE(CONTROL!$C$32, $C$9, 100%, $E$9)</f>
        <v>16.5397</v>
      </c>
      <c r="J516" s="81">
        <f>16.5361 * CHOOSE(CONTROL!$C$32, $C$9, 100%, $E$9)</f>
        <v>16.536100000000001</v>
      </c>
      <c r="K516" s="81">
        <f>16.5397 * CHOOSE(CONTROL!$C$32, $C$9, 100%, $E$9)</f>
        <v>16.5397</v>
      </c>
      <c r="L516" s="81">
        <f>8.4071 * CHOOSE(CONTROL!$C$32, $C$9, 100%, $E$9)</f>
        <v>8.4070999999999998</v>
      </c>
      <c r="M516" s="81">
        <f>8.4107 * CHOOSE(CONTROL!$C$32, $C$9, 100%, $E$9)</f>
        <v>8.4107000000000003</v>
      </c>
      <c r="N516" s="81">
        <f>8.4071 * CHOOSE(CONTROL!$C$32, $C$9, 100%, $E$9)</f>
        <v>8.4070999999999998</v>
      </c>
      <c r="O516" s="81">
        <f>8.4107 * CHOOSE(CONTROL!$C$32, $C$9, 100%, $E$9)</f>
        <v>8.4107000000000003</v>
      </c>
    </row>
    <row r="517" spans="1:15" ht="15" x14ac:dyDescent="0.2">
      <c r="A517" s="16">
        <v>56949</v>
      </c>
      <c r="B517" s="80">
        <f>7.4926 * CHOOSE(CONTROL!$C$32, $C$9, 100%, $E$9)</f>
        <v>7.4926000000000004</v>
      </c>
      <c r="C517" s="80">
        <f>7.4926 * CHOOSE(CONTROL!$C$32, $C$9, 100%, $E$9)</f>
        <v>7.4926000000000004</v>
      </c>
      <c r="D517" s="80">
        <f>7.4937 * CHOOSE(CONTROL!$C$32, $C$9, 100%, $E$9)</f>
        <v>7.4936999999999996</v>
      </c>
      <c r="E517" s="81">
        <f>8.3087 * CHOOSE(CONTROL!$C$32, $C$9, 100%, $E$9)</f>
        <v>8.3087</v>
      </c>
      <c r="F517" s="81">
        <f>8.3087 * CHOOSE(CONTROL!$C$32, $C$9, 100%, $E$9)</f>
        <v>8.3087</v>
      </c>
      <c r="G517" s="81">
        <f>8.3124 * CHOOSE(CONTROL!$C$32, $C$9, 100%, $E$9)</f>
        <v>8.3124000000000002</v>
      </c>
      <c r="H517" s="81">
        <f>16.5706 * CHOOSE(CONTROL!$C$32, $C$9, 100%, $E$9)</f>
        <v>16.570599999999999</v>
      </c>
      <c r="I517" s="81">
        <f>16.5742 * CHOOSE(CONTROL!$C$32, $C$9, 100%, $E$9)</f>
        <v>16.574200000000001</v>
      </c>
      <c r="J517" s="81">
        <f>16.5706 * CHOOSE(CONTROL!$C$32, $C$9, 100%, $E$9)</f>
        <v>16.570599999999999</v>
      </c>
      <c r="K517" s="81">
        <f>16.5742 * CHOOSE(CONTROL!$C$32, $C$9, 100%, $E$9)</f>
        <v>16.574200000000001</v>
      </c>
      <c r="L517" s="81">
        <f>8.3087 * CHOOSE(CONTROL!$C$32, $C$9, 100%, $E$9)</f>
        <v>8.3087</v>
      </c>
      <c r="M517" s="81">
        <f>8.3124 * CHOOSE(CONTROL!$C$32, $C$9, 100%, $E$9)</f>
        <v>8.3124000000000002</v>
      </c>
      <c r="N517" s="81">
        <f>8.3087 * CHOOSE(CONTROL!$C$32, $C$9, 100%, $E$9)</f>
        <v>8.3087</v>
      </c>
      <c r="O517" s="81">
        <f>8.3124 * CHOOSE(CONTROL!$C$32, $C$9, 100%, $E$9)</f>
        <v>8.3124000000000002</v>
      </c>
    </row>
    <row r="518" spans="1:15" ht="15" x14ac:dyDescent="0.2">
      <c r="A518" s="16">
        <v>56980</v>
      </c>
      <c r="B518" s="80">
        <f>7.5488 * CHOOSE(CONTROL!$C$32, $C$9, 100%, $E$9)</f>
        <v>7.5488</v>
      </c>
      <c r="C518" s="80">
        <f>7.5488 * CHOOSE(CONTROL!$C$32, $C$9, 100%, $E$9)</f>
        <v>7.5488</v>
      </c>
      <c r="D518" s="80">
        <f>7.5498 * CHOOSE(CONTROL!$C$32, $C$9, 100%, $E$9)</f>
        <v>7.5498000000000003</v>
      </c>
      <c r="E518" s="81">
        <f>8.4508 * CHOOSE(CONTROL!$C$32, $C$9, 100%, $E$9)</f>
        <v>8.4507999999999992</v>
      </c>
      <c r="F518" s="81">
        <f>8.4508 * CHOOSE(CONTROL!$C$32, $C$9, 100%, $E$9)</f>
        <v>8.4507999999999992</v>
      </c>
      <c r="G518" s="81">
        <f>8.4544 * CHOOSE(CONTROL!$C$32, $C$9, 100%, $E$9)</f>
        <v>8.4543999999999997</v>
      </c>
      <c r="H518" s="81">
        <f>16.6051 * CHOOSE(CONTROL!$C$32, $C$9, 100%, $E$9)</f>
        <v>16.6051</v>
      </c>
      <c r="I518" s="81">
        <f>16.6087 * CHOOSE(CONTROL!$C$32, $C$9, 100%, $E$9)</f>
        <v>16.608699999999999</v>
      </c>
      <c r="J518" s="81">
        <f>16.6051 * CHOOSE(CONTROL!$C$32, $C$9, 100%, $E$9)</f>
        <v>16.6051</v>
      </c>
      <c r="K518" s="81">
        <f>16.6087 * CHOOSE(CONTROL!$C$32, $C$9, 100%, $E$9)</f>
        <v>16.608699999999999</v>
      </c>
      <c r="L518" s="81">
        <f>8.4508 * CHOOSE(CONTROL!$C$32, $C$9, 100%, $E$9)</f>
        <v>8.4507999999999992</v>
      </c>
      <c r="M518" s="81">
        <f>8.4544 * CHOOSE(CONTROL!$C$32, $C$9, 100%, $E$9)</f>
        <v>8.4543999999999997</v>
      </c>
      <c r="N518" s="81">
        <f>8.4508 * CHOOSE(CONTROL!$C$32, $C$9, 100%, $E$9)</f>
        <v>8.4507999999999992</v>
      </c>
      <c r="O518" s="81">
        <f>8.4544 * CHOOSE(CONTROL!$C$32, $C$9, 100%, $E$9)</f>
        <v>8.4543999999999997</v>
      </c>
    </row>
    <row r="519" spans="1:15" ht="15" x14ac:dyDescent="0.2">
      <c r="A519" s="16">
        <v>57011</v>
      </c>
      <c r="B519" s="80">
        <f>7.5457 * CHOOSE(CONTROL!$C$32, $C$9, 100%, $E$9)</f>
        <v>7.5457000000000001</v>
      </c>
      <c r="C519" s="80">
        <f>7.5457 * CHOOSE(CONTROL!$C$32, $C$9, 100%, $E$9)</f>
        <v>7.5457000000000001</v>
      </c>
      <c r="D519" s="80">
        <f>7.5468 * CHOOSE(CONTROL!$C$32, $C$9, 100%, $E$9)</f>
        <v>7.5468000000000002</v>
      </c>
      <c r="E519" s="81">
        <f>8.2568 * CHOOSE(CONTROL!$C$32, $C$9, 100%, $E$9)</f>
        <v>8.2568000000000001</v>
      </c>
      <c r="F519" s="81">
        <f>8.2568 * CHOOSE(CONTROL!$C$32, $C$9, 100%, $E$9)</f>
        <v>8.2568000000000001</v>
      </c>
      <c r="G519" s="81">
        <f>8.2604 * CHOOSE(CONTROL!$C$32, $C$9, 100%, $E$9)</f>
        <v>8.2604000000000006</v>
      </c>
      <c r="H519" s="81">
        <f>16.6397 * CHOOSE(CONTROL!$C$32, $C$9, 100%, $E$9)</f>
        <v>16.639700000000001</v>
      </c>
      <c r="I519" s="81">
        <f>16.6433 * CHOOSE(CONTROL!$C$32, $C$9, 100%, $E$9)</f>
        <v>16.6433</v>
      </c>
      <c r="J519" s="81">
        <f>16.6397 * CHOOSE(CONTROL!$C$32, $C$9, 100%, $E$9)</f>
        <v>16.639700000000001</v>
      </c>
      <c r="K519" s="81">
        <f>16.6433 * CHOOSE(CONTROL!$C$32, $C$9, 100%, $E$9)</f>
        <v>16.6433</v>
      </c>
      <c r="L519" s="81">
        <f>8.2568 * CHOOSE(CONTROL!$C$32, $C$9, 100%, $E$9)</f>
        <v>8.2568000000000001</v>
      </c>
      <c r="M519" s="81">
        <f>8.2604 * CHOOSE(CONTROL!$C$32, $C$9, 100%, $E$9)</f>
        <v>8.2604000000000006</v>
      </c>
      <c r="N519" s="81">
        <f>8.2568 * CHOOSE(CONTROL!$C$32, $C$9, 100%, $E$9)</f>
        <v>8.2568000000000001</v>
      </c>
      <c r="O519" s="81">
        <f>8.2604 * CHOOSE(CONTROL!$C$32, $C$9, 100%, $E$9)</f>
        <v>8.2604000000000006</v>
      </c>
    </row>
    <row r="520" spans="1:15" ht="15" x14ac:dyDescent="0.2">
      <c r="A520" s="16">
        <v>57040</v>
      </c>
      <c r="B520" s="80">
        <f>7.5427 * CHOOSE(CONTROL!$C$32, $C$9, 100%, $E$9)</f>
        <v>7.5427</v>
      </c>
      <c r="C520" s="80">
        <f>7.5427 * CHOOSE(CONTROL!$C$32, $C$9, 100%, $E$9)</f>
        <v>7.5427</v>
      </c>
      <c r="D520" s="80">
        <f>7.5438 * CHOOSE(CONTROL!$C$32, $C$9, 100%, $E$9)</f>
        <v>7.5438000000000001</v>
      </c>
      <c r="E520" s="81">
        <f>8.406 * CHOOSE(CONTROL!$C$32, $C$9, 100%, $E$9)</f>
        <v>8.4060000000000006</v>
      </c>
      <c r="F520" s="81">
        <f>8.406 * CHOOSE(CONTROL!$C$32, $C$9, 100%, $E$9)</f>
        <v>8.4060000000000006</v>
      </c>
      <c r="G520" s="81">
        <f>8.4096 * CHOOSE(CONTROL!$C$32, $C$9, 100%, $E$9)</f>
        <v>8.4095999999999993</v>
      </c>
      <c r="H520" s="81">
        <f>16.6743 * CHOOSE(CONTROL!$C$32, $C$9, 100%, $E$9)</f>
        <v>16.674299999999999</v>
      </c>
      <c r="I520" s="81">
        <f>16.678 * CHOOSE(CONTROL!$C$32, $C$9, 100%, $E$9)</f>
        <v>16.678000000000001</v>
      </c>
      <c r="J520" s="81">
        <f>16.6743 * CHOOSE(CONTROL!$C$32, $C$9, 100%, $E$9)</f>
        <v>16.674299999999999</v>
      </c>
      <c r="K520" s="81">
        <f>16.678 * CHOOSE(CONTROL!$C$32, $C$9, 100%, $E$9)</f>
        <v>16.678000000000001</v>
      </c>
      <c r="L520" s="81">
        <f>8.406 * CHOOSE(CONTROL!$C$32, $C$9, 100%, $E$9)</f>
        <v>8.4060000000000006</v>
      </c>
      <c r="M520" s="81">
        <f>8.4096 * CHOOSE(CONTROL!$C$32, $C$9, 100%, $E$9)</f>
        <v>8.4095999999999993</v>
      </c>
      <c r="N520" s="81">
        <f>8.406 * CHOOSE(CONTROL!$C$32, $C$9, 100%, $E$9)</f>
        <v>8.4060000000000006</v>
      </c>
      <c r="O520" s="81">
        <f>8.4096 * CHOOSE(CONTROL!$C$32, $C$9, 100%, $E$9)</f>
        <v>8.4095999999999993</v>
      </c>
    </row>
    <row r="521" spans="1:15" ht="15" x14ac:dyDescent="0.2">
      <c r="A521" s="16">
        <v>57071</v>
      </c>
      <c r="B521" s="80">
        <f>7.5438 * CHOOSE(CONTROL!$C$32, $C$9, 100%, $E$9)</f>
        <v>7.5438000000000001</v>
      </c>
      <c r="C521" s="80">
        <f>7.5438 * CHOOSE(CONTROL!$C$32, $C$9, 100%, $E$9)</f>
        <v>7.5438000000000001</v>
      </c>
      <c r="D521" s="80">
        <f>7.5448 * CHOOSE(CONTROL!$C$32, $C$9, 100%, $E$9)</f>
        <v>7.5448000000000004</v>
      </c>
      <c r="E521" s="81">
        <f>8.5642 * CHOOSE(CONTROL!$C$32, $C$9, 100%, $E$9)</f>
        <v>8.5641999999999996</v>
      </c>
      <c r="F521" s="81">
        <f>8.5642 * CHOOSE(CONTROL!$C$32, $C$9, 100%, $E$9)</f>
        <v>8.5641999999999996</v>
      </c>
      <c r="G521" s="81">
        <f>8.5678 * CHOOSE(CONTROL!$C$32, $C$9, 100%, $E$9)</f>
        <v>8.5678000000000001</v>
      </c>
      <c r="H521" s="81">
        <f>16.7091 * CHOOSE(CONTROL!$C$32, $C$9, 100%, $E$9)</f>
        <v>16.709099999999999</v>
      </c>
      <c r="I521" s="81">
        <f>16.7127 * CHOOSE(CONTROL!$C$32, $C$9, 100%, $E$9)</f>
        <v>16.712700000000002</v>
      </c>
      <c r="J521" s="81">
        <f>16.7091 * CHOOSE(CONTROL!$C$32, $C$9, 100%, $E$9)</f>
        <v>16.709099999999999</v>
      </c>
      <c r="K521" s="81">
        <f>16.7127 * CHOOSE(CONTROL!$C$32, $C$9, 100%, $E$9)</f>
        <v>16.712700000000002</v>
      </c>
      <c r="L521" s="81">
        <f>8.5642 * CHOOSE(CONTROL!$C$32, $C$9, 100%, $E$9)</f>
        <v>8.5641999999999996</v>
      </c>
      <c r="M521" s="81">
        <f>8.5678 * CHOOSE(CONTROL!$C$32, $C$9, 100%, $E$9)</f>
        <v>8.5678000000000001</v>
      </c>
      <c r="N521" s="81">
        <f>8.5642 * CHOOSE(CONTROL!$C$32, $C$9, 100%, $E$9)</f>
        <v>8.5641999999999996</v>
      </c>
      <c r="O521" s="81">
        <f>8.5678 * CHOOSE(CONTROL!$C$32, $C$9, 100%, $E$9)</f>
        <v>8.5678000000000001</v>
      </c>
    </row>
    <row r="522" spans="1:15" ht="15" x14ac:dyDescent="0.2">
      <c r="A522" s="16">
        <v>57101</v>
      </c>
      <c r="B522" s="80">
        <f>7.5438 * CHOOSE(CONTROL!$C$32, $C$9, 100%, $E$9)</f>
        <v>7.5438000000000001</v>
      </c>
      <c r="C522" s="80">
        <f>7.5438 * CHOOSE(CONTROL!$C$32, $C$9, 100%, $E$9)</f>
        <v>7.5438000000000001</v>
      </c>
      <c r="D522" s="80">
        <f>7.5454 * CHOOSE(CONTROL!$C$32, $C$9, 100%, $E$9)</f>
        <v>7.5453999999999999</v>
      </c>
      <c r="E522" s="81">
        <f>8.6251 * CHOOSE(CONTROL!$C$32, $C$9, 100%, $E$9)</f>
        <v>8.6250999999999998</v>
      </c>
      <c r="F522" s="81">
        <f>8.6251 * CHOOSE(CONTROL!$C$32, $C$9, 100%, $E$9)</f>
        <v>8.6250999999999998</v>
      </c>
      <c r="G522" s="81">
        <f>8.6304 * CHOOSE(CONTROL!$C$32, $C$9, 100%, $E$9)</f>
        <v>8.6303999999999998</v>
      </c>
      <c r="H522" s="81">
        <f>16.7439 * CHOOSE(CONTROL!$C$32, $C$9, 100%, $E$9)</f>
        <v>16.7439</v>
      </c>
      <c r="I522" s="81">
        <f>16.7492 * CHOOSE(CONTROL!$C$32, $C$9, 100%, $E$9)</f>
        <v>16.749199999999998</v>
      </c>
      <c r="J522" s="81">
        <f>16.7439 * CHOOSE(CONTROL!$C$32, $C$9, 100%, $E$9)</f>
        <v>16.7439</v>
      </c>
      <c r="K522" s="81">
        <f>16.7492 * CHOOSE(CONTROL!$C$32, $C$9, 100%, $E$9)</f>
        <v>16.749199999999998</v>
      </c>
      <c r="L522" s="81">
        <f>8.6251 * CHOOSE(CONTROL!$C$32, $C$9, 100%, $E$9)</f>
        <v>8.6250999999999998</v>
      </c>
      <c r="M522" s="81">
        <f>8.6304 * CHOOSE(CONTROL!$C$32, $C$9, 100%, $E$9)</f>
        <v>8.6303999999999998</v>
      </c>
      <c r="N522" s="81">
        <f>8.6251 * CHOOSE(CONTROL!$C$32, $C$9, 100%, $E$9)</f>
        <v>8.6250999999999998</v>
      </c>
      <c r="O522" s="81">
        <f>8.6304 * CHOOSE(CONTROL!$C$32, $C$9, 100%, $E$9)</f>
        <v>8.6303999999999998</v>
      </c>
    </row>
    <row r="523" spans="1:15" ht="15" x14ac:dyDescent="0.2">
      <c r="A523" s="16">
        <v>57132</v>
      </c>
      <c r="B523" s="80">
        <f>7.5499 * CHOOSE(CONTROL!$C$32, $C$9, 100%, $E$9)</f>
        <v>7.5499000000000001</v>
      </c>
      <c r="C523" s="80">
        <f>7.5499 * CHOOSE(CONTROL!$C$32, $C$9, 100%, $E$9)</f>
        <v>7.5499000000000001</v>
      </c>
      <c r="D523" s="80">
        <f>7.5514 * CHOOSE(CONTROL!$C$32, $C$9, 100%, $E$9)</f>
        <v>7.5514000000000001</v>
      </c>
      <c r="E523" s="81">
        <f>8.5684 * CHOOSE(CONTROL!$C$32, $C$9, 100%, $E$9)</f>
        <v>8.5684000000000005</v>
      </c>
      <c r="F523" s="81">
        <f>8.5684 * CHOOSE(CONTROL!$C$32, $C$9, 100%, $E$9)</f>
        <v>8.5684000000000005</v>
      </c>
      <c r="G523" s="81">
        <f>8.5737 * CHOOSE(CONTROL!$C$32, $C$9, 100%, $E$9)</f>
        <v>8.5737000000000005</v>
      </c>
      <c r="H523" s="81">
        <f>16.7788 * CHOOSE(CONTROL!$C$32, $C$9, 100%, $E$9)</f>
        <v>16.7788</v>
      </c>
      <c r="I523" s="81">
        <f>16.7841 * CHOOSE(CONTROL!$C$32, $C$9, 100%, $E$9)</f>
        <v>16.784099999999999</v>
      </c>
      <c r="J523" s="81">
        <f>16.7788 * CHOOSE(CONTROL!$C$32, $C$9, 100%, $E$9)</f>
        <v>16.7788</v>
      </c>
      <c r="K523" s="81">
        <f>16.7841 * CHOOSE(CONTROL!$C$32, $C$9, 100%, $E$9)</f>
        <v>16.784099999999999</v>
      </c>
      <c r="L523" s="81">
        <f>8.5684 * CHOOSE(CONTROL!$C$32, $C$9, 100%, $E$9)</f>
        <v>8.5684000000000005</v>
      </c>
      <c r="M523" s="81">
        <f>8.5737 * CHOOSE(CONTROL!$C$32, $C$9, 100%, $E$9)</f>
        <v>8.5737000000000005</v>
      </c>
      <c r="N523" s="81">
        <f>8.5684 * CHOOSE(CONTROL!$C$32, $C$9, 100%, $E$9)</f>
        <v>8.5684000000000005</v>
      </c>
      <c r="O523" s="81">
        <f>8.5737 * CHOOSE(CONTROL!$C$32, $C$9, 100%, $E$9)</f>
        <v>8.5737000000000005</v>
      </c>
    </row>
    <row r="524" spans="1:15" ht="15" x14ac:dyDescent="0.2">
      <c r="A524" s="16">
        <v>57162</v>
      </c>
      <c r="B524" s="80">
        <f>7.6474 * CHOOSE(CONTROL!$C$32, $C$9, 100%, $E$9)</f>
        <v>7.6474000000000002</v>
      </c>
      <c r="C524" s="80">
        <f>7.6474 * CHOOSE(CONTROL!$C$32, $C$9, 100%, $E$9)</f>
        <v>7.6474000000000002</v>
      </c>
      <c r="D524" s="80">
        <f>7.6489 * CHOOSE(CONTROL!$C$32, $C$9, 100%, $E$9)</f>
        <v>7.6489000000000003</v>
      </c>
      <c r="E524" s="81">
        <f>8.6867 * CHOOSE(CONTROL!$C$32, $C$9, 100%, $E$9)</f>
        <v>8.6867000000000001</v>
      </c>
      <c r="F524" s="81">
        <f>8.6867 * CHOOSE(CONTROL!$C$32, $C$9, 100%, $E$9)</f>
        <v>8.6867000000000001</v>
      </c>
      <c r="G524" s="81">
        <f>8.692 * CHOOSE(CONTROL!$C$32, $C$9, 100%, $E$9)</f>
        <v>8.6920000000000002</v>
      </c>
      <c r="H524" s="81">
        <f>16.8137 * CHOOSE(CONTROL!$C$32, $C$9, 100%, $E$9)</f>
        <v>16.813700000000001</v>
      </c>
      <c r="I524" s="81">
        <f>16.819 * CHOOSE(CONTROL!$C$32, $C$9, 100%, $E$9)</f>
        <v>16.818999999999999</v>
      </c>
      <c r="J524" s="81">
        <f>16.8137 * CHOOSE(CONTROL!$C$32, $C$9, 100%, $E$9)</f>
        <v>16.813700000000001</v>
      </c>
      <c r="K524" s="81">
        <f>16.819 * CHOOSE(CONTROL!$C$32, $C$9, 100%, $E$9)</f>
        <v>16.818999999999999</v>
      </c>
      <c r="L524" s="81">
        <f>8.6867 * CHOOSE(CONTROL!$C$32, $C$9, 100%, $E$9)</f>
        <v>8.6867000000000001</v>
      </c>
      <c r="M524" s="81">
        <f>8.692 * CHOOSE(CONTROL!$C$32, $C$9, 100%, $E$9)</f>
        <v>8.6920000000000002</v>
      </c>
      <c r="N524" s="81">
        <f>8.6867 * CHOOSE(CONTROL!$C$32, $C$9, 100%, $E$9)</f>
        <v>8.6867000000000001</v>
      </c>
      <c r="O524" s="81">
        <f>8.692 * CHOOSE(CONTROL!$C$32, $C$9, 100%, $E$9)</f>
        <v>8.6920000000000002</v>
      </c>
    </row>
    <row r="525" spans="1:15" ht="15" x14ac:dyDescent="0.2">
      <c r="A525" s="16">
        <v>57193</v>
      </c>
      <c r="B525" s="80">
        <f>7.654 * CHOOSE(CONTROL!$C$32, $C$9, 100%, $E$9)</f>
        <v>7.6539999999999999</v>
      </c>
      <c r="C525" s="80">
        <f>7.654 * CHOOSE(CONTROL!$C$32, $C$9, 100%, $E$9)</f>
        <v>7.6539999999999999</v>
      </c>
      <c r="D525" s="80">
        <f>7.6556 * CHOOSE(CONTROL!$C$32, $C$9, 100%, $E$9)</f>
        <v>7.6555999999999997</v>
      </c>
      <c r="E525" s="81">
        <f>8.5087 * CHOOSE(CONTROL!$C$32, $C$9, 100%, $E$9)</f>
        <v>8.5086999999999993</v>
      </c>
      <c r="F525" s="81">
        <f>8.5087 * CHOOSE(CONTROL!$C$32, $C$9, 100%, $E$9)</f>
        <v>8.5086999999999993</v>
      </c>
      <c r="G525" s="81">
        <f>8.5139 * CHOOSE(CONTROL!$C$32, $C$9, 100%, $E$9)</f>
        <v>8.5138999999999996</v>
      </c>
      <c r="H525" s="81">
        <f>16.8488 * CHOOSE(CONTROL!$C$32, $C$9, 100%, $E$9)</f>
        <v>16.848800000000001</v>
      </c>
      <c r="I525" s="81">
        <f>16.854 * CHOOSE(CONTROL!$C$32, $C$9, 100%, $E$9)</f>
        <v>16.853999999999999</v>
      </c>
      <c r="J525" s="81">
        <f>16.8488 * CHOOSE(CONTROL!$C$32, $C$9, 100%, $E$9)</f>
        <v>16.848800000000001</v>
      </c>
      <c r="K525" s="81">
        <f>16.854 * CHOOSE(CONTROL!$C$32, $C$9, 100%, $E$9)</f>
        <v>16.853999999999999</v>
      </c>
      <c r="L525" s="81">
        <f>8.5087 * CHOOSE(CONTROL!$C$32, $C$9, 100%, $E$9)</f>
        <v>8.5086999999999993</v>
      </c>
      <c r="M525" s="81">
        <f>8.5139 * CHOOSE(CONTROL!$C$32, $C$9, 100%, $E$9)</f>
        <v>8.5138999999999996</v>
      </c>
      <c r="N525" s="81">
        <f>8.5087 * CHOOSE(CONTROL!$C$32, $C$9, 100%, $E$9)</f>
        <v>8.5086999999999993</v>
      </c>
      <c r="O525" s="81">
        <f>8.5139 * CHOOSE(CONTROL!$C$32, $C$9, 100%, $E$9)</f>
        <v>8.5138999999999996</v>
      </c>
    </row>
    <row r="526" spans="1:15" ht="15" x14ac:dyDescent="0.2">
      <c r="A526" s="16">
        <v>57224</v>
      </c>
      <c r="B526" s="80">
        <f>7.651 * CHOOSE(CONTROL!$C$32, $C$9, 100%, $E$9)</f>
        <v>7.6509999999999998</v>
      </c>
      <c r="C526" s="80">
        <f>7.651 * CHOOSE(CONTROL!$C$32, $C$9, 100%, $E$9)</f>
        <v>7.6509999999999998</v>
      </c>
      <c r="D526" s="80">
        <f>7.6526 * CHOOSE(CONTROL!$C$32, $C$9, 100%, $E$9)</f>
        <v>7.6525999999999996</v>
      </c>
      <c r="E526" s="81">
        <f>8.4862 * CHOOSE(CONTROL!$C$32, $C$9, 100%, $E$9)</f>
        <v>8.4862000000000002</v>
      </c>
      <c r="F526" s="81">
        <f>8.4862 * CHOOSE(CONTROL!$C$32, $C$9, 100%, $E$9)</f>
        <v>8.4862000000000002</v>
      </c>
      <c r="G526" s="81">
        <f>8.4915 * CHOOSE(CONTROL!$C$32, $C$9, 100%, $E$9)</f>
        <v>8.4915000000000003</v>
      </c>
      <c r="H526" s="81">
        <f>16.8839 * CHOOSE(CONTROL!$C$32, $C$9, 100%, $E$9)</f>
        <v>16.883900000000001</v>
      </c>
      <c r="I526" s="81">
        <f>16.8891 * CHOOSE(CONTROL!$C$32, $C$9, 100%, $E$9)</f>
        <v>16.889099999999999</v>
      </c>
      <c r="J526" s="81">
        <f>16.8839 * CHOOSE(CONTROL!$C$32, $C$9, 100%, $E$9)</f>
        <v>16.883900000000001</v>
      </c>
      <c r="K526" s="81">
        <f>16.8891 * CHOOSE(CONTROL!$C$32, $C$9, 100%, $E$9)</f>
        <v>16.889099999999999</v>
      </c>
      <c r="L526" s="81">
        <f>8.4862 * CHOOSE(CONTROL!$C$32, $C$9, 100%, $E$9)</f>
        <v>8.4862000000000002</v>
      </c>
      <c r="M526" s="81">
        <f>8.4915 * CHOOSE(CONTROL!$C$32, $C$9, 100%, $E$9)</f>
        <v>8.4915000000000003</v>
      </c>
      <c r="N526" s="81">
        <f>8.4862 * CHOOSE(CONTROL!$C$32, $C$9, 100%, $E$9)</f>
        <v>8.4862000000000002</v>
      </c>
      <c r="O526" s="81">
        <f>8.4915 * CHOOSE(CONTROL!$C$32, $C$9, 100%, $E$9)</f>
        <v>8.4915000000000003</v>
      </c>
    </row>
    <row r="527" spans="1:15" ht="15" x14ac:dyDescent="0.2">
      <c r="A527" s="16">
        <v>57254</v>
      </c>
      <c r="B527" s="80">
        <f>7.6597 * CHOOSE(CONTROL!$C$32, $C$9, 100%, $E$9)</f>
        <v>7.6597</v>
      </c>
      <c r="C527" s="80">
        <f>7.6597 * CHOOSE(CONTROL!$C$32, $C$9, 100%, $E$9)</f>
        <v>7.6597</v>
      </c>
      <c r="D527" s="80">
        <f>7.6607 * CHOOSE(CONTROL!$C$32, $C$9, 100%, $E$9)</f>
        <v>7.6607000000000003</v>
      </c>
      <c r="E527" s="81">
        <f>8.554 * CHOOSE(CONTROL!$C$32, $C$9, 100%, $E$9)</f>
        <v>8.5540000000000003</v>
      </c>
      <c r="F527" s="81">
        <f>8.554 * CHOOSE(CONTROL!$C$32, $C$9, 100%, $E$9)</f>
        <v>8.5540000000000003</v>
      </c>
      <c r="G527" s="81">
        <f>8.5577 * CHOOSE(CONTROL!$C$32, $C$9, 100%, $E$9)</f>
        <v>8.5577000000000005</v>
      </c>
      <c r="H527" s="81">
        <f>16.919 * CHOOSE(CONTROL!$C$32, $C$9, 100%, $E$9)</f>
        <v>16.919</v>
      </c>
      <c r="I527" s="81">
        <f>16.9226 * CHOOSE(CONTROL!$C$32, $C$9, 100%, $E$9)</f>
        <v>16.922599999999999</v>
      </c>
      <c r="J527" s="81">
        <f>16.919 * CHOOSE(CONTROL!$C$32, $C$9, 100%, $E$9)</f>
        <v>16.919</v>
      </c>
      <c r="K527" s="81">
        <f>16.9226 * CHOOSE(CONTROL!$C$32, $C$9, 100%, $E$9)</f>
        <v>16.922599999999999</v>
      </c>
      <c r="L527" s="81">
        <f>8.554 * CHOOSE(CONTROL!$C$32, $C$9, 100%, $E$9)</f>
        <v>8.5540000000000003</v>
      </c>
      <c r="M527" s="81">
        <f>8.5577 * CHOOSE(CONTROL!$C$32, $C$9, 100%, $E$9)</f>
        <v>8.5577000000000005</v>
      </c>
      <c r="N527" s="81">
        <f>8.554 * CHOOSE(CONTROL!$C$32, $C$9, 100%, $E$9)</f>
        <v>8.5540000000000003</v>
      </c>
      <c r="O527" s="81">
        <f>8.5577 * CHOOSE(CONTROL!$C$32, $C$9, 100%, $E$9)</f>
        <v>8.5577000000000005</v>
      </c>
    </row>
    <row r="528" spans="1:15" ht="15" x14ac:dyDescent="0.2">
      <c r="A528" s="16">
        <v>57285</v>
      </c>
      <c r="B528" s="80">
        <f>7.6627 * CHOOSE(CONTROL!$C$32, $C$9, 100%, $E$9)</f>
        <v>7.6627000000000001</v>
      </c>
      <c r="C528" s="80">
        <f>7.6627 * CHOOSE(CONTROL!$C$32, $C$9, 100%, $E$9)</f>
        <v>7.6627000000000001</v>
      </c>
      <c r="D528" s="80">
        <f>7.6638 * CHOOSE(CONTROL!$C$32, $C$9, 100%, $E$9)</f>
        <v>7.6638000000000002</v>
      </c>
      <c r="E528" s="81">
        <f>8.5968 * CHOOSE(CONTROL!$C$32, $C$9, 100%, $E$9)</f>
        <v>8.5968</v>
      </c>
      <c r="F528" s="81">
        <f>8.5968 * CHOOSE(CONTROL!$C$32, $C$9, 100%, $E$9)</f>
        <v>8.5968</v>
      </c>
      <c r="G528" s="81">
        <f>8.6004 * CHOOSE(CONTROL!$C$32, $C$9, 100%, $E$9)</f>
        <v>8.6004000000000005</v>
      </c>
      <c r="H528" s="81">
        <f>16.9543 * CHOOSE(CONTROL!$C$32, $C$9, 100%, $E$9)</f>
        <v>16.9543</v>
      </c>
      <c r="I528" s="81">
        <f>16.9579 * CHOOSE(CONTROL!$C$32, $C$9, 100%, $E$9)</f>
        <v>16.957899999999999</v>
      </c>
      <c r="J528" s="81">
        <f>16.9543 * CHOOSE(CONTROL!$C$32, $C$9, 100%, $E$9)</f>
        <v>16.9543</v>
      </c>
      <c r="K528" s="81">
        <f>16.9579 * CHOOSE(CONTROL!$C$32, $C$9, 100%, $E$9)</f>
        <v>16.957899999999999</v>
      </c>
      <c r="L528" s="81">
        <f>8.5968 * CHOOSE(CONTROL!$C$32, $C$9, 100%, $E$9)</f>
        <v>8.5968</v>
      </c>
      <c r="M528" s="81">
        <f>8.6004 * CHOOSE(CONTROL!$C$32, $C$9, 100%, $E$9)</f>
        <v>8.6004000000000005</v>
      </c>
      <c r="N528" s="81">
        <f>8.5968 * CHOOSE(CONTROL!$C$32, $C$9, 100%, $E$9)</f>
        <v>8.5968</v>
      </c>
      <c r="O528" s="81">
        <f>8.6004 * CHOOSE(CONTROL!$C$32, $C$9, 100%, $E$9)</f>
        <v>8.6004000000000005</v>
      </c>
    </row>
    <row r="529" spans="1:15" ht="15" x14ac:dyDescent="0.2">
      <c r="A529" s="16">
        <v>57315</v>
      </c>
      <c r="B529" s="80">
        <f>7.6627 * CHOOSE(CONTROL!$C$32, $C$9, 100%, $E$9)</f>
        <v>7.6627000000000001</v>
      </c>
      <c r="C529" s="80">
        <f>7.6627 * CHOOSE(CONTROL!$C$32, $C$9, 100%, $E$9)</f>
        <v>7.6627000000000001</v>
      </c>
      <c r="D529" s="80">
        <f>7.6638 * CHOOSE(CONTROL!$C$32, $C$9, 100%, $E$9)</f>
        <v>7.6638000000000002</v>
      </c>
      <c r="E529" s="81">
        <f>8.4952 * CHOOSE(CONTROL!$C$32, $C$9, 100%, $E$9)</f>
        <v>8.4952000000000005</v>
      </c>
      <c r="F529" s="81">
        <f>8.4952 * CHOOSE(CONTROL!$C$32, $C$9, 100%, $E$9)</f>
        <v>8.4952000000000005</v>
      </c>
      <c r="G529" s="81">
        <f>8.4989 * CHOOSE(CONTROL!$C$32, $C$9, 100%, $E$9)</f>
        <v>8.4989000000000008</v>
      </c>
      <c r="H529" s="81">
        <f>16.9896 * CHOOSE(CONTROL!$C$32, $C$9, 100%, $E$9)</f>
        <v>16.989599999999999</v>
      </c>
      <c r="I529" s="81">
        <f>16.9932 * CHOOSE(CONTROL!$C$32, $C$9, 100%, $E$9)</f>
        <v>16.993200000000002</v>
      </c>
      <c r="J529" s="81">
        <f>16.9896 * CHOOSE(CONTROL!$C$32, $C$9, 100%, $E$9)</f>
        <v>16.989599999999999</v>
      </c>
      <c r="K529" s="81">
        <f>16.9932 * CHOOSE(CONTROL!$C$32, $C$9, 100%, $E$9)</f>
        <v>16.993200000000002</v>
      </c>
      <c r="L529" s="81">
        <f>8.4952 * CHOOSE(CONTROL!$C$32, $C$9, 100%, $E$9)</f>
        <v>8.4952000000000005</v>
      </c>
      <c r="M529" s="81">
        <f>8.4989 * CHOOSE(CONTROL!$C$32, $C$9, 100%, $E$9)</f>
        <v>8.4989000000000008</v>
      </c>
      <c r="N529" s="81">
        <f>8.4952 * CHOOSE(CONTROL!$C$32, $C$9, 100%, $E$9)</f>
        <v>8.4952000000000005</v>
      </c>
      <c r="O529" s="81">
        <f>8.4989 * CHOOSE(CONTROL!$C$32, $C$9, 100%, $E$9)</f>
        <v>8.4989000000000008</v>
      </c>
    </row>
    <row r="530" spans="1:15" ht="15" x14ac:dyDescent="0.2">
      <c r="A530" s="16">
        <v>57346</v>
      </c>
      <c r="B530" s="80">
        <f>7.72 * CHOOSE(CONTROL!$C$32, $C$9, 100%, $E$9)</f>
        <v>7.72</v>
      </c>
      <c r="C530" s="80">
        <f>7.72 * CHOOSE(CONTROL!$C$32, $C$9, 100%, $E$9)</f>
        <v>7.72</v>
      </c>
      <c r="D530" s="80">
        <f>7.7211 * CHOOSE(CONTROL!$C$32, $C$9, 100%, $E$9)</f>
        <v>7.7210999999999999</v>
      </c>
      <c r="E530" s="81">
        <f>8.6415 * CHOOSE(CONTROL!$C$32, $C$9, 100%, $E$9)</f>
        <v>8.6415000000000006</v>
      </c>
      <c r="F530" s="81">
        <f>8.6415 * CHOOSE(CONTROL!$C$32, $C$9, 100%, $E$9)</f>
        <v>8.6415000000000006</v>
      </c>
      <c r="G530" s="81">
        <f>8.6451 * CHOOSE(CONTROL!$C$32, $C$9, 100%, $E$9)</f>
        <v>8.6450999999999993</v>
      </c>
      <c r="H530" s="81">
        <f>17.025 * CHOOSE(CONTROL!$C$32, $C$9, 100%, $E$9)</f>
        <v>17.024999999999999</v>
      </c>
      <c r="I530" s="81">
        <f>17.0286 * CHOOSE(CONTROL!$C$32, $C$9, 100%, $E$9)</f>
        <v>17.028600000000001</v>
      </c>
      <c r="J530" s="81">
        <f>17.025 * CHOOSE(CONTROL!$C$32, $C$9, 100%, $E$9)</f>
        <v>17.024999999999999</v>
      </c>
      <c r="K530" s="81">
        <f>17.0286 * CHOOSE(CONTROL!$C$32, $C$9, 100%, $E$9)</f>
        <v>17.028600000000001</v>
      </c>
      <c r="L530" s="81">
        <f>8.6415 * CHOOSE(CONTROL!$C$32, $C$9, 100%, $E$9)</f>
        <v>8.6415000000000006</v>
      </c>
      <c r="M530" s="81">
        <f>8.6451 * CHOOSE(CONTROL!$C$32, $C$9, 100%, $E$9)</f>
        <v>8.6450999999999993</v>
      </c>
      <c r="N530" s="81">
        <f>8.6415 * CHOOSE(CONTROL!$C$32, $C$9, 100%, $E$9)</f>
        <v>8.6415000000000006</v>
      </c>
      <c r="O530" s="81">
        <f>8.6451 * CHOOSE(CONTROL!$C$32, $C$9, 100%, $E$9)</f>
        <v>8.6450999999999993</v>
      </c>
    </row>
    <row r="531" spans="1:15" ht="15" x14ac:dyDescent="0.2">
      <c r="A531" s="16">
        <v>57377</v>
      </c>
      <c r="B531" s="80">
        <f>7.717 * CHOOSE(CONTROL!$C$32, $C$9, 100%, $E$9)</f>
        <v>7.7169999999999996</v>
      </c>
      <c r="C531" s="80">
        <f>7.717 * CHOOSE(CONTROL!$C$32, $C$9, 100%, $E$9)</f>
        <v>7.7169999999999996</v>
      </c>
      <c r="D531" s="80">
        <f>7.7181 * CHOOSE(CONTROL!$C$32, $C$9, 100%, $E$9)</f>
        <v>7.7180999999999997</v>
      </c>
      <c r="E531" s="81">
        <f>8.4413 * CHOOSE(CONTROL!$C$32, $C$9, 100%, $E$9)</f>
        <v>8.4413</v>
      </c>
      <c r="F531" s="81">
        <f>8.4413 * CHOOSE(CONTROL!$C$32, $C$9, 100%, $E$9)</f>
        <v>8.4413</v>
      </c>
      <c r="G531" s="81">
        <f>8.4449 * CHOOSE(CONTROL!$C$32, $C$9, 100%, $E$9)</f>
        <v>8.4449000000000005</v>
      </c>
      <c r="H531" s="81">
        <f>17.0605 * CHOOSE(CONTROL!$C$32, $C$9, 100%, $E$9)</f>
        <v>17.060500000000001</v>
      </c>
      <c r="I531" s="81">
        <f>17.0641 * CHOOSE(CONTROL!$C$32, $C$9, 100%, $E$9)</f>
        <v>17.0641</v>
      </c>
      <c r="J531" s="81">
        <f>17.0605 * CHOOSE(CONTROL!$C$32, $C$9, 100%, $E$9)</f>
        <v>17.060500000000001</v>
      </c>
      <c r="K531" s="81">
        <f>17.0641 * CHOOSE(CONTROL!$C$32, $C$9, 100%, $E$9)</f>
        <v>17.0641</v>
      </c>
      <c r="L531" s="81">
        <f>8.4413 * CHOOSE(CONTROL!$C$32, $C$9, 100%, $E$9)</f>
        <v>8.4413</v>
      </c>
      <c r="M531" s="81">
        <f>8.4449 * CHOOSE(CONTROL!$C$32, $C$9, 100%, $E$9)</f>
        <v>8.4449000000000005</v>
      </c>
      <c r="N531" s="81">
        <f>8.4413 * CHOOSE(CONTROL!$C$32, $C$9, 100%, $E$9)</f>
        <v>8.4413</v>
      </c>
      <c r="O531" s="81">
        <f>8.4449 * CHOOSE(CONTROL!$C$32, $C$9, 100%, $E$9)</f>
        <v>8.4449000000000005</v>
      </c>
    </row>
    <row r="532" spans="1:15" ht="15" x14ac:dyDescent="0.2">
      <c r="A532" s="16">
        <v>57405</v>
      </c>
      <c r="B532" s="80">
        <f>7.7139 * CHOOSE(CONTROL!$C$32, $C$9, 100%, $E$9)</f>
        <v>7.7138999999999998</v>
      </c>
      <c r="C532" s="80">
        <f>7.7139 * CHOOSE(CONTROL!$C$32, $C$9, 100%, $E$9)</f>
        <v>7.7138999999999998</v>
      </c>
      <c r="D532" s="80">
        <f>7.715 * CHOOSE(CONTROL!$C$32, $C$9, 100%, $E$9)</f>
        <v>7.7149999999999999</v>
      </c>
      <c r="E532" s="81">
        <f>8.5954 * CHOOSE(CONTROL!$C$32, $C$9, 100%, $E$9)</f>
        <v>8.5953999999999997</v>
      </c>
      <c r="F532" s="81">
        <f>8.5954 * CHOOSE(CONTROL!$C$32, $C$9, 100%, $E$9)</f>
        <v>8.5953999999999997</v>
      </c>
      <c r="G532" s="81">
        <f>8.599 * CHOOSE(CONTROL!$C$32, $C$9, 100%, $E$9)</f>
        <v>8.5990000000000002</v>
      </c>
      <c r="H532" s="81">
        <f>17.096 * CHOOSE(CONTROL!$C$32, $C$9, 100%, $E$9)</f>
        <v>17.096</v>
      </c>
      <c r="I532" s="81">
        <f>17.0996 * CHOOSE(CONTROL!$C$32, $C$9, 100%, $E$9)</f>
        <v>17.099599999999999</v>
      </c>
      <c r="J532" s="81">
        <f>17.096 * CHOOSE(CONTROL!$C$32, $C$9, 100%, $E$9)</f>
        <v>17.096</v>
      </c>
      <c r="K532" s="81">
        <f>17.0996 * CHOOSE(CONTROL!$C$32, $C$9, 100%, $E$9)</f>
        <v>17.099599999999999</v>
      </c>
      <c r="L532" s="81">
        <f>8.5954 * CHOOSE(CONTROL!$C$32, $C$9, 100%, $E$9)</f>
        <v>8.5953999999999997</v>
      </c>
      <c r="M532" s="81">
        <f>8.599 * CHOOSE(CONTROL!$C$32, $C$9, 100%, $E$9)</f>
        <v>8.5990000000000002</v>
      </c>
      <c r="N532" s="81">
        <f>8.5954 * CHOOSE(CONTROL!$C$32, $C$9, 100%, $E$9)</f>
        <v>8.5953999999999997</v>
      </c>
      <c r="O532" s="81">
        <f>8.599 * CHOOSE(CONTROL!$C$32, $C$9, 100%, $E$9)</f>
        <v>8.5990000000000002</v>
      </c>
    </row>
    <row r="533" spans="1:15" ht="15" x14ac:dyDescent="0.2">
      <c r="A533" s="16">
        <v>57436</v>
      </c>
      <c r="B533" s="80">
        <f>7.7152 * CHOOSE(CONTROL!$C$32, $C$9, 100%, $E$9)</f>
        <v>7.7152000000000003</v>
      </c>
      <c r="C533" s="80">
        <f>7.7152 * CHOOSE(CONTROL!$C$32, $C$9, 100%, $E$9)</f>
        <v>7.7152000000000003</v>
      </c>
      <c r="D533" s="80">
        <f>7.7163 * CHOOSE(CONTROL!$C$32, $C$9, 100%, $E$9)</f>
        <v>7.7163000000000004</v>
      </c>
      <c r="E533" s="81">
        <f>8.7588 * CHOOSE(CONTROL!$C$32, $C$9, 100%, $E$9)</f>
        <v>8.7588000000000008</v>
      </c>
      <c r="F533" s="81">
        <f>8.7588 * CHOOSE(CONTROL!$C$32, $C$9, 100%, $E$9)</f>
        <v>8.7588000000000008</v>
      </c>
      <c r="G533" s="81">
        <f>8.7625 * CHOOSE(CONTROL!$C$32, $C$9, 100%, $E$9)</f>
        <v>8.7624999999999993</v>
      </c>
      <c r="H533" s="81">
        <f>17.1316 * CHOOSE(CONTROL!$C$32, $C$9, 100%, $E$9)</f>
        <v>17.131599999999999</v>
      </c>
      <c r="I533" s="81">
        <f>17.1352 * CHOOSE(CONTROL!$C$32, $C$9, 100%, $E$9)</f>
        <v>17.135200000000001</v>
      </c>
      <c r="J533" s="81">
        <f>17.1316 * CHOOSE(CONTROL!$C$32, $C$9, 100%, $E$9)</f>
        <v>17.131599999999999</v>
      </c>
      <c r="K533" s="81">
        <f>17.1352 * CHOOSE(CONTROL!$C$32, $C$9, 100%, $E$9)</f>
        <v>17.135200000000001</v>
      </c>
      <c r="L533" s="81">
        <f>8.7588 * CHOOSE(CONTROL!$C$32, $C$9, 100%, $E$9)</f>
        <v>8.7588000000000008</v>
      </c>
      <c r="M533" s="81">
        <f>8.7625 * CHOOSE(CONTROL!$C$32, $C$9, 100%, $E$9)</f>
        <v>8.7624999999999993</v>
      </c>
      <c r="N533" s="81">
        <f>8.7588 * CHOOSE(CONTROL!$C$32, $C$9, 100%, $E$9)</f>
        <v>8.7588000000000008</v>
      </c>
      <c r="O533" s="81">
        <f>8.7625 * CHOOSE(CONTROL!$C$32, $C$9, 100%, $E$9)</f>
        <v>8.7624999999999993</v>
      </c>
    </row>
    <row r="534" spans="1:15" ht="15" x14ac:dyDescent="0.2">
      <c r="A534" s="16">
        <v>57466</v>
      </c>
      <c r="B534" s="80">
        <f>7.7152 * CHOOSE(CONTROL!$C$32, $C$9, 100%, $E$9)</f>
        <v>7.7152000000000003</v>
      </c>
      <c r="C534" s="80">
        <f>7.7152 * CHOOSE(CONTROL!$C$32, $C$9, 100%, $E$9)</f>
        <v>7.7152000000000003</v>
      </c>
      <c r="D534" s="80">
        <f>7.7168 * CHOOSE(CONTROL!$C$32, $C$9, 100%, $E$9)</f>
        <v>7.7168000000000001</v>
      </c>
      <c r="E534" s="81">
        <f>8.8217 * CHOOSE(CONTROL!$C$32, $C$9, 100%, $E$9)</f>
        <v>8.8216999999999999</v>
      </c>
      <c r="F534" s="81">
        <f>8.8217 * CHOOSE(CONTROL!$C$32, $C$9, 100%, $E$9)</f>
        <v>8.8216999999999999</v>
      </c>
      <c r="G534" s="81">
        <f>8.827 * CHOOSE(CONTROL!$C$32, $C$9, 100%, $E$9)</f>
        <v>8.827</v>
      </c>
      <c r="H534" s="81">
        <f>17.1673 * CHOOSE(CONTROL!$C$32, $C$9, 100%, $E$9)</f>
        <v>17.167300000000001</v>
      </c>
      <c r="I534" s="81">
        <f>17.1726 * CHOOSE(CONTROL!$C$32, $C$9, 100%, $E$9)</f>
        <v>17.172599999999999</v>
      </c>
      <c r="J534" s="81">
        <f>17.1673 * CHOOSE(CONTROL!$C$32, $C$9, 100%, $E$9)</f>
        <v>17.167300000000001</v>
      </c>
      <c r="K534" s="81">
        <f>17.1726 * CHOOSE(CONTROL!$C$32, $C$9, 100%, $E$9)</f>
        <v>17.172599999999999</v>
      </c>
      <c r="L534" s="81">
        <f>8.8217 * CHOOSE(CONTROL!$C$32, $C$9, 100%, $E$9)</f>
        <v>8.8216999999999999</v>
      </c>
      <c r="M534" s="81">
        <f>8.827 * CHOOSE(CONTROL!$C$32, $C$9, 100%, $E$9)</f>
        <v>8.827</v>
      </c>
      <c r="N534" s="81">
        <f>8.8217 * CHOOSE(CONTROL!$C$32, $C$9, 100%, $E$9)</f>
        <v>8.8216999999999999</v>
      </c>
      <c r="O534" s="81">
        <f>8.827 * CHOOSE(CONTROL!$C$32, $C$9, 100%, $E$9)</f>
        <v>8.827</v>
      </c>
    </row>
    <row r="535" spans="1:15" ht="15" x14ac:dyDescent="0.2">
      <c r="A535" s="16">
        <v>57497</v>
      </c>
      <c r="B535" s="80">
        <f>7.7213 * CHOOSE(CONTROL!$C$32, $C$9, 100%, $E$9)</f>
        <v>7.7213000000000003</v>
      </c>
      <c r="C535" s="80">
        <f>7.7213 * CHOOSE(CONTROL!$C$32, $C$9, 100%, $E$9)</f>
        <v>7.7213000000000003</v>
      </c>
      <c r="D535" s="80">
        <f>7.7228 * CHOOSE(CONTROL!$C$32, $C$9, 100%, $E$9)</f>
        <v>7.7228000000000003</v>
      </c>
      <c r="E535" s="81">
        <f>8.7631 * CHOOSE(CONTROL!$C$32, $C$9, 100%, $E$9)</f>
        <v>8.7630999999999997</v>
      </c>
      <c r="F535" s="81">
        <f>8.7631 * CHOOSE(CONTROL!$C$32, $C$9, 100%, $E$9)</f>
        <v>8.7630999999999997</v>
      </c>
      <c r="G535" s="81">
        <f>8.7684 * CHOOSE(CONTROL!$C$32, $C$9, 100%, $E$9)</f>
        <v>8.7683999999999997</v>
      </c>
      <c r="H535" s="81">
        <f>17.2031 * CHOOSE(CONTROL!$C$32, $C$9, 100%, $E$9)</f>
        <v>17.203099999999999</v>
      </c>
      <c r="I535" s="81">
        <f>17.2084 * CHOOSE(CONTROL!$C$32, $C$9, 100%, $E$9)</f>
        <v>17.208400000000001</v>
      </c>
      <c r="J535" s="81">
        <f>17.2031 * CHOOSE(CONTROL!$C$32, $C$9, 100%, $E$9)</f>
        <v>17.203099999999999</v>
      </c>
      <c r="K535" s="81">
        <f>17.2084 * CHOOSE(CONTROL!$C$32, $C$9, 100%, $E$9)</f>
        <v>17.208400000000001</v>
      </c>
      <c r="L535" s="81">
        <f>8.7631 * CHOOSE(CONTROL!$C$32, $C$9, 100%, $E$9)</f>
        <v>8.7630999999999997</v>
      </c>
      <c r="M535" s="81">
        <f>8.7684 * CHOOSE(CONTROL!$C$32, $C$9, 100%, $E$9)</f>
        <v>8.7683999999999997</v>
      </c>
      <c r="N535" s="81">
        <f>8.7631 * CHOOSE(CONTROL!$C$32, $C$9, 100%, $E$9)</f>
        <v>8.7630999999999997</v>
      </c>
      <c r="O535" s="81">
        <f>8.7684 * CHOOSE(CONTROL!$C$32, $C$9, 100%, $E$9)</f>
        <v>8.7683999999999997</v>
      </c>
    </row>
    <row r="536" spans="1:15" ht="15" x14ac:dyDescent="0.2">
      <c r="A536" s="16">
        <v>57527</v>
      </c>
      <c r="B536" s="80">
        <f>7.8207 * CHOOSE(CONTROL!$C$32, $C$9, 100%, $E$9)</f>
        <v>7.8207000000000004</v>
      </c>
      <c r="C536" s="80">
        <f>7.8207 * CHOOSE(CONTROL!$C$32, $C$9, 100%, $E$9)</f>
        <v>7.8207000000000004</v>
      </c>
      <c r="D536" s="80">
        <f>7.8222 * CHOOSE(CONTROL!$C$32, $C$9, 100%, $E$9)</f>
        <v>7.8221999999999996</v>
      </c>
      <c r="E536" s="81">
        <f>8.8842 * CHOOSE(CONTROL!$C$32, $C$9, 100%, $E$9)</f>
        <v>8.8841999999999999</v>
      </c>
      <c r="F536" s="81">
        <f>8.8842 * CHOOSE(CONTROL!$C$32, $C$9, 100%, $E$9)</f>
        <v>8.8841999999999999</v>
      </c>
      <c r="G536" s="81">
        <f>8.8895 * CHOOSE(CONTROL!$C$32, $C$9, 100%, $E$9)</f>
        <v>8.8895</v>
      </c>
      <c r="H536" s="81">
        <f>17.2389 * CHOOSE(CONTROL!$C$32, $C$9, 100%, $E$9)</f>
        <v>17.238900000000001</v>
      </c>
      <c r="I536" s="81">
        <f>17.2442 * CHOOSE(CONTROL!$C$32, $C$9, 100%, $E$9)</f>
        <v>17.244199999999999</v>
      </c>
      <c r="J536" s="81">
        <f>17.2389 * CHOOSE(CONTROL!$C$32, $C$9, 100%, $E$9)</f>
        <v>17.238900000000001</v>
      </c>
      <c r="K536" s="81">
        <f>17.2442 * CHOOSE(CONTROL!$C$32, $C$9, 100%, $E$9)</f>
        <v>17.244199999999999</v>
      </c>
      <c r="L536" s="81">
        <f>8.8842 * CHOOSE(CONTROL!$C$32, $C$9, 100%, $E$9)</f>
        <v>8.8841999999999999</v>
      </c>
      <c r="M536" s="81">
        <f>8.8895 * CHOOSE(CONTROL!$C$32, $C$9, 100%, $E$9)</f>
        <v>8.8895</v>
      </c>
      <c r="N536" s="81">
        <f>8.8842 * CHOOSE(CONTROL!$C$32, $C$9, 100%, $E$9)</f>
        <v>8.8841999999999999</v>
      </c>
      <c r="O536" s="81">
        <f>8.8895 * CHOOSE(CONTROL!$C$32, $C$9, 100%, $E$9)</f>
        <v>8.8895</v>
      </c>
    </row>
    <row r="537" spans="1:15" ht="15" x14ac:dyDescent="0.2">
      <c r="A537" s="16">
        <v>57558</v>
      </c>
      <c r="B537" s="80">
        <f>7.8273 * CHOOSE(CONTROL!$C$32, $C$9, 100%, $E$9)</f>
        <v>7.8273000000000001</v>
      </c>
      <c r="C537" s="80">
        <f>7.8273 * CHOOSE(CONTROL!$C$32, $C$9, 100%, $E$9)</f>
        <v>7.8273000000000001</v>
      </c>
      <c r="D537" s="80">
        <f>7.8289 * CHOOSE(CONTROL!$C$32, $C$9, 100%, $E$9)</f>
        <v>7.8289</v>
      </c>
      <c r="E537" s="81">
        <f>8.7002 * CHOOSE(CONTROL!$C$32, $C$9, 100%, $E$9)</f>
        <v>8.7002000000000006</v>
      </c>
      <c r="F537" s="81">
        <f>8.7002 * CHOOSE(CONTROL!$C$32, $C$9, 100%, $E$9)</f>
        <v>8.7002000000000006</v>
      </c>
      <c r="G537" s="81">
        <f>8.7055 * CHOOSE(CONTROL!$C$32, $C$9, 100%, $E$9)</f>
        <v>8.7055000000000007</v>
      </c>
      <c r="H537" s="81">
        <f>17.2748 * CHOOSE(CONTROL!$C$32, $C$9, 100%, $E$9)</f>
        <v>17.274799999999999</v>
      </c>
      <c r="I537" s="81">
        <f>17.2801 * CHOOSE(CONTROL!$C$32, $C$9, 100%, $E$9)</f>
        <v>17.280100000000001</v>
      </c>
      <c r="J537" s="81">
        <f>17.2748 * CHOOSE(CONTROL!$C$32, $C$9, 100%, $E$9)</f>
        <v>17.274799999999999</v>
      </c>
      <c r="K537" s="81">
        <f>17.2801 * CHOOSE(CONTROL!$C$32, $C$9, 100%, $E$9)</f>
        <v>17.280100000000001</v>
      </c>
      <c r="L537" s="81">
        <f>8.7002 * CHOOSE(CONTROL!$C$32, $C$9, 100%, $E$9)</f>
        <v>8.7002000000000006</v>
      </c>
      <c r="M537" s="81">
        <f>8.7055 * CHOOSE(CONTROL!$C$32, $C$9, 100%, $E$9)</f>
        <v>8.7055000000000007</v>
      </c>
      <c r="N537" s="81">
        <f>8.7002 * CHOOSE(CONTROL!$C$32, $C$9, 100%, $E$9)</f>
        <v>8.7002000000000006</v>
      </c>
      <c r="O537" s="81">
        <f>8.7055 * CHOOSE(CONTROL!$C$32, $C$9, 100%, $E$9)</f>
        <v>8.7055000000000007</v>
      </c>
    </row>
    <row r="538" spans="1:15" ht="15" x14ac:dyDescent="0.2">
      <c r="A538" s="16">
        <v>57589</v>
      </c>
      <c r="B538" s="80">
        <f>7.8243 * CHOOSE(CONTROL!$C$32, $C$9, 100%, $E$9)</f>
        <v>7.8243</v>
      </c>
      <c r="C538" s="80">
        <f>7.8243 * CHOOSE(CONTROL!$C$32, $C$9, 100%, $E$9)</f>
        <v>7.8243</v>
      </c>
      <c r="D538" s="80">
        <f>7.8259 * CHOOSE(CONTROL!$C$32, $C$9, 100%, $E$9)</f>
        <v>7.8258999999999999</v>
      </c>
      <c r="E538" s="81">
        <f>8.6771 * CHOOSE(CONTROL!$C$32, $C$9, 100%, $E$9)</f>
        <v>8.6770999999999994</v>
      </c>
      <c r="F538" s="81">
        <f>8.6771 * CHOOSE(CONTROL!$C$32, $C$9, 100%, $E$9)</f>
        <v>8.6770999999999994</v>
      </c>
      <c r="G538" s="81">
        <f>8.6824 * CHOOSE(CONTROL!$C$32, $C$9, 100%, $E$9)</f>
        <v>8.6823999999999995</v>
      </c>
      <c r="H538" s="81">
        <f>17.3108 * CHOOSE(CONTROL!$C$32, $C$9, 100%, $E$9)</f>
        <v>17.3108</v>
      </c>
      <c r="I538" s="81">
        <f>17.3161 * CHOOSE(CONTROL!$C$32, $C$9, 100%, $E$9)</f>
        <v>17.316099999999999</v>
      </c>
      <c r="J538" s="81">
        <f>17.3108 * CHOOSE(CONTROL!$C$32, $C$9, 100%, $E$9)</f>
        <v>17.3108</v>
      </c>
      <c r="K538" s="81">
        <f>17.3161 * CHOOSE(CONTROL!$C$32, $C$9, 100%, $E$9)</f>
        <v>17.316099999999999</v>
      </c>
      <c r="L538" s="81">
        <f>8.6771 * CHOOSE(CONTROL!$C$32, $C$9, 100%, $E$9)</f>
        <v>8.6770999999999994</v>
      </c>
      <c r="M538" s="81">
        <f>8.6824 * CHOOSE(CONTROL!$C$32, $C$9, 100%, $E$9)</f>
        <v>8.6823999999999995</v>
      </c>
      <c r="N538" s="81">
        <f>8.6771 * CHOOSE(CONTROL!$C$32, $C$9, 100%, $E$9)</f>
        <v>8.6770999999999994</v>
      </c>
      <c r="O538" s="81">
        <f>8.6824 * CHOOSE(CONTROL!$C$32, $C$9, 100%, $E$9)</f>
        <v>8.6823999999999995</v>
      </c>
    </row>
    <row r="539" spans="1:15" ht="15" x14ac:dyDescent="0.2">
      <c r="A539" s="16">
        <v>57619</v>
      </c>
      <c r="B539" s="80">
        <f>7.8336 * CHOOSE(CONTROL!$C$32, $C$9, 100%, $E$9)</f>
        <v>7.8335999999999997</v>
      </c>
      <c r="C539" s="80">
        <f>7.8336 * CHOOSE(CONTROL!$C$32, $C$9, 100%, $E$9)</f>
        <v>7.8335999999999997</v>
      </c>
      <c r="D539" s="80">
        <f>7.8347 * CHOOSE(CONTROL!$C$32, $C$9, 100%, $E$9)</f>
        <v>7.8346999999999998</v>
      </c>
      <c r="E539" s="81">
        <f>8.7475 * CHOOSE(CONTROL!$C$32, $C$9, 100%, $E$9)</f>
        <v>8.7475000000000005</v>
      </c>
      <c r="F539" s="81">
        <f>8.7475 * CHOOSE(CONTROL!$C$32, $C$9, 100%, $E$9)</f>
        <v>8.7475000000000005</v>
      </c>
      <c r="G539" s="81">
        <f>8.7511 * CHOOSE(CONTROL!$C$32, $C$9, 100%, $E$9)</f>
        <v>8.7510999999999992</v>
      </c>
      <c r="H539" s="81">
        <f>17.3469 * CHOOSE(CONTROL!$C$32, $C$9, 100%, $E$9)</f>
        <v>17.346900000000002</v>
      </c>
      <c r="I539" s="81">
        <f>17.3505 * CHOOSE(CONTROL!$C$32, $C$9, 100%, $E$9)</f>
        <v>17.3505</v>
      </c>
      <c r="J539" s="81">
        <f>17.3469 * CHOOSE(CONTROL!$C$32, $C$9, 100%, $E$9)</f>
        <v>17.346900000000002</v>
      </c>
      <c r="K539" s="81">
        <f>17.3505 * CHOOSE(CONTROL!$C$32, $C$9, 100%, $E$9)</f>
        <v>17.3505</v>
      </c>
      <c r="L539" s="81">
        <f>8.7475 * CHOOSE(CONTROL!$C$32, $C$9, 100%, $E$9)</f>
        <v>8.7475000000000005</v>
      </c>
      <c r="M539" s="81">
        <f>8.7511 * CHOOSE(CONTROL!$C$32, $C$9, 100%, $E$9)</f>
        <v>8.7510999999999992</v>
      </c>
      <c r="N539" s="81">
        <f>8.7475 * CHOOSE(CONTROL!$C$32, $C$9, 100%, $E$9)</f>
        <v>8.7475000000000005</v>
      </c>
      <c r="O539" s="81">
        <f>8.7511 * CHOOSE(CONTROL!$C$32, $C$9, 100%, $E$9)</f>
        <v>8.7510999999999992</v>
      </c>
    </row>
    <row r="540" spans="1:15" ht="15" x14ac:dyDescent="0.2">
      <c r="A540" s="16">
        <v>57650</v>
      </c>
      <c r="B540" s="80">
        <f>7.8366 * CHOOSE(CONTROL!$C$32, $C$9, 100%, $E$9)</f>
        <v>7.8365999999999998</v>
      </c>
      <c r="C540" s="80">
        <f>7.8366 * CHOOSE(CONTROL!$C$32, $C$9, 100%, $E$9)</f>
        <v>7.8365999999999998</v>
      </c>
      <c r="D540" s="80">
        <f>7.8377 * CHOOSE(CONTROL!$C$32, $C$9, 100%, $E$9)</f>
        <v>7.8376999999999999</v>
      </c>
      <c r="E540" s="81">
        <f>8.7916 * CHOOSE(CONTROL!$C$32, $C$9, 100%, $E$9)</f>
        <v>8.7916000000000007</v>
      </c>
      <c r="F540" s="81">
        <f>8.7916 * CHOOSE(CONTROL!$C$32, $C$9, 100%, $E$9)</f>
        <v>8.7916000000000007</v>
      </c>
      <c r="G540" s="81">
        <f>8.7952 * CHOOSE(CONTROL!$C$32, $C$9, 100%, $E$9)</f>
        <v>8.7951999999999995</v>
      </c>
      <c r="H540" s="81">
        <f>17.383 * CHOOSE(CONTROL!$C$32, $C$9, 100%, $E$9)</f>
        <v>17.382999999999999</v>
      </c>
      <c r="I540" s="81">
        <f>17.3866 * CHOOSE(CONTROL!$C$32, $C$9, 100%, $E$9)</f>
        <v>17.386600000000001</v>
      </c>
      <c r="J540" s="81">
        <f>17.383 * CHOOSE(CONTROL!$C$32, $C$9, 100%, $E$9)</f>
        <v>17.382999999999999</v>
      </c>
      <c r="K540" s="81">
        <f>17.3866 * CHOOSE(CONTROL!$C$32, $C$9, 100%, $E$9)</f>
        <v>17.386600000000001</v>
      </c>
      <c r="L540" s="81">
        <f>8.7916 * CHOOSE(CONTROL!$C$32, $C$9, 100%, $E$9)</f>
        <v>8.7916000000000007</v>
      </c>
      <c r="M540" s="81">
        <f>8.7952 * CHOOSE(CONTROL!$C$32, $C$9, 100%, $E$9)</f>
        <v>8.7951999999999995</v>
      </c>
      <c r="N540" s="81">
        <f>8.7916 * CHOOSE(CONTROL!$C$32, $C$9, 100%, $E$9)</f>
        <v>8.7916000000000007</v>
      </c>
      <c r="O540" s="81">
        <f>8.7952 * CHOOSE(CONTROL!$C$32, $C$9, 100%, $E$9)</f>
        <v>8.7951999999999995</v>
      </c>
    </row>
    <row r="541" spans="1:15" ht="15" x14ac:dyDescent="0.2">
      <c r="A541" s="16">
        <v>57680</v>
      </c>
      <c r="B541" s="80">
        <f>7.8366 * CHOOSE(CONTROL!$C$32, $C$9, 100%, $E$9)</f>
        <v>7.8365999999999998</v>
      </c>
      <c r="C541" s="80">
        <f>7.8366 * CHOOSE(CONTROL!$C$32, $C$9, 100%, $E$9)</f>
        <v>7.8365999999999998</v>
      </c>
      <c r="D541" s="80">
        <f>7.8377 * CHOOSE(CONTROL!$C$32, $C$9, 100%, $E$9)</f>
        <v>7.8376999999999999</v>
      </c>
      <c r="E541" s="81">
        <f>8.6867 * CHOOSE(CONTROL!$C$32, $C$9, 100%, $E$9)</f>
        <v>8.6867000000000001</v>
      </c>
      <c r="F541" s="81">
        <f>8.6867 * CHOOSE(CONTROL!$C$32, $C$9, 100%, $E$9)</f>
        <v>8.6867000000000001</v>
      </c>
      <c r="G541" s="81">
        <f>8.6904 * CHOOSE(CONTROL!$C$32, $C$9, 100%, $E$9)</f>
        <v>8.6904000000000003</v>
      </c>
      <c r="H541" s="81">
        <f>17.4192 * CHOOSE(CONTROL!$C$32, $C$9, 100%, $E$9)</f>
        <v>17.4192</v>
      </c>
      <c r="I541" s="81">
        <f>17.4229 * CHOOSE(CONTROL!$C$32, $C$9, 100%, $E$9)</f>
        <v>17.422899999999998</v>
      </c>
      <c r="J541" s="81">
        <f>17.4192 * CHOOSE(CONTROL!$C$32, $C$9, 100%, $E$9)</f>
        <v>17.4192</v>
      </c>
      <c r="K541" s="81">
        <f>17.4229 * CHOOSE(CONTROL!$C$32, $C$9, 100%, $E$9)</f>
        <v>17.422899999999998</v>
      </c>
      <c r="L541" s="81">
        <f>8.6867 * CHOOSE(CONTROL!$C$32, $C$9, 100%, $E$9)</f>
        <v>8.6867000000000001</v>
      </c>
      <c r="M541" s="81">
        <f>8.6904 * CHOOSE(CONTROL!$C$32, $C$9, 100%, $E$9)</f>
        <v>8.6904000000000003</v>
      </c>
      <c r="N541" s="81">
        <f>8.6867 * CHOOSE(CONTROL!$C$32, $C$9, 100%, $E$9)</f>
        <v>8.6867000000000001</v>
      </c>
      <c r="O541" s="81">
        <f>8.6904 * CHOOSE(CONTROL!$C$32, $C$9, 100%, $E$9)</f>
        <v>8.6904000000000003</v>
      </c>
    </row>
    <row r="542" spans="1:15" ht="15" x14ac:dyDescent="0.2">
      <c r="A542" s="16">
        <v>57711</v>
      </c>
      <c r="B542" s="80">
        <f>7.8952 * CHOOSE(CONTROL!$C$32, $C$9, 100%, $E$9)</f>
        <v>7.8952</v>
      </c>
      <c r="C542" s="80">
        <f>7.8952 * CHOOSE(CONTROL!$C$32, $C$9, 100%, $E$9)</f>
        <v>7.8952</v>
      </c>
      <c r="D542" s="80">
        <f>7.8962 * CHOOSE(CONTROL!$C$32, $C$9, 100%, $E$9)</f>
        <v>7.8962000000000003</v>
      </c>
      <c r="E542" s="81">
        <f>8.8374 * CHOOSE(CONTROL!$C$32, $C$9, 100%, $E$9)</f>
        <v>8.8374000000000006</v>
      </c>
      <c r="F542" s="81">
        <f>8.8374 * CHOOSE(CONTROL!$C$32, $C$9, 100%, $E$9)</f>
        <v>8.8374000000000006</v>
      </c>
      <c r="G542" s="81">
        <f>8.841 * CHOOSE(CONTROL!$C$32, $C$9, 100%, $E$9)</f>
        <v>8.8409999999999993</v>
      </c>
      <c r="H542" s="81">
        <f>17.4555 * CHOOSE(CONTROL!$C$32, $C$9, 100%, $E$9)</f>
        <v>17.455500000000001</v>
      </c>
      <c r="I542" s="81">
        <f>17.4591 * CHOOSE(CONTROL!$C$32, $C$9, 100%, $E$9)</f>
        <v>17.459099999999999</v>
      </c>
      <c r="J542" s="81">
        <f>17.4555 * CHOOSE(CONTROL!$C$32, $C$9, 100%, $E$9)</f>
        <v>17.455500000000001</v>
      </c>
      <c r="K542" s="81">
        <f>17.4591 * CHOOSE(CONTROL!$C$32, $C$9, 100%, $E$9)</f>
        <v>17.459099999999999</v>
      </c>
      <c r="L542" s="81">
        <f>8.8374 * CHOOSE(CONTROL!$C$32, $C$9, 100%, $E$9)</f>
        <v>8.8374000000000006</v>
      </c>
      <c r="M542" s="81">
        <f>8.841 * CHOOSE(CONTROL!$C$32, $C$9, 100%, $E$9)</f>
        <v>8.8409999999999993</v>
      </c>
      <c r="N542" s="81">
        <f>8.8374 * CHOOSE(CONTROL!$C$32, $C$9, 100%, $E$9)</f>
        <v>8.8374000000000006</v>
      </c>
      <c r="O542" s="81">
        <f>8.841 * CHOOSE(CONTROL!$C$32, $C$9, 100%, $E$9)</f>
        <v>8.8409999999999993</v>
      </c>
    </row>
    <row r="543" spans="1:15" ht="15" x14ac:dyDescent="0.2">
      <c r="A543" s="16">
        <v>57742</v>
      </c>
      <c r="B543" s="80">
        <f>7.8921 * CHOOSE(CONTROL!$C$32, $C$9, 100%, $E$9)</f>
        <v>7.8921000000000001</v>
      </c>
      <c r="C543" s="80">
        <f>7.8921 * CHOOSE(CONTROL!$C$32, $C$9, 100%, $E$9)</f>
        <v>7.8921000000000001</v>
      </c>
      <c r="D543" s="80">
        <f>7.8932 * CHOOSE(CONTROL!$C$32, $C$9, 100%, $E$9)</f>
        <v>7.8932000000000002</v>
      </c>
      <c r="E543" s="81">
        <f>8.6307 * CHOOSE(CONTROL!$C$32, $C$9, 100%, $E$9)</f>
        <v>8.6306999999999992</v>
      </c>
      <c r="F543" s="81">
        <f>8.6307 * CHOOSE(CONTROL!$C$32, $C$9, 100%, $E$9)</f>
        <v>8.6306999999999992</v>
      </c>
      <c r="G543" s="81">
        <f>8.6344 * CHOOSE(CONTROL!$C$32, $C$9, 100%, $E$9)</f>
        <v>8.6343999999999994</v>
      </c>
      <c r="H543" s="81">
        <f>17.4919 * CHOOSE(CONTROL!$C$32, $C$9, 100%, $E$9)</f>
        <v>17.491900000000001</v>
      </c>
      <c r="I543" s="81">
        <f>17.4955 * CHOOSE(CONTROL!$C$32, $C$9, 100%, $E$9)</f>
        <v>17.4955</v>
      </c>
      <c r="J543" s="81">
        <f>17.4919 * CHOOSE(CONTROL!$C$32, $C$9, 100%, $E$9)</f>
        <v>17.491900000000001</v>
      </c>
      <c r="K543" s="81">
        <f>17.4955 * CHOOSE(CONTROL!$C$32, $C$9, 100%, $E$9)</f>
        <v>17.4955</v>
      </c>
      <c r="L543" s="81">
        <f>8.6307 * CHOOSE(CONTROL!$C$32, $C$9, 100%, $E$9)</f>
        <v>8.6306999999999992</v>
      </c>
      <c r="M543" s="81">
        <f>8.6344 * CHOOSE(CONTROL!$C$32, $C$9, 100%, $E$9)</f>
        <v>8.6343999999999994</v>
      </c>
      <c r="N543" s="81">
        <f>8.6307 * CHOOSE(CONTROL!$C$32, $C$9, 100%, $E$9)</f>
        <v>8.6306999999999992</v>
      </c>
      <c r="O543" s="81">
        <f>8.6344 * CHOOSE(CONTROL!$C$32, $C$9, 100%, $E$9)</f>
        <v>8.6343999999999994</v>
      </c>
    </row>
    <row r="544" spans="1:15" ht="15" x14ac:dyDescent="0.2">
      <c r="A544" s="16">
        <v>57770</v>
      </c>
      <c r="B544" s="80">
        <f>7.8891 * CHOOSE(CONTROL!$C$32, $C$9, 100%, $E$9)</f>
        <v>7.8891</v>
      </c>
      <c r="C544" s="80">
        <f>7.8891 * CHOOSE(CONTROL!$C$32, $C$9, 100%, $E$9)</f>
        <v>7.8891</v>
      </c>
      <c r="D544" s="80">
        <f>7.8902 * CHOOSE(CONTROL!$C$32, $C$9, 100%, $E$9)</f>
        <v>7.8902000000000001</v>
      </c>
      <c r="E544" s="81">
        <f>8.7899 * CHOOSE(CONTROL!$C$32, $C$9, 100%, $E$9)</f>
        <v>8.7898999999999994</v>
      </c>
      <c r="F544" s="81">
        <f>8.7899 * CHOOSE(CONTROL!$C$32, $C$9, 100%, $E$9)</f>
        <v>8.7898999999999994</v>
      </c>
      <c r="G544" s="81">
        <f>8.7935 * CHOOSE(CONTROL!$C$32, $C$9, 100%, $E$9)</f>
        <v>8.7934999999999999</v>
      </c>
      <c r="H544" s="81">
        <f>17.5283 * CHOOSE(CONTROL!$C$32, $C$9, 100%, $E$9)</f>
        <v>17.528300000000002</v>
      </c>
      <c r="I544" s="81">
        <f>17.532 * CHOOSE(CONTROL!$C$32, $C$9, 100%, $E$9)</f>
        <v>17.532</v>
      </c>
      <c r="J544" s="81">
        <f>17.5283 * CHOOSE(CONTROL!$C$32, $C$9, 100%, $E$9)</f>
        <v>17.528300000000002</v>
      </c>
      <c r="K544" s="81">
        <f>17.532 * CHOOSE(CONTROL!$C$32, $C$9, 100%, $E$9)</f>
        <v>17.532</v>
      </c>
      <c r="L544" s="81">
        <f>8.7899 * CHOOSE(CONTROL!$C$32, $C$9, 100%, $E$9)</f>
        <v>8.7898999999999994</v>
      </c>
      <c r="M544" s="81">
        <f>8.7935 * CHOOSE(CONTROL!$C$32, $C$9, 100%, $E$9)</f>
        <v>8.7934999999999999</v>
      </c>
      <c r="N544" s="81">
        <f>8.7899 * CHOOSE(CONTROL!$C$32, $C$9, 100%, $E$9)</f>
        <v>8.7898999999999994</v>
      </c>
      <c r="O544" s="81">
        <f>8.7935 * CHOOSE(CONTROL!$C$32, $C$9, 100%, $E$9)</f>
        <v>8.7934999999999999</v>
      </c>
    </row>
    <row r="545" spans="1:15" ht="15" x14ac:dyDescent="0.2">
      <c r="A545" s="16">
        <v>57801</v>
      </c>
      <c r="B545" s="80">
        <f>7.8905 * CHOOSE(CONTROL!$C$32, $C$9, 100%, $E$9)</f>
        <v>7.8905000000000003</v>
      </c>
      <c r="C545" s="80">
        <f>7.8905 * CHOOSE(CONTROL!$C$32, $C$9, 100%, $E$9)</f>
        <v>7.8905000000000003</v>
      </c>
      <c r="D545" s="80">
        <f>7.8916 * CHOOSE(CONTROL!$C$32, $C$9, 100%, $E$9)</f>
        <v>7.8916000000000004</v>
      </c>
      <c r="E545" s="81">
        <f>8.9588 * CHOOSE(CONTROL!$C$32, $C$9, 100%, $E$9)</f>
        <v>8.9588000000000001</v>
      </c>
      <c r="F545" s="81">
        <f>8.9588 * CHOOSE(CONTROL!$C$32, $C$9, 100%, $E$9)</f>
        <v>8.9588000000000001</v>
      </c>
      <c r="G545" s="81">
        <f>8.9624 * CHOOSE(CONTROL!$C$32, $C$9, 100%, $E$9)</f>
        <v>8.9624000000000006</v>
      </c>
      <c r="H545" s="81">
        <f>17.5649 * CHOOSE(CONTROL!$C$32, $C$9, 100%, $E$9)</f>
        <v>17.564900000000002</v>
      </c>
      <c r="I545" s="81">
        <f>17.5685 * CHOOSE(CONTROL!$C$32, $C$9, 100%, $E$9)</f>
        <v>17.5685</v>
      </c>
      <c r="J545" s="81">
        <f>17.5649 * CHOOSE(CONTROL!$C$32, $C$9, 100%, $E$9)</f>
        <v>17.564900000000002</v>
      </c>
      <c r="K545" s="81">
        <f>17.5685 * CHOOSE(CONTROL!$C$32, $C$9, 100%, $E$9)</f>
        <v>17.5685</v>
      </c>
      <c r="L545" s="81">
        <f>8.9588 * CHOOSE(CONTROL!$C$32, $C$9, 100%, $E$9)</f>
        <v>8.9588000000000001</v>
      </c>
      <c r="M545" s="81">
        <f>8.9624 * CHOOSE(CONTROL!$C$32, $C$9, 100%, $E$9)</f>
        <v>8.9624000000000006</v>
      </c>
      <c r="N545" s="81">
        <f>8.9588 * CHOOSE(CONTROL!$C$32, $C$9, 100%, $E$9)</f>
        <v>8.9588000000000001</v>
      </c>
      <c r="O545" s="81">
        <f>8.9624 * CHOOSE(CONTROL!$C$32, $C$9, 100%, $E$9)</f>
        <v>8.9624000000000006</v>
      </c>
    </row>
    <row r="546" spans="1:15" ht="15" x14ac:dyDescent="0.2">
      <c r="A546" s="16">
        <v>57831</v>
      </c>
      <c r="B546" s="80">
        <f>7.8905 * CHOOSE(CONTROL!$C$32, $C$9, 100%, $E$9)</f>
        <v>7.8905000000000003</v>
      </c>
      <c r="C546" s="80">
        <f>7.8905 * CHOOSE(CONTROL!$C$32, $C$9, 100%, $E$9)</f>
        <v>7.8905000000000003</v>
      </c>
      <c r="D546" s="80">
        <f>7.8921 * CHOOSE(CONTROL!$C$32, $C$9, 100%, $E$9)</f>
        <v>7.8921000000000001</v>
      </c>
      <c r="E546" s="81">
        <f>9.0237 * CHOOSE(CONTROL!$C$32, $C$9, 100%, $E$9)</f>
        <v>9.0236999999999998</v>
      </c>
      <c r="F546" s="81">
        <f>9.0237 * CHOOSE(CONTROL!$C$32, $C$9, 100%, $E$9)</f>
        <v>9.0236999999999998</v>
      </c>
      <c r="G546" s="81">
        <f>9.029 * CHOOSE(CONTROL!$C$32, $C$9, 100%, $E$9)</f>
        <v>9.0289999999999999</v>
      </c>
      <c r="H546" s="81">
        <f>17.6014 * CHOOSE(CONTROL!$C$32, $C$9, 100%, $E$9)</f>
        <v>17.601400000000002</v>
      </c>
      <c r="I546" s="81">
        <f>17.6067 * CHOOSE(CONTROL!$C$32, $C$9, 100%, $E$9)</f>
        <v>17.6067</v>
      </c>
      <c r="J546" s="81">
        <f>17.6014 * CHOOSE(CONTROL!$C$32, $C$9, 100%, $E$9)</f>
        <v>17.601400000000002</v>
      </c>
      <c r="K546" s="81">
        <f>17.6067 * CHOOSE(CONTROL!$C$32, $C$9, 100%, $E$9)</f>
        <v>17.6067</v>
      </c>
      <c r="L546" s="81">
        <f>9.0237 * CHOOSE(CONTROL!$C$32, $C$9, 100%, $E$9)</f>
        <v>9.0236999999999998</v>
      </c>
      <c r="M546" s="81">
        <f>9.029 * CHOOSE(CONTROL!$C$32, $C$9, 100%, $E$9)</f>
        <v>9.0289999999999999</v>
      </c>
      <c r="N546" s="81">
        <f>9.0237 * CHOOSE(CONTROL!$C$32, $C$9, 100%, $E$9)</f>
        <v>9.0236999999999998</v>
      </c>
      <c r="O546" s="81">
        <f>9.029 * CHOOSE(CONTROL!$C$32, $C$9, 100%, $E$9)</f>
        <v>9.0289999999999999</v>
      </c>
    </row>
    <row r="547" spans="1:15" ht="15" x14ac:dyDescent="0.2">
      <c r="A547" s="16">
        <v>57862</v>
      </c>
      <c r="B547" s="80">
        <f>7.8966 * CHOOSE(CONTROL!$C$32, $C$9, 100%, $E$9)</f>
        <v>7.8966000000000003</v>
      </c>
      <c r="C547" s="80">
        <f>7.8966 * CHOOSE(CONTROL!$C$32, $C$9, 100%, $E$9)</f>
        <v>7.8966000000000003</v>
      </c>
      <c r="D547" s="80">
        <f>7.8982 * CHOOSE(CONTROL!$C$32, $C$9, 100%, $E$9)</f>
        <v>7.8982000000000001</v>
      </c>
      <c r="E547" s="81">
        <f>8.963 * CHOOSE(CONTROL!$C$32, $C$9, 100%, $E$9)</f>
        <v>8.9629999999999992</v>
      </c>
      <c r="F547" s="81">
        <f>8.963 * CHOOSE(CONTROL!$C$32, $C$9, 100%, $E$9)</f>
        <v>8.9629999999999992</v>
      </c>
      <c r="G547" s="81">
        <f>8.9683 * CHOOSE(CONTROL!$C$32, $C$9, 100%, $E$9)</f>
        <v>8.9682999999999993</v>
      </c>
      <c r="H547" s="81">
        <f>17.6381 * CHOOSE(CONTROL!$C$32, $C$9, 100%, $E$9)</f>
        <v>17.638100000000001</v>
      </c>
      <c r="I547" s="81">
        <f>17.6434 * CHOOSE(CONTROL!$C$32, $C$9, 100%, $E$9)</f>
        <v>17.6434</v>
      </c>
      <c r="J547" s="81">
        <f>17.6381 * CHOOSE(CONTROL!$C$32, $C$9, 100%, $E$9)</f>
        <v>17.638100000000001</v>
      </c>
      <c r="K547" s="81">
        <f>17.6434 * CHOOSE(CONTROL!$C$32, $C$9, 100%, $E$9)</f>
        <v>17.6434</v>
      </c>
      <c r="L547" s="81">
        <f>8.963 * CHOOSE(CONTROL!$C$32, $C$9, 100%, $E$9)</f>
        <v>8.9629999999999992</v>
      </c>
      <c r="M547" s="81">
        <f>8.9683 * CHOOSE(CONTROL!$C$32, $C$9, 100%, $E$9)</f>
        <v>8.9682999999999993</v>
      </c>
      <c r="N547" s="81">
        <f>8.963 * CHOOSE(CONTROL!$C$32, $C$9, 100%, $E$9)</f>
        <v>8.9629999999999992</v>
      </c>
      <c r="O547" s="81">
        <f>8.9683 * CHOOSE(CONTROL!$C$32, $C$9, 100%, $E$9)</f>
        <v>8.9682999999999993</v>
      </c>
    </row>
    <row r="548" spans="1:15" ht="15" x14ac:dyDescent="0.2">
      <c r="A548" s="16">
        <v>57892</v>
      </c>
      <c r="B548" s="80">
        <f>7.9979 * CHOOSE(CONTROL!$C$32, $C$9, 100%, $E$9)</f>
        <v>7.9978999999999996</v>
      </c>
      <c r="C548" s="80">
        <f>7.9979 * CHOOSE(CONTROL!$C$32, $C$9, 100%, $E$9)</f>
        <v>7.9978999999999996</v>
      </c>
      <c r="D548" s="80">
        <f>7.9995 * CHOOSE(CONTROL!$C$32, $C$9, 100%, $E$9)</f>
        <v>7.9995000000000003</v>
      </c>
      <c r="E548" s="81">
        <f>9.0871 * CHOOSE(CONTROL!$C$32, $C$9, 100%, $E$9)</f>
        <v>9.0870999999999995</v>
      </c>
      <c r="F548" s="81">
        <f>9.0871 * CHOOSE(CONTROL!$C$32, $C$9, 100%, $E$9)</f>
        <v>9.0870999999999995</v>
      </c>
      <c r="G548" s="81">
        <f>9.0924 * CHOOSE(CONTROL!$C$32, $C$9, 100%, $E$9)</f>
        <v>9.0923999999999996</v>
      </c>
      <c r="H548" s="81">
        <f>17.6749 * CHOOSE(CONTROL!$C$32, $C$9, 100%, $E$9)</f>
        <v>17.674900000000001</v>
      </c>
      <c r="I548" s="81">
        <f>17.6802 * CHOOSE(CONTROL!$C$32, $C$9, 100%, $E$9)</f>
        <v>17.680199999999999</v>
      </c>
      <c r="J548" s="81">
        <f>17.6749 * CHOOSE(CONTROL!$C$32, $C$9, 100%, $E$9)</f>
        <v>17.674900000000001</v>
      </c>
      <c r="K548" s="81">
        <f>17.6802 * CHOOSE(CONTROL!$C$32, $C$9, 100%, $E$9)</f>
        <v>17.680199999999999</v>
      </c>
      <c r="L548" s="81">
        <f>9.0871 * CHOOSE(CONTROL!$C$32, $C$9, 100%, $E$9)</f>
        <v>9.0870999999999995</v>
      </c>
      <c r="M548" s="81">
        <f>9.0924 * CHOOSE(CONTROL!$C$32, $C$9, 100%, $E$9)</f>
        <v>9.0923999999999996</v>
      </c>
      <c r="N548" s="81">
        <f>9.0871 * CHOOSE(CONTROL!$C$32, $C$9, 100%, $E$9)</f>
        <v>9.0870999999999995</v>
      </c>
      <c r="O548" s="81">
        <f>9.0924 * CHOOSE(CONTROL!$C$32, $C$9, 100%, $E$9)</f>
        <v>9.0923999999999996</v>
      </c>
    </row>
    <row r="549" spans="1:15" ht="15" x14ac:dyDescent="0.2">
      <c r="A549" s="16">
        <v>57923</v>
      </c>
      <c r="B549" s="80">
        <f>8.0046 * CHOOSE(CONTROL!$C$32, $C$9, 100%, $E$9)</f>
        <v>8.0045999999999999</v>
      </c>
      <c r="C549" s="80">
        <f>8.0046 * CHOOSE(CONTROL!$C$32, $C$9, 100%, $E$9)</f>
        <v>8.0045999999999999</v>
      </c>
      <c r="D549" s="80">
        <f>8.0062 * CHOOSE(CONTROL!$C$32, $C$9, 100%, $E$9)</f>
        <v>8.0061999999999998</v>
      </c>
      <c r="E549" s="81">
        <f>8.897 * CHOOSE(CONTROL!$C$32, $C$9, 100%, $E$9)</f>
        <v>8.8970000000000002</v>
      </c>
      <c r="F549" s="81">
        <f>8.897 * CHOOSE(CONTROL!$C$32, $C$9, 100%, $E$9)</f>
        <v>8.8970000000000002</v>
      </c>
      <c r="G549" s="81">
        <f>8.9022 * CHOOSE(CONTROL!$C$32, $C$9, 100%, $E$9)</f>
        <v>8.9022000000000006</v>
      </c>
      <c r="H549" s="81">
        <f>17.7117 * CHOOSE(CONTROL!$C$32, $C$9, 100%, $E$9)</f>
        <v>17.7117</v>
      </c>
      <c r="I549" s="81">
        <f>17.717 * CHOOSE(CONTROL!$C$32, $C$9, 100%, $E$9)</f>
        <v>17.716999999999999</v>
      </c>
      <c r="J549" s="81">
        <f>17.7117 * CHOOSE(CONTROL!$C$32, $C$9, 100%, $E$9)</f>
        <v>17.7117</v>
      </c>
      <c r="K549" s="81">
        <f>17.717 * CHOOSE(CONTROL!$C$32, $C$9, 100%, $E$9)</f>
        <v>17.716999999999999</v>
      </c>
      <c r="L549" s="81">
        <f>8.897 * CHOOSE(CONTROL!$C$32, $C$9, 100%, $E$9)</f>
        <v>8.8970000000000002</v>
      </c>
      <c r="M549" s="81">
        <f>8.9022 * CHOOSE(CONTROL!$C$32, $C$9, 100%, $E$9)</f>
        <v>8.9022000000000006</v>
      </c>
      <c r="N549" s="81">
        <f>8.897 * CHOOSE(CONTROL!$C$32, $C$9, 100%, $E$9)</f>
        <v>8.8970000000000002</v>
      </c>
      <c r="O549" s="81">
        <f>8.9022 * CHOOSE(CONTROL!$C$32, $C$9, 100%, $E$9)</f>
        <v>8.9022000000000006</v>
      </c>
    </row>
    <row r="550" spans="1:15" ht="15" x14ac:dyDescent="0.2">
      <c r="A550" s="16">
        <v>57954</v>
      </c>
      <c r="B550" s="80">
        <f>8.0015 * CHOOSE(CONTROL!$C$32, $C$9, 100%, $E$9)</f>
        <v>8.0015000000000001</v>
      </c>
      <c r="C550" s="80">
        <f>8.0015 * CHOOSE(CONTROL!$C$32, $C$9, 100%, $E$9)</f>
        <v>8.0015000000000001</v>
      </c>
      <c r="D550" s="80">
        <f>8.0031 * CHOOSE(CONTROL!$C$32, $C$9, 100%, $E$9)</f>
        <v>8.0030999999999999</v>
      </c>
      <c r="E550" s="81">
        <f>8.8732 * CHOOSE(CONTROL!$C$32, $C$9, 100%, $E$9)</f>
        <v>8.8732000000000006</v>
      </c>
      <c r="F550" s="81">
        <f>8.8732 * CHOOSE(CONTROL!$C$32, $C$9, 100%, $E$9)</f>
        <v>8.8732000000000006</v>
      </c>
      <c r="G550" s="81">
        <f>8.8785 * CHOOSE(CONTROL!$C$32, $C$9, 100%, $E$9)</f>
        <v>8.8785000000000007</v>
      </c>
      <c r="H550" s="81">
        <f>17.7486 * CHOOSE(CONTROL!$C$32, $C$9, 100%, $E$9)</f>
        <v>17.7486</v>
      </c>
      <c r="I550" s="81">
        <f>17.7539 * CHOOSE(CONTROL!$C$32, $C$9, 100%, $E$9)</f>
        <v>17.753900000000002</v>
      </c>
      <c r="J550" s="81">
        <f>17.7486 * CHOOSE(CONTROL!$C$32, $C$9, 100%, $E$9)</f>
        <v>17.7486</v>
      </c>
      <c r="K550" s="81">
        <f>17.7539 * CHOOSE(CONTROL!$C$32, $C$9, 100%, $E$9)</f>
        <v>17.753900000000002</v>
      </c>
      <c r="L550" s="81">
        <f>8.8732 * CHOOSE(CONTROL!$C$32, $C$9, 100%, $E$9)</f>
        <v>8.8732000000000006</v>
      </c>
      <c r="M550" s="81">
        <f>8.8785 * CHOOSE(CONTROL!$C$32, $C$9, 100%, $E$9)</f>
        <v>8.8785000000000007</v>
      </c>
      <c r="N550" s="81">
        <f>8.8732 * CHOOSE(CONTROL!$C$32, $C$9, 100%, $E$9)</f>
        <v>8.8732000000000006</v>
      </c>
      <c r="O550" s="81">
        <f>8.8785 * CHOOSE(CONTROL!$C$32, $C$9, 100%, $E$9)</f>
        <v>8.8785000000000007</v>
      </c>
    </row>
    <row r="551" spans="1:15" ht="15" x14ac:dyDescent="0.2">
      <c r="A551" s="16">
        <v>57984</v>
      </c>
      <c r="B551" s="80">
        <f>8.0115 * CHOOSE(CONTROL!$C$32, $C$9, 100%, $E$9)</f>
        <v>8.0114999999999998</v>
      </c>
      <c r="C551" s="80">
        <f>8.0115 * CHOOSE(CONTROL!$C$32, $C$9, 100%, $E$9)</f>
        <v>8.0114999999999998</v>
      </c>
      <c r="D551" s="80">
        <f>8.0126 * CHOOSE(CONTROL!$C$32, $C$9, 100%, $E$9)</f>
        <v>8.0126000000000008</v>
      </c>
      <c r="E551" s="81">
        <f>8.9464 * CHOOSE(CONTROL!$C$32, $C$9, 100%, $E$9)</f>
        <v>8.9464000000000006</v>
      </c>
      <c r="F551" s="81">
        <f>8.9464 * CHOOSE(CONTROL!$C$32, $C$9, 100%, $E$9)</f>
        <v>8.9464000000000006</v>
      </c>
      <c r="G551" s="81">
        <f>8.95 * CHOOSE(CONTROL!$C$32, $C$9, 100%, $E$9)</f>
        <v>8.9499999999999993</v>
      </c>
      <c r="H551" s="81">
        <f>17.7856 * CHOOSE(CONTROL!$C$32, $C$9, 100%, $E$9)</f>
        <v>17.785599999999999</v>
      </c>
      <c r="I551" s="81">
        <f>17.7892 * CHOOSE(CONTROL!$C$32, $C$9, 100%, $E$9)</f>
        <v>17.789200000000001</v>
      </c>
      <c r="J551" s="81">
        <f>17.7856 * CHOOSE(CONTROL!$C$32, $C$9, 100%, $E$9)</f>
        <v>17.785599999999999</v>
      </c>
      <c r="K551" s="81">
        <f>17.7892 * CHOOSE(CONTROL!$C$32, $C$9, 100%, $E$9)</f>
        <v>17.789200000000001</v>
      </c>
      <c r="L551" s="81">
        <f>8.9464 * CHOOSE(CONTROL!$C$32, $C$9, 100%, $E$9)</f>
        <v>8.9464000000000006</v>
      </c>
      <c r="M551" s="81">
        <f>8.95 * CHOOSE(CONTROL!$C$32, $C$9, 100%, $E$9)</f>
        <v>8.9499999999999993</v>
      </c>
      <c r="N551" s="81">
        <f>8.9464 * CHOOSE(CONTROL!$C$32, $C$9, 100%, $E$9)</f>
        <v>8.9464000000000006</v>
      </c>
      <c r="O551" s="81">
        <f>8.95 * CHOOSE(CONTROL!$C$32, $C$9, 100%, $E$9)</f>
        <v>8.9499999999999993</v>
      </c>
    </row>
    <row r="552" spans="1:15" ht="15" x14ac:dyDescent="0.2">
      <c r="A552" s="16">
        <v>58015</v>
      </c>
      <c r="B552" s="80">
        <f>8.0145 * CHOOSE(CONTROL!$C$32, $C$9, 100%, $E$9)</f>
        <v>8.0145</v>
      </c>
      <c r="C552" s="80">
        <f>8.0145 * CHOOSE(CONTROL!$C$32, $C$9, 100%, $E$9)</f>
        <v>8.0145</v>
      </c>
      <c r="D552" s="80">
        <f>8.0156 * CHOOSE(CONTROL!$C$32, $C$9, 100%, $E$9)</f>
        <v>8.0155999999999992</v>
      </c>
      <c r="E552" s="81">
        <f>8.9918 * CHOOSE(CONTROL!$C$32, $C$9, 100%, $E$9)</f>
        <v>8.9917999999999996</v>
      </c>
      <c r="F552" s="81">
        <f>8.9918 * CHOOSE(CONTROL!$C$32, $C$9, 100%, $E$9)</f>
        <v>8.9917999999999996</v>
      </c>
      <c r="G552" s="81">
        <f>8.9954 * CHOOSE(CONTROL!$C$32, $C$9, 100%, $E$9)</f>
        <v>8.9954000000000001</v>
      </c>
      <c r="H552" s="81">
        <f>17.8226 * CHOOSE(CONTROL!$C$32, $C$9, 100%, $E$9)</f>
        <v>17.822600000000001</v>
      </c>
      <c r="I552" s="81">
        <f>17.8262 * CHOOSE(CONTROL!$C$32, $C$9, 100%, $E$9)</f>
        <v>17.8262</v>
      </c>
      <c r="J552" s="81">
        <f>17.8226 * CHOOSE(CONTROL!$C$32, $C$9, 100%, $E$9)</f>
        <v>17.822600000000001</v>
      </c>
      <c r="K552" s="81">
        <f>17.8262 * CHOOSE(CONTROL!$C$32, $C$9, 100%, $E$9)</f>
        <v>17.8262</v>
      </c>
      <c r="L552" s="81">
        <f>8.9918 * CHOOSE(CONTROL!$C$32, $C$9, 100%, $E$9)</f>
        <v>8.9917999999999996</v>
      </c>
      <c r="M552" s="81">
        <f>8.9954 * CHOOSE(CONTROL!$C$32, $C$9, 100%, $E$9)</f>
        <v>8.9954000000000001</v>
      </c>
      <c r="N552" s="81">
        <f>8.9918 * CHOOSE(CONTROL!$C$32, $C$9, 100%, $E$9)</f>
        <v>8.9917999999999996</v>
      </c>
      <c r="O552" s="81">
        <f>8.9954 * CHOOSE(CONTROL!$C$32, $C$9, 100%, $E$9)</f>
        <v>8.9954000000000001</v>
      </c>
    </row>
    <row r="553" spans="1:15" ht="15" x14ac:dyDescent="0.2">
      <c r="A553" s="16">
        <v>58045</v>
      </c>
      <c r="B553" s="80">
        <f>8.0145 * CHOOSE(CONTROL!$C$32, $C$9, 100%, $E$9)</f>
        <v>8.0145</v>
      </c>
      <c r="C553" s="80">
        <f>8.0145 * CHOOSE(CONTROL!$C$32, $C$9, 100%, $E$9)</f>
        <v>8.0145</v>
      </c>
      <c r="D553" s="80">
        <f>8.0156 * CHOOSE(CONTROL!$C$32, $C$9, 100%, $E$9)</f>
        <v>8.0155999999999992</v>
      </c>
      <c r="E553" s="81">
        <f>8.8835 * CHOOSE(CONTROL!$C$32, $C$9, 100%, $E$9)</f>
        <v>8.8834999999999997</v>
      </c>
      <c r="F553" s="81">
        <f>8.8835 * CHOOSE(CONTROL!$C$32, $C$9, 100%, $E$9)</f>
        <v>8.8834999999999997</v>
      </c>
      <c r="G553" s="81">
        <f>8.8872 * CHOOSE(CONTROL!$C$32, $C$9, 100%, $E$9)</f>
        <v>8.8872</v>
      </c>
      <c r="H553" s="81">
        <f>17.8597 * CHOOSE(CONTROL!$C$32, $C$9, 100%, $E$9)</f>
        <v>17.8597</v>
      </c>
      <c r="I553" s="81">
        <f>17.8634 * CHOOSE(CONTROL!$C$32, $C$9, 100%, $E$9)</f>
        <v>17.863399999999999</v>
      </c>
      <c r="J553" s="81">
        <f>17.8597 * CHOOSE(CONTROL!$C$32, $C$9, 100%, $E$9)</f>
        <v>17.8597</v>
      </c>
      <c r="K553" s="81">
        <f>17.8634 * CHOOSE(CONTROL!$C$32, $C$9, 100%, $E$9)</f>
        <v>17.863399999999999</v>
      </c>
      <c r="L553" s="81">
        <f>8.8835 * CHOOSE(CONTROL!$C$32, $C$9, 100%, $E$9)</f>
        <v>8.8834999999999997</v>
      </c>
      <c r="M553" s="81">
        <f>8.8872 * CHOOSE(CONTROL!$C$32, $C$9, 100%, $E$9)</f>
        <v>8.8872</v>
      </c>
      <c r="N553" s="81">
        <f>8.8835 * CHOOSE(CONTROL!$C$32, $C$9, 100%, $E$9)</f>
        <v>8.8834999999999997</v>
      </c>
      <c r="O553" s="81">
        <f>8.8872 * CHOOSE(CONTROL!$C$32, $C$9, 100%, $E$9)</f>
        <v>8.8872</v>
      </c>
    </row>
    <row r="554" spans="1:15" ht="15" x14ac:dyDescent="0.2">
      <c r="A554" s="16">
        <v>58076</v>
      </c>
      <c r="B554" s="80">
        <f>8.0743 * CHOOSE(CONTROL!$C$32, $C$9, 100%, $E$9)</f>
        <v>8.0742999999999991</v>
      </c>
      <c r="C554" s="80">
        <f>8.0743 * CHOOSE(CONTROL!$C$32, $C$9, 100%, $E$9)</f>
        <v>8.0742999999999991</v>
      </c>
      <c r="D554" s="80">
        <f>8.0754 * CHOOSE(CONTROL!$C$32, $C$9, 100%, $E$9)</f>
        <v>8.0754000000000001</v>
      </c>
      <c r="E554" s="81">
        <f>9.0387 * CHOOSE(CONTROL!$C$32, $C$9, 100%, $E$9)</f>
        <v>9.0387000000000004</v>
      </c>
      <c r="F554" s="81">
        <f>9.0387 * CHOOSE(CONTROL!$C$32, $C$9, 100%, $E$9)</f>
        <v>9.0387000000000004</v>
      </c>
      <c r="G554" s="81">
        <f>9.0423 * CHOOSE(CONTROL!$C$32, $C$9, 100%, $E$9)</f>
        <v>9.0422999999999991</v>
      </c>
      <c r="H554" s="81">
        <f>17.897 * CHOOSE(CONTROL!$C$32, $C$9, 100%, $E$9)</f>
        <v>17.896999999999998</v>
      </c>
      <c r="I554" s="81">
        <f>17.9006 * CHOOSE(CONTROL!$C$32, $C$9, 100%, $E$9)</f>
        <v>17.900600000000001</v>
      </c>
      <c r="J554" s="81">
        <f>17.897 * CHOOSE(CONTROL!$C$32, $C$9, 100%, $E$9)</f>
        <v>17.896999999999998</v>
      </c>
      <c r="K554" s="81">
        <f>17.9006 * CHOOSE(CONTROL!$C$32, $C$9, 100%, $E$9)</f>
        <v>17.900600000000001</v>
      </c>
      <c r="L554" s="81">
        <f>9.0387 * CHOOSE(CONTROL!$C$32, $C$9, 100%, $E$9)</f>
        <v>9.0387000000000004</v>
      </c>
      <c r="M554" s="81">
        <f>9.0423 * CHOOSE(CONTROL!$C$32, $C$9, 100%, $E$9)</f>
        <v>9.0422999999999991</v>
      </c>
      <c r="N554" s="81">
        <f>9.0387 * CHOOSE(CONTROL!$C$32, $C$9, 100%, $E$9)</f>
        <v>9.0387000000000004</v>
      </c>
      <c r="O554" s="81">
        <f>9.0423 * CHOOSE(CONTROL!$C$32, $C$9, 100%, $E$9)</f>
        <v>9.0422999999999991</v>
      </c>
    </row>
    <row r="555" spans="1:15" ht="15" x14ac:dyDescent="0.2">
      <c r="A555" s="16">
        <v>58107</v>
      </c>
      <c r="B555" s="80">
        <f>8.0713 * CHOOSE(CONTROL!$C$32, $C$9, 100%, $E$9)</f>
        <v>8.0713000000000008</v>
      </c>
      <c r="C555" s="80">
        <f>8.0713 * CHOOSE(CONTROL!$C$32, $C$9, 100%, $E$9)</f>
        <v>8.0713000000000008</v>
      </c>
      <c r="D555" s="80">
        <f>8.0723 * CHOOSE(CONTROL!$C$32, $C$9, 100%, $E$9)</f>
        <v>8.0723000000000003</v>
      </c>
      <c r="E555" s="81">
        <f>8.8254 * CHOOSE(CONTROL!$C$32, $C$9, 100%, $E$9)</f>
        <v>8.8254000000000001</v>
      </c>
      <c r="F555" s="81">
        <f>8.8254 * CHOOSE(CONTROL!$C$32, $C$9, 100%, $E$9)</f>
        <v>8.8254000000000001</v>
      </c>
      <c r="G555" s="81">
        <f>8.829 * CHOOSE(CONTROL!$C$32, $C$9, 100%, $E$9)</f>
        <v>8.8290000000000006</v>
      </c>
      <c r="H555" s="81">
        <f>17.9342 * CHOOSE(CONTROL!$C$32, $C$9, 100%, $E$9)</f>
        <v>17.934200000000001</v>
      </c>
      <c r="I555" s="81">
        <f>17.9379 * CHOOSE(CONTROL!$C$32, $C$9, 100%, $E$9)</f>
        <v>17.937899999999999</v>
      </c>
      <c r="J555" s="81">
        <f>17.9342 * CHOOSE(CONTROL!$C$32, $C$9, 100%, $E$9)</f>
        <v>17.934200000000001</v>
      </c>
      <c r="K555" s="81">
        <f>17.9379 * CHOOSE(CONTROL!$C$32, $C$9, 100%, $E$9)</f>
        <v>17.937899999999999</v>
      </c>
      <c r="L555" s="81">
        <f>8.8254 * CHOOSE(CONTROL!$C$32, $C$9, 100%, $E$9)</f>
        <v>8.8254000000000001</v>
      </c>
      <c r="M555" s="81">
        <f>8.829 * CHOOSE(CONTROL!$C$32, $C$9, 100%, $E$9)</f>
        <v>8.8290000000000006</v>
      </c>
      <c r="N555" s="81">
        <f>8.8254 * CHOOSE(CONTROL!$C$32, $C$9, 100%, $E$9)</f>
        <v>8.8254000000000001</v>
      </c>
      <c r="O555" s="81">
        <f>8.829 * CHOOSE(CONTROL!$C$32, $C$9, 100%, $E$9)</f>
        <v>8.8290000000000006</v>
      </c>
    </row>
    <row r="556" spans="1:15" ht="15" x14ac:dyDescent="0.2">
      <c r="A556" s="16">
        <v>58135</v>
      </c>
      <c r="B556" s="80">
        <f>8.0682 * CHOOSE(CONTROL!$C$32, $C$9, 100%, $E$9)</f>
        <v>8.0681999999999992</v>
      </c>
      <c r="C556" s="80">
        <f>8.0682 * CHOOSE(CONTROL!$C$32, $C$9, 100%, $E$9)</f>
        <v>8.0681999999999992</v>
      </c>
      <c r="D556" s="80">
        <f>8.0693 * CHOOSE(CONTROL!$C$32, $C$9, 100%, $E$9)</f>
        <v>8.0693000000000001</v>
      </c>
      <c r="E556" s="81">
        <f>8.9897 * CHOOSE(CONTROL!$C$32, $C$9, 100%, $E$9)</f>
        <v>8.9896999999999991</v>
      </c>
      <c r="F556" s="81">
        <f>8.9897 * CHOOSE(CONTROL!$C$32, $C$9, 100%, $E$9)</f>
        <v>8.9896999999999991</v>
      </c>
      <c r="G556" s="81">
        <f>8.9934 * CHOOSE(CONTROL!$C$32, $C$9, 100%, $E$9)</f>
        <v>8.9933999999999994</v>
      </c>
      <c r="H556" s="81">
        <f>17.9716 * CHOOSE(CONTROL!$C$32, $C$9, 100%, $E$9)</f>
        <v>17.971599999999999</v>
      </c>
      <c r="I556" s="81">
        <f>17.9752 * CHOOSE(CONTROL!$C$32, $C$9, 100%, $E$9)</f>
        <v>17.975200000000001</v>
      </c>
      <c r="J556" s="81">
        <f>17.9716 * CHOOSE(CONTROL!$C$32, $C$9, 100%, $E$9)</f>
        <v>17.971599999999999</v>
      </c>
      <c r="K556" s="81">
        <f>17.9752 * CHOOSE(CONTROL!$C$32, $C$9, 100%, $E$9)</f>
        <v>17.975200000000001</v>
      </c>
      <c r="L556" s="81">
        <f>8.9897 * CHOOSE(CONTROL!$C$32, $C$9, 100%, $E$9)</f>
        <v>8.9896999999999991</v>
      </c>
      <c r="M556" s="81">
        <f>8.9934 * CHOOSE(CONTROL!$C$32, $C$9, 100%, $E$9)</f>
        <v>8.9933999999999994</v>
      </c>
      <c r="N556" s="81">
        <f>8.9897 * CHOOSE(CONTROL!$C$32, $C$9, 100%, $E$9)</f>
        <v>8.9896999999999991</v>
      </c>
      <c r="O556" s="81">
        <f>8.9934 * CHOOSE(CONTROL!$C$32, $C$9, 100%, $E$9)</f>
        <v>8.9933999999999994</v>
      </c>
    </row>
    <row r="557" spans="1:15" ht="15" x14ac:dyDescent="0.2">
      <c r="A557" s="16">
        <v>58166</v>
      </c>
      <c r="B557" s="80">
        <f>8.0698 * CHOOSE(CONTROL!$C$32, $C$9, 100%, $E$9)</f>
        <v>8.0698000000000008</v>
      </c>
      <c r="C557" s="80">
        <f>8.0698 * CHOOSE(CONTROL!$C$32, $C$9, 100%, $E$9)</f>
        <v>8.0698000000000008</v>
      </c>
      <c r="D557" s="80">
        <f>8.0709 * CHOOSE(CONTROL!$C$32, $C$9, 100%, $E$9)</f>
        <v>8.0709</v>
      </c>
      <c r="E557" s="81">
        <f>9.1643 * CHOOSE(CONTROL!$C$32, $C$9, 100%, $E$9)</f>
        <v>9.1643000000000008</v>
      </c>
      <c r="F557" s="81">
        <f>9.1643 * CHOOSE(CONTROL!$C$32, $C$9, 100%, $E$9)</f>
        <v>9.1643000000000008</v>
      </c>
      <c r="G557" s="81">
        <f>9.1679 * CHOOSE(CONTROL!$C$32, $C$9, 100%, $E$9)</f>
        <v>9.1678999999999995</v>
      </c>
      <c r="H557" s="81">
        <f>18.009 * CHOOSE(CONTROL!$C$32, $C$9, 100%, $E$9)</f>
        <v>18.009</v>
      </c>
      <c r="I557" s="81">
        <f>18.0127 * CHOOSE(CONTROL!$C$32, $C$9, 100%, $E$9)</f>
        <v>18.012699999999999</v>
      </c>
      <c r="J557" s="81">
        <f>18.009 * CHOOSE(CONTROL!$C$32, $C$9, 100%, $E$9)</f>
        <v>18.009</v>
      </c>
      <c r="K557" s="81">
        <f>18.0127 * CHOOSE(CONTROL!$C$32, $C$9, 100%, $E$9)</f>
        <v>18.012699999999999</v>
      </c>
      <c r="L557" s="81">
        <f>9.1643 * CHOOSE(CONTROL!$C$32, $C$9, 100%, $E$9)</f>
        <v>9.1643000000000008</v>
      </c>
      <c r="M557" s="81">
        <f>9.1679 * CHOOSE(CONTROL!$C$32, $C$9, 100%, $E$9)</f>
        <v>9.1678999999999995</v>
      </c>
      <c r="N557" s="81">
        <f>9.1643 * CHOOSE(CONTROL!$C$32, $C$9, 100%, $E$9)</f>
        <v>9.1643000000000008</v>
      </c>
      <c r="O557" s="81">
        <f>9.1679 * CHOOSE(CONTROL!$C$32, $C$9, 100%, $E$9)</f>
        <v>9.1678999999999995</v>
      </c>
    </row>
    <row r="558" spans="1:15" ht="15" x14ac:dyDescent="0.2">
      <c r="A558" s="16">
        <v>58196</v>
      </c>
      <c r="B558" s="80">
        <f>8.0698 * CHOOSE(CONTROL!$C$32, $C$9, 100%, $E$9)</f>
        <v>8.0698000000000008</v>
      </c>
      <c r="C558" s="80">
        <f>8.0698 * CHOOSE(CONTROL!$C$32, $C$9, 100%, $E$9)</f>
        <v>8.0698000000000008</v>
      </c>
      <c r="D558" s="80">
        <f>8.0714 * CHOOSE(CONTROL!$C$32, $C$9, 100%, $E$9)</f>
        <v>8.0714000000000006</v>
      </c>
      <c r="E558" s="81">
        <f>9.2313 * CHOOSE(CONTROL!$C$32, $C$9, 100%, $E$9)</f>
        <v>9.2312999999999992</v>
      </c>
      <c r="F558" s="81">
        <f>9.2313 * CHOOSE(CONTROL!$C$32, $C$9, 100%, $E$9)</f>
        <v>9.2312999999999992</v>
      </c>
      <c r="G558" s="81">
        <f>9.2366 * CHOOSE(CONTROL!$C$32, $C$9, 100%, $E$9)</f>
        <v>9.2365999999999993</v>
      </c>
      <c r="H558" s="81">
        <f>18.0466 * CHOOSE(CONTROL!$C$32, $C$9, 100%, $E$9)</f>
        <v>18.046600000000002</v>
      </c>
      <c r="I558" s="81">
        <f>18.0519 * CHOOSE(CONTROL!$C$32, $C$9, 100%, $E$9)</f>
        <v>18.0519</v>
      </c>
      <c r="J558" s="81">
        <f>18.0466 * CHOOSE(CONTROL!$C$32, $C$9, 100%, $E$9)</f>
        <v>18.046600000000002</v>
      </c>
      <c r="K558" s="81">
        <f>18.0519 * CHOOSE(CONTROL!$C$32, $C$9, 100%, $E$9)</f>
        <v>18.0519</v>
      </c>
      <c r="L558" s="81">
        <f>9.2313 * CHOOSE(CONTROL!$C$32, $C$9, 100%, $E$9)</f>
        <v>9.2312999999999992</v>
      </c>
      <c r="M558" s="81">
        <f>9.2366 * CHOOSE(CONTROL!$C$32, $C$9, 100%, $E$9)</f>
        <v>9.2365999999999993</v>
      </c>
      <c r="N558" s="81">
        <f>9.2313 * CHOOSE(CONTROL!$C$32, $C$9, 100%, $E$9)</f>
        <v>9.2312999999999992</v>
      </c>
      <c r="O558" s="81">
        <f>9.2366 * CHOOSE(CONTROL!$C$32, $C$9, 100%, $E$9)</f>
        <v>9.2365999999999993</v>
      </c>
    </row>
    <row r="559" spans="1:15" ht="15" x14ac:dyDescent="0.2">
      <c r="A559" s="16">
        <v>58227</v>
      </c>
      <c r="B559" s="80">
        <f>8.0759 * CHOOSE(CONTROL!$C$32, $C$9, 100%, $E$9)</f>
        <v>8.0759000000000007</v>
      </c>
      <c r="C559" s="80">
        <f>8.0759 * CHOOSE(CONTROL!$C$32, $C$9, 100%, $E$9)</f>
        <v>8.0759000000000007</v>
      </c>
      <c r="D559" s="80">
        <f>8.0775 * CHOOSE(CONTROL!$C$32, $C$9, 100%, $E$9)</f>
        <v>8.0775000000000006</v>
      </c>
      <c r="E559" s="81">
        <f>9.1685 * CHOOSE(CONTROL!$C$32, $C$9, 100%, $E$9)</f>
        <v>9.1684999999999999</v>
      </c>
      <c r="F559" s="81">
        <f>9.1685 * CHOOSE(CONTROL!$C$32, $C$9, 100%, $E$9)</f>
        <v>9.1684999999999999</v>
      </c>
      <c r="G559" s="81">
        <f>9.1738 * CHOOSE(CONTROL!$C$32, $C$9, 100%, $E$9)</f>
        <v>9.1738</v>
      </c>
      <c r="H559" s="81">
        <f>18.0842 * CHOOSE(CONTROL!$C$32, $C$9, 100%, $E$9)</f>
        <v>18.084199999999999</v>
      </c>
      <c r="I559" s="81">
        <f>18.0895 * CHOOSE(CONTROL!$C$32, $C$9, 100%, $E$9)</f>
        <v>18.089500000000001</v>
      </c>
      <c r="J559" s="81">
        <f>18.0842 * CHOOSE(CONTROL!$C$32, $C$9, 100%, $E$9)</f>
        <v>18.084199999999999</v>
      </c>
      <c r="K559" s="81">
        <f>18.0895 * CHOOSE(CONTROL!$C$32, $C$9, 100%, $E$9)</f>
        <v>18.089500000000001</v>
      </c>
      <c r="L559" s="81">
        <f>9.1685 * CHOOSE(CONTROL!$C$32, $C$9, 100%, $E$9)</f>
        <v>9.1684999999999999</v>
      </c>
      <c r="M559" s="81">
        <f>9.1738 * CHOOSE(CONTROL!$C$32, $C$9, 100%, $E$9)</f>
        <v>9.1738</v>
      </c>
      <c r="N559" s="81">
        <f>9.1685 * CHOOSE(CONTROL!$C$32, $C$9, 100%, $E$9)</f>
        <v>9.1684999999999999</v>
      </c>
      <c r="O559" s="81">
        <f>9.1738 * CHOOSE(CONTROL!$C$32, $C$9, 100%, $E$9)</f>
        <v>9.1738</v>
      </c>
    </row>
    <row r="560" spans="1:15" ht="15" x14ac:dyDescent="0.2">
      <c r="A560" s="16">
        <v>58257</v>
      </c>
      <c r="B560" s="80">
        <f>8.1792 * CHOOSE(CONTROL!$C$32, $C$9, 100%, $E$9)</f>
        <v>8.1791999999999998</v>
      </c>
      <c r="C560" s="80">
        <f>8.1792 * CHOOSE(CONTROL!$C$32, $C$9, 100%, $E$9)</f>
        <v>8.1791999999999998</v>
      </c>
      <c r="D560" s="80">
        <f>8.1807 * CHOOSE(CONTROL!$C$32, $C$9, 100%, $E$9)</f>
        <v>8.1806999999999999</v>
      </c>
      <c r="E560" s="81">
        <f>9.2956 * CHOOSE(CONTROL!$C$32, $C$9, 100%, $E$9)</f>
        <v>9.2956000000000003</v>
      </c>
      <c r="F560" s="81">
        <f>9.2956 * CHOOSE(CONTROL!$C$32, $C$9, 100%, $E$9)</f>
        <v>9.2956000000000003</v>
      </c>
      <c r="G560" s="81">
        <f>9.3009 * CHOOSE(CONTROL!$C$32, $C$9, 100%, $E$9)</f>
        <v>9.3009000000000004</v>
      </c>
      <c r="H560" s="81">
        <f>18.1218 * CHOOSE(CONTROL!$C$32, $C$9, 100%, $E$9)</f>
        <v>18.1218</v>
      </c>
      <c r="I560" s="81">
        <f>18.1271 * CHOOSE(CONTROL!$C$32, $C$9, 100%, $E$9)</f>
        <v>18.127099999999999</v>
      </c>
      <c r="J560" s="81">
        <f>18.1218 * CHOOSE(CONTROL!$C$32, $C$9, 100%, $E$9)</f>
        <v>18.1218</v>
      </c>
      <c r="K560" s="81">
        <f>18.1271 * CHOOSE(CONTROL!$C$32, $C$9, 100%, $E$9)</f>
        <v>18.127099999999999</v>
      </c>
      <c r="L560" s="81">
        <f>9.2956 * CHOOSE(CONTROL!$C$32, $C$9, 100%, $E$9)</f>
        <v>9.2956000000000003</v>
      </c>
      <c r="M560" s="81">
        <f>9.3009 * CHOOSE(CONTROL!$C$32, $C$9, 100%, $E$9)</f>
        <v>9.3009000000000004</v>
      </c>
      <c r="N560" s="81">
        <f>9.2956 * CHOOSE(CONTROL!$C$32, $C$9, 100%, $E$9)</f>
        <v>9.2956000000000003</v>
      </c>
      <c r="O560" s="81">
        <f>9.3009 * CHOOSE(CONTROL!$C$32, $C$9, 100%, $E$9)</f>
        <v>9.3009000000000004</v>
      </c>
    </row>
    <row r="561" spans="1:15" ht="15" x14ac:dyDescent="0.2">
      <c r="A561" s="16">
        <v>58288</v>
      </c>
      <c r="B561" s="80">
        <f>8.1858 * CHOOSE(CONTROL!$C$32, $C$9, 100%, $E$9)</f>
        <v>8.1858000000000004</v>
      </c>
      <c r="C561" s="80">
        <f>8.1858 * CHOOSE(CONTROL!$C$32, $C$9, 100%, $E$9)</f>
        <v>8.1858000000000004</v>
      </c>
      <c r="D561" s="80">
        <f>8.1874 * CHOOSE(CONTROL!$C$32, $C$9, 100%, $E$9)</f>
        <v>8.1874000000000002</v>
      </c>
      <c r="E561" s="81">
        <f>9.0991 * CHOOSE(CONTROL!$C$32, $C$9, 100%, $E$9)</f>
        <v>9.0991</v>
      </c>
      <c r="F561" s="81">
        <f>9.0991 * CHOOSE(CONTROL!$C$32, $C$9, 100%, $E$9)</f>
        <v>9.0991</v>
      </c>
      <c r="G561" s="81">
        <f>9.1044 * CHOOSE(CONTROL!$C$32, $C$9, 100%, $E$9)</f>
        <v>9.1044</v>
      </c>
      <c r="H561" s="81">
        <f>18.1596 * CHOOSE(CONTROL!$C$32, $C$9, 100%, $E$9)</f>
        <v>18.159600000000001</v>
      </c>
      <c r="I561" s="81">
        <f>18.1649 * CHOOSE(CONTROL!$C$32, $C$9, 100%, $E$9)</f>
        <v>18.164899999999999</v>
      </c>
      <c r="J561" s="81">
        <f>18.1596 * CHOOSE(CONTROL!$C$32, $C$9, 100%, $E$9)</f>
        <v>18.159600000000001</v>
      </c>
      <c r="K561" s="81">
        <f>18.1649 * CHOOSE(CONTROL!$C$32, $C$9, 100%, $E$9)</f>
        <v>18.164899999999999</v>
      </c>
      <c r="L561" s="81">
        <f>9.0991 * CHOOSE(CONTROL!$C$32, $C$9, 100%, $E$9)</f>
        <v>9.0991</v>
      </c>
      <c r="M561" s="81">
        <f>9.1044 * CHOOSE(CONTROL!$C$32, $C$9, 100%, $E$9)</f>
        <v>9.1044</v>
      </c>
      <c r="N561" s="81">
        <f>9.0991 * CHOOSE(CONTROL!$C$32, $C$9, 100%, $E$9)</f>
        <v>9.0991</v>
      </c>
      <c r="O561" s="81">
        <f>9.1044 * CHOOSE(CONTROL!$C$32, $C$9, 100%, $E$9)</f>
        <v>9.1044</v>
      </c>
    </row>
    <row r="562" spans="1:15" ht="15" x14ac:dyDescent="0.2">
      <c r="A562" s="16">
        <v>58319</v>
      </c>
      <c r="B562" s="80">
        <f>8.1828 * CHOOSE(CONTROL!$C$32, $C$9, 100%, $E$9)</f>
        <v>8.1828000000000003</v>
      </c>
      <c r="C562" s="80">
        <f>8.1828 * CHOOSE(CONTROL!$C$32, $C$9, 100%, $E$9)</f>
        <v>8.1828000000000003</v>
      </c>
      <c r="D562" s="80">
        <f>8.1844 * CHOOSE(CONTROL!$C$32, $C$9, 100%, $E$9)</f>
        <v>8.1844000000000001</v>
      </c>
      <c r="E562" s="81">
        <f>9.0746 * CHOOSE(CONTROL!$C$32, $C$9, 100%, $E$9)</f>
        <v>9.0746000000000002</v>
      </c>
      <c r="F562" s="81">
        <f>9.0746 * CHOOSE(CONTROL!$C$32, $C$9, 100%, $E$9)</f>
        <v>9.0746000000000002</v>
      </c>
      <c r="G562" s="81">
        <f>9.0799 * CHOOSE(CONTROL!$C$32, $C$9, 100%, $E$9)</f>
        <v>9.0799000000000003</v>
      </c>
      <c r="H562" s="81">
        <f>18.1974 * CHOOSE(CONTROL!$C$32, $C$9, 100%, $E$9)</f>
        <v>18.197399999999998</v>
      </c>
      <c r="I562" s="81">
        <f>18.2027 * CHOOSE(CONTROL!$C$32, $C$9, 100%, $E$9)</f>
        <v>18.2027</v>
      </c>
      <c r="J562" s="81">
        <f>18.1974 * CHOOSE(CONTROL!$C$32, $C$9, 100%, $E$9)</f>
        <v>18.197399999999998</v>
      </c>
      <c r="K562" s="81">
        <f>18.2027 * CHOOSE(CONTROL!$C$32, $C$9, 100%, $E$9)</f>
        <v>18.2027</v>
      </c>
      <c r="L562" s="81">
        <f>9.0746 * CHOOSE(CONTROL!$C$32, $C$9, 100%, $E$9)</f>
        <v>9.0746000000000002</v>
      </c>
      <c r="M562" s="81">
        <f>9.0799 * CHOOSE(CONTROL!$C$32, $C$9, 100%, $E$9)</f>
        <v>9.0799000000000003</v>
      </c>
      <c r="N562" s="81">
        <f>9.0746 * CHOOSE(CONTROL!$C$32, $C$9, 100%, $E$9)</f>
        <v>9.0746000000000002</v>
      </c>
      <c r="O562" s="81">
        <f>9.0799 * CHOOSE(CONTROL!$C$32, $C$9, 100%, $E$9)</f>
        <v>9.0799000000000003</v>
      </c>
    </row>
    <row r="563" spans="1:15" ht="15" x14ac:dyDescent="0.2">
      <c r="A563" s="16">
        <v>58349</v>
      </c>
      <c r="B563" s="80">
        <f>8.1934 * CHOOSE(CONTROL!$C$32, $C$9, 100%, $E$9)</f>
        <v>8.1934000000000005</v>
      </c>
      <c r="C563" s="80">
        <f>8.1934 * CHOOSE(CONTROL!$C$32, $C$9, 100%, $E$9)</f>
        <v>8.1934000000000005</v>
      </c>
      <c r="D563" s="80">
        <f>8.1945 * CHOOSE(CONTROL!$C$32, $C$9, 100%, $E$9)</f>
        <v>8.1944999999999997</v>
      </c>
      <c r="E563" s="81">
        <f>9.1506 * CHOOSE(CONTROL!$C$32, $C$9, 100%, $E$9)</f>
        <v>9.1506000000000007</v>
      </c>
      <c r="F563" s="81">
        <f>9.1506 * CHOOSE(CONTROL!$C$32, $C$9, 100%, $E$9)</f>
        <v>9.1506000000000007</v>
      </c>
      <c r="G563" s="81">
        <f>9.1542 * CHOOSE(CONTROL!$C$32, $C$9, 100%, $E$9)</f>
        <v>9.1541999999999994</v>
      </c>
      <c r="H563" s="81">
        <f>18.2353 * CHOOSE(CONTROL!$C$32, $C$9, 100%, $E$9)</f>
        <v>18.235299999999999</v>
      </c>
      <c r="I563" s="81">
        <f>18.2389 * CHOOSE(CONTROL!$C$32, $C$9, 100%, $E$9)</f>
        <v>18.238900000000001</v>
      </c>
      <c r="J563" s="81">
        <f>18.2353 * CHOOSE(CONTROL!$C$32, $C$9, 100%, $E$9)</f>
        <v>18.235299999999999</v>
      </c>
      <c r="K563" s="81">
        <f>18.2389 * CHOOSE(CONTROL!$C$32, $C$9, 100%, $E$9)</f>
        <v>18.238900000000001</v>
      </c>
      <c r="L563" s="81">
        <f>9.1506 * CHOOSE(CONTROL!$C$32, $C$9, 100%, $E$9)</f>
        <v>9.1506000000000007</v>
      </c>
      <c r="M563" s="81">
        <f>9.1542 * CHOOSE(CONTROL!$C$32, $C$9, 100%, $E$9)</f>
        <v>9.1541999999999994</v>
      </c>
      <c r="N563" s="81">
        <f>9.1506 * CHOOSE(CONTROL!$C$32, $C$9, 100%, $E$9)</f>
        <v>9.1506000000000007</v>
      </c>
      <c r="O563" s="81">
        <f>9.1542 * CHOOSE(CONTROL!$C$32, $C$9, 100%, $E$9)</f>
        <v>9.1541999999999994</v>
      </c>
    </row>
    <row r="564" spans="1:15" ht="15" x14ac:dyDescent="0.2">
      <c r="A564" s="16">
        <v>58380</v>
      </c>
      <c r="B564" s="80">
        <f>8.1965 * CHOOSE(CONTROL!$C$32, $C$9, 100%, $E$9)</f>
        <v>8.1965000000000003</v>
      </c>
      <c r="C564" s="80">
        <f>8.1965 * CHOOSE(CONTROL!$C$32, $C$9, 100%, $E$9)</f>
        <v>8.1965000000000003</v>
      </c>
      <c r="D564" s="80">
        <f>8.1976 * CHOOSE(CONTROL!$C$32, $C$9, 100%, $E$9)</f>
        <v>8.1975999999999996</v>
      </c>
      <c r="E564" s="81">
        <f>9.1974 * CHOOSE(CONTROL!$C$32, $C$9, 100%, $E$9)</f>
        <v>9.1974</v>
      </c>
      <c r="F564" s="81">
        <f>9.1974 * CHOOSE(CONTROL!$C$32, $C$9, 100%, $E$9)</f>
        <v>9.1974</v>
      </c>
      <c r="G564" s="81">
        <f>9.2011 * CHOOSE(CONTROL!$C$32, $C$9, 100%, $E$9)</f>
        <v>9.2011000000000003</v>
      </c>
      <c r="H564" s="81">
        <f>18.2733 * CHOOSE(CONTROL!$C$32, $C$9, 100%, $E$9)</f>
        <v>18.273299999999999</v>
      </c>
      <c r="I564" s="81">
        <f>18.2769 * CHOOSE(CONTROL!$C$32, $C$9, 100%, $E$9)</f>
        <v>18.276900000000001</v>
      </c>
      <c r="J564" s="81">
        <f>18.2733 * CHOOSE(CONTROL!$C$32, $C$9, 100%, $E$9)</f>
        <v>18.273299999999999</v>
      </c>
      <c r="K564" s="81">
        <f>18.2769 * CHOOSE(CONTROL!$C$32, $C$9, 100%, $E$9)</f>
        <v>18.276900000000001</v>
      </c>
      <c r="L564" s="81">
        <f>9.1974 * CHOOSE(CONTROL!$C$32, $C$9, 100%, $E$9)</f>
        <v>9.1974</v>
      </c>
      <c r="M564" s="81">
        <f>9.2011 * CHOOSE(CONTROL!$C$32, $C$9, 100%, $E$9)</f>
        <v>9.2011000000000003</v>
      </c>
      <c r="N564" s="81">
        <f>9.1974 * CHOOSE(CONTROL!$C$32, $C$9, 100%, $E$9)</f>
        <v>9.1974</v>
      </c>
      <c r="O564" s="81">
        <f>9.2011 * CHOOSE(CONTROL!$C$32, $C$9, 100%, $E$9)</f>
        <v>9.2011000000000003</v>
      </c>
    </row>
    <row r="565" spans="1:15" ht="15" x14ac:dyDescent="0.2">
      <c r="A565" s="16">
        <v>58410</v>
      </c>
      <c r="B565" s="80">
        <f>8.1965 * CHOOSE(CONTROL!$C$32, $C$9, 100%, $E$9)</f>
        <v>8.1965000000000003</v>
      </c>
      <c r="C565" s="80">
        <f>8.1965 * CHOOSE(CONTROL!$C$32, $C$9, 100%, $E$9)</f>
        <v>8.1965000000000003</v>
      </c>
      <c r="D565" s="80">
        <f>8.1976 * CHOOSE(CONTROL!$C$32, $C$9, 100%, $E$9)</f>
        <v>8.1975999999999996</v>
      </c>
      <c r="E565" s="81">
        <f>9.0857 * CHOOSE(CONTROL!$C$32, $C$9, 100%, $E$9)</f>
        <v>9.0856999999999992</v>
      </c>
      <c r="F565" s="81">
        <f>9.0857 * CHOOSE(CONTROL!$C$32, $C$9, 100%, $E$9)</f>
        <v>9.0856999999999992</v>
      </c>
      <c r="G565" s="81">
        <f>9.0893 * CHOOSE(CONTROL!$C$32, $C$9, 100%, $E$9)</f>
        <v>9.0892999999999997</v>
      </c>
      <c r="H565" s="81">
        <f>18.3114 * CHOOSE(CONTROL!$C$32, $C$9, 100%, $E$9)</f>
        <v>18.311399999999999</v>
      </c>
      <c r="I565" s="81">
        <f>18.315 * CHOOSE(CONTROL!$C$32, $C$9, 100%, $E$9)</f>
        <v>18.315000000000001</v>
      </c>
      <c r="J565" s="81">
        <f>18.3114 * CHOOSE(CONTROL!$C$32, $C$9, 100%, $E$9)</f>
        <v>18.311399999999999</v>
      </c>
      <c r="K565" s="81">
        <f>18.315 * CHOOSE(CONTROL!$C$32, $C$9, 100%, $E$9)</f>
        <v>18.315000000000001</v>
      </c>
      <c r="L565" s="81">
        <f>9.0857 * CHOOSE(CONTROL!$C$32, $C$9, 100%, $E$9)</f>
        <v>9.0856999999999992</v>
      </c>
      <c r="M565" s="81">
        <f>9.0893 * CHOOSE(CONTROL!$C$32, $C$9, 100%, $E$9)</f>
        <v>9.0892999999999997</v>
      </c>
      <c r="N565" s="81">
        <f>9.0857 * CHOOSE(CONTROL!$C$32, $C$9, 100%, $E$9)</f>
        <v>9.0856999999999992</v>
      </c>
      <c r="O565" s="81">
        <f>9.0893 * CHOOSE(CONTROL!$C$32, $C$9, 100%, $E$9)</f>
        <v>9.0892999999999997</v>
      </c>
    </row>
    <row r="566" spans="1:15" ht="15" x14ac:dyDescent="0.2">
      <c r="A566" s="16">
        <v>58441</v>
      </c>
      <c r="B566" s="80">
        <f>8.2575 * CHOOSE(CONTROL!$C$32, $C$9, 100%, $E$9)</f>
        <v>8.2575000000000003</v>
      </c>
      <c r="C566" s="80">
        <f>8.2575 * CHOOSE(CONTROL!$C$32, $C$9, 100%, $E$9)</f>
        <v>8.2575000000000003</v>
      </c>
      <c r="D566" s="80">
        <f>8.2586 * CHOOSE(CONTROL!$C$32, $C$9, 100%, $E$9)</f>
        <v>8.2585999999999995</v>
      </c>
      <c r="E566" s="81">
        <f>9.2455 * CHOOSE(CONTROL!$C$32, $C$9, 100%, $E$9)</f>
        <v>9.2454999999999998</v>
      </c>
      <c r="F566" s="81">
        <f>9.2455 * CHOOSE(CONTROL!$C$32, $C$9, 100%, $E$9)</f>
        <v>9.2454999999999998</v>
      </c>
      <c r="G566" s="81">
        <f>9.2491 * CHOOSE(CONTROL!$C$32, $C$9, 100%, $E$9)</f>
        <v>9.2491000000000003</v>
      </c>
      <c r="H566" s="81">
        <f>18.3495 * CHOOSE(CONTROL!$C$32, $C$9, 100%, $E$9)</f>
        <v>18.349499999999999</v>
      </c>
      <c r="I566" s="81">
        <f>18.3532 * CHOOSE(CONTROL!$C$32, $C$9, 100%, $E$9)</f>
        <v>18.353200000000001</v>
      </c>
      <c r="J566" s="81">
        <f>18.3495 * CHOOSE(CONTROL!$C$32, $C$9, 100%, $E$9)</f>
        <v>18.349499999999999</v>
      </c>
      <c r="K566" s="81">
        <f>18.3532 * CHOOSE(CONTROL!$C$32, $C$9, 100%, $E$9)</f>
        <v>18.353200000000001</v>
      </c>
      <c r="L566" s="81">
        <f>9.2455 * CHOOSE(CONTROL!$C$32, $C$9, 100%, $E$9)</f>
        <v>9.2454999999999998</v>
      </c>
      <c r="M566" s="81">
        <f>9.2491 * CHOOSE(CONTROL!$C$32, $C$9, 100%, $E$9)</f>
        <v>9.2491000000000003</v>
      </c>
      <c r="N566" s="81">
        <f>9.2455 * CHOOSE(CONTROL!$C$32, $C$9, 100%, $E$9)</f>
        <v>9.2454999999999998</v>
      </c>
      <c r="O566" s="81">
        <f>9.2491 * CHOOSE(CONTROL!$C$32, $C$9, 100%, $E$9)</f>
        <v>9.2491000000000003</v>
      </c>
    </row>
    <row r="567" spans="1:15" ht="15" x14ac:dyDescent="0.2">
      <c r="A567" s="16">
        <v>58472</v>
      </c>
      <c r="B567" s="80">
        <f>8.2544 * CHOOSE(CONTROL!$C$32, $C$9, 100%, $E$9)</f>
        <v>8.2544000000000004</v>
      </c>
      <c r="C567" s="80">
        <f>8.2544 * CHOOSE(CONTROL!$C$32, $C$9, 100%, $E$9)</f>
        <v>8.2544000000000004</v>
      </c>
      <c r="D567" s="80">
        <f>8.2555 * CHOOSE(CONTROL!$C$32, $C$9, 100%, $E$9)</f>
        <v>8.2554999999999996</v>
      </c>
      <c r="E567" s="81">
        <f>9.0253 * CHOOSE(CONTROL!$C$32, $C$9, 100%, $E$9)</f>
        <v>9.0252999999999997</v>
      </c>
      <c r="F567" s="81">
        <f>9.0253 * CHOOSE(CONTROL!$C$32, $C$9, 100%, $E$9)</f>
        <v>9.0252999999999997</v>
      </c>
      <c r="G567" s="81">
        <f>9.0289 * CHOOSE(CONTROL!$C$32, $C$9, 100%, $E$9)</f>
        <v>9.0289000000000001</v>
      </c>
      <c r="H567" s="81">
        <f>18.3878 * CHOOSE(CONTROL!$C$32, $C$9, 100%, $E$9)</f>
        <v>18.387799999999999</v>
      </c>
      <c r="I567" s="81">
        <f>18.3914 * CHOOSE(CONTROL!$C$32, $C$9, 100%, $E$9)</f>
        <v>18.391400000000001</v>
      </c>
      <c r="J567" s="81">
        <f>18.3878 * CHOOSE(CONTROL!$C$32, $C$9, 100%, $E$9)</f>
        <v>18.387799999999999</v>
      </c>
      <c r="K567" s="81">
        <f>18.3914 * CHOOSE(CONTROL!$C$32, $C$9, 100%, $E$9)</f>
        <v>18.391400000000001</v>
      </c>
      <c r="L567" s="81">
        <f>9.0253 * CHOOSE(CONTROL!$C$32, $C$9, 100%, $E$9)</f>
        <v>9.0252999999999997</v>
      </c>
      <c r="M567" s="81">
        <f>9.0289 * CHOOSE(CONTROL!$C$32, $C$9, 100%, $E$9)</f>
        <v>9.0289000000000001</v>
      </c>
      <c r="N567" s="81">
        <f>9.0253 * CHOOSE(CONTROL!$C$32, $C$9, 100%, $E$9)</f>
        <v>9.0252999999999997</v>
      </c>
      <c r="O567" s="81">
        <f>9.0289 * CHOOSE(CONTROL!$C$32, $C$9, 100%, $E$9)</f>
        <v>9.0289000000000001</v>
      </c>
    </row>
    <row r="568" spans="1:15" ht="15" x14ac:dyDescent="0.2">
      <c r="A568" s="16">
        <v>58501</v>
      </c>
      <c r="B568" s="80">
        <f>8.2514 * CHOOSE(CONTROL!$C$32, $C$9, 100%, $E$9)</f>
        <v>8.2514000000000003</v>
      </c>
      <c r="C568" s="80">
        <f>8.2514 * CHOOSE(CONTROL!$C$32, $C$9, 100%, $E$9)</f>
        <v>8.2514000000000003</v>
      </c>
      <c r="D568" s="80">
        <f>8.2525 * CHOOSE(CONTROL!$C$32, $C$9, 100%, $E$9)</f>
        <v>8.2524999999999995</v>
      </c>
      <c r="E568" s="81">
        <f>9.1951 * CHOOSE(CONTROL!$C$32, $C$9, 100%, $E$9)</f>
        <v>9.1951000000000001</v>
      </c>
      <c r="F568" s="81">
        <f>9.1951 * CHOOSE(CONTROL!$C$32, $C$9, 100%, $E$9)</f>
        <v>9.1951000000000001</v>
      </c>
      <c r="G568" s="81">
        <f>9.1987 * CHOOSE(CONTROL!$C$32, $C$9, 100%, $E$9)</f>
        <v>9.1987000000000005</v>
      </c>
      <c r="H568" s="81">
        <f>18.4261 * CHOOSE(CONTROL!$C$32, $C$9, 100%, $E$9)</f>
        <v>18.426100000000002</v>
      </c>
      <c r="I568" s="81">
        <f>18.4297 * CHOOSE(CONTROL!$C$32, $C$9, 100%, $E$9)</f>
        <v>18.4297</v>
      </c>
      <c r="J568" s="81">
        <f>18.4261 * CHOOSE(CONTROL!$C$32, $C$9, 100%, $E$9)</f>
        <v>18.426100000000002</v>
      </c>
      <c r="K568" s="81">
        <f>18.4297 * CHOOSE(CONTROL!$C$32, $C$9, 100%, $E$9)</f>
        <v>18.4297</v>
      </c>
      <c r="L568" s="81">
        <f>9.1951 * CHOOSE(CONTROL!$C$32, $C$9, 100%, $E$9)</f>
        <v>9.1951000000000001</v>
      </c>
      <c r="M568" s="81">
        <f>9.1987 * CHOOSE(CONTROL!$C$32, $C$9, 100%, $E$9)</f>
        <v>9.1987000000000005</v>
      </c>
      <c r="N568" s="81">
        <f>9.1951 * CHOOSE(CONTROL!$C$32, $C$9, 100%, $E$9)</f>
        <v>9.1951000000000001</v>
      </c>
      <c r="O568" s="81">
        <f>9.1987 * CHOOSE(CONTROL!$C$32, $C$9, 100%, $E$9)</f>
        <v>9.1987000000000005</v>
      </c>
    </row>
    <row r="569" spans="1:15" ht="15" x14ac:dyDescent="0.2">
      <c r="A569" s="16">
        <v>58532</v>
      </c>
      <c r="B569" s="80">
        <f>8.2532 * CHOOSE(CONTROL!$C$32, $C$9, 100%, $E$9)</f>
        <v>8.2531999999999996</v>
      </c>
      <c r="C569" s="80">
        <f>8.2532 * CHOOSE(CONTROL!$C$32, $C$9, 100%, $E$9)</f>
        <v>8.2531999999999996</v>
      </c>
      <c r="D569" s="80">
        <f>8.2542 * CHOOSE(CONTROL!$C$32, $C$9, 100%, $E$9)</f>
        <v>8.2542000000000009</v>
      </c>
      <c r="E569" s="81">
        <f>9.3755 * CHOOSE(CONTROL!$C$32, $C$9, 100%, $E$9)</f>
        <v>9.3755000000000006</v>
      </c>
      <c r="F569" s="81">
        <f>9.3755 * CHOOSE(CONTROL!$C$32, $C$9, 100%, $E$9)</f>
        <v>9.3755000000000006</v>
      </c>
      <c r="G569" s="81">
        <f>9.3791 * CHOOSE(CONTROL!$C$32, $C$9, 100%, $E$9)</f>
        <v>9.3790999999999993</v>
      </c>
      <c r="H569" s="81">
        <f>18.4645 * CHOOSE(CONTROL!$C$32, $C$9, 100%, $E$9)</f>
        <v>18.464500000000001</v>
      </c>
      <c r="I569" s="81">
        <f>18.4681 * CHOOSE(CONTROL!$C$32, $C$9, 100%, $E$9)</f>
        <v>18.4681</v>
      </c>
      <c r="J569" s="81">
        <f>18.4645 * CHOOSE(CONTROL!$C$32, $C$9, 100%, $E$9)</f>
        <v>18.464500000000001</v>
      </c>
      <c r="K569" s="81">
        <f>18.4681 * CHOOSE(CONTROL!$C$32, $C$9, 100%, $E$9)</f>
        <v>18.4681</v>
      </c>
      <c r="L569" s="81">
        <f>9.3755 * CHOOSE(CONTROL!$C$32, $C$9, 100%, $E$9)</f>
        <v>9.3755000000000006</v>
      </c>
      <c r="M569" s="81">
        <f>9.3791 * CHOOSE(CONTROL!$C$32, $C$9, 100%, $E$9)</f>
        <v>9.3790999999999993</v>
      </c>
      <c r="N569" s="81">
        <f>9.3755 * CHOOSE(CONTROL!$C$32, $C$9, 100%, $E$9)</f>
        <v>9.3755000000000006</v>
      </c>
      <c r="O569" s="81">
        <f>9.3791 * CHOOSE(CONTROL!$C$32, $C$9, 100%, $E$9)</f>
        <v>9.3790999999999993</v>
      </c>
    </row>
    <row r="570" spans="1:15" ht="15" x14ac:dyDescent="0.2">
      <c r="A570" s="16">
        <v>58562</v>
      </c>
      <c r="B570" s="80">
        <f>8.2532 * CHOOSE(CONTROL!$C$32, $C$9, 100%, $E$9)</f>
        <v>8.2531999999999996</v>
      </c>
      <c r="C570" s="80">
        <f>8.2532 * CHOOSE(CONTROL!$C$32, $C$9, 100%, $E$9)</f>
        <v>8.2531999999999996</v>
      </c>
      <c r="D570" s="80">
        <f>8.2548 * CHOOSE(CONTROL!$C$32, $C$9, 100%, $E$9)</f>
        <v>8.2547999999999995</v>
      </c>
      <c r="E570" s="81">
        <f>9.4447 * CHOOSE(CONTROL!$C$32, $C$9, 100%, $E$9)</f>
        <v>9.4446999999999992</v>
      </c>
      <c r="F570" s="81">
        <f>9.4447 * CHOOSE(CONTROL!$C$32, $C$9, 100%, $E$9)</f>
        <v>9.4446999999999992</v>
      </c>
      <c r="G570" s="81">
        <f>9.45 * CHOOSE(CONTROL!$C$32, $C$9, 100%, $E$9)</f>
        <v>9.4499999999999993</v>
      </c>
      <c r="H570" s="81">
        <f>18.5029 * CHOOSE(CONTROL!$C$32, $C$9, 100%, $E$9)</f>
        <v>18.5029</v>
      </c>
      <c r="I570" s="81">
        <f>18.5082 * CHOOSE(CONTROL!$C$32, $C$9, 100%, $E$9)</f>
        <v>18.508199999999999</v>
      </c>
      <c r="J570" s="81">
        <f>18.5029 * CHOOSE(CONTROL!$C$32, $C$9, 100%, $E$9)</f>
        <v>18.5029</v>
      </c>
      <c r="K570" s="81">
        <f>18.5082 * CHOOSE(CONTROL!$C$32, $C$9, 100%, $E$9)</f>
        <v>18.508199999999999</v>
      </c>
      <c r="L570" s="81">
        <f>9.4447 * CHOOSE(CONTROL!$C$32, $C$9, 100%, $E$9)</f>
        <v>9.4446999999999992</v>
      </c>
      <c r="M570" s="81">
        <f>9.45 * CHOOSE(CONTROL!$C$32, $C$9, 100%, $E$9)</f>
        <v>9.4499999999999993</v>
      </c>
      <c r="N570" s="81">
        <f>9.4447 * CHOOSE(CONTROL!$C$32, $C$9, 100%, $E$9)</f>
        <v>9.4446999999999992</v>
      </c>
      <c r="O570" s="81">
        <f>9.45 * CHOOSE(CONTROL!$C$32, $C$9, 100%, $E$9)</f>
        <v>9.4499999999999993</v>
      </c>
    </row>
    <row r="571" spans="1:15" ht="15" x14ac:dyDescent="0.2">
      <c r="A571" s="16">
        <v>58593</v>
      </c>
      <c r="B571" s="80">
        <f>8.2593 * CHOOSE(CONTROL!$C$32, $C$9, 100%, $E$9)</f>
        <v>8.2592999999999996</v>
      </c>
      <c r="C571" s="80">
        <f>8.2593 * CHOOSE(CONTROL!$C$32, $C$9, 100%, $E$9)</f>
        <v>8.2592999999999996</v>
      </c>
      <c r="D571" s="80">
        <f>8.2608 * CHOOSE(CONTROL!$C$32, $C$9, 100%, $E$9)</f>
        <v>8.2607999999999997</v>
      </c>
      <c r="E571" s="81">
        <f>9.3797 * CHOOSE(CONTROL!$C$32, $C$9, 100%, $E$9)</f>
        <v>9.3796999999999997</v>
      </c>
      <c r="F571" s="81">
        <f>9.3797 * CHOOSE(CONTROL!$C$32, $C$9, 100%, $E$9)</f>
        <v>9.3796999999999997</v>
      </c>
      <c r="G571" s="81">
        <f>9.385 * CHOOSE(CONTROL!$C$32, $C$9, 100%, $E$9)</f>
        <v>9.3849999999999998</v>
      </c>
      <c r="H571" s="81">
        <f>18.5415 * CHOOSE(CONTROL!$C$32, $C$9, 100%, $E$9)</f>
        <v>18.541499999999999</v>
      </c>
      <c r="I571" s="81">
        <f>18.5468 * CHOOSE(CONTROL!$C$32, $C$9, 100%, $E$9)</f>
        <v>18.546800000000001</v>
      </c>
      <c r="J571" s="81">
        <f>18.5415 * CHOOSE(CONTROL!$C$32, $C$9, 100%, $E$9)</f>
        <v>18.541499999999999</v>
      </c>
      <c r="K571" s="81">
        <f>18.5468 * CHOOSE(CONTROL!$C$32, $C$9, 100%, $E$9)</f>
        <v>18.546800000000001</v>
      </c>
      <c r="L571" s="81">
        <f>9.3797 * CHOOSE(CONTROL!$C$32, $C$9, 100%, $E$9)</f>
        <v>9.3796999999999997</v>
      </c>
      <c r="M571" s="81">
        <f>9.385 * CHOOSE(CONTROL!$C$32, $C$9, 100%, $E$9)</f>
        <v>9.3849999999999998</v>
      </c>
      <c r="N571" s="81">
        <f>9.3797 * CHOOSE(CONTROL!$C$32, $C$9, 100%, $E$9)</f>
        <v>9.3796999999999997</v>
      </c>
      <c r="O571" s="81">
        <f>9.385 * CHOOSE(CONTROL!$C$32, $C$9, 100%, $E$9)</f>
        <v>9.3849999999999998</v>
      </c>
    </row>
    <row r="572" spans="1:15" ht="15" x14ac:dyDescent="0.2">
      <c r="A572" s="16">
        <v>58623</v>
      </c>
      <c r="B572" s="80">
        <f>8.3645 * CHOOSE(CONTROL!$C$32, $C$9, 100%, $E$9)</f>
        <v>8.3644999999999996</v>
      </c>
      <c r="C572" s="80">
        <f>8.3645 * CHOOSE(CONTROL!$C$32, $C$9, 100%, $E$9)</f>
        <v>8.3644999999999996</v>
      </c>
      <c r="D572" s="80">
        <f>8.3661 * CHOOSE(CONTROL!$C$32, $C$9, 100%, $E$9)</f>
        <v>8.3660999999999994</v>
      </c>
      <c r="E572" s="81">
        <f>9.5099 * CHOOSE(CONTROL!$C$32, $C$9, 100%, $E$9)</f>
        <v>9.5099</v>
      </c>
      <c r="F572" s="81">
        <f>9.5099 * CHOOSE(CONTROL!$C$32, $C$9, 100%, $E$9)</f>
        <v>9.5099</v>
      </c>
      <c r="G572" s="81">
        <f>9.5151 * CHOOSE(CONTROL!$C$32, $C$9, 100%, $E$9)</f>
        <v>9.5151000000000003</v>
      </c>
      <c r="H572" s="81">
        <f>18.5801 * CHOOSE(CONTROL!$C$32, $C$9, 100%, $E$9)</f>
        <v>18.580100000000002</v>
      </c>
      <c r="I572" s="81">
        <f>18.5854 * CHOOSE(CONTROL!$C$32, $C$9, 100%, $E$9)</f>
        <v>18.5854</v>
      </c>
      <c r="J572" s="81">
        <f>18.5801 * CHOOSE(CONTROL!$C$32, $C$9, 100%, $E$9)</f>
        <v>18.580100000000002</v>
      </c>
      <c r="K572" s="81">
        <f>18.5854 * CHOOSE(CONTROL!$C$32, $C$9, 100%, $E$9)</f>
        <v>18.5854</v>
      </c>
      <c r="L572" s="81">
        <f>9.5099 * CHOOSE(CONTROL!$C$32, $C$9, 100%, $E$9)</f>
        <v>9.5099</v>
      </c>
      <c r="M572" s="81">
        <f>9.5151 * CHOOSE(CONTROL!$C$32, $C$9, 100%, $E$9)</f>
        <v>9.5151000000000003</v>
      </c>
      <c r="N572" s="81">
        <f>9.5099 * CHOOSE(CONTROL!$C$32, $C$9, 100%, $E$9)</f>
        <v>9.5099</v>
      </c>
      <c r="O572" s="81">
        <f>9.5151 * CHOOSE(CONTROL!$C$32, $C$9, 100%, $E$9)</f>
        <v>9.5151000000000003</v>
      </c>
    </row>
    <row r="573" spans="1:15" ht="15" x14ac:dyDescent="0.2">
      <c r="A573" s="16">
        <v>58654</v>
      </c>
      <c r="B573" s="80">
        <f>8.3712 * CHOOSE(CONTROL!$C$32, $C$9, 100%, $E$9)</f>
        <v>8.3712</v>
      </c>
      <c r="C573" s="80">
        <f>8.3712 * CHOOSE(CONTROL!$C$32, $C$9, 100%, $E$9)</f>
        <v>8.3712</v>
      </c>
      <c r="D573" s="80">
        <f>8.3728 * CHOOSE(CONTROL!$C$32, $C$9, 100%, $E$9)</f>
        <v>8.3727999999999998</v>
      </c>
      <c r="E573" s="81">
        <f>9.3068 * CHOOSE(CONTROL!$C$32, $C$9, 100%, $E$9)</f>
        <v>9.3068000000000008</v>
      </c>
      <c r="F573" s="81">
        <f>9.3068 * CHOOSE(CONTROL!$C$32, $C$9, 100%, $E$9)</f>
        <v>9.3068000000000008</v>
      </c>
      <c r="G573" s="81">
        <f>9.3121 * CHOOSE(CONTROL!$C$32, $C$9, 100%, $E$9)</f>
        <v>9.3120999999999992</v>
      </c>
      <c r="H573" s="81">
        <f>18.6188 * CHOOSE(CONTROL!$C$32, $C$9, 100%, $E$9)</f>
        <v>18.6188</v>
      </c>
      <c r="I573" s="81">
        <f>18.6241 * CHOOSE(CONTROL!$C$32, $C$9, 100%, $E$9)</f>
        <v>18.624099999999999</v>
      </c>
      <c r="J573" s="81">
        <f>18.6188 * CHOOSE(CONTROL!$C$32, $C$9, 100%, $E$9)</f>
        <v>18.6188</v>
      </c>
      <c r="K573" s="81">
        <f>18.6241 * CHOOSE(CONTROL!$C$32, $C$9, 100%, $E$9)</f>
        <v>18.624099999999999</v>
      </c>
      <c r="L573" s="81">
        <f>9.3068 * CHOOSE(CONTROL!$C$32, $C$9, 100%, $E$9)</f>
        <v>9.3068000000000008</v>
      </c>
      <c r="M573" s="81">
        <f>9.3121 * CHOOSE(CONTROL!$C$32, $C$9, 100%, $E$9)</f>
        <v>9.3120999999999992</v>
      </c>
      <c r="N573" s="81">
        <f>9.3068 * CHOOSE(CONTROL!$C$32, $C$9, 100%, $E$9)</f>
        <v>9.3068000000000008</v>
      </c>
      <c r="O573" s="81">
        <f>9.3121 * CHOOSE(CONTROL!$C$32, $C$9, 100%, $E$9)</f>
        <v>9.3120999999999992</v>
      </c>
    </row>
    <row r="574" spans="1:15" ht="15" x14ac:dyDescent="0.2">
      <c r="A574" s="16">
        <v>58685</v>
      </c>
      <c r="B574" s="80">
        <f>8.3682 * CHOOSE(CONTROL!$C$32, $C$9, 100%, $E$9)</f>
        <v>8.3681999999999999</v>
      </c>
      <c r="C574" s="80">
        <f>8.3682 * CHOOSE(CONTROL!$C$32, $C$9, 100%, $E$9)</f>
        <v>8.3681999999999999</v>
      </c>
      <c r="D574" s="80">
        <f>8.3698 * CHOOSE(CONTROL!$C$32, $C$9, 100%, $E$9)</f>
        <v>8.3697999999999997</v>
      </c>
      <c r="E574" s="81">
        <f>9.2816 * CHOOSE(CONTROL!$C$32, $C$9, 100%, $E$9)</f>
        <v>9.2815999999999992</v>
      </c>
      <c r="F574" s="81">
        <f>9.2816 * CHOOSE(CONTROL!$C$32, $C$9, 100%, $E$9)</f>
        <v>9.2815999999999992</v>
      </c>
      <c r="G574" s="81">
        <f>9.2869 * CHOOSE(CONTROL!$C$32, $C$9, 100%, $E$9)</f>
        <v>9.2868999999999993</v>
      </c>
      <c r="H574" s="81">
        <f>18.6576 * CHOOSE(CONTROL!$C$32, $C$9, 100%, $E$9)</f>
        <v>18.657599999999999</v>
      </c>
      <c r="I574" s="81">
        <f>18.6629 * CHOOSE(CONTROL!$C$32, $C$9, 100%, $E$9)</f>
        <v>18.6629</v>
      </c>
      <c r="J574" s="81">
        <f>18.6576 * CHOOSE(CONTROL!$C$32, $C$9, 100%, $E$9)</f>
        <v>18.657599999999999</v>
      </c>
      <c r="K574" s="81">
        <f>18.6629 * CHOOSE(CONTROL!$C$32, $C$9, 100%, $E$9)</f>
        <v>18.6629</v>
      </c>
      <c r="L574" s="81">
        <f>9.2816 * CHOOSE(CONTROL!$C$32, $C$9, 100%, $E$9)</f>
        <v>9.2815999999999992</v>
      </c>
      <c r="M574" s="81">
        <f>9.2869 * CHOOSE(CONTROL!$C$32, $C$9, 100%, $E$9)</f>
        <v>9.2868999999999993</v>
      </c>
      <c r="N574" s="81">
        <f>9.2816 * CHOOSE(CONTROL!$C$32, $C$9, 100%, $E$9)</f>
        <v>9.2815999999999992</v>
      </c>
      <c r="O574" s="81">
        <f>9.2869 * CHOOSE(CONTROL!$C$32, $C$9, 100%, $E$9)</f>
        <v>9.2868999999999993</v>
      </c>
    </row>
    <row r="575" spans="1:15" ht="15" x14ac:dyDescent="0.2">
      <c r="A575" s="16">
        <v>58715</v>
      </c>
      <c r="B575" s="80">
        <f>8.3795 * CHOOSE(CONTROL!$C$32, $C$9, 100%, $E$9)</f>
        <v>8.3795000000000002</v>
      </c>
      <c r="C575" s="80">
        <f>8.3795 * CHOOSE(CONTROL!$C$32, $C$9, 100%, $E$9)</f>
        <v>8.3795000000000002</v>
      </c>
      <c r="D575" s="80">
        <f>8.3806 * CHOOSE(CONTROL!$C$32, $C$9, 100%, $E$9)</f>
        <v>8.3805999999999994</v>
      </c>
      <c r="E575" s="81">
        <f>9.3605 * CHOOSE(CONTROL!$C$32, $C$9, 100%, $E$9)</f>
        <v>9.3605</v>
      </c>
      <c r="F575" s="81">
        <f>9.3605 * CHOOSE(CONTROL!$C$32, $C$9, 100%, $E$9)</f>
        <v>9.3605</v>
      </c>
      <c r="G575" s="81">
        <f>9.3641 * CHOOSE(CONTROL!$C$32, $C$9, 100%, $E$9)</f>
        <v>9.3641000000000005</v>
      </c>
      <c r="H575" s="81">
        <f>18.6965 * CHOOSE(CONTROL!$C$32, $C$9, 100%, $E$9)</f>
        <v>18.6965</v>
      </c>
      <c r="I575" s="81">
        <f>18.7001 * CHOOSE(CONTROL!$C$32, $C$9, 100%, $E$9)</f>
        <v>18.700099999999999</v>
      </c>
      <c r="J575" s="81">
        <f>18.6965 * CHOOSE(CONTROL!$C$32, $C$9, 100%, $E$9)</f>
        <v>18.6965</v>
      </c>
      <c r="K575" s="81">
        <f>18.7001 * CHOOSE(CONTROL!$C$32, $C$9, 100%, $E$9)</f>
        <v>18.700099999999999</v>
      </c>
      <c r="L575" s="81">
        <f>9.3605 * CHOOSE(CONTROL!$C$32, $C$9, 100%, $E$9)</f>
        <v>9.3605</v>
      </c>
      <c r="M575" s="81">
        <f>9.3641 * CHOOSE(CONTROL!$C$32, $C$9, 100%, $E$9)</f>
        <v>9.3641000000000005</v>
      </c>
      <c r="N575" s="81">
        <f>9.3605 * CHOOSE(CONTROL!$C$32, $C$9, 100%, $E$9)</f>
        <v>9.3605</v>
      </c>
      <c r="O575" s="81">
        <f>9.3641 * CHOOSE(CONTROL!$C$32, $C$9, 100%, $E$9)</f>
        <v>9.3641000000000005</v>
      </c>
    </row>
    <row r="576" spans="1:15" ht="15" x14ac:dyDescent="0.2">
      <c r="A576" s="16">
        <v>58746</v>
      </c>
      <c r="B576" s="80">
        <f>8.3826 * CHOOSE(CONTROL!$C$32, $C$9, 100%, $E$9)</f>
        <v>8.3826000000000001</v>
      </c>
      <c r="C576" s="80">
        <f>8.3826 * CHOOSE(CONTROL!$C$32, $C$9, 100%, $E$9)</f>
        <v>8.3826000000000001</v>
      </c>
      <c r="D576" s="80">
        <f>8.3836 * CHOOSE(CONTROL!$C$32, $C$9, 100%, $E$9)</f>
        <v>8.3835999999999995</v>
      </c>
      <c r="E576" s="81">
        <f>9.4088 * CHOOSE(CONTROL!$C$32, $C$9, 100%, $E$9)</f>
        <v>9.4087999999999994</v>
      </c>
      <c r="F576" s="81">
        <f>9.4088 * CHOOSE(CONTROL!$C$32, $C$9, 100%, $E$9)</f>
        <v>9.4087999999999994</v>
      </c>
      <c r="G576" s="81">
        <f>9.4124 * CHOOSE(CONTROL!$C$32, $C$9, 100%, $E$9)</f>
        <v>9.4123999999999999</v>
      </c>
      <c r="H576" s="81">
        <f>18.7354 * CHOOSE(CONTROL!$C$32, $C$9, 100%, $E$9)</f>
        <v>18.735399999999998</v>
      </c>
      <c r="I576" s="81">
        <f>18.739 * CHOOSE(CONTROL!$C$32, $C$9, 100%, $E$9)</f>
        <v>18.739000000000001</v>
      </c>
      <c r="J576" s="81">
        <f>18.7354 * CHOOSE(CONTROL!$C$32, $C$9, 100%, $E$9)</f>
        <v>18.735399999999998</v>
      </c>
      <c r="K576" s="81">
        <f>18.739 * CHOOSE(CONTROL!$C$32, $C$9, 100%, $E$9)</f>
        <v>18.739000000000001</v>
      </c>
      <c r="L576" s="81">
        <f>9.4088 * CHOOSE(CONTROL!$C$32, $C$9, 100%, $E$9)</f>
        <v>9.4087999999999994</v>
      </c>
      <c r="M576" s="81">
        <f>9.4124 * CHOOSE(CONTROL!$C$32, $C$9, 100%, $E$9)</f>
        <v>9.4123999999999999</v>
      </c>
      <c r="N576" s="81">
        <f>9.4088 * CHOOSE(CONTROL!$C$32, $C$9, 100%, $E$9)</f>
        <v>9.4087999999999994</v>
      </c>
      <c r="O576" s="81">
        <f>9.4124 * CHOOSE(CONTROL!$C$32, $C$9, 100%, $E$9)</f>
        <v>9.4123999999999999</v>
      </c>
    </row>
    <row r="577" spans="1:15" ht="15" x14ac:dyDescent="0.2">
      <c r="A577" s="16">
        <v>58776</v>
      </c>
      <c r="B577" s="80">
        <f>8.3826 * CHOOSE(CONTROL!$C$32, $C$9, 100%, $E$9)</f>
        <v>8.3826000000000001</v>
      </c>
      <c r="C577" s="80">
        <f>8.3826 * CHOOSE(CONTROL!$C$32, $C$9, 100%, $E$9)</f>
        <v>8.3826000000000001</v>
      </c>
      <c r="D577" s="80">
        <f>8.3836 * CHOOSE(CONTROL!$C$32, $C$9, 100%, $E$9)</f>
        <v>8.3835999999999995</v>
      </c>
      <c r="E577" s="81">
        <f>9.2934 * CHOOSE(CONTROL!$C$32, $C$9, 100%, $E$9)</f>
        <v>9.2934000000000001</v>
      </c>
      <c r="F577" s="81">
        <f>9.2934 * CHOOSE(CONTROL!$C$32, $C$9, 100%, $E$9)</f>
        <v>9.2934000000000001</v>
      </c>
      <c r="G577" s="81">
        <f>9.297 * CHOOSE(CONTROL!$C$32, $C$9, 100%, $E$9)</f>
        <v>9.2970000000000006</v>
      </c>
      <c r="H577" s="81">
        <f>18.7745 * CHOOSE(CONTROL!$C$32, $C$9, 100%, $E$9)</f>
        <v>18.7745</v>
      </c>
      <c r="I577" s="81">
        <f>18.7781 * CHOOSE(CONTROL!$C$32, $C$9, 100%, $E$9)</f>
        <v>18.778099999999998</v>
      </c>
      <c r="J577" s="81">
        <f>18.7745 * CHOOSE(CONTROL!$C$32, $C$9, 100%, $E$9)</f>
        <v>18.7745</v>
      </c>
      <c r="K577" s="81">
        <f>18.7781 * CHOOSE(CONTROL!$C$32, $C$9, 100%, $E$9)</f>
        <v>18.778099999999998</v>
      </c>
      <c r="L577" s="81">
        <f>9.2934 * CHOOSE(CONTROL!$C$32, $C$9, 100%, $E$9)</f>
        <v>9.2934000000000001</v>
      </c>
      <c r="M577" s="81">
        <f>9.297 * CHOOSE(CONTROL!$C$32, $C$9, 100%, $E$9)</f>
        <v>9.2970000000000006</v>
      </c>
      <c r="N577" s="81">
        <f>9.2934 * CHOOSE(CONTROL!$C$32, $C$9, 100%, $E$9)</f>
        <v>9.2934000000000001</v>
      </c>
      <c r="O577" s="81">
        <f>9.297 * CHOOSE(CONTROL!$C$32, $C$9, 100%, $E$9)</f>
        <v>9.2970000000000006</v>
      </c>
    </row>
    <row r="578" spans="1:15" ht="15" x14ac:dyDescent="0.2">
      <c r="A578" s="16">
        <v>58807</v>
      </c>
      <c r="B578" s="80">
        <f>8.4448 * CHOOSE(CONTROL!$C$32, $C$9, 100%, $E$9)</f>
        <v>8.4448000000000008</v>
      </c>
      <c r="C578" s="80">
        <f>8.4448 * CHOOSE(CONTROL!$C$32, $C$9, 100%, $E$9)</f>
        <v>8.4448000000000008</v>
      </c>
      <c r="D578" s="80">
        <f>8.4459 * CHOOSE(CONTROL!$C$32, $C$9, 100%, $E$9)</f>
        <v>8.4459</v>
      </c>
      <c r="E578" s="81">
        <f>9.458 * CHOOSE(CONTROL!$C$32, $C$9, 100%, $E$9)</f>
        <v>9.4580000000000002</v>
      </c>
      <c r="F578" s="81">
        <f>9.458 * CHOOSE(CONTROL!$C$32, $C$9, 100%, $E$9)</f>
        <v>9.4580000000000002</v>
      </c>
      <c r="G578" s="81">
        <f>9.4616 * CHOOSE(CONTROL!$C$32, $C$9, 100%, $E$9)</f>
        <v>9.4616000000000007</v>
      </c>
      <c r="H578" s="81">
        <f>18.8136 * CHOOSE(CONTROL!$C$32, $C$9, 100%, $E$9)</f>
        <v>18.813600000000001</v>
      </c>
      <c r="I578" s="81">
        <f>18.8172 * CHOOSE(CONTROL!$C$32, $C$9, 100%, $E$9)</f>
        <v>18.8172</v>
      </c>
      <c r="J578" s="81">
        <f>18.8136 * CHOOSE(CONTROL!$C$32, $C$9, 100%, $E$9)</f>
        <v>18.813600000000001</v>
      </c>
      <c r="K578" s="81">
        <f>18.8172 * CHOOSE(CONTROL!$C$32, $C$9, 100%, $E$9)</f>
        <v>18.8172</v>
      </c>
      <c r="L578" s="81">
        <f>9.458 * CHOOSE(CONTROL!$C$32, $C$9, 100%, $E$9)</f>
        <v>9.4580000000000002</v>
      </c>
      <c r="M578" s="81">
        <f>9.4616 * CHOOSE(CONTROL!$C$32, $C$9, 100%, $E$9)</f>
        <v>9.4616000000000007</v>
      </c>
      <c r="N578" s="81">
        <f>9.458 * CHOOSE(CONTROL!$C$32, $C$9, 100%, $E$9)</f>
        <v>9.4580000000000002</v>
      </c>
      <c r="O578" s="81">
        <f>9.4616 * CHOOSE(CONTROL!$C$32, $C$9, 100%, $E$9)</f>
        <v>9.4616000000000007</v>
      </c>
    </row>
    <row r="579" spans="1:15" ht="15" x14ac:dyDescent="0.2">
      <c r="A579" s="16">
        <v>58838</v>
      </c>
      <c r="B579" s="80">
        <f>8.4418 * CHOOSE(CONTROL!$C$32, $C$9, 100%, $E$9)</f>
        <v>8.4418000000000006</v>
      </c>
      <c r="C579" s="80">
        <f>8.4418 * CHOOSE(CONTROL!$C$32, $C$9, 100%, $E$9)</f>
        <v>8.4418000000000006</v>
      </c>
      <c r="D579" s="80">
        <f>8.4429 * CHOOSE(CONTROL!$C$32, $C$9, 100%, $E$9)</f>
        <v>8.4428999999999998</v>
      </c>
      <c r="E579" s="81">
        <f>9.2307 * CHOOSE(CONTROL!$C$32, $C$9, 100%, $E$9)</f>
        <v>9.2307000000000006</v>
      </c>
      <c r="F579" s="81">
        <f>9.2307 * CHOOSE(CONTROL!$C$32, $C$9, 100%, $E$9)</f>
        <v>9.2307000000000006</v>
      </c>
      <c r="G579" s="81">
        <f>9.2343 * CHOOSE(CONTROL!$C$32, $C$9, 100%, $E$9)</f>
        <v>9.2342999999999993</v>
      </c>
      <c r="H579" s="81">
        <f>18.8528 * CHOOSE(CONTROL!$C$32, $C$9, 100%, $E$9)</f>
        <v>18.852799999999998</v>
      </c>
      <c r="I579" s="81">
        <f>18.8564 * CHOOSE(CONTROL!$C$32, $C$9, 100%, $E$9)</f>
        <v>18.856400000000001</v>
      </c>
      <c r="J579" s="81">
        <f>18.8528 * CHOOSE(CONTROL!$C$32, $C$9, 100%, $E$9)</f>
        <v>18.852799999999998</v>
      </c>
      <c r="K579" s="81">
        <f>18.8564 * CHOOSE(CONTROL!$C$32, $C$9, 100%, $E$9)</f>
        <v>18.856400000000001</v>
      </c>
      <c r="L579" s="81">
        <f>9.2307 * CHOOSE(CONTROL!$C$32, $C$9, 100%, $E$9)</f>
        <v>9.2307000000000006</v>
      </c>
      <c r="M579" s="81">
        <f>9.2343 * CHOOSE(CONTROL!$C$32, $C$9, 100%, $E$9)</f>
        <v>9.2342999999999993</v>
      </c>
      <c r="N579" s="81">
        <f>9.2307 * CHOOSE(CONTROL!$C$32, $C$9, 100%, $E$9)</f>
        <v>9.2307000000000006</v>
      </c>
      <c r="O579" s="81">
        <f>9.2343 * CHOOSE(CONTROL!$C$32, $C$9, 100%, $E$9)</f>
        <v>9.2342999999999993</v>
      </c>
    </row>
    <row r="580" spans="1:15" ht="15" x14ac:dyDescent="0.2">
      <c r="A580" s="16">
        <v>58866</v>
      </c>
      <c r="B580" s="80">
        <f>8.4388 * CHOOSE(CONTROL!$C$32, $C$9, 100%, $E$9)</f>
        <v>8.4388000000000005</v>
      </c>
      <c r="C580" s="80">
        <f>8.4388 * CHOOSE(CONTROL!$C$32, $C$9, 100%, $E$9)</f>
        <v>8.4388000000000005</v>
      </c>
      <c r="D580" s="80">
        <f>8.4398 * CHOOSE(CONTROL!$C$32, $C$9, 100%, $E$9)</f>
        <v>8.4398</v>
      </c>
      <c r="E580" s="81">
        <f>9.4061 * CHOOSE(CONTROL!$C$32, $C$9, 100%, $E$9)</f>
        <v>9.4061000000000003</v>
      </c>
      <c r="F580" s="81">
        <f>9.4061 * CHOOSE(CONTROL!$C$32, $C$9, 100%, $E$9)</f>
        <v>9.4061000000000003</v>
      </c>
      <c r="G580" s="81">
        <f>9.4097 * CHOOSE(CONTROL!$C$32, $C$9, 100%, $E$9)</f>
        <v>9.4097000000000008</v>
      </c>
      <c r="H580" s="81">
        <f>18.892 * CHOOSE(CONTROL!$C$32, $C$9, 100%, $E$9)</f>
        <v>18.891999999999999</v>
      </c>
      <c r="I580" s="81">
        <f>18.8957 * CHOOSE(CONTROL!$C$32, $C$9, 100%, $E$9)</f>
        <v>18.895700000000001</v>
      </c>
      <c r="J580" s="81">
        <f>18.892 * CHOOSE(CONTROL!$C$32, $C$9, 100%, $E$9)</f>
        <v>18.891999999999999</v>
      </c>
      <c r="K580" s="81">
        <f>18.8957 * CHOOSE(CONTROL!$C$32, $C$9, 100%, $E$9)</f>
        <v>18.895700000000001</v>
      </c>
      <c r="L580" s="81">
        <f>9.4061 * CHOOSE(CONTROL!$C$32, $C$9, 100%, $E$9)</f>
        <v>9.4061000000000003</v>
      </c>
      <c r="M580" s="81">
        <f>9.4097 * CHOOSE(CONTROL!$C$32, $C$9, 100%, $E$9)</f>
        <v>9.4097000000000008</v>
      </c>
      <c r="N580" s="81">
        <f>9.4061 * CHOOSE(CONTROL!$C$32, $C$9, 100%, $E$9)</f>
        <v>9.4061000000000003</v>
      </c>
      <c r="O580" s="81">
        <f>9.4097 * CHOOSE(CONTROL!$C$32, $C$9, 100%, $E$9)</f>
        <v>9.4097000000000008</v>
      </c>
    </row>
    <row r="581" spans="1:15" ht="15" x14ac:dyDescent="0.2">
      <c r="A581" s="16">
        <v>58897</v>
      </c>
      <c r="B581" s="80">
        <f>8.4407 * CHOOSE(CONTROL!$C$32, $C$9, 100%, $E$9)</f>
        <v>8.4406999999999996</v>
      </c>
      <c r="C581" s="80">
        <f>8.4407 * CHOOSE(CONTROL!$C$32, $C$9, 100%, $E$9)</f>
        <v>8.4406999999999996</v>
      </c>
      <c r="D581" s="80">
        <f>8.4418 * CHOOSE(CONTROL!$C$32, $C$9, 100%, $E$9)</f>
        <v>8.4418000000000006</v>
      </c>
      <c r="E581" s="81">
        <f>9.5925 * CHOOSE(CONTROL!$C$32, $C$9, 100%, $E$9)</f>
        <v>9.5924999999999994</v>
      </c>
      <c r="F581" s="81">
        <f>9.5925 * CHOOSE(CONTROL!$C$32, $C$9, 100%, $E$9)</f>
        <v>9.5924999999999994</v>
      </c>
      <c r="G581" s="81">
        <f>9.5961 * CHOOSE(CONTROL!$C$32, $C$9, 100%, $E$9)</f>
        <v>9.5960999999999999</v>
      </c>
      <c r="H581" s="81">
        <f>18.9314 * CHOOSE(CONTROL!$C$32, $C$9, 100%, $E$9)</f>
        <v>18.9314</v>
      </c>
      <c r="I581" s="81">
        <f>18.935 * CHOOSE(CONTROL!$C$32, $C$9, 100%, $E$9)</f>
        <v>18.934999999999999</v>
      </c>
      <c r="J581" s="81">
        <f>18.9314 * CHOOSE(CONTROL!$C$32, $C$9, 100%, $E$9)</f>
        <v>18.9314</v>
      </c>
      <c r="K581" s="81">
        <f>18.935 * CHOOSE(CONTROL!$C$32, $C$9, 100%, $E$9)</f>
        <v>18.934999999999999</v>
      </c>
      <c r="L581" s="81">
        <f>9.5925 * CHOOSE(CONTROL!$C$32, $C$9, 100%, $E$9)</f>
        <v>9.5924999999999994</v>
      </c>
      <c r="M581" s="81">
        <f>9.5961 * CHOOSE(CONTROL!$C$32, $C$9, 100%, $E$9)</f>
        <v>9.5960999999999999</v>
      </c>
      <c r="N581" s="81">
        <f>9.5925 * CHOOSE(CONTROL!$C$32, $C$9, 100%, $E$9)</f>
        <v>9.5924999999999994</v>
      </c>
      <c r="O581" s="81">
        <f>9.5961 * CHOOSE(CONTROL!$C$32, $C$9, 100%, $E$9)</f>
        <v>9.5960999999999999</v>
      </c>
    </row>
    <row r="582" spans="1:15" ht="15" x14ac:dyDescent="0.2">
      <c r="A582" s="16">
        <v>58927</v>
      </c>
      <c r="B582" s="80">
        <f>8.4407 * CHOOSE(CONTROL!$C$32, $C$9, 100%, $E$9)</f>
        <v>8.4406999999999996</v>
      </c>
      <c r="C582" s="80">
        <f>8.4407 * CHOOSE(CONTROL!$C$32, $C$9, 100%, $E$9)</f>
        <v>8.4406999999999996</v>
      </c>
      <c r="D582" s="80">
        <f>8.4423 * CHOOSE(CONTROL!$C$32, $C$9, 100%, $E$9)</f>
        <v>8.4422999999999995</v>
      </c>
      <c r="E582" s="81">
        <f>9.6639 * CHOOSE(CONTROL!$C$32, $C$9, 100%, $E$9)</f>
        <v>9.6638999999999999</v>
      </c>
      <c r="F582" s="81">
        <f>9.6639 * CHOOSE(CONTROL!$C$32, $C$9, 100%, $E$9)</f>
        <v>9.6638999999999999</v>
      </c>
      <c r="G582" s="81">
        <f>9.6692 * CHOOSE(CONTROL!$C$32, $C$9, 100%, $E$9)</f>
        <v>9.6692</v>
      </c>
      <c r="H582" s="81">
        <f>18.9708 * CHOOSE(CONTROL!$C$32, $C$9, 100%, $E$9)</f>
        <v>18.970800000000001</v>
      </c>
      <c r="I582" s="81">
        <f>18.9761 * CHOOSE(CONTROL!$C$32, $C$9, 100%, $E$9)</f>
        <v>18.976099999999999</v>
      </c>
      <c r="J582" s="81">
        <f>18.9708 * CHOOSE(CONTROL!$C$32, $C$9, 100%, $E$9)</f>
        <v>18.970800000000001</v>
      </c>
      <c r="K582" s="81">
        <f>18.9761 * CHOOSE(CONTROL!$C$32, $C$9, 100%, $E$9)</f>
        <v>18.976099999999999</v>
      </c>
      <c r="L582" s="81">
        <f>9.6639 * CHOOSE(CONTROL!$C$32, $C$9, 100%, $E$9)</f>
        <v>9.6638999999999999</v>
      </c>
      <c r="M582" s="81">
        <f>9.6692 * CHOOSE(CONTROL!$C$32, $C$9, 100%, $E$9)</f>
        <v>9.6692</v>
      </c>
      <c r="N582" s="81">
        <f>9.6639 * CHOOSE(CONTROL!$C$32, $C$9, 100%, $E$9)</f>
        <v>9.6638999999999999</v>
      </c>
      <c r="O582" s="81">
        <f>9.6692 * CHOOSE(CONTROL!$C$32, $C$9, 100%, $E$9)</f>
        <v>9.6692</v>
      </c>
    </row>
    <row r="583" spans="1:15" ht="15" x14ac:dyDescent="0.2">
      <c r="A583" s="16">
        <v>58958</v>
      </c>
      <c r="B583" s="80">
        <f>8.4468 * CHOOSE(CONTROL!$C$32, $C$9, 100%, $E$9)</f>
        <v>8.4467999999999996</v>
      </c>
      <c r="C583" s="80">
        <f>8.4468 * CHOOSE(CONTROL!$C$32, $C$9, 100%, $E$9)</f>
        <v>8.4467999999999996</v>
      </c>
      <c r="D583" s="80">
        <f>8.4484 * CHOOSE(CONTROL!$C$32, $C$9, 100%, $E$9)</f>
        <v>8.4483999999999995</v>
      </c>
      <c r="E583" s="81">
        <f>9.5967 * CHOOSE(CONTROL!$C$32, $C$9, 100%, $E$9)</f>
        <v>9.5967000000000002</v>
      </c>
      <c r="F583" s="81">
        <f>9.5967 * CHOOSE(CONTROL!$C$32, $C$9, 100%, $E$9)</f>
        <v>9.5967000000000002</v>
      </c>
      <c r="G583" s="81">
        <f>9.602 * CHOOSE(CONTROL!$C$32, $C$9, 100%, $E$9)</f>
        <v>9.6020000000000003</v>
      </c>
      <c r="H583" s="81">
        <f>19.0104 * CHOOSE(CONTROL!$C$32, $C$9, 100%, $E$9)</f>
        <v>19.010400000000001</v>
      </c>
      <c r="I583" s="81">
        <f>19.0157 * CHOOSE(CONTROL!$C$32, $C$9, 100%, $E$9)</f>
        <v>19.015699999999999</v>
      </c>
      <c r="J583" s="81">
        <f>19.0104 * CHOOSE(CONTROL!$C$32, $C$9, 100%, $E$9)</f>
        <v>19.010400000000001</v>
      </c>
      <c r="K583" s="81">
        <f>19.0157 * CHOOSE(CONTROL!$C$32, $C$9, 100%, $E$9)</f>
        <v>19.015699999999999</v>
      </c>
      <c r="L583" s="81">
        <f>9.5967 * CHOOSE(CONTROL!$C$32, $C$9, 100%, $E$9)</f>
        <v>9.5967000000000002</v>
      </c>
      <c r="M583" s="81">
        <f>9.602 * CHOOSE(CONTROL!$C$32, $C$9, 100%, $E$9)</f>
        <v>9.6020000000000003</v>
      </c>
      <c r="N583" s="81">
        <f>9.5967 * CHOOSE(CONTROL!$C$32, $C$9, 100%, $E$9)</f>
        <v>9.5967000000000002</v>
      </c>
      <c r="O583" s="81">
        <f>9.602 * CHOOSE(CONTROL!$C$32, $C$9, 100%, $E$9)</f>
        <v>9.6020000000000003</v>
      </c>
    </row>
    <row r="584" spans="1:15" ht="15" x14ac:dyDescent="0.2">
      <c r="A584" s="16">
        <v>58988</v>
      </c>
      <c r="B584" s="80">
        <f>8.5541 * CHOOSE(CONTROL!$C$32, $C$9, 100%, $E$9)</f>
        <v>8.5541</v>
      </c>
      <c r="C584" s="80">
        <f>8.5541 * CHOOSE(CONTROL!$C$32, $C$9, 100%, $E$9)</f>
        <v>8.5541</v>
      </c>
      <c r="D584" s="80">
        <f>8.5557 * CHOOSE(CONTROL!$C$32, $C$9, 100%, $E$9)</f>
        <v>8.5556999999999999</v>
      </c>
      <c r="E584" s="81">
        <f>9.73 * CHOOSE(CONTROL!$C$32, $C$9, 100%, $E$9)</f>
        <v>9.73</v>
      </c>
      <c r="F584" s="81">
        <f>9.73 * CHOOSE(CONTROL!$C$32, $C$9, 100%, $E$9)</f>
        <v>9.73</v>
      </c>
      <c r="G584" s="81">
        <f>9.7353 * CHOOSE(CONTROL!$C$32, $C$9, 100%, $E$9)</f>
        <v>9.7353000000000005</v>
      </c>
      <c r="H584" s="81">
        <f>19.05 * CHOOSE(CONTROL!$C$32, $C$9, 100%, $E$9)</f>
        <v>19.05</v>
      </c>
      <c r="I584" s="81">
        <f>19.0553 * CHOOSE(CONTROL!$C$32, $C$9, 100%, $E$9)</f>
        <v>19.055299999999999</v>
      </c>
      <c r="J584" s="81">
        <f>19.05 * CHOOSE(CONTROL!$C$32, $C$9, 100%, $E$9)</f>
        <v>19.05</v>
      </c>
      <c r="K584" s="81">
        <f>19.0553 * CHOOSE(CONTROL!$C$32, $C$9, 100%, $E$9)</f>
        <v>19.055299999999999</v>
      </c>
      <c r="L584" s="81">
        <f>9.73 * CHOOSE(CONTROL!$C$32, $C$9, 100%, $E$9)</f>
        <v>9.73</v>
      </c>
      <c r="M584" s="81">
        <f>9.7353 * CHOOSE(CONTROL!$C$32, $C$9, 100%, $E$9)</f>
        <v>9.7353000000000005</v>
      </c>
      <c r="N584" s="81">
        <f>9.73 * CHOOSE(CONTROL!$C$32, $C$9, 100%, $E$9)</f>
        <v>9.73</v>
      </c>
      <c r="O584" s="81">
        <f>9.7353 * CHOOSE(CONTROL!$C$32, $C$9, 100%, $E$9)</f>
        <v>9.7353000000000005</v>
      </c>
    </row>
    <row r="585" spans="1:15" ht="15" x14ac:dyDescent="0.2">
      <c r="A585" s="16">
        <v>59019</v>
      </c>
      <c r="B585" s="80">
        <f>8.5608 * CHOOSE(CONTROL!$C$32, $C$9, 100%, $E$9)</f>
        <v>8.5608000000000004</v>
      </c>
      <c r="C585" s="80">
        <f>8.5608 * CHOOSE(CONTROL!$C$32, $C$9, 100%, $E$9)</f>
        <v>8.5608000000000004</v>
      </c>
      <c r="D585" s="80">
        <f>8.5624 * CHOOSE(CONTROL!$C$32, $C$9, 100%, $E$9)</f>
        <v>8.5624000000000002</v>
      </c>
      <c r="E585" s="81">
        <f>9.5203 * CHOOSE(CONTROL!$C$32, $C$9, 100%, $E$9)</f>
        <v>9.5203000000000007</v>
      </c>
      <c r="F585" s="81">
        <f>9.5203 * CHOOSE(CONTROL!$C$32, $C$9, 100%, $E$9)</f>
        <v>9.5203000000000007</v>
      </c>
      <c r="G585" s="81">
        <f>9.5256 * CHOOSE(CONTROL!$C$32, $C$9, 100%, $E$9)</f>
        <v>9.5256000000000007</v>
      </c>
      <c r="H585" s="81">
        <f>19.0897 * CHOOSE(CONTROL!$C$32, $C$9, 100%, $E$9)</f>
        <v>19.089700000000001</v>
      </c>
      <c r="I585" s="81">
        <f>19.095 * CHOOSE(CONTROL!$C$32, $C$9, 100%, $E$9)</f>
        <v>19.094999999999999</v>
      </c>
      <c r="J585" s="81">
        <f>19.0897 * CHOOSE(CONTROL!$C$32, $C$9, 100%, $E$9)</f>
        <v>19.089700000000001</v>
      </c>
      <c r="K585" s="81">
        <f>19.095 * CHOOSE(CONTROL!$C$32, $C$9, 100%, $E$9)</f>
        <v>19.094999999999999</v>
      </c>
      <c r="L585" s="81">
        <f>9.5203 * CHOOSE(CONTROL!$C$32, $C$9, 100%, $E$9)</f>
        <v>9.5203000000000007</v>
      </c>
      <c r="M585" s="81">
        <f>9.5256 * CHOOSE(CONTROL!$C$32, $C$9, 100%, $E$9)</f>
        <v>9.5256000000000007</v>
      </c>
      <c r="N585" s="81">
        <f>9.5203 * CHOOSE(CONTROL!$C$32, $C$9, 100%, $E$9)</f>
        <v>9.5203000000000007</v>
      </c>
      <c r="O585" s="81">
        <f>9.5256 * CHOOSE(CONTROL!$C$32, $C$9, 100%, $E$9)</f>
        <v>9.5256000000000007</v>
      </c>
    </row>
    <row r="586" spans="1:15" ht="15" x14ac:dyDescent="0.2">
      <c r="A586" s="16">
        <v>59050</v>
      </c>
      <c r="B586" s="80">
        <f>8.5578 * CHOOSE(CONTROL!$C$32, $C$9, 100%, $E$9)</f>
        <v>8.5578000000000003</v>
      </c>
      <c r="C586" s="80">
        <f>8.5578 * CHOOSE(CONTROL!$C$32, $C$9, 100%, $E$9)</f>
        <v>8.5578000000000003</v>
      </c>
      <c r="D586" s="80">
        <f>8.5594 * CHOOSE(CONTROL!$C$32, $C$9, 100%, $E$9)</f>
        <v>8.5594000000000001</v>
      </c>
      <c r="E586" s="81">
        <f>9.4943 * CHOOSE(CONTROL!$C$32, $C$9, 100%, $E$9)</f>
        <v>9.4943000000000008</v>
      </c>
      <c r="F586" s="81">
        <f>9.4943 * CHOOSE(CONTROL!$C$32, $C$9, 100%, $E$9)</f>
        <v>9.4943000000000008</v>
      </c>
      <c r="G586" s="81">
        <f>9.4996 * CHOOSE(CONTROL!$C$32, $C$9, 100%, $E$9)</f>
        <v>9.4995999999999992</v>
      </c>
      <c r="H586" s="81">
        <f>19.1294 * CHOOSE(CONTROL!$C$32, $C$9, 100%, $E$9)</f>
        <v>19.1294</v>
      </c>
      <c r="I586" s="81">
        <f>19.1347 * CHOOSE(CONTROL!$C$32, $C$9, 100%, $E$9)</f>
        <v>19.134699999999999</v>
      </c>
      <c r="J586" s="81">
        <f>19.1294 * CHOOSE(CONTROL!$C$32, $C$9, 100%, $E$9)</f>
        <v>19.1294</v>
      </c>
      <c r="K586" s="81">
        <f>19.1347 * CHOOSE(CONTROL!$C$32, $C$9, 100%, $E$9)</f>
        <v>19.134699999999999</v>
      </c>
      <c r="L586" s="81">
        <f>9.4943 * CHOOSE(CONTROL!$C$32, $C$9, 100%, $E$9)</f>
        <v>9.4943000000000008</v>
      </c>
      <c r="M586" s="81">
        <f>9.4996 * CHOOSE(CONTROL!$C$32, $C$9, 100%, $E$9)</f>
        <v>9.4995999999999992</v>
      </c>
      <c r="N586" s="81">
        <f>9.4943 * CHOOSE(CONTROL!$C$32, $C$9, 100%, $E$9)</f>
        <v>9.4943000000000008</v>
      </c>
      <c r="O586" s="81">
        <f>9.4996 * CHOOSE(CONTROL!$C$32, $C$9, 100%, $E$9)</f>
        <v>9.4995999999999992</v>
      </c>
    </row>
    <row r="587" spans="1:15" ht="15" x14ac:dyDescent="0.2">
      <c r="A587" s="16">
        <v>59080</v>
      </c>
      <c r="B587" s="80">
        <f>8.5698 * CHOOSE(CONTROL!$C$32, $C$9, 100%, $E$9)</f>
        <v>8.5698000000000008</v>
      </c>
      <c r="C587" s="80">
        <f>8.5698 * CHOOSE(CONTROL!$C$32, $C$9, 100%, $E$9)</f>
        <v>8.5698000000000008</v>
      </c>
      <c r="D587" s="80">
        <f>8.5709 * CHOOSE(CONTROL!$C$32, $C$9, 100%, $E$9)</f>
        <v>8.5709</v>
      </c>
      <c r="E587" s="81">
        <f>9.5762 * CHOOSE(CONTROL!$C$32, $C$9, 100%, $E$9)</f>
        <v>9.5762</v>
      </c>
      <c r="F587" s="81">
        <f>9.5762 * CHOOSE(CONTROL!$C$32, $C$9, 100%, $E$9)</f>
        <v>9.5762</v>
      </c>
      <c r="G587" s="81">
        <f>9.5798 * CHOOSE(CONTROL!$C$32, $C$9, 100%, $E$9)</f>
        <v>9.5798000000000005</v>
      </c>
      <c r="H587" s="81">
        <f>19.1693 * CHOOSE(CONTROL!$C$32, $C$9, 100%, $E$9)</f>
        <v>19.1693</v>
      </c>
      <c r="I587" s="81">
        <f>19.1729 * CHOOSE(CONTROL!$C$32, $C$9, 100%, $E$9)</f>
        <v>19.172899999999998</v>
      </c>
      <c r="J587" s="81">
        <f>19.1693 * CHOOSE(CONTROL!$C$32, $C$9, 100%, $E$9)</f>
        <v>19.1693</v>
      </c>
      <c r="K587" s="81">
        <f>19.1729 * CHOOSE(CONTROL!$C$32, $C$9, 100%, $E$9)</f>
        <v>19.172899999999998</v>
      </c>
      <c r="L587" s="81">
        <f>9.5762 * CHOOSE(CONTROL!$C$32, $C$9, 100%, $E$9)</f>
        <v>9.5762</v>
      </c>
      <c r="M587" s="81">
        <f>9.5798 * CHOOSE(CONTROL!$C$32, $C$9, 100%, $E$9)</f>
        <v>9.5798000000000005</v>
      </c>
      <c r="N587" s="81">
        <f>9.5762 * CHOOSE(CONTROL!$C$32, $C$9, 100%, $E$9)</f>
        <v>9.5762</v>
      </c>
      <c r="O587" s="81">
        <f>9.5798 * CHOOSE(CONTROL!$C$32, $C$9, 100%, $E$9)</f>
        <v>9.5798000000000005</v>
      </c>
    </row>
    <row r="588" spans="1:15" ht="15" x14ac:dyDescent="0.2">
      <c r="A588" s="16">
        <v>59111</v>
      </c>
      <c r="B588" s="80">
        <f>8.5729 * CHOOSE(CONTROL!$C$32, $C$9, 100%, $E$9)</f>
        <v>8.5729000000000006</v>
      </c>
      <c r="C588" s="80">
        <f>8.5729 * CHOOSE(CONTROL!$C$32, $C$9, 100%, $E$9)</f>
        <v>8.5729000000000006</v>
      </c>
      <c r="D588" s="80">
        <f>8.5739 * CHOOSE(CONTROL!$C$32, $C$9, 100%, $E$9)</f>
        <v>8.5739000000000001</v>
      </c>
      <c r="E588" s="81">
        <f>9.626 * CHOOSE(CONTROL!$C$32, $C$9, 100%, $E$9)</f>
        <v>9.6259999999999994</v>
      </c>
      <c r="F588" s="81">
        <f>9.626 * CHOOSE(CONTROL!$C$32, $C$9, 100%, $E$9)</f>
        <v>9.6259999999999994</v>
      </c>
      <c r="G588" s="81">
        <f>9.6296 * CHOOSE(CONTROL!$C$32, $C$9, 100%, $E$9)</f>
        <v>9.6295999999999999</v>
      </c>
      <c r="H588" s="81">
        <f>19.2092 * CHOOSE(CONTROL!$C$32, $C$9, 100%, $E$9)</f>
        <v>19.209199999999999</v>
      </c>
      <c r="I588" s="81">
        <f>19.2128 * CHOOSE(CONTROL!$C$32, $C$9, 100%, $E$9)</f>
        <v>19.212800000000001</v>
      </c>
      <c r="J588" s="81">
        <f>19.2092 * CHOOSE(CONTROL!$C$32, $C$9, 100%, $E$9)</f>
        <v>19.209199999999999</v>
      </c>
      <c r="K588" s="81">
        <f>19.2128 * CHOOSE(CONTROL!$C$32, $C$9, 100%, $E$9)</f>
        <v>19.212800000000001</v>
      </c>
      <c r="L588" s="81">
        <f>9.626 * CHOOSE(CONTROL!$C$32, $C$9, 100%, $E$9)</f>
        <v>9.6259999999999994</v>
      </c>
      <c r="M588" s="81">
        <f>9.6296 * CHOOSE(CONTROL!$C$32, $C$9, 100%, $E$9)</f>
        <v>9.6295999999999999</v>
      </c>
      <c r="N588" s="81">
        <f>9.626 * CHOOSE(CONTROL!$C$32, $C$9, 100%, $E$9)</f>
        <v>9.6259999999999994</v>
      </c>
      <c r="O588" s="81">
        <f>9.6296 * CHOOSE(CONTROL!$C$32, $C$9, 100%, $E$9)</f>
        <v>9.6295999999999999</v>
      </c>
    </row>
    <row r="589" spans="1:15" ht="15" x14ac:dyDescent="0.2">
      <c r="A589" s="16">
        <v>59141</v>
      </c>
      <c r="B589" s="80">
        <f>8.5729 * CHOOSE(CONTROL!$C$32, $C$9, 100%, $E$9)</f>
        <v>8.5729000000000006</v>
      </c>
      <c r="C589" s="80">
        <f>8.5729 * CHOOSE(CONTROL!$C$32, $C$9, 100%, $E$9)</f>
        <v>8.5729000000000006</v>
      </c>
      <c r="D589" s="80">
        <f>8.5739 * CHOOSE(CONTROL!$C$32, $C$9, 100%, $E$9)</f>
        <v>8.5739000000000001</v>
      </c>
      <c r="E589" s="81">
        <f>9.5068 * CHOOSE(CONTROL!$C$32, $C$9, 100%, $E$9)</f>
        <v>9.5068000000000001</v>
      </c>
      <c r="F589" s="81">
        <f>9.5068 * CHOOSE(CONTROL!$C$32, $C$9, 100%, $E$9)</f>
        <v>9.5068000000000001</v>
      </c>
      <c r="G589" s="81">
        <f>9.5105 * CHOOSE(CONTROL!$C$32, $C$9, 100%, $E$9)</f>
        <v>9.5105000000000004</v>
      </c>
      <c r="H589" s="81">
        <f>19.2492 * CHOOSE(CONTROL!$C$32, $C$9, 100%, $E$9)</f>
        <v>19.249199999999998</v>
      </c>
      <c r="I589" s="81">
        <f>19.2529 * CHOOSE(CONTROL!$C$32, $C$9, 100%, $E$9)</f>
        <v>19.2529</v>
      </c>
      <c r="J589" s="81">
        <f>19.2492 * CHOOSE(CONTROL!$C$32, $C$9, 100%, $E$9)</f>
        <v>19.249199999999998</v>
      </c>
      <c r="K589" s="81">
        <f>19.2529 * CHOOSE(CONTROL!$C$32, $C$9, 100%, $E$9)</f>
        <v>19.2529</v>
      </c>
      <c r="L589" s="81">
        <f>9.5068 * CHOOSE(CONTROL!$C$32, $C$9, 100%, $E$9)</f>
        <v>9.5068000000000001</v>
      </c>
      <c r="M589" s="81">
        <f>9.5105 * CHOOSE(CONTROL!$C$32, $C$9, 100%, $E$9)</f>
        <v>9.5105000000000004</v>
      </c>
      <c r="N589" s="81">
        <f>9.5068 * CHOOSE(CONTROL!$C$32, $C$9, 100%, $E$9)</f>
        <v>9.5068000000000001</v>
      </c>
      <c r="O589" s="81">
        <f>9.5105 * CHOOSE(CONTROL!$C$32, $C$9, 100%, $E$9)</f>
        <v>9.5105000000000004</v>
      </c>
    </row>
    <row r="590" spans="1:15" ht="15" x14ac:dyDescent="0.2">
      <c r="A590" s="16">
        <v>59172</v>
      </c>
      <c r="B590" s="80">
        <f>8.6322 * CHOOSE(CONTROL!$C$32, $C$9, 100%, $E$9)</f>
        <v>8.6321999999999992</v>
      </c>
      <c r="C590" s="80">
        <f>8.6322 * CHOOSE(CONTROL!$C$32, $C$9, 100%, $E$9)</f>
        <v>8.6321999999999992</v>
      </c>
      <c r="D590" s="80">
        <f>8.6333 * CHOOSE(CONTROL!$C$32, $C$9, 100%, $E$9)</f>
        <v>8.6333000000000002</v>
      </c>
      <c r="E590" s="81">
        <f>9.6705 * CHOOSE(CONTROL!$C$32, $C$9, 100%, $E$9)</f>
        <v>9.6705000000000005</v>
      </c>
      <c r="F590" s="81">
        <f>9.6705 * CHOOSE(CONTROL!$C$32, $C$9, 100%, $E$9)</f>
        <v>9.6705000000000005</v>
      </c>
      <c r="G590" s="81">
        <f>9.6741 * CHOOSE(CONTROL!$C$32, $C$9, 100%, $E$9)</f>
        <v>9.6740999999999993</v>
      </c>
      <c r="H590" s="81">
        <f>19.2776 * CHOOSE(CONTROL!$C$32, $C$9, 100%, $E$9)</f>
        <v>19.2776</v>
      </c>
      <c r="I590" s="81">
        <f>19.2812 * CHOOSE(CONTROL!$C$32, $C$9, 100%, $E$9)</f>
        <v>19.281199999999998</v>
      </c>
      <c r="J590" s="81">
        <f>19.2776 * CHOOSE(CONTROL!$C$32, $C$9, 100%, $E$9)</f>
        <v>19.2776</v>
      </c>
      <c r="K590" s="81">
        <f>19.2812 * CHOOSE(CONTROL!$C$32, $C$9, 100%, $E$9)</f>
        <v>19.281199999999998</v>
      </c>
      <c r="L590" s="81">
        <f>9.6705 * CHOOSE(CONTROL!$C$32, $C$9, 100%, $E$9)</f>
        <v>9.6705000000000005</v>
      </c>
      <c r="M590" s="81">
        <f>9.6741 * CHOOSE(CONTROL!$C$32, $C$9, 100%, $E$9)</f>
        <v>9.6740999999999993</v>
      </c>
      <c r="N590" s="81">
        <f>9.6705 * CHOOSE(CONTROL!$C$32, $C$9, 100%, $E$9)</f>
        <v>9.6705000000000005</v>
      </c>
      <c r="O590" s="81">
        <f>9.6741 * CHOOSE(CONTROL!$C$32, $C$9, 100%, $E$9)</f>
        <v>9.6740999999999993</v>
      </c>
    </row>
    <row r="591" spans="1:15" ht="15" x14ac:dyDescent="0.2">
      <c r="A591" s="16">
        <v>59203</v>
      </c>
      <c r="B591" s="80">
        <f>8.6292 * CHOOSE(CONTROL!$C$32, $C$9, 100%, $E$9)</f>
        <v>8.6292000000000009</v>
      </c>
      <c r="C591" s="80">
        <f>8.6292 * CHOOSE(CONTROL!$C$32, $C$9, 100%, $E$9)</f>
        <v>8.6292000000000009</v>
      </c>
      <c r="D591" s="80">
        <f>8.6302 * CHOOSE(CONTROL!$C$32, $C$9, 100%, $E$9)</f>
        <v>8.6302000000000003</v>
      </c>
      <c r="E591" s="81">
        <f>9.4361 * CHOOSE(CONTROL!$C$32, $C$9, 100%, $E$9)</f>
        <v>9.4360999999999997</v>
      </c>
      <c r="F591" s="81">
        <f>9.4361 * CHOOSE(CONTROL!$C$32, $C$9, 100%, $E$9)</f>
        <v>9.4360999999999997</v>
      </c>
      <c r="G591" s="81">
        <f>9.4398 * CHOOSE(CONTROL!$C$32, $C$9, 100%, $E$9)</f>
        <v>9.4398</v>
      </c>
      <c r="H591" s="81">
        <f>19.3178 * CHOOSE(CONTROL!$C$32, $C$9, 100%, $E$9)</f>
        <v>19.317799999999998</v>
      </c>
      <c r="I591" s="81">
        <f>19.3214 * CHOOSE(CONTROL!$C$32, $C$9, 100%, $E$9)</f>
        <v>19.321400000000001</v>
      </c>
      <c r="J591" s="81">
        <f>19.3178 * CHOOSE(CONTROL!$C$32, $C$9, 100%, $E$9)</f>
        <v>19.317799999999998</v>
      </c>
      <c r="K591" s="81">
        <f>19.3214 * CHOOSE(CONTROL!$C$32, $C$9, 100%, $E$9)</f>
        <v>19.321400000000001</v>
      </c>
      <c r="L591" s="81">
        <f>9.4361 * CHOOSE(CONTROL!$C$32, $C$9, 100%, $E$9)</f>
        <v>9.4360999999999997</v>
      </c>
      <c r="M591" s="81">
        <f>9.4398 * CHOOSE(CONTROL!$C$32, $C$9, 100%, $E$9)</f>
        <v>9.4398</v>
      </c>
      <c r="N591" s="81">
        <f>9.4361 * CHOOSE(CONTROL!$C$32, $C$9, 100%, $E$9)</f>
        <v>9.4360999999999997</v>
      </c>
      <c r="O591" s="81">
        <f>9.4398 * CHOOSE(CONTROL!$C$32, $C$9, 100%, $E$9)</f>
        <v>9.4398</v>
      </c>
    </row>
    <row r="592" spans="1:15" ht="15" x14ac:dyDescent="0.2">
      <c r="A592" s="16">
        <v>59231</v>
      </c>
      <c r="B592" s="80">
        <f>8.6261 * CHOOSE(CONTROL!$C$32, $C$9, 100%, $E$9)</f>
        <v>8.6260999999999992</v>
      </c>
      <c r="C592" s="80">
        <f>8.6261 * CHOOSE(CONTROL!$C$32, $C$9, 100%, $E$9)</f>
        <v>8.6260999999999992</v>
      </c>
      <c r="D592" s="80">
        <f>8.6272 * CHOOSE(CONTROL!$C$32, $C$9, 100%, $E$9)</f>
        <v>8.6272000000000002</v>
      </c>
      <c r="E592" s="81">
        <f>9.6171 * CHOOSE(CONTROL!$C$32, $C$9, 100%, $E$9)</f>
        <v>9.6171000000000006</v>
      </c>
      <c r="F592" s="81">
        <f>9.6171 * CHOOSE(CONTROL!$C$32, $C$9, 100%, $E$9)</f>
        <v>9.6171000000000006</v>
      </c>
      <c r="G592" s="81">
        <f>9.6207 * CHOOSE(CONTROL!$C$32, $C$9, 100%, $E$9)</f>
        <v>9.6206999999999994</v>
      </c>
      <c r="H592" s="81">
        <f>19.358 * CHOOSE(CONTROL!$C$32, $C$9, 100%, $E$9)</f>
        <v>19.358000000000001</v>
      </c>
      <c r="I592" s="81">
        <f>19.3616 * CHOOSE(CONTROL!$C$32, $C$9, 100%, $E$9)</f>
        <v>19.361599999999999</v>
      </c>
      <c r="J592" s="81">
        <f>19.358 * CHOOSE(CONTROL!$C$32, $C$9, 100%, $E$9)</f>
        <v>19.358000000000001</v>
      </c>
      <c r="K592" s="81">
        <f>19.3616 * CHOOSE(CONTROL!$C$32, $C$9, 100%, $E$9)</f>
        <v>19.361599999999999</v>
      </c>
      <c r="L592" s="81">
        <f>9.6171 * CHOOSE(CONTROL!$C$32, $C$9, 100%, $E$9)</f>
        <v>9.6171000000000006</v>
      </c>
      <c r="M592" s="81">
        <f>9.6207 * CHOOSE(CONTROL!$C$32, $C$9, 100%, $E$9)</f>
        <v>9.6206999999999994</v>
      </c>
      <c r="N592" s="81">
        <f>9.6171 * CHOOSE(CONTROL!$C$32, $C$9, 100%, $E$9)</f>
        <v>9.6171000000000006</v>
      </c>
      <c r="O592" s="81">
        <f>9.6207 * CHOOSE(CONTROL!$C$32, $C$9, 100%, $E$9)</f>
        <v>9.6206999999999994</v>
      </c>
    </row>
    <row r="593" spans="1:15" ht="15" x14ac:dyDescent="0.2">
      <c r="A593" s="16">
        <v>59262</v>
      </c>
      <c r="B593" s="80">
        <f>8.6283 * CHOOSE(CONTROL!$C$32, $C$9, 100%, $E$9)</f>
        <v>8.6282999999999994</v>
      </c>
      <c r="C593" s="80">
        <f>8.6283 * CHOOSE(CONTROL!$C$32, $C$9, 100%, $E$9)</f>
        <v>8.6282999999999994</v>
      </c>
      <c r="D593" s="80">
        <f>8.6293 * CHOOSE(CONTROL!$C$32, $C$9, 100%, $E$9)</f>
        <v>8.6293000000000006</v>
      </c>
      <c r="E593" s="81">
        <f>9.8095 * CHOOSE(CONTROL!$C$32, $C$9, 100%, $E$9)</f>
        <v>9.8094999999999999</v>
      </c>
      <c r="F593" s="81">
        <f>9.8095 * CHOOSE(CONTROL!$C$32, $C$9, 100%, $E$9)</f>
        <v>9.8094999999999999</v>
      </c>
      <c r="G593" s="81">
        <f>9.8131 * CHOOSE(CONTROL!$C$32, $C$9, 100%, $E$9)</f>
        <v>9.8131000000000004</v>
      </c>
      <c r="H593" s="81">
        <f>19.3983 * CHOOSE(CONTROL!$C$32, $C$9, 100%, $E$9)</f>
        <v>19.398299999999999</v>
      </c>
      <c r="I593" s="81">
        <f>19.402 * CHOOSE(CONTROL!$C$32, $C$9, 100%, $E$9)</f>
        <v>19.402000000000001</v>
      </c>
      <c r="J593" s="81">
        <f>19.3983 * CHOOSE(CONTROL!$C$32, $C$9, 100%, $E$9)</f>
        <v>19.398299999999999</v>
      </c>
      <c r="K593" s="81">
        <f>19.402 * CHOOSE(CONTROL!$C$32, $C$9, 100%, $E$9)</f>
        <v>19.402000000000001</v>
      </c>
      <c r="L593" s="81">
        <f>9.8095 * CHOOSE(CONTROL!$C$32, $C$9, 100%, $E$9)</f>
        <v>9.8094999999999999</v>
      </c>
      <c r="M593" s="81">
        <f>9.8131 * CHOOSE(CONTROL!$C$32, $C$9, 100%, $E$9)</f>
        <v>9.8131000000000004</v>
      </c>
      <c r="N593" s="81">
        <f>9.8095 * CHOOSE(CONTROL!$C$32, $C$9, 100%, $E$9)</f>
        <v>9.8094999999999999</v>
      </c>
      <c r="O593" s="81">
        <f>9.8131 * CHOOSE(CONTROL!$C$32, $C$9, 100%, $E$9)</f>
        <v>9.8131000000000004</v>
      </c>
    </row>
    <row r="594" spans="1:15" ht="15" x14ac:dyDescent="0.2">
      <c r="A594" s="16">
        <v>59292</v>
      </c>
      <c r="B594" s="80">
        <f>8.6283 * CHOOSE(CONTROL!$C$32, $C$9, 100%, $E$9)</f>
        <v>8.6282999999999994</v>
      </c>
      <c r="C594" s="80">
        <f>8.6283 * CHOOSE(CONTROL!$C$32, $C$9, 100%, $E$9)</f>
        <v>8.6282999999999994</v>
      </c>
      <c r="D594" s="80">
        <f>8.6298 * CHOOSE(CONTROL!$C$32, $C$9, 100%, $E$9)</f>
        <v>8.6297999999999995</v>
      </c>
      <c r="E594" s="81">
        <f>9.8832 * CHOOSE(CONTROL!$C$32, $C$9, 100%, $E$9)</f>
        <v>9.8832000000000004</v>
      </c>
      <c r="F594" s="81">
        <f>9.8832 * CHOOSE(CONTROL!$C$32, $C$9, 100%, $E$9)</f>
        <v>9.8832000000000004</v>
      </c>
      <c r="G594" s="81">
        <f>9.8885 * CHOOSE(CONTROL!$C$32, $C$9, 100%, $E$9)</f>
        <v>9.8885000000000005</v>
      </c>
      <c r="H594" s="81">
        <f>19.4388 * CHOOSE(CONTROL!$C$32, $C$9, 100%, $E$9)</f>
        <v>19.438800000000001</v>
      </c>
      <c r="I594" s="81">
        <f>19.444 * CHOOSE(CONTROL!$C$32, $C$9, 100%, $E$9)</f>
        <v>19.443999999999999</v>
      </c>
      <c r="J594" s="81">
        <f>19.4388 * CHOOSE(CONTROL!$C$32, $C$9, 100%, $E$9)</f>
        <v>19.438800000000001</v>
      </c>
      <c r="K594" s="81">
        <f>19.444 * CHOOSE(CONTROL!$C$32, $C$9, 100%, $E$9)</f>
        <v>19.443999999999999</v>
      </c>
      <c r="L594" s="81">
        <f>9.8832 * CHOOSE(CONTROL!$C$32, $C$9, 100%, $E$9)</f>
        <v>9.8832000000000004</v>
      </c>
      <c r="M594" s="81">
        <f>9.8885 * CHOOSE(CONTROL!$C$32, $C$9, 100%, $E$9)</f>
        <v>9.8885000000000005</v>
      </c>
      <c r="N594" s="81">
        <f>9.8832 * CHOOSE(CONTROL!$C$32, $C$9, 100%, $E$9)</f>
        <v>9.8832000000000004</v>
      </c>
      <c r="O594" s="81">
        <f>9.8885 * CHOOSE(CONTROL!$C$32, $C$9, 100%, $E$9)</f>
        <v>9.8885000000000005</v>
      </c>
    </row>
    <row r="595" spans="1:15" ht="15" x14ac:dyDescent="0.2">
      <c r="A595" s="16">
        <v>59323</v>
      </c>
      <c r="B595" s="80">
        <f>8.6343 * CHOOSE(CONTROL!$C$32, $C$9, 100%, $E$9)</f>
        <v>8.6342999999999996</v>
      </c>
      <c r="C595" s="80">
        <f>8.6343 * CHOOSE(CONTROL!$C$32, $C$9, 100%, $E$9)</f>
        <v>8.6342999999999996</v>
      </c>
      <c r="D595" s="80">
        <f>8.6359 * CHOOSE(CONTROL!$C$32, $C$9, 100%, $E$9)</f>
        <v>8.6358999999999995</v>
      </c>
      <c r="E595" s="81">
        <f>9.8137 * CHOOSE(CONTROL!$C$32, $C$9, 100%, $E$9)</f>
        <v>9.8137000000000008</v>
      </c>
      <c r="F595" s="81">
        <f>9.8137 * CHOOSE(CONTROL!$C$32, $C$9, 100%, $E$9)</f>
        <v>9.8137000000000008</v>
      </c>
      <c r="G595" s="81">
        <f>9.819 * CHOOSE(CONTROL!$C$32, $C$9, 100%, $E$9)</f>
        <v>9.8190000000000008</v>
      </c>
      <c r="H595" s="81">
        <f>19.4793 * CHOOSE(CONTROL!$C$32, $C$9, 100%, $E$9)</f>
        <v>19.479299999999999</v>
      </c>
      <c r="I595" s="81">
        <f>19.4845 * CHOOSE(CONTROL!$C$32, $C$9, 100%, $E$9)</f>
        <v>19.484500000000001</v>
      </c>
      <c r="J595" s="81">
        <f>19.4793 * CHOOSE(CONTROL!$C$32, $C$9, 100%, $E$9)</f>
        <v>19.479299999999999</v>
      </c>
      <c r="K595" s="81">
        <f>19.4845 * CHOOSE(CONTROL!$C$32, $C$9, 100%, $E$9)</f>
        <v>19.484500000000001</v>
      </c>
      <c r="L595" s="81">
        <f>9.8137 * CHOOSE(CONTROL!$C$32, $C$9, 100%, $E$9)</f>
        <v>9.8137000000000008</v>
      </c>
      <c r="M595" s="81">
        <f>9.819 * CHOOSE(CONTROL!$C$32, $C$9, 100%, $E$9)</f>
        <v>9.8190000000000008</v>
      </c>
      <c r="N595" s="81">
        <f>9.8137 * CHOOSE(CONTROL!$C$32, $C$9, 100%, $E$9)</f>
        <v>9.8137000000000008</v>
      </c>
      <c r="O595" s="81">
        <f>9.819 * CHOOSE(CONTROL!$C$32, $C$9, 100%, $E$9)</f>
        <v>9.8190000000000008</v>
      </c>
    </row>
    <row r="596" spans="1:15" ht="15" x14ac:dyDescent="0.2">
      <c r="A596" s="16">
        <v>59353</v>
      </c>
      <c r="B596" s="80">
        <f>8.7437 * CHOOSE(CONTROL!$C$32, $C$9, 100%, $E$9)</f>
        <v>8.7437000000000005</v>
      </c>
      <c r="C596" s="80">
        <f>8.7437 * CHOOSE(CONTROL!$C$32, $C$9, 100%, $E$9)</f>
        <v>8.7437000000000005</v>
      </c>
      <c r="D596" s="80">
        <f>8.7453 * CHOOSE(CONTROL!$C$32, $C$9, 100%, $E$9)</f>
        <v>8.7453000000000003</v>
      </c>
      <c r="E596" s="81">
        <f>9.9502 * CHOOSE(CONTROL!$C$32, $C$9, 100%, $E$9)</f>
        <v>9.9502000000000006</v>
      </c>
      <c r="F596" s="81">
        <f>9.9502 * CHOOSE(CONTROL!$C$32, $C$9, 100%, $E$9)</f>
        <v>9.9502000000000006</v>
      </c>
      <c r="G596" s="81">
        <f>9.9555 * CHOOSE(CONTROL!$C$32, $C$9, 100%, $E$9)</f>
        <v>9.9555000000000007</v>
      </c>
      <c r="H596" s="81">
        <f>19.5198 * CHOOSE(CONTROL!$C$32, $C$9, 100%, $E$9)</f>
        <v>19.5198</v>
      </c>
      <c r="I596" s="81">
        <f>19.5251 * CHOOSE(CONTROL!$C$32, $C$9, 100%, $E$9)</f>
        <v>19.525099999999998</v>
      </c>
      <c r="J596" s="81">
        <f>19.5198 * CHOOSE(CONTROL!$C$32, $C$9, 100%, $E$9)</f>
        <v>19.5198</v>
      </c>
      <c r="K596" s="81">
        <f>19.5251 * CHOOSE(CONTROL!$C$32, $C$9, 100%, $E$9)</f>
        <v>19.525099999999998</v>
      </c>
      <c r="L596" s="81">
        <f>9.9502 * CHOOSE(CONTROL!$C$32, $C$9, 100%, $E$9)</f>
        <v>9.9502000000000006</v>
      </c>
      <c r="M596" s="81">
        <f>9.9555 * CHOOSE(CONTROL!$C$32, $C$9, 100%, $E$9)</f>
        <v>9.9555000000000007</v>
      </c>
      <c r="N596" s="81">
        <f>9.9502 * CHOOSE(CONTROL!$C$32, $C$9, 100%, $E$9)</f>
        <v>9.9502000000000006</v>
      </c>
      <c r="O596" s="81">
        <f>9.9555 * CHOOSE(CONTROL!$C$32, $C$9, 100%, $E$9)</f>
        <v>9.9555000000000007</v>
      </c>
    </row>
    <row r="597" spans="1:15" ht="15" x14ac:dyDescent="0.2">
      <c r="A597" s="16">
        <v>59384</v>
      </c>
      <c r="B597" s="80">
        <f>8.7504 * CHOOSE(CONTROL!$C$32, $C$9, 100%, $E$9)</f>
        <v>8.7504000000000008</v>
      </c>
      <c r="C597" s="80">
        <f>8.7504 * CHOOSE(CONTROL!$C$32, $C$9, 100%, $E$9)</f>
        <v>8.7504000000000008</v>
      </c>
      <c r="D597" s="80">
        <f>8.752 * CHOOSE(CONTROL!$C$32, $C$9, 100%, $E$9)</f>
        <v>8.7520000000000007</v>
      </c>
      <c r="E597" s="81">
        <f>9.7337 * CHOOSE(CONTROL!$C$32, $C$9, 100%, $E$9)</f>
        <v>9.7337000000000007</v>
      </c>
      <c r="F597" s="81">
        <f>9.7337 * CHOOSE(CONTROL!$C$32, $C$9, 100%, $E$9)</f>
        <v>9.7337000000000007</v>
      </c>
      <c r="G597" s="81">
        <f>9.739 * CHOOSE(CONTROL!$C$32, $C$9, 100%, $E$9)</f>
        <v>9.7390000000000008</v>
      </c>
      <c r="H597" s="81">
        <f>19.5605 * CHOOSE(CONTROL!$C$32, $C$9, 100%, $E$9)</f>
        <v>19.560500000000001</v>
      </c>
      <c r="I597" s="81">
        <f>19.5658 * CHOOSE(CONTROL!$C$32, $C$9, 100%, $E$9)</f>
        <v>19.565799999999999</v>
      </c>
      <c r="J597" s="81">
        <f>19.5605 * CHOOSE(CONTROL!$C$32, $C$9, 100%, $E$9)</f>
        <v>19.560500000000001</v>
      </c>
      <c r="K597" s="81">
        <f>19.5658 * CHOOSE(CONTROL!$C$32, $C$9, 100%, $E$9)</f>
        <v>19.565799999999999</v>
      </c>
      <c r="L597" s="81">
        <f>9.7337 * CHOOSE(CONTROL!$C$32, $C$9, 100%, $E$9)</f>
        <v>9.7337000000000007</v>
      </c>
      <c r="M597" s="81">
        <f>9.739 * CHOOSE(CONTROL!$C$32, $C$9, 100%, $E$9)</f>
        <v>9.7390000000000008</v>
      </c>
      <c r="N597" s="81">
        <f>9.7337 * CHOOSE(CONTROL!$C$32, $C$9, 100%, $E$9)</f>
        <v>9.7337000000000007</v>
      </c>
      <c r="O597" s="81">
        <f>9.739 * CHOOSE(CONTROL!$C$32, $C$9, 100%, $E$9)</f>
        <v>9.7390000000000008</v>
      </c>
    </row>
    <row r="598" spans="1:15" ht="15" x14ac:dyDescent="0.2">
      <c r="A598" s="16">
        <v>59415</v>
      </c>
      <c r="B598" s="80">
        <f>8.7474 * CHOOSE(CONTROL!$C$32, $C$9, 100%, $E$9)</f>
        <v>8.7474000000000007</v>
      </c>
      <c r="C598" s="80">
        <f>8.7474 * CHOOSE(CONTROL!$C$32, $C$9, 100%, $E$9)</f>
        <v>8.7474000000000007</v>
      </c>
      <c r="D598" s="80">
        <f>8.749 * CHOOSE(CONTROL!$C$32, $C$9, 100%, $E$9)</f>
        <v>8.7490000000000006</v>
      </c>
      <c r="E598" s="81">
        <f>9.707 * CHOOSE(CONTROL!$C$32, $C$9, 100%, $E$9)</f>
        <v>9.7070000000000007</v>
      </c>
      <c r="F598" s="81">
        <f>9.707 * CHOOSE(CONTROL!$C$32, $C$9, 100%, $E$9)</f>
        <v>9.7070000000000007</v>
      </c>
      <c r="G598" s="81">
        <f>9.7123 * CHOOSE(CONTROL!$C$32, $C$9, 100%, $E$9)</f>
        <v>9.7123000000000008</v>
      </c>
      <c r="H598" s="81">
        <f>19.6012 * CHOOSE(CONTROL!$C$32, $C$9, 100%, $E$9)</f>
        <v>19.601199999999999</v>
      </c>
      <c r="I598" s="81">
        <f>19.6065 * CHOOSE(CONTROL!$C$32, $C$9, 100%, $E$9)</f>
        <v>19.6065</v>
      </c>
      <c r="J598" s="81">
        <f>19.6012 * CHOOSE(CONTROL!$C$32, $C$9, 100%, $E$9)</f>
        <v>19.601199999999999</v>
      </c>
      <c r="K598" s="81">
        <f>19.6065 * CHOOSE(CONTROL!$C$32, $C$9, 100%, $E$9)</f>
        <v>19.6065</v>
      </c>
      <c r="L598" s="81">
        <f>9.707 * CHOOSE(CONTROL!$C$32, $C$9, 100%, $E$9)</f>
        <v>9.7070000000000007</v>
      </c>
      <c r="M598" s="81">
        <f>9.7123 * CHOOSE(CONTROL!$C$32, $C$9, 100%, $E$9)</f>
        <v>9.7123000000000008</v>
      </c>
      <c r="N598" s="81">
        <f>9.707 * CHOOSE(CONTROL!$C$32, $C$9, 100%, $E$9)</f>
        <v>9.7070000000000007</v>
      </c>
      <c r="O598" s="81">
        <f>9.7123 * CHOOSE(CONTROL!$C$32, $C$9, 100%, $E$9)</f>
        <v>9.7123000000000008</v>
      </c>
    </row>
    <row r="599" spans="1:15" ht="15" x14ac:dyDescent="0.2">
      <c r="A599" s="16">
        <v>59445</v>
      </c>
      <c r="B599" s="80">
        <f>8.7601 * CHOOSE(CONTROL!$C$32, $C$9, 100%, $E$9)</f>
        <v>8.7600999999999996</v>
      </c>
      <c r="C599" s="80">
        <f>8.7601 * CHOOSE(CONTROL!$C$32, $C$9, 100%, $E$9)</f>
        <v>8.7600999999999996</v>
      </c>
      <c r="D599" s="80">
        <f>8.7612 * CHOOSE(CONTROL!$C$32, $C$9, 100%, $E$9)</f>
        <v>8.7612000000000005</v>
      </c>
      <c r="E599" s="81">
        <f>9.7919 * CHOOSE(CONTROL!$C$32, $C$9, 100%, $E$9)</f>
        <v>9.7919</v>
      </c>
      <c r="F599" s="81">
        <f>9.7919 * CHOOSE(CONTROL!$C$32, $C$9, 100%, $E$9)</f>
        <v>9.7919</v>
      </c>
      <c r="G599" s="81">
        <f>9.7955 * CHOOSE(CONTROL!$C$32, $C$9, 100%, $E$9)</f>
        <v>9.7955000000000005</v>
      </c>
      <c r="H599" s="81">
        <f>19.6421 * CHOOSE(CONTROL!$C$32, $C$9, 100%, $E$9)</f>
        <v>19.642099999999999</v>
      </c>
      <c r="I599" s="81">
        <f>19.6457 * CHOOSE(CONTROL!$C$32, $C$9, 100%, $E$9)</f>
        <v>19.645700000000001</v>
      </c>
      <c r="J599" s="81">
        <f>19.6421 * CHOOSE(CONTROL!$C$32, $C$9, 100%, $E$9)</f>
        <v>19.642099999999999</v>
      </c>
      <c r="K599" s="81">
        <f>19.6457 * CHOOSE(CONTROL!$C$32, $C$9, 100%, $E$9)</f>
        <v>19.645700000000001</v>
      </c>
      <c r="L599" s="81">
        <f>9.7919 * CHOOSE(CONTROL!$C$32, $C$9, 100%, $E$9)</f>
        <v>9.7919</v>
      </c>
      <c r="M599" s="81">
        <f>9.7955 * CHOOSE(CONTROL!$C$32, $C$9, 100%, $E$9)</f>
        <v>9.7955000000000005</v>
      </c>
      <c r="N599" s="81">
        <f>9.7919 * CHOOSE(CONTROL!$C$32, $C$9, 100%, $E$9)</f>
        <v>9.7919</v>
      </c>
      <c r="O599" s="81">
        <f>9.7955 * CHOOSE(CONTROL!$C$32, $C$9, 100%, $E$9)</f>
        <v>9.7955000000000005</v>
      </c>
    </row>
    <row r="600" spans="1:15" ht="15" x14ac:dyDescent="0.2">
      <c r="A600" s="16">
        <v>59476</v>
      </c>
      <c r="B600" s="80">
        <f>8.7632 * CHOOSE(CONTROL!$C$32, $C$9, 100%, $E$9)</f>
        <v>8.7631999999999994</v>
      </c>
      <c r="C600" s="80">
        <f>8.7632 * CHOOSE(CONTROL!$C$32, $C$9, 100%, $E$9)</f>
        <v>8.7631999999999994</v>
      </c>
      <c r="D600" s="80">
        <f>8.7643 * CHOOSE(CONTROL!$C$32, $C$9, 100%, $E$9)</f>
        <v>8.7643000000000004</v>
      </c>
      <c r="E600" s="81">
        <f>9.8432 * CHOOSE(CONTROL!$C$32, $C$9, 100%, $E$9)</f>
        <v>9.8431999999999995</v>
      </c>
      <c r="F600" s="81">
        <f>9.8432 * CHOOSE(CONTROL!$C$32, $C$9, 100%, $E$9)</f>
        <v>9.8431999999999995</v>
      </c>
      <c r="G600" s="81">
        <f>9.8468 * CHOOSE(CONTROL!$C$32, $C$9, 100%, $E$9)</f>
        <v>9.8468</v>
      </c>
      <c r="H600" s="81">
        <f>19.683 * CHOOSE(CONTROL!$C$32, $C$9, 100%, $E$9)</f>
        <v>19.683</v>
      </c>
      <c r="I600" s="81">
        <f>19.6866 * CHOOSE(CONTROL!$C$32, $C$9, 100%, $E$9)</f>
        <v>19.686599999999999</v>
      </c>
      <c r="J600" s="81">
        <f>19.683 * CHOOSE(CONTROL!$C$32, $C$9, 100%, $E$9)</f>
        <v>19.683</v>
      </c>
      <c r="K600" s="81">
        <f>19.6866 * CHOOSE(CONTROL!$C$32, $C$9, 100%, $E$9)</f>
        <v>19.686599999999999</v>
      </c>
      <c r="L600" s="81">
        <f>9.8432 * CHOOSE(CONTROL!$C$32, $C$9, 100%, $E$9)</f>
        <v>9.8431999999999995</v>
      </c>
      <c r="M600" s="81">
        <f>9.8468 * CHOOSE(CONTROL!$C$32, $C$9, 100%, $E$9)</f>
        <v>9.8468</v>
      </c>
      <c r="N600" s="81">
        <f>9.8432 * CHOOSE(CONTROL!$C$32, $C$9, 100%, $E$9)</f>
        <v>9.8431999999999995</v>
      </c>
      <c r="O600" s="81">
        <f>9.8468 * CHOOSE(CONTROL!$C$32, $C$9, 100%, $E$9)</f>
        <v>9.8468</v>
      </c>
    </row>
    <row r="601" spans="1:15" ht="15" x14ac:dyDescent="0.2">
      <c r="A601" s="16">
        <v>59506</v>
      </c>
      <c r="B601" s="80">
        <f>8.7632 * CHOOSE(CONTROL!$C$32, $C$9, 100%, $E$9)</f>
        <v>8.7631999999999994</v>
      </c>
      <c r="C601" s="80">
        <f>8.7632 * CHOOSE(CONTROL!$C$32, $C$9, 100%, $E$9)</f>
        <v>8.7631999999999994</v>
      </c>
      <c r="D601" s="80">
        <f>8.7643 * CHOOSE(CONTROL!$C$32, $C$9, 100%, $E$9)</f>
        <v>8.7643000000000004</v>
      </c>
      <c r="E601" s="81">
        <f>9.7203 * CHOOSE(CONTROL!$C$32, $C$9, 100%, $E$9)</f>
        <v>9.7202999999999999</v>
      </c>
      <c r="F601" s="81">
        <f>9.7203 * CHOOSE(CONTROL!$C$32, $C$9, 100%, $E$9)</f>
        <v>9.7202999999999999</v>
      </c>
      <c r="G601" s="81">
        <f>9.7239 * CHOOSE(CONTROL!$C$32, $C$9, 100%, $E$9)</f>
        <v>9.7239000000000004</v>
      </c>
      <c r="H601" s="81">
        <f>19.724 * CHOOSE(CONTROL!$C$32, $C$9, 100%, $E$9)</f>
        <v>19.724</v>
      </c>
      <c r="I601" s="81">
        <f>19.7276 * CHOOSE(CONTROL!$C$32, $C$9, 100%, $E$9)</f>
        <v>19.727599999999999</v>
      </c>
      <c r="J601" s="81">
        <f>19.724 * CHOOSE(CONTROL!$C$32, $C$9, 100%, $E$9)</f>
        <v>19.724</v>
      </c>
      <c r="K601" s="81">
        <f>19.7276 * CHOOSE(CONTROL!$C$32, $C$9, 100%, $E$9)</f>
        <v>19.727599999999999</v>
      </c>
      <c r="L601" s="81">
        <f>9.7203 * CHOOSE(CONTROL!$C$32, $C$9, 100%, $E$9)</f>
        <v>9.7202999999999999</v>
      </c>
      <c r="M601" s="81">
        <f>9.7239 * CHOOSE(CONTROL!$C$32, $C$9, 100%, $E$9)</f>
        <v>9.7239000000000004</v>
      </c>
      <c r="N601" s="81">
        <f>9.7203 * CHOOSE(CONTROL!$C$32, $C$9, 100%, $E$9)</f>
        <v>9.7202999999999999</v>
      </c>
      <c r="O601" s="81">
        <f>9.7239 * CHOOSE(CONTROL!$C$32, $C$9, 100%, $E$9)</f>
        <v>9.7239000000000004</v>
      </c>
    </row>
    <row r="602" spans="1:15" ht="15" x14ac:dyDescent="0.2">
      <c r="A602" s="16">
        <v>59537</v>
      </c>
      <c r="B602" s="80">
        <f>8.8196 * CHOOSE(CONTROL!$C$32, $C$9, 100%, $E$9)</f>
        <v>8.8195999999999994</v>
      </c>
      <c r="C602" s="80">
        <f>8.8196 * CHOOSE(CONTROL!$C$32, $C$9, 100%, $E$9)</f>
        <v>8.8195999999999994</v>
      </c>
      <c r="D602" s="80">
        <f>8.8206 * CHOOSE(CONTROL!$C$32, $C$9, 100%, $E$9)</f>
        <v>8.8206000000000007</v>
      </c>
      <c r="E602" s="81">
        <f>9.883 * CHOOSE(CONTROL!$C$32, $C$9, 100%, $E$9)</f>
        <v>9.8829999999999991</v>
      </c>
      <c r="F602" s="81">
        <f>9.883 * CHOOSE(CONTROL!$C$32, $C$9, 100%, $E$9)</f>
        <v>9.8829999999999991</v>
      </c>
      <c r="G602" s="81">
        <f>9.8866 * CHOOSE(CONTROL!$C$32, $C$9, 100%, $E$9)</f>
        <v>9.8865999999999996</v>
      </c>
      <c r="H602" s="81">
        <f>19.7416 * CHOOSE(CONTROL!$C$32, $C$9, 100%, $E$9)</f>
        <v>19.741599999999998</v>
      </c>
      <c r="I602" s="81">
        <f>19.7453 * CHOOSE(CONTROL!$C$32, $C$9, 100%, $E$9)</f>
        <v>19.7453</v>
      </c>
      <c r="J602" s="81">
        <f>19.7416 * CHOOSE(CONTROL!$C$32, $C$9, 100%, $E$9)</f>
        <v>19.741599999999998</v>
      </c>
      <c r="K602" s="81">
        <f>19.7453 * CHOOSE(CONTROL!$C$32, $C$9, 100%, $E$9)</f>
        <v>19.7453</v>
      </c>
      <c r="L602" s="81">
        <f>9.883 * CHOOSE(CONTROL!$C$32, $C$9, 100%, $E$9)</f>
        <v>9.8829999999999991</v>
      </c>
      <c r="M602" s="81">
        <f>9.8866 * CHOOSE(CONTROL!$C$32, $C$9, 100%, $E$9)</f>
        <v>9.8865999999999996</v>
      </c>
      <c r="N602" s="81">
        <f>9.883 * CHOOSE(CONTROL!$C$32, $C$9, 100%, $E$9)</f>
        <v>9.8829999999999991</v>
      </c>
      <c r="O602" s="81">
        <f>9.8866 * CHOOSE(CONTROL!$C$32, $C$9, 100%, $E$9)</f>
        <v>9.8865999999999996</v>
      </c>
    </row>
    <row r="603" spans="1:15" ht="15" x14ac:dyDescent="0.2">
      <c r="A603" s="16">
        <v>59568</v>
      </c>
      <c r="B603" s="80">
        <f>8.8165 * CHOOSE(CONTROL!$C$32, $C$9, 100%, $E$9)</f>
        <v>8.8164999999999996</v>
      </c>
      <c r="C603" s="80">
        <f>8.8165 * CHOOSE(CONTROL!$C$32, $C$9, 100%, $E$9)</f>
        <v>8.8164999999999996</v>
      </c>
      <c r="D603" s="80">
        <f>8.8176 * CHOOSE(CONTROL!$C$32, $C$9, 100%, $E$9)</f>
        <v>8.8176000000000005</v>
      </c>
      <c r="E603" s="81">
        <f>9.6416 * CHOOSE(CONTROL!$C$32, $C$9, 100%, $E$9)</f>
        <v>9.6416000000000004</v>
      </c>
      <c r="F603" s="81">
        <f>9.6416 * CHOOSE(CONTROL!$C$32, $C$9, 100%, $E$9)</f>
        <v>9.6416000000000004</v>
      </c>
      <c r="G603" s="81">
        <f>9.6452 * CHOOSE(CONTROL!$C$32, $C$9, 100%, $E$9)</f>
        <v>9.6452000000000009</v>
      </c>
      <c r="H603" s="81">
        <f>19.7828 * CHOOSE(CONTROL!$C$32, $C$9, 100%, $E$9)</f>
        <v>19.782800000000002</v>
      </c>
      <c r="I603" s="81">
        <f>19.7864 * CHOOSE(CONTROL!$C$32, $C$9, 100%, $E$9)</f>
        <v>19.7864</v>
      </c>
      <c r="J603" s="81">
        <f>19.7828 * CHOOSE(CONTROL!$C$32, $C$9, 100%, $E$9)</f>
        <v>19.782800000000002</v>
      </c>
      <c r="K603" s="81">
        <f>19.7864 * CHOOSE(CONTROL!$C$32, $C$9, 100%, $E$9)</f>
        <v>19.7864</v>
      </c>
      <c r="L603" s="81">
        <f>9.6416 * CHOOSE(CONTROL!$C$32, $C$9, 100%, $E$9)</f>
        <v>9.6416000000000004</v>
      </c>
      <c r="M603" s="81">
        <f>9.6452 * CHOOSE(CONTROL!$C$32, $C$9, 100%, $E$9)</f>
        <v>9.6452000000000009</v>
      </c>
      <c r="N603" s="81">
        <f>9.6416 * CHOOSE(CONTROL!$C$32, $C$9, 100%, $E$9)</f>
        <v>9.6416000000000004</v>
      </c>
      <c r="O603" s="81">
        <f>9.6452 * CHOOSE(CONTROL!$C$32, $C$9, 100%, $E$9)</f>
        <v>9.6452000000000009</v>
      </c>
    </row>
    <row r="604" spans="1:15" ht="15" x14ac:dyDescent="0.2">
      <c r="A604" s="16">
        <v>59596</v>
      </c>
      <c r="B604" s="80">
        <f>8.8135 * CHOOSE(CONTROL!$C$32, $C$9, 100%, $E$9)</f>
        <v>8.8134999999999994</v>
      </c>
      <c r="C604" s="80">
        <f>8.8135 * CHOOSE(CONTROL!$C$32, $C$9, 100%, $E$9)</f>
        <v>8.8134999999999994</v>
      </c>
      <c r="D604" s="80">
        <f>8.8146 * CHOOSE(CONTROL!$C$32, $C$9, 100%, $E$9)</f>
        <v>8.8146000000000004</v>
      </c>
      <c r="E604" s="81">
        <f>9.8281 * CHOOSE(CONTROL!$C$32, $C$9, 100%, $E$9)</f>
        <v>9.8280999999999992</v>
      </c>
      <c r="F604" s="81">
        <f>9.8281 * CHOOSE(CONTROL!$C$32, $C$9, 100%, $E$9)</f>
        <v>9.8280999999999992</v>
      </c>
      <c r="G604" s="81">
        <f>9.8317 * CHOOSE(CONTROL!$C$32, $C$9, 100%, $E$9)</f>
        <v>9.8316999999999997</v>
      </c>
      <c r="H604" s="81">
        <f>19.824 * CHOOSE(CONTROL!$C$32, $C$9, 100%, $E$9)</f>
        <v>19.824000000000002</v>
      </c>
      <c r="I604" s="81">
        <f>19.8276 * CHOOSE(CONTROL!$C$32, $C$9, 100%, $E$9)</f>
        <v>19.8276</v>
      </c>
      <c r="J604" s="81">
        <f>19.824 * CHOOSE(CONTROL!$C$32, $C$9, 100%, $E$9)</f>
        <v>19.824000000000002</v>
      </c>
      <c r="K604" s="81">
        <f>19.8276 * CHOOSE(CONTROL!$C$32, $C$9, 100%, $E$9)</f>
        <v>19.8276</v>
      </c>
      <c r="L604" s="81">
        <f>9.8281 * CHOOSE(CONTROL!$C$32, $C$9, 100%, $E$9)</f>
        <v>9.8280999999999992</v>
      </c>
      <c r="M604" s="81">
        <f>9.8317 * CHOOSE(CONTROL!$C$32, $C$9, 100%, $E$9)</f>
        <v>9.8316999999999997</v>
      </c>
      <c r="N604" s="81">
        <f>9.8281 * CHOOSE(CONTROL!$C$32, $C$9, 100%, $E$9)</f>
        <v>9.8280999999999992</v>
      </c>
      <c r="O604" s="81">
        <f>9.8317 * CHOOSE(CONTROL!$C$32, $C$9, 100%, $E$9)</f>
        <v>9.8316999999999997</v>
      </c>
    </row>
    <row r="605" spans="1:15" ht="15" x14ac:dyDescent="0.2">
      <c r="A605" s="16">
        <v>59627</v>
      </c>
      <c r="B605" s="80">
        <f>8.8158 * CHOOSE(CONTROL!$C$32, $C$9, 100%, $E$9)</f>
        <v>8.8157999999999994</v>
      </c>
      <c r="C605" s="80">
        <f>8.8158 * CHOOSE(CONTROL!$C$32, $C$9, 100%, $E$9)</f>
        <v>8.8157999999999994</v>
      </c>
      <c r="D605" s="80">
        <f>8.8169 * CHOOSE(CONTROL!$C$32, $C$9, 100%, $E$9)</f>
        <v>8.8169000000000004</v>
      </c>
      <c r="E605" s="81">
        <f>10.0265 * CHOOSE(CONTROL!$C$32, $C$9, 100%, $E$9)</f>
        <v>10.0265</v>
      </c>
      <c r="F605" s="81">
        <f>10.0265 * CHOOSE(CONTROL!$C$32, $C$9, 100%, $E$9)</f>
        <v>10.0265</v>
      </c>
      <c r="G605" s="81">
        <f>10.0301 * CHOOSE(CONTROL!$C$32, $C$9, 100%, $E$9)</f>
        <v>10.030099999999999</v>
      </c>
      <c r="H605" s="81">
        <f>19.8653 * CHOOSE(CONTROL!$C$32, $C$9, 100%, $E$9)</f>
        <v>19.865300000000001</v>
      </c>
      <c r="I605" s="81">
        <f>19.8689 * CHOOSE(CONTROL!$C$32, $C$9, 100%, $E$9)</f>
        <v>19.8689</v>
      </c>
      <c r="J605" s="81">
        <f>19.8653 * CHOOSE(CONTROL!$C$32, $C$9, 100%, $E$9)</f>
        <v>19.865300000000001</v>
      </c>
      <c r="K605" s="81">
        <f>19.8689 * CHOOSE(CONTROL!$C$32, $C$9, 100%, $E$9)</f>
        <v>19.8689</v>
      </c>
      <c r="L605" s="81">
        <f>10.0265 * CHOOSE(CONTROL!$C$32, $C$9, 100%, $E$9)</f>
        <v>10.0265</v>
      </c>
      <c r="M605" s="81">
        <f>10.0301 * CHOOSE(CONTROL!$C$32, $C$9, 100%, $E$9)</f>
        <v>10.030099999999999</v>
      </c>
      <c r="N605" s="81">
        <f>10.0265 * CHOOSE(CONTROL!$C$32, $C$9, 100%, $E$9)</f>
        <v>10.0265</v>
      </c>
      <c r="O605" s="81">
        <f>10.0301 * CHOOSE(CONTROL!$C$32, $C$9, 100%, $E$9)</f>
        <v>10.030099999999999</v>
      </c>
    </row>
    <row r="606" spans="1:15" ht="15" x14ac:dyDescent="0.2">
      <c r="A606" s="16">
        <v>59657</v>
      </c>
      <c r="B606" s="80">
        <f>8.8158 * CHOOSE(CONTROL!$C$32, $C$9, 100%, $E$9)</f>
        <v>8.8157999999999994</v>
      </c>
      <c r="C606" s="80">
        <f>8.8158 * CHOOSE(CONTROL!$C$32, $C$9, 100%, $E$9)</f>
        <v>8.8157999999999994</v>
      </c>
      <c r="D606" s="80">
        <f>8.8174 * CHOOSE(CONTROL!$C$32, $C$9, 100%, $E$9)</f>
        <v>8.8173999999999992</v>
      </c>
      <c r="E606" s="81">
        <f>10.1024 * CHOOSE(CONTROL!$C$32, $C$9, 100%, $E$9)</f>
        <v>10.102399999999999</v>
      </c>
      <c r="F606" s="81">
        <f>10.1024 * CHOOSE(CONTROL!$C$32, $C$9, 100%, $E$9)</f>
        <v>10.102399999999999</v>
      </c>
      <c r="G606" s="81">
        <f>10.1077 * CHOOSE(CONTROL!$C$32, $C$9, 100%, $E$9)</f>
        <v>10.107699999999999</v>
      </c>
      <c r="H606" s="81">
        <f>19.9067 * CHOOSE(CONTROL!$C$32, $C$9, 100%, $E$9)</f>
        <v>19.906700000000001</v>
      </c>
      <c r="I606" s="81">
        <f>19.912 * CHOOSE(CONTROL!$C$32, $C$9, 100%, $E$9)</f>
        <v>19.911999999999999</v>
      </c>
      <c r="J606" s="81">
        <f>19.9067 * CHOOSE(CONTROL!$C$32, $C$9, 100%, $E$9)</f>
        <v>19.906700000000001</v>
      </c>
      <c r="K606" s="81">
        <f>19.912 * CHOOSE(CONTROL!$C$32, $C$9, 100%, $E$9)</f>
        <v>19.911999999999999</v>
      </c>
      <c r="L606" s="81">
        <f>10.1024 * CHOOSE(CONTROL!$C$32, $C$9, 100%, $E$9)</f>
        <v>10.102399999999999</v>
      </c>
      <c r="M606" s="81">
        <f>10.1077 * CHOOSE(CONTROL!$C$32, $C$9, 100%, $E$9)</f>
        <v>10.107699999999999</v>
      </c>
      <c r="N606" s="81">
        <f>10.1024 * CHOOSE(CONTROL!$C$32, $C$9, 100%, $E$9)</f>
        <v>10.102399999999999</v>
      </c>
      <c r="O606" s="81">
        <f>10.1077 * CHOOSE(CONTROL!$C$32, $C$9, 100%, $E$9)</f>
        <v>10.107699999999999</v>
      </c>
    </row>
    <row r="607" spans="1:15" ht="15" x14ac:dyDescent="0.2">
      <c r="A607" s="16">
        <v>59688</v>
      </c>
      <c r="B607" s="80">
        <f>8.8219 * CHOOSE(CONTROL!$C$32, $C$9, 100%, $E$9)</f>
        <v>8.8218999999999994</v>
      </c>
      <c r="C607" s="80">
        <f>8.8219 * CHOOSE(CONTROL!$C$32, $C$9, 100%, $E$9)</f>
        <v>8.8218999999999994</v>
      </c>
      <c r="D607" s="80">
        <f>8.8235 * CHOOSE(CONTROL!$C$32, $C$9, 100%, $E$9)</f>
        <v>8.8234999999999992</v>
      </c>
      <c r="E607" s="81">
        <f>10.0307 * CHOOSE(CONTROL!$C$32, $C$9, 100%, $E$9)</f>
        <v>10.0307</v>
      </c>
      <c r="F607" s="81">
        <f>10.0307 * CHOOSE(CONTROL!$C$32, $C$9, 100%, $E$9)</f>
        <v>10.0307</v>
      </c>
      <c r="G607" s="81">
        <f>10.036 * CHOOSE(CONTROL!$C$32, $C$9, 100%, $E$9)</f>
        <v>10.036</v>
      </c>
      <c r="H607" s="81">
        <f>19.9481 * CHOOSE(CONTROL!$C$32, $C$9, 100%, $E$9)</f>
        <v>19.9481</v>
      </c>
      <c r="I607" s="81">
        <f>19.9534 * CHOOSE(CONTROL!$C$32, $C$9, 100%, $E$9)</f>
        <v>19.953399999999998</v>
      </c>
      <c r="J607" s="81">
        <f>19.9481 * CHOOSE(CONTROL!$C$32, $C$9, 100%, $E$9)</f>
        <v>19.9481</v>
      </c>
      <c r="K607" s="81">
        <f>19.9534 * CHOOSE(CONTROL!$C$32, $C$9, 100%, $E$9)</f>
        <v>19.953399999999998</v>
      </c>
      <c r="L607" s="81">
        <f>10.0307 * CHOOSE(CONTROL!$C$32, $C$9, 100%, $E$9)</f>
        <v>10.0307</v>
      </c>
      <c r="M607" s="81">
        <f>10.036 * CHOOSE(CONTROL!$C$32, $C$9, 100%, $E$9)</f>
        <v>10.036</v>
      </c>
      <c r="N607" s="81">
        <f>10.0307 * CHOOSE(CONTROL!$C$32, $C$9, 100%, $E$9)</f>
        <v>10.0307</v>
      </c>
      <c r="O607" s="81">
        <f>10.036 * CHOOSE(CONTROL!$C$32, $C$9, 100%, $E$9)</f>
        <v>10.036</v>
      </c>
    </row>
    <row r="608" spans="1:15" ht="15" x14ac:dyDescent="0.2">
      <c r="A608" s="16">
        <v>59718</v>
      </c>
      <c r="B608" s="80">
        <f>8.9333 * CHOOSE(CONTROL!$C$32, $C$9, 100%, $E$9)</f>
        <v>8.9332999999999991</v>
      </c>
      <c r="C608" s="80">
        <f>8.9333 * CHOOSE(CONTROL!$C$32, $C$9, 100%, $E$9)</f>
        <v>8.9332999999999991</v>
      </c>
      <c r="D608" s="80">
        <f>8.9349 * CHOOSE(CONTROL!$C$32, $C$9, 100%, $E$9)</f>
        <v>8.9349000000000007</v>
      </c>
      <c r="E608" s="81">
        <f>10.1704 * CHOOSE(CONTROL!$C$32, $C$9, 100%, $E$9)</f>
        <v>10.170400000000001</v>
      </c>
      <c r="F608" s="81">
        <f>10.1704 * CHOOSE(CONTROL!$C$32, $C$9, 100%, $E$9)</f>
        <v>10.170400000000001</v>
      </c>
      <c r="G608" s="81">
        <f>10.1757 * CHOOSE(CONTROL!$C$32, $C$9, 100%, $E$9)</f>
        <v>10.175700000000001</v>
      </c>
      <c r="H608" s="81">
        <f>19.9897 * CHOOSE(CONTROL!$C$32, $C$9, 100%, $E$9)</f>
        <v>19.989699999999999</v>
      </c>
      <c r="I608" s="81">
        <f>19.995 * CHOOSE(CONTROL!$C$32, $C$9, 100%, $E$9)</f>
        <v>19.995000000000001</v>
      </c>
      <c r="J608" s="81">
        <f>19.9897 * CHOOSE(CONTROL!$C$32, $C$9, 100%, $E$9)</f>
        <v>19.989699999999999</v>
      </c>
      <c r="K608" s="81">
        <f>19.995 * CHOOSE(CONTROL!$C$32, $C$9, 100%, $E$9)</f>
        <v>19.995000000000001</v>
      </c>
      <c r="L608" s="81">
        <f>10.1704 * CHOOSE(CONTROL!$C$32, $C$9, 100%, $E$9)</f>
        <v>10.170400000000001</v>
      </c>
      <c r="M608" s="81">
        <f>10.1757 * CHOOSE(CONTROL!$C$32, $C$9, 100%, $E$9)</f>
        <v>10.175700000000001</v>
      </c>
      <c r="N608" s="81">
        <f>10.1704 * CHOOSE(CONTROL!$C$32, $C$9, 100%, $E$9)</f>
        <v>10.170400000000001</v>
      </c>
      <c r="O608" s="81">
        <f>10.1757 * CHOOSE(CONTROL!$C$32, $C$9, 100%, $E$9)</f>
        <v>10.175700000000001</v>
      </c>
    </row>
    <row r="609" spans="1:15" ht="15" x14ac:dyDescent="0.2">
      <c r="A609" s="16">
        <v>59749</v>
      </c>
      <c r="B609" s="80">
        <f>8.94 * CHOOSE(CONTROL!$C$32, $C$9, 100%, $E$9)</f>
        <v>8.94</v>
      </c>
      <c r="C609" s="80">
        <f>8.94 * CHOOSE(CONTROL!$C$32, $C$9, 100%, $E$9)</f>
        <v>8.94</v>
      </c>
      <c r="D609" s="80">
        <f>8.9416 * CHOOSE(CONTROL!$C$32, $C$9, 100%, $E$9)</f>
        <v>8.9415999999999993</v>
      </c>
      <c r="E609" s="81">
        <f>9.9471 * CHOOSE(CONTROL!$C$32, $C$9, 100%, $E$9)</f>
        <v>9.9471000000000007</v>
      </c>
      <c r="F609" s="81">
        <f>9.9471 * CHOOSE(CONTROL!$C$32, $C$9, 100%, $E$9)</f>
        <v>9.9471000000000007</v>
      </c>
      <c r="G609" s="81">
        <f>9.9524 * CHOOSE(CONTROL!$C$32, $C$9, 100%, $E$9)</f>
        <v>9.9524000000000008</v>
      </c>
      <c r="H609" s="81">
        <f>20.0313 * CHOOSE(CONTROL!$C$32, $C$9, 100%, $E$9)</f>
        <v>20.031300000000002</v>
      </c>
      <c r="I609" s="81">
        <f>20.0366 * CHOOSE(CONTROL!$C$32, $C$9, 100%, $E$9)</f>
        <v>20.0366</v>
      </c>
      <c r="J609" s="81">
        <f>20.0313 * CHOOSE(CONTROL!$C$32, $C$9, 100%, $E$9)</f>
        <v>20.031300000000002</v>
      </c>
      <c r="K609" s="81">
        <f>20.0366 * CHOOSE(CONTROL!$C$32, $C$9, 100%, $E$9)</f>
        <v>20.0366</v>
      </c>
      <c r="L609" s="81">
        <f>9.9471 * CHOOSE(CONTROL!$C$32, $C$9, 100%, $E$9)</f>
        <v>9.9471000000000007</v>
      </c>
      <c r="M609" s="81">
        <f>9.9524 * CHOOSE(CONTROL!$C$32, $C$9, 100%, $E$9)</f>
        <v>9.9524000000000008</v>
      </c>
      <c r="N609" s="81">
        <f>9.9471 * CHOOSE(CONTROL!$C$32, $C$9, 100%, $E$9)</f>
        <v>9.9471000000000007</v>
      </c>
      <c r="O609" s="81">
        <f>9.9524 * CHOOSE(CONTROL!$C$32, $C$9, 100%, $E$9)</f>
        <v>9.9524000000000008</v>
      </c>
    </row>
    <row r="610" spans="1:15" ht="15" x14ac:dyDescent="0.2">
      <c r="A610" s="16">
        <v>59780</v>
      </c>
      <c r="B610" s="80">
        <f>8.937 * CHOOSE(CONTROL!$C$32, $C$9, 100%, $E$9)</f>
        <v>8.9369999999999994</v>
      </c>
      <c r="C610" s="80">
        <f>8.937 * CHOOSE(CONTROL!$C$32, $C$9, 100%, $E$9)</f>
        <v>8.9369999999999994</v>
      </c>
      <c r="D610" s="80">
        <f>8.9386 * CHOOSE(CONTROL!$C$32, $C$9, 100%, $E$9)</f>
        <v>8.9385999999999992</v>
      </c>
      <c r="E610" s="81">
        <f>9.9197 * CHOOSE(CONTROL!$C$32, $C$9, 100%, $E$9)</f>
        <v>9.9197000000000006</v>
      </c>
      <c r="F610" s="81">
        <f>9.9197 * CHOOSE(CONTROL!$C$32, $C$9, 100%, $E$9)</f>
        <v>9.9197000000000006</v>
      </c>
      <c r="G610" s="81">
        <f>9.925 * CHOOSE(CONTROL!$C$32, $C$9, 100%, $E$9)</f>
        <v>9.9250000000000007</v>
      </c>
      <c r="H610" s="81">
        <f>20.0731 * CHOOSE(CONTROL!$C$32, $C$9, 100%, $E$9)</f>
        <v>20.0731</v>
      </c>
      <c r="I610" s="81">
        <f>20.0784 * CHOOSE(CONTROL!$C$32, $C$9, 100%, $E$9)</f>
        <v>20.078399999999998</v>
      </c>
      <c r="J610" s="81">
        <f>20.0731 * CHOOSE(CONTROL!$C$32, $C$9, 100%, $E$9)</f>
        <v>20.0731</v>
      </c>
      <c r="K610" s="81">
        <f>20.0784 * CHOOSE(CONTROL!$C$32, $C$9, 100%, $E$9)</f>
        <v>20.078399999999998</v>
      </c>
      <c r="L610" s="81">
        <f>9.9197 * CHOOSE(CONTROL!$C$32, $C$9, 100%, $E$9)</f>
        <v>9.9197000000000006</v>
      </c>
      <c r="M610" s="81">
        <f>9.925 * CHOOSE(CONTROL!$C$32, $C$9, 100%, $E$9)</f>
        <v>9.9250000000000007</v>
      </c>
      <c r="N610" s="81">
        <f>9.9197 * CHOOSE(CONTROL!$C$32, $C$9, 100%, $E$9)</f>
        <v>9.9197000000000006</v>
      </c>
      <c r="O610" s="81">
        <f>9.925 * CHOOSE(CONTROL!$C$32, $C$9, 100%, $E$9)</f>
        <v>9.9250000000000007</v>
      </c>
    </row>
    <row r="611" spans="1:15" ht="15" x14ac:dyDescent="0.2">
      <c r="A611" s="16">
        <v>59810</v>
      </c>
      <c r="B611" s="80">
        <f>8.9505 * CHOOSE(CONTROL!$C$32, $C$9, 100%, $E$9)</f>
        <v>8.9504999999999999</v>
      </c>
      <c r="C611" s="80">
        <f>8.9505 * CHOOSE(CONTROL!$C$32, $C$9, 100%, $E$9)</f>
        <v>8.9504999999999999</v>
      </c>
      <c r="D611" s="80">
        <f>8.9515 * CHOOSE(CONTROL!$C$32, $C$9, 100%, $E$9)</f>
        <v>8.9514999999999993</v>
      </c>
      <c r="E611" s="81">
        <f>10.0076 * CHOOSE(CONTROL!$C$32, $C$9, 100%, $E$9)</f>
        <v>10.0076</v>
      </c>
      <c r="F611" s="81">
        <f>10.0076 * CHOOSE(CONTROL!$C$32, $C$9, 100%, $E$9)</f>
        <v>10.0076</v>
      </c>
      <c r="G611" s="81">
        <f>10.0112 * CHOOSE(CONTROL!$C$32, $C$9, 100%, $E$9)</f>
        <v>10.011200000000001</v>
      </c>
      <c r="H611" s="81">
        <f>20.1149 * CHOOSE(CONTROL!$C$32, $C$9, 100%, $E$9)</f>
        <v>20.114899999999999</v>
      </c>
      <c r="I611" s="81">
        <f>20.1185 * CHOOSE(CONTROL!$C$32, $C$9, 100%, $E$9)</f>
        <v>20.118500000000001</v>
      </c>
      <c r="J611" s="81">
        <f>20.1149 * CHOOSE(CONTROL!$C$32, $C$9, 100%, $E$9)</f>
        <v>20.114899999999999</v>
      </c>
      <c r="K611" s="81">
        <f>20.1185 * CHOOSE(CONTROL!$C$32, $C$9, 100%, $E$9)</f>
        <v>20.118500000000001</v>
      </c>
      <c r="L611" s="81">
        <f>10.0076 * CHOOSE(CONTROL!$C$32, $C$9, 100%, $E$9)</f>
        <v>10.0076</v>
      </c>
      <c r="M611" s="81">
        <f>10.0112 * CHOOSE(CONTROL!$C$32, $C$9, 100%, $E$9)</f>
        <v>10.011200000000001</v>
      </c>
      <c r="N611" s="81">
        <f>10.0076 * CHOOSE(CONTROL!$C$32, $C$9, 100%, $E$9)</f>
        <v>10.0076</v>
      </c>
      <c r="O611" s="81">
        <f>10.0112 * CHOOSE(CONTROL!$C$32, $C$9, 100%, $E$9)</f>
        <v>10.011200000000001</v>
      </c>
    </row>
    <row r="612" spans="1:15" ht="15" x14ac:dyDescent="0.2">
      <c r="A612" s="16">
        <v>59841</v>
      </c>
      <c r="B612" s="80">
        <f>8.9535 * CHOOSE(CONTROL!$C$32, $C$9, 100%, $E$9)</f>
        <v>8.9535</v>
      </c>
      <c r="C612" s="80">
        <f>8.9535 * CHOOSE(CONTROL!$C$32, $C$9, 100%, $E$9)</f>
        <v>8.9535</v>
      </c>
      <c r="D612" s="80">
        <f>8.9546 * CHOOSE(CONTROL!$C$32, $C$9, 100%, $E$9)</f>
        <v>8.9545999999999992</v>
      </c>
      <c r="E612" s="81">
        <f>10.0603 * CHOOSE(CONTROL!$C$32, $C$9, 100%, $E$9)</f>
        <v>10.0603</v>
      </c>
      <c r="F612" s="81">
        <f>10.0603 * CHOOSE(CONTROL!$C$32, $C$9, 100%, $E$9)</f>
        <v>10.0603</v>
      </c>
      <c r="G612" s="81">
        <f>10.064 * CHOOSE(CONTROL!$C$32, $C$9, 100%, $E$9)</f>
        <v>10.064</v>
      </c>
      <c r="H612" s="81">
        <f>20.1568 * CHOOSE(CONTROL!$C$32, $C$9, 100%, $E$9)</f>
        <v>20.1568</v>
      </c>
      <c r="I612" s="81">
        <f>20.1604 * CHOOSE(CONTROL!$C$32, $C$9, 100%, $E$9)</f>
        <v>20.160399999999999</v>
      </c>
      <c r="J612" s="81">
        <f>20.1568 * CHOOSE(CONTROL!$C$32, $C$9, 100%, $E$9)</f>
        <v>20.1568</v>
      </c>
      <c r="K612" s="81">
        <f>20.1604 * CHOOSE(CONTROL!$C$32, $C$9, 100%, $E$9)</f>
        <v>20.160399999999999</v>
      </c>
      <c r="L612" s="81">
        <f>10.0603 * CHOOSE(CONTROL!$C$32, $C$9, 100%, $E$9)</f>
        <v>10.0603</v>
      </c>
      <c r="M612" s="81">
        <f>10.064 * CHOOSE(CONTROL!$C$32, $C$9, 100%, $E$9)</f>
        <v>10.064</v>
      </c>
      <c r="N612" s="81">
        <f>10.0603 * CHOOSE(CONTROL!$C$32, $C$9, 100%, $E$9)</f>
        <v>10.0603</v>
      </c>
      <c r="O612" s="81">
        <f>10.064 * CHOOSE(CONTROL!$C$32, $C$9, 100%, $E$9)</f>
        <v>10.064</v>
      </c>
    </row>
    <row r="613" spans="1:15" ht="15" x14ac:dyDescent="0.2">
      <c r="A613" s="16">
        <v>59871</v>
      </c>
      <c r="B613" s="80">
        <f>8.9535 * CHOOSE(CONTROL!$C$32, $C$9, 100%, $E$9)</f>
        <v>8.9535</v>
      </c>
      <c r="C613" s="80">
        <f>8.9535 * CHOOSE(CONTROL!$C$32, $C$9, 100%, $E$9)</f>
        <v>8.9535</v>
      </c>
      <c r="D613" s="80">
        <f>8.9546 * CHOOSE(CONTROL!$C$32, $C$9, 100%, $E$9)</f>
        <v>8.9545999999999992</v>
      </c>
      <c r="E613" s="81">
        <f>9.9337 * CHOOSE(CONTROL!$C$32, $C$9, 100%, $E$9)</f>
        <v>9.9337</v>
      </c>
      <c r="F613" s="81">
        <f>9.9337 * CHOOSE(CONTROL!$C$32, $C$9, 100%, $E$9)</f>
        <v>9.9337</v>
      </c>
      <c r="G613" s="81">
        <f>9.9373 * CHOOSE(CONTROL!$C$32, $C$9, 100%, $E$9)</f>
        <v>9.9373000000000005</v>
      </c>
      <c r="H613" s="81">
        <f>20.1988 * CHOOSE(CONTROL!$C$32, $C$9, 100%, $E$9)</f>
        <v>20.198799999999999</v>
      </c>
      <c r="I613" s="81">
        <f>20.2024 * CHOOSE(CONTROL!$C$32, $C$9, 100%, $E$9)</f>
        <v>20.202400000000001</v>
      </c>
      <c r="J613" s="81">
        <f>20.1988 * CHOOSE(CONTROL!$C$32, $C$9, 100%, $E$9)</f>
        <v>20.198799999999999</v>
      </c>
      <c r="K613" s="81">
        <f>20.2024 * CHOOSE(CONTROL!$C$32, $C$9, 100%, $E$9)</f>
        <v>20.202400000000001</v>
      </c>
      <c r="L613" s="81">
        <f>9.9337 * CHOOSE(CONTROL!$C$32, $C$9, 100%, $E$9)</f>
        <v>9.9337</v>
      </c>
      <c r="M613" s="81">
        <f>9.9373 * CHOOSE(CONTROL!$C$32, $C$9, 100%, $E$9)</f>
        <v>9.9373000000000005</v>
      </c>
      <c r="N613" s="81">
        <f>9.9337 * CHOOSE(CONTROL!$C$32, $C$9, 100%, $E$9)</f>
        <v>9.9337</v>
      </c>
      <c r="O613" s="81">
        <f>9.9373 * CHOOSE(CONTROL!$C$32, $C$9, 100%, $E$9)</f>
        <v>9.9373000000000005</v>
      </c>
    </row>
    <row r="614" spans="1:15" ht="15" x14ac:dyDescent="0.2">
      <c r="A614" s="16">
        <v>59902</v>
      </c>
      <c r="B614" s="80">
        <f>9.0069 * CHOOSE(CONTROL!$C$32, $C$9, 100%, $E$9)</f>
        <v>9.0068999999999999</v>
      </c>
      <c r="C614" s="80">
        <f>9.0069 * CHOOSE(CONTROL!$C$32, $C$9, 100%, $E$9)</f>
        <v>9.0068999999999999</v>
      </c>
      <c r="D614" s="80">
        <f>9.008 * CHOOSE(CONTROL!$C$32, $C$9, 100%, $E$9)</f>
        <v>9.0079999999999991</v>
      </c>
      <c r="E614" s="81">
        <f>10.0955 * CHOOSE(CONTROL!$C$32, $C$9, 100%, $E$9)</f>
        <v>10.095499999999999</v>
      </c>
      <c r="F614" s="81">
        <f>10.0955 * CHOOSE(CONTROL!$C$32, $C$9, 100%, $E$9)</f>
        <v>10.095499999999999</v>
      </c>
      <c r="G614" s="81">
        <f>10.0991 * CHOOSE(CONTROL!$C$32, $C$9, 100%, $E$9)</f>
        <v>10.0991</v>
      </c>
      <c r="H614" s="81">
        <f>20.2057 * CHOOSE(CONTROL!$C$32, $C$9, 100%, $E$9)</f>
        <v>20.2057</v>
      </c>
      <c r="I614" s="81">
        <f>20.2093 * CHOOSE(CONTROL!$C$32, $C$9, 100%, $E$9)</f>
        <v>20.209299999999999</v>
      </c>
      <c r="J614" s="81">
        <f>20.2057 * CHOOSE(CONTROL!$C$32, $C$9, 100%, $E$9)</f>
        <v>20.2057</v>
      </c>
      <c r="K614" s="81">
        <f>20.2093 * CHOOSE(CONTROL!$C$32, $C$9, 100%, $E$9)</f>
        <v>20.209299999999999</v>
      </c>
      <c r="L614" s="81">
        <f>10.0955 * CHOOSE(CONTROL!$C$32, $C$9, 100%, $E$9)</f>
        <v>10.095499999999999</v>
      </c>
      <c r="M614" s="81">
        <f>10.0991 * CHOOSE(CONTROL!$C$32, $C$9, 100%, $E$9)</f>
        <v>10.0991</v>
      </c>
      <c r="N614" s="81">
        <f>10.0955 * CHOOSE(CONTROL!$C$32, $C$9, 100%, $E$9)</f>
        <v>10.095499999999999</v>
      </c>
      <c r="O614" s="81">
        <f>10.0991 * CHOOSE(CONTROL!$C$32, $C$9, 100%, $E$9)</f>
        <v>10.0991</v>
      </c>
    </row>
    <row r="615" spans="1:15" ht="15" x14ac:dyDescent="0.2">
      <c r="A615" s="16">
        <v>59933</v>
      </c>
      <c r="B615" s="80">
        <f>9.0039 * CHOOSE(CONTROL!$C$32, $C$9, 100%, $E$9)</f>
        <v>9.0038999999999998</v>
      </c>
      <c r="C615" s="80">
        <f>9.0039 * CHOOSE(CONTROL!$C$32, $C$9, 100%, $E$9)</f>
        <v>9.0038999999999998</v>
      </c>
      <c r="D615" s="80">
        <f>9.005 * CHOOSE(CONTROL!$C$32, $C$9, 100%, $E$9)</f>
        <v>9.0050000000000008</v>
      </c>
      <c r="E615" s="81">
        <f>9.847 * CHOOSE(CONTROL!$C$32, $C$9, 100%, $E$9)</f>
        <v>9.8469999999999995</v>
      </c>
      <c r="F615" s="81">
        <f>9.847 * CHOOSE(CONTROL!$C$32, $C$9, 100%, $E$9)</f>
        <v>9.8469999999999995</v>
      </c>
      <c r="G615" s="81">
        <f>9.8506 * CHOOSE(CONTROL!$C$32, $C$9, 100%, $E$9)</f>
        <v>9.8506</v>
      </c>
      <c r="H615" s="81">
        <f>20.2478 * CHOOSE(CONTROL!$C$32, $C$9, 100%, $E$9)</f>
        <v>20.247800000000002</v>
      </c>
      <c r="I615" s="81">
        <f>20.2514 * CHOOSE(CONTROL!$C$32, $C$9, 100%, $E$9)</f>
        <v>20.2514</v>
      </c>
      <c r="J615" s="81">
        <f>20.2478 * CHOOSE(CONTROL!$C$32, $C$9, 100%, $E$9)</f>
        <v>20.247800000000002</v>
      </c>
      <c r="K615" s="81">
        <f>20.2514 * CHOOSE(CONTROL!$C$32, $C$9, 100%, $E$9)</f>
        <v>20.2514</v>
      </c>
      <c r="L615" s="81">
        <f>9.847 * CHOOSE(CONTROL!$C$32, $C$9, 100%, $E$9)</f>
        <v>9.8469999999999995</v>
      </c>
      <c r="M615" s="81">
        <f>9.8506 * CHOOSE(CONTROL!$C$32, $C$9, 100%, $E$9)</f>
        <v>9.8506</v>
      </c>
      <c r="N615" s="81">
        <f>9.847 * CHOOSE(CONTROL!$C$32, $C$9, 100%, $E$9)</f>
        <v>9.8469999999999995</v>
      </c>
      <c r="O615" s="81">
        <f>9.8506 * CHOOSE(CONTROL!$C$32, $C$9, 100%, $E$9)</f>
        <v>9.8506</v>
      </c>
    </row>
    <row r="616" spans="1:15" ht="15" x14ac:dyDescent="0.2">
      <c r="A616" s="16">
        <v>59962</v>
      </c>
      <c r="B616" s="80">
        <f>9.0008 * CHOOSE(CONTROL!$C$32, $C$9, 100%, $E$9)</f>
        <v>9.0007999999999999</v>
      </c>
      <c r="C616" s="80">
        <f>9.0008 * CHOOSE(CONTROL!$C$32, $C$9, 100%, $E$9)</f>
        <v>9.0007999999999999</v>
      </c>
      <c r="D616" s="80">
        <f>9.0019 * CHOOSE(CONTROL!$C$32, $C$9, 100%, $E$9)</f>
        <v>9.0018999999999991</v>
      </c>
      <c r="E616" s="81">
        <f>10.0391 * CHOOSE(CONTROL!$C$32, $C$9, 100%, $E$9)</f>
        <v>10.039099999999999</v>
      </c>
      <c r="F616" s="81">
        <f>10.0391 * CHOOSE(CONTROL!$C$32, $C$9, 100%, $E$9)</f>
        <v>10.039099999999999</v>
      </c>
      <c r="G616" s="81">
        <f>10.0427 * CHOOSE(CONTROL!$C$32, $C$9, 100%, $E$9)</f>
        <v>10.0427</v>
      </c>
      <c r="H616" s="81">
        <f>20.2899 * CHOOSE(CONTROL!$C$32, $C$9, 100%, $E$9)</f>
        <v>20.289899999999999</v>
      </c>
      <c r="I616" s="81">
        <f>20.2936 * CHOOSE(CONTROL!$C$32, $C$9, 100%, $E$9)</f>
        <v>20.293600000000001</v>
      </c>
      <c r="J616" s="81">
        <f>20.2899 * CHOOSE(CONTROL!$C$32, $C$9, 100%, $E$9)</f>
        <v>20.289899999999999</v>
      </c>
      <c r="K616" s="81">
        <f>20.2936 * CHOOSE(CONTROL!$C$32, $C$9, 100%, $E$9)</f>
        <v>20.293600000000001</v>
      </c>
      <c r="L616" s="81">
        <f>10.0391 * CHOOSE(CONTROL!$C$32, $C$9, 100%, $E$9)</f>
        <v>10.039099999999999</v>
      </c>
      <c r="M616" s="81">
        <f>10.0427 * CHOOSE(CONTROL!$C$32, $C$9, 100%, $E$9)</f>
        <v>10.0427</v>
      </c>
      <c r="N616" s="81">
        <f>10.0391 * CHOOSE(CONTROL!$C$32, $C$9, 100%, $E$9)</f>
        <v>10.039099999999999</v>
      </c>
      <c r="O616" s="81">
        <f>10.0427 * CHOOSE(CONTROL!$C$32, $C$9, 100%, $E$9)</f>
        <v>10.0427</v>
      </c>
    </row>
    <row r="617" spans="1:15" ht="15" x14ac:dyDescent="0.2">
      <c r="A617" s="16">
        <v>59993</v>
      </c>
      <c r="B617" s="80">
        <f>9.0033 * CHOOSE(CONTROL!$C$32, $C$9, 100%, $E$9)</f>
        <v>9.0032999999999994</v>
      </c>
      <c r="C617" s="80">
        <f>9.0033 * CHOOSE(CONTROL!$C$32, $C$9, 100%, $E$9)</f>
        <v>9.0032999999999994</v>
      </c>
      <c r="D617" s="80">
        <f>9.0044 * CHOOSE(CONTROL!$C$32, $C$9, 100%, $E$9)</f>
        <v>9.0044000000000004</v>
      </c>
      <c r="E617" s="81">
        <f>10.2435 * CHOOSE(CONTROL!$C$32, $C$9, 100%, $E$9)</f>
        <v>10.243499999999999</v>
      </c>
      <c r="F617" s="81">
        <f>10.2435 * CHOOSE(CONTROL!$C$32, $C$9, 100%, $E$9)</f>
        <v>10.243499999999999</v>
      </c>
      <c r="G617" s="81">
        <f>10.2471 * CHOOSE(CONTROL!$C$32, $C$9, 100%, $E$9)</f>
        <v>10.2471</v>
      </c>
      <c r="H617" s="81">
        <f>20.3322 * CHOOSE(CONTROL!$C$32, $C$9, 100%, $E$9)</f>
        <v>20.3322</v>
      </c>
      <c r="I617" s="81">
        <f>20.3358 * CHOOSE(CONTROL!$C$32, $C$9, 100%, $E$9)</f>
        <v>20.335799999999999</v>
      </c>
      <c r="J617" s="81">
        <f>20.3322 * CHOOSE(CONTROL!$C$32, $C$9, 100%, $E$9)</f>
        <v>20.3322</v>
      </c>
      <c r="K617" s="81">
        <f>20.3358 * CHOOSE(CONTROL!$C$32, $C$9, 100%, $E$9)</f>
        <v>20.335799999999999</v>
      </c>
      <c r="L617" s="81">
        <f>10.2435 * CHOOSE(CONTROL!$C$32, $C$9, 100%, $E$9)</f>
        <v>10.243499999999999</v>
      </c>
      <c r="M617" s="81">
        <f>10.2471 * CHOOSE(CONTROL!$C$32, $C$9, 100%, $E$9)</f>
        <v>10.2471</v>
      </c>
      <c r="N617" s="81">
        <f>10.2435 * CHOOSE(CONTROL!$C$32, $C$9, 100%, $E$9)</f>
        <v>10.243499999999999</v>
      </c>
      <c r="O617" s="81">
        <f>10.2471 * CHOOSE(CONTROL!$C$32, $C$9, 100%, $E$9)</f>
        <v>10.2471</v>
      </c>
    </row>
    <row r="618" spans="1:15" ht="15" x14ac:dyDescent="0.2">
      <c r="A618" s="16">
        <v>60023</v>
      </c>
      <c r="B618" s="80">
        <f>9.0033 * CHOOSE(CONTROL!$C$32, $C$9, 100%, $E$9)</f>
        <v>9.0032999999999994</v>
      </c>
      <c r="C618" s="80">
        <f>9.0033 * CHOOSE(CONTROL!$C$32, $C$9, 100%, $E$9)</f>
        <v>9.0032999999999994</v>
      </c>
      <c r="D618" s="80">
        <f>9.0049 * CHOOSE(CONTROL!$C$32, $C$9, 100%, $E$9)</f>
        <v>9.0048999999999992</v>
      </c>
      <c r="E618" s="81">
        <f>10.3217 * CHOOSE(CONTROL!$C$32, $C$9, 100%, $E$9)</f>
        <v>10.3217</v>
      </c>
      <c r="F618" s="81">
        <f>10.3217 * CHOOSE(CONTROL!$C$32, $C$9, 100%, $E$9)</f>
        <v>10.3217</v>
      </c>
      <c r="G618" s="81">
        <f>10.327 * CHOOSE(CONTROL!$C$32, $C$9, 100%, $E$9)</f>
        <v>10.327</v>
      </c>
      <c r="H618" s="81">
        <f>20.3746 * CHOOSE(CONTROL!$C$32, $C$9, 100%, $E$9)</f>
        <v>20.374600000000001</v>
      </c>
      <c r="I618" s="81">
        <f>20.3799 * CHOOSE(CONTROL!$C$32, $C$9, 100%, $E$9)</f>
        <v>20.379899999999999</v>
      </c>
      <c r="J618" s="81">
        <f>20.3746 * CHOOSE(CONTROL!$C$32, $C$9, 100%, $E$9)</f>
        <v>20.374600000000001</v>
      </c>
      <c r="K618" s="81">
        <f>20.3799 * CHOOSE(CONTROL!$C$32, $C$9, 100%, $E$9)</f>
        <v>20.379899999999999</v>
      </c>
      <c r="L618" s="81">
        <f>10.3217 * CHOOSE(CONTROL!$C$32, $C$9, 100%, $E$9)</f>
        <v>10.3217</v>
      </c>
      <c r="M618" s="81">
        <f>10.327 * CHOOSE(CONTROL!$C$32, $C$9, 100%, $E$9)</f>
        <v>10.327</v>
      </c>
      <c r="N618" s="81">
        <f>10.3217 * CHOOSE(CONTROL!$C$32, $C$9, 100%, $E$9)</f>
        <v>10.3217</v>
      </c>
      <c r="O618" s="81">
        <f>10.327 * CHOOSE(CONTROL!$C$32, $C$9, 100%, $E$9)</f>
        <v>10.327</v>
      </c>
    </row>
    <row r="619" spans="1:15" ht="15" x14ac:dyDescent="0.2">
      <c r="A619" s="16">
        <v>60054</v>
      </c>
      <c r="B619" s="80">
        <f>9.0094 * CHOOSE(CONTROL!$C$32, $C$9, 100%, $E$9)</f>
        <v>9.0093999999999994</v>
      </c>
      <c r="C619" s="80">
        <f>9.0094 * CHOOSE(CONTROL!$C$32, $C$9, 100%, $E$9)</f>
        <v>9.0093999999999994</v>
      </c>
      <c r="D619" s="80">
        <f>9.011 * CHOOSE(CONTROL!$C$32, $C$9, 100%, $E$9)</f>
        <v>9.0109999999999992</v>
      </c>
      <c r="E619" s="81">
        <f>10.2477 * CHOOSE(CONTROL!$C$32, $C$9, 100%, $E$9)</f>
        <v>10.2477</v>
      </c>
      <c r="F619" s="81">
        <f>10.2477 * CHOOSE(CONTROL!$C$32, $C$9, 100%, $E$9)</f>
        <v>10.2477</v>
      </c>
      <c r="G619" s="81">
        <f>10.253 * CHOOSE(CONTROL!$C$32, $C$9, 100%, $E$9)</f>
        <v>10.253</v>
      </c>
      <c r="H619" s="81">
        <f>20.417 * CHOOSE(CONTROL!$C$32, $C$9, 100%, $E$9)</f>
        <v>20.417000000000002</v>
      </c>
      <c r="I619" s="81">
        <f>20.4223 * CHOOSE(CONTROL!$C$32, $C$9, 100%, $E$9)</f>
        <v>20.4223</v>
      </c>
      <c r="J619" s="81">
        <f>20.417 * CHOOSE(CONTROL!$C$32, $C$9, 100%, $E$9)</f>
        <v>20.417000000000002</v>
      </c>
      <c r="K619" s="81">
        <f>20.4223 * CHOOSE(CONTROL!$C$32, $C$9, 100%, $E$9)</f>
        <v>20.4223</v>
      </c>
      <c r="L619" s="81">
        <f>10.2477 * CHOOSE(CONTROL!$C$32, $C$9, 100%, $E$9)</f>
        <v>10.2477</v>
      </c>
      <c r="M619" s="81">
        <f>10.253 * CHOOSE(CONTROL!$C$32, $C$9, 100%, $E$9)</f>
        <v>10.253</v>
      </c>
      <c r="N619" s="81">
        <f>10.2477 * CHOOSE(CONTROL!$C$32, $C$9, 100%, $E$9)</f>
        <v>10.2477</v>
      </c>
      <c r="O619" s="81">
        <f>10.253 * CHOOSE(CONTROL!$C$32, $C$9, 100%, $E$9)</f>
        <v>10.253</v>
      </c>
    </row>
    <row r="620" spans="1:15" ht="15" x14ac:dyDescent="0.2">
      <c r="A620" s="16">
        <v>60084</v>
      </c>
      <c r="B620" s="80">
        <f>9.1229 * CHOOSE(CONTROL!$C$32, $C$9, 100%, $E$9)</f>
        <v>9.1228999999999996</v>
      </c>
      <c r="C620" s="80">
        <f>9.1229 * CHOOSE(CONTROL!$C$32, $C$9, 100%, $E$9)</f>
        <v>9.1228999999999996</v>
      </c>
      <c r="D620" s="80">
        <f>9.1245 * CHOOSE(CONTROL!$C$32, $C$9, 100%, $E$9)</f>
        <v>9.1244999999999994</v>
      </c>
      <c r="E620" s="81">
        <f>10.3906 * CHOOSE(CONTROL!$C$32, $C$9, 100%, $E$9)</f>
        <v>10.390599999999999</v>
      </c>
      <c r="F620" s="81">
        <f>10.3906 * CHOOSE(CONTROL!$C$32, $C$9, 100%, $E$9)</f>
        <v>10.390599999999999</v>
      </c>
      <c r="G620" s="81">
        <f>10.3959 * CHOOSE(CONTROL!$C$32, $C$9, 100%, $E$9)</f>
        <v>10.395899999999999</v>
      </c>
      <c r="H620" s="81">
        <f>20.4596 * CHOOSE(CONTROL!$C$32, $C$9, 100%, $E$9)</f>
        <v>20.459599999999998</v>
      </c>
      <c r="I620" s="81">
        <f>20.4649 * CHOOSE(CONTROL!$C$32, $C$9, 100%, $E$9)</f>
        <v>20.4649</v>
      </c>
      <c r="J620" s="81">
        <f>20.4596 * CHOOSE(CONTROL!$C$32, $C$9, 100%, $E$9)</f>
        <v>20.459599999999998</v>
      </c>
      <c r="K620" s="81">
        <f>20.4649 * CHOOSE(CONTROL!$C$32, $C$9, 100%, $E$9)</f>
        <v>20.4649</v>
      </c>
      <c r="L620" s="81">
        <f>10.3906 * CHOOSE(CONTROL!$C$32, $C$9, 100%, $E$9)</f>
        <v>10.390599999999999</v>
      </c>
      <c r="M620" s="81">
        <f>10.3959 * CHOOSE(CONTROL!$C$32, $C$9, 100%, $E$9)</f>
        <v>10.395899999999999</v>
      </c>
      <c r="N620" s="81">
        <f>10.3906 * CHOOSE(CONTROL!$C$32, $C$9, 100%, $E$9)</f>
        <v>10.390599999999999</v>
      </c>
      <c r="O620" s="81">
        <f>10.3959 * CHOOSE(CONTROL!$C$32, $C$9, 100%, $E$9)</f>
        <v>10.395899999999999</v>
      </c>
    </row>
    <row r="621" spans="1:15" ht="15" x14ac:dyDescent="0.2">
      <c r="A621" s="16">
        <v>60115</v>
      </c>
      <c r="B621" s="80">
        <f>9.1296 * CHOOSE(CONTROL!$C$32, $C$9, 100%, $E$9)</f>
        <v>9.1295999999999999</v>
      </c>
      <c r="C621" s="80">
        <f>9.1296 * CHOOSE(CONTROL!$C$32, $C$9, 100%, $E$9)</f>
        <v>9.1295999999999999</v>
      </c>
      <c r="D621" s="80">
        <f>9.1312 * CHOOSE(CONTROL!$C$32, $C$9, 100%, $E$9)</f>
        <v>9.1311999999999998</v>
      </c>
      <c r="E621" s="81">
        <f>10.1606 * CHOOSE(CONTROL!$C$32, $C$9, 100%, $E$9)</f>
        <v>10.160600000000001</v>
      </c>
      <c r="F621" s="81">
        <f>10.1606 * CHOOSE(CONTROL!$C$32, $C$9, 100%, $E$9)</f>
        <v>10.160600000000001</v>
      </c>
      <c r="G621" s="81">
        <f>10.1659 * CHOOSE(CONTROL!$C$32, $C$9, 100%, $E$9)</f>
        <v>10.165900000000001</v>
      </c>
      <c r="H621" s="81">
        <f>20.5022 * CHOOSE(CONTROL!$C$32, $C$9, 100%, $E$9)</f>
        <v>20.502199999999998</v>
      </c>
      <c r="I621" s="81">
        <f>20.5075 * CHOOSE(CONTROL!$C$32, $C$9, 100%, $E$9)</f>
        <v>20.5075</v>
      </c>
      <c r="J621" s="81">
        <f>20.5022 * CHOOSE(CONTROL!$C$32, $C$9, 100%, $E$9)</f>
        <v>20.502199999999998</v>
      </c>
      <c r="K621" s="81">
        <f>20.5075 * CHOOSE(CONTROL!$C$32, $C$9, 100%, $E$9)</f>
        <v>20.5075</v>
      </c>
      <c r="L621" s="81">
        <f>10.1606 * CHOOSE(CONTROL!$C$32, $C$9, 100%, $E$9)</f>
        <v>10.160600000000001</v>
      </c>
      <c r="M621" s="81">
        <f>10.1659 * CHOOSE(CONTROL!$C$32, $C$9, 100%, $E$9)</f>
        <v>10.165900000000001</v>
      </c>
      <c r="N621" s="81">
        <f>10.1606 * CHOOSE(CONTROL!$C$32, $C$9, 100%, $E$9)</f>
        <v>10.160600000000001</v>
      </c>
      <c r="O621" s="81">
        <f>10.1659 * CHOOSE(CONTROL!$C$32, $C$9, 100%, $E$9)</f>
        <v>10.165900000000001</v>
      </c>
    </row>
    <row r="622" spans="1:15" ht="15" x14ac:dyDescent="0.2">
      <c r="A622" s="16">
        <v>60146</v>
      </c>
      <c r="B622" s="80">
        <f>9.1266 * CHOOSE(CONTROL!$C$32, $C$9, 100%, $E$9)</f>
        <v>9.1265999999999998</v>
      </c>
      <c r="C622" s="80">
        <f>9.1266 * CHOOSE(CONTROL!$C$32, $C$9, 100%, $E$9)</f>
        <v>9.1265999999999998</v>
      </c>
      <c r="D622" s="80">
        <f>9.1282 * CHOOSE(CONTROL!$C$32, $C$9, 100%, $E$9)</f>
        <v>9.1281999999999996</v>
      </c>
      <c r="E622" s="81">
        <f>10.1324 * CHOOSE(CONTROL!$C$32, $C$9, 100%, $E$9)</f>
        <v>10.132400000000001</v>
      </c>
      <c r="F622" s="81">
        <f>10.1324 * CHOOSE(CONTROL!$C$32, $C$9, 100%, $E$9)</f>
        <v>10.132400000000001</v>
      </c>
      <c r="G622" s="81">
        <f>10.1377 * CHOOSE(CONTROL!$C$32, $C$9, 100%, $E$9)</f>
        <v>10.137700000000001</v>
      </c>
      <c r="H622" s="81">
        <f>20.5449 * CHOOSE(CONTROL!$C$32, $C$9, 100%, $E$9)</f>
        <v>20.544899999999998</v>
      </c>
      <c r="I622" s="81">
        <f>20.5502 * CHOOSE(CONTROL!$C$32, $C$9, 100%, $E$9)</f>
        <v>20.5502</v>
      </c>
      <c r="J622" s="81">
        <f>20.5449 * CHOOSE(CONTROL!$C$32, $C$9, 100%, $E$9)</f>
        <v>20.544899999999998</v>
      </c>
      <c r="K622" s="81">
        <f>20.5502 * CHOOSE(CONTROL!$C$32, $C$9, 100%, $E$9)</f>
        <v>20.5502</v>
      </c>
      <c r="L622" s="81">
        <f>10.1324 * CHOOSE(CONTROL!$C$32, $C$9, 100%, $E$9)</f>
        <v>10.132400000000001</v>
      </c>
      <c r="M622" s="81">
        <f>10.1377 * CHOOSE(CONTROL!$C$32, $C$9, 100%, $E$9)</f>
        <v>10.137700000000001</v>
      </c>
      <c r="N622" s="81">
        <f>10.1324 * CHOOSE(CONTROL!$C$32, $C$9, 100%, $E$9)</f>
        <v>10.132400000000001</v>
      </c>
      <c r="O622" s="81">
        <f>10.1377 * CHOOSE(CONTROL!$C$32, $C$9, 100%, $E$9)</f>
        <v>10.137700000000001</v>
      </c>
    </row>
    <row r="623" spans="1:15" ht="15" x14ac:dyDescent="0.2">
      <c r="A623" s="16">
        <v>60176</v>
      </c>
      <c r="B623" s="80">
        <f>9.1408 * CHOOSE(CONTROL!$C$32, $C$9, 100%, $E$9)</f>
        <v>9.1408000000000005</v>
      </c>
      <c r="C623" s="80">
        <f>9.1408 * CHOOSE(CONTROL!$C$32, $C$9, 100%, $E$9)</f>
        <v>9.1408000000000005</v>
      </c>
      <c r="D623" s="80">
        <f>9.1418 * CHOOSE(CONTROL!$C$32, $C$9, 100%, $E$9)</f>
        <v>9.1417999999999999</v>
      </c>
      <c r="E623" s="81">
        <f>10.2233 * CHOOSE(CONTROL!$C$32, $C$9, 100%, $E$9)</f>
        <v>10.2233</v>
      </c>
      <c r="F623" s="81">
        <f>10.2233 * CHOOSE(CONTROL!$C$32, $C$9, 100%, $E$9)</f>
        <v>10.2233</v>
      </c>
      <c r="G623" s="81">
        <f>10.2269 * CHOOSE(CONTROL!$C$32, $C$9, 100%, $E$9)</f>
        <v>10.226900000000001</v>
      </c>
      <c r="H623" s="81">
        <f>20.5877 * CHOOSE(CONTROL!$C$32, $C$9, 100%, $E$9)</f>
        <v>20.587700000000002</v>
      </c>
      <c r="I623" s="81">
        <f>20.5913 * CHOOSE(CONTROL!$C$32, $C$9, 100%, $E$9)</f>
        <v>20.5913</v>
      </c>
      <c r="J623" s="81">
        <f>20.5877 * CHOOSE(CONTROL!$C$32, $C$9, 100%, $E$9)</f>
        <v>20.587700000000002</v>
      </c>
      <c r="K623" s="81">
        <f>20.5913 * CHOOSE(CONTROL!$C$32, $C$9, 100%, $E$9)</f>
        <v>20.5913</v>
      </c>
      <c r="L623" s="81">
        <f>10.2233 * CHOOSE(CONTROL!$C$32, $C$9, 100%, $E$9)</f>
        <v>10.2233</v>
      </c>
      <c r="M623" s="81">
        <f>10.2269 * CHOOSE(CONTROL!$C$32, $C$9, 100%, $E$9)</f>
        <v>10.226900000000001</v>
      </c>
      <c r="N623" s="81">
        <f>10.2233 * CHOOSE(CONTROL!$C$32, $C$9, 100%, $E$9)</f>
        <v>10.2233</v>
      </c>
      <c r="O623" s="81">
        <f>10.2269 * CHOOSE(CONTROL!$C$32, $C$9, 100%, $E$9)</f>
        <v>10.226900000000001</v>
      </c>
    </row>
    <row r="624" spans="1:15" ht="15" x14ac:dyDescent="0.2">
      <c r="A624" s="16">
        <v>60207</v>
      </c>
      <c r="B624" s="80">
        <f>9.1438 * CHOOSE(CONTROL!$C$32, $C$9, 100%, $E$9)</f>
        <v>9.1438000000000006</v>
      </c>
      <c r="C624" s="80">
        <f>9.1438 * CHOOSE(CONTROL!$C$32, $C$9, 100%, $E$9)</f>
        <v>9.1438000000000006</v>
      </c>
      <c r="D624" s="80">
        <f>9.1449 * CHOOSE(CONTROL!$C$32, $C$9, 100%, $E$9)</f>
        <v>9.1448999999999998</v>
      </c>
      <c r="E624" s="81">
        <f>10.2775 * CHOOSE(CONTROL!$C$32, $C$9, 100%, $E$9)</f>
        <v>10.2775</v>
      </c>
      <c r="F624" s="81">
        <f>10.2775 * CHOOSE(CONTROL!$C$32, $C$9, 100%, $E$9)</f>
        <v>10.2775</v>
      </c>
      <c r="G624" s="81">
        <f>10.2811 * CHOOSE(CONTROL!$C$32, $C$9, 100%, $E$9)</f>
        <v>10.2811</v>
      </c>
      <c r="H624" s="81">
        <f>20.6306 * CHOOSE(CONTROL!$C$32, $C$9, 100%, $E$9)</f>
        <v>20.630600000000001</v>
      </c>
      <c r="I624" s="81">
        <f>20.6342 * CHOOSE(CONTROL!$C$32, $C$9, 100%, $E$9)</f>
        <v>20.6342</v>
      </c>
      <c r="J624" s="81">
        <f>20.6306 * CHOOSE(CONTROL!$C$32, $C$9, 100%, $E$9)</f>
        <v>20.630600000000001</v>
      </c>
      <c r="K624" s="81">
        <f>20.6342 * CHOOSE(CONTROL!$C$32, $C$9, 100%, $E$9)</f>
        <v>20.6342</v>
      </c>
      <c r="L624" s="81">
        <f>10.2775 * CHOOSE(CONTROL!$C$32, $C$9, 100%, $E$9)</f>
        <v>10.2775</v>
      </c>
      <c r="M624" s="81">
        <f>10.2811 * CHOOSE(CONTROL!$C$32, $C$9, 100%, $E$9)</f>
        <v>10.2811</v>
      </c>
      <c r="N624" s="81">
        <f>10.2775 * CHOOSE(CONTROL!$C$32, $C$9, 100%, $E$9)</f>
        <v>10.2775</v>
      </c>
      <c r="O624" s="81">
        <f>10.2811 * CHOOSE(CONTROL!$C$32, $C$9, 100%, $E$9)</f>
        <v>10.2811</v>
      </c>
    </row>
    <row r="625" spans="1:15" ht="15" x14ac:dyDescent="0.2">
      <c r="A625" s="16">
        <v>60237</v>
      </c>
      <c r="B625" s="80">
        <f>9.1438 * CHOOSE(CONTROL!$C$32, $C$9, 100%, $E$9)</f>
        <v>9.1438000000000006</v>
      </c>
      <c r="C625" s="80">
        <f>9.1438 * CHOOSE(CONTROL!$C$32, $C$9, 100%, $E$9)</f>
        <v>9.1438000000000006</v>
      </c>
      <c r="D625" s="80">
        <f>9.1449 * CHOOSE(CONTROL!$C$32, $C$9, 100%, $E$9)</f>
        <v>9.1448999999999998</v>
      </c>
      <c r="E625" s="81">
        <f>10.1471 * CHOOSE(CONTROL!$C$32, $C$9, 100%, $E$9)</f>
        <v>10.1471</v>
      </c>
      <c r="F625" s="81">
        <f>10.1471 * CHOOSE(CONTROL!$C$32, $C$9, 100%, $E$9)</f>
        <v>10.1471</v>
      </c>
      <c r="G625" s="81">
        <f>10.1508 * CHOOSE(CONTROL!$C$32, $C$9, 100%, $E$9)</f>
        <v>10.1508</v>
      </c>
      <c r="H625" s="81">
        <f>20.6736 * CHOOSE(CONTROL!$C$32, $C$9, 100%, $E$9)</f>
        <v>20.6736</v>
      </c>
      <c r="I625" s="81">
        <f>20.6772 * CHOOSE(CONTROL!$C$32, $C$9, 100%, $E$9)</f>
        <v>20.677199999999999</v>
      </c>
      <c r="J625" s="81">
        <f>20.6736 * CHOOSE(CONTROL!$C$32, $C$9, 100%, $E$9)</f>
        <v>20.6736</v>
      </c>
      <c r="K625" s="81">
        <f>20.6772 * CHOOSE(CONTROL!$C$32, $C$9, 100%, $E$9)</f>
        <v>20.677199999999999</v>
      </c>
      <c r="L625" s="81">
        <f>10.1471 * CHOOSE(CONTROL!$C$32, $C$9, 100%, $E$9)</f>
        <v>10.1471</v>
      </c>
      <c r="M625" s="81">
        <f>10.1508 * CHOOSE(CONTROL!$C$32, $C$9, 100%, $E$9)</f>
        <v>10.1508</v>
      </c>
      <c r="N625" s="81">
        <f>10.1471 * CHOOSE(CONTROL!$C$32, $C$9, 100%, $E$9)</f>
        <v>10.1471</v>
      </c>
      <c r="O625" s="81">
        <f>10.1508 * CHOOSE(CONTROL!$C$32, $C$9, 100%, $E$9)</f>
        <v>10.1508</v>
      </c>
    </row>
    <row r="626" spans="1:15" ht="15" x14ac:dyDescent="0.2">
      <c r="A626" s="16">
        <v>60268</v>
      </c>
      <c r="B626" s="80">
        <f>9.1943 * CHOOSE(CONTROL!$C$32, $C$9, 100%, $E$9)</f>
        <v>9.1943000000000001</v>
      </c>
      <c r="C626" s="80">
        <f>9.1943 * CHOOSE(CONTROL!$C$32, $C$9, 100%, $E$9)</f>
        <v>9.1943000000000001</v>
      </c>
      <c r="D626" s="80">
        <f>9.1954 * CHOOSE(CONTROL!$C$32, $C$9, 100%, $E$9)</f>
        <v>9.1953999999999994</v>
      </c>
      <c r="E626" s="81">
        <f>10.308 * CHOOSE(CONTROL!$C$32, $C$9, 100%, $E$9)</f>
        <v>10.308</v>
      </c>
      <c r="F626" s="81">
        <f>10.308 * CHOOSE(CONTROL!$C$32, $C$9, 100%, $E$9)</f>
        <v>10.308</v>
      </c>
      <c r="G626" s="81">
        <f>10.3116 * CHOOSE(CONTROL!$C$32, $C$9, 100%, $E$9)</f>
        <v>10.3116</v>
      </c>
      <c r="H626" s="81">
        <f>20.6697 * CHOOSE(CONTROL!$C$32, $C$9, 100%, $E$9)</f>
        <v>20.669699999999999</v>
      </c>
      <c r="I626" s="81">
        <f>20.6733 * CHOOSE(CONTROL!$C$32, $C$9, 100%, $E$9)</f>
        <v>20.673300000000001</v>
      </c>
      <c r="J626" s="81">
        <f>20.6697 * CHOOSE(CONTROL!$C$32, $C$9, 100%, $E$9)</f>
        <v>20.669699999999999</v>
      </c>
      <c r="K626" s="81">
        <f>20.6733 * CHOOSE(CONTROL!$C$32, $C$9, 100%, $E$9)</f>
        <v>20.673300000000001</v>
      </c>
      <c r="L626" s="81">
        <f>10.308 * CHOOSE(CONTROL!$C$32, $C$9, 100%, $E$9)</f>
        <v>10.308</v>
      </c>
      <c r="M626" s="81">
        <f>10.3116 * CHOOSE(CONTROL!$C$32, $C$9, 100%, $E$9)</f>
        <v>10.3116</v>
      </c>
      <c r="N626" s="81">
        <f>10.308 * CHOOSE(CONTROL!$C$32, $C$9, 100%, $E$9)</f>
        <v>10.308</v>
      </c>
      <c r="O626" s="81">
        <f>10.3116 * CHOOSE(CONTROL!$C$32, $C$9, 100%, $E$9)</f>
        <v>10.3116</v>
      </c>
    </row>
    <row r="627" spans="1:15" ht="15" x14ac:dyDescent="0.2">
      <c r="A627" s="16">
        <v>60299</v>
      </c>
      <c r="B627" s="80">
        <f>9.1912 * CHOOSE(CONTROL!$C$32, $C$9, 100%, $E$9)</f>
        <v>9.1912000000000003</v>
      </c>
      <c r="C627" s="80">
        <f>9.1912 * CHOOSE(CONTROL!$C$32, $C$9, 100%, $E$9)</f>
        <v>9.1912000000000003</v>
      </c>
      <c r="D627" s="80">
        <f>9.1923 * CHOOSE(CONTROL!$C$32, $C$9, 100%, $E$9)</f>
        <v>9.1922999999999995</v>
      </c>
      <c r="E627" s="81">
        <f>10.0524 * CHOOSE(CONTROL!$C$32, $C$9, 100%, $E$9)</f>
        <v>10.0524</v>
      </c>
      <c r="F627" s="81">
        <f>10.0524 * CHOOSE(CONTROL!$C$32, $C$9, 100%, $E$9)</f>
        <v>10.0524</v>
      </c>
      <c r="G627" s="81">
        <f>10.056 * CHOOSE(CONTROL!$C$32, $C$9, 100%, $E$9)</f>
        <v>10.055999999999999</v>
      </c>
      <c r="H627" s="81">
        <f>20.7128 * CHOOSE(CONTROL!$C$32, $C$9, 100%, $E$9)</f>
        <v>20.712800000000001</v>
      </c>
      <c r="I627" s="81">
        <f>20.7164 * CHOOSE(CONTROL!$C$32, $C$9, 100%, $E$9)</f>
        <v>20.7164</v>
      </c>
      <c r="J627" s="81">
        <f>20.7128 * CHOOSE(CONTROL!$C$32, $C$9, 100%, $E$9)</f>
        <v>20.712800000000001</v>
      </c>
      <c r="K627" s="81">
        <f>20.7164 * CHOOSE(CONTROL!$C$32, $C$9, 100%, $E$9)</f>
        <v>20.7164</v>
      </c>
      <c r="L627" s="81">
        <f>10.0524 * CHOOSE(CONTROL!$C$32, $C$9, 100%, $E$9)</f>
        <v>10.0524</v>
      </c>
      <c r="M627" s="81">
        <f>10.056 * CHOOSE(CONTROL!$C$32, $C$9, 100%, $E$9)</f>
        <v>10.055999999999999</v>
      </c>
      <c r="N627" s="81">
        <f>10.0524 * CHOOSE(CONTROL!$C$32, $C$9, 100%, $E$9)</f>
        <v>10.0524</v>
      </c>
      <c r="O627" s="81">
        <f>10.056 * CHOOSE(CONTROL!$C$32, $C$9, 100%, $E$9)</f>
        <v>10.055999999999999</v>
      </c>
    </row>
    <row r="628" spans="1:15" ht="15" x14ac:dyDescent="0.2">
      <c r="A628" s="16">
        <v>60327</v>
      </c>
      <c r="B628" s="80">
        <f>9.1882 * CHOOSE(CONTROL!$C$32, $C$9, 100%, $E$9)</f>
        <v>9.1882000000000001</v>
      </c>
      <c r="C628" s="80">
        <f>9.1882 * CHOOSE(CONTROL!$C$32, $C$9, 100%, $E$9)</f>
        <v>9.1882000000000001</v>
      </c>
      <c r="D628" s="80">
        <f>9.1893 * CHOOSE(CONTROL!$C$32, $C$9, 100%, $E$9)</f>
        <v>9.1892999999999994</v>
      </c>
      <c r="E628" s="81">
        <f>10.2501 * CHOOSE(CONTROL!$C$32, $C$9, 100%, $E$9)</f>
        <v>10.2501</v>
      </c>
      <c r="F628" s="81">
        <f>10.2501 * CHOOSE(CONTROL!$C$32, $C$9, 100%, $E$9)</f>
        <v>10.2501</v>
      </c>
      <c r="G628" s="81">
        <f>10.2537 * CHOOSE(CONTROL!$C$32, $C$9, 100%, $E$9)</f>
        <v>10.2537</v>
      </c>
      <c r="H628" s="81">
        <f>20.7559 * CHOOSE(CONTROL!$C$32, $C$9, 100%, $E$9)</f>
        <v>20.7559</v>
      </c>
      <c r="I628" s="81">
        <f>20.7595 * CHOOSE(CONTROL!$C$32, $C$9, 100%, $E$9)</f>
        <v>20.759499999999999</v>
      </c>
      <c r="J628" s="81">
        <f>20.7559 * CHOOSE(CONTROL!$C$32, $C$9, 100%, $E$9)</f>
        <v>20.7559</v>
      </c>
      <c r="K628" s="81">
        <f>20.7595 * CHOOSE(CONTROL!$C$32, $C$9, 100%, $E$9)</f>
        <v>20.759499999999999</v>
      </c>
      <c r="L628" s="81">
        <f>10.2501 * CHOOSE(CONTROL!$C$32, $C$9, 100%, $E$9)</f>
        <v>10.2501</v>
      </c>
      <c r="M628" s="81">
        <f>10.2537 * CHOOSE(CONTROL!$C$32, $C$9, 100%, $E$9)</f>
        <v>10.2537</v>
      </c>
      <c r="N628" s="81">
        <f>10.2501 * CHOOSE(CONTROL!$C$32, $C$9, 100%, $E$9)</f>
        <v>10.2501</v>
      </c>
      <c r="O628" s="81">
        <f>10.2537 * CHOOSE(CONTROL!$C$32, $C$9, 100%, $E$9)</f>
        <v>10.2537</v>
      </c>
    </row>
    <row r="629" spans="1:15" ht="15" x14ac:dyDescent="0.2">
      <c r="A629" s="16">
        <v>60358</v>
      </c>
      <c r="B629" s="80">
        <f>9.1909 * CHOOSE(CONTROL!$C$32, $C$9, 100%, $E$9)</f>
        <v>9.1908999999999992</v>
      </c>
      <c r="C629" s="80">
        <f>9.1909 * CHOOSE(CONTROL!$C$32, $C$9, 100%, $E$9)</f>
        <v>9.1908999999999992</v>
      </c>
      <c r="D629" s="80">
        <f>9.192 * CHOOSE(CONTROL!$C$32, $C$9, 100%, $E$9)</f>
        <v>9.1920000000000002</v>
      </c>
      <c r="E629" s="81">
        <f>10.4605 * CHOOSE(CONTROL!$C$32, $C$9, 100%, $E$9)</f>
        <v>10.4605</v>
      </c>
      <c r="F629" s="81">
        <f>10.4605 * CHOOSE(CONTROL!$C$32, $C$9, 100%, $E$9)</f>
        <v>10.4605</v>
      </c>
      <c r="G629" s="81">
        <f>10.4641 * CHOOSE(CONTROL!$C$32, $C$9, 100%, $E$9)</f>
        <v>10.4641</v>
      </c>
      <c r="H629" s="81">
        <f>20.7992 * CHOOSE(CONTROL!$C$32, $C$9, 100%, $E$9)</f>
        <v>20.799199999999999</v>
      </c>
      <c r="I629" s="81">
        <f>20.8028 * CHOOSE(CONTROL!$C$32, $C$9, 100%, $E$9)</f>
        <v>20.802800000000001</v>
      </c>
      <c r="J629" s="81">
        <f>20.7992 * CHOOSE(CONTROL!$C$32, $C$9, 100%, $E$9)</f>
        <v>20.799199999999999</v>
      </c>
      <c r="K629" s="81">
        <f>20.8028 * CHOOSE(CONTROL!$C$32, $C$9, 100%, $E$9)</f>
        <v>20.802800000000001</v>
      </c>
      <c r="L629" s="81">
        <f>10.4605 * CHOOSE(CONTROL!$C$32, $C$9, 100%, $E$9)</f>
        <v>10.4605</v>
      </c>
      <c r="M629" s="81">
        <f>10.4641 * CHOOSE(CONTROL!$C$32, $C$9, 100%, $E$9)</f>
        <v>10.4641</v>
      </c>
      <c r="N629" s="81">
        <f>10.4605 * CHOOSE(CONTROL!$C$32, $C$9, 100%, $E$9)</f>
        <v>10.4605</v>
      </c>
      <c r="O629" s="81">
        <f>10.4641 * CHOOSE(CONTROL!$C$32, $C$9, 100%, $E$9)</f>
        <v>10.4641</v>
      </c>
    </row>
    <row r="630" spans="1:15" ht="15" x14ac:dyDescent="0.2">
      <c r="A630" s="16">
        <v>60388</v>
      </c>
      <c r="B630" s="80">
        <f>9.1909 * CHOOSE(CONTROL!$C$32, $C$9, 100%, $E$9)</f>
        <v>9.1908999999999992</v>
      </c>
      <c r="C630" s="80">
        <f>9.1909 * CHOOSE(CONTROL!$C$32, $C$9, 100%, $E$9)</f>
        <v>9.1908999999999992</v>
      </c>
      <c r="D630" s="80">
        <f>9.1925 * CHOOSE(CONTROL!$C$32, $C$9, 100%, $E$9)</f>
        <v>9.1925000000000008</v>
      </c>
      <c r="E630" s="81">
        <f>10.541 * CHOOSE(CONTROL!$C$32, $C$9, 100%, $E$9)</f>
        <v>10.541</v>
      </c>
      <c r="F630" s="81">
        <f>10.541 * CHOOSE(CONTROL!$C$32, $C$9, 100%, $E$9)</f>
        <v>10.541</v>
      </c>
      <c r="G630" s="81">
        <f>10.5462 * CHOOSE(CONTROL!$C$32, $C$9, 100%, $E$9)</f>
        <v>10.546200000000001</v>
      </c>
      <c r="H630" s="81">
        <f>20.8425 * CHOOSE(CONTROL!$C$32, $C$9, 100%, $E$9)</f>
        <v>20.842500000000001</v>
      </c>
      <c r="I630" s="81">
        <f>20.8478 * CHOOSE(CONTROL!$C$32, $C$9, 100%, $E$9)</f>
        <v>20.847799999999999</v>
      </c>
      <c r="J630" s="81">
        <f>20.8425 * CHOOSE(CONTROL!$C$32, $C$9, 100%, $E$9)</f>
        <v>20.842500000000001</v>
      </c>
      <c r="K630" s="81">
        <f>20.8478 * CHOOSE(CONTROL!$C$32, $C$9, 100%, $E$9)</f>
        <v>20.847799999999999</v>
      </c>
      <c r="L630" s="81">
        <f>10.541 * CHOOSE(CONTROL!$C$32, $C$9, 100%, $E$9)</f>
        <v>10.541</v>
      </c>
      <c r="M630" s="81">
        <f>10.5462 * CHOOSE(CONTROL!$C$32, $C$9, 100%, $E$9)</f>
        <v>10.546200000000001</v>
      </c>
      <c r="N630" s="81">
        <f>10.541 * CHOOSE(CONTROL!$C$32, $C$9, 100%, $E$9)</f>
        <v>10.541</v>
      </c>
      <c r="O630" s="81">
        <f>10.5462 * CHOOSE(CONTROL!$C$32, $C$9, 100%, $E$9)</f>
        <v>10.546200000000001</v>
      </c>
    </row>
    <row r="631" spans="1:15" ht="15" x14ac:dyDescent="0.2">
      <c r="A631" s="16">
        <v>60419</v>
      </c>
      <c r="B631" s="80">
        <f>9.197 * CHOOSE(CONTROL!$C$32, $C$9, 100%, $E$9)</f>
        <v>9.1969999999999992</v>
      </c>
      <c r="C631" s="80">
        <f>9.197 * CHOOSE(CONTROL!$C$32, $C$9, 100%, $E$9)</f>
        <v>9.1969999999999992</v>
      </c>
      <c r="D631" s="80">
        <f>9.1985 * CHOOSE(CONTROL!$C$32, $C$9, 100%, $E$9)</f>
        <v>9.1984999999999992</v>
      </c>
      <c r="E631" s="81">
        <f>10.4647 * CHOOSE(CONTROL!$C$32, $C$9, 100%, $E$9)</f>
        <v>10.464700000000001</v>
      </c>
      <c r="F631" s="81">
        <f>10.4647 * CHOOSE(CONTROL!$C$32, $C$9, 100%, $E$9)</f>
        <v>10.464700000000001</v>
      </c>
      <c r="G631" s="81">
        <f>10.47 * CHOOSE(CONTROL!$C$32, $C$9, 100%, $E$9)</f>
        <v>10.47</v>
      </c>
      <c r="H631" s="81">
        <f>20.8859 * CHOOSE(CONTROL!$C$32, $C$9, 100%, $E$9)</f>
        <v>20.885899999999999</v>
      </c>
      <c r="I631" s="81">
        <f>20.8912 * CHOOSE(CONTROL!$C$32, $C$9, 100%, $E$9)</f>
        <v>20.891200000000001</v>
      </c>
      <c r="J631" s="81">
        <f>20.8859 * CHOOSE(CONTROL!$C$32, $C$9, 100%, $E$9)</f>
        <v>20.885899999999999</v>
      </c>
      <c r="K631" s="81">
        <f>20.8912 * CHOOSE(CONTROL!$C$32, $C$9, 100%, $E$9)</f>
        <v>20.891200000000001</v>
      </c>
      <c r="L631" s="81">
        <f>10.4647 * CHOOSE(CONTROL!$C$32, $C$9, 100%, $E$9)</f>
        <v>10.464700000000001</v>
      </c>
      <c r="M631" s="81">
        <f>10.47 * CHOOSE(CONTROL!$C$32, $C$9, 100%, $E$9)</f>
        <v>10.47</v>
      </c>
      <c r="N631" s="81">
        <f>10.4647 * CHOOSE(CONTROL!$C$32, $C$9, 100%, $E$9)</f>
        <v>10.464700000000001</v>
      </c>
      <c r="O631" s="81">
        <f>10.47 * CHOOSE(CONTROL!$C$32, $C$9, 100%, $E$9)</f>
        <v>10.47</v>
      </c>
    </row>
    <row r="632" spans="1:15" ht="15" x14ac:dyDescent="0.2">
      <c r="A632" s="16">
        <v>60449</v>
      </c>
      <c r="B632" s="80">
        <f>9.3125 * CHOOSE(CONTROL!$C$32, $C$9, 100%, $E$9)</f>
        <v>9.3125</v>
      </c>
      <c r="C632" s="80">
        <f>9.3125 * CHOOSE(CONTROL!$C$32, $C$9, 100%, $E$9)</f>
        <v>9.3125</v>
      </c>
      <c r="D632" s="80">
        <f>9.3141 * CHOOSE(CONTROL!$C$32, $C$9, 100%, $E$9)</f>
        <v>9.3140999999999998</v>
      </c>
      <c r="E632" s="81">
        <f>10.6108 * CHOOSE(CONTROL!$C$32, $C$9, 100%, $E$9)</f>
        <v>10.610799999999999</v>
      </c>
      <c r="F632" s="81">
        <f>10.6108 * CHOOSE(CONTROL!$C$32, $C$9, 100%, $E$9)</f>
        <v>10.610799999999999</v>
      </c>
      <c r="G632" s="81">
        <f>10.6161 * CHOOSE(CONTROL!$C$32, $C$9, 100%, $E$9)</f>
        <v>10.616099999999999</v>
      </c>
      <c r="H632" s="81">
        <f>20.9294 * CHOOSE(CONTROL!$C$32, $C$9, 100%, $E$9)</f>
        <v>20.929400000000001</v>
      </c>
      <c r="I632" s="81">
        <f>20.9347 * CHOOSE(CONTROL!$C$32, $C$9, 100%, $E$9)</f>
        <v>20.934699999999999</v>
      </c>
      <c r="J632" s="81">
        <f>20.9294 * CHOOSE(CONTROL!$C$32, $C$9, 100%, $E$9)</f>
        <v>20.929400000000001</v>
      </c>
      <c r="K632" s="81">
        <f>20.9347 * CHOOSE(CONTROL!$C$32, $C$9, 100%, $E$9)</f>
        <v>20.934699999999999</v>
      </c>
      <c r="L632" s="81">
        <f>10.6108 * CHOOSE(CONTROL!$C$32, $C$9, 100%, $E$9)</f>
        <v>10.610799999999999</v>
      </c>
      <c r="M632" s="81">
        <f>10.6161 * CHOOSE(CONTROL!$C$32, $C$9, 100%, $E$9)</f>
        <v>10.616099999999999</v>
      </c>
      <c r="N632" s="81">
        <f>10.6108 * CHOOSE(CONTROL!$C$32, $C$9, 100%, $E$9)</f>
        <v>10.610799999999999</v>
      </c>
      <c r="O632" s="81">
        <f>10.6161 * CHOOSE(CONTROL!$C$32, $C$9, 100%, $E$9)</f>
        <v>10.616099999999999</v>
      </c>
    </row>
    <row r="633" spans="1:15" ht="15" x14ac:dyDescent="0.2">
      <c r="A633" s="16">
        <v>60480</v>
      </c>
      <c r="B633" s="80">
        <f>9.3192 * CHOOSE(CONTROL!$C$32, $C$9, 100%, $E$9)</f>
        <v>9.3192000000000004</v>
      </c>
      <c r="C633" s="80">
        <f>9.3192 * CHOOSE(CONTROL!$C$32, $C$9, 100%, $E$9)</f>
        <v>9.3192000000000004</v>
      </c>
      <c r="D633" s="80">
        <f>9.3208 * CHOOSE(CONTROL!$C$32, $C$9, 100%, $E$9)</f>
        <v>9.3208000000000002</v>
      </c>
      <c r="E633" s="81">
        <f>10.374 * CHOOSE(CONTROL!$C$32, $C$9, 100%, $E$9)</f>
        <v>10.374000000000001</v>
      </c>
      <c r="F633" s="81">
        <f>10.374 * CHOOSE(CONTROL!$C$32, $C$9, 100%, $E$9)</f>
        <v>10.374000000000001</v>
      </c>
      <c r="G633" s="81">
        <f>10.3793 * CHOOSE(CONTROL!$C$32, $C$9, 100%, $E$9)</f>
        <v>10.379300000000001</v>
      </c>
      <c r="H633" s="81">
        <f>20.973 * CHOOSE(CONTROL!$C$32, $C$9, 100%, $E$9)</f>
        <v>20.972999999999999</v>
      </c>
      <c r="I633" s="81">
        <f>20.9783 * CHOOSE(CONTROL!$C$32, $C$9, 100%, $E$9)</f>
        <v>20.978300000000001</v>
      </c>
      <c r="J633" s="81">
        <f>20.973 * CHOOSE(CONTROL!$C$32, $C$9, 100%, $E$9)</f>
        <v>20.972999999999999</v>
      </c>
      <c r="K633" s="81">
        <f>20.9783 * CHOOSE(CONTROL!$C$32, $C$9, 100%, $E$9)</f>
        <v>20.978300000000001</v>
      </c>
      <c r="L633" s="81">
        <f>10.374 * CHOOSE(CONTROL!$C$32, $C$9, 100%, $E$9)</f>
        <v>10.374000000000001</v>
      </c>
      <c r="M633" s="81">
        <f>10.3793 * CHOOSE(CONTROL!$C$32, $C$9, 100%, $E$9)</f>
        <v>10.379300000000001</v>
      </c>
      <c r="N633" s="81">
        <f>10.374 * CHOOSE(CONTROL!$C$32, $C$9, 100%, $E$9)</f>
        <v>10.374000000000001</v>
      </c>
      <c r="O633" s="81">
        <f>10.3793 * CHOOSE(CONTROL!$C$32, $C$9, 100%, $E$9)</f>
        <v>10.379300000000001</v>
      </c>
    </row>
    <row r="634" spans="1:15" ht="15" x14ac:dyDescent="0.2">
      <c r="A634" s="16">
        <v>60511</v>
      </c>
      <c r="B634" s="80">
        <f>9.3162 * CHOOSE(CONTROL!$C$32, $C$9, 100%, $E$9)</f>
        <v>9.3162000000000003</v>
      </c>
      <c r="C634" s="80">
        <f>9.3162 * CHOOSE(CONTROL!$C$32, $C$9, 100%, $E$9)</f>
        <v>9.3162000000000003</v>
      </c>
      <c r="D634" s="80">
        <f>9.3178 * CHOOSE(CONTROL!$C$32, $C$9, 100%, $E$9)</f>
        <v>9.3178000000000001</v>
      </c>
      <c r="E634" s="81">
        <f>10.345 * CHOOSE(CONTROL!$C$32, $C$9, 100%, $E$9)</f>
        <v>10.345000000000001</v>
      </c>
      <c r="F634" s="81">
        <f>10.345 * CHOOSE(CONTROL!$C$32, $C$9, 100%, $E$9)</f>
        <v>10.345000000000001</v>
      </c>
      <c r="G634" s="81">
        <f>10.3503 * CHOOSE(CONTROL!$C$32, $C$9, 100%, $E$9)</f>
        <v>10.350300000000001</v>
      </c>
      <c r="H634" s="81">
        <f>21.0167 * CHOOSE(CONTROL!$C$32, $C$9, 100%, $E$9)</f>
        <v>21.0167</v>
      </c>
      <c r="I634" s="81">
        <f>21.022 * CHOOSE(CONTROL!$C$32, $C$9, 100%, $E$9)</f>
        <v>21.021999999999998</v>
      </c>
      <c r="J634" s="81">
        <f>21.0167 * CHOOSE(CONTROL!$C$32, $C$9, 100%, $E$9)</f>
        <v>21.0167</v>
      </c>
      <c r="K634" s="81">
        <f>21.022 * CHOOSE(CONTROL!$C$32, $C$9, 100%, $E$9)</f>
        <v>21.021999999999998</v>
      </c>
      <c r="L634" s="81">
        <f>10.345 * CHOOSE(CONTROL!$C$32, $C$9, 100%, $E$9)</f>
        <v>10.345000000000001</v>
      </c>
      <c r="M634" s="81">
        <f>10.3503 * CHOOSE(CONTROL!$C$32, $C$9, 100%, $E$9)</f>
        <v>10.350300000000001</v>
      </c>
      <c r="N634" s="81">
        <f>10.345 * CHOOSE(CONTROL!$C$32, $C$9, 100%, $E$9)</f>
        <v>10.345000000000001</v>
      </c>
      <c r="O634" s="81">
        <f>10.3503 * CHOOSE(CONTROL!$C$32, $C$9, 100%, $E$9)</f>
        <v>10.350300000000001</v>
      </c>
    </row>
    <row r="635" spans="1:15" ht="15" x14ac:dyDescent="0.2">
      <c r="A635" s="16">
        <v>60541</v>
      </c>
      <c r="B635" s="80">
        <f>9.3311 * CHOOSE(CONTROL!$C$32, $C$9, 100%, $E$9)</f>
        <v>9.3310999999999993</v>
      </c>
      <c r="C635" s="80">
        <f>9.3311 * CHOOSE(CONTROL!$C$32, $C$9, 100%, $E$9)</f>
        <v>9.3310999999999993</v>
      </c>
      <c r="D635" s="80">
        <f>9.3321 * CHOOSE(CONTROL!$C$32, $C$9, 100%, $E$9)</f>
        <v>9.3321000000000005</v>
      </c>
      <c r="E635" s="81">
        <f>10.4389 * CHOOSE(CONTROL!$C$32, $C$9, 100%, $E$9)</f>
        <v>10.4389</v>
      </c>
      <c r="F635" s="81">
        <f>10.4389 * CHOOSE(CONTROL!$C$32, $C$9, 100%, $E$9)</f>
        <v>10.4389</v>
      </c>
      <c r="G635" s="81">
        <f>10.4426 * CHOOSE(CONTROL!$C$32, $C$9, 100%, $E$9)</f>
        <v>10.442600000000001</v>
      </c>
      <c r="H635" s="81">
        <f>21.0605 * CHOOSE(CONTROL!$C$32, $C$9, 100%, $E$9)</f>
        <v>21.060500000000001</v>
      </c>
      <c r="I635" s="81">
        <f>21.0641 * CHOOSE(CONTROL!$C$32, $C$9, 100%, $E$9)</f>
        <v>21.0641</v>
      </c>
      <c r="J635" s="81">
        <f>21.0605 * CHOOSE(CONTROL!$C$32, $C$9, 100%, $E$9)</f>
        <v>21.060500000000001</v>
      </c>
      <c r="K635" s="81">
        <f>21.0641 * CHOOSE(CONTROL!$C$32, $C$9, 100%, $E$9)</f>
        <v>21.0641</v>
      </c>
      <c r="L635" s="81">
        <f>10.4389 * CHOOSE(CONTROL!$C$32, $C$9, 100%, $E$9)</f>
        <v>10.4389</v>
      </c>
      <c r="M635" s="81">
        <f>10.4426 * CHOOSE(CONTROL!$C$32, $C$9, 100%, $E$9)</f>
        <v>10.442600000000001</v>
      </c>
      <c r="N635" s="81">
        <f>10.4389 * CHOOSE(CONTROL!$C$32, $C$9, 100%, $E$9)</f>
        <v>10.4389</v>
      </c>
      <c r="O635" s="81">
        <f>10.4426 * CHOOSE(CONTROL!$C$32, $C$9, 100%, $E$9)</f>
        <v>10.442600000000001</v>
      </c>
    </row>
    <row r="636" spans="1:15" ht="15" x14ac:dyDescent="0.2">
      <c r="A636" s="16">
        <v>60572</v>
      </c>
      <c r="B636" s="80">
        <f>9.3341 * CHOOSE(CONTROL!$C$32, $C$9, 100%, $E$9)</f>
        <v>9.3340999999999994</v>
      </c>
      <c r="C636" s="80">
        <f>9.3341 * CHOOSE(CONTROL!$C$32, $C$9, 100%, $E$9)</f>
        <v>9.3340999999999994</v>
      </c>
      <c r="D636" s="80">
        <f>9.3352 * CHOOSE(CONTROL!$C$32, $C$9, 100%, $E$9)</f>
        <v>9.3352000000000004</v>
      </c>
      <c r="E636" s="81">
        <f>10.4947 * CHOOSE(CONTROL!$C$32, $C$9, 100%, $E$9)</f>
        <v>10.4947</v>
      </c>
      <c r="F636" s="81">
        <f>10.4947 * CHOOSE(CONTROL!$C$32, $C$9, 100%, $E$9)</f>
        <v>10.4947</v>
      </c>
      <c r="G636" s="81">
        <f>10.4983 * CHOOSE(CONTROL!$C$32, $C$9, 100%, $E$9)</f>
        <v>10.4983</v>
      </c>
      <c r="H636" s="81">
        <f>21.1044 * CHOOSE(CONTROL!$C$32, $C$9, 100%, $E$9)</f>
        <v>21.104399999999998</v>
      </c>
      <c r="I636" s="81">
        <f>21.108 * CHOOSE(CONTROL!$C$32, $C$9, 100%, $E$9)</f>
        <v>21.108000000000001</v>
      </c>
      <c r="J636" s="81">
        <f>21.1044 * CHOOSE(CONTROL!$C$32, $C$9, 100%, $E$9)</f>
        <v>21.104399999999998</v>
      </c>
      <c r="K636" s="81">
        <f>21.108 * CHOOSE(CONTROL!$C$32, $C$9, 100%, $E$9)</f>
        <v>21.108000000000001</v>
      </c>
      <c r="L636" s="81">
        <f>10.4947 * CHOOSE(CONTROL!$C$32, $C$9, 100%, $E$9)</f>
        <v>10.4947</v>
      </c>
      <c r="M636" s="81">
        <f>10.4983 * CHOOSE(CONTROL!$C$32, $C$9, 100%, $E$9)</f>
        <v>10.4983</v>
      </c>
      <c r="N636" s="81">
        <f>10.4947 * CHOOSE(CONTROL!$C$32, $C$9, 100%, $E$9)</f>
        <v>10.4947</v>
      </c>
      <c r="O636" s="81">
        <f>10.4983 * CHOOSE(CONTROL!$C$32, $C$9, 100%, $E$9)</f>
        <v>10.4983</v>
      </c>
    </row>
    <row r="637" spans="1:15" ht="15" x14ac:dyDescent="0.2">
      <c r="A637" s="16">
        <v>60602</v>
      </c>
      <c r="B637" s="80">
        <f>9.3341 * CHOOSE(CONTROL!$C$32, $C$9, 100%, $E$9)</f>
        <v>9.3340999999999994</v>
      </c>
      <c r="C637" s="80">
        <f>9.3341 * CHOOSE(CONTROL!$C$32, $C$9, 100%, $E$9)</f>
        <v>9.3340999999999994</v>
      </c>
      <c r="D637" s="80">
        <f>9.3352 * CHOOSE(CONTROL!$C$32, $C$9, 100%, $E$9)</f>
        <v>9.3352000000000004</v>
      </c>
      <c r="E637" s="81">
        <f>10.3606 * CHOOSE(CONTROL!$C$32, $C$9, 100%, $E$9)</f>
        <v>10.3606</v>
      </c>
      <c r="F637" s="81">
        <f>10.3606 * CHOOSE(CONTROL!$C$32, $C$9, 100%, $E$9)</f>
        <v>10.3606</v>
      </c>
      <c r="G637" s="81">
        <f>10.3642 * CHOOSE(CONTROL!$C$32, $C$9, 100%, $E$9)</f>
        <v>10.3642</v>
      </c>
      <c r="H637" s="81">
        <f>21.1483 * CHOOSE(CONTROL!$C$32, $C$9, 100%, $E$9)</f>
        <v>21.148299999999999</v>
      </c>
      <c r="I637" s="81">
        <f>21.152 * CHOOSE(CONTROL!$C$32, $C$9, 100%, $E$9)</f>
        <v>21.152000000000001</v>
      </c>
      <c r="J637" s="81">
        <f>21.1483 * CHOOSE(CONTROL!$C$32, $C$9, 100%, $E$9)</f>
        <v>21.148299999999999</v>
      </c>
      <c r="K637" s="81">
        <f>21.152 * CHOOSE(CONTROL!$C$32, $C$9, 100%, $E$9)</f>
        <v>21.152000000000001</v>
      </c>
      <c r="L637" s="81">
        <f>10.3606 * CHOOSE(CONTROL!$C$32, $C$9, 100%, $E$9)</f>
        <v>10.3606</v>
      </c>
      <c r="M637" s="81">
        <f>10.3642 * CHOOSE(CONTROL!$C$32, $C$9, 100%, $E$9)</f>
        <v>10.3642</v>
      </c>
      <c r="N637" s="81">
        <f>10.3606 * CHOOSE(CONTROL!$C$32, $C$9, 100%, $E$9)</f>
        <v>10.3606</v>
      </c>
      <c r="O637" s="81">
        <f>10.3642 * CHOOSE(CONTROL!$C$32, $C$9, 100%, $E$9)</f>
        <v>10.3642</v>
      </c>
    </row>
    <row r="638" spans="1:15" ht="15" x14ac:dyDescent="0.2">
      <c r="A638" s="16">
        <v>60633</v>
      </c>
      <c r="B638" s="80">
        <f>9.3816 * CHOOSE(CONTROL!$C$32, $C$9, 100%, $E$9)</f>
        <v>9.3816000000000006</v>
      </c>
      <c r="C638" s="80">
        <f>9.3816 * CHOOSE(CONTROL!$C$32, $C$9, 100%, $E$9)</f>
        <v>9.3816000000000006</v>
      </c>
      <c r="D638" s="80">
        <f>9.3827 * CHOOSE(CONTROL!$C$32, $C$9, 100%, $E$9)</f>
        <v>9.3826999999999998</v>
      </c>
      <c r="E638" s="81">
        <f>10.5205 * CHOOSE(CONTROL!$C$32, $C$9, 100%, $E$9)</f>
        <v>10.5205</v>
      </c>
      <c r="F638" s="81">
        <f>10.5205 * CHOOSE(CONTROL!$C$32, $C$9, 100%, $E$9)</f>
        <v>10.5205</v>
      </c>
      <c r="G638" s="81">
        <f>10.5241 * CHOOSE(CONTROL!$C$32, $C$9, 100%, $E$9)</f>
        <v>10.524100000000001</v>
      </c>
      <c r="H638" s="81">
        <f>21.1337 * CHOOSE(CONTROL!$C$32, $C$9, 100%, $E$9)</f>
        <v>21.133700000000001</v>
      </c>
      <c r="I638" s="81">
        <f>21.1373 * CHOOSE(CONTROL!$C$32, $C$9, 100%, $E$9)</f>
        <v>21.1373</v>
      </c>
      <c r="J638" s="81">
        <f>21.1337 * CHOOSE(CONTROL!$C$32, $C$9, 100%, $E$9)</f>
        <v>21.133700000000001</v>
      </c>
      <c r="K638" s="81">
        <f>21.1373 * CHOOSE(CONTROL!$C$32, $C$9, 100%, $E$9)</f>
        <v>21.1373</v>
      </c>
      <c r="L638" s="81">
        <f>10.5205 * CHOOSE(CONTROL!$C$32, $C$9, 100%, $E$9)</f>
        <v>10.5205</v>
      </c>
      <c r="M638" s="81">
        <f>10.5241 * CHOOSE(CONTROL!$C$32, $C$9, 100%, $E$9)</f>
        <v>10.524100000000001</v>
      </c>
      <c r="N638" s="81">
        <f>10.5205 * CHOOSE(CONTROL!$C$32, $C$9, 100%, $E$9)</f>
        <v>10.5205</v>
      </c>
      <c r="O638" s="81">
        <f>10.5241 * CHOOSE(CONTROL!$C$32, $C$9, 100%, $E$9)</f>
        <v>10.524100000000001</v>
      </c>
    </row>
    <row r="639" spans="1:15" ht="15" x14ac:dyDescent="0.2">
      <c r="A639" s="16">
        <v>60664</v>
      </c>
      <c r="B639" s="80">
        <f>9.3786 * CHOOSE(CONTROL!$C$32, $C$9, 100%, $E$9)</f>
        <v>9.3786000000000005</v>
      </c>
      <c r="C639" s="80">
        <f>9.3786 * CHOOSE(CONTROL!$C$32, $C$9, 100%, $E$9)</f>
        <v>9.3786000000000005</v>
      </c>
      <c r="D639" s="80">
        <f>9.3797 * CHOOSE(CONTROL!$C$32, $C$9, 100%, $E$9)</f>
        <v>9.3796999999999997</v>
      </c>
      <c r="E639" s="81">
        <f>10.2578 * CHOOSE(CONTROL!$C$32, $C$9, 100%, $E$9)</f>
        <v>10.2578</v>
      </c>
      <c r="F639" s="81">
        <f>10.2578 * CHOOSE(CONTROL!$C$32, $C$9, 100%, $E$9)</f>
        <v>10.2578</v>
      </c>
      <c r="G639" s="81">
        <f>10.2614 * CHOOSE(CONTROL!$C$32, $C$9, 100%, $E$9)</f>
        <v>10.2614</v>
      </c>
      <c r="H639" s="81">
        <f>21.1778 * CHOOSE(CONTROL!$C$32, $C$9, 100%, $E$9)</f>
        <v>21.177800000000001</v>
      </c>
      <c r="I639" s="81">
        <f>21.1814 * CHOOSE(CONTROL!$C$32, $C$9, 100%, $E$9)</f>
        <v>21.1814</v>
      </c>
      <c r="J639" s="81">
        <f>21.1778 * CHOOSE(CONTROL!$C$32, $C$9, 100%, $E$9)</f>
        <v>21.177800000000001</v>
      </c>
      <c r="K639" s="81">
        <f>21.1814 * CHOOSE(CONTROL!$C$32, $C$9, 100%, $E$9)</f>
        <v>21.1814</v>
      </c>
      <c r="L639" s="81">
        <f>10.2578 * CHOOSE(CONTROL!$C$32, $C$9, 100%, $E$9)</f>
        <v>10.2578</v>
      </c>
      <c r="M639" s="81">
        <f>10.2614 * CHOOSE(CONTROL!$C$32, $C$9, 100%, $E$9)</f>
        <v>10.2614</v>
      </c>
      <c r="N639" s="81">
        <f>10.2578 * CHOOSE(CONTROL!$C$32, $C$9, 100%, $E$9)</f>
        <v>10.2578</v>
      </c>
      <c r="O639" s="81">
        <f>10.2614 * CHOOSE(CONTROL!$C$32, $C$9, 100%, $E$9)</f>
        <v>10.2614</v>
      </c>
    </row>
    <row r="640" spans="1:15" ht="15" x14ac:dyDescent="0.2">
      <c r="A640" s="16">
        <v>60692</v>
      </c>
      <c r="B640" s="80">
        <f>9.3756 * CHOOSE(CONTROL!$C$32, $C$9, 100%, $E$9)</f>
        <v>9.3756000000000004</v>
      </c>
      <c r="C640" s="80">
        <f>9.3756 * CHOOSE(CONTROL!$C$32, $C$9, 100%, $E$9)</f>
        <v>9.3756000000000004</v>
      </c>
      <c r="D640" s="80">
        <f>9.3766 * CHOOSE(CONTROL!$C$32, $C$9, 100%, $E$9)</f>
        <v>9.3765999999999998</v>
      </c>
      <c r="E640" s="81">
        <f>10.4611 * CHOOSE(CONTROL!$C$32, $C$9, 100%, $E$9)</f>
        <v>10.4611</v>
      </c>
      <c r="F640" s="81">
        <f>10.4611 * CHOOSE(CONTROL!$C$32, $C$9, 100%, $E$9)</f>
        <v>10.4611</v>
      </c>
      <c r="G640" s="81">
        <f>10.4647 * CHOOSE(CONTROL!$C$32, $C$9, 100%, $E$9)</f>
        <v>10.464700000000001</v>
      </c>
      <c r="H640" s="81">
        <f>21.2219 * CHOOSE(CONTROL!$C$32, $C$9, 100%, $E$9)</f>
        <v>21.221900000000002</v>
      </c>
      <c r="I640" s="81">
        <f>21.2255 * CHOOSE(CONTROL!$C$32, $C$9, 100%, $E$9)</f>
        <v>21.2255</v>
      </c>
      <c r="J640" s="81">
        <f>21.2219 * CHOOSE(CONTROL!$C$32, $C$9, 100%, $E$9)</f>
        <v>21.221900000000002</v>
      </c>
      <c r="K640" s="81">
        <f>21.2255 * CHOOSE(CONTROL!$C$32, $C$9, 100%, $E$9)</f>
        <v>21.2255</v>
      </c>
      <c r="L640" s="81">
        <f>10.4611 * CHOOSE(CONTROL!$C$32, $C$9, 100%, $E$9)</f>
        <v>10.4611</v>
      </c>
      <c r="M640" s="81">
        <f>10.4647 * CHOOSE(CONTROL!$C$32, $C$9, 100%, $E$9)</f>
        <v>10.464700000000001</v>
      </c>
      <c r="N640" s="81">
        <f>10.4611 * CHOOSE(CONTROL!$C$32, $C$9, 100%, $E$9)</f>
        <v>10.4611</v>
      </c>
      <c r="O640" s="81">
        <f>10.4647 * CHOOSE(CONTROL!$C$32, $C$9, 100%, $E$9)</f>
        <v>10.464700000000001</v>
      </c>
    </row>
    <row r="641" spans="1:15" ht="15" x14ac:dyDescent="0.2">
      <c r="A641" s="16">
        <v>60723</v>
      </c>
      <c r="B641" s="80">
        <f>9.3784 * CHOOSE(CONTROL!$C$32, $C$9, 100%, $E$9)</f>
        <v>9.3783999999999992</v>
      </c>
      <c r="C641" s="80">
        <f>9.3784 * CHOOSE(CONTROL!$C$32, $C$9, 100%, $E$9)</f>
        <v>9.3783999999999992</v>
      </c>
      <c r="D641" s="80">
        <f>9.3795 * CHOOSE(CONTROL!$C$32, $C$9, 100%, $E$9)</f>
        <v>9.3795000000000002</v>
      </c>
      <c r="E641" s="81">
        <f>10.6775 * CHOOSE(CONTROL!$C$32, $C$9, 100%, $E$9)</f>
        <v>10.6775</v>
      </c>
      <c r="F641" s="81">
        <f>10.6775 * CHOOSE(CONTROL!$C$32, $C$9, 100%, $E$9)</f>
        <v>10.6775</v>
      </c>
      <c r="G641" s="81">
        <f>10.6811 * CHOOSE(CONTROL!$C$32, $C$9, 100%, $E$9)</f>
        <v>10.681100000000001</v>
      </c>
      <c r="H641" s="81">
        <f>21.2661 * CHOOSE(CONTROL!$C$32, $C$9, 100%, $E$9)</f>
        <v>21.266100000000002</v>
      </c>
      <c r="I641" s="81">
        <f>21.2697 * CHOOSE(CONTROL!$C$32, $C$9, 100%, $E$9)</f>
        <v>21.2697</v>
      </c>
      <c r="J641" s="81">
        <f>21.2661 * CHOOSE(CONTROL!$C$32, $C$9, 100%, $E$9)</f>
        <v>21.266100000000002</v>
      </c>
      <c r="K641" s="81">
        <f>21.2697 * CHOOSE(CONTROL!$C$32, $C$9, 100%, $E$9)</f>
        <v>21.2697</v>
      </c>
      <c r="L641" s="81">
        <f>10.6775 * CHOOSE(CONTROL!$C$32, $C$9, 100%, $E$9)</f>
        <v>10.6775</v>
      </c>
      <c r="M641" s="81">
        <f>10.6811 * CHOOSE(CONTROL!$C$32, $C$9, 100%, $E$9)</f>
        <v>10.681100000000001</v>
      </c>
      <c r="N641" s="81">
        <f>10.6775 * CHOOSE(CONTROL!$C$32, $C$9, 100%, $E$9)</f>
        <v>10.6775</v>
      </c>
      <c r="O641" s="81">
        <f>10.6811 * CHOOSE(CONTROL!$C$32, $C$9, 100%, $E$9)</f>
        <v>10.681100000000001</v>
      </c>
    </row>
    <row r="642" spans="1:15" ht="15" x14ac:dyDescent="0.2">
      <c r="A642" s="16">
        <v>60753</v>
      </c>
      <c r="B642" s="80">
        <f>9.3784 * CHOOSE(CONTROL!$C$32, $C$9, 100%, $E$9)</f>
        <v>9.3783999999999992</v>
      </c>
      <c r="C642" s="80">
        <f>9.3784 * CHOOSE(CONTROL!$C$32, $C$9, 100%, $E$9)</f>
        <v>9.3783999999999992</v>
      </c>
      <c r="D642" s="80">
        <f>9.38 * CHOOSE(CONTROL!$C$32, $C$9, 100%, $E$9)</f>
        <v>9.3800000000000008</v>
      </c>
      <c r="E642" s="81">
        <f>10.7602 * CHOOSE(CONTROL!$C$32, $C$9, 100%, $E$9)</f>
        <v>10.760199999999999</v>
      </c>
      <c r="F642" s="81">
        <f>10.7602 * CHOOSE(CONTROL!$C$32, $C$9, 100%, $E$9)</f>
        <v>10.760199999999999</v>
      </c>
      <c r="G642" s="81">
        <f>10.7655 * CHOOSE(CONTROL!$C$32, $C$9, 100%, $E$9)</f>
        <v>10.765499999999999</v>
      </c>
      <c r="H642" s="81">
        <f>21.3104 * CHOOSE(CONTROL!$C$32, $C$9, 100%, $E$9)</f>
        <v>21.310400000000001</v>
      </c>
      <c r="I642" s="81">
        <f>21.3157 * CHOOSE(CONTROL!$C$32, $C$9, 100%, $E$9)</f>
        <v>21.3157</v>
      </c>
      <c r="J642" s="81">
        <f>21.3104 * CHOOSE(CONTROL!$C$32, $C$9, 100%, $E$9)</f>
        <v>21.310400000000001</v>
      </c>
      <c r="K642" s="81">
        <f>21.3157 * CHOOSE(CONTROL!$C$32, $C$9, 100%, $E$9)</f>
        <v>21.3157</v>
      </c>
      <c r="L642" s="81">
        <f>10.7602 * CHOOSE(CONTROL!$C$32, $C$9, 100%, $E$9)</f>
        <v>10.760199999999999</v>
      </c>
      <c r="M642" s="81">
        <f>10.7655 * CHOOSE(CONTROL!$C$32, $C$9, 100%, $E$9)</f>
        <v>10.765499999999999</v>
      </c>
      <c r="N642" s="81">
        <f>10.7602 * CHOOSE(CONTROL!$C$32, $C$9, 100%, $E$9)</f>
        <v>10.760199999999999</v>
      </c>
      <c r="O642" s="81">
        <f>10.7655 * CHOOSE(CONTROL!$C$32, $C$9, 100%, $E$9)</f>
        <v>10.765499999999999</v>
      </c>
    </row>
    <row r="643" spans="1:15" ht="15" x14ac:dyDescent="0.2">
      <c r="A643" s="16">
        <v>60784</v>
      </c>
      <c r="B643" s="80">
        <f>9.3845 * CHOOSE(CONTROL!$C$32, $C$9, 100%, $E$9)</f>
        <v>9.3844999999999992</v>
      </c>
      <c r="C643" s="80">
        <f>9.3845 * CHOOSE(CONTROL!$C$32, $C$9, 100%, $E$9)</f>
        <v>9.3844999999999992</v>
      </c>
      <c r="D643" s="80">
        <f>9.3861 * CHOOSE(CONTROL!$C$32, $C$9, 100%, $E$9)</f>
        <v>9.3861000000000008</v>
      </c>
      <c r="E643" s="81">
        <f>10.6817 * CHOOSE(CONTROL!$C$32, $C$9, 100%, $E$9)</f>
        <v>10.681699999999999</v>
      </c>
      <c r="F643" s="81">
        <f>10.6817 * CHOOSE(CONTROL!$C$32, $C$9, 100%, $E$9)</f>
        <v>10.681699999999999</v>
      </c>
      <c r="G643" s="81">
        <f>10.687 * CHOOSE(CONTROL!$C$32, $C$9, 100%, $E$9)</f>
        <v>10.686999999999999</v>
      </c>
      <c r="H643" s="81">
        <f>21.3548 * CHOOSE(CONTROL!$C$32, $C$9, 100%, $E$9)</f>
        <v>21.354800000000001</v>
      </c>
      <c r="I643" s="81">
        <f>21.3601 * CHOOSE(CONTROL!$C$32, $C$9, 100%, $E$9)</f>
        <v>21.360099999999999</v>
      </c>
      <c r="J643" s="81">
        <f>21.3548 * CHOOSE(CONTROL!$C$32, $C$9, 100%, $E$9)</f>
        <v>21.354800000000001</v>
      </c>
      <c r="K643" s="81">
        <f>21.3601 * CHOOSE(CONTROL!$C$32, $C$9, 100%, $E$9)</f>
        <v>21.360099999999999</v>
      </c>
      <c r="L643" s="81">
        <f>10.6817 * CHOOSE(CONTROL!$C$32, $C$9, 100%, $E$9)</f>
        <v>10.681699999999999</v>
      </c>
      <c r="M643" s="81">
        <f>10.687 * CHOOSE(CONTROL!$C$32, $C$9, 100%, $E$9)</f>
        <v>10.686999999999999</v>
      </c>
      <c r="N643" s="81">
        <f>10.6817 * CHOOSE(CONTROL!$C$32, $C$9, 100%, $E$9)</f>
        <v>10.681699999999999</v>
      </c>
      <c r="O643" s="81">
        <f>10.687 * CHOOSE(CONTROL!$C$32, $C$9, 100%, $E$9)</f>
        <v>10.686999999999999</v>
      </c>
    </row>
    <row r="644" spans="1:15" ht="15" x14ac:dyDescent="0.2">
      <c r="A644" s="16">
        <v>60814</v>
      </c>
      <c r="B644" s="80">
        <f>9.5021 * CHOOSE(CONTROL!$C$32, $C$9, 100%, $E$9)</f>
        <v>9.5021000000000004</v>
      </c>
      <c r="C644" s="80">
        <f>9.5021 * CHOOSE(CONTROL!$C$32, $C$9, 100%, $E$9)</f>
        <v>9.5021000000000004</v>
      </c>
      <c r="D644" s="80">
        <f>9.5037 * CHOOSE(CONTROL!$C$32, $C$9, 100%, $E$9)</f>
        <v>9.5037000000000003</v>
      </c>
      <c r="E644" s="81">
        <f>10.8309 * CHOOSE(CONTROL!$C$32, $C$9, 100%, $E$9)</f>
        <v>10.8309</v>
      </c>
      <c r="F644" s="81">
        <f>10.8309 * CHOOSE(CONTROL!$C$32, $C$9, 100%, $E$9)</f>
        <v>10.8309</v>
      </c>
      <c r="G644" s="81">
        <f>10.8362 * CHOOSE(CONTROL!$C$32, $C$9, 100%, $E$9)</f>
        <v>10.8362</v>
      </c>
      <c r="H644" s="81">
        <f>21.3993 * CHOOSE(CONTROL!$C$32, $C$9, 100%, $E$9)</f>
        <v>21.3993</v>
      </c>
      <c r="I644" s="81">
        <f>21.4046 * CHOOSE(CONTROL!$C$32, $C$9, 100%, $E$9)</f>
        <v>21.404599999999999</v>
      </c>
      <c r="J644" s="81">
        <f>21.3993 * CHOOSE(CONTROL!$C$32, $C$9, 100%, $E$9)</f>
        <v>21.3993</v>
      </c>
      <c r="K644" s="81">
        <f>21.4046 * CHOOSE(CONTROL!$C$32, $C$9, 100%, $E$9)</f>
        <v>21.404599999999999</v>
      </c>
      <c r="L644" s="81">
        <f>10.8309 * CHOOSE(CONTROL!$C$32, $C$9, 100%, $E$9)</f>
        <v>10.8309</v>
      </c>
      <c r="M644" s="81">
        <f>10.8362 * CHOOSE(CONTROL!$C$32, $C$9, 100%, $E$9)</f>
        <v>10.8362</v>
      </c>
      <c r="N644" s="81">
        <f>10.8309 * CHOOSE(CONTROL!$C$32, $C$9, 100%, $E$9)</f>
        <v>10.8309</v>
      </c>
      <c r="O644" s="81">
        <f>10.8362 * CHOOSE(CONTROL!$C$32, $C$9, 100%, $E$9)</f>
        <v>10.8362</v>
      </c>
    </row>
    <row r="645" spans="1:15" ht="15" x14ac:dyDescent="0.2">
      <c r="A645" s="16">
        <v>60845</v>
      </c>
      <c r="B645" s="80">
        <f>9.5088 * CHOOSE(CONTROL!$C$32, $C$9, 100%, $E$9)</f>
        <v>9.5088000000000008</v>
      </c>
      <c r="C645" s="80">
        <f>9.5088 * CHOOSE(CONTROL!$C$32, $C$9, 100%, $E$9)</f>
        <v>9.5088000000000008</v>
      </c>
      <c r="D645" s="80">
        <f>9.5104 * CHOOSE(CONTROL!$C$32, $C$9, 100%, $E$9)</f>
        <v>9.5104000000000006</v>
      </c>
      <c r="E645" s="81">
        <f>10.5874 * CHOOSE(CONTROL!$C$32, $C$9, 100%, $E$9)</f>
        <v>10.587400000000001</v>
      </c>
      <c r="F645" s="81">
        <f>10.5874 * CHOOSE(CONTROL!$C$32, $C$9, 100%, $E$9)</f>
        <v>10.587400000000001</v>
      </c>
      <c r="G645" s="81">
        <f>10.5927 * CHOOSE(CONTROL!$C$32, $C$9, 100%, $E$9)</f>
        <v>10.592700000000001</v>
      </c>
      <c r="H645" s="81">
        <f>21.4439 * CHOOSE(CONTROL!$C$32, $C$9, 100%, $E$9)</f>
        <v>21.443899999999999</v>
      </c>
      <c r="I645" s="81">
        <f>21.4492 * CHOOSE(CONTROL!$C$32, $C$9, 100%, $E$9)</f>
        <v>21.449200000000001</v>
      </c>
      <c r="J645" s="81">
        <f>21.4439 * CHOOSE(CONTROL!$C$32, $C$9, 100%, $E$9)</f>
        <v>21.443899999999999</v>
      </c>
      <c r="K645" s="81">
        <f>21.4492 * CHOOSE(CONTROL!$C$32, $C$9, 100%, $E$9)</f>
        <v>21.449200000000001</v>
      </c>
      <c r="L645" s="81">
        <f>10.5874 * CHOOSE(CONTROL!$C$32, $C$9, 100%, $E$9)</f>
        <v>10.587400000000001</v>
      </c>
      <c r="M645" s="81">
        <f>10.5927 * CHOOSE(CONTROL!$C$32, $C$9, 100%, $E$9)</f>
        <v>10.592700000000001</v>
      </c>
      <c r="N645" s="81">
        <f>10.5874 * CHOOSE(CONTROL!$C$32, $C$9, 100%, $E$9)</f>
        <v>10.587400000000001</v>
      </c>
      <c r="O645" s="81">
        <f>10.5927 * CHOOSE(CONTROL!$C$32, $C$9, 100%, $E$9)</f>
        <v>10.592700000000001</v>
      </c>
    </row>
    <row r="646" spans="1:15" ht="15" x14ac:dyDescent="0.2">
      <c r="A646" s="16">
        <v>60876</v>
      </c>
      <c r="B646" s="80">
        <f>9.5058 * CHOOSE(CONTROL!$C$32, $C$9, 100%, $E$9)</f>
        <v>9.5058000000000007</v>
      </c>
      <c r="C646" s="80">
        <f>9.5058 * CHOOSE(CONTROL!$C$32, $C$9, 100%, $E$9)</f>
        <v>9.5058000000000007</v>
      </c>
      <c r="D646" s="80">
        <f>9.5074 * CHOOSE(CONTROL!$C$32, $C$9, 100%, $E$9)</f>
        <v>9.5074000000000005</v>
      </c>
      <c r="E646" s="81">
        <f>10.5577 * CHOOSE(CONTROL!$C$32, $C$9, 100%, $E$9)</f>
        <v>10.557700000000001</v>
      </c>
      <c r="F646" s="81">
        <f>10.5577 * CHOOSE(CONTROL!$C$32, $C$9, 100%, $E$9)</f>
        <v>10.557700000000001</v>
      </c>
      <c r="G646" s="81">
        <f>10.563 * CHOOSE(CONTROL!$C$32, $C$9, 100%, $E$9)</f>
        <v>10.563000000000001</v>
      </c>
      <c r="H646" s="81">
        <f>21.4885 * CHOOSE(CONTROL!$C$32, $C$9, 100%, $E$9)</f>
        <v>21.488499999999998</v>
      </c>
      <c r="I646" s="81">
        <f>21.4938 * CHOOSE(CONTROL!$C$32, $C$9, 100%, $E$9)</f>
        <v>21.4938</v>
      </c>
      <c r="J646" s="81">
        <f>21.4885 * CHOOSE(CONTROL!$C$32, $C$9, 100%, $E$9)</f>
        <v>21.488499999999998</v>
      </c>
      <c r="K646" s="81">
        <f>21.4938 * CHOOSE(CONTROL!$C$32, $C$9, 100%, $E$9)</f>
        <v>21.4938</v>
      </c>
      <c r="L646" s="81">
        <f>10.5577 * CHOOSE(CONTROL!$C$32, $C$9, 100%, $E$9)</f>
        <v>10.557700000000001</v>
      </c>
      <c r="M646" s="81">
        <f>10.563 * CHOOSE(CONTROL!$C$32, $C$9, 100%, $E$9)</f>
        <v>10.563000000000001</v>
      </c>
      <c r="N646" s="81">
        <f>10.5577 * CHOOSE(CONTROL!$C$32, $C$9, 100%, $E$9)</f>
        <v>10.557700000000001</v>
      </c>
      <c r="O646" s="81">
        <f>10.563 * CHOOSE(CONTROL!$C$32, $C$9, 100%, $E$9)</f>
        <v>10.563000000000001</v>
      </c>
    </row>
    <row r="647" spans="1:15" ht="15" x14ac:dyDescent="0.2">
      <c r="A647" s="16">
        <v>60906</v>
      </c>
      <c r="B647" s="80">
        <f>9.5214 * CHOOSE(CONTROL!$C$32, $C$9, 100%, $E$9)</f>
        <v>9.5213999999999999</v>
      </c>
      <c r="C647" s="80">
        <f>9.5214 * CHOOSE(CONTROL!$C$32, $C$9, 100%, $E$9)</f>
        <v>9.5213999999999999</v>
      </c>
      <c r="D647" s="80">
        <f>9.5225 * CHOOSE(CONTROL!$C$32, $C$9, 100%, $E$9)</f>
        <v>9.5225000000000009</v>
      </c>
      <c r="E647" s="81">
        <f>10.6546 * CHOOSE(CONTROL!$C$32, $C$9, 100%, $E$9)</f>
        <v>10.6546</v>
      </c>
      <c r="F647" s="81">
        <f>10.6546 * CHOOSE(CONTROL!$C$32, $C$9, 100%, $E$9)</f>
        <v>10.6546</v>
      </c>
      <c r="G647" s="81">
        <f>10.6582 * CHOOSE(CONTROL!$C$32, $C$9, 100%, $E$9)</f>
        <v>10.658200000000001</v>
      </c>
      <c r="H647" s="81">
        <f>21.5333 * CHOOSE(CONTROL!$C$32, $C$9, 100%, $E$9)</f>
        <v>21.533300000000001</v>
      </c>
      <c r="I647" s="81">
        <f>21.5369 * CHOOSE(CONTROL!$C$32, $C$9, 100%, $E$9)</f>
        <v>21.536899999999999</v>
      </c>
      <c r="J647" s="81">
        <f>21.5333 * CHOOSE(CONTROL!$C$32, $C$9, 100%, $E$9)</f>
        <v>21.533300000000001</v>
      </c>
      <c r="K647" s="81">
        <f>21.5369 * CHOOSE(CONTROL!$C$32, $C$9, 100%, $E$9)</f>
        <v>21.536899999999999</v>
      </c>
      <c r="L647" s="81">
        <f>10.6546 * CHOOSE(CONTROL!$C$32, $C$9, 100%, $E$9)</f>
        <v>10.6546</v>
      </c>
      <c r="M647" s="81">
        <f>10.6582 * CHOOSE(CONTROL!$C$32, $C$9, 100%, $E$9)</f>
        <v>10.658200000000001</v>
      </c>
      <c r="N647" s="81">
        <f>10.6546 * CHOOSE(CONTROL!$C$32, $C$9, 100%, $E$9)</f>
        <v>10.6546</v>
      </c>
      <c r="O647" s="81">
        <f>10.6582 * CHOOSE(CONTROL!$C$32, $C$9, 100%, $E$9)</f>
        <v>10.658200000000001</v>
      </c>
    </row>
    <row r="648" spans="1:15" ht="15" x14ac:dyDescent="0.2">
      <c r="A648" s="16">
        <v>60937</v>
      </c>
      <c r="B648" s="80">
        <f>9.5244 * CHOOSE(CONTROL!$C$32, $C$9, 100%, $E$9)</f>
        <v>9.5244</v>
      </c>
      <c r="C648" s="80">
        <f>9.5244 * CHOOSE(CONTROL!$C$32, $C$9, 100%, $E$9)</f>
        <v>9.5244</v>
      </c>
      <c r="D648" s="80">
        <f>9.5255 * CHOOSE(CONTROL!$C$32, $C$9, 100%, $E$9)</f>
        <v>9.5254999999999992</v>
      </c>
      <c r="E648" s="81">
        <f>10.7119 * CHOOSE(CONTROL!$C$32, $C$9, 100%, $E$9)</f>
        <v>10.7119</v>
      </c>
      <c r="F648" s="81">
        <f>10.7119 * CHOOSE(CONTROL!$C$32, $C$9, 100%, $E$9)</f>
        <v>10.7119</v>
      </c>
      <c r="G648" s="81">
        <f>10.7155 * CHOOSE(CONTROL!$C$32, $C$9, 100%, $E$9)</f>
        <v>10.7155</v>
      </c>
      <c r="H648" s="81">
        <f>21.5782 * CHOOSE(CONTROL!$C$32, $C$9, 100%, $E$9)</f>
        <v>21.578199999999999</v>
      </c>
      <c r="I648" s="81">
        <f>21.5818 * CHOOSE(CONTROL!$C$32, $C$9, 100%, $E$9)</f>
        <v>21.581800000000001</v>
      </c>
      <c r="J648" s="81">
        <f>21.5782 * CHOOSE(CONTROL!$C$32, $C$9, 100%, $E$9)</f>
        <v>21.578199999999999</v>
      </c>
      <c r="K648" s="81">
        <f>21.5818 * CHOOSE(CONTROL!$C$32, $C$9, 100%, $E$9)</f>
        <v>21.581800000000001</v>
      </c>
      <c r="L648" s="81">
        <f>10.7119 * CHOOSE(CONTROL!$C$32, $C$9, 100%, $E$9)</f>
        <v>10.7119</v>
      </c>
      <c r="M648" s="81">
        <f>10.7155 * CHOOSE(CONTROL!$C$32, $C$9, 100%, $E$9)</f>
        <v>10.7155</v>
      </c>
      <c r="N648" s="81">
        <f>10.7119 * CHOOSE(CONTROL!$C$32, $C$9, 100%, $E$9)</f>
        <v>10.7119</v>
      </c>
      <c r="O648" s="81">
        <f>10.7155 * CHOOSE(CONTROL!$C$32, $C$9, 100%, $E$9)</f>
        <v>10.7155</v>
      </c>
    </row>
    <row r="649" spans="1:15" ht="15" x14ac:dyDescent="0.2">
      <c r="A649" s="16">
        <v>60967</v>
      </c>
      <c r="B649" s="80">
        <f>9.5244 * CHOOSE(CONTROL!$C$32, $C$9, 100%, $E$9)</f>
        <v>9.5244</v>
      </c>
      <c r="C649" s="80">
        <f>9.5244 * CHOOSE(CONTROL!$C$32, $C$9, 100%, $E$9)</f>
        <v>9.5244</v>
      </c>
      <c r="D649" s="80">
        <f>9.5255 * CHOOSE(CONTROL!$C$32, $C$9, 100%, $E$9)</f>
        <v>9.5254999999999992</v>
      </c>
      <c r="E649" s="81">
        <f>10.574 * CHOOSE(CONTROL!$C$32, $C$9, 100%, $E$9)</f>
        <v>10.574</v>
      </c>
      <c r="F649" s="81">
        <f>10.574 * CHOOSE(CONTROL!$C$32, $C$9, 100%, $E$9)</f>
        <v>10.574</v>
      </c>
      <c r="G649" s="81">
        <f>10.5776 * CHOOSE(CONTROL!$C$32, $C$9, 100%, $E$9)</f>
        <v>10.5776</v>
      </c>
      <c r="H649" s="81">
        <f>21.6231 * CHOOSE(CONTROL!$C$32, $C$9, 100%, $E$9)</f>
        <v>21.623100000000001</v>
      </c>
      <c r="I649" s="81">
        <f>21.6267 * CHOOSE(CONTROL!$C$32, $C$9, 100%, $E$9)</f>
        <v>21.6267</v>
      </c>
      <c r="J649" s="81">
        <f>21.6231 * CHOOSE(CONTROL!$C$32, $C$9, 100%, $E$9)</f>
        <v>21.623100000000001</v>
      </c>
      <c r="K649" s="81">
        <f>21.6267 * CHOOSE(CONTROL!$C$32, $C$9, 100%, $E$9)</f>
        <v>21.6267</v>
      </c>
      <c r="L649" s="81">
        <f>10.574 * CHOOSE(CONTROL!$C$32, $C$9, 100%, $E$9)</f>
        <v>10.574</v>
      </c>
      <c r="M649" s="81">
        <f>10.5776 * CHOOSE(CONTROL!$C$32, $C$9, 100%, $E$9)</f>
        <v>10.5776</v>
      </c>
      <c r="N649" s="81">
        <f>10.574 * CHOOSE(CONTROL!$C$32, $C$9, 100%, $E$9)</f>
        <v>10.574</v>
      </c>
      <c r="O649" s="81">
        <f>10.5776 * CHOOSE(CONTROL!$C$32, $C$9, 100%, $E$9)</f>
        <v>10.5776</v>
      </c>
    </row>
    <row r="650" spans="1:15" ht="15" x14ac:dyDescent="0.2">
      <c r="A650" s="16">
        <v>60998</v>
      </c>
      <c r="B650" s="80">
        <f>9.569 * CHOOSE(CONTROL!$C$32, $C$9, 100%, $E$9)</f>
        <v>9.5690000000000008</v>
      </c>
      <c r="C650" s="80">
        <f>9.569 * CHOOSE(CONTROL!$C$32, $C$9, 100%, $E$9)</f>
        <v>9.5690000000000008</v>
      </c>
      <c r="D650" s="80">
        <f>9.5701 * CHOOSE(CONTROL!$C$32, $C$9, 100%, $E$9)</f>
        <v>9.5701000000000001</v>
      </c>
      <c r="E650" s="81">
        <f>10.733 * CHOOSE(CONTROL!$C$32, $C$9, 100%, $E$9)</f>
        <v>10.733000000000001</v>
      </c>
      <c r="F650" s="81">
        <f>10.733 * CHOOSE(CONTROL!$C$32, $C$9, 100%, $E$9)</f>
        <v>10.733000000000001</v>
      </c>
      <c r="G650" s="81">
        <f>10.7366 * CHOOSE(CONTROL!$C$32, $C$9, 100%, $E$9)</f>
        <v>10.736599999999999</v>
      </c>
      <c r="H650" s="81">
        <f>21.5978 * CHOOSE(CONTROL!$C$32, $C$9, 100%, $E$9)</f>
        <v>21.597799999999999</v>
      </c>
      <c r="I650" s="81">
        <f>21.6014 * CHOOSE(CONTROL!$C$32, $C$9, 100%, $E$9)</f>
        <v>21.601400000000002</v>
      </c>
      <c r="J650" s="81">
        <f>21.5978 * CHOOSE(CONTROL!$C$32, $C$9, 100%, $E$9)</f>
        <v>21.597799999999999</v>
      </c>
      <c r="K650" s="81">
        <f>21.6014 * CHOOSE(CONTROL!$C$32, $C$9, 100%, $E$9)</f>
        <v>21.601400000000002</v>
      </c>
      <c r="L650" s="81">
        <f>10.733 * CHOOSE(CONTROL!$C$32, $C$9, 100%, $E$9)</f>
        <v>10.733000000000001</v>
      </c>
      <c r="M650" s="81">
        <f>10.7366 * CHOOSE(CONTROL!$C$32, $C$9, 100%, $E$9)</f>
        <v>10.736599999999999</v>
      </c>
      <c r="N650" s="81">
        <f>10.733 * CHOOSE(CONTROL!$C$32, $C$9, 100%, $E$9)</f>
        <v>10.733000000000001</v>
      </c>
      <c r="O650" s="81">
        <f>10.7366 * CHOOSE(CONTROL!$C$32, $C$9, 100%, $E$9)</f>
        <v>10.736599999999999</v>
      </c>
    </row>
    <row r="651" spans="1:15" ht="15" x14ac:dyDescent="0.2">
      <c r="A651" s="16">
        <v>61029</v>
      </c>
      <c r="B651" s="80">
        <f>9.566 * CHOOSE(CONTROL!$C$32, $C$9, 100%, $E$9)</f>
        <v>9.5660000000000007</v>
      </c>
      <c r="C651" s="80">
        <f>9.566 * CHOOSE(CONTROL!$C$32, $C$9, 100%, $E$9)</f>
        <v>9.5660000000000007</v>
      </c>
      <c r="D651" s="80">
        <f>9.567 * CHOOSE(CONTROL!$C$32, $C$9, 100%, $E$9)</f>
        <v>9.5670000000000002</v>
      </c>
      <c r="E651" s="81">
        <f>10.4632 * CHOOSE(CONTROL!$C$32, $C$9, 100%, $E$9)</f>
        <v>10.463200000000001</v>
      </c>
      <c r="F651" s="81">
        <f>10.4632 * CHOOSE(CONTROL!$C$32, $C$9, 100%, $E$9)</f>
        <v>10.463200000000001</v>
      </c>
      <c r="G651" s="81">
        <f>10.4669 * CHOOSE(CONTROL!$C$32, $C$9, 100%, $E$9)</f>
        <v>10.466900000000001</v>
      </c>
      <c r="H651" s="81">
        <f>21.6428 * CHOOSE(CONTROL!$C$32, $C$9, 100%, $E$9)</f>
        <v>21.642800000000001</v>
      </c>
      <c r="I651" s="81">
        <f>21.6464 * CHOOSE(CONTROL!$C$32, $C$9, 100%, $E$9)</f>
        <v>21.6464</v>
      </c>
      <c r="J651" s="81">
        <f>21.6428 * CHOOSE(CONTROL!$C$32, $C$9, 100%, $E$9)</f>
        <v>21.642800000000001</v>
      </c>
      <c r="K651" s="81">
        <f>21.6464 * CHOOSE(CONTROL!$C$32, $C$9, 100%, $E$9)</f>
        <v>21.6464</v>
      </c>
      <c r="L651" s="81">
        <f>10.4632 * CHOOSE(CONTROL!$C$32, $C$9, 100%, $E$9)</f>
        <v>10.463200000000001</v>
      </c>
      <c r="M651" s="81">
        <f>10.4669 * CHOOSE(CONTROL!$C$32, $C$9, 100%, $E$9)</f>
        <v>10.466900000000001</v>
      </c>
      <c r="N651" s="81">
        <f>10.4632 * CHOOSE(CONTROL!$C$32, $C$9, 100%, $E$9)</f>
        <v>10.463200000000001</v>
      </c>
      <c r="O651" s="81">
        <f>10.4669 * CHOOSE(CONTROL!$C$32, $C$9, 100%, $E$9)</f>
        <v>10.466900000000001</v>
      </c>
    </row>
    <row r="652" spans="1:15" ht="15" x14ac:dyDescent="0.2">
      <c r="A652" s="16">
        <v>61057</v>
      </c>
      <c r="B652" s="80">
        <f>9.5629 * CHOOSE(CONTROL!$C$32, $C$9, 100%, $E$9)</f>
        <v>9.5629000000000008</v>
      </c>
      <c r="C652" s="80">
        <f>9.5629 * CHOOSE(CONTROL!$C$32, $C$9, 100%, $E$9)</f>
        <v>9.5629000000000008</v>
      </c>
      <c r="D652" s="80">
        <f>9.564 * CHOOSE(CONTROL!$C$32, $C$9, 100%, $E$9)</f>
        <v>9.5640000000000001</v>
      </c>
      <c r="E652" s="81">
        <f>10.6721 * CHOOSE(CONTROL!$C$32, $C$9, 100%, $E$9)</f>
        <v>10.6721</v>
      </c>
      <c r="F652" s="81">
        <f>10.6721 * CHOOSE(CONTROL!$C$32, $C$9, 100%, $E$9)</f>
        <v>10.6721</v>
      </c>
      <c r="G652" s="81">
        <f>10.6757 * CHOOSE(CONTROL!$C$32, $C$9, 100%, $E$9)</f>
        <v>10.675700000000001</v>
      </c>
      <c r="H652" s="81">
        <f>21.6878 * CHOOSE(CONTROL!$C$32, $C$9, 100%, $E$9)</f>
        <v>21.687799999999999</v>
      </c>
      <c r="I652" s="81">
        <f>21.6915 * CHOOSE(CONTROL!$C$32, $C$9, 100%, $E$9)</f>
        <v>21.691500000000001</v>
      </c>
      <c r="J652" s="81">
        <f>21.6878 * CHOOSE(CONTROL!$C$32, $C$9, 100%, $E$9)</f>
        <v>21.687799999999999</v>
      </c>
      <c r="K652" s="81">
        <f>21.6915 * CHOOSE(CONTROL!$C$32, $C$9, 100%, $E$9)</f>
        <v>21.691500000000001</v>
      </c>
      <c r="L652" s="81">
        <f>10.6721 * CHOOSE(CONTROL!$C$32, $C$9, 100%, $E$9)</f>
        <v>10.6721</v>
      </c>
      <c r="M652" s="81">
        <f>10.6757 * CHOOSE(CONTROL!$C$32, $C$9, 100%, $E$9)</f>
        <v>10.675700000000001</v>
      </c>
      <c r="N652" s="81">
        <f>10.6721 * CHOOSE(CONTROL!$C$32, $C$9, 100%, $E$9)</f>
        <v>10.6721</v>
      </c>
      <c r="O652" s="81">
        <f>10.6757 * CHOOSE(CONTROL!$C$32, $C$9, 100%, $E$9)</f>
        <v>10.675700000000001</v>
      </c>
    </row>
    <row r="653" spans="1:15" ht="15" x14ac:dyDescent="0.2">
      <c r="A653" s="16">
        <v>61088</v>
      </c>
      <c r="B653" s="80">
        <f>9.566 * CHOOSE(CONTROL!$C$32, $C$9, 100%, $E$9)</f>
        <v>9.5660000000000007</v>
      </c>
      <c r="C653" s="80">
        <f>9.566 * CHOOSE(CONTROL!$C$32, $C$9, 100%, $E$9)</f>
        <v>9.5660000000000007</v>
      </c>
      <c r="D653" s="80">
        <f>9.567 * CHOOSE(CONTROL!$C$32, $C$9, 100%, $E$9)</f>
        <v>9.5670000000000002</v>
      </c>
      <c r="E653" s="81">
        <f>10.8945 * CHOOSE(CONTROL!$C$32, $C$9, 100%, $E$9)</f>
        <v>10.894500000000001</v>
      </c>
      <c r="F653" s="81">
        <f>10.8945 * CHOOSE(CONTROL!$C$32, $C$9, 100%, $E$9)</f>
        <v>10.894500000000001</v>
      </c>
      <c r="G653" s="81">
        <f>10.8981 * CHOOSE(CONTROL!$C$32, $C$9, 100%, $E$9)</f>
        <v>10.898099999999999</v>
      </c>
      <c r="H653" s="81">
        <f>21.733 * CHOOSE(CONTROL!$C$32, $C$9, 100%, $E$9)</f>
        <v>21.733000000000001</v>
      </c>
      <c r="I653" s="81">
        <f>21.7366 * CHOOSE(CONTROL!$C$32, $C$9, 100%, $E$9)</f>
        <v>21.736599999999999</v>
      </c>
      <c r="J653" s="81">
        <f>21.733 * CHOOSE(CONTROL!$C$32, $C$9, 100%, $E$9)</f>
        <v>21.733000000000001</v>
      </c>
      <c r="K653" s="81">
        <f>21.7366 * CHOOSE(CONTROL!$C$32, $C$9, 100%, $E$9)</f>
        <v>21.736599999999999</v>
      </c>
      <c r="L653" s="81">
        <f>10.8945 * CHOOSE(CONTROL!$C$32, $C$9, 100%, $E$9)</f>
        <v>10.894500000000001</v>
      </c>
      <c r="M653" s="81">
        <f>10.8981 * CHOOSE(CONTROL!$C$32, $C$9, 100%, $E$9)</f>
        <v>10.898099999999999</v>
      </c>
      <c r="N653" s="81">
        <f>10.8945 * CHOOSE(CONTROL!$C$32, $C$9, 100%, $E$9)</f>
        <v>10.894500000000001</v>
      </c>
      <c r="O653" s="81">
        <f>10.8981 * CHOOSE(CONTROL!$C$32, $C$9, 100%, $E$9)</f>
        <v>10.898099999999999</v>
      </c>
    </row>
    <row r="654" spans="1:15" ht="15" x14ac:dyDescent="0.2">
      <c r="A654" s="16">
        <v>61118</v>
      </c>
      <c r="B654" s="80">
        <f>9.566 * CHOOSE(CONTROL!$C$32, $C$9, 100%, $E$9)</f>
        <v>9.5660000000000007</v>
      </c>
      <c r="C654" s="80">
        <f>9.566 * CHOOSE(CONTROL!$C$32, $C$9, 100%, $E$9)</f>
        <v>9.5660000000000007</v>
      </c>
      <c r="D654" s="80">
        <f>9.5675 * CHOOSE(CONTROL!$C$32, $C$9, 100%, $E$9)</f>
        <v>9.5675000000000008</v>
      </c>
      <c r="E654" s="81">
        <f>10.9795 * CHOOSE(CONTROL!$C$32, $C$9, 100%, $E$9)</f>
        <v>10.9795</v>
      </c>
      <c r="F654" s="81">
        <f>10.9795 * CHOOSE(CONTROL!$C$32, $C$9, 100%, $E$9)</f>
        <v>10.9795</v>
      </c>
      <c r="G654" s="81">
        <f>10.9848 * CHOOSE(CONTROL!$C$32, $C$9, 100%, $E$9)</f>
        <v>10.9848</v>
      </c>
      <c r="H654" s="81">
        <f>21.7783 * CHOOSE(CONTROL!$C$32, $C$9, 100%, $E$9)</f>
        <v>21.778300000000002</v>
      </c>
      <c r="I654" s="81">
        <f>21.7836 * CHOOSE(CONTROL!$C$32, $C$9, 100%, $E$9)</f>
        <v>21.7836</v>
      </c>
      <c r="J654" s="81">
        <f>21.7783 * CHOOSE(CONTROL!$C$32, $C$9, 100%, $E$9)</f>
        <v>21.778300000000002</v>
      </c>
      <c r="K654" s="81">
        <f>21.7836 * CHOOSE(CONTROL!$C$32, $C$9, 100%, $E$9)</f>
        <v>21.7836</v>
      </c>
      <c r="L654" s="81">
        <f>10.9795 * CHOOSE(CONTROL!$C$32, $C$9, 100%, $E$9)</f>
        <v>10.9795</v>
      </c>
      <c r="M654" s="81">
        <f>10.9848 * CHOOSE(CONTROL!$C$32, $C$9, 100%, $E$9)</f>
        <v>10.9848</v>
      </c>
      <c r="N654" s="81">
        <f>10.9795 * CHOOSE(CONTROL!$C$32, $C$9, 100%, $E$9)</f>
        <v>10.9795</v>
      </c>
      <c r="O654" s="81">
        <f>10.9848 * CHOOSE(CONTROL!$C$32, $C$9, 100%, $E$9)</f>
        <v>10.9848</v>
      </c>
    </row>
    <row r="655" spans="1:15" ht="15" x14ac:dyDescent="0.2">
      <c r="A655" s="16">
        <v>61149</v>
      </c>
      <c r="B655" s="80">
        <f>9.572 * CHOOSE(CONTROL!$C$32, $C$9, 100%, $E$9)</f>
        <v>9.5719999999999992</v>
      </c>
      <c r="C655" s="80">
        <f>9.572 * CHOOSE(CONTROL!$C$32, $C$9, 100%, $E$9)</f>
        <v>9.5719999999999992</v>
      </c>
      <c r="D655" s="80">
        <f>9.5736 * CHOOSE(CONTROL!$C$32, $C$9, 100%, $E$9)</f>
        <v>9.5736000000000008</v>
      </c>
      <c r="E655" s="81">
        <f>10.8987 * CHOOSE(CONTROL!$C$32, $C$9, 100%, $E$9)</f>
        <v>10.8987</v>
      </c>
      <c r="F655" s="81">
        <f>10.8987 * CHOOSE(CONTROL!$C$32, $C$9, 100%, $E$9)</f>
        <v>10.8987</v>
      </c>
      <c r="G655" s="81">
        <f>10.904 * CHOOSE(CONTROL!$C$32, $C$9, 100%, $E$9)</f>
        <v>10.904</v>
      </c>
      <c r="H655" s="81">
        <f>21.8237 * CHOOSE(CONTROL!$C$32, $C$9, 100%, $E$9)</f>
        <v>21.823699999999999</v>
      </c>
      <c r="I655" s="81">
        <f>21.829 * CHOOSE(CONTROL!$C$32, $C$9, 100%, $E$9)</f>
        <v>21.829000000000001</v>
      </c>
      <c r="J655" s="81">
        <f>21.8237 * CHOOSE(CONTROL!$C$32, $C$9, 100%, $E$9)</f>
        <v>21.823699999999999</v>
      </c>
      <c r="K655" s="81">
        <f>21.829 * CHOOSE(CONTROL!$C$32, $C$9, 100%, $E$9)</f>
        <v>21.829000000000001</v>
      </c>
      <c r="L655" s="81">
        <f>10.8987 * CHOOSE(CONTROL!$C$32, $C$9, 100%, $E$9)</f>
        <v>10.8987</v>
      </c>
      <c r="M655" s="81">
        <f>10.904 * CHOOSE(CONTROL!$C$32, $C$9, 100%, $E$9)</f>
        <v>10.904</v>
      </c>
      <c r="N655" s="81">
        <f>10.8987 * CHOOSE(CONTROL!$C$32, $C$9, 100%, $E$9)</f>
        <v>10.8987</v>
      </c>
      <c r="O655" s="81">
        <f>10.904 * CHOOSE(CONTROL!$C$32, $C$9, 100%, $E$9)</f>
        <v>10.904</v>
      </c>
    </row>
    <row r="656" spans="1:15" ht="15" x14ac:dyDescent="0.2">
      <c r="A656" s="16">
        <v>61179</v>
      </c>
      <c r="B656" s="80">
        <f>9.6917 * CHOOSE(CONTROL!$C$32, $C$9, 100%, $E$9)</f>
        <v>9.6917000000000009</v>
      </c>
      <c r="C656" s="80">
        <f>9.6917 * CHOOSE(CONTROL!$C$32, $C$9, 100%, $E$9)</f>
        <v>9.6917000000000009</v>
      </c>
      <c r="D656" s="80">
        <f>9.6933 * CHOOSE(CONTROL!$C$32, $C$9, 100%, $E$9)</f>
        <v>9.6933000000000007</v>
      </c>
      <c r="E656" s="81">
        <f>11.0511 * CHOOSE(CONTROL!$C$32, $C$9, 100%, $E$9)</f>
        <v>11.0511</v>
      </c>
      <c r="F656" s="81">
        <f>11.0511 * CHOOSE(CONTROL!$C$32, $C$9, 100%, $E$9)</f>
        <v>11.0511</v>
      </c>
      <c r="G656" s="81">
        <f>11.0564 * CHOOSE(CONTROL!$C$32, $C$9, 100%, $E$9)</f>
        <v>11.0564</v>
      </c>
      <c r="H656" s="81">
        <f>21.8691 * CHOOSE(CONTROL!$C$32, $C$9, 100%, $E$9)</f>
        <v>21.8691</v>
      </c>
      <c r="I656" s="81">
        <f>21.8744 * CHOOSE(CONTROL!$C$32, $C$9, 100%, $E$9)</f>
        <v>21.874400000000001</v>
      </c>
      <c r="J656" s="81">
        <f>21.8691 * CHOOSE(CONTROL!$C$32, $C$9, 100%, $E$9)</f>
        <v>21.8691</v>
      </c>
      <c r="K656" s="81">
        <f>21.8744 * CHOOSE(CONTROL!$C$32, $C$9, 100%, $E$9)</f>
        <v>21.874400000000001</v>
      </c>
      <c r="L656" s="81">
        <f>11.0511 * CHOOSE(CONTROL!$C$32, $C$9, 100%, $E$9)</f>
        <v>11.0511</v>
      </c>
      <c r="M656" s="81">
        <f>11.0564 * CHOOSE(CONTROL!$C$32, $C$9, 100%, $E$9)</f>
        <v>11.0564</v>
      </c>
      <c r="N656" s="81">
        <f>11.0511 * CHOOSE(CONTROL!$C$32, $C$9, 100%, $E$9)</f>
        <v>11.0511</v>
      </c>
      <c r="O656" s="81">
        <f>11.0564 * CHOOSE(CONTROL!$C$32, $C$9, 100%, $E$9)</f>
        <v>11.0564</v>
      </c>
    </row>
    <row r="657" spans="1:15" ht="15" x14ac:dyDescent="0.2">
      <c r="A657" s="16">
        <v>61210</v>
      </c>
      <c r="B657" s="80">
        <f>9.6984 * CHOOSE(CONTROL!$C$32, $C$9, 100%, $E$9)</f>
        <v>9.6983999999999995</v>
      </c>
      <c r="C657" s="80">
        <f>9.6984 * CHOOSE(CONTROL!$C$32, $C$9, 100%, $E$9)</f>
        <v>9.6983999999999995</v>
      </c>
      <c r="D657" s="80">
        <f>9.7 * CHOOSE(CONTROL!$C$32, $C$9, 100%, $E$9)</f>
        <v>9.6999999999999993</v>
      </c>
      <c r="E657" s="81">
        <f>10.8009 * CHOOSE(CONTROL!$C$32, $C$9, 100%, $E$9)</f>
        <v>10.8009</v>
      </c>
      <c r="F657" s="81">
        <f>10.8009 * CHOOSE(CONTROL!$C$32, $C$9, 100%, $E$9)</f>
        <v>10.8009</v>
      </c>
      <c r="G657" s="81">
        <f>10.8062 * CHOOSE(CONTROL!$C$32, $C$9, 100%, $E$9)</f>
        <v>10.8062</v>
      </c>
      <c r="H657" s="81">
        <f>21.9147 * CHOOSE(CONTROL!$C$32, $C$9, 100%, $E$9)</f>
        <v>21.9147</v>
      </c>
      <c r="I657" s="81">
        <f>21.92 * CHOOSE(CONTROL!$C$32, $C$9, 100%, $E$9)</f>
        <v>21.92</v>
      </c>
      <c r="J657" s="81">
        <f>21.9147 * CHOOSE(CONTROL!$C$32, $C$9, 100%, $E$9)</f>
        <v>21.9147</v>
      </c>
      <c r="K657" s="81">
        <f>21.92 * CHOOSE(CONTROL!$C$32, $C$9, 100%, $E$9)</f>
        <v>21.92</v>
      </c>
      <c r="L657" s="81">
        <f>10.8009 * CHOOSE(CONTROL!$C$32, $C$9, 100%, $E$9)</f>
        <v>10.8009</v>
      </c>
      <c r="M657" s="81">
        <f>10.8062 * CHOOSE(CONTROL!$C$32, $C$9, 100%, $E$9)</f>
        <v>10.8062</v>
      </c>
      <c r="N657" s="81">
        <f>10.8009 * CHOOSE(CONTROL!$C$32, $C$9, 100%, $E$9)</f>
        <v>10.8009</v>
      </c>
      <c r="O657" s="81">
        <f>10.8062 * CHOOSE(CONTROL!$C$32, $C$9, 100%, $E$9)</f>
        <v>10.8062</v>
      </c>
    </row>
    <row r="658" spans="1:15" ht="15" x14ac:dyDescent="0.2">
      <c r="A658" s="16">
        <v>61241</v>
      </c>
      <c r="B658" s="80">
        <f>9.6954 * CHOOSE(CONTROL!$C$32, $C$9, 100%, $E$9)</f>
        <v>9.6953999999999994</v>
      </c>
      <c r="C658" s="80">
        <f>9.6954 * CHOOSE(CONTROL!$C$32, $C$9, 100%, $E$9)</f>
        <v>9.6953999999999994</v>
      </c>
      <c r="D658" s="80">
        <f>9.697 * CHOOSE(CONTROL!$C$32, $C$9, 100%, $E$9)</f>
        <v>9.6969999999999992</v>
      </c>
      <c r="E658" s="81">
        <f>10.7704 * CHOOSE(CONTROL!$C$32, $C$9, 100%, $E$9)</f>
        <v>10.7704</v>
      </c>
      <c r="F658" s="81">
        <f>10.7704 * CHOOSE(CONTROL!$C$32, $C$9, 100%, $E$9)</f>
        <v>10.7704</v>
      </c>
      <c r="G658" s="81">
        <f>10.7757 * CHOOSE(CONTROL!$C$32, $C$9, 100%, $E$9)</f>
        <v>10.775700000000001</v>
      </c>
      <c r="H658" s="81">
        <f>21.9604 * CHOOSE(CONTROL!$C$32, $C$9, 100%, $E$9)</f>
        <v>21.9604</v>
      </c>
      <c r="I658" s="81">
        <f>21.9657 * CHOOSE(CONTROL!$C$32, $C$9, 100%, $E$9)</f>
        <v>21.965699999999998</v>
      </c>
      <c r="J658" s="81">
        <f>21.9604 * CHOOSE(CONTROL!$C$32, $C$9, 100%, $E$9)</f>
        <v>21.9604</v>
      </c>
      <c r="K658" s="81">
        <f>21.9657 * CHOOSE(CONTROL!$C$32, $C$9, 100%, $E$9)</f>
        <v>21.965699999999998</v>
      </c>
      <c r="L658" s="81">
        <f>10.7704 * CHOOSE(CONTROL!$C$32, $C$9, 100%, $E$9)</f>
        <v>10.7704</v>
      </c>
      <c r="M658" s="81">
        <f>10.7757 * CHOOSE(CONTROL!$C$32, $C$9, 100%, $E$9)</f>
        <v>10.775700000000001</v>
      </c>
      <c r="N658" s="81">
        <f>10.7704 * CHOOSE(CONTROL!$C$32, $C$9, 100%, $E$9)</f>
        <v>10.7704</v>
      </c>
      <c r="O658" s="81">
        <f>10.7757 * CHOOSE(CONTROL!$C$32, $C$9, 100%, $E$9)</f>
        <v>10.775700000000001</v>
      </c>
    </row>
    <row r="659" spans="1:15" ht="15" x14ac:dyDescent="0.2">
      <c r="A659" s="16">
        <v>61271</v>
      </c>
      <c r="B659" s="80">
        <f>9.7117 * CHOOSE(CONTROL!$C$32, $C$9, 100%, $E$9)</f>
        <v>9.7117000000000004</v>
      </c>
      <c r="C659" s="80">
        <f>9.7117 * CHOOSE(CONTROL!$C$32, $C$9, 100%, $E$9)</f>
        <v>9.7117000000000004</v>
      </c>
      <c r="D659" s="80">
        <f>9.7128 * CHOOSE(CONTROL!$C$32, $C$9, 100%, $E$9)</f>
        <v>9.7127999999999997</v>
      </c>
      <c r="E659" s="81">
        <f>10.8703 * CHOOSE(CONTROL!$C$32, $C$9, 100%, $E$9)</f>
        <v>10.8703</v>
      </c>
      <c r="F659" s="81">
        <f>10.8703 * CHOOSE(CONTROL!$C$32, $C$9, 100%, $E$9)</f>
        <v>10.8703</v>
      </c>
      <c r="G659" s="81">
        <f>10.8739 * CHOOSE(CONTROL!$C$32, $C$9, 100%, $E$9)</f>
        <v>10.873900000000001</v>
      </c>
      <c r="H659" s="81">
        <f>22.0061 * CHOOSE(CONTROL!$C$32, $C$9, 100%, $E$9)</f>
        <v>22.0061</v>
      </c>
      <c r="I659" s="81">
        <f>22.0097 * CHOOSE(CONTROL!$C$32, $C$9, 100%, $E$9)</f>
        <v>22.009699999999999</v>
      </c>
      <c r="J659" s="81">
        <f>22.0061 * CHOOSE(CONTROL!$C$32, $C$9, 100%, $E$9)</f>
        <v>22.0061</v>
      </c>
      <c r="K659" s="81">
        <f>22.0097 * CHOOSE(CONTROL!$C$32, $C$9, 100%, $E$9)</f>
        <v>22.009699999999999</v>
      </c>
      <c r="L659" s="81">
        <f>10.8703 * CHOOSE(CONTROL!$C$32, $C$9, 100%, $E$9)</f>
        <v>10.8703</v>
      </c>
      <c r="M659" s="81">
        <f>10.8739 * CHOOSE(CONTROL!$C$32, $C$9, 100%, $E$9)</f>
        <v>10.873900000000001</v>
      </c>
      <c r="N659" s="81">
        <f>10.8703 * CHOOSE(CONTROL!$C$32, $C$9, 100%, $E$9)</f>
        <v>10.8703</v>
      </c>
      <c r="O659" s="81">
        <f>10.8739 * CHOOSE(CONTROL!$C$32, $C$9, 100%, $E$9)</f>
        <v>10.873900000000001</v>
      </c>
    </row>
    <row r="660" spans="1:15" ht="15" x14ac:dyDescent="0.2">
      <c r="A660" s="16">
        <v>61302</v>
      </c>
      <c r="B660" s="80">
        <f>9.7147 * CHOOSE(CONTROL!$C$32, $C$9, 100%, $E$9)</f>
        <v>9.7147000000000006</v>
      </c>
      <c r="C660" s="80">
        <f>9.7147 * CHOOSE(CONTROL!$C$32, $C$9, 100%, $E$9)</f>
        <v>9.7147000000000006</v>
      </c>
      <c r="D660" s="80">
        <f>9.7158 * CHOOSE(CONTROL!$C$32, $C$9, 100%, $E$9)</f>
        <v>9.7157999999999998</v>
      </c>
      <c r="E660" s="81">
        <f>10.9291 * CHOOSE(CONTROL!$C$32, $C$9, 100%, $E$9)</f>
        <v>10.9291</v>
      </c>
      <c r="F660" s="81">
        <f>10.9291 * CHOOSE(CONTROL!$C$32, $C$9, 100%, $E$9)</f>
        <v>10.9291</v>
      </c>
      <c r="G660" s="81">
        <f>10.9327 * CHOOSE(CONTROL!$C$32, $C$9, 100%, $E$9)</f>
        <v>10.932700000000001</v>
      </c>
      <c r="H660" s="81">
        <f>22.052 * CHOOSE(CONTROL!$C$32, $C$9, 100%, $E$9)</f>
        <v>22.052</v>
      </c>
      <c r="I660" s="81">
        <f>22.0556 * CHOOSE(CONTROL!$C$32, $C$9, 100%, $E$9)</f>
        <v>22.055599999999998</v>
      </c>
      <c r="J660" s="81">
        <f>22.052 * CHOOSE(CONTROL!$C$32, $C$9, 100%, $E$9)</f>
        <v>22.052</v>
      </c>
      <c r="K660" s="81">
        <f>22.0556 * CHOOSE(CONTROL!$C$32, $C$9, 100%, $E$9)</f>
        <v>22.055599999999998</v>
      </c>
      <c r="L660" s="81">
        <f>10.9291 * CHOOSE(CONTROL!$C$32, $C$9, 100%, $E$9)</f>
        <v>10.9291</v>
      </c>
      <c r="M660" s="81">
        <f>10.9327 * CHOOSE(CONTROL!$C$32, $C$9, 100%, $E$9)</f>
        <v>10.932700000000001</v>
      </c>
      <c r="N660" s="81">
        <f>10.9291 * CHOOSE(CONTROL!$C$32, $C$9, 100%, $E$9)</f>
        <v>10.9291</v>
      </c>
      <c r="O660" s="81">
        <f>10.9327 * CHOOSE(CONTROL!$C$32, $C$9, 100%, $E$9)</f>
        <v>10.932700000000001</v>
      </c>
    </row>
    <row r="661" spans="1:15" ht="15" x14ac:dyDescent="0.2">
      <c r="A661" s="16">
        <v>61332</v>
      </c>
      <c r="B661" s="80">
        <f>9.7147 * CHOOSE(CONTROL!$C$32, $C$9, 100%, $E$9)</f>
        <v>9.7147000000000006</v>
      </c>
      <c r="C661" s="80">
        <f>9.7147 * CHOOSE(CONTROL!$C$32, $C$9, 100%, $E$9)</f>
        <v>9.7147000000000006</v>
      </c>
      <c r="D661" s="80">
        <f>9.7158 * CHOOSE(CONTROL!$C$32, $C$9, 100%, $E$9)</f>
        <v>9.7157999999999998</v>
      </c>
      <c r="E661" s="81">
        <f>10.7874 * CHOOSE(CONTROL!$C$32, $C$9, 100%, $E$9)</f>
        <v>10.7874</v>
      </c>
      <c r="F661" s="81">
        <f>10.7874 * CHOOSE(CONTROL!$C$32, $C$9, 100%, $E$9)</f>
        <v>10.7874</v>
      </c>
      <c r="G661" s="81">
        <f>10.7911 * CHOOSE(CONTROL!$C$32, $C$9, 100%, $E$9)</f>
        <v>10.7911</v>
      </c>
      <c r="H661" s="81">
        <f>22.0979 * CHOOSE(CONTROL!$C$32, $C$9, 100%, $E$9)</f>
        <v>22.097899999999999</v>
      </c>
      <c r="I661" s="81">
        <f>22.1015 * CHOOSE(CONTROL!$C$32, $C$9, 100%, $E$9)</f>
        <v>22.101500000000001</v>
      </c>
      <c r="J661" s="81">
        <f>22.0979 * CHOOSE(CONTROL!$C$32, $C$9, 100%, $E$9)</f>
        <v>22.097899999999999</v>
      </c>
      <c r="K661" s="81">
        <f>22.1015 * CHOOSE(CONTROL!$C$32, $C$9, 100%, $E$9)</f>
        <v>22.101500000000001</v>
      </c>
      <c r="L661" s="81">
        <f>10.7874 * CHOOSE(CONTROL!$C$32, $C$9, 100%, $E$9)</f>
        <v>10.7874</v>
      </c>
      <c r="M661" s="81">
        <f>10.7911 * CHOOSE(CONTROL!$C$32, $C$9, 100%, $E$9)</f>
        <v>10.7911</v>
      </c>
      <c r="N661" s="81">
        <f>10.7874 * CHOOSE(CONTROL!$C$32, $C$9, 100%, $E$9)</f>
        <v>10.7874</v>
      </c>
      <c r="O661" s="81">
        <f>10.7911 * CHOOSE(CONTROL!$C$32, $C$9, 100%, $E$9)</f>
        <v>10.7911</v>
      </c>
    </row>
    <row r="662" spans="1:15" ht="15" x14ac:dyDescent="0.2">
      <c r="A662" s="16">
        <v>61363</v>
      </c>
      <c r="B662" s="80">
        <f>9.7564 * CHOOSE(CONTROL!$C$32, $C$9, 100%, $E$9)</f>
        <v>9.7563999999999993</v>
      </c>
      <c r="C662" s="80">
        <f>9.7564 * CHOOSE(CONTROL!$C$32, $C$9, 100%, $E$9)</f>
        <v>9.7563999999999993</v>
      </c>
      <c r="D662" s="80">
        <f>9.7574 * CHOOSE(CONTROL!$C$32, $C$9, 100%, $E$9)</f>
        <v>9.7574000000000005</v>
      </c>
      <c r="E662" s="81">
        <f>10.9455 * CHOOSE(CONTROL!$C$32, $C$9, 100%, $E$9)</f>
        <v>10.945499999999999</v>
      </c>
      <c r="F662" s="81">
        <f>10.9455 * CHOOSE(CONTROL!$C$32, $C$9, 100%, $E$9)</f>
        <v>10.945499999999999</v>
      </c>
      <c r="G662" s="81">
        <f>10.9491 * CHOOSE(CONTROL!$C$32, $C$9, 100%, $E$9)</f>
        <v>10.9491</v>
      </c>
      <c r="H662" s="81">
        <f>22.0618 * CHOOSE(CONTROL!$C$32, $C$9, 100%, $E$9)</f>
        <v>22.061800000000002</v>
      </c>
      <c r="I662" s="81">
        <f>22.0654 * CHOOSE(CONTROL!$C$32, $C$9, 100%, $E$9)</f>
        <v>22.0654</v>
      </c>
      <c r="J662" s="81">
        <f>22.0618 * CHOOSE(CONTROL!$C$32, $C$9, 100%, $E$9)</f>
        <v>22.061800000000002</v>
      </c>
      <c r="K662" s="81">
        <f>22.0654 * CHOOSE(CONTROL!$C$32, $C$9, 100%, $E$9)</f>
        <v>22.0654</v>
      </c>
      <c r="L662" s="81">
        <f>10.9455 * CHOOSE(CONTROL!$C$32, $C$9, 100%, $E$9)</f>
        <v>10.945499999999999</v>
      </c>
      <c r="M662" s="81">
        <f>10.9491 * CHOOSE(CONTROL!$C$32, $C$9, 100%, $E$9)</f>
        <v>10.9491</v>
      </c>
      <c r="N662" s="81">
        <f>10.9455 * CHOOSE(CONTROL!$C$32, $C$9, 100%, $E$9)</f>
        <v>10.945499999999999</v>
      </c>
      <c r="O662" s="81">
        <f>10.9491 * CHOOSE(CONTROL!$C$32, $C$9, 100%, $E$9)</f>
        <v>10.9491</v>
      </c>
    </row>
    <row r="663" spans="1:15" ht="15" x14ac:dyDescent="0.2">
      <c r="A663" s="16">
        <v>61394</v>
      </c>
      <c r="B663" s="80">
        <f>9.7533 * CHOOSE(CONTROL!$C$32, $C$9, 100%, $E$9)</f>
        <v>9.7532999999999994</v>
      </c>
      <c r="C663" s="80">
        <f>9.7533 * CHOOSE(CONTROL!$C$32, $C$9, 100%, $E$9)</f>
        <v>9.7532999999999994</v>
      </c>
      <c r="D663" s="80">
        <f>9.7544 * CHOOSE(CONTROL!$C$32, $C$9, 100%, $E$9)</f>
        <v>9.7544000000000004</v>
      </c>
      <c r="E663" s="81">
        <f>10.6687 * CHOOSE(CONTROL!$C$32, $C$9, 100%, $E$9)</f>
        <v>10.668699999999999</v>
      </c>
      <c r="F663" s="81">
        <f>10.6687 * CHOOSE(CONTROL!$C$32, $C$9, 100%, $E$9)</f>
        <v>10.668699999999999</v>
      </c>
      <c r="G663" s="81">
        <f>10.6723 * CHOOSE(CONTROL!$C$32, $C$9, 100%, $E$9)</f>
        <v>10.6723</v>
      </c>
      <c r="H663" s="81">
        <f>22.1078 * CHOOSE(CONTROL!$C$32, $C$9, 100%, $E$9)</f>
        <v>22.107800000000001</v>
      </c>
      <c r="I663" s="81">
        <f>22.1114 * CHOOSE(CONTROL!$C$32, $C$9, 100%, $E$9)</f>
        <v>22.1114</v>
      </c>
      <c r="J663" s="81">
        <f>22.1078 * CHOOSE(CONTROL!$C$32, $C$9, 100%, $E$9)</f>
        <v>22.107800000000001</v>
      </c>
      <c r="K663" s="81">
        <f>22.1114 * CHOOSE(CONTROL!$C$32, $C$9, 100%, $E$9)</f>
        <v>22.1114</v>
      </c>
      <c r="L663" s="81">
        <f>10.6687 * CHOOSE(CONTROL!$C$32, $C$9, 100%, $E$9)</f>
        <v>10.668699999999999</v>
      </c>
      <c r="M663" s="81">
        <f>10.6723 * CHOOSE(CONTROL!$C$32, $C$9, 100%, $E$9)</f>
        <v>10.6723</v>
      </c>
      <c r="N663" s="81">
        <f>10.6687 * CHOOSE(CONTROL!$C$32, $C$9, 100%, $E$9)</f>
        <v>10.668699999999999</v>
      </c>
      <c r="O663" s="81">
        <f>10.6723 * CHOOSE(CONTROL!$C$32, $C$9, 100%, $E$9)</f>
        <v>10.6723</v>
      </c>
    </row>
    <row r="664" spans="1:15" ht="15" x14ac:dyDescent="0.2">
      <c r="A664" s="16">
        <v>61423</v>
      </c>
      <c r="B664" s="80">
        <f>9.7503 * CHOOSE(CONTROL!$C$32, $C$9, 100%, $E$9)</f>
        <v>9.7502999999999993</v>
      </c>
      <c r="C664" s="80">
        <f>9.7503 * CHOOSE(CONTROL!$C$32, $C$9, 100%, $E$9)</f>
        <v>9.7502999999999993</v>
      </c>
      <c r="D664" s="80">
        <f>9.7513 * CHOOSE(CONTROL!$C$32, $C$9, 100%, $E$9)</f>
        <v>9.7513000000000005</v>
      </c>
      <c r="E664" s="81">
        <f>10.8831 * CHOOSE(CONTROL!$C$32, $C$9, 100%, $E$9)</f>
        <v>10.883100000000001</v>
      </c>
      <c r="F664" s="81">
        <f>10.8831 * CHOOSE(CONTROL!$C$32, $C$9, 100%, $E$9)</f>
        <v>10.883100000000001</v>
      </c>
      <c r="G664" s="81">
        <f>10.8867 * CHOOSE(CONTROL!$C$32, $C$9, 100%, $E$9)</f>
        <v>10.886699999999999</v>
      </c>
      <c r="H664" s="81">
        <f>22.1538 * CHOOSE(CONTROL!$C$32, $C$9, 100%, $E$9)</f>
        <v>22.1538</v>
      </c>
      <c r="I664" s="81">
        <f>22.1574 * CHOOSE(CONTROL!$C$32, $C$9, 100%, $E$9)</f>
        <v>22.157399999999999</v>
      </c>
      <c r="J664" s="81">
        <f>22.1538 * CHOOSE(CONTROL!$C$32, $C$9, 100%, $E$9)</f>
        <v>22.1538</v>
      </c>
      <c r="K664" s="81">
        <f>22.1574 * CHOOSE(CONTROL!$C$32, $C$9, 100%, $E$9)</f>
        <v>22.157399999999999</v>
      </c>
      <c r="L664" s="81">
        <f>10.8831 * CHOOSE(CONTROL!$C$32, $C$9, 100%, $E$9)</f>
        <v>10.883100000000001</v>
      </c>
      <c r="M664" s="81">
        <f>10.8867 * CHOOSE(CONTROL!$C$32, $C$9, 100%, $E$9)</f>
        <v>10.886699999999999</v>
      </c>
      <c r="N664" s="81">
        <f>10.8831 * CHOOSE(CONTROL!$C$32, $C$9, 100%, $E$9)</f>
        <v>10.883100000000001</v>
      </c>
      <c r="O664" s="81">
        <f>10.8867 * CHOOSE(CONTROL!$C$32, $C$9, 100%, $E$9)</f>
        <v>10.886699999999999</v>
      </c>
    </row>
    <row r="665" spans="1:15" ht="15" x14ac:dyDescent="0.2">
      <c r="A665" s="16">
        <v>61454</v>
      </c>
      <c r="B665" s="80">
        <f>9.7535 * CHOOSE(CONTROL!$C$32, $C$9, 100%, $E$9)</f>
        <v>9.7535000000000007</v>
      </c>
      <c r="C665" s="80">
        <f>9.7535 * CHOOSE(CONTROL!$C$32, $C$9, 100%, $E$9)</f>
        <v>9.7535000000000007</v>
      </c>
      <c r="D665" s="80">
        <f>9.7546 * CHOOSE(CONTROL!$C$32, $C$9, 100%, $E$9)</f>
        <v>9.7545999999999999</v>
      </c>
      <c r="E665" s="81">
        <f>11.1115 * CHOOSE(CONTROL!$C$32, $C$9, 100%, $E$9)</f>
        <v>11.111499999999999</v>
      </c>
      <c r="F665" s="81">
        <f>11.1115 * CHOOSE(CONTROL!$C$32, $C$9, 100%, $E$9)</f>
        <v>11.111499999999999</v>
      </c>
      <c r="G665" s="81">
        <f>11.1151 * CHOOSE(CONTROL!$C$32, $C$9, 100%, $E$9)</f>
        <v>11.1151</v>
      </c>
      <c r="H665" s="81">
        <f>22.2 * CHOOSE(CONTROL!$C$32, $C$9, 100%, $E$9)</f>
        <v>22.2</v>
      </c>
      <c r="I665" s="81">
        <f>22.2036 * CHOOSE(CONTROL!$C$32, $C$9, 100%, $E$9)</f>
        <v>22.203600000000002</v>
      </c>
      <c r="J665" s="81">
        <f>22.2 * CHOOSE(CONTROL!$C$32, $C$9, 100%, $E$9)</f>
        <v>22.2</v>
      </c>
      <c r="K665" s="81">
        <f>22.2036 * CHOOSE(CONTROL!$C$32, $C$9, 100%, $E$9)</f>
        <v>22.203600000000002</v>
      </c>
      <c r="L665" s="81">
        <f>11.1115 * CHOOSE(CONTROL!$C$32, $C$9, 100%, $E$9)</f>
        <v>11.111499999999999</v>
      </c>
      <c r="M665" s="81">
        <f>11.1151 * CHOOSE(CONTROL!$C$32, $C$9, 100%, $E$9)</f>
        <v>11.1151</v>
      </c>
      <c r="N665" s="81">
        <f>11.1115 * CHOOSE(CONTROL!$C$32, $C$9, 100%, $E$9)</f>
        <v>11.111499999999999</v>
      </c>
      <c r="O665" s="81">
        <f>11.1151 * CHOOSE(CONTROL!$C$32, $C$9, 100%, $E$9)</f>
        <v>11.1151</v>
      </c>
    </row>
    <row r="666" spans="1:15" ht="15" x14ac:dyDescent="0.2">
      <c r="A666" s="16">
        <v>61484</v>
      </c>
      <c r="B666" s="80">
        <f>9.7535 * CHOOSE(CONTROL!$C$32, $C$9, 100%, $E$9)</f>
        <v>9.7535000000000007</v>
      </c>
      <c r="C666" s="80">
        <f>9.7535 * CHOOSE(CONTROL!$C$32, $C$9, 100%, $E$9)</f>
        <v>9.7535000000000007</v>
      </c>
      <c r="D666" s="80">
        <f>9.7551 * CHOOSE(CONTROL!$C$32, $C$9, 100%, $E$9)</f>
        <v>9.7551000000000005</v>
      </c>
      <c r="E666" s="81">
        <f>11.1987 * CHOOSE(CONTROL!$C$32, $C$9, 100%, $E$9)</f>
        <v>11.198700000000001</v>
      </c>
      <c r="F666" s="81">
        <f>11.1987 * CHOOSE(CONTROL!$C$32, $C$9, 100%, $E$9)</f>
        <v>11.198700000000001</v>
      </c>
      <c r="G666" s="81">
        <f>11.204 * CHOOSE(CONTROL!$C$32, $C$9, 100%, $E$9)</f>
        <v>11.204000000000001</v>
      </c>
      <c r="H666" s="81">
        <f>22.2462 * CHOOSE(CONTROL!$C$32, $C$9, 100%, $E$9)</f>
        <v>22.246200000000002</v>
      </c>
      <c r="I666" s="81">
        <f>22.2515 * CHOOSE(CONTROL!$C$32, $C$9, 100%, $E$9)</f>
        <v>22.2515</v>
      </c>
      <c r="J666" s="81">
        <f>22.2462 * CHOOSE(CONTROL!$C$32, $C$9, 100%, $E$9)</f>
        <v>22.246200000000002</v>
      </c>
      <c r="K666" s="81">
        <f>22.2515 * CHOOSE(CONTROL!$C$32, $C$9, 100%, $E$9)</f>
        <v>22.2515</v>
      </c>
      <c r="L666" s="81">
        <f>11.1987 * CHOOSE(CONTROL!$C$32, $C$9, 100%, $E$9)</f>
        <v>11.198700000000001</v>
      </c>
      <c r="M666" s="81">
        <f>11.204 * CHOOSE(CONTROL!$C$32, $C$9, 100%, $E$9)</f>
        <v>11.204000000000001</v>
      </c>
      <c r="N666" s="81">
        <f>11.1987 * CHOOSE(CONTROL!$C$32, $C$9, 100%, $E$9)</f>
        <v>11.198700000000001</v>
      </c>
      <c r="O666" s="81">
        <f>11.204 * CHOOSE(CONTROL!$C$32, $C$9, 100%, $E$9)</f>
        <v>11.204000000000001</v>
      </c>
    </row>
    <row r="667" spans="1:15" ht="15" x14ac:dyDescent="0.2">
      <c r="A667" s="16">
        <v>61515</v>
      </c>
      <c r="B667" s="80">
        <f>9.7596 * CHOOSE(CONTROL!$C$32, $C$9, 100%, $E$9)</f>
        <v>9.7596000000000007</v>
      </c>
      <c r="C667" s="80">
        <f>9.7596 * CHOOSE(CONTROL!$C$32, $C$9, 100%, $E$9)</f>
        <v>9.7596000000000007</v>
      </c>
      <c r="D667" s="80">
        <f>9.7612 * CHOOSE(CONTROL!$C$32, $C$9, 100%, $E$9)</f>
        <v>9.7612000000000005</v>
      </c>
      <c r="E667" s="81">
        <f>11.1157 * CHOOSE(CONTROL!$C$32, $C$9, 100%, $E$9)</f>
        <v>11.1157</v>
      </c>
      <c r="F667" s="81">
        <f>11.1157 * CHOOSE(CONTROL!$C$32, $C$9, 100%, $E$9)</f>
        <v>11.1157</v>
      </c>
      <c r="G667" s="81">
        <f>11.121 * CHOOSE(CONTROL!$C$32, $C$9, 100%, $E$9)</f>
        <v>11.121</v>
      </c>
      <c r="H667" s="81">
        <f>22.2926 * CHOOSE(CONTROL!$C$32, $C$9, 100%, $E$9)</f>
        <v>22.2926</v>
      </c>
      <c r="I667" s="81">
        <f>22.2979 * CHOOSE(CONTROL!$C$32, $C$9, 100%, $E$9)</f>
        <v>22.297899999999998</v>
      </c>
      <c r="J667" s="81">
        <f>22.2926 * CHOOSE(CONTROL!$C$32, $C$9, 100%, $E$9)</f>
        <v>22.2926</v>
      </c>
      <c r="K667" s="81">
        <f>22.2979 * CHOOSE(CONTROL!$C$32, $C$9, 100%, $E$9)</f>
        <v>22.297899999999998</v>
      </c>
      <c r="L667" s="81">
        <f>11.1157 * CHOOSE(CONTROL!$C$32, $C$9, 100%, $E$9)</f>
        <v>11.1157</v>
      </c>
      <c r="M667" s="81">
        <f>11.121 * CHOOSE(CONTROL!$C$32, $C$9, 100%, $E$9)</f>
        <v>11.121</v>
      </c>
      <c r="N667" s="81">
        <f>11.1157 * CHOOSE(CONTROL!$C$32, $C$9, 100%, $E$9)</f>
        <v>11.1157</v>
      </c>
      <c r="O667" s="81">
        <f>11.121 * CHOOSE(CONTROL!$C$32, $C$9, 100%, $E$9)</f>
        <v>11.121</v>
      </c>
    </row>
    <row r="668" spans="1:15" ht="15" x14ac:dyDescent="0.2">
      <c r="A668" s="16">
        <v>61545</v>
      </c>
      <c r="B668" s="80">
        <f>9.8813 * CHOOSE(CONTROL!$C$32, $C$9, 100%, $E$9)</f>
        <v>9.8812999999999995</v>
      </c>
      <c r="C668" s="80">
        <f>9.8813 * CHOOSE(CONTROL!$C$32, $C$9, 100%, $E$9)</f>
        <v>9.8812999999999995</v>
      </c>
      <c r="D668" s="80">
        <f>9.8829 * CHOOSE(CONTROL!$C$32, $C$9, 100%, $E$9)</f>
        <v>9.8828999999999994</v>
      </c>
      <c r="E668" s="81">
        <f>11.2713 * CHOOSE(CONTROL!$C$32, $C$9, 100%, $E$9)</f>
        <v>11.2713</v>
      </c>
      <c r="F668" s="81">
        <f>11.2713 * CHOOSE(CONTROL!$C$32, $C$9, 100%, $E$9)</f>
        <v>11.2713</v>
      </c>
      <c r="G668" s="81">
        <f>11.2766 * CHOOSE(CONTROL!$C$32, $C$9, 100%, $E$9)</f>
        <v>11.2766</v>
      </c>
      <c r="H668" s="81">
        <f>22.339 * CHOOSE(CONTROL!$C$32, $C$9, 100%, $E$9)</f>
        <v>22.338999999999999</v>
      </c>
      <c r="I668" s="81">
        <f>22.3443 * CHOOSE(CONTROL!$C$32, $C$9, 100%, $E$9)</f>
        <v>22.3443</v>
      </c>
      <c r="J668" s="81">
        <f>22.339 * CHOOSE(CONTROL!$C$32, $C$9, 100%, $E$9)</f>
        <v>22.338999999999999</v>
      </c>
      <c r="K668" s="81">
        <f>22.3443 * CHOOSE(CONTROL!$C$32, $C$9, 100%, $E$9)</f>
        <v>22.3443</v>
      </c>
      <c r="L668" s="81">
        <f>11.2713 * CHOOSE(CONTROL!$C$32, $C$9, 100%, $E$9)</f>
        <v>11.2713</v>
      </c>
      <c r="M668" s="81">
        <f>11.2766 * CHOOSE(CONTROL!$C$32, $C$9, 100%, $E$9)</f>
        <v>11.2766</v>
      </c>
      <c r="N668" s="81">
        <f>11.2713 * CHOOSE(CONTROL!$C$32, $C$9, 100%, $E$9)</f>
        <v>11.2713</v>
      </c>
      <c r="O668" s="81">
        <f>11.2766 * CHOOSE(CONTROL!$C$32, $C$9, 100%, $E$9)</f>
        <v>11.2766</v>
      </c>
    </row>
    <row r="669" spans="1:15" ht="15" x14ac:dyDescent="0.2">
      <c r="A669" s="16">
        <v>61576</v>
      </c>
      <c r="B669" s="80">
        <f>9.888 * CHOOSE(CONTROL!$C$32, $C$9, 100%, $E$9)</f>
        <v>9.8879999999999999</v>
      </c>
      <c r="C669" s="80">
        <f>9.888 * CHOOSE(CONTROL!$C$32, $C$9, 100%, $E$9)</f>
        <v>9.8879999999999999</v>
      </c>
      <c r="D669" s="80">
        <f>9.8896 * CHOOSE(CONTROL!$C$32, $C$9, 100%, $E$9)</f>
        <v>9.8895999999999997</v>
      </c>
      <c r="E669" s="81">
        <f>11.0143 * CHOOSE(CONTROL!$C$32, $C$9, 100%, $E$9)</f>
        <v>11.0143</v>
      </c>
      <c r="F669" s="81">
        <f>11.0143 * CHOOSE(CONTROL!$C$32, $C$9, 100%, $E$9)</f>
        <v>11.0143</v>
      </c>
      <c r="G669" s="81">
        <f>11.0196 * CHOOSE(CONTROL!$C$32, $C$9, 100%, $E$9)</f>
        <v>11.019600000000001</v>
      </c>
      <c r="H669" s="81">
        <f>22.3855 * CHOOSE(CONTROL!$C$32, $C$9, 100%, $E$9)</f>
        <v>22.3855</v>
      </c>
      <c r="I669" s="81">
        <f>22.3908 * CHOOSE(CONTROL!$C$32, $C$9, 100%, $E$9)</f>
        <v>22.390799999999999</v>
      </c>
      <c r="J669" s="81">
        <f>22.3855 * CHOOSE(CONTROL!$C$32, $C$9, 100%, $E$9)</f>
        <v>22.3855</v>
      </c>
      <c r="K669" s="81">
        <f>22.3908 * CHOOSE(CONTROL!$C$32, $C$9, 100%, $E$9)</f>
        <v>22.390799999999999</v>
      </c>
      <c r="L669" s="81">
        <f>11.0143 * CHOOSE(CONTROL!$C$32, $C$9, 100%, $E$9)</f>
        <v>11.0143</v>
      </c>
      <c r="M669" s="81">
        <f>11.0196 * CHOOSE(CONTROL!$C$32, $C$9, 100%, $E$9)</f>
        <v>11.019600000000001</v>
      </c>
      <c r="N669" s="81">
        <f>11.0143 * CHOOSE(CONTROL!$C$32, $C$9, 100%, $E$9)</f>
        <v>11.0143</v>
      </c>
      <c r="O669" s="81">
        <f>11.0196 * CHOOSE(CONTROL!$C$32, $C$9, 100%, $E$9)</f>
        <v>11.019600000000001</v>
      </c>
    </row>
    <row r="670" spans="1:15" ht="15" x14ac:dyDescent="0.2">
      <c r="A670" s="16">
        <v>61607</v>
      </c>
      <c r="B670" s="80">
        <f>9.885 * CHOOSE(CONTROL!$C$32, $C$9, 100%, $E$9)</f>
        <v>9.8849999999999998</v>
      </c>
      <c r="C670" s="80">
        <f>9.885 * CHOOSE(CONTROL!$C$32, $C$9, 100%, $E$9)</f>
        <v>9.8849999999999998</v>
      </c>
      <c r="D670" s="80">
        <f>9.8865 * CHOOSE(CONTROL!$C$32, $C$9, 100%, $E$9)</f>
        <v>9.8864999999999998</v>
      </c>
      <c r="E670" s="81">
        <f>10.9831 * CHOOSE(CONTROL!$C$32, $C$9, 100%, $E$9)</f>
        <v>10.9831</v>
      </c>
      <c r="F670" s="81">
        <f>10.9831 * CHOOSE(CONTROL!$C$32, $C$9, 100%, $E$9)</f>
        <v>10.9831</v>
      </c>
      <c r="G670" s="81">
        <f>10.9884 * CHOOSE(CONTROL!$C$32, $C$9, 100%, $E$9)</f>
        <v>10.9884</v>
      </c>
      <c r="H670" s="81">
        <f>22.4322 * CHOOSE(CONTROL!$C$32, $C$9, 100%, $E$9)</f>
        <v>22.432200000000002</v>
      </c>
      <c r="I670" s="81">
        <f>22.4375 * CHOOSE(CONTROL!$C$32, $C$9, 100%, $E$9)</f>
        <v>22.4375</v>
      </c>
      <c r="J670" s="81">
        <f>22.4322 * CHOOSE(CONTROL!$C$32, $C$9, 100%, $E$9)</f>
        <v>22.432200000000002</v>
      </c>
      <c r="K670" s="81">
        <f>22.4375 * CHOOSE(CONTROL!$C$32, $C$9, 100%, $E$9)</f>
        <v>22.4375</v>
      </c>
      <c r="L670" s="81">
        <f>10.9831 * CHOOSE(CONTROL!$C$32, $C$9, 100%, $E$9)</f>
        <v>10.9831</v>
      </c>
      <c r="M670" s="81">
        <f>10.9884 * CHOOSE(CONTROL!$C$32, $C$9, 100%, $E$9)</f>
        <v>10.9884</v>
      </c>
      <c r="N670" s="81">
        <f>10.9831 * CHOOSE(CONTROL!$C$32, $C$9, 100%, $E$9)</f>
        <v>10.9831</v>
      </c>
      <c r="O670" s="81">
        <f>10.9884 * CHOOSE(CONTROL!$C$32, $C$9, 100%, $E$9)</f>
        <v>10.9884</v>
      </c>
    </row>
    <row r="671" spans="1:15" ht="15" x14ac:dyDescent="0.2">
      <c r="A671" s="16">
        <v>61637</v>
      </c>
      <c r="B671" s="80">
        <f>9.902 * CHOOSE(CONTROL!$C$32, $C$9, 100%, $E$9)</f>
        <v>9.9019999999999992</v>
      </c>
      <c r="C671" s="80">
        <f>9.902 * CHOOSE(CONTROL!$C$32, $C$9, 100%, $E$9)</f>
        <v>9.9019999999999992</v>
      </c>
      <c r="D671" s="80">
        <f>9.9031 * CHOOSE(CONTROL!$C$32, $C$9, 100%, $E$9)</f>
        <v>9.9031000000000002</v>
      </c>
      <c r="E671" s="81">
        <f>11.086 * CHOOSE(CONTROL!$C$32, $C$9, 100%, $E$9)</f>
        <v>11.086</v>
      </c>
      <c r="F671" s="81">
        <f>11.086 * CHOOSE(CONTROL!$C$32, $C$9, 100%, $E$9)</f>
        <v>11.086</v>
      </c>
      <c r="G671" s="81">
        <f>11.0896 * CHOOSE(CONTROL!$C$32, $C$9, 100%, $E$9)</f>
        <v>11.089600000000001</v>
      </c>
      <c r="H671" s="81">
        <f>22.4789 * CHOOSE(CONTROL!$C$32, $C$9, 100%, $E$9)</f>
        <v>22.478899999999999</v>
      </c>
      <c r="I671" s="81">
        <f>22.4825 * CHOOSE(CONTROL!$C$32, $C$9, 100%, $E$9)</f>
        <v>22.482500000000002</v>
      </c>
      <c r="J671" s="81">
        <f>22.4789 * CHOOSE(CONTROL!$C$32, $C$9, 100%, $E$9)</f>
        <v>22.478899999999999</v>
      </c>
      <c r="K671" s="81">
        <f>22.4825 * CHOOSE(CONTROL!$C$32, $C$9, 100%, $E$9)</f>
        <v>22.482500000000002</v>
      </c>
      <c r="L671" s="81">
        <f>11.086 * CHOOSE(CONTROL!$C$32, $C$9, 100%, $E$9)</f>
        <v>11.086</v>
      </c>
      <c r="M671" s="81">
        <f>11.0896 * CHOOSE(CONTROL!$C$32, $C$9, 100%, $E$9)</f>
        <v>11.089600000000001</v>
      </c>
      <c r="N671" s="81">
        <f>11.086 * CHOOSE(CONTROL!$C$32, $C$9, 100%, $E$9)</f>
        <v>11.086</v>
      </c>
      <c r="O671" s="81">
        <f>11.0896 * CHOOSE(CONTROL!$C$32, $C$9, 100%, $E$9)</f>
        <v>11.089600000000001</v>
      </c>
    </row>
    <row r="672" spans="1:15" ht="15" x14ac:dyDescent="0.2">
      <c r="A672" s="16">
        <v>61668</v>
      </c>
      <c r="B672" s="80">
        <f>9.905 * CHOOSE(CONTROL!$C$32, $C$9, 100%, $E$9)</f>
        <v>9.9049999999999994</v>
      </c>
      <c r="C672" s="80">
        <f>9.905 * CHOOSE(CONTROL!$C$32, $C$9, 100%, $E$9)</f>
        <v>9.9049999999999994</v>
      </c>
      <c r="D672" s="80">
        <f>9.9061 * CHOOSE(CONTROL!$C$32, $C$9, 100%, $E$9)</f>
        <v>9.9061000000000003</v>
      </c>
      <c r="E672" s="81">
        <f>11.1463 * CHOOSE(CONTROL!$C$32, $C$9, 100%, $E$9)</f>
        <v>11.1463</v>
      </c>
      <c r="F672" s="81">
        <f>11.1463 * CHOOSE(CONTROL!$C$32, $C$9, 100%, $E$9)</f>
        <v>11.1463</v>
      </c>
      <c r="G672" s="81">
        <f>11.1499 * CHOOSE(CONTROL!$C$32, $C$9, 100%, $E$9)</f>
        <v>11.149900000000001</v>
      </c>
      <c r="H672" s="81">
        <f>22.5257 * CHOOSE(CONTROL!$C$32, $C$9, 100%, $E$9)</f>
        <v>22.525700000000001</v>
      </c>
      <c r="I672" s="81">
        <f>22.5294 * CHOOSE(CONTROL!$C$32, $C$9, 100%, $E$9)</f>
        <v>22.529399999999999</v>
      </c>
      <c r="J672" s="81">
        <f>22.5257 * CHOOSE(CONTROL!$C$32, $C$9, 100%, $E$9)</f>
        <v>22.525700000000001</v>
      </c>
      <c r="K672" s="81">
        <f>22.5294 * CHOOSE(CONTROL!$C$32, $C$9, 100%, $E$9)</f>
        <v>22.529399999999999</v>
      </c>
      <c r="L672" s="81">
        <f>11.1463 * CHOOSE(CONTROL!$C$32, $C$9, 100%, $E$9)</f>
        <v>11.1463</v>
      </c>
      <c r="M672" s="81">
        <f>11.1499 * CHOOSE(CONTROL!$C$32, $C$9, 100%, $E$9)</f>
        <v>11.149900000000001</v>
      </c>
      <c r="N672" s="81">
        <f>11.1463 * CHOOSE(CONTROL!$C$32, $C$9, 100%, $E$9)</f>
        <v>11.1463</v>
      </c>
      <c r="O672" s="81">
        <f>11.1499 * CHOOSE(CONTROL!$C$32, $C$9, 100%, $E$9)</f>
        <v>11.149900000000001</v>
      </c>
    </row>
    <row r="673" spans="1:15" ht="15" x14ac:dyDescent="0.2">
      <c r="A673" s="16">
        <v>61698</v>
      </c>
      <c r="B673" s="80">
        <f>9.905 * CHOOSE(CONTROL!$C$32, $C$9, 100%, $E$9)</f>
        <v>9.9049999999999994</v>
      </c>
      <c r="C673" s="80">
        <f>9.905 * CHOOSE(CONTROL!$C$32, $C$9, 100%, $E$9)</f>
        <v>9.9049999999999994</v>
      </c>
      <c r="D673" s="80">
        <f>9.9061 * CHOOSE(CONTROL!$C$32, $C$9, 100%, $E$9)</f>
        <v>9.9061000000000003</v>
      </c>
      <c r="E673" s="81">
        <f>11.0009 * CHOOSE(CONTROL!$C$32, $C$9, 100%, $E$9)</f>
        <v>11.0009</v>
      </c>
      <c r="F673" s="81">
        <f>11.0009 * CHOOSE(CONTROL!$C$32, $C$9, 100%, $E$9)</f>
        <v>11.0009</v>
      </c>
      <c r="G673" s="81">
        <f>11.0045 * CHOOSE(CONTROL!$C$32, $C$9, 100%, $E$9)</f>
        <v>11.0045</v>
      </c>
      <c r="H673" s="81">
        <f>22.5727 * CHOOSE(CONTROL!$C$32, $C$9, 100%, $E$9)</f>
        <v>22.572700000000001</v>
      </c>
      <c r="I673" s="81">
        <f>22.5763 * CHOOSE(CONTROL!$C$32, $C$9, 100%, $E$9)</f>
        <v>22.5763</v>
      </c>
      <c r="J673" s="81">
        <f>22.5727 * CHOOSE(CONTROL!$C$32, $C$9, 100%, $E$9)</f>
        <v>22.572700000000001</v>
      </c>
      <c r="K673" s="81">
        <f>22.5763 * CHOOSE(CONTROL!$C$32, $C$9, 100%, $E$9)</f>
        <v>22.5763</v>
      </c>
      <c r="L673" s="81">
        <f>11.0009 * CHOOSE(CONTROL!$C$32, $C$9, 100%, $E$9)</f>
        <v>11.0009</v>
      </c>
      <c r="M673" s="81">
        <f>11.0045 * CHOOSE(CONTROL!$C$32, $C$9, 100%, $E$9)</f>
        <v>11.0045</v>
      </c>
      <c r="N673" s="81">
        <f>11.0009 * CHOOSE(CONTROL!$C$32, $C$9, 100%, $E$9)</f>
        <v>11.0009</v>
      </c>
      <c r="O673" s="81">
        <f>11.0045 * CHOOSE(CONTROL!$C$32, $C$9, 100%, $E$9)</f>
        <v>11.0045</v>
      </c>
    </row>
    <row r="674" spans="1:15" ht="15" x14ac:dyDescent="0.2">
      <c r="A674" s="16">
        <v>61729</v>
      </c>
      <c r="B674" s="80">
        <f>9.9437 * CHOOSE(CONTROL!$C$32, $C$9, 100%, $E$9)</f>
        <v>9.9436999999999998</v>
      </c>
      <c r="C674" s="80">
        <f>9.9437 * CHOOSE(CONTROL!$C$32, $C$9, 100%, $E$9)</f>
        <v>9.9436999999999998</v>
      </c>
      <c r="D674" s="80">
        <f>9.9448 * CHOOSE(CONTROL!$C$32, $C$9, 100%, $E$9)</f>
        <v>9.9448000000000008</v>
      </c>
      <c r="E674" s="81">
        <f>11.158 * CHOOSE(CONTROL!$C$32, $C$9, 100%, $E$9)</f>
        <v>11.157999999999999</v>
      </c>
      <c r="F674" s="81">
        <f>11.158 * CHOOSE(CONTROL!$C$32, $C$9, 100%, $E$9)</f>
        <v>11.157999999999999</v>
      </c>
      <c r="G674" s="81">
        <f>11.1616 * CHOOSE(CONTROL!$C$32, $C$9, 100%, $E$9)</f>
        <v>11.1616</v>
      </c>
      <c r="H674" s="81">
        <f>22.5258 * CHOOSE(CONTROL!$C$32, $C$9, 100%, $E$9)</f>
        <v>22.5258</v>
      </c>
      <c r="I674" s="81">
        <f>22.5294 * CHOOSE(CONTROL!$C$32, $C$9, 100%, $E$9)</f>
        <v>22.529399999999999</v>
      </c>
      <c r="J674" s="81">
        <f>22.5258 * CHOOSE(CONTROL!$C$32, $C$9, 100%, $E$9)</f>
        <v>22.5258</v>
      </c>
      <c r="K674" s="81">
        <f>22.5294 * CHOOSE(CONTROL!$C$32, $C$9, 100%, $E$9)</f>
        <v>22.529399999999999</v>
      </c>
      <c r="L674" s="81">
        <f>11.158 * CHOOSE(CONTROL!$C$32, $C$9, 100%, $E$9)</f>
        <v>11.157999999999999</v>
      </c>
      <c r="M674" s="81">
        <f>11.1616 * CHOOSE(CONTROL!$C$32, $C$9, 100%, $E$9)</f>
        <v>11.1616</v>
      </c>
      <c r="N674" s="81">
        <f>11.158 * CHOOSE(CONTROL!$C$32, $C$9, 100%, $E$9)</f>
        <v>11.157999999999999</v>
      </c>
      <c r="O674" s="81">
        <f>11.1616 * CHOOSE(CONTROL!$C$32, $C$9, 100%, $E$9)</f>
        <v>11.1616</v>
      </c>
    </row>
    <row r="675" spans="1:15" ht="15" x14ac:dyDescent="0.2">
      <c r="A675" s="16">
        <v>61760</v>
      </c>
      <c r="B675" s="80">
        <f>9.9407 * CHOOSE(CONTROL!$C$32, $C$9, 100%, $E$9)</f>
        <v>9.9406999999999996</v>
      </c>
      <c r="C675" s="80">
        <f>9.9407 * CHOOSE(CONTROL!$C$32, $C$9, 100%, $E$9)</f>
        <v>9.9406999999999996</v>
      </c>
      <c r="D675" s="80">
        <f>9.9417 * CHOOSE(CONTROL!$C$32, $C$9, 100%, $E$9)</f>
        <v>9.9417000000000009</v>
      </c>
      <c r="E675" s="81">
        <f>10.8741 * CHOOSE(CONTROL!$C$32, $C$9, 100%, $E$9)</f>
        <v>10.8741</v>
      </c>
      <c r="F675" s="81">
        <f>10.8741 * CHOOSE(CONTROL!$C$32, $C$9, 100%, $E$9)</f>
        <v>10.8741</v>
      </c>
      <c r="G675" s="81">
        <f>10.8777 * CHOOSE(CONTROL!$C$32, $C$9, 100%, $E$9)</f>
        <v>10.877700000000001</v>
      </c>
      <c r="H675" s="81">
        <f>22.5728 * CHOOSE(CONTROL!$C$32, $C$9, 100%, $E$9)</f>
        <v>22.572800000000001</v>
      </c>
      <c r="I675" s="81">
        <f>22.5764 * CHOOSE(CONTROL!$C$32, $C$9, 100%, $E$9)</f>
        <v>22.5764</v>
      </c>
      <c r="J675" s="81">
        <f>22.5728 * CHOOSE(CONTROL!$C$32, $C$9, 100%, $E$9)</f>
        <v>22.572800000000001</v>
      </c>
      <c r="K675" s="81">
        <f>22.5764 * CHOOSE(CONTROL!$C$32, $C$9, 100%, $E$9)</f>
        <v>22.5764</v>
      </c>
      <c r="L675" s="81">
        <f>10.8741 * CHOOSE(CONTROL!$C$32, $C$9, 100%, $E$9)</f>
        <v>10.8741</v>
      </c>
      <c r="M675" s="81">
        <f>10.8777 * CHOOSE(CONTROL!$C$32, $C$9, 100%, $E$9)</f>
        <v>10.877700000000001</v>
      </c>
      <c r="N675" s="81">
        <f>10.8741 * CHOOSE(CONTROL!$C$32, $C$9, 100%, $E$9)</f>
        <v>10.8741</v>
      </c>
      <c r="O675" s="81">
        <f>10.8777 * CHOOSE(CONTROL!$C$32, $C$9, 100%, $E$9)</f>
        <v>10.877700000000001</v>
      </c>
    </row>
    <row r="676" spans="1:15" ht="15" x14ac:dyDescent="0.2">
      <c r="A676" s="16">
        <v>61788</v>
      </c>
      <c r="B676" s="80">
        <f>9.9376 * CHOOSE(CONTROL!$C$32, $C$9, 100%, $E$9)</f>
        <v>9.9375999999999998</v>
      </c>
      <c r="C676" s="80">
        <f>9.9376 * CHOOSE(CONTROL!$C$32, $C$9, 100%, $E$9)</f>
        <v>9.9375999999999998</v>
      </c>
      <c r="D676" s="80">
        <f>9.9387 * CHOOSE(CONTROL!$C$32, $C$9, 100%, $E$9)</f>
        <v>9.9387000000000008</v>
      </c>
      <c r="E676" s="81">
        <f>11.0941 * CHOOSE(CONTROL!$C$32, $C$9, 100%, $E$9)</f>
        <v>11.094099999999999</v>
      </c>
      <c r="F676" s="81">
        <f>11.0941 * CHOOSE(CONTROL!$C$32, $C$9, 100%, $E$9)</f>
        <v>11.094099999999999</v>
      </c>
      <c r="G676" s="81">
        <f>11.0977 * CHOOSE(CONTROL!$C$32, $C$9, 100%, $E$9)</f>
        <v>11.0977</v>
      </c>
      <c r="H676" s="81">
        <f>22.6198 * CHOOSE(CONTROL!$C$32, $C$9, 100%, $E$9)</f>
        <v>22.619800000000001</v>
      </c>
      <c r="I676" s="81">
        <f>22.6234 * CHOOSE(CONTROL!$C$32, $C$9, 100%, $E$9)</f>
        <v>22.6234</v>
      </c>
      <c r="J676" s="81">
        <f>22.6198 * CHOOSE(CONTROL!$C$32, $C$9, 100%, $E$9)</f>
        <v>22.619800000000001</v>
      </c>
      <c r="K676" s="81">
        <f>22.6234 * CHOOSE(CONTROL!$C$32, $C$9, 100%, $E$9)</f>
        <v>22.6234</v>
      </c>
      <c r="L676" s="81">
        <f>11.0941 * CHOOSE(CONTROL!$C$32, $C$9, 100%, $E$9)</f>
        <v>11.094099999999999</v>
      </c>
      <c r="M676" s="81">
        <f>11.0977 * CHOOSE(CONTROL!$C$32, $C$9, 100%, $E$9)</f>
        <v>11.0977</v>
      </c>
      <c r="N676" s="81">
        <f>11.0941 * CHOOSE(CONTROL!$C$32, $C$9, 100%, $E$9)</f>
        <v>11.094099999999999</v>
      </c>
      <c r="O676" s="81">
        <f>11.0977 * CHOOSE(CONTROL!$C$32, $C$9, 100%, $E$9)</f>
        <v>11.0977</v>
      </c>
    </row>
    <row r="677" spans="1:15" ht="15" x14ac:dyDescent="0.2">
      <c r="A677" s="16">
        <v>61819</v>
      </c>
      <c r="B677" s="80">
        <f>9.941 * CHOOSE(CONTROL!$C$32, $C$9, 100%, $E$9)</f>
        <v>9.9410000000000007</v>
      </c>
      <c r="C677" s="80">
        <f>9.941 * CHOOSE(CONTROL!$C$32, $C$9, 100%, $E$9)</f>
        <v>9.9410000000000007</v>
      </c>
      <c r="D677" s="80">
        <f>9.9421 * CHOOSE(CONTROL!$C$32, $C$9, 100%, $E$9)</f>
        <v>9.9420999999999999</v>
      </c>
      <c r="E677" s="81">
        <f>11.3285 * CHOOSE(CONTROL!$C$32, $C$9, 100%, $E$9)</f>
        <v>11.3285</v>
      </c>
      <c r="F677" s="81">
        <f>11.3285 * CHOOSE(CONTROL!$C$32, $C$9, 100%, $E$9)</f>
        <v>11.3285</v>
      </c>
      <c r="G677" s="81">
        <f>11.3321 * CHOOSE(CONTROL!$C$32, $C$9, 100%, $E$9)</f>
        <v>11.332100000000001</v>
      </c>
      <c r="H677" s="81">
        <f>22.6669 * CHOOSE(CONTROL!$C$32, $C$9, 100%, $E$9)</f>
        <v>22.666899999999998</v>
      </c>
      <c r="I677" s="81">
        <f>22.6705 * CHOOSE(CONTROL!$C$32, $C$9, 100%, $E$9)</f>
        <v>22.670500000000001</v>
      </c>
      <c r="J677" s="81">
        <f>22.6669 * CHOOSE(CONTROL!$C$32, $C$9, 100%, $E$9)</f>
        <v>22.666899999999998</v>
      </c>
      <c r="K677" s="81">
        <f>22.6705 * CHOOSE(CONTROL!$C$32, $C$9, 100%, $E$9)</f>
        <v>22.670500000000001</v>
      </c>
      <c r="L677" s="81">
        <f>11.3285 * CHOOSE(CONTROL!$C$32, $C$9, 100%, $E$9)</f>
        <v>11.3285</v>
      </c>
      <c r="M677" s="81">
        <f>11.3321 * CHOOSE(CONTROL!$C$32, $C$9, 100%, $E$9)</f>
        <v>11.332100000000001</v>
      </c>
      <c r="N677" s="81">
        <f>11.3285 * CHOOSE(CONTROL!$C$32, $C$9, 100%, $E$9)</f>
        <v>11.3285</v>
      </c>
      <c r="O677" s="81">
        <f>11.3321 * CHOOSE(CONTROL!$C$32, $C$9, 100%, $E$9)</f>
        <v>11.332100000000001</v>
      </c>
    </row>
    <row r="678" spans="1:15" ht="15" x14ac:dyDescent="0.2">
      <c r="A678" s="16">
        <v>61849</v>
      </c>
      <c r="B678" s="80">
        <f>9.941 * CHOOSE(CONTROL!$C$32, $C$9, 100%, $E$9)</f>
        <v>9.9410000000000007</v>
      </c>
      <c r="C678" s="80">
        <f>9.941 * CHOOSE(CONTROL!$C$32, $C$9, 100%, $E$9)</f>
        <v>9.9410000000000007</v>
      </c>
      <c r="D678" s="80">
        <f>9.9426 * CHOOSE(CONTROL!$C$32, $C$9, 100%, $E$9)</f>
        <v>9.9426000000000005</v>
      </c>
      <c r="E678" s="81">
        <f>11.418 * CHOOSE(CONTROL!$C$32, $C$9, 100%, $E$9)</f>
        <v>11.417999999999999</v>
      </c>
      <c r="F678" s="81">
        <f>11.418 * CHOOSE(CONTROL!$C$32, $C$9, 100%, $E$9)</f>
        <v>11.417999999999999</v>
      </c>
      <c r="G678" s="81">
        <f>11.4233 * CHOOSE(CONTROL!$C$32, $C$9, 100%, $E$9)</f>
        <v>11.423299999999999</v>
      </c>
      <c r="H678" s="81">
        <f>22.7141 * CHOOSE(CONTROL!$C$32, $C$9, 100%, $E$9)</f>
        <v>22.714099999999998</v>
      </c>
      <c r="I678" s="81">
        <f>22.7194 * CHOOSE(CONTROL!$C$32, $C$9, 100%, $E$9)</f>
        <v>22.7194</v>
      </c>
      <c r="J678" s="81">
        <f>22.7141 * CHOOSE(CONTROL!$C$32, $C$9, 100%, $E$9)</f>
        <v>22.714099999999998</v>
      </c>
      <c r="K678" s="81">
        <f>22.7194 * CHOOSE(CONTROL!$C$32, $C$9, 100%, $E$9)</f>
        <v>22.7194</v>
      </c>
      <c r="L678" s="81">
        <f>11.418 * CHOOSE(CONTROL!$C$32, $C$9, 100%, $E$9)</f>
        <v>11.417999999999999</v>
      </c>
      <c r="M678" s="81">
        <f>11.4233 * CHOOSE(CONTROL!$C$32, $C$9, 100%, $E$9)</f>
        <v>11.423299999999999</v>
      </c>
      <c r="N678" s="81">
        <f>11.418 * CHOOSE(CONTROL!$C$32, $C$9, 100%, $E$9)</f>
        <v>11.417999999999999</v>
      </c>
      <c r="O678" s="81">
        <f>11.4233 * CHOOSE(CONTROL!$C$32, $C$9, 100%, $E$9)</f>
        <v>11.423299999999999</v>
      </c>
    </row>
    <row r="679" spans="1:15" ht="15" x14ac:dyDescent="0.2">
      <c r="A679" s="16">
        <v>61880</v>
      </c>
      <c r="B679" s="80">
        <f>9.9471 * CHOOSE(CONTROL!$C$32, $C$9, 100%, $E$9)</f>
        <v>9.9471000000000007</v>
      </c>
      <c r="C679" s="80">
        <f>9.9471 * CHOOSE(CONTROL!$C$32, $C$9, 100%, $E$9)</f>
        <v>9.9471000000000007</v>
      </c>
      <c r="D679" s="80">
        <f>9.9487 * CHOOSE(CONTROL!$C$32, $C$9, 100%, $E$9)</f>
        <v>9.9487000000000005</v>
      </c>
      <c r="E679" s="81">
        <f>11.3327 * CHOOSE(CONTROL!$C$32, $C$9, 100%, $E$9)</f>
        <v>11.332700000000001</v>
      </c>
      <c r="F679" s="81">
        <f>11.3327 * CHOOSE(CONTROL!$C$32, $C$9, 100%, $E$9)</f>
        <v>11.332700000000001</v>
      </c>
      <c r="G679" s="81">
        <f>11.338 * CHOOSE(CONTROL!$C$32, $C$9, 100%, $E$9)</f>
        <v>11.337999999999999</v>
      </c>
      <c r="H679" s="81">
        <f>22.7614 * CHOOSE(CONTROL!$C$32, $C$9, 100%, $E$9)</f>
        <v>22.761399999999998</v>
      </c>
      <c r="I679" s="81">
        <f>22.7667 * CHOOSE(CONTROL!$C$32, $C$9, 100%, $E$9)</f>
        <v>22.7667</v>
      </c>
      <c r="J679" s="81">
        <f>22.7614 * CHOOSE(CONTROL!$C$32, $C$9, 100%, $E$9)</f>
        <v>22.761399999999998</v>
      </c>
      <c r="K679" s="81">
        <f>22.7667 * CHOOSE(CONTROL!$C$32, $C$9, 100%, $E$9)</f>
        <v>22.7667</v>
      </c>
      <c r="L679" s="81">
        <f>11.3327 * CHOOSE(CONTROL!$C$32, $C$9, 100%, $E$9)</f>
        <v>11.332700000000001</v>
      </c>
      <c r="M679" s="81">
        <f>11.338 * CHOOSE(CONTROL!$C$32, $C$9, 100%, $E$9)</f>
        <v>11.337999999999999</v>
      </c>
      <c r="N679" s="81">
        <f>11.3327 * CHOOSE(CONTROL!$C$32, $C$9, 100%, $E$9)</f>
        <v>11.332700000000001</v>
      </c>
      <c r="O679" s="81">
        <f>11.338 * CHOOSE(CONTROL!$C$32, $C$9, 100%, $E$9)</f>
        <v>11.337999999999999</v>
      </c>
    </row>
    <row r="680" spans="1:15" ht="15" x14ac:dyDescent="0.2">
      <c r="A680" s="16">
        <v>61910</v>
      </c>
      <c r="B680" s="80">
        <f>10.0709 * CHOOSE(CONTROL!$C$32, $C$9, 100%, $E$9)</f>
        <v>10.0709</v>
      </c>
      <c r="C680" s="80">
        <f>10.0709 * CHOOSE(CONTROL!$C$32, $C$9, 100%, $E$9)</f>
        <v>10.0709</v>
      </c>
      <c r="D680" s="80">
        <f>10.0725 * CHOOSE(CONTROL!$C$32, $C$9, 100%, $E$9)</f>
        <v>10.0725</v>
      </c>
      <c r="E680" s="81">
        <f>11.4915 * CHOOSE(CONTROL!$C$32, $C$9, 100%, $E$9)</f>
        <v>11.4915</v>
      </c>
      <c r="F680" s="81">
        <f>11.4915 * CHOOSE(CONTROL!$C$32, $C$9, 100%, $E$9)</f>
        <v>11.4915</v>
      </c>
      <c r="G680" s="81">
        <f>11.4968 * CHOOSE(CONTROL!$C$32, $C$9, 100%, $E$9)</f>
        <v>11.4968</v>
      </c>
      <c r="H680" s="81">
        <f>22.8089 * CHOOSE(CONTROL!$C$32, $C$9, 100%, $E$9)</f>
        <v>22.808900000000001</v>
      </c>
      <c r="I680" s="81">
        <f>22.8142 * CHOOSE(CONTROL!$C$32, $C$9, 100%, $E$9)</f>
        <v>22.8142</v>
      </c>
      <c r="J680" s="81">
        <f>22.8089 * CHOOSE(CONTROL!$C$32, $C$9, 100%, $E$9)</f>
        <v>22.808900000000001</v>
      </c>
      <c r="K680" s="81">
        <f>22.8142 * CHOOSE(CONTROL!$C$32, $C$9, 100%, $E$9)</f>
        <v>22.8142</v>
      </c>
      <c r="L680" s="81">
        <f>11.4915 * CHOOSE(CONTROL!$C$32, $C$9, 100%, $E$9)</f>
        <v>11.4915</v>
      </c>
      <c r="M680" s="81">
        <f>11.4968 * CHOOSE(CONTROL!$C$32, $C$9, 100%, $E$9)</f>
        <v>11.4968</v>
      </c>
      <c r="N680" s="81">
        <f>11.4915 * CHOOSE(CONTROL!$C$32, $C$9, 100%, $E$9)</f>
        <v>11.4915</v>
      </c>
      <c r="O680" s="81">
        <f>11.4968 * CHOOSE(CONTROL!$C$32, $C$9, 100%, $E$9)</f>
        <v>11.4968</v>
      </c>
    </row>
    <row r="681" spans="1:15" ht="15" x14ac:dyDescent="0.2">
      <c r="A681" s="16">
        <v>61941</v>
      </c>
      <c r="B681" s="80">
        <f>10.0776 * CHOOSE(CONTROL!$C$32, $C$9, 100%, $E$9)</f>
        <v>10.0776</v>
      </c>
      <c r="C681" s="80">
        <f>10.0776 * CHOOSE(CONTROL!$C$32, $C$9, 100%, $E$9)</f>
        <v>10.0776</v>
      </c>
      <c r="D681" s="80">
        <f>10.0792 * CHOOSE(CONTROL!$C$32, $C$9, 100%, $E$9)</f>
        <v>10.0792</v>
      </c>
      <c r="E681" s="81">
        <f>11.2277 * CHOOSE(CONTROL!$C$32, $C$9, 100%, $E$9)</f>
        <v>11.2277</v>
      </c>
      <c r="F681" s="81">
        <f>11.2277 * CHOOSE(CONTROL!$C$32, $C$9, 100%, $E$9)</f>
        <v>11.2277</v>
      </c>
      <c r="G681" s="81">
        <f>11.233 * CHOOSE(CONTROL!$C$32, $C$9, 100%, $E$9)</f>
        <v>11.233000000000001</v>
      </c>
      <c r="H681" s="81">
        <f>22.8564 * CHOOSE(CONTROL!$C$32, $C$9, 100%, $E$9)</f>
        <v>22.856400000000001</v>
      </c>
      <c r="I681" s="81">
        <f>22.8617 * CHOOSE(CONTROL!$C$32, $C$9, 100%, $E$9)</f>
        <v>22.861699999999999</v>
      </c>
      <c r="J681" s="81">
        <f>22.8564 * CHOOSE(CONTROL!$C$32, $C$9, 100%, $E$9)</f>
        <v>22.856400000000001</v>
      </c>
      <c r="K681" s="81">
        <f>22.8617 * CHOOSE(CONTROL!$C$32, $C$9, 100%, $E$9)</f>
        <v>22.861699999999999</v>
      </c>
      <c r="L681" s="81">
        <f>11.2277 * CHOOSE(CONTROL!$C$32, $C$9, 100%, $E$9)</f>
        <v>11.2277</v>
      </c>
      <c r="M681" s="81">
        <f>11.233 * CHOOSE(CONTROL!$C$32, $C$9, 100%, $E$9)</f>
        <v>11.233000000000001</v>
      </c>
      <c r="N681" s="81">
        <f>11.2277 * CHOOSE(CONTROL!$C$32, $C$9, 100%, $E$9)</f>
        <v>11.2277</v>
      </c>
      <c r="O681" s="81">
        <f>11.233 * CHOOSE(CONTROL!$C$32, $C$9, 100%, $E$9)</f>
        <v>11.233000000000001</v>
      </c>
    </row>
    <row r="682" spans="1:15" ht="15" x14ac:dyDescent="0.2">
      <c r="A682" s="16">
        <v>61972</v>
      </c>
      <c r="B682" s="80">
        <f>10.0746 * CHOOSE(CONTROL!$C$32, $C$9, 100%, $E$9)</f>
        <v>10.0746</v>
      </c>
      <c r="C682" s="80">
        <f>10.0746 * CHOOSE(CONTROL!$C$32, $C$9, 100%, $E$9)</f>
        <v>10.0746</v>
      </c>
      <c r="D682" s="80">
        <f>10.0761 * CHOOSE(CONTROL!$C$32, $C$9, 100%, $E$9)</f>
        <v>10.0761</v>
      </c>
      <c r="E682" s="81">
        <f>11.1958 * CHOOSE(CONTROL!$C$32, $C$9, 100%, $E$9)</f>
        <v>11.1958</v>
      </c>
      <c r="F682" s="81">
        <f>11.1958 * CHOOSE(CONTROL!$C$32, $C$9, 100%, $E$9)</f>
        <v>11.1958</v>
      </c>
      <c r="G682" s="81">
        <f>11.2011 * CHOOSE(CONTROL!$C$32, $C$9, 100%, $E$9)</f>
        <v>11.2011</v>
      </c>
      <c r="H682" s="81">
        <f>22.904 * CHOOSE(CONTROL!$C$32, $C$9, 100%, $E$9)</f>
        <v>22.904</v>
      </c>
      <c r="I682" s="81">
        <f>22.9093 * CHOOSE(CONTROL!$C$32, $C$9, 100%, $E$9)</f>
        <v>22.909300000000002</v>
      </c>
      <c r="J682" s="81">
        <f>22.904 * CHOOSE(CONTROL!$C$32, $C$9, 100%, $E$9)</f>
        <v>22.904</v>
      </c>
      <c r="K682" s="81">
        <f>22.9093 * CHOOSE(CONTROL!$C$32, $C$9, 100%, $E$9)</f>
        <v>22.909300000000002</v>
      </c>
      <c r="L682" s="81">
        <f>11.1958 * CHOOSE(CONTROL!$C$32, $C$9, 100%, $E$9)</f>
        <v>11.1958</v>
      </c>
      <c r="M682" s="81">
        <f>11.2011 * CHOOSE(CONTROL!$C$32, $C$9, 100%, $E$9)</f>
        <v>11.2011</v>
      </c>
      <c r="N682" s="81">
        <f>11.1958 * CHOOSE(CONTROL!$C$32, $C$9, 100%, $E$9)</f>
        <v>11.1958</v>
      </c>
      <c r="O682" s="81">
        <f>11.2011 * CHOOSE(CONTROL!$C$32, $C$9, 100%, $E$9)</f>
        <v>11.2011</v>
      </c>
    </row>
    <row r="683" spans="1:15" ht="15" x14ac:dyDescent="0.2">
      <c r="A683" s="16">
        <v>62002</v>
      </c>
      <c r="B683" s="80">
        <f>10.0923 * CHOOSE(CONTROL!$C$32, $C$9, 100%, $E$9)</f>
        <v>10.0923</v>
      </c>
      <c r="C683" s="80">
        <f>10.0923 * CHOOSE(CONTROL!$C$32, $C$9, 100%, $E$9)</f>
        <v>10.0923</v>
      </c>
      <c r="D683" s="80">
        <f>10.0934 * CHOOSE(CONTROL!$C$32, $C$9, 100%, $E$9)</f>
        <v>10.093400000000001</v>
      </c>
      <c r="E683" s="81">
        <f>11.3017 * CHOOSE(CONTROL!$C$32, $C$9, 100%, $E$9)</f>
        <v>11.3017</v>
      </c>
      <c r="F683" s="81">
        <f>11.3017 * CHOOSE(CONTROL!$C$32, $C$9, 100%, $E$9)</f>
        <v>11.3017</v>
      </c>
      <c r="G683" s="81">
        <f>11.3053 * CHOOSE(CONTROL!$C$32, $C$9, 100%, $E$9)</f>
        <v>11.305300000000001</v>
      </c>
      <c r="H683" s="81">
        <f>22.9517 * CHOOSE(CONTROL!$C$32, $C$9, 100%, $E$9)</f>
        <v>22.951699999999999</v>
      </c>
      <c r="I683" s="81">
        <f>22.9553 * CHOOSE(CONTROL!$C$32, $C$9, 100%, $E$9)</f>
        <v>22.955300000000001</v>
      </c>
      <c r="J683" s="81">
        <f>22.9517 * CHOOSE(CONTROL!$C$32, $C$9, 100%, $E$9)</f>
        <v>22.951699999999999</v>
      </c>
      <c r="K683" s="81">
        <f>22.9553 * CHOOSE(CONTROL!$C$32, $C$9, 100%, $E$9)</f>
        <v>22.955300000000001</v>
      </c>
      <c r="L683" s="81">
        <f>11.3017 * CHOOSE(CONTROL!$C$32, $C$9, 100%, $E$9)</f>
        <v>11.3017</v>
      </c>
      <c r="M683" s="81">
        <f>11.3053 * CHOOSE(CONTROL!$C$32, $C$9, 100%, $E$9)</f>
        <v>11.305300000000001</v>
      </c>
      <c r="N683" s="81">
        <f>11.3017 * CHOOSE(CONTROL!$C$32, $C$9, 100%, $E$9)</f>
        <v>11.3017</v>
      </c>
      <c r="O683" s="81">
        <f>11.3053 * CHOOSE(CONTROL!$C$32, $C$9, 100%, $E$9)</f>
        <v>11.305300000000001</v>
      </c>
    </row>
    <row r="684" spans="1:15" ht="15" x14ac:dyDescent="0.2">
      <c r="A684" s="16">
        <v>62033</v>
      </c>
      <c r="B684" s="80">
        <f>10.0953 * CHOOSE(CONTROL!$C$32, $C$9, 100%, $E$9)</f>
        <v>10.0953</v>
      </c>
      <c r="C684" s="80">
        <f>10.0953 * CHOOSE(CONTROL!$C$32, $C$9, 100%, $E$9)</f>
        <v>10.0953</v>
      </c>
      <c r="D684" s="80">
        <f>10.0964 * CHOOSE(CONTROL!$C$32, $C$9, 100%, $E$9)</f>
        <v>10.096399999999999</v>
      </c>
      <c r="E684" s="81">
        <f>11.3634 * CHOOSE(CONTROL!$C$32, $C$9, 100%, $E$9)</f>
        <v>11.3634</v>
      </c>
      <c r="F684" s="81">
        <f>11.3634 * CHOOSE(CONTROL!$C$32, $C$9, 100%, $E$9)</f>
        <v>11.3634</v>
      </c>
      <c r="G684" s="81">
        <f>11.3671 * CHOOSE(CONTROL!$C$32, $C$9, 100%, $E$9)</f>
        <v>11.367100000000001</v>
      </c>
      <c r="H684" s="81">
        <f>22.9995 * CHOOSE(CONTROL!$C$32, $C$9, 100%, $E$9)</f>
        <v>22.999500000000001</v>
      </c>
      <c r="I684" s="81">
        <f>23.0032 * CHOOSE(CONTROL!$C$32, $C$9, 100%, $E$9)</f>
        <v>23.0032</v>
      </c>
      <c r="J684" s="81">
        <f>22.9995 * CHOOSE(CONTROL!$C$32, $C$9, 100%, $E$9)</f>
        <v>22.999500000000001</v>
      </c>
      <c r="K684" s="81">
        <f>23.0032 * CHOOSE(CONTROL!$C$32, $C$9, 100%, $E$9)</f>
        <v>23.0032</v>
      </c>
      <c r="L684" s="81">
        <f>11.3634 * CHOOSE(CONTROL!$C$32, $C$9, 100%, $E$9)</f>
        <v>11.3634</v>
      </c>
      <c r="M684" s="81">
        <f>11.3671 * CHOOSE(CONTROL!$C$32, $C$9, 100%, $E$9)</f>
        <v>11.367100000000001</v>
      </c>
      <c r="N684" s="81">
        <f>11.3634 * CHOOSE(CONTROL!$C$32, $C$9, 100%, $E$9)</f>
        <v>11.3634</v>
      </c>
      <c r="O684" s="81">
        <f>11.3671 * CHOOSE(CONTROL!$C$32, $C$9, 100%, $E$9)</f>
        <v>11.367100000000001</v>
      </c>
    </row>
    <row r="685" spans="1:15" ht="15" x14ac:dyDescent="0.2">
      <c r="A685" s="16">
        <v>62063</v>
      </c>
      <c r="B685" s="80">
        <f>10.0953 * CHOOSE(CONTROL!$C$32, $C$9, 100%, $E$9)</f>
        <v>10.0953</v>
      </c>
      <c r="C685" s="80">
        <f>10.0953 * CHOOSE(CONTROL!$C$32, $C$9, 100%, $E$9)</f>
        <v>10.0953</v>
      </c>
      <c r="D685" s="80">
        <f>10.0964 * CHOOSE(CONTROL!$C$32, $C$9, 100%, $E$9)</f>
        <v>10.096399999999999</v>
      </c>
      <c r="E685" s="81">
        <f>11.2143 * CHOOSE(CONTROL!$C$32, $C$9, 100%, $E$9)</f>
        <v>11.2143</v>
      </c>
      <c r="F685" s="81">
        <f>11.2143 * CHOOSE(CONTROL!$C$32, $C$9, 100%, $E$9)</f>
        <v>11.2143</v>
      </c>
      <c r="G685" s="81">
        <f>11.2179 * CHOOSE(CONTROL!$C$32, $C$9, 100%, $E$9)</f>
        <v>11.2179</v>
      </c>
      <c r="H685" s="81">
        <f>23.0475 * CHOOSE(CONTROL!$C$32, $C$9, 100%, $E$9)</f>
        <v>23.047499999999999</v>
      </c>
      <c r="I685" s="81">
        <f>23.0511 * CHOOSE(CONTROL!$C$32, $C$9, 100%, $E$9)</f>
        <v>23.051100000000002</v>
      </c>
      <c r="J685" s="81">
        <f>23.0475 * CHOOSE(CONTROL!$C$32, $C$9, 100%, $E$9)</f>
        <v>23.047499999999999</v>
      </c>
      <c r="K685" s="81">
        <f>23.0511 * CHOOSE(CONTROL!$C$32, $C$9, 100%, $E$9)</f>
        <v>23.051100000000002</v>
      </c>
      <c r="L685" s="81">
        <f>11.2143 * CHOOSE(CONTROL!$C$32, $C$9, 100%, $E$9)</f>
        <v>11.2143</v>
      </c>
      <c r="M685" s="81">
        <f>11.2179 * CHOOSE(CONTROL!$C$32, $C$9, 100%, $E$9)</f>
        <v>11.2179</v>
      </c>
      <c r="N685" s="81">
        <f>11.2143 * CHOOSE(CONTROL!$C$32, $C$9, 100%, $E$9)</f>
        <v>11.2143</v>
      </c>
      <c r="O685" s="81">
        <f>11.2179 * CHOOSE(CONTROL!$C$32, $C$9, 100%, $E$9)</f>
        <v>11.2179</v>
      </c>
    </row>
    <row r="686" spans="1:15" ht="15" x14ac:dyDescent="0.2">
      <c r="A686" s="16">
        <v>62094</v>
      </c>
      <c r="B686" s="80">
        <f>10.1311 * CHOOSE(CONTROL!$C$32, $C$9, 100%, $E$9)</f>
        <v>10.1311</v>
      </c>
      <c r="C686" s="80">
        <f>10.1311 * CHOOSE(CONTROL!$C$32, $C$9, 100%, $E$9)</f>
        <v>10.1311</v>
      </c>
      <c r="D686" s="80">
        <f>10.1321 * CHOOSE(CONTROL!$C$32, $C$9, 100%, $E$9)</f>
        <v>10.132099999999999</v>
      </c>
      <c r="E686" s="81">
        <f>11.3705 * CHOOSE(CONTROL!$C$32, $C$9, 100%, $E$9)</f>
        <v>11.3705</v>
      </c>
      <c r="F686" s="81">
        <f>11.3705 * CHOOSE(CONTROL!$C$32, $C$9, 100%, $E$9)</f>
        <v>11.3705</v>
      </c>
      <c r="G686" s="81">
        <f>11.3741 * CHOOSE(CONTROL!$C$32, $C$9, 100%, $E$9)</f>
        <v>11.3741</v>
      </c>
      <c r="H686" s="81">
        <f>22.9899 * CHOOSE(CONTROL!$C$32, $C$9, 100%, $E$9)</f>
        <v>22.989899999999999</v>
      </c>
      <c r="I686" s="81">
        <f>22.9935 * CHOOSE(CONTROL!$C$32, $C$9, 100%, $E$9)</f>
        <v>22.993500000000001</v>
      </c>
      <c r="J686" s="81">
        <f>22.9899 * CHOOSE(CONTROL!$C$32, $C$9, 100%, $E$9)</f>
        <v>22.989899999999999</v>
      </c>
      <c r="K686" s="81">
        <f>22.9935 * CHOOSE(CONTROL!$C$32, $C$9, 100%, $E$9)</f>
        <v>22.993500000000001</v>
      </c>
      <c r="L686" s="81">
        <f>11.3705 * CHOOSE(CONTROL!$C$32, $C$9, 100%, $E$9)</f>
        <v>11.3705</v>
      </c>
      <c r="M686" s="81">
        <f>11.3741 * CHOOSE(CONTROL!$C$32, $C$9, 100%, $E$9)</f>
        <v>11.3741</v>
      </c>
      <c r="N686" s="81">
        <f>11.3705 * CHOOSE(CONTROL!$C$32, $C$9, 100%, $E$9)</f>
        <v>11.3705</v>
      </c>
      <c r="O686" s="81">
        <f>11.3741 * CHOOSE(CONTROL!$C$32, $C$9, 100%, $E$9)</f>
        <v>11.3741</v>
      </c>
    </row>
    <row r="687" spans="1:15" ht="15" x14ac:dyDescent="0.2">
      <c r="A687" s="16">
        <v>62125</v>
      </c>
      <c r="B687" s="80">
        <f>10.128 * CHOOSE(CONTROL!$C$32, $C$9, 100%, $E$9)</f>
        <v>10.128</v>
      </c>
      <c r="C687" s="80">
        <f>10.128 * CHOOSE(CONTROL!$C$32, $C$9, 100%, $E$9)</f>
        <v>10.128</v>
      </c>
      <c r="D687" s="80">
        <f>10.1291 * CHOOSE(CONTROL!$C$32, $C$9, 100%, $E$9)</f>
        <v>10.129099999999999</v>
      </c>
      <c r="E687" s="81">
        <f>11.0795 * CHOOSE(CONTROL!$C$32, $C$9, 100%, $E$9)</f>
        <v>11.079499999999999</v>
      </c>
      <c r="F687" s="81">
        <f>11.0795 * CHOOSE(CONTROL!$C$32, $C$9, 100%, $E$9)</f>
        <v>11.079499999999999</v>
      </c>
      <c r="G687" s="81">
        <f>11.0831 * CHOOSE(CONTROL!$C$32, $C$9, 100%, $E$9)</f>
        <v>11.0831</v>
      </c>
      <c r="H687" s="81">
        <f>23.0378 * CHOOSE(CONTROL!$C$32, $C$9, 100%, $E$9)</f>
        <v>23.037800000000001</v>
      </c>
      <c r="I687" s="81">
        <f>23.0414 * CHOOSE(CONTROL!$C$32, $C$9, 100%, $E$9)</f>
        <v>23.041399999999999</v>
      </c>
      <c r="J687" s="81">
        <f>23.0378 * CHOOSE(CONTROL!$C$32, $C$9, 100%, $E$9)</f>
        <v>23.037800000000001</v>
      </c>
      <c r="K687" s="81">
        <f>23.0414 * CHOOSE(CONTROL!$C$32, $C$9, 100%, $E$9)</f>
        <v>23.041399999999999</v>
      </c>
      <c r="L687" s="81">
        <f>11.0795 * CHOOSE(CONTROL!$C$32, $C$9, 100%, $E$9)</f>
        <v>11.079499999999999</v>
      </c>
      <c r="M687" s="81">
        <f>11.0831 * CHOOSE(CONTROL!$C$32, $C$9, 100%, $E$9)</f>
        <v>11.0831</v>
      </c>
      <c r="N687" s="81">
        <f>11.0795 * CHOOSE(CONTROL!$C$32, $C$9, 100%, $E$9)</f>
        <v>11.079499999999999</v>
      </c>
      <c r="O687" s="81">
        <f>11.0831 * CHOOSE(CONTROL!$C$32, $C$9, 100%, $E$9)</f>
        <v>11.0831</v>
      </c>
    </row>
    <row r="688" spans="1:15" ht="15" x14ac:dyDescent="0.2">
      <c r="A688" s="16">
        <v>62153</v>
      </c>
      <c r="B688" s="80">
        <f>10.125 * CHOOSE(CONTROL!$C$32, $C$9, 100%, $E$9)</f>
        <v>10.125</v>
      </c>
      <c r="C688" s="80">
        <f>10.125 * CHOOSE(CONTROL!$C$32, $C$9, 100%, $E$9)</f>
        <v>10.125</v>
      </c>
      <c r="D688" s="80">
        <f>10.1261 * CHOOSE(CONTROL!$C$32, $C$9, 100%, $E$9)</f>
        <v>10.126099999999999</v>
      </c>
      <c r="E688" s="81">
        <f>11.3051 * CHOOSE(CONTROL!$C$32, $C$9, 100%, $E$9)</f>
        <v>11.305099999999999</v>
      </c>
      <c r="F688" s="81">
        <f>11.3051 * CHOOSE(CONTROL!$C$32, $C$9, 100%, $E$9)</f>
        <v>11.305099999999999</v>
      </c>
      <c r="G688" s="81">
        <f>11.3087 * CHOOSE(CONTROL!$C$32, $C$9, 100%, $E$9)</f>
        <v>11.3087</v>
      </c>
      <c r="H688" s="81">
        <f>23.0857 * CHOOSE(CONTROL!$C$32, $C$9, 100%, $E$9)</f>
        <v>23.085699999999999</v>
      </c>
      <c r="I688" s="81">
        <f>23.0894 * CHOOSE(CONTROL!$C$32, $C$9, 100%, $E$9)</f>
        <v>23.089400000000001</v>
      </c>
      <c r="J688" s="81">
        <f>23.0857 * CHOOSE(CONTROL!$C$32, $C$9, 100%, $E$9)</f>
        <v>23.085699999999999</v>
      </c>
      <c r="K688" s="81">
        <f>23.0894 * CHOOSE(CONTROL!$C$32, $C$9, 100%, $E$9)</f>
        <v>23.089400000000001</v>
      </c>
      <c r="L688" s="81">
        <f>11.3051 * CHOOSE(CONTROL!$C$32, $C$9, 100%, $E$9)</f>
        <v>11.305099999999999</v>
      </c>
      <c r="M688" s="81">
        <f>11.3087 * CHOOSE(CONTROL!$C$32, $C$9, 100%, $E$9)</f>
        <v>11.3087</v>
      </c>
      <c r="N688" s="81">
        <f>11.3051 * CHOOSE(CONTROL!$C$32, $C$9, 100%, $E$9)</f>
        <v>11.305099999999999</v>
      </c>
      <c r="O688" s="81">
        <f>11.3087 * CHOOSE(CONTROL!$C$32, $C$9, 100%, $E$9)</f>
        <v>11.3087</v>
      </c>
    </row>
    <row r="689" spans="1:15" ht="15" x14ac:dyDescent="0.2">
      <c r="A689" s="16">
        <v>62184</v>
      </c>
      <c r="B689" s="80">
        <f>10.1286 * CHOOSE(CONTROL!$C$32, $C$9, 100%, $E$9)</f>
        <v>10.1286</v>
      </c>
      <c r="C689" s="80">
        <f>10.1286 * CHOOSE(CONTROL!$C$32, $C$9, 100%, $E$9)</f>
        <v>10.1286</v>
      </c>
      <c r="D689" s="80">
        <f>10.1297 * CHOOSE(CONTROL!$C$32, $C$9, 100%, $E$9)</f>
        <v>10.1297</v>
      </c>
      <c r="E689" s="81">
        <f>11.5455 * CHOOSE(CONTROL!$C$32, $C$9, 100%, $E$9)</f>
        <v>11.545500000000001</v>
      </c>
      <c r="F689" s="81">
        <f>11.5455 * CHOOSE(CONTROL!$C$32, $C$9, 100%, $E$9)</f>
        <v>11.545500000000001</v>
      </c>
      <c r="G689" s="81">
        <f>11.5491 * CHOOSE(CONTROL!$C$32, $C$9, 100%, $E$9)</f>
        <v>11.549099999999999</v>
      </c>
      <c r="H689" s="81">
        <f>23.1338 * CHOOSE(CONTROL!$C$32, $C$9, 100%, $E$9)</f>
        <v>23.133800000000001</v>
      </c>
      <c r="I689" s="81">
        <f>23.1375 * CHOOSE(CONTROL!$C$32, $C$9, 100%, $E$9)</f>
        <v>23.137499999999999</v>
      </c>
      <c r="J689" s="81">
        <f>23.1338 * CHOOSE(CONTROL!$C$32, $C$9, 100%, $E$9)</f>
        <v>23.133800000000001</v>
      </c>
      <c r="K689" s="81">
        <f>23.1375 * CHOOSE(CONTROL!$C$32, $C$9, 100%, $E$9)</f>
        <v>23.137499999999999</v>
      </c>
      <c r="L689" s="81">
        <f>11.5455 * CHOOSE(CONTROL!$C$32, $C$9, 100%, $E$9)</f>
        <v>11.545500000000001</v>
      </c>
      <c r="M689" s="81">
        <f>11.5491 * CHOOSE(CONTROL!$C$32, $C$9, 100%, $E$9)</f>
        <v>11.549099999999999</v>
      </c>
      <c r="N689" s="81">
        <f>11.5455 * CHOOSE(CONTROL!$C$32, $C$9, 100%, $E$9)</f>
        <v>11.545500000000001</v>
      </c>
      <c r="O689" s="81">
        <f>11.5491 * CHOOSE(CONTROL!$C$32, $C$9, 100%, $E$9)</f>
        <v>11.549099999999999</v>
      </c>
    </row>
    <row r="690" spans="1:15" ht="15" x14ac:dyDescent="0.2">
      <c r="A690" s="16">
        <v>62214</v>
      </c>
      <c r="B690" s="80">
        <f>10.1286 * CHOOSE(CONTROL!$C$32, $C$9, 100%, $E$9)</f>
        <v>10.1286</v>
      </c>
      <c r="C690" s="80">
        <f>10.1286 * CHOOSE(CONTROL!$C$32, $C$9, 100%, $E$9)</f>
        <v>10.1286</v>
      </c>
      <c r="D690" s="80">
        <f>10.1302 * CHOOSE(CONTROL!$C$32, $C$9, 100%, $E$9)</f>
        <v>10.1302</v>
      </c>
      <c r="E690" s="81">
        <f>11.6372 * CHOOSE(CONTROL!$C$32, $C$9, 100%, $E$9)</f>
        <v>11.6372</v>
      </c>
      <c r="F690" s="81">
        <f>11.6372 * CHOOSE(CONTROL!$C$32, $C$9, 100%, $E$9)</f>
        <v>11.6372</v>
      </c>
      <c r="G690" s="81">
        <f>11.6425 * CHOOSE(CONTROL!$C$32, $C$9, 100%, $E$9)</f>
        <v>11.6425</v>
      </c>
      <c r="H690" s="81">
        <f>23.182 * CHOOSE(CONTROL!$C$32, $C$9, 100%, $E$9)</f>
        <v>23.181999999999999</v>
      </c>
      <c r="I690" s="81">
        <f>23.1873 * CHOOSE(CONTROL!$C$32, $C$9, 100%, $E$9)</f>
        <v>23.1873</v>
      </c>
      <c r="J690" s="81">
        <f>23.182 * CHOOSE(CONTROL!$C$32, $C$9, 100%, $E$9)</f>
        <v>23.181999999999999</v>
      </c>
      <c r="K690" s="81">
        <f>23.1873 * CHOOSE(CONTROL!$C$32, $C$9, 100%, $E$9)</f>
        <v>23.1873</v>
      </c>
      <c r="L690" s="81">
        <f>11.6372 * CHOOSE(CONTROL!$C$32, $C$9, 100%, $E$9)</f>
        <v>11.6372</v>
      </c>
      <c r="M690" s="81">
        <f>11.6425 * CHOOSE(CONTROL!$C$32, $C$9, 100%, $E$9)</f>
        <v>11.6425</v>
      </c>
      <c r="N690" s="81">
        <f>11.6372 * CHOOSE(CONTROL!$C$32, $C$9, 100%, $E$9)</f>
        <v>11.6372</v>
      </c>
      <c r="O690" s="81">
        <f>11.6425 * CHOOSE(CONTROL!$C$32, $C$9, 100%, $E$9)</f>
        <v>11.6425</v>
      </c>
    </row>
    <row r="691" spans="1:15" ht="15" x14ac:dyDescent="0.2">
      <c r="A691" s="16">
        <v>62245</v>
      </c>
      <c r="B691" s="80">
        <f>10.1347 * CHOOSE(CONTROL!$C$32, $C$9, 100%, $E$9)</f>
        <v>10.1347</v>
      </c>
      <c r="C691" s="80">
        <f>10.1347 * CHOOSE(CONTROL!$C$32, $C$9, 100%, $E$9)</f>
        <v>10.1347</v>
      </c>
      <c r="D691" s="80">
        <f>10.1362 * CHOOSE(CONTROL!$C$32, $C$9, 100%, $E$9)</f>
        <v>10.136200000000001</v>
      </c>
      <c r="E691" s="81">
        <f>11.5497 * CHOOSE(CONTROL!$C$32, $C$9, 100%, $E$9)</f>
        <v>11.5497</v>
      </c>
      <c r="F691" s="81">
        <f>11.5497 * CHOOSE(CONTROL!$C$32, $C$9, 100%, $E$9)</f>
        <v>11.5497</v>
      </c>
      <c r="G691" s="81">
        <f>11.555 * CHOOSE(CONTROL!$C$32, $C$9, 100%, $E$9)</f>
        <v>11.555</v>
      </c>
      <c r="H691" s="81">
        <f>23.2303 * CHOOSE(CONTROL!$C$32, $C$9, 100%, $E$9)</f>
        <v>23.2303</v>
      </c>
      <c r="I691" s="81">
        <f>23.2356 * CHOOSE(CONTROL!$C$32, $C$9, 100%, $E$9)</f>
        <v>23.235600000000002</v>
      </c>
      <c r="J691" s="81">
        <f>23.2303 * CHOOSE(CONTROL!$C$32, $C$9, 100%, $E$9)</f>
        <v>23.2303</v>
      </c>
      <c r="K691" s="81">
        <f>23.2356 * CHOOSE(CONTROL!$C$32, $C$9, 100%, $E$9)</f>
        <v>23.235600000000002</v>
      </c>
      <c r="L691" s="81">
        <f>11.5497 * CHOOSE(CONTROL!$C$32, $C$9, 100%, $E$9)</f>
        <v>11.5497</v>
      </c>
      <c r="M691" s="81">
        <f>11.555 * CHOOSE(CONTROL!$C$32, $C$9, 100%, $E$9)</f>
        <v>11.555</v>
      </c>
      <c r="N691" s="81">
        <f>11.5497 * CHOOSE(CONTROL!$C$32, $C$9, 100%, $E$9)</f>
        <v>11.5497</v>
      </c>
      <c r="O691" s="81">
        <f>11.555 * CHOOSE(CONTROL!$C$32, $C$9, 100%, $E$9)</f>
        <v>11.555</v>
      </c>
    </row>
    <row r="692" spans="1:15" ht="15" x14ac:dyDescent="0.2">
      <c r="A692" s="16">
        <v>62275</v>
      </c>
      <c r="B692" s="80">
        <f>10.2605 * CHOOSE(CONTROL!$C$32, $C$9, 100%, $E$9)</f>
        <v>10.2605</v>
      </c>
      <c r="C692" s="80">
        <f>10.2605 * CHOOSE(CONTROL!$C$32, $C$9, 100%, $E$9)</f>
        <v>10.2605</v>
      </c>
      <c r="D692" s="80">
        <f>10.2621 * CHOOSE(CONTROL!$C$32, $C$9, 100%, $E$9)</f>
        <v>10.2621</v>
      </c>
      <c r="E692" s="81">
        <f>11.7117 * CHOOSE(CONTROL!$C$32, $C$9, 100%, $E$9)</f>
        <v>11.7117</v>
      </c>
      <c r="F692" s="81">
        <f>11.7117 * CHOOSE(CONTROL!$C$32, $C$9, 100%, $E$9)</f>
        <v>11.7117</v>
      </c>
      <c r="G692" s="81">
        <f>11.717 * CHOOSE(CONTROL!$C$32, $C$9, 100%, $E$9)</f>
        <v>11.717000000000001</v>
      </c>
      <c r="H692" s="81">
        <f>23.2787 * CHOOSE(CONTROL!$C$32, $C$9, 100%, $E$9)</f>
        <v>23.278700000000001</v>
      </c>
      <c r="I692" s="81">
        <f>23.284 * CHOOSE(CONTROL!$C$32, $C$9, 100%, $E$9)</f>
        <v>23.283999999999999</v>
      </c>
      <c r="J692" s="81">
        <f>23.2787 * CHOOSE(CONTROL!$C$32, $C$9, 100%, $E$9)</f>
        <v>23.278700000000001</v>
      </c>
      <c r="K692" s="81">
        <f>23.284 * CHOOSE(CONTROL!$C$32, $C$9, 100%, $E$9)</f>
        <v>23.283999999999999</v>
      </c>
      <c r="L692" s="81">
        <f>11.7117 * CHOOSE(CONTROL!$C$32, $C$9, 100%, $E$9)</f>
        <v>11.7117</v>
      </c>
      <c r="M692" s="81">
        <f>11.717 * CHOOSE(CONTROL!$C$32, $C$9, 100%, $E$9)</f>
        <v>11.717000000000001</v>
      </c>
      <c r="N692" s="81">
        <f>11.7117 * CHOOSE(CONTROL!$C$32, $C$9, 100%, $E$9)</f>
        <v>11.7117</v>
      </c>
      <c r="O692" s="81">
        <f>11.717 * CHOOSE(CONTROL!$C$32, $C$9, 100%, $E$9)</f>
        <v>11.717000000000001</v>
      </c>
    </row>
    <row r="693" spans="1:15" ht="15" x14ac:dyDescent="0.2">
      <c r="A693" s="16">
        <v>62306</v>
      </c>
      <c r="B693" s="80">
        <f>10.2672 * CHOOSE(CONTROL!$C$32, $C$9, 100%, $E$9)</f>
        <v>10.267200000000001</v>
      </c>
      <c r="C693" s="80">
        <f>10.2672 * CHOOSE(CONTROL!$C$32, $C$9, 100%, $E$9)</f>
        <v>10.267200000000001</v>
      </c>
      <c r="D693" s="80">
        <f>10.2688 * CHOOSE(CONTROL!$C$32, $C$9, 100%, $E$9)</f>
        <v>10.268800000000001</v>
      </c>
      <c r="E693" s="81">
        <f>11.4412 * CHOOSE(CONTROL!$C$32, $C$9, 100%, $E$9)</f>
        <v>11.4412</v>
      </c>
      <c r="F693" s="81">
        <f>11.4412 * CHOOSE(CONTROL!$C$32, $C$9, 100%, $E$9)</f>
        <v>11.4412</v>
      </c>
      <c r="G693" s="81">
        <f>11.4465 * CHOOSE(CONTROL!$C$32, $C$9, 100%, $E$9)</f>
        <v>11.4465</v>
      </c>
      <c r="H693" s="81">
        <f>23.3272 * CHOOSE(CONTROL!$C$32, $C$9, 100%, $E$9)</f>
        <v>23.327200000000001</v>
      </c>
      <c r="I693" s="81">
        <f>23.3325 * CHOOSE(CONTROL!$C$32, $C$9, 100%, $E$9)</f>
        <v>23.3325</v>
      </c>
      <c r="J693" s="81">
        <f>23.3272 * CHOOSE(CONTROL!$C$32, $C$9, 100%, $E$9)</f>
        <v>23.327200000000001</v>
      </c>
      <c r="K693" s="81">
        <f>23.3325 * CHOOSE(CONTROL!$C$32, $C$9, 100%, $E$9)</f>
        <v>23.3325</v>
      </c>
      <c r="L693" s="81">
        <f>11.4412 * CHOOSE(CONTROL!$C$32, $C$9, 100%, $E$9)</f>
        <v>11.4412</v>
      </c>
      <c r="M693" s="81">
        <f>11.4465 * CHOOSE(CONTROL!$C$32, $C$9, 100%, $E$9)</f>
        <v>11.4465</v>
      </c>
      <c r="N693" s="81">
        <f>11.4412 * CHOOSE(CONTROL!$C$32, $C$9, 100%, $E$9)</f>
        <v>11.4412</v>
      </c>
      <c r="O693" s="81">
        <f>11.4465 * CHOOSE(CONTROL!$C$32, $C$9, 100%, $E$9)</f>
        <v>11.4465</v>
      </c>
    </row>
    <row r="694" spans="1:15" ht="15" x14ac:dyDescent="0.2">
      <c r="A694" s="16">
        <v>62337</v>
      </c>
      <c r="B694" s="80">
        <f>10.2642 * CHOOSE(CONTROL!$C$32, $C$9, 100%, $E$9)</f>
        <v>10.264200000000001</v>
      </c>
      <c r="C694" s="80">
        <f>10.2642 * CHOOSE(CONTROL!$C$32, $C$9, 100%, $E$9)</f>
        <v>10.264200000000001</v>
      </c>
      <c r="D694" s="80">
        <f>10.2657 * CHOOSE(CONTROL!$C$32, $C$9, 100%, $E$9)</f>
        <v>10.265700000000001</v>
      </c>
      <c r="E694" s="81">
        <f>11.4085 * CHOOSE(CONTROL!$C$32, $C$9, 100%, $E$9)</f>
        <v>11.4085</v>
      </c>
      <c r="F694" s="81">
        <f>11.4085 * CHOOSE(CONTROL!$C$32, $C$9, 100%, $E$9)</f>
        <v>11.4085</v>
      </c>
      <c r="G694" s="81">
        <f>11.4138 * CHOOSE(CONTROL!$C$32, $C$9, 100%, $E$9)</f>
        <v>11.4138</v>
      </c>
      <c r="H694" s="81">
        <f>23.3758 * CHOOSE(CONTROL!$C$32, $C$9, 100%, $E$9)</f>
        <v>23.375800000000002</v>
      </c>
      <c r="I694" s="81">
        <f>23.3811 * CHOOSE(CONTROL!$C$32, $C$9, 100%, $E$9)</f>
        <v>23.3811</v>
      </c>
      <c r="J694" s="81">
        <f>23.3758 * CHOOSE(CONTROL!$C$32, $C$9, 100%, $E$9)</f>
        <v>23.375800000000002</v>
      </c>
      <c r="K694" s="81">
        <f>23.3811 * CHOOSE(CONTROL!$C$32, $C$9, 100%, $E$9)</f>
        <v>23.3811</v>
      </c>
      <c r="L694" s="81">
        <f>11.4085 * CHOOSE(CONTROL!$C$32, $C$9, 100%, $E$9)</f>
        <v>11.4085</v>
      </c>
      <c r="M694" s="81">
        <f>11.4138 * CHOOSE(CONTROL!$C$32, $C$9, 100%, $E$9)</f>
        <v>11.4138</v>
      </c>
      <c r="N694" s="81">
        <f>11.4085 * CHOOSE(CONTROL!$C$32, $C$9, 100%, $E$9)</f>
        <v>11.4085</v>
      </c>
      <c r="O694" s="81">
        <f>11.4138 * CHOOSE(CONTROL!$C$32, $C$9, 100%, $E$9)</f>
        <v>11.4138</v>
      </c>
    </row>
    <row r="695" spans="1:15" ht="15" x14ac:dyDescent="0.2">
      <c r="A695" s="16">
        <v>62367</v>
      </c>
      <c r="B695" s="80">
        <f>10.2826 * CHOOSE(CONTROL!$C$32, $C$9, 100%, $E$9)</f>
        <v>10.2826</v>
      </c>
      <c r="C695" s="80">
        <f>10.2826 * CHOOSE(CONTROL!$C$32, $C$9, 100%, $E$9)</f>
        <v>10.2826</v>
      </c>
      <c r="D695" s="80">
        <f>10.2837 * CHOOSE(CONTROL!$C$32, $C$9, 100%, $E$9)</f>
        <v>10.2837</v>
      </c>
      <c r="E695" s="81">
        <f>11.5173 * CHOOSE(CONTROL!$C$32, $C$9, 100%, $E$9)</f>
        <v>11.517300000000001</v>
      </c>
      <c r="F695" s="81">
        <f>11.5173 * CHOOSE(CONTROL!$C$32, $C$9, 100%, $E$9)</f>
        <v>11.517300000000001</v>
      </c>
      <c r="G695" s="81">
        <f>11.521 * CHOOSE(CONTROL!$C$32, $C$9, 100%, $E$9)</f>
        <v>11.521000000000001</v>
      </c>
      <c r="H695" s="81">
        <f>23.4245 * CHOOSE(CONTROL!$C$32, $C$9, 100%, $E$9)</f>
        <v>23.424499999999998</v>
      </c>
      <c r="I695" s="81">
        <f>23.4281 * CHOOSE(CONTROL!$C$32, $C$9, 100%, $E$9)</f>
        <v>23.428100000000001</v>
      </c>
      <c r="J695" s="81">
        <f>23.4245 * CHOOSE(CONTROL!$C$32, $C$9, 100%, $E$9)</f>
        <v>23.424499999999998</v>
      </c>
      <c r="K695" s="81">
        <f>23.4281 * CHOOSE(CONTROL!$C$32, $C$9, 100%, $E$9)</f>
        <v>23.428100000000001</v>
      </c>
      <c r="L695" s="81">
        <f>11.5173 * CHOOSE(CONTROL!$C$32, $C$9, 100%, $E$9)</f>
        <v>11.517300000000001</v>
      </c>
      <c r="M695" s="81">
        <f>11.521 * CHOOSE(CONTROL!$C$32, $C$9, 100%, $E$9)</f>
        <v>11.521000000000001</v>
      </c>
      <c r="N695" s="81">
        <f>11.5173 * CHOOSE(CONTROL!$C$32, $C$9, 100%, $E$9)</f>
        <v>11.517300000000001</v>
      </c>
      <c r="O695" s="81">
        <f>11.521 * CHOOSE(CONTROL!$C$32, $C$9, 100%, $E$9)</f>
        <v>11.521000000000001</v>
      </c>
    </row>
    <row r="696" spans="1:15" ht="15" x14ac:dyDescent="0.2">
      <c r="A696" s="16">
        <v>62398</v>
      </c>
      <c r="B696" s="80">
        <f>10.2857 * CHOOSE(CONTROL!$C$32, $C$9, 100%, $E$9)</f>
        <v>10.2857</v>
      </c>
      <c r="C696" s="80">
        <f>10.2857 * CHOOSE(CONTROL!$C$32, $C$9, 100%, $E$9)</f>
        <v>10.2857</v>
      </c>
      <c r="D696" s="80">
        <f>10.2867 * CHOOSE(CONTROL!$C$32, $C$9, 100%, $E$9)</f>
        <v>10.2867</v>
      </c>
      <c r="E696" s="81">
        <f>11.5806 * CHOOSE(CONTROL!$C$32, $C$9, 100%, $E$9)</f>
        <v>11.5806</v>
      </c>
      <c r="F696" s="81">
        <f>11.5806 * CHOOSE(CONTROL!$C$32, $C$9, 100%, $E$9)</f>
        <v>11.5806</v>
      </c>
      <c r="G696" s="81">
        <f>11.5842 * CHOOSE(CONTROL!$C$32, $C$9, 100%, $E$9)</f>
        <v>11.584199999999999</v>
      </c>
      <c r="H696" s="81">
        <f>23.4733 * CHOOSE(CONTROL!$C$32, $C$9, 100%, $E$9)</f>
        <v>23.473299999999998</v>
      </c>
      <c r="I696" s="81">
        <f>23.4769 * CHOOSE(CONTROL!$C$32, $C$9, 100%, $E$9)</f>
        <v>23.476900000000001</v>
      </c>
      <c r="J696" s="81">
        <f>23.4733 * CHOOSE(CONTROL!$C$32, $C$9, 100%, $E$9)</f>
        <v>23.473299999999998</v>
      </c>
      <c r="K696" s="81">
        <f>23.4769 * CHOOSE(CONTROL!$C$32, $C$9, 100%, $E$9)</f>
        <v>23.476900000000001</v>
      </c>
      <c r="L696" s="81">
        <f>11.5806 * CHOOSE(CONTROL!$C$32, $C$9, 100%, $E$9)</f>
        <v>11.5806</v>
      </c>
      <c r="M696" s="81">
        <f>11.5842 * CHOOSE(CONTROL!$C$32, $C$9, 100%, $E$9)</f>
        <v>11.584199999999999</v>
      </c>
      <c r="N696" s="81">
        <f>11.5806 * CHOOSE(CONTROL!$C$32, $C$9, 100%, $E$9)</f>
        <v>11.5806</v>
      </c>
      <c r="O696" s="81">
        <f>11.5842 * CHOOSE(CONTROL!$C$32, $C$9, 100%, $E$9)</f>
        <v>11.584199999999999</v>
      </c>
    </row>
    <row r="697" spans="1:15" ht="15" x14ac:dyDescent="0.2">
      <c r="A697" s="16">
        <v>62428</v>
      </c>
      <c r="B697" s="80">
        <f>10.2857 * CHOOSE(CONTROL!$C$32, $C$9, 100%, $E$9)</f>
        <v>10.2857</v>
      </c>
      <c r="C697" s="80">
        <f>10.2857 * CHOOSE(CONTROL!$C$32, $C$9, 100%, $E$9)</f>
        <v>10.2857</v>
      </c>
      <c r="D697" s="80">
        <f>10.2867 * CHOOSE(CONTROL!$C$32, $C$9, 100%, $E$9)</f>
        <v>10.2867</v>
      </c>
      <c r="E697" s="81">
        <f>11.4277 * CHOOSE(CONTROL!$C$32, $C$9, 100%, $E$9)</f>
        <v>11.4277</v>
      </c>
      <c r="F697" s="81">
        <f>11.4277 * CHOOSE(CONTROL!$C$32, $C$9, 100%, $E$9)</f>
        <v>11.4277</v>
      </c>
      <c r="G697" s="81">
        <f>11.4314 * CHOOSE(CONTROL!$C$32, $C$9, 100%, $E$9)</f>
        <v>11.4314</v>
      </c>
      <c r="H697" s="81">
        <f>23.5222 * CHOOSE(CONTROL!$C$32, $C$9, 100%, $E$9)</f>
        <v>23.522200000000002</v>
      </c>
      <c r="I697" s="81">
        <f>23.5258 * CHOOSE(CONTROL!$C$32, $C$9, 100%, $E$9)</f>
        <v>23.5258</v>
      </c>
      <c r="J697" s="81">
        <f>23.5222 * CHOOSE(CONTROL!$C$32, $C$9, 100%, $E$9)</f>
        <v>23.522200000000002</v>
      </c>
      <c r="K697" s="81">
        <f>23.5258 * CHOOSE(CONTROL!$C$32, $C$9, 100%, $E$9)</f>
        <v>23.5258</v>
      </c>
      <c r="L697" s="81">
        <f>11.4277 * CHOOSE(CONTROL!$C$32, $C$9, 100%, $E$9)</f>
        <v>11.4277</v>
      </c>
      <c r="M697" s="81">
        <f>11.4314 * CHOOSE(CONTROL!$C$32, $C$9, 100%, $E$9)</f>
        <v>11.4314</v>
      </c>
      <c r="N697" s="81">
        <f>11.4277 * CHOOSE(CONTROL!$C$32, $C$9, 100%, $E$9)</f>
        <v>11.4277</v>
      </c>
      <c r="O697" s="81">
        <f>11.4314 * CHOOSE(CONTROL!$C$32, $C$9, 100%, $E$9)</f>
        <v>11.4314</v>
      </c>
    </row>
    <row r="698" spans="1:15" ht="15" x14ac:dyDescent="0.2">
      <c r="A698" s="16">
        <v>62459</v>
      </c>
      <c r="B698" s="80">
        <f>10.3184 * CHOOSE(CONTROL!$C$32, $C$9, 100%, $E$9)</f>
        <v>10.3184</v>
      </c>
      <c r="C698" s="80">
        <f>10.3184 * CHOOSE(CONTROL!$C$32, $C$9, 100%, $E$9)</f>
        <v>10.3184</v>
      </c>
      <c r="D698" s="80">
        <f>10.3195 * CHOOSE(CONTROL!$C$32, $C$9, 100%, $E$9)</f>
        <v>10.3195</v>
      </c>
      <c r="E698" s="81">
        <f>11.583 * CHOOSE(CONTROL!$C$32, $C$9, 100%, $E$9)</f>
        <v>11.583</v>
      </c>
      <c r="F698" s="81">
        <f>11.583 * CHOOSE(CONTROL!$C$32, $C$9, 100%, $E$9)</f>
        <v>11.583</v>
      </c>
      <c r="G698" s="81">
        <f>11.5866 * CHOOSE(CONTROL!$C$32, $C$9, 100%, $E$9)</f>
        <v>11.586600000000001</v>
      </c>
      <c r="H698" s="81">
        <f>23.4539 * CHOOSE(CONTROL!$C$32, $C$9, 100%, $E$9)</f>
        <v>23.453900000000001</v>
      </c>
      <c r="I698" s="81">
        <f>23.4575 * CHOOSE(CONTROL!$C$32, $C$9, 100%, $E$9)</f>
        <v>23.4575</v>
      </c>
      <c r="J698" s="81">
        <f>23.4539 * CHOOSE(CONTROL!$C$32, $C$9, 100%, $E$9)</f>
        <v>23.453900000000001</v>
      </c>
      <c r="K698" s="81">
        <f>23.4575 * CHOOSE(CONTROL!$C$32, $C$9, 100%, $E$9)</f>
        <v>23.4575</v>
      </c>
      <c r="L698" s="81">
        <f>11.583 * CHOOSE(CONTROL!$C$32, $C$9, 100%, $E$9)</f>
        <v>11.583</v>
      </c>
      <c r="M698" s="81">
        <f>11.5866 * CHOOSE(CONTROL!$C$32, $C$9, 100%, $E$9)</f>
        <v>11.586600000000001</v>
      </c>
      <c r="N698" s="81">
        <f>11.583 * CHOOSE(CONTROL!$C$32, $C$9, 100%, $E$9)</f>
        <v>11.583</v>
      </c>
      <c r="O698" s="81">
        <f>11.5866 * CHOOSE(CONTROL!$C$32, $C$9, 100%, $E$9)</f>
        <v>11.586600000000001</v>
      </c>
    </row>
    <row r="699" spans="1:15" ht="15" x14ac:dyDescent="0.2">
      <c r="A699" s="16">
        <v>62490</v>
      </c>
      <c r="B699" s="80">
        <f>10.3154 * CHOOSE(CONTROL!$C$32, $C$9, 100%, $E$9)</f>
        <v>10.3154</v>
      </c>
      <c r="C699" s="80">
        <f>10.3154 * CHOOSE(CONTROL!$C$32, $C$9, 100%, $E$9)</f>
        <v>10.3154</v>
      </c>
      <c r="D699" s="80">
        <f>10.3165 * CHOOSE(CONTROL!$C$32, $C$9, 100%, $E$9)</f>
        <v>10.3165</v>
      </c>
      <c r="E699" s="81">
        <f>11.2849 * CHOOSE(CONTROL!$C$32, $C$9, 100%, $E$9)</f>
        <v>11.2849</v>
      </c>
      <c r="F699" s="81">
        <f>11.2849 * CHOOSE(CONTROL!$C$32, $C$9, 100%, $E$9)</f>
        <v>11.2849</v>
      </c>
      <c r="G699" s="81">
        <f>11.2885 * CHOOSE(CONTROL!$C$32, $C$9, 100%, $E$9)</f>
        <v>11.288500000000001</v>
      </c>
      <c r="H699" s="81">
        <f>23.5027 * CHOOSE(CONTROL!$C$32, $C$9, 100%, $E$9)</f>
        <v>23.502700000000001</v>
      </c>
      <c r="I699" s="81">
        <f>23.5064 * CHOOSE(CONTROL!$C$32, $C$9, 100%, $E$9)</f>
        <v>23.506399999999999</v>
      </c>
      <c r="J699" s="81">
        <f>23.5027 * CHOOSE(CONTROL!$C$32, $C$9, 100%, $E$9)</f>
        <v>23.502700000000001</v>
      </c>
      <c r="K699" s="81">
        <f>23.5064 * CHOOSE(CONTROL!$C$32, $C$9, 100%, $E$9)</f>
        <v>23.506399999999999</v>
      </c>
      <c r="L699" s="81">
        <f>11.2849 * CHOOSE(CONTROL!$C$32, $C$9, 100%, $E$9)</f>
        <v>11.2849</v>
      </c>
      <c r="M699" s="81">
        <f>11.2885 * CHOOSE(CONTROL!$C$32, $C$9, 100%, $E$9)</f>
        <v>11.288500000000001</v>
      </c>
      <c r="N699" s="81">
        <f>11.2849 * CHOOSE(CONTROL!$C$32, $C$9, 100%, $E$9)</f>
        <v>11.2849</v>
      </c>
      <c r="O699" s="81">
        <f>11.2885 * CHOOSE(CONTROL!$C$32, $C$9, 100%, $E$9)</f>
        <v>11.288500000000001</v>
      </c>
    </row>
    <row r="700" spans="1:15" ht="15" x14ac:dyDescent="0.2">
      <c r="A700" s="16">
        <v>62518</v>
      </c>
      <c r="B700" s="80">
        <f>10.3123 * CHOOSE(CONTROL!$C$32, $C$9, 100%, $E$9)</f>
        <v>10.3123</v>
      </c>
      <c r="C700" s="80">
        <f>10.3123 * CHOOSE(CONTROL!$C$32, $C$9, 100%, $E$9)</f>
        <v>10.3123</v>
      </c>
      <c r="D700" s="80">
        <f>10.3134 * CHOOSE(CONTROL!$C$32, $C$9, 100%, $E$9)</f>
        <v>10.3134</v>
      </c>
      <c r="E700" s="81">
        <f>11.5161 * CHOOSE(CONTROL!$C$32, $C$9, 100%, $E$9)</f>
        <v>11.5161</v>
      </c>
      <c r="F700" s="81">
        <f>11.5161 * CHOOSE(CONTROL!$C$32, $C$9, 100%, $E$9)</f>
        <v>11.5161</v>
      </c>
      <c r="G700" s="81">
        <f>11.5198 * CHOOSE(CONTROL!$C$32, $C$9, 100%, $E$9)</f>
        <v>11.5198</v>
      </c>
      <c r="H700" s="81">
        <f>23.5517 * CHOOSE(CONTROL!$C$32, $C$9, 100%, $E$9)</f>
        <v>23.5517</v>
      </c>
      <c r="I700" s="81">
        <f>23.5553 * CHOOSE(CONTROL!$C$32, $C$9, 100%, $E$9)</f>
        <v>23.555299999999999</v>
      </c>
      <c r="J700" s="81">
        <f>23.5517 * CHOOSE(CONTROL!$C$32, $C$9, 100%, $E$9)</f>
        <v>23.5517</v>
      </c>
      <c r="K700" s="81">
        <f>23.5553 * CHOOSE(CONTROL!$C$32, $C$9, 100%, $E$9)</f>
        <v>23.555299999999999</v>
      </c>
      <c r="L700" s="81">
        <f>11.5161 * CHOOSE(CONTROL!$C$32, $C$9, 100%, $E$9)</f>
        <v>11.5161</v>
      </c>
      <c r="M700" s="81">
        <f>11.5198 * CHOOSE(CONTROL!$C$32, $C$9, 100%, $E$9)</f>
        <v>11.5198</v>
      </c>
      <c r="N700" s="81">
        <f>11.5161 * CHOOSE(CONTROL!$C$32, $C$9, 100%, $E$9)</f>
        <v>11.5161</v>
      </c>
      <c r="O700" s="81">
        <f>11.5198 * CHOOSE(CONTROL!$C$32, $C$9, 100%, $E$9)</f>
        <v>11.5198</v>
      </c>
    </row>
    <row r="701" spans="1:15" ht="15" x14ac:dyDescent="0.2">
      <c r="A701" s="16">
        <v>62549</v>
      </c>
      <c r="B701" s="80">
        <f>10.3161 * CHOOSE(CONTROL!$C$32, $C$9, 100%, $E$9)</f>
        <v>10.3161</v>
      </c>
      <c r="C701" s="80">
        <f>10.3161 * CHOOSE(CONTROL!$C$32, $C$9, 100%, $E$9)</f>
        <v>10.3161</v>
      </c>
      <c r="D701" s="80">
        <f>10.3172 * CHOOSE(CONTROL!$C$32, $C$9, 100%, $E$9)</f>
        <v>10.3172</v>
      </c>
      <c r="E701" s="81">
        <f>11.7625 * CHOOSE(CONTROL!$C$32, $C$9, 100%, $E$9)</f>
        <v>11.762499999999999</v>
      </c>
      <c r="F701" s="81">
        <f>11.7625 * CHOOSE(CONTROL!$C$32, $C$9, 100%, $E$9)</f>
        <v>11.762499999999999</v>
      </c>
      <c r="G701" s="81">
        <f>11.7661 * CHOOSE(CONTROL!$C$32, $C$9, 100%, $E$9)</f>
        <v>11.7661</v>
      </c>
      <c r="H701" s="81">
        <f>23.6008 * CHOOSE(CONTROL!$C$32, $C$9, 100%, $E$9)</f>
        <v>23.6008</v>
      </c>
      <c r="I701" s="81">
        <f>23.6044 * CHOOSE(CONTROL!$C$32, $C$9, 100%, $E$9)</f>
        <v>23.604399999999998</v>
      </c>
      <c r="J701" s="81">
        <f>23.6008 * CHOOSE(CONTROL!$C$32, $C$9, 100%, $E$9)</f>
        <v>23.6008</v>
      </c>
      <c r="K701" s="81">
        <f>23.6044 * CHOOSE(CONTROL!$C$32, $C$9, 100%, $E$9)</f>
        <v>23.604399999999998</v>
      </c>
      <c r="L701" s="81">
        <f>11.7625 * CHOOSE(CONTROL!$C$32, $C$9, 100%, $E$9)</f>
        <v>11.762499999999999</v>
      </c>
      <c r="M701" s="81">
        <f>11.7661 * CHOOSE(CONTROL!$C$32, $C$9, 100%, $E$9)</f>
        <v>11.7661</v>
      </c>
      <c r="N701" s="81">
        <f>11.7625 * CHOOSE(CONTROL!$C$32, $C$9, 100%, $E$9)</f>
        <v>11.762499999999999</v>
      </c>
      <c r="O701" s="81">
        <f>11.7661 * CHOOSE(CONTROL!$C$32, $C$9, 100%, $E$9)</f>
        <v>11.7661</v>
      </c>
    </row>
    <row r="702" spans="1:15" ht="15" x14ac:dyDescent="0.2">
      <c r="A702" s="16">
        <v>62579</v>
      </c>
      <c r="B702" s="80">
        <f>10.3161 * CHOOSE(CONTROL!$C$32, $C$9, 100%, $E$9)</f>
        <v>10.3161</v>
      </c>
      <c r="C702" s="80">
        <f>10.3161 * CHOOSE(CONTROL!$C$32, $C$9, 100%, $E$9)</f>
        <v>10.3161</v>
      </c>
      <c r="D702" s="80">
        <f>10.3177 * CHOOSE(CONTROL!$C$32, $C$9, 100%, $E$9)</f>
        <v>10.3177</v>
      </c>
      <c r="E702" s="81">
        <f>11.8565 * CHOOSE(CONTROL!$C$32, $C$9, 100%, $E$9)</f>
        <v>11.8565</v>
      </c>
      <c r="F702" s="81">
        <f>11.8565 * CHOOSE(CONTROL!$C$32, $C$9, 100%, $E$9)</f>
        <v>11.8565</v>
      </c>
      <c r="G702" s="81">
        <f>11.8618 * CHOOSE(CONTROL!$C$32, $C$9, 100%, $E$9)</f>
        <v>11.861800000000001</v>
      </c>
      <c r="H702" s="81">
        <f>23.6499 * CHOOSE(CONTROL!$C$32, $C$9, 100%, $E$9)</f>
        <v>23.649899999999999</v>
      </c>
      <c r="I702" s="81">
        <f>23.6552 * CHOOSE(CONTROL!$C$32, $C$9, 100%, $E$9)</f>
        <v>23.655200000000001</v>
      </c>
      <c r="J702" s="81">
        <f>23.6499 * CHOOSE(CONTROL!$C$32, $C$9, 100%, $E$9)</f>
        <v>23.649899999999999</v>
      </c>
      <c r="K702" s="81">
        <f>23.6552 * CHOOSE(CONTROL!$C$32, $C$9, 100%, $E$9)</f>
        <v>23.655200000000001</v>
      </c>
      <c r="L702" s="81">
        <f>11.8565 * CHOOSE(CONTROL!$C$32, $C$9, 100%, $E$9)</f>
        <v>11.8565</v>
      </c>
      <c r="M702" s="81">
        <f>11.8618 * CHOOSE(CONTROL!$C$32, $C$9, 100%, $E$9)</f>
        <v>11.861800000000001</v>
      </c>
      <c r="N702" s="81">
        <f>11.8565 * CHOOSE(CONTROL!$C$32, $C$9, 100%, $E$9)</f>
        <v>11.8565</v>
      </c>
      <c r="O702" s="81">
        <f>11.8618 * CHOOSE(CONTROL!$C$32, $C$9, 100%, $E$9)</f>
        <v>11.861800000000001</v>
      </c>
    </row>
    <row r="703" spans="1:15" ht="15" x14ac:dyDescent="0.2">
      <c r="A703" s="16">
        <v>62610</v>
      </c>
      <c r="B703" s="80">
        <f>10.3222 * CHOOSE(CONTROL!$C$32, $C$9, 100%, $E$9)</f>
        <v>10.3222</v>
      </c>
      <c r="C703" s="80">
        <f>10.3222 * CHOOSE(CONTROL!$C$32, $C$9, 100%, $E$9)</f>
        <v>10.3222</v>
      </c>
      <c r="D703" s="80">
        <f>10.3238 * CHOOSE(CONTROL!$C$32, $C$9, 100%, $E$9)</f>
        <v>10.3238</v>
      </c>
      <c r="E703" s="81">
        <f>11.7667 * CHOOSE(CONTROL!$C$32, $C$9, 100%, $E$9)</f>
        <v>11.7667</v>
      </c>
      <c r="F703" s="81">
        <f>11.7667 * CHOOSE(CONTROL!$C$32, $C$9, 100%, $E$9)</f>
        <v>11.7667</v>
      </c>
      <c r="G703" s="81">
        <f>11.772 * CHOOSE(CONTROL!$C$32, $C$9, 100%, $E$9)</f>
        <v>11.772</v>
      </c>
      <c r="H703" s="81">
        <f>23.6992 * CHOOSE(CONTROL!$C$32, $C$9, 100%, $E$9)</f>
        <v>23.699200000000001</v>
      </c>
      <c r="I703" s="81">
        <f>23.7045 * CHOOSE(CONTROL!$C$32, $C$9, 100%, $E$9)</f>
        <v>23.704499999999999</v>
      </c>
      <c r="J703" s="81">
        <f>23.6992 * CHOOSE(CONTROL!$C$32, $C$9, 100%, $E$9)</f>
        <v>23.699200000000001</v>
      </c>
      <c r="K703" s="81">
        <f>23.7045 * CHOOSE(CONTROL!$C$32, $C$9, 100%, $E$9)</f>
        <v>23.704499999999999</v>
      </c>
      <c r="L703" s="81">
        <f>11.7667 * CHOOSE(CONTROL!$C$32, $C$9, 100%, $E$9)</f>
        <v>11.7667</v>
      </c>
      <c r="M703" s="81">
        <f>11.772 * CHOOSE(CONTROL!$C$32, $C$9, 100%, $E$9)</f>
        <v>11.772</v>
      </c>
      <c r="N703" s="81">
        <f>11.7667 * CHOOSE(CONTROL!$C$32, $C$9, 100%, $E$9)</f>
        <v>11.7667</v>
      </c>
      <c r="O703" s="81">
        <f>11.772 * CHOOSE(CONTROL!$C$32, $C$9, 100%, $E$9)</f>
        <v>11.772</v>
      </c>
    </row>
    <row r="704" spans="1:15" ht="15" x14ac:dyDescent="0.2">
      <c r="A704" s="16">
        <v>62640</v>
      </c>
      <c r="B704" s="80">
        <f>10.4501 * CHOOSE(CONTROL!$C$32, $C$9, 100%, $E$9)</f>
        <v>10.450100000000001</v>
      </c>
      <c r="C704" s="80">
        <f>10.4501 * CHOOSE(CONTROL!$C$32, $C$9, 100%, $E$9)</f>
        <v>10.450100000000001</v>
      </c>
      <c r="D704" s="80">
        <f>10.4517 * CHOOSE(CONTROL!$C$32, $C$9, 100%, $E$9)</f>
        <v>10.451700000000001</v>
      </c>
      <c r="E704" s="81">
        <f>11.9319 * CHOOSE(CONTROL!$C$32, $C$9, 100%, $E$9)</f>
        <v>11.931900000000001</v>
      </c>
      <c r="F704" s="81">
        <f>11.9319 * CHOOSE(CONTROL!$C$32, $C$9, 100%, $E$9)</f>
        <v>11.931900000000001</v>
      </c>
      <c r="G704" s="81">
        <f>11.9371 * CHOOSE(CONTROL!$C$32, $C$9, 100%, $E$9)</f>
        <v>11.937099999999999</v>
      </c>
      <c r="H704" s="81">
        <f>23.7486 * CHOOSE(CONTROL!$C$32, $C$9, 100%, $E$9)</f>
        <v>23.7486</v>
      </c>
      <c r="I704" s="81">
        <f>23.7539 * CHOOSE(CONTROL!$C$32, $C$9, 100%, $E$9)</f>
        <v>23.753900000000002</v>
      </c>
      <c r="J704" s="81">
        <f>23.7486 * CHOOSE(CONTROL!$C$32, $C$9, 100%, $E$9)</f>
        <v>23.7486</v>
      </c>
      <c r="K704" s="81">
        <f>23.7539 * CHOOSE(CONTROL!$C$32, $C$9, 100%, $E$9)</f>
        <v>23.753900000000002</v>
      </c>
      <c r="L704" s="81">
        <f>11.9319 * CHOOSE(CONTROL!$C$32, $C$9, 100%, $E$9)</f>
        <v>11.931900000000001</v>
      </c>
      <c r="M704" s="81">
        <f>11.9371 * CHOOSE(CONTROL!$C$32, $C$9, 100%, $E$9)</f>
        <v>11.937099999999999</v>
      </c>
      <c r="N704" s="81">
        <f>11.9319 * CHOOSE(CONTROL!$C$32, $C$9, 100%, $E$9)</f>
        <v>11.931900000000001</v>
      </c>
      <c r="O704" s="81">
        <f>11.9371 * CHOOSE(CONTROL!$C$32, $C$9, 100%, $E$9)</f>
        <v>11.937099999999999</v>
      </c>
    </row>
    <row r="705" spans="1:15" ht="15" x14ac:dyDescent="0.2">
      <c r="A705" s="16">
        <v>62671</v>
      </c>
      <c r="B705" s="80">
        <f>10.4568 * CHOOSE(CONTROL!$C$32, $C$9, 100%, $E$9)</f>
        <v>10.456799999999999</v>
      </c>
      <c r="C705" s="80">
        <f>10.4568 * CHOOSE(CONTROL!$C$32, $C$9, 100%, $E$9)</f>
        <v>10.456799999999999</v>
      </c>
      <c r="D705" s="80">
        <f>10.4584 * CHOOSE(CONTROL!$C$32, $C$9, 100%, $E$9)</f>
        <v>10.458399999999999</v>
      </c>
      <c r="E705" s="81">
        <f>11.6546 * CHOOSE(CONTROL!$C$32, $C$9, 100%, $E$9)</f>
        <v>11.6546</v>
      </c>
      <c r="F705" s="81">
        <f>11.6546 * CHOOSE(CONTROL!$C$32, $C$9, 100%, $E$9)</f>
        <v>11.6546</v>
      </c>
      <c r="G705" s="81">
        <f>11.6599 * CHOOSE(CONTROL!$C$32, $C$9, 100%, $E$9)</f>
        <v>11.6599</v>
      </c>
      <c r="H705" s="81">
        <f>23.7981 * CHOOSE(CONTROL!$C$32, $C$9, 100%, $E$9)</f>
        <v>23.798100000000002</v>
      </c>
      <c r="I705" s="81">
        <f>23.8034 * CHOOSE(CONTROL!$C$32, $C$9, 100%, $E$9)</f>
        <v>23.8034</v>
      </c>
      <c r="J705" s="81">
        <f>23.7981 * CHOOSE(CONTROL!$C$32, $C$9, 100%, $E$9)</f>
        <v>23.798100000000002</v>
      </c>
      <c r="K705" s="81">
        <f>23.8034 * CHOOSE(CONTROL!$C$32, $C$9, 100%, $E$9)</f>
        <v>23.8034</v>
      </c>
      <c r="L705" s="81">
        <f>11.6546 * CHOOSE(CONTROL!$C$32, $C$9, 100%, $E$9)</f>
        <v>11.6546</v>
      </c>
      <c r="M705" s="81">
        <f>11.6599 * CHOOSE(CONTROL!$C$32, $C$9, 100%, $E$9)</f>
        <v>11.6599</v>
      </c>
      <c r="N705" s="81">
        <f>11.6546 * CHOOSE(CONTROL!$C$32, $C$9, 100%, $E$9)</f>
        <v>11.6546</v>
      </c>
      <c r="O705" s="81">
        <f>11.6599 * CHOOSE(CONTROL!$C$32, $C$9, 100%, $E$9)</f>
        <v>11.6599</v>
      </c>
    </row>
    <row r="706" spans="1:15" ht="15" x14ac:dyDescent="0.2">
      <c r="A706" s="16">
        <v>62702</v>
      </c>
      <c r="B706" s="80">
        <f>10.4538 * CHOOSE(CONTROL!$C$32, $C$9, 100%, $E$9)</f>
        <v>10.453799999999999</v>
      </c>
      <c r="C706" s="80">
        <f>10.4538 * CHOOSE(CONTROL!$C$32, $C$9, 100%, $E$9)</f>
        <v>10.453799999999999</v>
      </c>
      <c r="D706" s="80">
        <f>10.4553 * CHOOSE(CONTROL!$C$32, $C$9, 100%, $E$9)</f>
        <v>10.455299999999999</v>
      </c>
      <c r="E706" s="81">
        <f>11.6211 * CHOOSE(CONTROL!$C$32, $C$9, 100%, $E$9)</f>
        <v>11.6211</v>
      </c>
      <c r="F706" s="81">
        <f>11.6211 * CHOOSE(CONTROL!$C$32, $C$9, 100%, $E$9)</f>
        <v>11.6211</v>
      </c>
      <c r="G706" s="81">
        <f>11.6264 * CHOOSE(CONTROL!$C$32, $C$9, 100%, $E$9)</f>
        <v>11.6264</v>
      </c>
      <c r="H706" s="81">
        <f>23.8476 * CHOOSE(CONTROL!$C$32, $C$9, 100%, $E$9)</f>
        <v>23.8476</v>
      </c>
      <c r="I706" s="81">
        <f>23.8529 * CHOOSE(CONTROL!$C$32, $C$9, 100%, $E$9)</f>
        <v>23.852900000000002</v>
      </c>
      <c r="J706" s="81">
        <f>23.8476 * CHOOSE(CONTROL!$C$32, $C$9, 100%, $E$9)</f>
        <v>23.8476</v>
      </c>
      <c r="K706" s="81">
        <f>23.8529 * CHOOSE(CONTROL!$C$32, $C$9, 100%, $E$9)</f>
        <v>23.852900000000002</v>
      </c>
      <c r="L706" s="81">
        <f>11.6211 * CHOOSE(CONTROL!$C$32, $C$9, 100%, $E$9)</f>
        <v>11.6211</v>
      </c>
      <c r="M706" s="81">
        <f>11.6264 * CHOOSE(CONTROL!$C$32, $C$9, 100%, $E$9)</f>
        <v>11.6264</v>
      </c>
      <c r="N706" s="81">
        <f>11.6211 * CHOOSE(CONTROL!$C$32, $C$9, 100%, $E$9)</f>
        <v>11.6211</v>
      </c>
      <c r="O706" s="81">
        <f>11.6264 * CHOOSE(CONTROL!$C$32, $C$9, 100%, $E$9)</f>
        <v>11.6264</v>
      </c>
    </row>
    <row r="707" spans="1:15" ht="15" x14ac:dyDescent="0.2">
      <c r="A707" s="16">
        <v>62732</v>
      </c>
      <c r="B707" s="80">
        <f>10.4729 * CHOOSE(CONTROL!$C$32, $C$9, 100%, $E$9)</f>
        <v>10.472899999999999</v>
      </c>
      <c r="C707" s="80">
        <f>10.4729 * CHOOSE(CONTROL!$C$32, $C$9, 100%, $E$9)</f>
        <v>10.472899999999999</v>
      </c>
      <c r="D707" s="80">
        <f>10.474 * CHOOSE(CONTROL!$C$32, $C$9, 100%, $E$9)</f>
        <v>10.474</v>
      </c>
      <c r="E707" s="81">
        <f>11.733 * CHOOSE(CONTROL!$C$32, $C$9, 100%, $E$9)</f>
        <v>11.733000000000001</v>
      </c>
      <c r="F707" s="81">
        <f>11.733 * CHOOSE(CONTROL!$C$32, $C$9, 100%, $E$9)</f>
        <v>11.733000000000001</v>
      </c>
      <c r="G707" s="81">
        <f>11.7366 * CHOOSE(CONTROL!$C$32, $C$9, 100%, $E$9)</f>
        <v>11.736599999999999</v>
      </c>
      <c r="H707" s="81">
        <f>23.8973 * CHOOSE(CONTROL!$C$32, $C$9, 100%, $E$9)</f>
        <v>23.897300000000001</v>
      </c>
      <c r="I707" s="81">
        <f>23.9009 * CHOOSE(CONTROL!$C$32, $C$9, 100%, $E$9)</f>
        <v>23.9009</v>
      </c>
      <c r="J707" s="81">
        <f>23.8973 * CHOOSE(CONTROL!$C$32, $C$9, 100%, $E$9)</f>
        <v>23.897300000000001</v>
      </c>
      <c r="K707" s="81">
        <f>23.9009 * CHOOSE(CONTROL!$C$32, $C$9, 100%, $E$9)</f>
        <v>23.9009</v>
      </c>
      <c r="L707" s="81">
        <f>11.733 * CHOOSE(CONTROL!$C$32, $C$9, 100%, $E$9)</f>
        <v>11.733000000000001</v>
      </c>
      <c r="M707" s="81">
        <f>11.7366 * CHOOSE(CONTROL!$C$32, $C$9, 100%, $E$9)</f>
        <v>11.736599999999999</v>
      </c>
      <c r="N707" s="81">
        <f>11.733 * CHOOSE(CONTROL!$C$32, $C$9, 100%, $E$9)</f>
        <v>11.733000000000001</v>
      </c>
      <c r="O707" s="81">
        <f>11.7366 * CHOOSE(CONTROL!$C$32, $C$9, 100%, $E$9)</f>
        <v>11.736599999999999</v>
      </c>
    </row>
    <row r="708" spans="1:15" ht="15" x14ac:dyDescent="0.2">
      <c r="A708" s="16">
        <v>62763</v>
      </c>
      <c r="B708" s="80">
        <f>10.476 * CHOOSE(CONTROL!$C$32, $C$9, 100%, $E$9)</f>
        <v>10.476000000000001</v>
      </c>
      <c r="C708" s="80">
        <f>10.476 * CHOOSE(CONTROL!$C$32, $C$9, 100%, $E$9)</f>
        <v>10.476000000000001</v>
      </c>
      <c r="D708" s="80">
        <f>10.477 * CHOOSE(CONTROL!$C$32, $C$9, 100%, $E$9)</f>
        <v>10.477</v>
      </c>
      <c r="E708" s="81">
        <f>11.7978 * CHOOSE(CONTROL!$C$32, $C$9, 100%, $E$9)</f>
        <v>11.797800000000001</v>
      </c>
      <c r="F708" s="81">
        <f>11.7978 * CHOOSE(CONTROL!$C$32, $C$9, 100%, $E$9)</f>
        <v>11.797800000000001</v>
      </c>
      <c r="G708" s="81">
        <f>11.8014 * CHOOSE(CONTROL!$C$32, $C$9, 100%, $E$9)</f>
        <v>11.801399999999999</v>
      </c>
      <c r="H708" s="81">
        <f>23.9471 * CHOOSE(CONTROL!$C$32, $C$9, 100%, $E$9)</f>
        <v>23.947099999999999</v>
      </c>
      <c r="I708" s="81">
        <f>23.9507 * CHOOSE(CONTROL!$C$32, $C$9, 100%, $E$9)</f>
        <v>23.950700000000001</v>
      </c>
      <c r="J708" s="81">
        <f>23.9471 * CHOOSE(CONTROL!$C$32, $C$9, 100%, $E$9)</f>
        <v>23.947099999999999</v>
      </c>
      <c r="K708" s="81">
        <f>23.9507 * CHOOSE(CONTROL!$C$32, $C$9, 100%, $E$9)</f>
        <v>23.950700000000001</v>
      </c>
      <c r="L708" s="81">
        <f>11.7978 * CHOOSE(CONTROL!$C$32, $C$9, 100%, $E$9)</f>
        <v>11.797800000000001</v>
      </c>
      <c r="M708" s="81">
        <f>11.8014 * CHOOSE(CONTROL!$C$32, $C$9, 100%, $E$9)</f>
        <v>11.801399999999999</v>
      </c>
      <c r="N708" s="81">
        <f>11.7978 * CHOOSE(CONTROL!$C$32, $C$9, 100%, $E$9)</f>
        <v>11.797800000000001</v>
      </c>
      <c r="O708" s="81">
        <f>11.8014 * CHOOSE(CONTROL!$C$32, $C$9, 100%, $E$9)</f>
        <v>11.801399999999999</v>
      </c>
    </row>
    <row r="709" spans="1:15" ht="15" x14ac:dyDescent="0.2">
      <c r="A709" s="16">
        <v>62793</v>
      </c>
      <c r="B709" s="80">
        <f>10.476 * CHOOSE(CONTROL!$C$32, $C$9, 100%, $E$9)</f>
        <v>10.476000000000001</v>
      </c>
      <c r="C709" s="80">
        <f>10.476 * CHOOSE(CONTROL!$C$32, $C$9, 100%, $E$9)</f>
        <v>10.476000000000001</v>
      </c>
      <c r="D709" s="80">
        <f>10.477 * CHOOSE(CONTROL!$C$32, $C$9, 100%, $E$9)</f>
        <v>10.477</v>
      </c>
      <c r="E709" s="81">
        <f>11.6412 * CHOOSE(CONTROL!$C$32, $C$9, 100%, $E$9)</f>
        <v>11.6412</v>
      </c>
      <c r="F709" s="81">
        <f>11.6412 * CHOOSE(CONTROL!$C$32, $C$9, 100%, $E$9)</f>
        <v>11.6412</v>
      </c>
      <c r="G709" s="81">
        <f>11.6448 * CHOOSE(CONTROL!$C$32, $C$9, 100%, $E$9)</f>
        <v>11.6448</v>
      </c>
      <c r="H709" s="81">
        <f>23.997 * CHOOSE(CONTROL!$C$32, $C$9, 100%, $E$9)</f>
        <v>23.997</v>
      </c>
      <c r="I709" s="81">
        <f>24.0006 * CHOOSE(CONTROL!$C$32, $C$9, 100%, $E$9)</f>
        <v>24.000599999999999</v>
      </c>
      <c r="J709" s="81">
        <f>23.997 * CHOOSE(CONTROL!$C$32, $C$9, 100%, $E$9)</f>
        <v>23.997</v>
      </c>
      <c r="K709" s="81">
        <f>24.0006 * CHOOSE(CONTROL!$C$32, $C$9, 100%, $E$9)</f>
        <v>24.000599999999999</v>
      </c>
      <c r="L709" s="81">
        <f>11.6412 * CHOOSE(CONTROL!$C$32, $C$9, 100%, $E$9)</f>
        <v>11.6412</v>
      </c>
      <c r="M709" s="81">
        <f>11.6448 * CHOOSE(CONTROL!$C$32, $C$9, 100%, $E$9)</f>
        <v>11.6448</v>
      </c>
      <c r="N709" s="81">
        <f>11.6412 * CHOOSE(CONTROL!$C$32, $C$9, 100%, $E$9)</f>
        <v>11.6412</v>
      </c>
      <c r="O709" s="81">
        <f>11.6448 * CHOOSE(CONTROL!$C$32, $C$9, 100%, $E$9)</f>
        <v>11.6448</v>
      </c>
    </row>
    <row r="710" spans="1:15" ht="15" x14ac:dyDescent="0.2">
      <c r="A710" s="16">
        <v>62824</v>
      </c>
      <c r="B710" s="80">
        <f>10.5058 * CHOOSE(CONTROL!$C$32, $C$9, 100%, $E$9)</f>
        <v>10.505800000000001</v>
      </c>
      <c r="C710" s="80">
        <f>10.5058 * CHOOSE(CONTROL!$C$32, $C$9, 100%, $E$9)</f>
        <v>10.505800000000001</v>
      </c>
      <c r="D710" s="80">
        <f>10.5069 * CHOOSE(CONTROL!$C$32, $C$9, 100%, $E$9)</f>
        <v>10.5069</v>
      </c>
      <c r="E710" s="81">
        <f>11.7955 * CHOOSE(CONTROL!$C$32, $C$9, 100%, $E$9)</f>
        <v>11.795500000000001</v>
      </c>
      <c r="F710" s="81">
        <f>11.7955 * CHOOSE(CONTROL!$C$32, $C$9, 100%, $E$9)</f>
        <v>11.795500000000001</v>
      </c>
      <c r="G710" s="81">
        <f>11.7991 * CHOOSE(CONTROL!$C$32, $C$9, 100%, $E$9)</f>
        <v>11.799099999999999</v>
      </c>
      <c r="H710" s="81">
        <f>23.9179 * CHOOSE(CONTROL!$C$32, $C$9, 100%, $E$9)</f>
        <v>23.917899999999999</v>
      </c>
      <c r="I710" s="81">
        <f>23.9215 * CHOOSE(CONTROL!$C$32, $C$9, 100%, $E$9)</f>
        <v>23.921500000000002</v>
      </c>
      <c r="J710" s="81">
        <f>23.9179 * CHOOSE(CONTROL!$C$32, $C$9, 100%, $E$9)</f>
        <v>23.917899999999999</v>
      </c>
      <c r="K710" s="81">
        <f>23.9215 * CHOOSE(CONTROL!$C$32, $C$9, 100%, $E$9)</f>
        <v>23.921500000000002</v>
      </c>
      <c r="L710" s="81">
        <f>11.7955 * CHOOSE(CONTROL!$C$32, $C$9, 100%, $E$9)</f>
        <v>11.795500000000001</v>
      </c>
      <c r="M710" s="81">
        <f>11.7991 * CHOOSE(CONTROL!$C$32, $C$9, 100%, $E$9)</f>
        <v>11.799099999999999</v>
      </c>
      <c r="N710" s="81">
        <f>11.7955 * CHOOSE(CONTROL!$C$32, $C$9, 100%, $E$9)</f>
        <v>11.795500000000001</v>
      </c>
      <c r="O710" s="81">
        <f>11.7991 * CHOOSE(CONTROL!$C$32, $C$9, 100%, $E$9)</f>
        <v>11.799099999999999</v>
      </c>
    </row>
    <row r="711" spans="1:15" ht="15" x14ac:dyDescent="0.2">
      <c r="A711" s="16">
        <v>62855</v>
      </c>
      <c r="B711" s="80">
        <f>10.5027 * CHOOSE(CONTROL!$C$32, $C$9, 100%, $E$9)</f>
        <v>10.502700000000001</v>
      </c>
      <c r="C711" s="80">
        <f>10.5027 * CHOOSE(CONTROL!$C$32, $C$9, 100%, $E$9)</f>
        <v>10.502700000000001</v>
      </c>
      <c r="D711" s="80">
        <f>10.5038 * CHOOSE(CONTROL!$C$32, $C$9, 100%, $E$9)</f>
        <v>10.5038</v>
      </c>
      <c r="E711" s="81">
        <f>11.4903 * CHOOSE(CONTROL!$C$32, $C$9, 100%, $E$9)</f>
        <v>11.4903</v>
      </c>
      <c r="F711" s="81">
        <f>11.4903 * CHOOSE(CONTROL!$C$32, $C$9, 100%, $E$9)</f>
        <v>11.4903</v>
      </c>
      <c r="G711" s="81">
        <f>11.4939 * CHOOSE(CONTROL!$C$32, $C$9, 100%, $E$9)</f>
        <v>11.4939</v>
      </c>
      <c r="H711" s="81">
        <f>23.9677 * CHOOSE(CONTROL!$C$32, $C$9, 100%, $E$9)</f>
        <v>23.967700000000001</v>
      </c>
      <c r="I711" s="81">
        <f>23.9714 * CHOOSE(CONTROL!$C$32, $C$9, 100%, $E$9)</f>
        <v>23.971399999999999</v>
      </c>
      <c r="J711" s="81">
        <f>23.9677 * CHOOSE(CONTROL!$C$32, $C$9, 100%, $E$9)</f>
        <v>23.967700000000001</v>
      </c>
      <c r="K711" s="81">
        <f>23.9714 * CHOOSE(CONTROL!$C$32, $C$9, 100%, $E$9)</f>
        <v>23.971399999999999</v>
      </c>
      <c r="L711" s="81">
        <f>11.4903 * CHOOSE(CONTROL!$C$32, $C$9, 100%, $E$9)</f>
        <v>11.4903</v>
      </c>
      <c r="M711" s="81">
        <f>11.4939 * CHOOSE(CONTROL!$C$32, $C$9, 100%, $E$9)</f>
        <v>11.4939</v>
      </c>
      <c r="N711" s="81">
        <f>11.4903 * CHOOSE(CONTROL!$C$32, $C$9, 100%, $E$9)</f>
        <v>11.4903</v>
      </c>
      <c r="O711" s="81">
        <f>11.4939 * CHOOSE(CONTROL!$C$32, $C$9, 100%, $E$9)</f>
        <v>11.4939</v>
      </c>
    </row>
    <row r="712" spans="1:15" ht="15" x14ac:dyDescent="0.2">
      <c r="A712" s="16">
        <v>62884</v>
      </c>
      <c r="B712" s="80">
        <f>10.4997 * CHOOSE(CONTROL!$C$32, $C$9, 100%, $E$9)</f>
        <v>10.499700000000001</v>
      </c>
      <c r="C712" s="80">
        <f>10.4997 * CHOOSE(CONTROL!$C$32, $C$9, 100%, $E$9)</f>
        <v>10.499700000000001</v>
      </c>
      <c r="D712" s="80">
        <f>10.5008 * CHOOSE(CONTROL!$C$32, $C$9, 100%, $E$9)</f>
        <v>10.5008</v>
      </c>
      <c r="E712" s="81">
        <f>11.7271 * CHOOSE(CONTROL!$C$32, $C$9, 100%, $E$9)</f>
        <v>11.7271</v>
      </c>
      <c r="F712" s="81">
        <f>11.7271 * CHOOSE(CONTROL!$C$32, $C$9, 100%, $E$9)</f>
        <v>11.7271</v>
      </c>
      <c r="G712" s="81">
        <f>11.7308 * CHOOSE(CONTROL!$C$32, $C$9, 100%, $E$9)</f>
        <v>11.7308</v>
      </c>
      <c r="H712" s="81">
        <f>24.0177 * CHOOSE(CONTROL!$C$32, $C$9, 100%, $E$9)</f>
        <v>24.017700000000001</v>
      </c>
      <c r="I712" s="81">
        <f>24.0213 * CHOOSE(CONTROL!$C$32, $C$9, 100%, $E$9)</f>
        <v>24.0213</v>
      </c>
      <c r="J712" s="81">
        <f>24.0177 * CHOOSE(CONTROL!$C$32, $C$9, 100%, $E$9)</f>
        <v>24.017700000000001</v>
      </c>
      <c r="K712" s="81">
        <f>24.0213 * CHOOSE(CONTROL!$C$32, $C$9, 100%, $E$9)</f>
        <v>24.0213</v>
      </c>
      <c r="L712" s="81">
        <f>11.7271 * CHOOSE(CONTROL!$C$32, $C$9, 100%, $E$9)</f>
        <v>11.7271</v>
      </c>
      <c r="M712" s="81">
        <f>11.7308 * CHOOSE(CONTROL!$C$32, $C$9, 100%, $E$9)</f>
        <v>11.7308</v>
      </c>
      <c r="N712" s="81">
        <f>11.7271 * CHOOSE(CONTROL!$C$32, $C$9, 100%, $E$9)</f>
        <v>11.7271</v>
      </c>
      <c r="O712" s="81">
        <f>11.7308 * CHOOSE(CONTROL!$C$32, $C$9, 100%, $E$9)</f>
        <v>11.7308</v>
      </c>
    </row>
    <row r="713" spans="1:15" ht="15" x14ac:dyDescent="0.2">
      <c r="A713" s="16">
        <v>62915</v>
      </c>
      <c r="B713" s="80">
        <f>10.5037 * CHOOSE(CONTROL!$C$32, $C$9, 100%, $E$9)</f>
        <v>10.5037</v>
      </c>
      <c r="C713" s="80">
        <f>10.5037 * CHOOSE(CONTROL!$C$32, $C$9, 100%, $E$9)</f>
        <v>10.5037</v>
      </c>
      <c r="D713" s="80">
        <f>10.5047 * CHOOSE(CONTROL!$C$32, $C$9, 100%, $E$9)</f>
        <v>10.5047</v>
      </c>
      <c r="E713" s="81">
        <f>11.9795 * CHOOSE(CONTROL!$C$32, $C$9, 100%, $E$9)</f>
        <v>11.9795</v>
      </c>
      <c r="F713" s="81">
        <f>11.9795 * CHOOSE(CONTROL!$C$32, $C$9, 100%, $E$9)</f>
        <v>11.9795</v>
      </c>
      <c r="G713" s="81">
        <f>11.9831 * CHOOSE(CONTROL!$C$32, $C$9, 100%, $E$9)</f>
        <v>11.9831</v>
      </c>
      <c r="H713" s="81">
        <f>24.0677 * CHOOSE(CONTROL!$C$32, $C$9, 100%, $E$9)</f>
        <v>24.067699999999999</v>
      </c>
      <c r="I713" s="81">
        <f>24.0713 * CHOOSE(CONTROL!$C$32, $C$9, 100%, $E$9)</f>
        <v>24.071300000000001</v>
      </c>
      <c r="J713" s="81">
        <f>24.0677 * CHOOSE(CONTROL!$C$32, $C$9, 100%, $E$9)</f>
        <v>24.067699999999999</v>
      </c>
      <c r="K713" s="81">
        <f>24.0713 * CHOOSE(CONTROL!$C$32, $C$9, 100%, $E$9)</f>
        <v>24.071300000000001</v>
      </c>
      <c r="L713" s="81">
        <f>11.9795 * CHOOSE(CONTROL!$C$32, $C$9, 100%, $E$9)</f>
        <v>11.9795</v>
      </c>
      <c r="M713" s="81">
        <f>11.9831 * CHOOSE(CONTROL!$C$32, $C$9, 100%, $E$9)</f>
        <v>11.9831</v>
      </c>
      <c r="N713" s="81">
        <f>11.9795 * CHOOSE(CONTROL!$C$32, $C$9, 100%, $E$9)</f>
        <v>11.9795</v>
      </c>
      <c r="O713" s="81">
        <f>11.9831 * CHOOSE(CONTROL!$C$32, $C$9, 100%, $E$9)</f>
        <v>11.9831</v>
      </c>
    </row>
    <row r="714" spans="1:15" ht="15" x14ac:dyDescent="0.2">
      <c r="A714" s="16">
        <v>62945</v>
      </c>
      <c r="B714" s="80">
        <f>10.5037 * CHOOSE(CONTROL!$C$32, $C$9, 100%, $E$9)</f>
        <v>10.5037</v>
      </c>
      <c r="C714" s="80">
        <f>10.5037 * CHOOSE(CONTROL!$C$32, $C$9, 100%, $E$9)</f>
        <v>10.5037</v>
      </c>
      <c r="D714" s="80">
        <f>10.5052 * CHOOSE(CONTROL!$C$32, $C$9, 100%, $E$9)</f>
        <v>10.5052</v>
      </c>
      <c r="E714" s="81">
        <f>12.0757 * CHOOSE(CONTROL!$C$32, $C$9, 100%, $E$9)</f>
        <v>12.075699999999999</v>
      </c>
      <c r="F714" s="81">
        <f>12.0757 * CHOOSE(CONTROL!$C$32, $C$9, 100%, $E$9)</f>
        <v>12.075699999999999</v>
      </c>
      <c r="G714" s="81">
        <f>12.081 * CHOOSE(CONTROL!$C$32, $C$9, 100%, $E$9)</f>
        <v>12.081</v>
      </c>
      <c r="H714" s="81">
        <f>24.1179 * CHOOSE(CONTROL!$C$32, $C$9, 100%, $E$9)</f>
        <v>24.117899999999999</v>
      </c>
      <c r="I714" s="81">
        <f>24.1232 * CHOOSE(CONTROL!$C$32, $C$9, 100%, $E$9)</f>
        <v>24.123200000000001</v>
      </c>
      <c r="J714" s="81">
        <f>24.1179 * CHOOSE(CONTROL!$C$32, $C$9, 100%, $E$9)</f>
        <v>24.117899999999999</v>
      </c>
      <c r="K714" s="81">
        <f>24.1232 * CHOOSE(CONTROL!$C$32, $C$9, 100%, $E$9)</f>
        <v>24.123200000000001</v>
      </c>
      <c r="L714" s="81">
        <f>12.0757 * CHOOSE(CONTROL!$C$32, $C$9, 100%, $E$9)</f>
        <v>12.075699999999999</v>
      </c>
      <c r="M714" s="81">
        <f>12.081 * CHOOSE(CONTROL!$C$32, $C$9, 100%, $E$9)</f>
        <v>12.081</v>
      </c>
      <c r="N714" s="81">
        <f>12.0757 * CHOOSE(CONTROL!$C$32, $C$9, 100%, $E$9)</f>
        <v>12.075699999999999</v>
      </c>
      <c r="O714" s="81">
        <f>12.081 * CHOOSE(CONTROL!$C$32, $C$9, 100%, $E$9)</f>
        <v>12.081</v>
      </c>
    </row>
    <row r="715" spans="1:15" ht="15" x14ac:dyDescent="0.2">
      <c r="A715" s="16">
        <v>62976</v>
      </c>
      <c r="B715" s="80">
        <f>10.5097 * CHOOSE(CONTROL!$C$32, $C$9, 100%, $E$9)</f>
        <v>10.5097</v>
      </c>
      <c r="C715" s="80">
        <f>10.5097 * CHOOSE(CONTROL!$C$32, $C$9, 100%, $E$9)</f>
        <v>10.5097</v>
      </c>
      <c r="D715" s="80">
        <f>10.5113 * CHOOSE(CONTROL!$C$32, $C$9, 100%, $E$9)</f>
        <v>10.5113</v>
      </c>
      <c r="E715" s="81">
        <f>11.9837 * CHOOSE(CONTROL!$C$32, $C$9, 100%, $E$9)</f>
        <v>11.983700000000001</v>
      </c>
      <c r="F715" s="81">
        <f>11.9837 * CHOOSE(CONTROL!$C$32, $C$9, 100%, $E$9)</f>
        <v>11.983700000000001</v>
      </c>
      <c r="G715" s="81">
        <f>11.989 * CHOOSE(CONTROL!$C$32, $C$9, 100%, $E$9)</f>
        <v>11.989000000000001</v>
      </c>
      <c r="H715" s="81">
        <f>24.1681 * CHOOSE(CONTROL!$C$32, $C$9, 100%, $E$9)</f>
        <v>24.168099999999999</v>
      </c>
      <c r="I715" s="81">
        <f>24.1734 * CHOOSE(CONTROL!$C$32, $C$9, 100%, $E$9)</f>
        <v>24.173400000000001</v>
      </c>
      <c r="J715" s="81">
        <f>24.1681 * CHOOSE(CONTROL!$C$32, $C$9, 100%, $E$9)</f>
        <v>24.168099999999999</v>
      </c>
      <c r="K715" s="81">
        <f>24.1734 * CHOOSE(CONTROL!$C$32, $C$9, 100%, $E$9)</f>
        <v>24.173400000000001</v>
      </c>
      <c r="L715" s="81">
        <f>11.9837 * CHOOSE(CONTROL!$C$32, $C$9, 100%, $E$9)</f>
        <v>11.983700000000001</v>
      </c>
      <c r="M715" s="81">
        <f>11.989 * CHOOSE(CONTROL!$C$32, $C$9, 100%, $E$9)</f>
        <v>11.989000000000001</v>
      </c>
      <c r="N715" s="81">
        <f>11.9837 * CHOOSE(CONTROL!$C$32, $C$9, 100%, $E$9)</f>
        <v>11.983700000000001</v>
      </c>
      <c r="O715" s="81">
        <f>11.989 * CHOOSE(CONTROL!$C$32, $C$9, 100%, $E$9)</f>
        <v>11.989000000000001</v>
      </c>
    </row>
    <row r="716" spans="1:15" ht="15" x14ac:dyDescent="0.2">
      <c r="A716" s="16">
        <v>63006</v>
      </c>
      <c r="B716" s="80">
        <f>10.6397 * CHOOSE(CONTROL!$C$32, $C$9, 100%, $E$9)</f>
        <v>10.639699999999999</v>
      </c>
      <c r="C716" s="80">
        <f>10.6397 * CHOOSE(CONTROL!$C$32, $C$9, 100%, $E$9)</f>
        <v>10.639699999999999</v>
      </c>
      <c r="D716" s="80">
        <f>10.6413 * CHOOSE(CONTROL!$C$32, $C$9, 100%, $E$9)</f>
        <v>10.641299999999999</v>
      </c>
      <c r="E716" s="81">
        <f>12.152 * CHOOSE(CONTROL!$C$32, $C$9, 100%, $E$9)</f>
        <v>12.151999999999999</v>
      </c>
      <c r="F716" s="81">
        <f>12.152 * CHOOSE(CONTROL!$C$32, $C$9, 100%, $E$9)</f>
        <v>12.151999999999999</v>
      </c>
      <c r="G716" s="81">
        <f>12.1573 * CHOOSE(CONTROL!$C$32, $C$9, 100%, $E$9)</f>
        <v>12.157299999999999</v>
      </c>
      <c r="H716" s="81">
        <f>24.2185 * CHOOSE(CONTROL!$C$32, $C$9, 100%, $E$9)</f>
        <v>24.218499999999999</v>
      </c>
      <c r="I716" s="81">
        <f>24.2237 * CHOOSE(CONTROL!$C$32, $C$9, 100%, $E$9)</f>
        <v>24.223700000000001</v>
      </c>
      <c r="J716" s="81">
        <f>24.2185 * CHOOSE(CONTROL!$C$32, $C$9, 100%, $E$9)</f>
        <v>24.218499999999999</v>
      </c>
      <c r="K716" s="81">
        <f>24.2237 * CHOOSE(CONTROL!$C$32, $C$9, 100%, $E$9)</f>
        <v>24.223700000000001</v>
      </c>
      <c r="L716" s="81">
        <f>12.152 * CHOOSE(CONTROL!$C$32, $C$9, 100%, $E$9)</f>
        <v>12.151999999999999</v>
      </c>
      <c r="M716" s="81">
        <f>12.1573 * CHOOSE(CONTROL!$C$32, $C$9, 100%, $E$9)</f>
        <v>12.157299999999999</v>
      </c>
      <c r="N716" s="81">
        <f>12.152 * CHOOSE(CONTROL!$C$32, $C$9, 100%, $E$9)</f>
        <v>12.151999999999999</v>
      </c>
      <c r="O716" s="81">
        <f>12.1573 * CHOOSE(CONTROL!$C$32, $C$9, 100%, $E$9)</f>
        <v>12.157299999999999</v>
      </c>
    </row>
    <row r="717" spans="1:15" ht="15" x14ac:dyDescent="0.2">
      <c r="A717" s="16">
        <v>63037</v>
      </c>
      <c r="B717" s="80">
        <f>10.6464 * CHOOSE(CONTROL!$C$32, $C$9, 100%, $E$9)</f>
        <v>10.6464</v>
      </c>
      <c r="C717" s="80">
        <f>10.6464 * CHOOSE(CONTROL!$C$32, $C$9, 100%, $E$9)</f>
        <v>10.6464</v>
      </c>
      <c r="D717" s="80">
        <f>10.648 * CHOOSE(CONTROL!$C$32, $C$9, 100%, $E$9)</f>
        <v>10.648</v>
      </c>
      <c r="E717" s="81">
        <f>11.868 * CHOOSE(CONTROL!$C$32, $C$9, 100%, $E$9)</f>
        <v>11.868</v>
      </c>
      <c r="F717" s="81">
        <f>11.868 * CHOOSE(CONTROL!$C$32, $C$9, 100%, $E$9)</f>
        <v>11.868</v>
      </c>
      <c r="G717" s="81">
        <f>11.8733 * CHOOSE(CONTROL!$C$32, $C$9, 100%, $E$9)</f>
        <v>11.8733</v>
      </c>
      <c r="H717" s="81">
        <f>24.2689 * CHOOSE(CONTROL!$C$32, $C$9, 100%, $E$9)</f>
        <v>24.268899999999999</v>
      </c>
      <c r="I717" s="81">
        <f>24.2742 * CHOOSE(CONTROL!$C$32, $C$9, 100%, $E$9)</f>
        <v>24.2742</v>
      </c>
      <c r="J717" s="81">
        <f>24.2689 * CHOOSE(CONTROL!$C$32, $C$9, 100%, $E$9)</f>
        <v>24.268899999999999</v>
      </c>
      <c r="K717" s="81">
        <f>24.2742 * CHOOSE(CONTROL!$C$32, $C$9, 100%, $E$9)</f>
        <v>24.2742</v>
      </c>
      <c r="L717" s="81">
        <f>11.868 * CHOOSE(CONTROL!$C$32, $C$9, 100%, $E$9)</f>
        <v>11.868</v>
      </c>
      <c r="M717" s="81">
        <f>11.8733 * CHOOSE(CONTROL!$C$32, $C$9, 100%, $E$9)</f>
        <v>11.8733</v>
      </c>
      <c r="N717" s="81">
        <f>11.868 * CHOOSE(CONTROL!$C$32, $C$9, 100%, $E$9)</f>
        <v>11.868</v>
      </c>
      <c r="O717" s="81">
        <f>11.8733 * CHOOSE(CONTROL!$C$32, $C$9, 100%, $E$9)</f>
        <v>11.8733</v>
      </c>
    </row>
    <row r="718" spans="1:15" ht="15" x14ac:dyDescent="0.2">
      <c r="A718" s="16">
        <v>63068</v>
      </c>
      <c r="B718" s="80">
        <f>10.6434 * CHOOSE(CONTROL!$C$32, $C$9, 100%, $E$9)</f>
        <v>10.6434</v>
      </c>
      <c r="C718" s="80">
        <f>10.6434 * CHOOSE(CONTROL!$C$32, $C$9, 100%, $E$9)</f>
        <v>10.6434</v>
      </c>
      <c r="D718" s="80">
        <f>10.6449 * CHOOSE(CONTROL!$C$32, $C$9, 100%, $E$9)</f>
        <v>10.6449</v>
      </c>
      <c r="E718" s="81">
        <f>11.8338 * CHOOSE(CONTROL!$C$32, $C$9, 100%, $E$9)</f>
        <v>11.8338</v>
      </c>
      <c r="F718" s="81">
        <f>11.8338 * CHOOSE(CONTROL!$C$32, $C$9, 100%, $E$9)</f>
        <v>11.8338</v>
      </c>
      <c r="G718" s="81">
        <f>11.8391 * CHOOSE(CONTROL!$C$32, $C$9, 100%, $E$9)</f>
        <v>11.8391</v>
      </c>
      <c r="H718" s="81">
        <f>24.3195 * CHOOSE(CONTROL!$C$32, $C$9, 100%, $E$9)</f>
        <v>24.319500000000001</v>
      </c>
      <c r="I718" s="81">
        <f>24.3248 * CHOOSE(CONTROL!$C$32, $C$9, 100%, $E$9)</f>
        <v>24.3248</v>
      </c>
      <c r="J718" s="81">
        <f>24.3195 * CHOOSE(CONTROL!$C$32, $C$9, 100%, $E$9)</f>
        <v>24.319500000000001</v>
      </c>
      <c r="K718" s="81">
        <f>24.3248 * CHOOSE(CONTROL!$C$32, $C$9, 100%, $E$9)</f>
        <v>24.3248</v>
      </c>
      <c r="L718" s="81">
        <f>11.8338 * CHOOSE(CONTROL!$C$32, $C$9, 100%, $E$9)</f>
        <v>11.8338</v>
      </c>
      <c r="M718" s="81">
        <f>11.8391 * CHOOSE(CONTROL!$C$32, $C$9, 100%, $E$9)</f>
        <v>11.8391</v>
      </c>
      <c r="N718" s="81">
        <f>11.8338 * CHOOSE(CONTROL!$C$32, $C$9, 100%, $E$9)</f>
        <v>11.8338</v>
      </c>
      <c r="O718" s="81">
        <f>11.8391 * CHOOSE(CONTROL!$C$32, $C$9, 100%, $E$9)</f>
        <v>11.8391</v>
      </c>
    </row>
    <row r="719" spans="1:15" ht="15" x14ac:dyDescent="0.2">
      <c r="A719" s="16">
        <v>63098</v>
      </c>
      <c r="B719" s="80">
        <f>10.6632 * CHOOSE(CONTROL!$C$32, $C$9, 100%, $E$9)</f>
        <v>10.6632</v>
      </c>
      <c r="C719" s="80">
        <f>10.6632 * CHOOSE(CONTROL!$C$32, $C$9, 100%, $E$9)</f>
        <v>10.6632</v>
      </c>
      <c r="D719" s="80">
        <f>10.6643 * CHOOSE(CONTROL!$C$32, $C$9, 100%, $E$9)</f>
        <v>10.664300000000001</v>
      </c>
      <c r="E719" s="81">
        <f>11.9487 * CHOOSE(CONTROL!$C$32, $C$9, 100%, $E$9)</f>
        <v>11.948700000000001</v>
      </c>
      <c r="F719" s="81">
        <f>11.9487 * CHOOSE(CONTROL!$C$32, $C$9, 100%, $E$9)</f>
        <v>11.948700000000001</v>
      </c>
      <c r="G719" s="81">
        <f>11.9523 * CHOOSE(CONTROL!$C$32, $C$9, 100%, $E$9)</f>
        <v>11.952299999999999</v>
      </c>
      <c r="H719" s="81">
        <f>24.3701 * CHOOSE(CONTROL!$C$32, $C$9, 100%, $E$9)</f>
        <v>24.370100000000001</v>
      </c>
      <c r="I719" s="81">
        <f>24.3738 * CHOOSE(CONTROL!$C$32, $C$9, 100%, $E$9)</f>
        <v>24.373799999999999</v>
      </c>
      <c r="J719" s="81">
        <f>24.3701 * CHOOSE(CONTROL!$C$32, $C$9, 100%, $E$9)</f>
        <v>24.370100000000001</v>
      </c>
      <c r="K719" s="81">
        <f>24.3738 * CHOOSE(CONTROL!$C$32, $C$9, 100%, $E$9)</f>
        <v>24.373799999999999</v>
      </c>
      <c r="L719" s="81">
        <f>11.9487 * CHOOSE(CONTROL!$C$32, $C$9, 100%, $E$9)</f>
        <v>11.948700000000001</v>
      </c>
      <c r="M719" s="81">
        <f>11.9523 * CHOOSE(CONTROL!$C$32, $C$9, 100%, $E$9)</f>
        <v>11.952299999999999</v>
      </c>
      <c r="N719" s="81">
        <f>11.9487 * CHOOSE(CONTROL!$C$32, $C$9, 100%, $E$9)</f>
        <v>11.948700000000001</v>
      </c>
      <c r="O719" s="81">
        <f>11.9523 * CHOOSE(CONTROL!$C$32, $C$9, 100%, $E$9)</f>
        <v>11.952299999999999</v>
      </c>
    </row>
    <row r="720" spans="1:15" ht="15" x14ac:dyDescent="0.2">
      <c r="A720" s="16">
        <v>63129</v>
      </c>
      <c r="B720" s="80">
        <f>10.6663 * CHOOSE(CONTROL!$C$32, $C$9, 100%, $E$9)</f>
        <v>10.6663</v>
      </c>
      <c r="C720" s="80">
        <f>10.6663 * CHOOSE(CONTROL!$C$32, $C$9, 100%, $E$9)</f>
        <v>10.6663</v>
      </c>
      <c r="D720" s="80">
        <f>10.6673 * CHOOSE(CONTROL!$C$32, $C$9, 100%, $E$9)</f>
        <v>10.667299999999999</v>
      </c>
      <c r="E720" s="81">
        <f>12.015 * CHOOSE(CONTROL!$C$32, $C$9, 100%, $E$9)</f>
        <v>12.015000000000001</v>
      </c>
      <c r="F720" s="81">
        <f>12.015 * CHOOSE(CONTROL!$C$32, $C$9, 100%, $E$9)</f>
        <v>12.015000000000001</v>
      </c>
      <c r="G720" s="81">
        <f>12.0186 * CHOOSE(CONTROL!$C$32, $C$9, 100%, $E$9)</f>
        <v>12.018599999999999</v>
      </c>
      <c r="H720" s="81">
        <f>24.4209 * CHOOSE(CONTROL!$C$32, $C$9, 100%, $E$9)</f>
        <v>24.4209</v>
      </c>
      <c r="I720" s="81">
        <f>24.4245 * CHOOSE(CONTROL!$C$32, $C$9, 100%, $E$9)</f>
        <v>24.424499999999998</v>
      </c>
      <c r="J720" s="81">
        <f>24.4209 * CHOOSE(CONTROL!$C$32, $C$9, 100%, $E$9)</f>
        <v>24.4209</v>
      </c>
      <c r="K720" s="81">
        <f>24.4245 * CHOOSE(CONTROL!$C$32, $C$9, 100%, $E$9)</f>
        <v>24.424499999999998</v>
      </c>
      <c r="L720" s="81">
        <f>12.015 * CHOOSE(CONTROL!$C$32, $C$9, 100%, $E$9)</f>
        <v>12.015000000000001</v>
      </c>
      <c r="M720" s="81">
        <f>12.0186 * CHOOSE(CONTROL!$C$32, $C$9, 100%, $E$9)</f>
        <v>12.018599999999999</v>
      </c>
      <c r="N720" s="81">
        <f>12.015 * CHOOSE(CONTROL!$C$32, $C$9, 100%, $E$9)</f>
        <v>12.015000000000001</v>
      </c>
      <c r="O720" s="81">
        <f>12.0186 * CHOOSE(CONTROL!$C$32, $C$9, 100%, $E$9)</f>
        <v>12.018599999999999</v>
      </c>
    </row>
    <row r="721" spans="1:15" ht="15" x14ac:dyDescent="0.2">
      <c r="A721" s="16">
        <v>63159</v>
      </c>
      <c r="B721" s="80">
        <f>10.6663 * CHOOSE(CONTROL!$C$32, $C$9, 100%, $E$9)</f>
        <v>10.6663</v>
      </c>
      <c r="C721" s="80">
        <f>10.6663 * CHOOSE(CONTROL!$C$32, $C$9, 100%, $E$9)</f>
        <v>10.6663</v>
      </c>
      <c r="D721" s="80">
        <f>10.6673 * CHOOSE(CONTROL!$C$32, $C$9, 100%, $E$9)</f>
        <v>10.667299999999999</v>
      </c>
      <c r="E721" s="81">
        <f>11.8546 * CHOOSE(CONTROL!$C$32, $C$9, 100%, $E$9)</f>
        <v>11.8546</v>
      </c>
      <c r="F721" s="81">
        <f>11.8546 * CHOOSE(CONTROL!$C$32, $C$9, 100%, $E$9)</f>
        <v>11.8546</v>
      </c>
      <c r="G721" s="81">
        <f>11.8582 * CHOOSE(CONTROL!$C$32, $C$9, 100%, $E$9)</f>
        <v>11.8582</v>
      </c>
      <c r="H721" s="81">
        <f>24.4718 * CHOOSE(CONTROL!$C$32, $C$9, 100%, $E$9)</f>
        <v>24.471800000000002</v>
      </c>
      <c r="I721" s="81">
        <f>24.4754 * CHOOSE(CONTROL!$C$32, $C$9, 100%, $E$9)</f>
        <v>24.4754</v>
      </c>
      <c r="J721" s="81">
        <f>24.4718 * CHOOSE(CONTROL!$C$32, $C$9, 100%, $E$9)</f>
        <v>24.471800000000002</v>
      </c>
      <c r="K721" s="81">
        <f>24.4754 * CHOOSE(CONTROL!$C$32, $C$9, 100%, $E$9)</f>
        <v>24.4754</v>
      </c>
      <c r="L721" s="81">
        <f>11.8546 * CHOOSE(CONTROL!$C$32, $C$9, 100%, $E$9)</f>
        <v>11.8546</v>
      </c>
      <c r="M721" s="81">
        <f>11.8582 * CHOOSE(CONTROL!$C$32, $C$9, 100%, $E$9)</f>
        <v>11.8582</v>
      </c>
      <c r="N721" s="81">
        <f>11.8546 * CHOOSE(CONTROL!$C$32, $C$9, 100%, $E$9)</f>
        <v>11.8546</v>
      </c>
      <c r="O721" s="81">
        <f>11.8582 * CHOOSE(CONTROL!$C$32, $C$9, 100%, $E$9)</f>
        <v>11.8582</v>
      </c>
    </row>
    <row r="722" spans="1:15" ht="15" x14ac:dyDescent="0.2">
      <c r="A722" s="16">
        <v>63190</v>
      </c>
      <c r="B722" s="80">
        <f>10.6931 * CHOOSE(CONTROL!$C$32, $C$9, 100%, $E$9)</f>
        <v>10.693099999999999</v>
      </c>
      <c r="C722" s="80">
        <f>10.6931 * CHOOSE(CONTROL!$C$32, $C$9, 100%, $E$9)</f>
        <v>10.693099999999999</v>
      </c>
      <c r="D722" s="80">
        <f>10.6942 * CHOOSE(CONTROL!$C$32, $C$9, 100%, $E$9)</f>
        <v>10.6942</v>
      </c>
      <c r="E722" s="81">
        <f>12.008 * CHOOSE(CONTROL!$C$32, $C$9, 100%, $E$9)</f>
        <v>12.007999999999999</v>
      </c>
      <c r="F722" s="81">
        <f>12.008 * CHOOSE(CONTROL!$C$32, $C$9, 100%, $E$9)</f>
        <v>12.007999999999999</v>
      </c>
      <c r="G722" s="81">
        <f>12.0116 * CHOOSE(CONTROL!$C$32, $C$9, 100%, $E$9)</f>
        <v>12.0116</v>
      </c>
      <c r="H722" s="81">
        <f>24.382 * CHOOSE(CONTROL!$C$32, $C$9, 100%, $E$9)</f>
        <v>24.382000000000001</v>
      </c>
      <c r="I722" s="81">
        <f>24.3856 * CHOOSE(CONTROL!$C$32, $C$9, 100%, $E$9)</f>
        <v>24.3856</v>
      </c>
      <c r="J722" s="81">
        <f>24.382 * CHOOSE(CONTROL!$C$32, $C$9, 100%, $E$9)</f>
        <v>24.382000000000001</v>
      </c>
      <c r="K722" s="81">
        <f>24.3856 * CHOOSE(CONTROL!$C$32, $C$9, 100%, $E$9)</f>
        <v>24.3856</v>
      </c>
      <c r="L722" s="81">
        <f>12.008 * CHOOSE(CONTROL!$C$32, $C$9, 100%, $E$9)</f>
        <v>12.007999999999999</v>
      </c>
      <c r="M722" s="81">
        <f>12.0116 * CHOOSE(CONTROL!$C$32, $C$9, 100%, $E$9)</f>
        <v>12.0116</v>
      </c>
      <c r="N722" s="81">
        <f>12.008 * CHOOSE(CONTROL!$C$32, $C$9, 100%, $E$9)</f>
        <v>12.007999999999999</v>
      </c>
      <c r="O722" s="81">
        <f>12.0116 * CHOOSE(CONTROL!$C$32, $C$9, 100%, $E$9)</f>
        <v>12.0116</v>
      </c>
    </row>
    <row r="723" spans="1:15" ht="15" x14ac:dyDescent="0.2">
      <c r="A723" s="16">
        <v>63221</v>
      </c>
      <c r="B723" s="80">
        <f>10.6901 * CHOOSE(CONTROL!$C$32, $C$9, 100%, $E$9)</f>
        <v>10.690099999999999</v>
      </c>
      <c r="C723" s="80">
        <f>10.6901 * CHOOSE(CONTROL!$C$32, $C$9, 100%, $E$9)</f>
        <v>10.690099999999999</v>
      </c>
      <c r="D723" s="80">
        <f>10.6912 * CHOOSE(CONTROL!$C$32, $C$9, 100%, $E$9)</f>
        <v>10.6912</v>
      </c>
      <c r="E723" s="81">
        <f>11.6957 * CHOOSE(CONTROL!$C$32, $C$9, 100%, $E$9)</f>
        <v>11.6957</v>
      </c>
      <c r="F723" s="81">
        <f>11.6957 * CHOOSE(CONTROL!$C$32, $C$9, 100%, $E$9)</f>
        <v>11.6957</v>
      </c>
      <c r="G723" s="81">
        <f>11.6994 * CHOOSE(CONTROL!$C$32, $C$9, 100%, $E$9)</f>
        <v>11.699400000000001</v>
      </c>
      <c r="H723" s="81">
        <f>24.4327 * CHOOSE(CONTROL!$C$32, $C$9, 100%, $E$9)</f>
        <v>24.432700000000001</v>
      </c>
      <c r="I723" s="81">
        <f>24.4364 * CHOOSE(CONTROL!$C$32, $C$9, 100%, $E$9)</f>
        <v>24.436399999999999</v>
      </c>
      <c r="J723" s="81">
        <f>24.4327 * CHOOSE(CONTROL!$C$32, $C$9, 100%, $E$9)</f>
        <v>24.432700000000001</v>
      </c>
      <c r="K723" s="81">
        <f>24.4364 * CHOOSE(CONTROL!$C$32, $C$9, 100%, $E$9)</f>
        <v>24.436399999999999</v>
      </c>
      <c r="L723" s="81">
        <f>11.6957 * CHOOSE(CONTROL!$C$32, $C$9, 100%, $E$9)</f>
        <v>11.6957</v>
      </c>
      <c r="M723" s="81">
        <f>11.6994 * CHOOSE(CONTROL!$C$32, $C$9, 100%, $E$9)</f>
        <v>11.699400000000001</v>
      </c>
      <c r="N723" s="81">
        <f>11.6957 * CHOOSE(CONTROL!$C$32, $C$9, 100%, $E$9)</f>
        <v>11.6957</v>
      </c>
      <c r="O723" s="81">
        <f>11.6994 * CHOOSE(CONTROL!$C$32, $C$9, 100%, $E$9)</f>
        <v>11.699400000000001</v>
      </c>
    </row>
    <row r="724" spans="1:15" ht="15" x14ac:dyDescent="0.2">
      <c r="A724" s="16">
        <v>63249</v>
      </c>
      <c r="B724" s="80">
        <f>10.6871 * CHOOSE(CONTROL!$C$32, $C$9, 100%, $E$9)</f>
        <v>10.687099999999999</v>
      </c>
      <c r="C724" s="80">
        <f>10.6871 * CHOOSE(CONTROL!$C$32, $C$9, 100%, $E$9)</f>
        <v>10.687099999999999</v>
      </c>
      <c r="D724" s="80">
        <f>10.6881 * CHOOSE(CONTROL!$C$32, $C$9, 100%, $E$9)</f>
        <v>10.6881</v>
      </c>
      <c r="E724" s="81">
        <f>11.9381 * CHOOSE(CONTROL!$C$32, $C$9, 100%, $E$9)</f>
        <v>11.9381</v>
      </c>
      <c r="F724" s="81">
        <f>11.9381 * CHOOSE(CONTROL!$C$32, $C$9, 100%, $E$9)</f>
        <v>11.9381</v>
      </c>
      <c r="G724" s="81">
        <f>11.9418 * CHOOSE(CONTROL!$C$32, $C$9, 100%, $E$9)</f>
        <v>11.941800000000001</v>
      </c>
      <c r="H724" s="81">
        <f>24.4836 * CHOOSE(CONTROL!$C$32, $C$9, 100%, $E$9)</f>
        <v>24.483599999999999</v>
      </c>
      <c r="I724" s="81">
        <f>24.4873 * CHOOSE(CONTROL!$C$32, $C$9, 100%, $E$9)</f>
        <v>24.487300000000001</v>
      </c>
      <c r="J724" s="81">
        <f>24.4836 * CHOOSE(CONTROL!$C$32, $C$9, 100%, $E$9)</f>
        <v>24.483599999999999</v>
      </c>
      <c r="K724" s="81">
        <f>24.4873 * CHOOSE(CONTROL!$C$32, $C$9, 100%, $E$9)</f>
        <v>24.487300000000001</v>
      </c>
      <c r="L724" s="81">
        <f>11.9381 * CHOOSE(CONTROL!$C$32, $C$9, 100%, $E$9)</f>
        <v>11.9381</v>
      </c>
      <c r="M724" s="81">
        <f>11.9418 * CHOOSE(CONTROL!$C$32, $C$9, 100%, $E$9)</f>
        <v>11.941800000000001</v>
      </c>
      <c r="N724" s="81">
        <f>11.9381 * CHOOSE(CONTROL!$C$32, $C$9, 100%, $E$9)</f>
        <v>11.9381</v>
      </c>
      <c r="O724" s="81">
        <f>11.9418 * CHOOSE(CONTROL!$C$32, $C$9, 100%, $E$9)</f>
        <v>11.941800000000001</v>
      </c>
    </row>
    <row r="725" spans="1:15" ht="15" x14ac:dyDescent="0.2">
      <c r="A725" s="16">
        <v>63280</v>
      </c>
      <c r="B725" s="80">
        <f>10.6912 * CHOOSE(CONTROL!$C$32, $C$9, 100%, $E$9)</f>
        <v>10.6912</v>
      </c>
      <c r="C725" s="80">
        <f>10.6912 * CHOOSE(CONTROL!$C$32, $C$9, 100%, $E$9)</f>
        <v>10.6912</v>
      </c>
      <c r="D725" s="80">
        <f>10.6923 * CHOOSE(CONTROL!$C$32, $C$9, 100%, $E$9)</f>
        <v>10.692299999999999</v>
      </c>
      <c r="E725" s="81">
        <f>12.1965 * CHOOSE(CONTROL!$C$32, $C$9, 100%, $E$9)</f>
        <v>12.1965</v>
      </c>
      <c r="F725" s="81">
        <f>12.1965 * CHOOSE(CONTROL!$C$32, $C$9, 100%, $E$9)</f>
        <v>12.1965</v>
      </c>
      <c r="G725" s="81">
        <f>12.2001 * CHOOSE(CONTROL!$C$32, $C$9, 100%, $E$9)</f>
        <v>12.200100000000001</v>
      </c>
      <c r="H725" s="81">
        <f>24.5347 * CHOOSE(CONTROL!$C$32, $C$9, 100%, $E$9)</f>
        <v>24.534700000000001</v>
      </c>
      <c r="I725" s="81">
        <f>24.5383 * CHOOSE(CONTROL!$C$32, $C$9, 100%, $E$9)</f>
        <v>24.5383</v>
      </c>
      <c r="J725" s="81">
        <f>24.5347 * CHOOSE(CONTROL!$C$32, $C$9, 100%, $E$9)</f>
        <v>24.534700000000001</v>
      </c>
      <c r="K725" s="81">
        <f>24.5383 * CHOOSE(CONTROL!$C$32, $C$9, 100%, $E$9)</f>
        <v>24.5383</v>
      </c>
      <c r="L725" s="81">
        <f>12.1965 * CHOOSE(CONTROL!$C$32, $C$9, 100%, $E$9)</f>
        <v>12.1965</v>
      </c>
      <c r="M725" s="81">
        <f>12.2001 * CHOOSE(CONTROL!$C$32, $C$9, 100%, $E$9)</f>
        <v>12.200100000000001</v>
      </c>
      <c r="N725" s="81">
        <f>12.1965 * CHOOSE(CONTROL!$C$32, $C$9, 100%, $E$9)</f>
        <v>12.1965</v>
      </c>
      <c r="O725" s="81">
        <f>12.2001 * CHOOSE(CONTROL!$C$32, $C$9, 100%, $E$9)</f>
        <v>12.200100000000001</v>
      </c>
    </row>
    <row r="726" spans="1:15" ht="15" x14ac:dyDescent="0.2">
      <c r="A726" s="16">
        <v>63310</v>
      </c>
      <c r="B726" s="80">
        <f>10.6912 * CHOOSE(CONTROL!$C$32, $C$9, 100%, $E$9)</f>
        <v>10.6912</v>
      </c>
      <c r="C726" s="80">
        <f>10.6912 * CHOOSE(CONTROL!$C$32, $C$9, 100%, $E$9)</f>
        <v>10.6912</v>
      </c>
      <c r="D726" s="80">
        <f>10.6928 * CHOOSE(CONTROL!$C$32, $C$9, 100%, $E$9)</f>
        <v>10.6928</v>
      </c>
      <c r="E726" s="81">
        <f>12.295 * CHOOSE(CONTROL!$C$32, $C$9, 100%, $E$9)</f>
        <v>12.295</v>
      </c>
      <c r="F726" s="81">
        <f>12.295 * CHOOSE(CONTROL!$C$32, $C$9, 100%, $E$9)</f>
        <v>12.295</v>
      </c>
      <c r="G726" s="81">
        <f>12.3003 * CHOOSE(CONTROL!$C$32, $C$9, 100%, $E$9)</f>
        <v>12.3003</v>
      </c>
      <c r="H726" s="81">
        <f>24.5858 * CHOOSE(CONTROL!$C$32, $C$9, 100%, $E$9)</f>
        <v>24.585799999999999</v>
      </c>
      <c r="I726" s="81">
        <f>24.5911 * CHOOSE(CONTROL!$C$32, $C$9, 100%, $E$9)</f>
        <v>24.591100000000001</v>
      </c>
      <c r="J726" s="81">
        <f>24.5858 * CHOOSE(CONTROL!$C$32, $C$9, 100%, $E$9)</f>
        <v>24.585799999999999</v>
      </c>
      <c r="K726" s="81">
        <f>24.5911 * CHOOSE(CONTROL!$C$32, $C$9, 100%, $E$9)</f>
        <v>24.591100000000001</v>
      </c>
      <c r="L726" s="81">
        <f>12.295 * CHOOSE(CONTROL!$C$32, $C$9, 100%, $E$9)</f>
        <v>12.295</v>
      </c>
      <c r="M726" s="81">
        <f>12.3003 * CHOOSE(CONTROL!$C$32, $C$9, 100%, $E$9)</f>
        <v>12.3003</v>
      </c>
      <c r="N726" s="81">
        <f>12.295 * CHOOSE(CONTROL!$C$32, $C$9, 100%, $E$9)</f>
        <v>12.295</v>
      </c>
      <c r="O726" s="81">
        <f>12.3003 * CHOOSE(CONTROL!$C$32, $C$9, 100%, $E$9)</f>
        <v>12.3003</v>
      </c>
    </row>
    <row r="727" spans="1:15" ht="15" x14ac:dyDescent="0.2">
      <c r="A727" s="16">
        <v>63341</v>
      </c>
      <c r="B727" s="80">
        <f>10.6973 * CHOOSE(CONTROL!$C$32, $C$9, 100%, $E$9)</f>
        <v>10.6973</v>
      </c>
      <c r="C727" s="80">
        <f>10.6973 * CHOOSE(CONTROL!$C$32, $C$9, 100%, $E$9)</f>
        <v>10.6973</v>
      </c>
      <c r="D727" s="80">
        <f>10.6989 * CHOOSE(CONTROL!$C$32, $C$9, 100%, $E$9)</f>
        <v>10.6989</v>
      </c>
      <c r="E727" s="81">
        <f>12.2007 * CHOOSE(CONTROL!$C$32, $C$9, 100%, $E$9)</f>
        <v>12.200699999999999</v>
      </c>
      <c r="F727" s="81">
        <f>12.2007 * CHOOSE(CONTROL!$C$32, $C$9, 100%, $E$9)</f>
        <v>12.200699999999999</v>
      </c>
      <c r="G727" s="81">
        <f>12.206 * CHOOSE(CONTROL!$C$32, $C$9, 100%, $E$9)</f>
        <v>12.206</v>
      </c>
      <c r="H727" s="81">
        <f>24.637 * CHOOSE(CONTROL!$C$32, $C$9, 100%, $E$9)</f>
        <v>24.637</v>
      </c>
      <c r="I727" s="81">
        <f>24.6423 * CHOOSE(CONTROL!$C$32, $C$9, 100%, $E$9)</f>
        <v>24.642299999999999</v>
      </c>
      <c r="J727" s="81">
        <f>24.637 * CHOOSE(CONTROL!$C$32, $C$9, 100%, $E$9)</f>
        <v>24.637</v>
      </c>
      <c r="K727" s="81">
        <f>24.6423 * CHOOSE(CONTROL!$C$32, $C$9, 100%, $E$9)</f>
        <v>24.642299999999999</v>
      </c>
      <c r="L727" s="81">
        <f>12.2007 * CHOOSE(CONTROL!$C$32, $C$9, 100%, $E$9)</f>
        <v>12.200699999999999</v>
      </c>
      <c r="M727" s="81">
        <f>12.206 * CHOOSE(CONTROL!$C$32, $C$9, 100%, $E$9)</f>
        <v>12.206</v>
      </c>
      <c r="N727" s="81">
        <f>12.2007 * CHOOSE(CONTROL!$C$32, $C$9, 100%, $E$9)</f>
        <v>12.200699999999999</v>
      </c>
      <c r="O727" s="81">
        <f>12.206 * CHOOSE(CONTROL!$C$32, $C$9, 100%, $E$9)</f>
        <v>12.206</v>
      </c>
    </row>
    <row r="728" spans="1:15" ht="15" x14ac:dyDescent="0.2">
      <c r="A728" s="16">
        <v>63371</v>
      </c>
      <c r="B728" s="80">
        <f>10.8293 * CHOOSE(CONTROL!$C$32, $C$9, 100%, $E$9)</f>
        <v>10.8293</v>
      </c>
      <c r="C728" s="80">
        <f>10.8293 * CHOOSE(CONTROL!$C$32, $C$9, 100%, $E$9)</f>
        <v>10.8293</v>
      </c>
      <c r="D728" s="80">
        <f>10.8309 * CHOOSE(CONTROL!$C$32, $C$9, 100%, $E$9)</f>
        <v>10.8309</v>
      </c>
      <c r="E728" s="81">
        <f>12.3722 * CHOOSE(CONTROL!$C$32, $C$9, 100%, $E$9)</f>
        <v>12.372199999999999</v>
      </c>
      <c r="F728" s="81">
        <f>12.3722 * CHOOSE(CONTROL!$C$32, $C$9, 100%, $E$9)</f>
        <v>12.372199999999999</v>
      </c>
      <c r="G728" s="81">
        <f>12.3775 * CHOOSE(CONTROL!$C$32, $C$9, 100%, $E$9)</f>
        <v>12.3775</v>
      </c>
      <c r="H728" s="81">
        <f>24.6883 * CHOOSE(CONTROL!$C$32, $C$9, 100%, $E$9)</f>
        <v>24.688300000000002</v>
      </c>
      <c r="I728" s="81">
        <f>24.6936 * CHOOSE(CONTROL!$C$32, $C$9, 100%, $E$9)</f>
        <v>24.6936</v>
      </c>
      <c r="J728" s="81">
        <f>24.6883 * CHOOSE(CONTROL!$C$32, $C$9, 100%, $E$9)</f>
        <v>24.688300000000002</v>
      </c>
      <c r="K728" s="81">
        <f>24.6936 * CHOOSE(CONTROL!$C$32, $C$9, 100%, $E$9)</f>
        <v>24.6936</v>
      </c>
      <c r="L728" s="81">
        <f>12.3722 * CHOOSE(CONTROL!$C$32, $C$9, 100%, $E$9)</f>
        <v>12.372199999999999</v>
      </c>
      <c r="M728" s="81">
        <f>12.3775 * CHOOSE(CONTROL!$C$32, $C$9, 100%, $E$9)</f>
        <v>12.3775</v>
      </c>
      <c r="N728" s="81">
        <f>12.3722 * CHOOSE(CONTROL!$C$32, $C$9, 100%, $E$9)</f>
        <v>12.372199999999999</v>
      </c>
      <c r="O728" s="81">
        <f>12.3775 * CHOOSE(CONTROL!$C$32, $C$9, 100%, $E$9)</f>
        <v>12.3775</v>
      </c>
    </row>
    <row r="729" spans="1:15" ht="15" x14ac:dyDescent="0.2">
      <c r="A729" s="16">
        <v>63402</v>
      </c>
      <c r="B729" s="80">
        <f>10.836 * CHOOSE(CONTROL!$C$32, $C$9, 100%, $E$9)</f>
        <v>10.836</v>
      </c>
      <c r="C729" s="80">
        <f>10.836 * CHOOSE(CONTROL!$C$32, $C$9, 100%, $E$9)</f>
        <v>10.836</v>
      </c>
      <c r="D729" s="80">
        <f>10.8376 * CHOOSE(CONTROL!$C$32, $C$9, 100%, $E$9)</f>
        <v>10.8376</v>
      </c>
      <c r="E729" s="81">
        <f>12.0815 * CHOOSE(CONTROL!$C$32, $C$9, 100%, $E$9)</f>
        <v>12.0815</v>
      </c>
      <c r="F729" s="81">
        <f>12.0815 * CHOOSE(CONTROL!$C$32, $C$9, 100%, $E$9)</f>
        <v>12.0815</v>
      </c>
      <c r="G729" s="81">
        <f>12.0868 * CHOOSE(CONTROL!$C$32, $C$9, 100%, $E$9)</f>
        <v>12.0868</v>
      </c>
      <c r="H729" s="81">
        <f>24.7398 * CHOOSE(CONTROL!$C$32, $C$9, 100%, $E$9)</f>
        <v>24.739799999999999</v>
      </c>
      <c r="I729" s="81">
        <f>24.745 * CHOOSE(CONTROL!$C$32, $C$9, 100%, $E$9)</f>
        <v>24.745000000000001</v>
      </c>
      <c r="J729" s="81">
        <f>24.7398 * CHOOSE(CONTROL!$C$32, $C$9, 100%, $E$9)</f>
        <v>24.739799999999999</v>
      </c>
      <c r="K729" s="81">
        <f>24.745 * CHOOSE(CONTROL!$C$32, $C$9, 100%, $E$9)</f>
        <v>24.745000000000001</v>
      </c>
      <c r="L729" s="81">
        <f>12.0815 * CHOOSE(CONTROL!$C$32, $C$9, 100%, $E$9)</f>
        <v>12.0815</v>
      </c>
      <c r="M729" s="81">
        <f>12.0868 * CHOOSE(CONTROL!$C$32, $C$9, 100%, $E$9)</f>
        <v>12.0868</v>
      </c>
      <c r="N729" s="81">
        <f>12.0815 * CHOOSE(CONTROL!$C$32, $C$9, 100%, $E$9)</f>
        <v>12.0815</v>
      </c>
      <c r="O729" s="81">
        <f>12.0868 * CHOOSE(CONTROL!$C$32, $C$9, 100%, $E$9)</f>
        <v>12.0868</v>
      </c>
    </row>
    <row r="730" spans="1:15" ht="15" x14ac:dyDescent="0.2">
      <c r="A730" s="16">
        <v>63433</v>
      </c>
      <c r="B730" s="80">
        <f>10.833 * CHOOSE(CONTROL!$C$32, $C$9, 100%, $E$9)</f>
        <v>10.833</v>
      </c>
      <c r="C730" s="80">
        <f>10.833 * CHOOSE(CONTROL!$C$32, $C$9, 100%, $E$9)</f>
        <v>10.833</v>
      </c>
      <c r="D730" s="80">
        <f>10.8345 * CHOOSE(CONTROL!$C$32, $C$9, 100%, $E$9)</f>
        <v>10.8345</v>
      </c>
      <c r="E730" s="81">
        <f>12.0465 * CHOOSE(CONTROL!$C$32, $C$9, 100%, $E$9)</f>
        <v>12.0465</v>
      </c>
      <c r="F730" s="81">
        <f>12.0465 * CHOOSE(CONTROL!$C$32, $C$9, 100%, $E$9)</f>
        <v>12.0465</v>
      </c>
      <c r="G730" s="81">
        <f>12.0518 * CHOOSE(CONTROL!$C$32, $C$9, 100%, $E$9)</f>
        <v>12.0518</v>
      </c>
      <c r="H730" s="81">
        <f>24.7913 * CHOOSE(CONTROL!$C$32, $C$9, 100%, $E$9)</f>
        <v>24.7913</v>
      </c>
      <c r="I730" s="81">
        <f>24.7966 * CHOOSE(CONTROL!$C$32, $C$9, 100%, $E$9)</f>
        <v>24.796600000000002</v>
      </c>
      <c r="J730" s="81">
        <f>24.7913 * CHOOSE(CONTROL!$C$32, $C$9, 100%, $E$9)</f>
        <v>24.7913</v>
      </c>
      <c r="K730" s="81">
        <f>24.7966 * CHOOSE(CONTROL!$C$32, $C$9, 100%, $E$9)</f>
        <v>24.796600000000002</v>
      </c>
      <c r="L730" s="81">
        <f>12.0465 * CHOOSE(CONTROL!$C$32, $C$9, 100%, $E$9)</f>
        <v>12.0465</v>
      </c>
      <c r="M730" s="81">
        <f>12.0518 * CHOOSE(CONTROL!$C$32, $C$9, 100%, $E$9)</f>
        <v>12.0518</v>
      </c>
      <c r="N730" s="81">
        <f>12.0465 * CHOOSE(CONTROL!$C$32, $C$9, 100%, $E$9)</f>
        <v>12.0465</v>
      </c>
      <c r="O730" s="81">
        <f>12.0518 * CHOOSE(CONTROL!$C$32, $C$9, 100%, $E$9)</f>
        <v>12.0518</v>
      </c>
    </row>
    <row r="731" spans="1:15" ht="15" x14ac:dyDescent="0.2">
      <c r="A731" s="16">
        <v>63463</v>
      </c>
      <c r="B731" s="80">
        <f>10.8535 * CHOOSE(CONTROL!$C$32, $C$9, 100%, $E$9)</f>
        <v>10.8535</v>
      </c>
      <c r="C731" s="80">
        <f>10.8535 * CHOOSE(CONTROL!$C$32, $C$9, 100%, $E$9)</f>
        <v>10.8535</v>
      </c>
      <c r="D731" s="80">
        <f>10.8546 * CHOOSE(CONTROL!$C$32, $C$9, 100%, $E$9)</f>
        <v>10.8546</v>
      </c>
      <c r="E731" s="81">
        <f>12.1644 * CHOOSE(CONTROL!$C$32, $C$9, 100%, $E$9)</f>
        <v>12.164400000000001</v>
      </c>
      <c r="F731" s="81">
        <f>12.1644 * CHOOSE(CONTROL!$C$32, $C$9, 100%, $E$9)</f>
        <v>12.164400000000001</v>
      </c>
      <c r="G731" s="81">
        <f>12.168 * CHOOSE(CONTROL!$C$32, $C$9, 100%, $E$9)</f>
        <v>12.167999999999999</v>
      </c>
      <c r="H731" s="81">
        <f>24.8429 * CHOOSE(CONTROL!$C$32, $C$9, 100%, $E$9)</f>
        <v>24.8429</v>
      </c>
      <c r="I731" s="81">
        <f>24.8466 * CHOOSE(CONTROL!$C$32, $C$9, 100%, $E$9)</f>
        <v>24.846599999999999</v>
      </c>
      <c r="J731" s="81">
        <f>24.8429 * CHOOSE(CONTROL!$C$32, $C$9, 100%, $E$9)</f>
        <v>24.8429</v>
      </c>
      <c r="K731" s="81">
        <f>24.8466 * CHOOSE(CONTROL!$C$32, $C$9, 100%, $E$9)</f>
        <v>24.846599999999999</v>
      </c>
      <c r="L731" s="81">
        <f>12.1644 * CHOOSE(CONTROL!$C$32, $C$9, 100%, $E$9)</f>
        <v>12.164400000000001</v>
      </c>
      <c r="M731" s="81">
        <f>12.168 * CHOOSE(CONTROL!$C$32, $C$9, 100%, $E$9)</f>
        <v>12.167999999999999</v>
      </c>
      <c r="N731" s="81">
        <f>12.1644 * CHOOSE(CONTROL!$C$32, $C$9, 100%, $E$9)</f>
        <v>12.164400000000001</v>
      </c>
      <c r="O731" s="81">
        <f>12.168 * CHOOSE(CONTROL!$C$32, $C$9, 100%, $E$9)</f>
        <v>12.167999999999999</v>
      </c>
    </row>
    <row r="732" spans="1:15" ht="15" x14ac:dyDescent="0.2">
      <c r="A732" s="16">
        <v>63494</v>
      </c>
      <c r="B732" s="80">
        <f>10.8566 * CHOOSE(CONTROL!$C$32, $C$9, 100%, $E$9)</f>
        <v>10.8566</v>
      </c>
      <c r="C732" s="80">
        <f>10.8566 * CHOOSE(CONTROL!$C$32, $C$9, 100%, $E$9)</f>
        <v>10.8566</v>
      </c>
      <c r="D732" s="80">
        <f>10.8576 * CHOOSE(CONTROL!$C$32, $C$9, 100%, $E$9)</f>
        <v>10.8576</v>
      </c>
      <c r="E732" s="81">
        <f>12.2322 * CHOOSE(CONTROL!$C$32, $C$9, 100%, $E$9)</f>
        <v>12.232200000000001</v>
      </c>
      <c r="F732" s="81">
        <f>12.2322 * CHOOSE(CONTROL!$C$32, $C$9, 100%, $E$9)</f>
        <v>12.232200000000001</v>
      </c>
      <c r="G732" s="81">
        <f>12.2358 * CHOOSE(CONTROL!$C$32, $C$9, 100%, $E$9)</f>
        <v>12.235799999999999</v>
      </c>
      <c r="H732" s="81">
        <f>24.8947 * CHOOSE(CONTROL!$C$32, $C$9, 100%, $E$9)</f>
        <v>24.8947</v>
      </c>
      <c r="I732" s="81">
        <f>24.8983 * CHOOSE(CONTROL!$C$32, $C$9, 100%, $E$9)</f>
        <v>24.898299999999999</v>
      </c>
      <c r="J732" s="81">
        <f>24.8947 * CHOOSE(CONTROL!$C$32, $C$9, 100%, $E$9)</f>
        <v>24.8947</v>
      </c>
      <c r="K732" s="81">
        <f>24.8983 * CHOOSE(CONTROL!$C$32, $C$9, 100%, $E$9)</f>
        <v>24.898299999999999</v>
      </c>
      <c r="L732" s="81">
        <f>12.2322 * CHOOSE(CONTROL!$C$32, $C$9, 100%, $E$9)</f>
        <v>12.232200000000001</v>
      </c>
      <c r="M732" s="81">
        <f>12.2358 * CHOOSE(CONTROL!$C$32, $C$9, 100%, $E$9)</f>
        <v>12.235799999999999</v>
      </c>
      <c r="N732" s="81">
        <f>12.2322 * CHOOSE(CONTROL!$C$32, $C$9, 100%, $E$9)</f>
        <v>12.232200000000001</v>
      </c>
      <c r="O732" s="81">
        <f>12.2358 * CHOOSE(CONTROL!$C$32, $C$9, 100%, $E$9)</f>
        <v>12.235799999999999</v>
      </c>
    </row>
    <row r="733" spans="1:15" ht="15" x14ac:dyDescent="0.2">
      <c r="A733" s="16">
        <v>63524</v>
      </c>
      <c r="B733" s="80">
        <f>10.8566 * CHOOSE(CONTROL!$C$32, $C$9, 100%, $E$9)</f>
        <v>10.8566</v>
      </c>
      <c r="C733" s="80">
        <f>10.8566 * CHOOSE(CONTROL!$C$32, $C$9, 100%, $E$9)</f>
        <v>10.8566</v>
      </c>
      <c r="D733" s="80">
        <f>10.8576 * CHOOSE(CONTROL!$C$32, $C$9, 100%, $E$9)</f>
        <v>10.8576</v>
      </c>
      <c r="E733" s="81">
        <f>12.068 * CHOOSE(CONTROL!$C$32, $C$9, 100%, $E$9)</f>
        <v>12.068</v>
      </c>
      <c r="F733" s="81">
        <f>12.068 * CHOOSE(CONTROL!$C$32, $C$9, 100%, $E$9)</f>
        <v>12.068</v>
      </c>
      <c r="G733" s="81">
        <f>12.0717 * CHOOSE(CONTROL!$C$32, $C$9, 100%, $E$9)</f>
        <v>12.0717</v>
      </c>
      <c r="H733" s="81">
        <f>24.9466 * CHOOSE(CONTROL!$C$32, $C$9, 100%, $E$9)</f>
        <v>24.9466</v>
      </c>
      <c r="I733" s="81">
        <f>24.9502 * CHOOSE(CONTROL!$C$32, $C$9, 100%, $E$9)</f>
        <v>24.950199999999999</v>
      </c>
      <c r="J733" s="81">
        <f>24.9466 * CHOOSE(CONTROL!$C$32, $C$9, 100%, $E$9)</f>
        <v>24.9466</v>
      </c>
      <c r="K733" s="81">
        <f>24.9502 * CHOOSE(CONTROL!$C$32, $C$9, 100%, $E$9)</f>
        <v>24.950199999999999</v>
      </c>
      <c r="L733" s="81">
        <f>12.068 * CHOOSE(CONTROL!$C$32, $C$9, 100%, $E$9)</f>
        <v>12.068</v>
      </c>
      <c r="M733" s="81">
        <f>12.0717 * CHOOSE(CONTROL!$C$32, $C$9, 100%, $E$9)</f>
        <v>12.0717</v>
      </c>
      <c r="N733" s="81">
        <f>12.068 * CHOOSE(CONTROL!$C$32, $C$9, 100%, $E$9)</f>
        <v>12.068</v>
      </c>
      <c r="O733" s="81">
        <f>12.0717 * CHOOSE(CONTROL!$C$32, $C$9, 100%, $E$9)</f>
        <v>12.0717</v>
      </c>
    </row>
    <row r="734" spans="1:15" ht="15" x14ac:dyDescent="0.2">
      <c r="A734" s="16">
        <v>63555</v>
      </c>
      <c r="B734" s="80">
        <f>10.8805 * CHOOSE(CONTROL!$C$32, $C$9, 100%, $E$9)</f>
        <v>10.8805</v>
      </c>
      <c r="C734" s="80">
        <f>10.8805 * CHOOSE(CONTROL!$C$32, $C$9, 100%, $E$9)</f>
        <v>10.8805</v>
      </c>
      <c r="D734" s="80">
        <f>10.8816 * CHOOSE(CONTROL!$C$32, $C$9, 100%, $E$9)</f>
        <v>10.881600000000001</v>
      </c>
      <c r="E734" s="81">
        <f>12.2205 * CHOOSE(CONTROL!$C$32, $C$9, 100%, $E$9)</f>
        <v>12.220499999999999</v>
      </c>
      <c r="F734" s="81">
        <f>12.2205 * CHOOSE(CONTROL!$C$32, $C$9, 100%, $E$9)</f>
        <v>12.220499999999999</v>
      </c>
      <c r="G734" s="81">
        <f>12.2242 * CHOOSE(CONTROL!$C$32, $C$9, 100%, $E$9)</f>
        <v>12.2242</v>
      </c>
      <c r="H734" s="81">
        <f>24.846 * CHOOSE(CONTROL!$C$32, $C$9, 100%, $E$9)</f>
        <v>24.846</v>
      </c>
      <c r="I734" s="81">
        <f>24.8496 * CHOOSE(CONTROL!$C$32, $C$9, 100%, $E$9)</f>
        <v>24.849599999999999</v>
      </c>
      <c r="J734" s="81">
        <f>24.846 * CHOOSE(CONTROL!$C$32, $C$9, 100%, $E$9)</f>
        <v>24.846</v>
      </c>
      <c r="K734" s="81">
        <f>24.8496 * CHOOSE(CONTROL!$C$32, $C$9, 100%, $E$9)</f>
        <v>24.849599999999999</v>
      </c>
      <c r="L734" s="81">
        <f>12.2205 * CHOOSE(CONTROL!$C$32, $C$9, 100%, $E$9)</f>
        <v>12.220499999999999</v>
      </c>
      <c r="M734" s="81">
        <f>12.2242 * CHOOSE(CONTROL!$C$32, $C$9, 100%, $E$9)</f>
        <v>12.2242</v>
      </c>
      <c r="N734" s="81">
        <f>12.2205 * CHOOSE(CONTROL!$C$32, $C$9, 100%, $E$9)</f>
        <v>12.220499999999999</v>
      </c>
      <c r="O734" s="81">
        <f>12.2242 * CHOOSE(CONTROL!$C$32, $C$9, 100%, $E$9)</f>
        <v>12.2242</v>
      </c>
    </row>
    <row r="735" spans="1:15" ht="15" x14ac:dyDescent="0.2">
      <c r="A735" s="16">
        <v>63586</v>
      </c>
      <c r="B735" s="80">
        <f>10.8775 * CHOOSE(CONTROL!$C$32, $C$9, 100%, $E$9)</f>
        <v>10.8775</v>
      </c>
      <c r="C735" s="80">
        <f>10.8775 * CHOOSE(CONTROL!$C$32, $C$9, 100%, $E$9)</f>
        <v>10.8775</v>
      </c>
      <c r="D735" s="80">
        <f>10.8785 * CHOOSE(CONTROL!$C$32, $C$9, 100%, $E$9)</f>
        <v>10.878500000000001</v>
      </c>
      <c r="E735" s="81">
        <f>11.9012 * CHOOSE(CONTROL!$C$32, $C$9, 100%, $E$9)</f>
        <v>11.901199999999999</v>
      </c>
      <c r="F735" s="81">
        <f>11.9012 * CHOOSE(CONTROL!$C$32, $C$9, 100%, $E$9)</f>
        <v>11.901199999999999</v>
      </c>
      <c r="G735" s="81">
        <f>11.9048 * CHOOSE(CONTROL!$C$32, $C$9, 100%, $E$9)</f>
        <v>11.9048</v>
      </c>
      <c r="H735" s="81">
        <f>24.8977 * CHOOSE(CONTROL!$C$32, $C$9, 100%, $E$9)</f>
        <v>24.8977</v>
      </c>
      <c r="I735" s="81">
        <f>24.9014 * CHOOSE(CONTROL!$C$32, $C$9, 100%, $E$9)</f>
        <v>24.901399999999999</v>
      </c>
      <c r="J735" s="81">
        <f>24.8977 * CHOOSE(CONTROL!$C$32, $C$9, 100%, $E$9)</f>
        <v>24.8977</v>
      </c>
      <c r="K735" s="81">
        <f>24.9014 * CHOOSE(CONTROL!$C$32, $C$9, 100%, $E$9)</f>
        <v>24.901399999999999</v>
      </c>
      <c r="L735" s="81">
        <f>11.9012 * CHOOSE(CONTROL!$C$32, $C$9, 100%, $E$9)</f>
        <v>11.901199999999999</v>
      </c>
      <c r="M735" s="81">
        <f>11.9048 * CHOOSE(CONTROL!$C$32, $C$9, 100%, $E$9)</f>
        <v>11.9048</v>
      </c>
      <c r="N735" s="81">
        <f>11.9012 * CHOOSE(CONTROL!$C$32, $C$9, 100%, $E$9)</f>
        <v>11.901199999999999</v>
      </c>
      <c r="O735" s="81">
        <f>11.9048 * CHOOSE(CONTROL!$C$32, $C$9, 100%, $E$9)</f>
        <v>11.9048</v>
      </c>
    </row>
    <row r="736" spans="1:15" ht="15" x14ac:dyDescent="0.2">
      <c r="A736" s="16">
        <v>63614</v>
      </c>
      <c r="B736" s="80">
        <f>10.8744 * CHOOSE(CONTROL!$C$32, $C$9, 100%, $E$9)</f>
        <v>10.8744</v>
      </c>
      <c r="C736" s="80">
        <f>10.8744 * CHOOSE(CONTROL!$C$32, $C$9, 100%, $E$9)</f>
        <v>10.8744</v>
      </c>
      <c r="D736" s="80">
        <f>10.8755 * CHOOSE(CONTROL!$C$32, $C$9, 100%, $E$9)</f>
        <v>10.875500000000001</v>
      </c>
      <c r="E736" s="81">
        <f>12.1491 * CHOOSE(CONTROL!$C$32, $C$9, 100%, $E$9)</f>
        <v>12.149100000000001</v>
      </c>
      <c r="F736" s="81">
        <f>12.1491 * CHOOSE(CONTROL!$C$32, $C$9, 100%, $E$9)</f>
        <v>12.149100000000001</v>
      </c>
      <c r="G736" s="81">
        <f>12.1528 * CHOOSE(CONTROL!$C$32, $C$9, 100%, $E$9)</f>
        <v>12.152799999999999</v>
      </c>
      <c r="H736" s="81">
        <f>24.9496 * CHOOSE(CONTROL!$C$32, $C$9, 100%, $E$9)</f>
        <v>24.9496</v>
      </c>
      <c r="I736" s="81">
        <f>24.9532 * CHOOSE(CONTROL!$C$32, $C$9, 100%, $E$9)</f>
        <v>24.953199999999999</v>
      </c>
      <c r="J736" s="81">
        <f>24.9496 * CHOOSE(CONTROL!$C$32, $C$9, 100%, $E$9)</f>
        <v>24.9496</v>
      </c>
      <c r="K736" s="81">
        <f>24.9532 * CHOOSE(CONTROL!$C$32, $C$9, 100%, $E$9)</f>
        <v>24.953199999999999</v>
      </c>
      <c r="L736" s="81">
        <f>12.1491 * CHOOSE(CONTROL!$C$32, $C$9, 100%, $E$9)</f>
        <v>12.149100000000001</v>
      </c>
      <c r="M736" s="81">
        <f>12.1528 * CHOOSE(CONTROL!$C$32, $C$9, 100%, $E$9)</f>
        <v>12.152799999999999</v>
      </c>
      <c r="N736" s="81">
        <f>12.1491 * CHOOSE(CONTROL!$C$32, $C$9, 100%, $E$9)</f>
        <v>12.149100000000001</v>
      </c>
      <c r="O736" s="81">
        <f>12.1528 * CHOOSE(CONTROL!$C$32, $C$9, 100%, $E$9)</f>
        <v>12.152799999999999</v>
      </c>
    </row>
    <row r="737" spans="1:15" ht="15" x14ac:dyDescent="0.2">
      <c r="A737" s="16">
        <v>63645</v>
      </c>
      <c r="B737" s="80">
        <f>10.8787 * CHOOSE(CONTROL!$C$32, $C$9, 100%, $E$9)</f>
        <v>10.8787</v>
      </c>
      <c r="C737" s="80">
        <f>10.8787 * CHOOSE(CONTROL!$C$32, $C$9, 100%, $E$9)</f>
        <v>10.8787</v>
      </c>
      <c r="D737" s="80">
        <f>10.8798 * CHOOSE(CONTROL!$C$32, $C$9, 100%, $E$9)</f>
        <v>10.879799999999999</v>
      </c>
      <c r="E737" s="81">
        <f>12.4135 * CHOOSE(CONTROL!$C$32, $C$9, 100%, $E$9)</f>
        <v>12.413500000000001</v>
      </c>
      <c r="F737" s="81">
        <f>12.4135 * CHOOSE(CONTROL!$C$32, $C$9, 100%, $E$9)</f>
        <v>12.413500000000001</v>
      </c>
      <c r="G737" s="81">
        <f>12.4171 * CHOOSE(CONTROL!$C$32, $C$9, 100%, $E$9)</f>
        <v>12.4171</v>
      </c>
      <c r="H737" s="81">
        <f>25.0016 * CHOOSE(CONTROL!$C$32, $C$9, 100%, $E$9)</f>
        <v>25.0016</v>
      </c>
      <c r="I737" s="81">
        <f>25.0052 * CHOOSE(CONTROL!$C$32, $C$9, 100%, $E$9)</f>
        <v>25.005199999999999</v>
      </c>
      <c r="J737" s="81">
        <f>25.0016 * CHOOSE(CONTROL!$C$32, $C$9, 100%, $E$9)</f>
        <v>25.0016</v>
      </c>
      <c r="K737" s="81">
        <f>25.0052 * CHOOSE(CONTROL!$C$32, $C$9, 100%, $E$9)</f>
        <v>25.005199999999999</v>
      </c>
      <c r="L737" s="81">
        <f>12.4135 * CHOOSE(CONTROL!$C$32, $C$9, 100%, $E$9)</f>
        <v>12.413500000000001</v>
      </c>
      <c r="M737" s="81">
        <f>12.4171 * CHOOSE(CONTROL!$C$32, $C$9, 100%, $E$9)</f>
        <v>12.4171</v>
      </c>
      <c r="N737" s="81">
        <f>12.4135 * CHOOSE(CONTROL!$C$32, $C$9, 100%, $E$9)</f>
        <v>12.413500000000001</v>
      </c>
      <c r="O737" s="81">
        <f>12.4171 * CHOOSE(CONTROL!$C$32, $C$9, 100%, $E$9)</f>
        <v>12.4171</v>
      </c>
    </row>
    <row r="738" spans="1:15" ht="15" x14ac:dyDescent="0.2">
      <c r="A738" s="16">
        <v>63675</v>
      </c>
      <c r="B738" s="80">
        <f>10.8787 * CHOOSE(CONTROL!$C$32, $C$9, 100%, $E$9)</f>
        <v>10.8787</v>
      </c>
      <c r="C738" s="80">
        <f>10.8787 * CHOOSE(CONTROL!$C$32, $C$9, 100%, $E$9)</f>
        <v>10.8787</v>
      </c>
      <c r="D738" s="80">
        <f>10.8803 * CHOOSE(CONTROL!$C$32, $C$9, 100%, $E$9)</f>
        <v>10.8803</v>
      </c>
      <c r="E738" s="81">
        <f>12.5142 * CHOOSE(CONTROL!$C$32, $C$9, 100%, $E$9)</f>
        <v>12.514200000000001</v>
      </c>
      <c r="F738" s="81">
        <f>12.5142 * CHOOSE(CONTROL!$C$32, $C$9, 100%, $E$9)</f>
        <v>12.514200000000001</v>
      </c>
      <c r="G738" s="81">
        <f>12.5195 * CHOOSE(CONTROL!$C$32, $C$9, 100%, $E$9)</f>
        <v>12.519500000000001</v>
      </c>
      <c r="H738" s="81">
        <f>25.0537 * CHOOSE(CONTROL!$C$32, $C$9, 100%, $E$9)</f>
        <v>25.053699999999999</v>
      </c>
      <c r="I738" s="81">
        <f>25.059 * CHOOSE(CONTROL!$C$32, $C$9, 100%, $E$9)</f>
        <v>25.059000000000001</v>
      </c>
      <c r="J738" s="81">
        <f>25.0537 * CHOOSE(CONTROL!$C$32, $C$9, 100%, $E$9)</f>
        <v>25.053699999999999</v>
      </c>
      <c r="K738" s="81">
        <f>25.059 * CHOOSE(CONTROL!$C$32, $C$9, 100%, $E$9)</f>
        <v>25.059000000000001</v>
      </c>
      <c r="L738" s="81">
        <f>12.5142 * CHOOSE(CONTROL!$C$32, $C$9, 100%, $E$9)</f>
        <v>12.514200000000001</v>
      </c>
      <c r="M738" s="81">
        <f>12.5195 * CHOOSE(CONTROL!$C$32, $C$9, 100%, $E$9)</f>
        <v>12.519500000000001</v>
      </c>
      <c r="N738" s="81">
        <f>12.5142 * CHOOSE(CONTROL!$C$32, $C$9, 100%, $E$9)</f>
        <v>12.514200000000001</v>
      </c>
      <c r="O738" s="81">
        <f>12.5195 * CHOOSE(CONTROL!$C$32, $C$9, 100%, $E$9)</f>
        <v>12.519500000000001</v>
      </c>
    </row>
    <row r="739" spans="1:15" ht="15" x14ac:dyDescent="0.2">
      <c r="A739" s="16">
        <v>63706</v>
      </c>
      <c r="B739" s="80">
        <f>10.8848 * CHOOSE(CONTROL!$C$32, $C$9, 100%, $E$9)</f>
        <v>10.8848</v>
      </c>
      <c r="C739" s="80">
        <f>10.8848 * CHOOSE(CONTROL!$C$32, $C$9, 100%, $E$9)</f>
        <v>10.8848</v>
      </c>
      <c r="D739" s="80">
        <f>10.8864 * CHOOSE(CONTROL!$C$32, $C$9, 100%, $E$9)</f>
        <v>10.8864</v>
      </c>
      <c r="E739" s="81">
        <f>12.4177 * CHOOSE(CONTROL!$C$32, $C$9, 100%, $E$9)</f>
        <v>12.4177</v>
      </c>
      <c r="F739" s="81">
        <f>12.4177 * CHOOSE(CONTROL!$C$32, $C$9, 100%, $E$9)</f>
        <v>12.4177</v>
      </c>
      <c r="G739" s="81">
        <f>12.423 * CHOOSE(CONTROL!$C$32, $C$9, 100%, $E$9)</f>
        <v>12.423</v>
      </c>
      <c r="H739" s="81">
        <f>25.1059 * CHOOSE(CONTROL!$C$32, $C$9, 100%, $E$9)</f>
        <v>25.105899999999998</v>
      </c>
      <c r="I739" s="81">
        <f>25.1112 * CHOOSE(CONTROL!$C$32, $C$9, 100%, $E$9)</f>
        <v>25.1112</v>
      </c>
      <c r="J739" s="81">
        <f>25.1059 * CHOOSE(CONTROL!$C$32, $C$9, 100%, $E$9)</f>
        <v>25.105899999999998</v>
      </c>
      <c r="K739" s="81">
        <f>25.1112 * CHOOSE(CONTROL!$C$32, $C$9, 100%, $E$9)</f>
        <v>25.1112</v>
      </c>
      <c r="L739" s="81">
        <f>12.4177 * CHOOSE(CONTROL!$C$32, $C$9, 100%, $E$9)</f>
        <v>12.4177</v>
      </c>
      <c r="M739" s="81">
        <f>12.423 * CHOOSE(CONTROL!$C$32, $C$9, 100%, $E$9)</f>
        <v>12.423</v>
      </c>
      <c r="N739" s="81">
        <f>12.4177 * CHOOSE(CONTROL!$C$32, $C$9, 100%, $E$9)</f>
        <v>12.4177</v>
      </c>
      <c r="O739" s="81">
        <f>12.423 * CHOOSE(CONTROL!$C$32, $C$9, 100%, $E$9)</f>
        <v>12.423</v>
      </c>
    </row>
    <row r="740" spans="1:15" ht="15" x14ac:dyDescent="0.2">
      <c r="A740" s="16">
        <v>63736</v>
      </c>
      <c r="B740" s="80">
        <f>11.0189 * CHOOSE(CONTROL!$C$32, $C$9, 100%, $E$9)</f>
        <v>11.0189</v>
      </c>
      <c r="C740" s="80">
        <f>11.0189 * CHOOSE(CONTROL!$C$32, $C$9, 100%, $E$9)</f>
        <v>11.0189</v>
      </c>
      <c r="D740" s="80">
        <f>11.0205 * CHOOSE(CONTROL!$C$32, $C$9, 100%, $E$9)</f>
        <v>11.0205</v>
      </c>
      <c r="E740" s="81">
        <f>12.5924 * CHOOSE(CONTROL!$C$32, $C$9, 100%, $E$9)</f>
        <v>12.5924</v>
      </c>
      <c r="F740" s="81">
        <f>12.5924 * CHOOSE(CONTROL!$C$32, $C$9, 100%, $E$9)</f>
        <v>12.5924</v>
      </c>
      <c r="G740" s="81">
        <f>12.5977 * CHOOSE(CONTROL!$C$32, $C$9, 100%, $E$9)</f>
        <v>12.5977</v>
      </c>
      <c r="H740" s="81">
        <f>25.1582 * CHOOSE(CONTROL!$C$32, $C$9, 100%, $E$9)</f>
        <v>25.158200000000001</v>
      </c>
      <c r="I740" s="81">
        <f>25.1635 * CHOOSE(CONTROL!$C$32, $C$9, 100%, $E$9)</f>
        <v>25.163499999999999</v>
      </c>
      <c r="J740" s="81">
        <f>25.1582 * CHOOSE(CONTROL!$C$32, $C$9, 100%, $E$9)</f>
        <v>25.158200000000001</v>
      </c>
      <c r="K740" s="81">
        <f>25.1635 * CHOOSE(CONTROL!$C$32, $C$9, 100%, $E$9)</f>
        <v>25.163499999999999</v>
      </c>
      <c r="L740" s="81">
        <f>12.5924 * CHOOSE(CONTROL!$C$32, $C$9, 100%, $E$9)</f>
        <v>12.5924</v>
      </c>
      <c r="M740" s="81">
        <f>12.5977 * CHOOSE(CONTROL!$C$32, $C$9, 100%, $E$9)</f>
        <v>12.5977</v>
      </c>
      <c r="N740" s="81">
        <f>12.5924 * CHOOSE(CONTROL!$C$32, $C$9, 100%, $E$9)</f>
        <v>12.5924</v>
      </c>
      <c r="O740" s="81">
        <f>12.5977 * CHOOSE(CONTROL!$C$32, $C$9, 100%, $E$9)</f>
        <v>12.5977</v>
      </c>
    </row>
    <row r="741" spans="1:15" ht="15" x14ac:dyDescent="0.2">
      <c r="A741" s="16">
        <v>63767</v>
      </c>
      <c r="B741" s="80">
        <f>11.0256 * CHOOSE(CONTROL!$C$32, $C$9, 100%, $E$9)</f>
        <v>11.025600000000001</v>
      </c>
      <c r="C741" s="80">
        <f>11.0256 * CHOOSE(CONTROL!$C$32, $C$9, 100%, $E$9)</f>
        <v>11.025600000000001</v>
      </c>
      <c r="D741" s="80">
        <f>11.0272 * CHOOSE(CONTROL!$C$32, $C$9, 100%, $E$9)</f>
        <v>11.027200000000001</v>
      </c>
      <c r="E741" s="81">
        <f>12.2949 * CHOOSE(CONTROL!$C$32, $C$9, 100%, $E$9)</f>
        <v>12.2949</v>
      </c>
      <c r="F741" s="81">
        <f>12.2949 * CHOOSE(CONTROL!$C$32, $C$9, 100%, $E$9)</f>
        <v>12.2949</v>
      </c>
      <c r="G741" s="81">
        <f>12.3002 * CHOOSE(CONTROL!$C$32, $C$9, 100%, $E$9)</f>
        <v>12.3002</v>
      </c>
      <c r="H741" s="81">
        <f>25.2106 * CHOOSE(CONTROL!$C$32, $C$9, 100%, $E$9)</f>
        <v>25.210599999999999</v>
      </c>
      <c r="I741" s="81">
        <f>25.2159 * CHOOSE(CONTROL!$C$32, $C$9, 100%, $E$9)</f>
        <v>25.215900000000001</v>
      </c>
      <c r="J741" s="81">
        <f>25.2106 * CHOOSE(CONTROL!$C$32, $C$9, 100%, $E$9)</f>
        <v>25.210599999999999</v>
      </c>
      <c r="K741" s="81">
        <f>25.2159 * CHOOSE(CONTROL!$C$32, $C$9, 100%, $E$9)</f>
        <v>25.215900000000001</v>
      </c>
      <c r="L741" s="81">
        <f>12.2949 * CHOOSE(CONTROL!$C$32, $C$9, 100%, $E$9)</f>
        <v>12.2949</v>
      </c>
      <c r="M741" s="81">
        <f>12.3002 * CHOOSE(CONTROL!$C$32, $C$9, 100%, $E$9)</f>
        <v>12.3002</v>
      </c>
      <c r="N741" s="81">
        <f>12.2949 * CHOOSE(CONTROL!$C$32, $C$9, 100%, $E$9)</f>
        <v>12.2949</v>
      </c>
      <c r="O741" s="81">
        <f>12.3002 * CHOOSE(CONTROL!$C$32, $C$9, 100%, $E$9)</f>
        <v>12.3002</v>
      </c>
    </row>
    <row r="742" spans="1:15" ht="15" x14ac:dyDescent="0.2">
      <c r="A742" s="16">
        <v>63798</v>
      </c>
      <c r="B742" s="80">
        <f>11.0226 * CHOOSE(CONTROL!$C$32, $C$9, 100%, $E$9)</f>
        <v>11.022600000000001</v>
      </c>
      <c r="C742" s="80">
        <f>11.0226 * CHOOSE(CONTROL!$C$32, $C$9, 100%, $E$9)</f>
        <v>11.022600000000001</v>
      </c>
      <c r="D742" s="80">
        <f>11.0241 * CHOOSE(CONTROL!$C$32, $C$9, 100%, $E$9)</f>
        <v>11.024100000000001</v>
      </c>
      <c r="E742" s="81">
        <f>12.2592 * CHOOSE(CONTROL!$C$32, $C$9, 100%, $E$9)</f>
        <v>12.2592</v>
      </c>
      <c r="F742" s="81">
        <f>12.2592 * CHOOSE(CONTROL!$C$32, $C$9, 100%, $E$9)</f>
        <v>12.2592</v>
      </c>
      <c r="G742" s="81">
        <f>12.2645 * CHOOSE(CONTROL!$C$32, $C$9, 100%, $E$9)</f>
        <v>12.2645</v>
      </c>
      <c r="H742" s="81">
        <f>25.2631 * CHOOSE(CONTROL!$C$32, $C$9, 100%, $E$9)</f>
        <v>25.263100000000001</v>
      </c>
      <c r="I742" s="81">
        <f>25.2684 * CHOOSE(CONTROL!$C$32, $C$9, 100%, $E$9)</f>
        <v>25.2684</v>
      </c>
      <c r="J742" s="81">
        <f>25.2631 * CHOOSE(CONTROL!$C$32, $C$9, 100%, $E$9)</f>
        <v>25.263100000000001</v>
      </c>
      <c r="K742" s="81">
        <f>25.2684 * CHOOSE(CONTROL!$C$32, $C$9, 100%, $E$9)</f>
        <v>25.2684</v>
      </c>
      <c r="L742" s="81">
        <f>12.2592 * CHOOSE(CONTROL!$C$32, $C$9, 100%, $E$9)</f>
        <v>12.2592</v>
      </c>
      <c r="M742" s="81">
        <f>12.2645 * CHOOSE(CONTROL!$C$32, $C$9, 100%, $E$9)</f>
        <v>12.2645</v>
      </c>
      <c r="N742" s="81">
        <f>12.2592 * CHOOSE(CONTROL!$C$32, $C$9, 100%, $E$9)</f>
        <v>12.2592</v>
      </c>
      <c r="O742" s="81">
        <f>12.2645 * CHOOSE(CONTROL!$C$32, $C$9, 100%, $E$9)</f>
        <v>12.2645</v>
      </c>
    </row>
    <row r="743" spans="1:15" ht="15" x14ac:dyDescent="0.2">
      <c r="A743" s="16">
        <v>63828</v>
      </c>
      <c r="B743" s="80">
        <f>11.0438 * CHOOSE(CONTROL!$C$32, $C$9, 100%, $E$9)</f>
        <v>11.043799999999999</v>
      </c>
      <c r="C743" s="80">
        <f>11.0438 * CHOOSE(CONTROL!$C$32, $C$9, 100%, $E$9)</f>
        <v>11.043799999999999</v>
      </c>
      <c r="D743" s="80">
        <f>11.0449 * CHOOSE(CONTROL!$C$32, $C$9, 100%, $E$9)</f>
        <v>11.0449</v>
      </c>
      <c r="E743" s="81">
        <f>12.3801 * CHOOSE(CONTROL!$C$32, $C$9, 100%, $E$9)</f>
        <v>12.380100000000001</v>
      </c>
      <c r="F743" s="81">
        <f>12.3801 * CHOOSE(CONTROL!$C$32, $C$9, 100%, $E$9)</f>
        <v>12.380100000000001</v>
      </c>
      <c r="G743" s="81">
        <f>12.3837 * CHOOSE(CONTROL!$C$32, $C$9, 100%, $E$9)</f>
        <v>12.383699999999999</v>
      </c>
      <c r="H743" s="81">
        <f>25.3157 * CHOOSE(CONTROL!$C$32, $C$9, 100%, $E$9)</f>
        <v>25.3157</v>
      </c>
      <c r="I743" s="81">
        <f>25.3194 * CHOOSE(CONTROL!$C$32, $C$9, 100%, $E$9)</f>
        <v>25.319400000000002</v>
      </c>
      <c r="J743" s="81">
        <f>25.3157 * CHOOSE(CONTROL!$C$32, $C$9, 100%, $E$9)</f>
        <v>25.3157</v>
      </c>
      <c r="K743" s="81">
        <f>25.3194 * CHOOSE(CONTROL!$C$32, $C$9, 100%, $E$9)</f>
        <v>25.319400000000002</v>
      </c>
      <c r="L743" s="81">
        <f>12.3801 * CHOOSE(CONTROL!$C$32, $C$9, 100%, $E$9)</f>
        <v>12.380100000000001</v>
      </c>
      <c r="M743" s="81">
        <f>12.3837 * CHOOSE(CONTROL!$C$32, $C$9, 100%, $E$9)</f>
        <v>12.383699999999999</v>
      </c>
      <c r="N743" s="81">
        <f>12.3801 * CHOOSE(CONTROL!$C$32, $C$9, 100%, $E$9)</f>
        <v>12.380100000000001</v>
      </c>
      <c r="O743" s="81">
        <f>12.3837 * CHOOSE(CONTROL!$C$32, $C$9, 100%, $E$9)</f>
        <v>12.383699999999999</v>
      </c>
    </row>
    <row r="744" spans="1:15" ht="15" x14ac:dyDescent="0.2">
      <c r="A744" s="16">
        <v>63859</v>
      </c>
      <c r="B744" s="80">
        <f>11.0469 * CHOOSE(CONTROL!$C$32, $C$9, 100%, $E$9)</f>
        <v>11.046900000000001</v>
      </c>
      <c r="C744" s="80">
        <f>11.0469 * CHOOSE(CONTROL!$C$32, $C$9, 100%, $E$9)</f>
        <v>11.046900000000001</v>
      </c>
      <c r="D744" s="80">
        <f>11.048 * CHOOSE(CONTROL!$C$32, $C$9, 100%, $E$9)</f>
        <v>11.048</v>
      </c>
      <c r="E744" s="81">
        <f>12.4493 * CHOOSE(CONTROL!$C$32, $C$9, 100%, $E$9)</f>
        <v>12.449299999999999</v>
      </c>
      <c r="F744" s="81">
        <f>12.4493 * CHOOSE(CONTROL!$C$32, $C$9, 100%, $E$9)</f>
        <v>12.449299999999999</v>
      </c>
      <c r="G744" s="81">
        <f>12.453 * CHOOSE(CONTROL!$C$32, $C$9, 100%, $E$9)</f>
        <v>12.452999999999999</v>
      </c>
      <c r="H744" s="81">
        <f>25.3685 * CHOOSE(CONTROL!$C$32, $C$9, 100%, $E$9)</f>
        <v>25.368500000000001</v>
      </c>
      <c r="I744" s="81">
        <f>25.3721 * CHOOSE(CONTROL!$C$32, $C$9, 100%, $E$9)</f>
        <v>25.3721</v>
      </c>
      <c r="J744" s="81">
        <f>25.3685 * CHOOSE(CONTROL!$C$32, $C$9, 100%, $E$9)</f>
        <v>25.368500000000001</v>
      </c>
      <c r="K744" s="81">
        <f>25.3721 * CHOOSE(CONTROL!$C$32, $C$9, 100%, $E$9)</f>
        <v>25.3721</v>
      </c>
      <c r="L744" s="81">
        <f>12.4493 * CHOOSE(CONTROL!$C$32, $C$9, 100%, $E$9)</f>
        <v>12.449299999999999</v>
      </c>
      <c r="M744" s="81">
        <f>12.453 * CHOOSE(CONTROL!$C$32, $C$9, 100%, $E$9)</f>
        <v>12.452999999999999</v>
      </c>
      <c r="N744" s="81">
        <f>12.4493 * CHOOSE(CONTROL!$C$32, $C$9, 100%, $E$9)</f>
        <v>12.449299999999999</v>
      </c>
      <c r="O744" s="81">
        <f>12.453 * CHOOSE(CONTROL!$C$32, $C$9, 100%, $E$9)</f>
        <v>12.452999999999999</v>
      </c>
    </row>
    <row r="745" spans="1:15" ht="15" x14ac:dyDescent="0.2">
      <c r="A745" s="16">
        <v>63889</v>
      </c>
      <c r="B745" s="80">
        <f>11.0469 * CHOOSE(CONTROL!$C$32, $C$9, 100%, $E$9)</f>
        <v>11.046900000000001</v>
      </c>
      <c r="C745" s="80">
        <f>11.0469 * CHOOSE(CONTROL!$C$32, $C$9, 100%, $E$9)</f>
        <v>11.046900000000001</v>
      </c>
      <c r="D745" s="80">
        <f>11.048 * CHOOSE(CONTROL!$C$32, $C$9, 100%, $E$9)</f>
        <v>11.048</v>
      </c>
      <c r="E745" s="81">
        <f>12.2815 * CHOOSE(CONTROL!$C$32, $C$9, 100%, $E$9)</f>
        <v>12.281499999999999</v>
      </c>
      <c r="F745" s="81">
        <f>12.2815 * CHOOSE(CONTROL!$C$32, $C$9, 100%, $E$9)</f>
        <v>12.281499999999999</v>
      </c>
      <c r="G745" s="81">
        <f>12.2851 * CHOOSE(CONTROL!$C$32, $C$9, 100%, $E$9)</f>
        <v>12.2851</v>
      </c>
      <c r="H745" s="81">
        <f>25.4213 * CHOOSE(CONTROL!$C$32, $C$9, 100%, $E$9)</f>
        <v>25.421299999999999</v>
      </c>
      <c r="I745" s="81">
        <f>25.425 * CHOOSE(CONTROL!$C$32, $C$9, 100%, $E$9)</f>
        <v>25.425000000000001</v>
      </c>
      <c r="J745" s="81">
        <f>25.4213 * CHOOSE(CONTROL!$C$32, $C$9, 100%, $E$9)</f>
        <v>25.421299999999999</v>
      </c>
      <c r="K745" s="81">
        <f>25.425 * CHOOSE(CONTROL!$C$32, $C$9, 100%, $E$9)</f>
        <v>25.425000000000001</v>
      </c>
      <c r="L745" s="81">
        <f>12.2815 * CHOOSE(CONTROL!$C$32, $C$9, 100%, $E$9)</f>
        <v>12.281499999999999</v>
      </c>
      <c r="M745" s="81">
        <f>12.2851 * CHOOSE(CONTROL!$C$32, $C$9, 100%, $E$9)</f>
        <v>12.2851</v>
      </c>
      <c r="N745" s="81">
        <f>12.2815 * CHOOSE(CONTROL!$C$32, $C$9, 100%, $E$9)</f>
        <v>12.281499999999999</v>
      </c>
      <c r="O745" s="81">
        <f>12.2851 * CHOOSE(CONTROL!$C$32, $C$9, 100%, $E$9)</f>
        <v>12.2851</v>
      </c>
    </row>
    <row r="746" spans="1:15" ht="15" x14ac:dyDescent="0.2">
      <c r="A746" s="16">
        <v>63920</v>
      </c>
      <c r="B746" s="80">
        <f>11.0679 * CHOOSE(CONTROL!$C$32, $C$9, 100%, $E$9)</f>
        <v>11.0679</v>
      </c>
      <c r="C746" s="80">
        <f>11.0679 * CHOOSE(CONTROL!$C$32, $C$9, 100%, $E$9)</f>
        <v>11.0679</v>
      </c>
      <c r="D746" s="80">
        <f>11.0689 * CHOOSE(CONTROL!$C$32, $C$9, 100%, $E$9)</f>
        <v>11.068899999999999</v>
      </c>
      <c r="E746" s="81">
        <f>12.433 * CHOOSE(CONTROL!$C$32, $C$9, 100%, $E$9)</f>
        <v>12.433</v>
      </c>
      <c r="F746" s="81">
        <f>12.433 * CHOOSE(CONTROL!$C$32, $C$9, 100%, $E$9)</f>
        <v>12.433</v>
      </c>
      <c r="G746" s="81">
        <f>12.4367 * CHOOSE(CONTROL!$C$32, $C$9, 100%, $E$9)</f>
        <v>12.4367</v>
      </c>
      <c r="H746" s="81">
        <f>25.31 * CHOOSE(CONTROL!$C$32, $C$9, 100%, $E$9)</f>
        <v>25.31</v>
      </c>
      <c r="I746" s="81">
        <f>25.3136 * CHOOSE(CONTROL!$C$32, $C$9, 100%, $E$9)</f>
        <v>25.313600000000001</v>
      </c>
      <c r="J746" s="81">
        <f>25.31 * CHOOSE(CONTROL!$C$32, $C$9, 100%, $E$9)</f>
        <v>25.31</v>
      </c>
      <c r="K746" s="81">
        <f>25.3136 * CHOOSE(CONTROL!$C$32, $C$9, 100%, $E$9)</f>
        <v>25.313600000000001</v>
      </c>
      <c r="L746" s="81">
        <f>12.433 * CHOOSE(CONTROL!$C$32, $C$9, 100%, $E$9)</f>
        <v>12.433</v>
      </c>
      <c r="M746" s="81">
        <f>12.4367 * CHOOSE(CONTROL!$C$32, $C$9, 100%, $E$9)</f>
        <v>12.4367</v>
      </c>
      <c r="N746" s="81">
        <f>12.433 * CHOOSE(CONTROL!$C$32, $C$9, 100%, $E$9)</f>
        <v>12.433</v>
      </c>
      <c r="O746" s="81">
        <f>12.4367 * CHOOSE(CONTROL!$C$32, $C$9, 100%, $E$9)</f>
        <v>12.4367</v>
      </c>
    </row>
    <row r="747" spans="1:15" ht="15" x14ac:dyDescent="0.2">
      <c r="A747" s="16">
        <v>63951</v>
      </c>
      <c r="B747" s="80">
        <f>11.0648 * CHOOSE(CONTROL!$C$32, $C$9, 100%, $E$9)</f>
        <v>11.0648</v>
      </c>
      <c r="C747" s="80">
        <f>11.0648 * CHOOSE(CONTROL!$C$32, $C$9, 100%, $E$9)</f>
        <v>11.0648</v>
      </c>
      <c r="D747" s="80">
        <f>11.0659 * CHOOSE(CONTROL!$C$32, $C$9, 100%, $E$9)</f>
        <v>11.065899999999999</v>
      </c>
      <c r="E747" s="81">
        <f>12.1066 * CHOOSE(CONTROL!$C$32, $C$9, 100%, $E$9)</f>
        <v>12.1066</v>
      </c>
      <c r="F747" s="81">
        <f>12.1066 * CHOOSE(CONTROL!$C$32, $C$9, 100%, $E$9)</f>
        <v>12.1066</v>
      </c>
      <c r="G747" s="81">
        <f>12.1102 * CHOOSE(CONTROL!$C$32, $C$9, 100%, $E$9)</f>
        <v>12.110200000000001</v>
      </c>
      <c r="H747" s="81">
        <f>25.3627 * CHOOSE(CONTROL!$C$32, $C$9, 100%, $E$9)</f>
        <v>25.3627</v>
      </c>
      <c r="I747" s="81">
        <f>25.3664 * CHOOSE(CONTROL!$C$32, $C$9, 100%, $E$9)</f>
        <v>25.366399999999999</v>
      </c>
      <c r="J747" s="81">
        <f>25.3627 * CHOOSE(CONTROL!$C$32, $C$9, 100%, $E$9)</f>
        <v>25.3627</v>
      </c>
      <c r="K747" s="81">
        <f>25.3664 * CHOOSE(CONTROL!$C$32, $C$9, 100%, $E$9)</f>
        <v>25.366399999999999</v>
      </c>
      <c r="L747" s="81">
        <f>12.1066 * CHOOSE(CONTROL!$C$32, $C$9, 100%, $E$9)</f>
        <v>12.1066</v>
      </c>
      <c r="M747" s="81">
        <f>12.1102 * CHOOSE(CONTROL!$C$32, $C$9, 100%, $E$9)</f>
        <v>12.110200000000001</v>
      </c>
      <c r="N747" s="81">
        <f>12.1066 * CHOOSE(CONTROL!$C$32, $C$9, 100%, $E$9)</f>
        <v>12.1066</v>
      </c>
      <c r="O747" s="81">
        <f>12.1102 * CHOOSE(CONTROL!$C$32, $C$9, 100%, $E$9)</f>
        <v>12.110200000000001</v>
      </c>
    </row>
    <row r="748" spans="1:15" ht="15" x14ac:dyDescent="0.2">
      <c r="A748" s="16">
        <v>63979</v>
      </c>
      <c r="B748" s="80">
        <f>11.0618 * CHOOSE(CONTROL!$C$32, $C$9, 100%, $E$9)</f>
        <v>11.0618</v>
      </c>
      <c r="C748" s="80">
        <f>11.0618 * CHOOSE(CONTROL!$C$32, $C$9, 100%, $E$9)</f>
        <v>11.0618</v>
      </c>
      <c r="D748" s="80">
        <f>11.0629 * CHOOSE(CONTROL!$C$32, $C$9, 100%, $E$9)</f>
        <v>11.062900000000001</v>
      </c>
      <c r="E748" s="81">
        <f>12.3602 * CHOOSE(CONTROL!$C$32, $C$9, 100%, $E$9)</f>
        <v>12.360200000000001</v>
      </c>
      <c r="F748" s="81">
        <f>12.3602 * CHOOSE(CONTROL!$C$32, $C$9, 100%, $E$9)</f>
        <v>12.360200000000001</v>
      </c>
      <c r="G748" s="81">
        <f>12.3638 * CHOOSE(CONTROL!$C$32, $C$9, 100%, $E$9)</f>
        <v>12.363799999999999</v>
      </c>
      <c r="H748" s="81">
        <f>25.4156 * CHOOSE(CONTROL!$C$32, $C$9, 100%, $E$9)</f>
        <v>25.415600000000001</v>
      </c>
      <c r="I748" s="81">
        <f>25.4192 * CHOOSE(CONTROL!$C$32, $C$9, 100%, $E$9)</f>
        <v>25.4192</v>
      </c>
      <c r="J748" s="81">
        <f>25.4156 * CHOOSE(CONTROL!$C$32, $C$9, 100%, $E$9)</f>
        <v>25.415600000000001</v>
      </c>
      <c r="K748" s="81">
        <f>25.4192 * CHOOSE(CONTROL!$C$32, $C$9, 100%, $E$9)</f>
        <v>25.4192</v>
      </c>
      <c r="L748" s="81">
        <f>12.3602 * CHOOSE(CONTROL!$C$32, $C$9, 100%, $E$9)</f>
        <v>12.360200000000001</v>
      </c>
      <c r="M748" s="81">
        <f>12.3638 * CHOOSE(CONTROL!$C$32, $C$9, 100%, $E$9)</f>
        <v>12.363799999999999</v>
      </c>
      <c r="N748" s="81">
        <f>12.3602 * CHOOSE(CONTROL!$C$32, $C$9, 100%, $E$9)</f>
        <v>12.360200000000001</v>
      </c>
      <c r="O748" s="81">
        <f>12.3638 * CHOOSE(CONTROL!$C$32, $C$9, 100%, $E$9)</f>
        <v>12.363799999999999</v>
      </c>
    </row>
    <row r="749" spans="1:15" ht="15" x14ac:dyDescent="0.2">
      <c r="A749" s="16">
        <v>64010</v>
      </c>
      <c r="B749" s="80">
        <f>11.0663 * CHOOSE(CONTROL!$C$32, $C$9, 100%, $E$9)</f>
        <v>11.0663</v>
      </c>
      <c r="C749" s="80">
        <f>11.0663 * CHOOSE(CONTROL!$C$32, $C$9, 100%, $E$9)</f>
        <v>11.0663</v>
      </c>
      <c r="D749" s="80">
        <f>11.0674 * CHOOSE(CONTROL!$C$32, $C$9, 100%, $E$9)</f>
        <v>11.067399999999999</v>
      </c>
      <c r="E749" s="81">
        <f>12.6305 * CHOOSE(CONTROL!$C$32, $C$9, 100%, $E$9)</f>
        <v>12.6305</v>
      </c>
      <c r="F749" s="81">
        <f>12.6305 * CHOOSE(CONTROL!$C$32, $C$9, 100%, $E$9)</f>
        <v>12.6305</v>
      </c>
      <c r="G749" s="81">
        <f>12.6341 * CHOOSE(CONTROL!$C$32, $C$9, 100%, $E$9)</f>
        <v>12.6341</v>
      </c>
      <c r="H749" s="81">
        <f>25.4685 * CHOOSE(CONTROL!$C$32, $C$9, 100%, $E$9)</f>
        <v>25.468499999999999</v>
      </c>
      <c r="I749" s="81">
        <f>25.4721 * CHOOSE(CONTROL!$C$32, $C$9, 100%, $E$9)</f>
        <v>25.472100000000001</v>
      </c>
      <c r="J749" s="81">
        <f>25.4685 * CHOOSE(CONTROL!$C$32, $C$9, 100%, $E$9)</f>
        <v>25.468499999999999</v>
      </c>
      <c r="K749" s="81">
        <f>25.4721 * CHOOSE(CONTROL!$C$32, $C$9, 100%, $E$9)</f>
        <v>25.472100000000001</v>
      </c>
      <c r="L749" s="81">
        <f>12.6305 * CHOOSE(CONTROL!$C$32, $C$9, 100%, $E$9)</f>
        <v>12.6305</v>
      </c>
      <c r="M749" s="81">
        <f>12.6341 * CHOOSE(CONTROL!$C$32, $C$9, 100%, $E$9)</f>
        <v>12.6341</v>
      </c>
      <c r="N749" s="81">
        <f>12.6305 * CHOOSE(CONTROL!$C$32, $C$9, 100%, $E$9)</f>
        <v>12.6305</v>
      </c>
      <c r="O749" s="81">
        <f>12.6341 * CHOOSE(CONTROL!$C$32, $C$9, 100%, $E$9)</f>
        <v>12.6341</v>
      </c>
    </row>
    <row r="750" spans="1:15" ht="15" x14ac:dyDescent="0.2">
      <c r="A750" s="16">
        <v>64040</v>
      </c>
      <c r="B750" s="80">
        <f>11.0663 * CHOOSE(CONTROL!$C$32, $C$9, 100%, $E$9)</f>
        <v>11.0663</v>
      </c>
      <c r="C750" s="80">
        <f>11.0663 * CHOOSE(CONTROL!$C$32, $C$9, 100%, $E$9)</f>
        <v>11.0663</v>
      </c>
      <c r="D750" s="80">
        <f>11.0679 * CHOOSE(CONTROL!$C$32, $C$9, 100%, $E$9)</f>
        <v>11.0679</v>
      </c>
      <c r="E750" s="81">
        <f>12.7335 * CHOOSE(CONTROL!$C$32, $C$9, 100%, $E$9)</f>
        <v>12.733499999999999</v>
      </c>
      <c r="F750" s="81">
        <f>12.7335 * CHOOSE(CONTROL!$C$32, $C$9, 100%, $E$9)</f>
        <v>12.733499999999999</v>
      </c>
      <c r="G750" s="81">
        <f>12.7388 * CHOOSE(CONTROL!$C$32, $C$9, 100%, $E$9)</f>
        <v>12.738799999999999</v>
      </c>
      <c r="H750" s="81">
        <f>25.5216 * CHOOSE(CONTROL!$C$32, $C$9, 100%, $E$9)</f>
        <v>25.521599999999999</v>
      </c>
      <c r="I750" s="81">
        <f>25.5269 * CHOOSE(CONTROL!$C$32, $C$9, 100%, $E$9)</f>
        <v>25.526900000000001</v>
      </c>
      <c r="J750" s="81">
        <f>25.5216 * CHOOSE(CONTROL!$C$32, $C$9, 100%, $E$9)</f>
        <v>25.521599999999999</v>
      </c>
      <c r="K750" s="81">
        <f>25.5269 * CHOOSE(CONTROL!$C$32, $C$9, 100%, $E$9)</f>
        <v>25.526900000000001</v>
      </c>
      <c r="L750" s="81">
        <f>12.7335 * CHOOSE(CONTROL!$C$32, $C$9, 100%, $E$9)</f>
        <v>12.733499999999999</v>
      </c>
      <c r="M750" s="81">
        <f>12.7388 * CHOOSE(CONTROL!$C$32, $C$9, 100%, $E$9)</f>
        <v>12.738799999999999</v>
      </c>
      <c r="N750" s="81">
        <f>12.7335 * CHOOSE(CONTROL!$C$32, $C$9, 100%, $E$9)</f>
        <v>12.733499999999999</v>
      </c>
      <c r="O750" s="81">
        <f>12.7388 * CHOOSE(CONTROL!$C$32, $C$9, 100%, $E$9)</f>
        <v>12.738799999999999</v>
      </c>
    </row>
    <row r="751" spans="1:15" ht="15" x14ac:dyDescent="0.2">
      <c r="A751" s="16">
        <v>64071</v>
      </c>
      <c r="B751" s="80">
        <f>11.0724 * CHOOSE(CONTROL!$C$32, $C$9, 100%, $E$9)</f>
        <v>11.0724</v>
      </c>
      <c r="C751" s="80">
        <f>11.0724 * CHOOSE(CONTROL!$C$32, $C$9, 100%, $E$9)</f>
        <v>11.0724</v>
      </c>
      <c r="D751" s="80">
        <f>11.0739 * CHOOSE(CONTROL!$C$32, $C$9, 100%, $E$9)</f>
        <v>11.0739</v>
      </c>
      <c r="E751" s="81">
        <f>12.6347 * CHOOSE(CONTROL!$C$32, $C$9, 100%, $E$9)</f>
        <v>12.6347</v>
      </c>
      <c r="F751" s="81">
        <f>12.6347 * CHOOSE(CONTROL!$C$32, $C$9, 100%, $E$9)</f>
        <v>12.6347</v>
      </c>
      <c r="G751" s="81">
        <f>12.64 * CHOOSE(CONTROL!$C$32, $C$9, 100%, $E$9)</f>
        <v>12.64</v>
      </c>
      <c r="H751" s="81">
        <f>25.5748 * CHOOSE(CONTROL!$C$32, $C$9, 100%, $E$9)</f>
        <v>25.5748</v>
      </c>
      <c r="I751" s="81">
        <f>25.5801 * CHOOSE(CONTROL!$C$32, $C$9, 100%, $E$9)</f>
        <v>25.580100000000002</v>
      </c>
      <c r="J751" s="81">
        <f>25.5748 * CHOOSE(CONTROL!$C$32, $C$9, 100%, $E$9)</f>
        <v>25.5748</v>
      </c>
      <c r="K751" s="81">
        <f>25.5801 * CHOOSE(CONTROL!$C$32, $C$9, 100%, $E$9)</f>
        <v>25.580100000000002</v>
      </c>
      <c r="L751" s="81">
        <f>12.6347 * CHOOSE(CONTROL!$C$32, $C$9, 100%, $E$9)</f>
        <v>12.6347</v>
      </c>
      <c r="M751" s="81">
        <f>12.64 * CHOOSE(CONTROL!$C$32, $C$9, 100%, $E$9)</f>
        <v>12.64</v>
      </c>
      <c r="N751" s="81">
        <f>12.6347 * CHOOSE(CONTROL!$C$32, $C$9, 100%, $E$9)</f>
        <v>12.6347</v>
      </c>
      <c r="O751" s="81">
        <f>12.64 * CHOOSE(CONTROL!$C$32, $C$9, 100%, $E$9)</f>
        <v>12.64</v>
      </c>
    </row>
    <row r="752" spans="1:15" ht="15" x14ac:dyDescent="0.2">
      <c r="A752" s="16">
        <v>64101</v>
      </c>
      <c r="B752" s="80">
        <f>11.2085 * CHOOSE(CONTROL!$C$32, $C$9, 100%, $E$9)</f>
        <v>11.208500000000001</v>
      </c>
      <c r="C752" s="80">
        <f>11.2085 * CHOOSE(CONTROL!$C$32, $C$9, 100%, $E$9)</f>
        <v>11.208500000000001</v>
      </c>
      <c r="D752" s="80">
        <f>11.2101 * CHOOSE(CONTROL!$C$32, $C$9, 100%, $E$9)</f>
        <v>11.210100000000001</v>
      </c>
      <c r="E752" s="81">
        <f>12.8126 * CHOOSE(CONTROL!$C$32, $C$9, 100%, $E$9)</f>
        <v>12.8126</v>
      </c>
      <c r="F752" s="81">
        <f>12.8126 * CHOOSE(CONTROL!$C$32, $C$9, 100%, $E$9)</f>
        <v>12.8126</v>
      </c>
      <c r="G752" s="81">
        <f>12.8179 * CHOOSE(CONTROL!$C$32, $C$9, 100%, $E$9)</f>
        <v>12.8179</v>
      </c>
      <c r="H752" s="81">
        <f>25.628 * CHOOSE(CONTROL!$C$32, $C$9, 100%, $E$9)</f>
        <v>25.628</v>
      </c>
      <c r="I752" s="81">
        <f>25.6333 * CHOOSE(CONTROL!$C$32, $C$9, 100%, $E$9)</f>
        <v>25.633299999999998</v>
      </c>
      <c r="J752" s="81">
        <f>25.628 * CHOOSE(CONTROL!$C$32, $C$9, 100%, $E$9)</f>
        <v>25.628</v>
      </c>
      <c r="K752" s="81">
        <f>25.6333 * CHOOSE(CONTROL!$C$32, $C$9, 100%, $E$9)</f>
        <v>25.633299999999998</v>
      </c>
      <c r="L752" s="81">
        <f>12.8126 * CHOOSE(CONTROL!$C$32, $C$9, 100%, $E$9)</f>
        <v>12.8126</v>
      </c>
      <c r="M752" s="81">
        <f>12.8179 * CHOOSE(CONTROL!$C$32, $C$9, 100%, $E$9)</f>
        <v>12.8179</v>
      </c>
      <c r="N752" s="81">
        <f>12.8126 * CHOOSE(CONTROL!$C$32, $C$9, 100%, $E$9)</f>
        <v>12.8126</v>
      </c>
      <c r="O752" s="81">
        <f>12.8179 * CHOOSE(CONTROL!$C$32, $C$9, 100%, $E$9)</f>
        <v>12.8179</v>
      </c>
    </row>
    <row r="753" spans="1:15" ht="15" x14ac:dyDescent="0.2">
      <c r="A753" s="16">
        <v>64132</v>
      </c>
      <c r="B753" s="80">
        <f>11.2152 * CHOOSE(CONTROL!$C$32, $C$9, 100%, $E$9)</f>
        <v>11.215199999999999</v>
      </c>
      <c r="C753" s="80">
        <f>11.2152 * CHOOSE(CONTROL!$C$32, $C$9, 100%, $E$9)</f>
        <v>11.215199999999999</v>
      </c>
      <c r="D753" s="80">
        <f>11.2168 * CHOOSE(CONTROL!$C$32, $C$9, 100%, $E$9)</f>
        <v>11.216799999999999</v>
      </c>
      <c r="E753" s="81">
        <f>12.5083 * CHOOSE(CONTROL!$C$32, $C$9, 100%, $E$9)</f>
        <v>12.5083</v>
      </c>
      <c r="F753" s="81">
        <f>12.5083 * CHOOSE(CONTROL!$C$32, $C$9, 100%, $E$9)</f>
        <v>12.5083</v>
      </c>
      <c r="G753" s="81">
        <f>12.5136 * CHOOSE(CONTROL!$C$32, $C$9, 100%, $E$9)</f>
        <v>12.5136</v>
      </c>
      <c r="H753" s="81">
        <f>25.6814 * CHOOSE(CONTROL!$C$32, $C$9, 100%, $E$9)</f>
        <v>25.6814</v>
      </c>
      <c r="I753" s="81">
        <f>25.6867 * CHOOSE(CONTROL!$C$32, $C$9, 100%, $E$9)</f>
        <v>25.686699999999998</v>
      </c>
      <c r="J753" s="81">
        <f>25.6814 * CHOOSE(CONTROL!$C$32, $C$9, 100%, $E$9)</f>
        <v>25.6814</v>
      </c>
      <c r="K753" s="81">
        <f>25.6867 * CHOOSE(CONTROL!$C$32, $C$9, 100%, $E$9)</f>
        <v>25.686699999999998</v>
      </c>
      <c r="L753" s="81">
        <f>12.5083 * CHOOSE(CONTROL!$C$32, $C$9, 100%, $E$9)</f>
        <v>12.5083</v>
      </c>
      <c r="M753" s="81">
        <f>12.5136 * CHOOSE(CONTROL!$C$32, $C$9, 100%, $E$9)</f>
        <v>12.5136</v>
      </c>
      <c r="N753" s="81">
        <f>12.5083 * CHOOSE(CONTROL!$C$32, $C$9, 100%, $E$9)</f>
        <v>12.5083</v>
      </c>
      <c r="O753" s="81">
        <f>12.5136 * CHOOSE(CONTROL!$C$32, $C$9, 100%, $E$9)</f>
        <v>12.5136</v>
      </c>
    </row>
    <row r="754" spans="1:15" ht="15" x14ac:dyDescent="0.2">
      <c r="A754" s="16">
        <v>64163</v>
      </c>
      <c r="B754" s="80">
        <f>11.2122 * CHOOSE(CONTROL!$C$32, $C$9, 100%, $E$9)</f>
        <v>11.212199999999999</v>
      </c>
      <c r="C754" s="80">
        <f>11.2122 * CHOOSE(CONTROL!$C$32, $C$9, 100%, $E$9)</f>
        <v>11.212199999999999</v>
      </c>
      <c r="D754" s="80">
        <f>11.2137 * CHOOSE(CONTROL!$C$32, $C$9, 100%, $E$9)</f>
        <v>11.213699999999999</v>
      </c>
      <c r="E754" s="81">
        <f>12.4719 * CHOOSE(CONTROL!$C$32, $C$9, 100%, $E$9)</f>
        <v>12.4719</v>
      </c>
      <c r="F754" s="81">
        <f>12.4719 * CHOOSE(CONTROL!$C$32, $C$9, 100%, $E$9)</f>
        <v>12.4719</v>
      </c>
      <c r="G754" s="81">
        <f>12.4772 * CHOOSE(CONTROL!$C$32, $C$9, 100%, $E$9)</f>
        <v>12.4772</v>
      </c>
      <c r="H754" s="81">
        <f>25.7349 * CHOOSE(CONTROL!$C$32, $C$9, 100%, $E$9)</f>
        <v>25.7349</v>
      </c>
      <c r="I754" s="81">
        <f>25.7402 * CHOOSE(CONTROL!$C$32, $C$9, 100%, $E$9)</f>
        <v>25.740200000000002</v>
      </c>
      <c r="J754" s="81">
        <f>25.7349 * CHOOSE(CONTROL!$C$32, $C$9, 100%, $E$9)</f>
        <v>25.7349</v>
      </c>
      <c r="K754" s="81">
        <f>25.7402 * CHOOSE(CONTROL!$C$32, $C$9, 100%, $E$9)</f>
        <v>25.740200000000002</v>
      </c>
      <c r="L754" s="81">
        <f>12.4719 * CHOOSE(CONTROL!$C$32, $C$9, 100%, $E$9)</f>
        <v>12.4719</v>
      </c>
      <c r="M754" s="81">
        <f>12.4772 * CHOOSE(CONTROL!$C$32, $C$9, 100%, $E$9)</f>
        <v>12.4772</v>
      </c>
      <c r="N754" s="81">
        <f>12.4719 * CHOOSE(CONTROL!$C$32, $C$9, 100%, $E$9)</f>
        <v>12.4719</v>
      </c>
      <c r="O754" s="81">
        <f>12.4772 * CHOOSE(CONTROL!$C$32, $C$9, 100%, $E$9)</f>
        <v>12.4772</v>
      </c>
    </row>
    <row r="755" spans="1:15" ht="15" x14ac:dyDescent="0.2">
      <c r="A755" s="16">
        <v>64193</v>
      </c>
      <c r="B755" s="80">
        <f>11.2342 * CHOOSE(CONTROL!$C$32, $C$9, 100%, $E$9)</f>
        <v>11.2342</v>
      </c>
      <c r="C755" s="80">
        <f>11.2342 * CHOOSE(CONTROL!$C$32, $C$9, 100%, $E$9)</f>
        <v>11.2342</v>
      </c>
      <c r="D755" s="80">
        <f>11.2352 * CHOOSE(CONTROL!$C$32, $C$9, 100%, $E$9)</f>
        <v>11.235200000000001</v>
      </c>
      <c r="E755" s="81">
        <f>12.5958 * CHOOSE(CONTROL!$C$32, $C$9, 100%, $E$9)</f>
        <v>12.595800000000001</v>
      </c>
      <c r="F755" s="81">
        <f>12.5958 * CHOOSE(CONTROL!$C$32, $C$9, 100%, $E$9)</f>
        <v>12.595800000000001</v>
      </c>
      <c r="G755" s="81">
        <f>12.5994 * CHOOSE(CONTROL!$C$32, $C$9, 100%, $E$9)</f>
        <v>12.599399999999999</v>
      </c>
      <c r="H755" s="81">
        <f>25.7886 * CHOOSE(CONTROL!$C$32, $C$9, 100%, $E$9)</f>
        <v>25.788599999999999</v>
      </c>
      <c r="I755" s="81">
        <f>25.7922 * CHOOSE(CONTROL!$C$32, $C$9, 100%, $E$9)</f>
        <v>25.792200000000001</v>
      </c>
      <c r="J755" s="81">
        <f>25.7886 * CHOOSE(CONTROL!$C$32, $C$9, 100%, $E$9)</f>
        <v>25.788599999999999</v>
      </c>
      <c r="K755" s="81">
        <f>25.7922 * CHOOSE(CONTROL!$C$32, $C$9, 100%, $E$9)</f>
        <v>25.792200000000001</v>
      </c>
      <c r="L755" s="81">
        <f>12.5958 * CHOOSE(CONTROL!$C$32, $C$9, 100%, $E$9)</f>
        <v>12.595800000000001</v>
      </c>
      <c r="M755" s="81">
        <f>12.5994 * CHOOSE(CONTROL!$C$32, $C$9, 100%, $E$9)</f>
        <v>12.599399999999999</v>
      </c>
      <c r="N755" s="81">
        <f>12.5958 * CHOOSE(CONTROL!$C$32, $C$9, 100%, $E$9)</f>
        <v>12.595800000000001</v>
      </c>
      <c r="O755" s="81">
        <f>12.5994 * CHOOSE(CONTROL!$C$32, $C$9, 100%, $E$9)</f>
        <v>12.599399999999999</v>
      </c>
    </row>
    <row r="756" spans="1:15" ht="15" x14ac:dyDescent="0.2">
      <c r="A756" s="16">
        <v>64224</v>
      </c>
      <c r="B756" s="80">
        <f>11.2372 * CHOOSE(CONTROL!$C$32, $C$9, 100%, $E$9)</f>
        <v>11.2372</v>
      </c>
      <c r="C756" s="80">
        <f>11.2372 * CHOOSE(CONTROL!$C$32, $C$9, 100%, $E$9)</f>
        <v>11.2372</v>
      </c>
      <c r="D756" s="80">
        <f>11.2383 * CHOOSE(CONTROL!$C$32, $C$9, 100%, $E$9)</f>
        <v>11.238300000000001</v>
      </c>
      <c r="E756" s="81">
        <f>12.6665 * CHOOSE(CONTROL!$C$32, $C$9, 100%, $E$9)</f>
        <v>12.666499999999999</v>
      </c>
      <c r="F756" s="81">
        <f>12.6665 * CHOOSE(CONTROL!$C$32, $C$9, 100%, $E$9)</f>
        <v>12.666499999999999</v>
      </c>
      <c r="G756" s="81">
        <f>12.6701 * CHOOSE(CONTROL!$C$32, $C$9, 100%, $E$9)</f>
        <v>12.6701</v>
      </c>
      <c r="H756" s="81">
        <f>25.8423 * CHOOSE(CONTROL!$C$32, $C$9, 100%, $E$9)</f>
        <v>25.842300000000002</v>
      </c>
      <c r="I756" s="81">
        <f>25.8459 * CHOOSE(CONTROL!$C$32, $C$9, 100%, $E$9)</f>
        <v>25.8459</v>
      </c>
      <c r="J756" s="81">
        <f>25.8423 * CHOOSE(CONTROL!$C$32, $C$9, 100%, $E$9)</f>
        <v>25.842300000000002</v>
      </c>
      <c r="K756" s="81">
        <f>25.8459 * CHOOSE(CONTROL!$C$32, $C$9, 100%, $E$9)</f>
        <v>25.8459</v>
      </c>
      <c r="L756" s="81">
        <f>12.6665 * CHOOSE(CONTROL!$C$32, $C$9, 100%, $E$9)</f>
        <v>12.666499999999999</v>
      </c>
      <c r="M756" s="81">
        <f>12.6701 * CHOOSE(CONTROL!$C$32, $C$9, 100%, $E$9)</f>
        <v>12.6701</v>
      </c>
      <c r="N756" s="81">
        <f>12.6665 * CHOOSE(CONTROL!$C$32, $C$9, 100%, $E$9)</f>
        <v>12.666499999999999</v>
      </c>
      <c r="O756" s="81">
        <f>12.6701 * CHOOSE(CONTROL!$C$32, $C$9, 100%, $E$9)</f>
        <v>12.6701</v>
      </c>
    </row>
    <row r="757" spans="1:15" ht="15" x14ac:dyDescent="0.2">
      <c r="A757" s="16">
        <v>64254</v>
      </c>
      <c r="B757" s="80">
        <f>11.2372 * CHOOSE(CONTROL!$C$32, $C$9, 100%, $E$9)</f>
        <v>11.2372</v>
      </c>
      <c r="C757" s="80">
        <f>11.2372 * CHOOSE(CONTROL!$C$32, $C$9, 100%, $E$9)</f>
        <v>11.2372</v>
      </c>
      <c r="D757" s="80">
        <f>11.2383 * CHOOSE(CONTROL!$C$32, $C$9, 100%, $E$9)</f>
        <v>11.238300000000001</v>
      </c>
      <c r="E757" s="81">
        <f>12.4949 * CHOOSE(CONTROL!$C$32, $C$9, 100%, $E$9)</f>
        <v>12.494899999999999</v>
      </c>
      <c r="F757" s="81">
        <f>12.4949 * CHOOSE(CONTROL!$C$32, $C$9, 100%, $E$9)</f>
        <v>12.494899999999999</v>
      </c>
      <c r="G757" s="81">
        <f>12.4985 * CHOOSE(CONTROL!$C$32, $C$9, 100%, $E$9)</f>
        <v>12.4985</v>
      </c>
      <c r="H757" s="81">
        <f>25.8961 * CHOOSE(CONTROL!$C$32, $C$9, 100%, $E$9)</f>
        <v>25.896100000000001</v>
      </c>
      <c r="I757" s="81">
        <f>25.8997 * CHOOSE(CONTROL!$C$32, $C$9, 100%, $E$9)</f>
        <v>25.899699999999999</v>
      </c>
      <c r="J757" s="81">
        <f>25.8961 * CHOOSE(CONTROL!$C$32, $C$9, 100%, $E$9)</f>
        <v>25.896100000000001</v>
      </c>
      <c r="K757" s="81">
        <f>25.8997 * CHOOSE(CONTROL!$C$32, $C$9, 100%, $E$9)</f>
        <v>25.899699999999999</v>
      </c>
      <c r="L757" s="81">
        <f>12.4949 * CHOOSE(CONTROL!$C$32, $C$9, 100%, $E$9)</f>
        <v>12.494899999999999</v>
      </c>
      <c r="M757" s="81">
        <f>12.4985 * CHOOSE(CONTROL!$C$32, $C$9, 100%, $E$9)</f>
        <v>12.4985</v>
      </c>
      <c r="N757" s="81">
        <f>12.4949 * CHOOSE(CONTROL!$C$32, $C$9, 100%, $E$9)</f>
        <v>12.494899999999999</v>
      </c>
      <c r="O757" s="81">
        <f>12.4985 * CHOOSE(CONTROL!$C$32, $C$9, 100%, $E$9)</f>
        <v>12.4985</v>
      </c>
    </row>
    <row r="758" spans="1:15" ht="15" x14ac:dyDescent="0.2">
      <c r="A758" s="16">
        <v>64285</v>
      </c>
      <c r="B758" s="80">
        <f>11.2552 * CHOOSE(CONTROL!$C$32, $C$9, 100%, $E$9)</f>
        <v>11.2552</v>
      </c>
      <c r="C758" s="80">
        <f>11.2552 * CHOOSE(CONTROL!$C$32, $C$9, 100%, $E$9)</f>
        <v>11.2552</v>
      </c>
      <c r="D758" s="80">
        <f>11.2563 * CHOOSE(CONTROL!$C$32, $C$9, 100%, $E$9)</f>
        <v>11.2563</v>
      </c>
      <c r="E758" s="81">
        <f>12.6455 * CHOOSE(CONTROL!$C$32, $C$9, 100%, $E$9)</f>
        <v>12.6455</v>
      </c>
      <c r="F758" s="81">
        <f>12.6455 * CHOOSE(CONTROL!$C$32, $C$9, 100%, $E$9)</f>
        <v>12.6455</v>
      </c>
      <c r="G758" s="81">
        <f>12.6492 * CHOOSE(CONTROL!$C$32, $C$9, 100%, $E$9)</f>
        <v>12.6492</v>
      </c>
      <c r="H758" s="81">
        <f>25.774 * CHOOSE(CONTROL!$C$32, $C$9, 100%, $E$9)</f>
        <v>25.774000000000001</v>
      </c>
      <c r="I758" s="81">
        <f>25.7777 * CHOOSE(CONTROL!$C$32, $C$9, 100%, $E$9)</f>
        <v>25.777699999999999</v>
      </c>
      <c r="J758" s="81">
        <f>25.774 * CHOOSE(CONTROL!$C$32, $C$9, 100%, $E$9)</f>
        <v>25.774000000000001</v>
      </c>
      <c r="K758" s="81">
        <f>25.7777 * CHOOSE(CONTROL!$C$32, $C$9, 100%, $E$9)</f>
        <v>25.777699999999999</v>
      </c>
      <c r="L758" s="81">
        <f>12.6455 * CHOOSE(CONTROL!$C$32, $C$9, 100%, $E$9)</f>
        <v>12.6455</v>
      </c>
      <c r="M758" s="81">
        <f>12.6492 * CHOOSE(CONTROL!$C$32, $C$9, 100%, $E$9)</f>
        <v>12.6492</v>
      </c>
      <c r="N758" s="81">
        <f>12.6455 * CHOOSE(CONTROL!$C$32, $C$9, 100%, $E$9)</f>
        <v>12.6455</v>
      </c>
      <c r="O758" s="81">
        <f>12.6492 * CHOOSE(CONTROL!$C$32, $C$9, 100%, $E$9)</f>
        <v>12.6492</v>
      </c>
    </row>
    <row r="759" spans="1:15" ht="15" x14ac:dyDescent="0.2">
      <c r="A759" s="16">
        <v>64316</v>
      </c>
      <c r="B759" s="80">
        <f>11.2522 * CHOOSE(CONTROL!$C$32, $C$9, 100%, $E$9)</f>
        <v>11.2522</v>
      </c>
      <c r="C759" s="80">
        <f>11.2522 * CHOOSE(CONTROL!$C$32, $C$9, 100%, $E$9)</f>
        <v>11.2522</v>
      </c>
      <c r="D759" s="80">
        <f>11.2533 * CHOOSE(CONTROL!$C$32, $C$9, 100%, $E$9)</f>
        <v>11.253299999999999</v>
      </c>
      <c r="E759" s="81">
        <f>12.312 * CHOOSE(CONTROL!$C$32, $C$9, 100%, $E$9)</f>
        <v>12.311999999999999</v>
      </c>
      <c r="F759" s="81">
        <f>12.312 * CHOOSE(CONTROL!$C$32, $C$9, 100%, $E$9)</f>
        <v>12.311999999999999</v>
      </c>
      <c r="G759" s="81">
        <f>12.3156 * CHOOSE(CONTROL!$C$32, $C$9, 100%, $E$9)</f>
        <v>12.3156</v>
      </c>
      <c r="H759" s="81">
        <f>25.8277 * CHOOSE(CONTROL!$C$32, $C$9, 100%, $E$9)</f>
        <v>25.8277</v>
      </c>
      <c r="I759" s="81">
        <f>25.8314 * CHOOSE(CONTROL!$C$32, $C$9, 100%, $E$9)</f>
        <v>25.831399999999999</v>
      </c>
      <c r="J759" s="81">
        <f>25.8277 * CHOOSE(CONTROL!$C$32, $C$9, 100%, $E$9)</f>
        <v>25.8277</v>
      </c>
      <c r="K759" s="81">
        <f>25.8314 * CHOOSE(CONTROL!$C$32, $C$9, 100%, $E$9)</f>
        <v>25.831399999999999</v>
      </c>
      <c r="L759" s="81">
        <f>12.312 * CHOOSE(CONTROL!$C$32, $C$9, 100%, $E$9)</f>
        <v>12.311999999999999</v>
      </c>
      <c r="M759" s="81">
        <f>12.3156 * CHOOSE(CONTROL!$C$32, $C$9, 100%, $E$9)</f>
        <v>12.3156</v>
      </c>
      <c r="N759" s="81">
        <f>12.312 * CHOOSE(CONTROL!$C$32, $C$9, 100%, $E$9)</f>
        <v>12.311999999999999</v>
      </c>
      <c r="O759" s="81">
        <f>12.3156 * CHOOSE(CONTROL!$C$32, $C$9, 100%, $E$9)</f>
        <v>12.3156</v>
      </c>
    </row>
    <row r="760" spans="1:15" ht="15" x14ac:dyDescent="0.2">
      <c r="A760" s="16">
        <v>64345</v>
      </c>
      <c r="B760" s="80">
        <f>11.2491 * CHOOSE(CONTROL!$C$32, $C$9, 100%, $E$9)</f>
        <v>11.2491</v>
      </c>
      <c r="C760" s="80">
        <f>11.2491 * CHOOSE(CONTROL!$C$32, $C$9, 100%, $E$9)</f>
        <v>11.2491</v>
      </c>
      <c r="D760" s="80">
        <f>11.2502 * CHOOSE(CONTROL!$C$32, $C$9, 100%, $E$9)</f>
        <v>11.2502</v>
      </c>
      <c r="E760" s="81">
        <f>12.5712 * CHOOSE(CONTROL!$C$32, $C$9, 100%, $E$9)</f>
        <v>12.571199999999999</v>
      </c>
      <c r="F760" s="81">
        <f>12.5712 * CHOOSE(CONTROL!$C$32, $C$9, 100%, $E$9)</f>
        <v>12.571199999999999</v>
      </c>
      <c r="G760" s="81">
        <f>12.5748 * CHOOSE(CONTROL!$C$32, $C$9, 100%, $E$9)</f>
        <v>12.5748</v>
      </c>
      <c r="H760" s="81">
        <f>25.8815 * CHOOSE(CONTROL!$C$32, $C$9, 100%, $E$9)</f>
        <v>25.881499999999999</v>
      </c>
      <c r="I760" s="81">
        <f>25.8852 * CHOOSE(CONTROL!$C$32, $C$9, 100%, $E$9)</f>
        <v>25.885200000000001</v>
      </c>
      <c r="J760" s="81">
        <f>25.8815 * CHOOSE(CONTROL!$C$32, $C$9, 100%, $E$9)</f>
        <v>25.881499999999999</v>
      </c>
      <c r="K760" s="81">
        <f>25.8852 * CHOOSE(CONTROL!$C$32, $C$9, 100%, $E$9)</f>
        <v>25.885200000000001</v>
      </c>
      <c r="L760" s="81">
        <f>12.5712 * CHOOSE(CONTROL!$C$32, $C$9, 100%, $E$9)</f>
        <v>12.571199999999999</v>
      </c>
      <c r="M760" s="81">
        <f>12.5748 * CHOOSE(CONTROL!$C$32, $C$9, 100%, $E$9)</f>
        <v>12.5748</v>
      </c>
      <c r="N760" s="81">
        <f>12.5712 * CHOOSE(CONTROL!$C$32, $C$9, 100%, $E$9)</f>
        <v>12.571199999999999</v>
      </c>
      <c r="O760" s="81">
        <f>12.5748 * CHOOSE(CONTROL!$C$32, $C$9, 100%, $E$9)</f>
        <v>12.5748</v>
      </c>
    </row>
    <row r="761" spans="1:15" ht="15" x14ac:dyDescent="0.2">
      <c r="A761" s="16">
        <v>64376</v>
      </c>
      <c r="B761" s="80">
        <f>11.2538 * CHOOSE(CONTROL!$C$32, $C$9, 100%, $E$9)</f>
        <v>11.2538</v>
      </c>
      <c r="C761" s="80">
        <f>11.2538 * CHOOSE(CONTROL!$C$32, $C$9, 100%, $E$9)</f>
        <v>11.2538</v>
      </c>
      <c r="D761" s="80">
        <f>11.2549 * CHOOSE(CONTROL!$C$32, $C$9, 100%, $E$9)</f>
        <v>11.254899999999999</v>
      </c>
      <c r="E761" s="81">
        <f>12.8475 * CHOOSE(CONTROL!$C$32, $C$9, 100%, $E$9)</f>
        <v>12.8475</v>
      </c>
      <c r="F761" s="81">
        <f>12.8475 * CHOOSE(CONTROL!$C$32, $C$9, 100%, $E$9)</f>
        <v>12.8475</v>
      </c>
      <c r="G761" s="81">
        <f>12.8511 * CHOOSE(CONTROL!$C$32, $C$9, 100%, $E$9)</f>
        <v>12.851100000000001</v>
      </c>
      <c r="H761" s="81">
        <f>25.9355 * CHOOSE(CONTROL!$C$32, $C$9, 100%, $E$9)</f>
        <v>25.935500000000001</v>
      </c>
      <c r="I761" s="81">
        <f>25.9391 * CHOOSE(CONTROL!$C$32, $C$9, 100%, $E$9)</f>
        <v>25.9391</v>
      </c>
      <c r="J761" s="81">
        <f>25.9355 * CHOOSE(CONTROL!$C$32, $C$9, 100%, $E$9)</f>
        <v>25.935500000000001</v>
      </c>
      <c r="K761" s="81">
        <f>25.9391 * CHOOSE(CONTROL!$C$32, $C$9, 100%, $E$9)</f>
        <v>25.9391</v>
      </c>
      <c r="L761" s="81">
        <f>12.8475 * CHOOSE(CONTROL!$C$32, $C$9, 100%, $E$9)</f>
        <v>12.8475</v>
      </c>
      <c r="M761" s="81">
        <f>12.8511 * CHOOSE(CONTROL!$C$32, $C$9, 100%, $E$9)</f>
        <v>12.851100000000001</v>
      </c>
      <c r="N761" s="81">
        <f>12.8475 * CHOOSE(CONTROL!$C$32, $C$9, 100%, $E$9)</f>
        <v>12.8475</v>
      </c>
      <c r="O761" s="81">
        <f>12.8511 * CHOOSE(CONTROL!$C$32, $C$9, 100%, $E$9)</f>
        <v>12.851100000000001</v>
      </c>
    </row>
    <row r="762" spans="1:15" ht="15" x14ac:dyDescent="0.2">
      <c r="A762" s="16">
        <v>64406</v>
      </c>
      <c r="B762" s="80">
        <f>11.2538 * CHOOSE(CONTROL!$C$32, $C$9, 100%, $E$9)</f>
        <v>11.2538</v>
      </c>
      <c r="C762" s="80">
        <f>11.2538 * CHOOSE(CONTROL!$C$32, $C$9, 100%, $E$9)</f>
        <v>11.2538</v>
      </c>
      <c r="D762" s="80">
        <f>11.2554 * CHOOSE(CONTROL!$C$32, $C$9, 100%, $E$9)</f>
        <v>11.2554</v>
      </c>
      <c r="E762" s="81">
        <f>12.9527 * CHOOSE(CONTROL!$C$32, $C$9, 100%, $E$9)</f>
        <v>12.9527</v>
      </c>
      <c r="F762" s="81">
        <f>12.9527 * CHOOSE(CONTROL!$C$32, $C$9, 100%, $E$9)</f>
        <v>12.9527</v>
      </c>
      <c r="G762" s="81">
        <f>12.958 * CHOOSE(CONTROL!$C$32, $C$9, 100%, $E$9)</f>
        <v>12.958</v>
      </c>
      <c r="H762" s="81">
        <f>25.9895 * CHOOSE(CONTROL!$C$32, $C$9, 100%, $E$9)</f>
        <v>25.9895</v>
      </c>
      <c r="I762" s="81">
        <f>25.9948 * CHOOSE(CONTROL!$C$32, $C$9, 100%, $E$9)</f>
        <v>25.994800000000001</v>
      </c>
      <c r="J762" s="81">
        <f>25.9895 * CHOOSE(CONTROL!$C$32, $C$9, 100%, $E$9)</f>
        <v>25.9895</v>
      </c>
      <c r="K762" s="81">
        <f>25.9948 * CHOOSE(CONTROL!$C$32, $C$9, 100%, $E$9)</f>
        <v>25.994800000000001</v>
      </c>
      <c r="L762" s="81">
        <f>12.9527 * CHOOSE(CONTROL!$C$32, $C$9, 100%, $E$9)</f>
        <v>12.9527</v>
      </c>
      <c r="M762" s="81">
        <f>12.958 * CHOOSE(CONTROL!$C$32, $C$9, 100%, $E$9)</f>
        <v>12.958</v>
      </c>
      <c r="N762" s="81">
        <f>12.9527 * CHOOSE(CONTROL!$C$32, $C$9, 100%, $E$9)</f>
        <v>12.9527</v>
      </c>
      <c r="O762" s="81">
        <f>12.958 * CHOOSE(CONTROL!$C$32, $C$9, 100%, $E$9)</f>
        <v>12.958</v>
      </c>
    </row>
    <row r="763" spans="1:15" ht="15" x14ac:dyDescent="0.2">
      <c r="A763" s="16">
        <v>64437</v>
      </c>
      <c r="B763" s="80">
        <f>11.2599 * CHOOSE(CONTROL!$C$32, $C$9, 100%, $E$9)</f>
        <v>11.2599</v>
      </c>
      <c r="C763" s="80">
        <f>11.2599 * CHOOSE(CONTROL!$C$32, $C$9, 100%, $E$9)</f>
        <v>11.2599</v>
      </c>
      <c r="D763" s="80">
        <f>11.2615 * CHOOSE(CONTROL!$C$32, $C$9, 100%, $E$9)</f>
        <v>11.2615</v>
      </c>
      <c r="E763" s="81">
        <f>12.8518 * CHOOSE(CONTROL!$C$32, $C$9, 100%, $E$9)</f>
        <v>12.851800000000001</v>
      </c>
      <c r="F763" s="81">
        <f>12.8518 * CHOOSE(CONTROL!$C$32, $C$9, 100%, $E$9)</f>
        <v>12.851800000000001</v>
      </c>
      <c r="G763" s="81">
        <f>12.857 * CHOOSE(CONTROL!$C$32, $C$9, 100%, $E$9)</f>
        <v>12.856999999999999</v>
      </c>
      <c r="H763" s="81">
        <f>26.0436 * CHOOSE(CONTROL!$C$32, $C$9, 100%, $E$9)</f>
        <v>26.043600000000001</v>
      </c>
      <c r="I763" s="81">
        <f>26.0489 * CHOOSE(CONTROL!$C$32, $C$9, 100%, $E$9)</f>
        <v>26.0489</v>
      </c>
      <c r="J763" s="81">
        <f>26.0436 * CHOOSE(CONTROL!$C$32, $C$9, 100%, $E$9)</f>
        <v>26.043600000000001</v>
      </c>
      <c r="K763" s="81">
        <f>26.0489 * CHOOSE(CONTROL!$C$32, $C$9, 100%, $E$9)</f>
        <v>26.0489</v>
      </c>
      <c r="L763" s="81">
        <f>12.8518 * CHOOSE(CONTROL!$C$32, $C$9, 100%, $E$9)</f>
        <v>12.851800000000001</v>
      </c>
      <c r="M763" s="81">
        <f>12.857 * CHOOSE(CONTROL!$C$32, $C$9, 100%, $E$9)</f>
        <v>12.856999999999999</v>
      </c>
      <c r="N763" s="81">
        <f>12.8518 * CHOOSE(CONTROL!$C$32, $C$9, 100%, $E$9)</f>
        <v>12.851800000000001</v>
      </c>
      <c r="O763" s="81">
        <f>12.857 * CHOOSE(CONTROL!$C$32, $C$9, 100%, $E$9)</f>
        <v>12.856999999999999</v>
      </c>
    </row>
    <row r="764" spans="1:15" ht="15" x14ac:dyDescent="0.2">
      <c r="A764" s="16">
        <v>64467</v>
      </c>
      <c r="B764" s="80">
        <f>11.3981 * CHOOSE(CONTROL!$C$32, $C$9, 100%, $E$9)</f>
        <v>11.398099999999999</v>
      </c>
      <c r="C764" s="80">
        <f>11.3981 * CHOOSE(CONTROL!$C$32, $C$9, 100%, $E$9)</f>
        <v>11.398099999999999</v>
      </c>
      <c r="D764" s="80">
        <f>11.3997 * CHOOSE(CONTROL!$C$32, $C$9, 100%, $E$9)</f>
        <v>11.399699999999999</v>
      </c>
      <c r="E764" s="81">
        <f>13.0328 * CHOOSE(CONTROL!$C$32, $C$9, 100%, $E$9)</f>
        <v>13.0328</v>
      </c>
      <c r="F764" s="81">
        <f>13.0328 * CHOOSE(CONTROL!$C$32, $C$9, 100%, $E$9)</f>
        <v>13.0328</v>
      </c>
      <c r="G764" s="81">
        <f>13.0381 * CHOOSE(CONTROL!$C$32, $C$9, 100%, $E$9)</f>
        <v>13.0381</v>
      </c>
      <c r="H764" s="81">
        <f>26.0979 * CHOOSE(CONTROL!$C$32, $C$9, 100%, $E$9)</f>
        <v>26.097899999999999</v>
      </c>
      <c r="I764" s="81">
        <f>26.1032 * CHOOSE(CONTROL!$C$32, $C$9, 100%, $E$9)</f>
        <v>26.103200000000001</v>
      </c>
      <c r="J764" s="81">
        <f>26.0979 * CHOOSE(CONTROL!$C$32, $C$9, 100%, $E$9)</f>
        <v>26.097899999999999</v>
      </c>
      <c r="K764" s="81">
        <f>26.1032 * CHOOSE(CONTROL!$C$32, $C$9, 100%, $E$9)</f>
        <v>26.103200000000001</v>
      </c>
      <c r="L764" s="81">
        <f>13.0328 * CHOOSE(CONTROL!$C$32, $C$9, 100%, $E$9)</f>
        <v>13.0328</v>
      </c>
      <c r="M764" s="81">
        <f>13.0381 * CHOOSE(CONTROL!$C$32, $C$9, 100%, $E$9)</f>
        <v>13.0381</v>
      </c>
      <c r="N764" s="81">
        <f>13.0328 * CHOOSE(CONTROL!$C$32, $C$9, 100%, $E$9)</f>
        <v>13.0328</v>
      </c>
      <c r="O764" s="81">
        <f>13.0381 * CHOOSE(CONTROL!$C$32, $C$9, 100%, $E$9)</f>
        <v>13.0381</v>
      </c>
    </row>
    <row r="765" spans="1:15" ht="15" x14ac:dyDescent="0.2">
      <c r="A765" s="16">
        <v>64498</v>
      </c>
      <c r="B765" s="80">
        <f>11.4048 * CHOOSE(CONTROL!$C$32, $C$9, 100%, $E$9)</f>
        <v>11.4048</v>
      </c>
      <c r="C765" s="80">
        <f>11.4048 * CHOOSE(CONTROL!$C$32, $C$9, 100%, $E$9)</f>
        <v>11.4048</v>
      </c>
      <c r="D765" s="80">
        <f>11.4064 * CHOOSE(CONTROL!$C$32, $C$9, 100%, $E$9)</f>
        <v>11.4064</v>
      </c>
      <c r="E765" s="81">
        <f>12.7218 * CHOOSE(CONTROL!$C$32, $C$9, 100%, $E$9)</f>
        <v>12.7218</v>
      </c>
      <c r="F765" s="81">
        <f>12.7218 * CHOOSE(CONTROL!$C$32, $C$9, 100%, $E$9)</f>
        <v>12.7218</v>
      </c>
      <c r="G765" s="81">
        <f>12.727 * CHOOSE(CONTROL!$C$32, $C$9, 100%, $E$9)</f>
        <v>12.727</v>
      </c>
      <c r="H765" s="81">
        <f>26.1523 * CHOOSE(CONTROL!$C$32, $C$9, 100%, $E$9)</f>
        <v>26.1523</v>
      </c>
      <c r="I765" s="81">
        <f>26.1576 * CHOOSE(CONTROL!$C$32, $C$9, 100%, $E$9)</f>
        <v>26.157599999999999</v>
      </c>
      <c r="J765" s="81">
        <f>26.1523 * CHOOSE(CONTROL!$C$32, $C$9, 100%, $E$9)</f>
        <v>26.1523</v>
      </c>
      <c r="K765" s="81">
        <f>26.1576 * CHOOSE(CONTROL!$C$32, $C$9, 100%, $E$9)</f>
        <v>26.157599999999999</v>
      </c>
      <c r="L765" s="81">
        <f>12.7218 * CHOOSE(CONTROL!$C$32, $C$9, 100%, $E$9)</f>
        <v>12.7218</v>
      </c>
      <c r="M765" s="81">
        <f>12.727 * CHOOSE(CONTROL!$C$32, $C$9, 100%, $E$9)</f>
        <v>12.727</v>
      </c>
      <c r="N765" s="81">
        <f>12.7218 * CHOOSE(CONTROL!$C$32, $C$9, 100%, $E$9)</f>
        <v>12.7218</v>
      </c>
      <c r="O765" s="81">
        <f>12.727 * CHOOSE(CONTROL!$C$32, $C$9, 100%, $E$9)</f>
        <v>12.727</v>
      </c>
    </row>
    <row r="766" spans="1:15" ht="15" x14ac:dyDescent="0.2">
      <c r="A766" s="16">
        <v>64529</v>
      </c>
      <c r="B766" s="80">
        <f>11.4018 * CHOOSE(CONTROL!$C$32, $C$9, 100%, $E$9)</f>
        <v>11.4018</v>
      </c>
      <c r="C766" s="80">
        <f>11.4018 * CHOOSE(CONTROL!$C$32, $C$9, 100%, $E$9)</f>
        <v>11.4018</v>
      </c>
      <c r="D766" s="80">
        <f>11.4033 * CHOOSE(CONTROL!$C$32, $C$9, 100%, $E$9)</f>
        <v>11.4033</v>
      </c>
      <c r="E766" s="81">
        <f>12.6846 * CHOOSE(CONTROL!$C$32, $C$9, 100%, $E$9)</f>
        <v>12.6846</v>
      </c>
      <c r="F766" s="81">
        <f>12.6846 * CHOOSE(CONTROL!$C$32, $C$9, 100%, $E$9)</f>
        <v>12.6846</v>
      </c>
      <c r="G766" s="81">
        <f>12.6899 * CHOOSE(CONTROL!$C$32, $C$9, 100%, $E$9)</f>
        <v>12.6899</v>
      </c>
      <c r="H766" s="81">
        <f>26.2068 * CHOOSE(CONTROL!$C$32, $C$9, 100%, $E$9)</f>
        <v>26.206800000000001</v>
      </c>
      <c r="I766" s="81">
        <f>26.2121 * CHOOSE(CONTROL!$C$32, $C$9, 100%, $E$9)</f>
        <v>26.2121</v>
      </c>
      <c r="J766" s="81">
        <f>26.2068 * CHOOSE(CONTROL!$C$32, $C$9, 100%, $E$9)</f>
        <v>26.206800000000001</v>
      </c>
      <c r="K766" s="81">
        <f>26.2121 * CHOOSE(CONTROL!$C$32, $C$9, 100%, $E$9)</f>
        <v>26.2121</v>
      </c>
      <c r="L766" s="81">
        <f>12.6846 * CHOOSE(CONTROL!$C$32, $C$9, 100%, $E$9)</f>
        <v>12.6846</v>
      </c>
      <c r="M766" s="81">
        <f>12.6899 * CHOOSE(CONTROL!$C$32, $C$9, 100%, $E$9)</f>
        <v>12.6899</v>
      </c>
      <c r="N766" s="81">
        <f>12.6846 * CHOOSE(CONTROL!$C$32, $C$9, 100%, $E$9)</f>
        <v>12.6846</v>
      </c>
      <c r="O766" s="81">
        <f>12.6899 * CHOOSE(CONTROL!$C$32, $C$9, 100%, $E$9)</f>
        <v>12.6899</v>
      </c>
    </row>
    <row r="767" spans="1:15" ht="15" x14ac:dyDescent="0.2">
      <c r="A767" s="16">
        <v>64559</v>
      </c>
      <c r="B767" s="80">
        <f>11.4245 * CHOOSE(CONTROL!$C$32, $C$9, 100%, $E$9)</f>
        <v>11.4245</v>
      </c>
      <c r="C767" s="80">
        <f>11.4245 * CHOOSE(CONTROL!$C$32, $C$9, 100%, $E$9)</f>
        <v>11.4245</v>
      </c>
      <c r="D767" s="80">
        <f>11.4255 * CHOOSE(CONTROL!$C$32, $C$9, 100%, $E$9)</f>
        <v>11.4255</v>
      </c>
      <c r="E767" s="81">
        <f>12.8114 * CHOOSE(CONTROL!$C$32, $C$9, 100%, $E$9)</f>
        <v>12.811400000000001</v>
      </c>
      <c r="F767" s="81">
        <f>12.8114 * CHOOSE(CONTROL!$C$32, $C$9, 100%, $E$9)</f>
        <v>12.811400000000001</v>
      </c>
      <c r="G767" s="81">
        <f>12.8151 * CHOOSE(CONTROL!$C$32, $C$9, 100%, $E$9)</f>
        <v>12.815099999999999</v>
      </c>
      <c r="H767" s="81">
        <f>26.2614 * CHOOSE(CONTROL!$C$32, $C$9, 100%, $E$9)</f>
        <v>26.261399999999998</v>
      </c>
      <c r="I767" s="81">
        <f>26.265 * CHOOSE(CONTROL!$C$32, $C$9, 100%, $E$9)</f>
        <v>26.265000000000001</v>
      </c>
      <c r="J767" s="81">
        <f>26.2614 * CHOOSE(CONTROL!$C$32, $C$9, 100%, $E$9)</f>
        <v>26.261399999999998</v>
      </c>
      <c r="K767" s="81">
        <f>26.265 * CHOOSE(CONTROL!$C$32, $C$9, 100%, $E$9)</f>
        <v>26.265000000000001</v>
      </c>
      <c r="L767" s="81">
        <f>12.8114 * CHOOSE(CONTROL!$C$32, $C$9, 100%, $E$9)</f>
        <v>12.811400000000001</v>
      </c>
      <c r="M767" s="81">
        <f>12.8151 * CHOOSE(CONTROL!$C$32, $C$9, 100%, $E$9)</f>
        <v>12.815099999999999</v>
      </c>
      <c r="N767" s="81">
        <f>12.8114 * CHOOSE(CONTROL!$C$32, $C$9, 100%, $E$9)</f>
        <v>12.811400000000001</v>
      </c>
      <c r="O767" s="81">
        <f>12.8151 * CHOOSE(CONTROL!$C$32, $C$9, 100%, $E$9)</f>
        <v>12.815099999999999</v>
      </c>
    </row>
    <row r="768" spans="1:15" ht="15" x14ac:dyDescent="0.2">
      <c r="A768" s="16">
        <v>64590</v>
      </c>
      <c r="B768" s="80">
        <f>11.4275 * CHOOSE(CONTROL!$C$32, $C$9, 100%, $E$9)</f>
        <v>11.4275</v>
      </c>
      <c r="C768" s="80">
        <f>11.4275 * CHOOSE(CONTROL!$C$32, $C$9, 100%, $E$9)</f>
        <v>11.4275</v>
      </c>
      <c r="D768" s="80">
        <f>11.4286 * CHOOSE(CONTROL!$C$32, $C$9, 100%, $E$9)</f>
        <v>11.428599999999999</v>
      </c>
      <c r="E768" s="81">
        <f>12.8837 * CHOOSE(CONTROL!$C$32, $C$9, 100%, $E$9)</f>
        <v>12.883699999999999</v>
      </c>
      <c r="F768" s="81">
        <f>12.8837 * CHOOSE(CONTROL!$C$32, $C$9, 100%, $E$9)</f>
        <v>12.883699999999999</v>
      </c>
      <c r="G768" s="81">
        <f>12.8873 * CHOOSE(CONTROL!$C$32, $C$9, 100%, $E$9)</f>
        <v>12.8873</v>
      </c>
      <c r="H768" s="81">
        <f>26.3161 * CHOOSE(CONTROL!$C$32, $C$9, 100%, $E$9)</f>
        <v>26.316099999999999</v>
      </c>
      <c r="I768" s="81">
        <f>26.3197 * CHOOSE(CONTROL!$C$32, $C$9, 100%, $E$9)</f>
        <v>26.319700000000001</v>
      </c>
      <c r="J768" s="81">
        <f>26.3161 * CHOOSE(CONTROL!$C$32, $C$9, 100%, $E$9)</f>
        <v>26.316099999999999</v>
      </c>
      <c r="K768" s="81">
        <f>26.3197 * CHOOSE(CONTROL!$C$32, $C$9, 100%, $E$9)</f>
        <v>26.319700000000001</v>
      </c>
      <c r="L768" s="81">
        <f>12.8837 * CHOOSE(CONTROL!$C$32, $C$9, 100%, $E$9)</f>
        <v>12.883699999999999</v>
      </c>
      <c r="M768" s="81">
        <f>12.8873 * CHOOSE(CONTROL!$C$32, $C$9, 100%, $E$9)</f>
        <v>12.8873</v>
      </c>
      <c r="N768" s="81">
        <f>12.8837 * CHOOSE(CONTROL!$C$32, $C$9, 100%, $E$9)</f>
        <v>12.883699999999999</v>
      </c>
      <c r="O768" s="81">
        <f>12.8873 * CHOOSE(CONTROL!$C$32, $C$9, 100%, $E$9)</f>
        <v>12.8873</v>
      </c>
    </row>
    <row r="769" spans="1:15" ht="15" x14ac:dyDescent="0.2">
      <c r="A769" s="16">
        <v>64620</v>
      </c>
      <c r="B769" s="80">
        <f>11.4275 * CHOOSE(CONTROL!$C$32, $C$9, 100%, $E$9)</f>
        <v>11.4275</v>
      </c>
      <c r="C769" s="80">
        <f>11.4275 * CHOOSE(CONTROL!$C$32, $C$9, 100%, $E$9)</f>
        <v>11.4275</v>
      </c>
      <c r="D769" s="80">
        <f>11.4286 * CHOOSE(CONTROL!$C$32, $C$9, 100%, $E$9)</f>
        <v>11.428599999999999</v>
      </c>
      <c r="E769" s="81">
        <f>12.7083 * CHOOSE(CONTROL!$C$32, $C$9, 100%, $E$9)</f>
        <v>12.708299999999999</v>
      </c>
      <c r="F769" s="81">
        <f>12.7083 * CHOOSE(CONTROL!$C$32, $C$9, 100%, $E$9)</f>
        <v>12.708299999999999</v>
      </c>
      <c r="G769" s="81">
        <f>12.712 * CHOOSE(CONTROL!$C$32, $C$9, 100%, $E$9)</f>
        <v>12.712</v>
      </c>
      <c r="H769" s="81">
        <f>26.3709 * CHOOSE(CONTROL!$C$32, $C$9, 100%, $E$9)</f>
        <v>26.370899999999999</v>
      </c>
      <c r="I769" s="81">
        <f>26.3745 * CHOOSE(CONTROL!$C$32, $C$9, 100%, $E$9)</f>
        <v>26.374500000000001</v>
      </c>
      <c r="J769" s="81">
        <f>26.3709 * CHOOSE(CONTROL!$C$32, $C$9, 100%, $E$9)</f>
        <v>26.370899999999999</v>
      </c>
      <c r="K769" s="81">
        <f>26.3745 * CHOOSE(CONTROL!$C$32, $C$9, 100%, $E$9)</f>
        <v>26.374500000000001</v>
      </c>
      <c r="L769" s="81">
        <f>12.7083 * CHOOSE(CONTROL!$C$32, $C$9, 100%, $E$9)</f>
        <v>12.708299999999999</v>
      </c>
      <c r="M769" s="81">
        <f>12.712 * CHOOSE(CONTROL!$C$32, $C$9, 100%, $E$9)</f>
        <v>12.712</v>
      </c>
      <c r="N769" s="81">
        <f>12.7083 * CHOOSE(CONTROL!$C$32, $C$9, 100%, $E$9)</f>
        <v>12.708299999999999</v>
      </c>
      <c r="O769" s="81">
        <f>12.712 * CHOOSE(CONTROL!$C$32, $C$9, 100%, $E$9)</f>
        <v>12.712</v>
      </c>
    </row>
    <row r="770" spans="1:15" ht="15" x14ac:dyDescent="0.2">
      <c r="A770" s="16">
        <v>64651</v>
      </c>
      <c r="B770" s="80">
        <f>11.4426 * CHOOSE(CONTROL!$C$32, $C$9, 100%, $E$9)</f>
        <v>11.442600000000001</v>
      </c>
      <c r="C770" s="80">
        <f>11.4426 * CHOOSE(CONTROL!$C$32, $C$9, 100%, $E$9)</f>
        <v>11.442600000000001</v>
      </c>
      <c r="D770" s="80">
        <f>11.4436 * CHOOSE(CONTROL!$C$32, $C$9, 100%, $E$9)</f>
        <v>11.4436</v>
      </c>
      <c r="E770" s="81">
        <f>12.858 * CHOOSE(CONTROL!$C$32, $C$9, 100%, $E$9)</f>
        <v>12.858000000000001</v>
      </c>
      <c r="F770" s="81">
        <f>12.858 * CHOOSE(CONTROL!$C$32, $C$9, 100%, $E$9)</f>
        <v>12.858000000000001</v>
      </c>
      <c r="G770" s="81">
        <f>12.8617 * CHOOSE(CONTROL!$C$32, $C$9, 100%, $E$9)</f>
        <v>12.861700000000001</v>
      </c>
      <c r="H770" s="81">
        <f>26.2381 * CHOOSE(CONTROL!$C$32, $C$9, 100%, $E$9)</f>
        <v>26.238099999999999</v>
      </c>
      <c r="I770" s="81">
        <f>26.2417 * CHOOSE(CONTROL!$C$32, $C$9, 100%, $E$9)</f>
        <v>26.241700000000002</v>
      </c>
      <c r="J770" s="81">
        <f>26.2381 * CHOOSE(CONTROL!$C$32, $C$9, 100%, $E$9)</f>
        <v>26.238099999999999</v>
      </c>
      <c r="K770" s="81">
        <f>26.2417 * CHOOSE(CONTROL!$C$32, $C$9, 100%, $E$9)</f>
        <v>26.241700000000002</v>
      </c>
      <c r="L770" s="81">
        <f>12.858 * CHOOSE(CONTROL!$C$32, $C$9, 100%, $E$9)</f>
        <v>12.858000000000001</v>
      </c>
      <c r="M770" s="81">
        <f>12.8617 * CHOOSE(CONTROL!$C$32, $C$9, 100%, $E$9)</f>
        <v>12.861700000000001</v>
      </c>
      <c r="N770" s="81">
        <f>12.858 * CHOOSE(CONTROL!$C$32, $C$9, 100%, $E$9)</f>
        <v>12.858000000000001</v>
      </c>
      <c r="O770" s="81">
        <f>12.8617 * CHOOSE(CONTROL!$C$32, $C$9, 100%, $E$9)</f>
        <v>12.861700000000001</v>
      </c>
    </row>
    <row r="771" spans="1:15" ht="15" x14ac:dyDescent="0.2">
      <c r="A771" s="16">
        <v>64682</v>
      </c>
      <c r="B771" s="80">
        <f>11.4395 * CHOOSE(CONTROL!$C$32, $C$9, 100%, $E$9)</f>
        <v>11.439500000000001</v>
      </c>
      <c r="C771" s="80">
        <f>11.4395 * CHOOSE(CONTROL!$C$32, $C$9, 100%, $E$9)</f>
        <v>11.439500000000001</v>
      </c>
      <c r="D771" s="80">
        <f>11.4406 * CHOOSE(CONTROL!$C$32, $C$9, 100%, $E$9)</f>
        <v>11.4406</v>
      </c>
      <c r="E771" s="81">
        <f>12.5174 * CHOOSE(CONTROL!$C$32, $C$9, 100%, $E$9)</f>
        <v>12.5174</v>
      </c>
      <c r="F771" s="81">
        <f>12.5174 * CHOOSE(CONTROL!$C$32, $C$9, 100%, $E$9)</f>
        <v>12.5174</v>
      </c>
      <c r="G771" s="81">
        <f>12.521 * CHOOSE(CONTROL!$C$32, $C$9, 100%, $E$9)</f>
        <v>12.521000000000001</v>
      </c>
      <c r="H771" s="81">
        <f>26.2927 * CHOOSE(CONTROL!$C$32, $C$9, 100%, $E$9)</f>
        <v>26.2927</v>
      </c>
      <c r="I771" s="81">
        <f>26.2964 * CHOOSE(CONTROL!$C$32, $C$9, 100%, $E$9)</f>
        <v>26.296399999999998</v>
      </c>
      <c r="J771" s="81">
        <f>26.2927 * CHOOSE(CONTROL!$C$32, $C$9, 100%, $E$9)</f>
        <v>26.2927</v>
      </c>
      <c r="K771" s="81">
        <f>26.2964 * CHOOSE(CONTROL!$C$32, $C$9, 100%, $E$9)</f>
        <v>26.296399999999998</v>
      </c>
      <c r="L771" s="81">
        <f>12.5174 * CHOOSE(CONTROL!$C$32, $C$9, 100%, $E$9)</f>
        <v>12.5174</v>
      </c>
      <c r="M771" s="81">
        <f>12.521 * CHOOSE(CONTROL!$C$32, $C$9, 100%, $E$9)</f>
        <v>12.521000000000001</v>
      </c>
      <c r="N771" s="81">
        <f>12.5174 * CHOOSE(CONTROL!$C$32, $C$9, 100%, $E$9)</f>
        <v>12.5174</v>
      </c>
      <c r="O771" s="81">
        <f>12.521 * CHOOSE(CONTROL!$C$32, $C$9, 100%, $E$9)</f>
        <v>12.521000000000001</v>
      </c>
    </row>
    <row r="772" spans="1:15" ht="15" x14ac:dyDescent="0.2">
      <c r="A772" s="16">
        <v>64710</v>
      </c>
      <c r="B772" s="80">
        <f>11.4365 * CHOOSE(CONTROL!$C$32, $C$9, 100%, $E$9)</f>
        <v>11.436500000000001</v>
      </c>
      <c r="C772" s="80">
        <f>11.4365 * CHOOSE(CONTROL!$C$32, $C$9, 100%, $E$9)</f>
        <v>11.436500000000001</v>
      </c>
      <c r="D772" s="80">
        <f>11.4376 * CHOOSE(CONTROL!$C$32, $C$9, 100%, $E$9)</f>
        <v>11.4376</v>
      </c>
      <c r="E772" s="81">
        <f>12.7822 * CHOOSE(CONTROL!$C$32, $C$9, 100%, $E$9)</f>
        <v>12.7822</v>
      </c>
      <c r="F772" s="81">
        <f>12.7822 * CHOOSE(CONTROL!$C$32, $C$9, 100%, $E$9)</f>
        <v>12.7822</v>
      </c>
      <c r="G772" s="81">
        <f>12.7858 * CHOOSE(CONTROL!$C$32, $C$9, 100%, $E$9)</f>
        <v>12.7858</v>
      </c>
      <c r="H772" s="81">
        <f>26.3475 * CHOOSE(CONTROL!$C$32, $C$9, 100%, $E$9)</f>
        <v>26.3475</v>
      </c>
      <c r="I772" s="81">
        <f>26.3511 * CHOOSE(CONTROL!$C$32, $C$9, 100%, $E$9)</f>
        <v>26.351099999999999</v>
      </c>
      <c r="J772" s="81">
        <f>26.3475 * CHOOSE(CONTROL!$C$32, $C$9, 100%, $E$9)</f>
        <v>26.3475</v>
      </c>
      <c r="K772" s="81">
        <f>26.3511 * CHOOSE(CONTROL!$C$32, $C$9, 100%, $E$9)</f>
        <v>26.351099999999999</v>
      </c>
      <c r="L772" s="81">
        <f>12.7822 * CHOOSE(CONTROL!$C$32, $C$9, 100%, $E$9)</f>
        <v>12.7822</v>
      </c>
      <c r="M772" s="81">
        <f>12.7858 * CHOOSE(CONTROL!$C$32, $C$9, 100%, $E$9)</f>
        <v>12.7858</v>
      </c>
      <c r="N772" s="81">
        <f>12.7822 * CHOOSE(CONTROL!$C$32, $C$9, 100%, $E$9)</f>
        <v>12.7822</v>
      </c>
      <c r="O772" s="81">
        <f>12.7858 * CHOOSE(CONTROL!$C$32, $C$9, 100%, $E$9)</f>
        <v>12.7858</v>
      </c>
    </row>
    <row r="773" spans="1:15" ht="15" x14ac:dyDescent="0.2">
      <c r="A773" s="16">
        <v>64741</v>
      </c>
      <c r="B773" s="80">
        <f>11.4414 * CHOOSE(CONTROL!$C$32, $C$9, 100%, $E$9)</f>
        <v>11.4414</v>
      </c>
      <c r="C773" s="80">
        <f>11.4414 * CHOOSE(CONTROL!$C$32, $C$9, 100%, $E$9)</f>
        <v>11.4414</v>
      </c>
      <c r="D773" s="80">
        <f>11.4424 * CHOOSE(CONTROL!$C$32, $C$9, 100%, $E$9)</f>
        <v>11.442399999999999</v>
      </c>
      <c r="E773" s="81">
        <f>13.0645 * CHOOSE(CONTROL!$C$32, $C$9, 100%, $E$9)</f>
        <v>13.064500000000001</v>
      </c>
      <c r="F773" s="81">
        <f>13.0645 * CHOOSE(CONTROL!$C$32, $C$9, 100%, $E$9)</f>
        <v>13.064500000000001</v>
      </c>
      <c r="G773" s="81">
        <f>13.0681 * CHOOSE(CONTROL!$C$32, $C$9, 100%, $E$9)</f>
        <v>13.068099999999999</v>
      </c>
      <c r="H773" s="81">
        <f>26.4024 * CHOOSE(CONTROL!$C$32, $C$9, 100%, $E$9)</f>
        <v>26.4024</v>
      </c>
      <c r="I773" s="81">
        <f>26.406 * CHOOSE(CONTROL!$C$32, $C$9, 100%, $E$9)</f>
        <v>26.405999999999999</v>
      </c>
      <c r="J773" s="81">
        <f>26.4024 * CHOOSE(CONTROL!$C$32, $C$9, 100%, $E$9)</f>
        <v>26.4024</v>
      </c>
      <c r="K773" s="81">
        <f>26.406 * CHOOSE(CONTROL!$C$32, $C$9, 100%, $E$9)</f>
        <v>26.405999999999999</v>
      </c>
      <c r="L773" s="81">
        <f>13.0645 * CHOOSE(CONTROL!$C$32, $C$9, 100%, $E$9)</f>
        <v>13.064500000000001</v>
      </c>
      <c r="M773" s="81">
        <f>13.0681 * CHOOSE(CONTROL!$C$32, $C$9, 100%, $E$9)</f>
        <v>13.068099999999999</v>
      </c>
      <c r="N773" s="81">
        <f>13.0645 * CHOOSE(CONTROL!$C$32, $C$9, 100%, $E$9)</f>
        <v>13.064500000000001</v>
      </c>
      <c r="O773" s="81">
        <f>13.0681 * CHOOSE(CONTROL!$C$32, $C$9, 100%, $E$9)</f>
        <v>13.068099999999999</v>
      </c>
    </row>
    <row r="774" spans="1:15" ht="15" x14ac:dyDescent="0.2">
      <c r="A774" s="16">
        <v>64771</v>
      </c>
      <c r="B774" s="80">
        <f>11.4414 * CHOOSE(CONTROL!$C$32, $C$9, 100%, $E$9)</f>
        <v>11.4414</v>
      </c>
      <c r="C774" s="80">
        <f>11.4414 * CHOOSE(CONTROL!$C$32, $C$9, 100%, $E$9)</f>
        <v>11.4414</v>
      </c>
      <c r="D774" s="80">
        <f>11.4429 * CHOOSE(CONTROL!$C$32, $C$9, 100%, $E$9)</f>
        <v>11.4429</v>
      </c>
      <c r="E774" s="81">
        <f>13.172 * CHOOSE(CONTROL!$C$32, $C$9, 100%, $E$9)</f>
        <v>13.172000000000001</v>
      </c>
      <c r="F774" s="81">
        <f>13.172 * CHOOSE(CONTROL!$C$32, $C$9, 100%, $E$9)</f>
        <v>13.172000000000001</v>
      </c>
      <c r="G774" s="81">
        <f>13.1773 * CHOOSE(CONTROL!$C$32, $C$9, 100%, $E$9)</f>
        <v>13.177300000000001</v>
      </c>
      <c r="H774" s="81">
        <f>26.4574 * CHOOSE(CONTROL!$C$32, $C$9, 100%, $E$9)</f>
        <v>26.4574</v>
      </c>
      <c r="I774" s="81">
        <f>26.4627 * CHOOSE(CONTROL!$C$32, $C$9, 100%, $E$9)</f>
        <v>26.462700000000002</v>
      </c>
      <c r="J774" s="81">
        <f>26.4574 * CHOOSE(CONTROL!$C$32, $C$9, 100%, $E$9)</f>
        <v>26.4574</v>
      </c>
      <c r="K774" s="81">
        <f>26.4627 * CHOOSE(CONTROL!$C$32, $C$9, 100%, $E$9)</f>
        <v>26.462700000000002</v>
      </c>
      <c r="L774" s="81">
        <f>13.172 * CHOOSE(CONTROL!$C$32, $C$9, 100%, $E$9)</f>
        <v>13.172000000000001</v>
      </c>
      <c r="M774" s="81">
        <f>13.1773 * CHOOSE(CONTROL!$C$32, $C$9, 100%, $E$9)</f>
        <v>13.177300000000001</v>
      </c>
      <c r="N774" s="81">
        <f>13.172 * CHOOSE(CONTROL!$C$32, $C$9, 100%, $E$9)</f>
        <v>13.172000000000001</v>
      </c>
      <c r="O774" s="81">
        <f>13.1773 * CHOOSE(CONTROL!$C$32, $C$9, 100%, $E$9)</f>
        <v>13.177300000000001</v>
      </c>
    </row>
    <row r="775" spans="1:15" ht="15" x14ac:dyDescent="0.2">
      <c r="A775" s="16">
        <v>64802</v>
      </c>
      <c r="B775" s="80">
        <f>11.4474 * CHOOSE(CONTROL!$C$32, $C$9, 100%, $E$9)</f>
        <v>11.4474</v>
      </c>
      <c r="C775" s="80">
        <f>11.4474 * CHOOSE(CONTROL!$C$32, $C$9, 100%, $E$9)</f>
        <v>11.4474</v>
      </c>
      <c r="D775" s="80">
        <f>11.449 * CHOOSE(CONTROL!$C$32, $C$9, 100%, $E$9)</f>
        <v>11.449</v>
      </c>
      <c r="E775" s="81">
        <f>13.0688 * CHOOSE(CONTROL!$C$32, $C$9, 100%, $E$9)</f>
        <v>13.0688</v>
      </c>
      <c r="F775" s="81">
        <f>13.0688 * CHOOSE(CONTROL!$C$32, $C$9, 100%, $E$9)</f>
        <v>13.0688</v>
      </c>
      <c r="G775" s="81">
        <f>13.074 * CHOOSE(CONTROL!$C$32, $C$9, 100%, $E$9)</f>
        <v>13.074</v>
      </c>
      <c r="H775" s="81">
        <f>26.5125 * CHOOSE(CONTROL!$C$32, $C$9, 100%, $E$9)</f>
        <v>26.512499999999999</v>
      </c>
      <c r="I775" s="81">
        <f>26.5178 * CHOOSE(CONTROL!$C$32, $C$9, 100%, $E$9)</f>
        <v>26.517800000000001</v>
      </c>
      <c r="J775" s="81">
        <f>26.5125 * CHOOSE(CONTROL!$C$32, $C$9, 100%, $E$9)</f>
        <v>26.512499999999999</v>
      </c>
      <c r="K775" s="81">
        <f>26.5178 * CHOOSE(CONTROL!$C$32, $C$9, 100%, $E$9)</f>
        <v>26.517800000000001</v>
      </c>
      <c r="L775" s="81">
        <f>13.0688 * CHOOSE(CONTROL!$C$32, $C$9, 100%, $E$9)</f>
        <v>13.0688</v>
      </c>
      <c r="M775" s="81">
        <f>13.074 * CHOOSE(CONTROL!$C$32, $C$9, 100%, $E$9)</f>
        <v>13.074</v>
      </c>
      <c r="N775" s="81">
        <f>13.0688 * CHOOSE(CONTROL!$C$32, $C$9, 100%, $E$9)</f>
        <v>13.0688</v>
      </c>
      <c r="O775" s="81">
        <f>13.074 * CHOOSE(CONTROL!$C$32, $C$9, 100%, $E$9)</f>
        <v>13.074</v>
      </c>
    </row>
    <row r="776" spans="1:15" ht="15" x14ac:dyDescent="0.2">
      <c r="A776" s="16">
        <v>64832</v>
      </c>
      <c r="B776" s="80">
        <f>11.5877 * CHOOSE(CONTROL!$C$32, $C$9, 100%, $E$9)</f>
        <v>11.5877</v>
      </c>
      <c r="C776" s="80">
        <f>11.5877 * CHOOSE(CONTROL!$C$32, $C$9, 100%, $E$9)</f>
        <v>11.5877</v>
      </c>
      <c r="D776" s="80">
        <f>11.5893 * CHOOSE(CONTROL!$C$32, $C$9, 100%, $E$9)</f>
        <v>11.5893</v>
      </c>
      <c r="E776" s="81">
        <f>13.2529 * CHOOSE(CONTROL!$C$32, $C$9, 100%, $E$9)</f>
        <v>13.2529</v>
      </c>
      <c r="F776" s="81">
        <f>13.2529 * CHOOSE(CONTROL!$C$32, $C$9, 100%, $E$9)</f>
        <v>13.2529</v>
      </c>
      <c r="G776" s="81">
        <f>13.2582 * CHOOSE(CONTROL!$C$32, $C$9, 100%, $E$9)</f>
        <v>13.2582</v>
      </c>
      <c r="H776" s="81">
        <f>26.5678 * CHOOSE(CONTROL!$C$32, $C$9, 100%, $E$9)</f>
        <v>26.567799999999998</v>
      </c>
      <c r="I776" s="81">
        <f>26.5731 * CHOOSE(CONTROL!$C$32, $C$9, 100%, $E$9)</f>
        <v>26.5731</v>
      </c>
      <c r="J776" s="81">
        <f>26.5678 * CHOOSE(CONTROL!$C$32, $C$9, 100%, $E$9)</f>
        <v>26.567799999999998</v>
      </c>
      <c r="K776" s="81">
        <f>26.5731 * CHOOSE(CONTROL!$C$32, $C$9, 100%, $E$9)</f>
        <v>26.5731</v>
      </c>
      <c r="L776" s="81">
        <f>13.2529 * CHOOSE(CONTROL!$C$32, $C$9, 100%, $E$9)</f>
        <v>13.2529</v>
      </c>
      <c r="M776" s="81">
        <f>13.2582 * CHOOSE(CONTROL!$C$32, $C$9, 100%, $E$9)</f>
        <v>13.2582</v>
      </c>
      <c r="N776" s="81">
        <f>13.2529 * CHOOSE(CONTROL!$C$32, $C$9, 100%, $E$9)</f>
        <v>13.2529</v>
      </c>
      <c r="O776" s="81">
        <f>13.2582 * CHOOSE(CONTROL!$C$32, $C$9, 100%, $E$9)</f>
        <v>13.2582</v>
      </c>
    </row>
    <row r="777" spans="1:15" ht="15" x14ac:dyDescent="0.2">
      <c r="A777" s="16">
        <v>64863</v>
      </c>
      <c r="B777" s="80">
        <f>11.5944 * CHOOSE(CONTROL!$C$32, $C$9, 100%, $E$9)</f>
        <v>11.5944</v>
      </c>
      <c r="C777" s="80">
        <f>11.5944 * CHOOSE(CONTROL!$C$32, $C$9, 100%, $E$9)</f>
        <v>11.5944</v>
      </c>
      <c r="D777" s="80">
        <f>11.596 * CHOOSE(CONTROL!$C$32, $C$9, 100%, $E$9)</f>
        <v>11.596</v>
      </c>
      <c r="E777" s="81">
        <f>12.9352 * CHOOSE(CONTROL!$C$32, $C$9, 100%, $E$9)</f>
        <v>12.9352</v>
      </c>
      <c r="F777" s="81">
        <f>12.9352 * CHOOSE(CONTROL!$C$32, $C$9, 100%, $E$9)</f>
        <v>12.9352</v>
      </c>
      <c r="G777" s="81">
        <f>12.9405 * CHOOSE(CONTROL!$C$32, $C$9, 100%, $E$9)</f>
        <v>12.9405</v>
      </c>
      <c r="H777" s="81">
        <f>26.6231 * CHOOSE(CONTROL!$C$32, $C$9, 100%, $E$9)</f>
        <v>26.623100000000001</v>
      </c>
      <c r="I777" s="81">
        <f>26.6284 * CHOOSE(CONTROL!$C$32, $C$9, 100%, $E$9)</f>
        <v>26.628399999999999</v>
      </c>
      <c r="J777" s="81">
        <f>26.6231 * CHOOSE(CONTROL!$C$32, $C$9, 100%, $E$9)</f>
        <v>26.623100000000001</v>
      </c>
      <c r="K777" s="81">
        <f>26.6284 * CHOOSE(CONTROL!$C$32, $C$9, 100%, $E$9)</f>
        <v>26.628399999999999</v>
      </c>
      <c r="L777" s="81">
        <f>12.9352 * CHOOSE(CONTROL!$C$32, $C$9, 100%, $E$9)</f>
        <v>12.9352</v>
      </c>
      <c r="M777" s="81">
        <f>12.9405 * CHOOSE(CONTROL!$C$32, $C$9, 100%, $E$9)</f>
        <v>12.9405</v>
      </c>
      <c r="N777" s="81">
        <f>12.9352 * CHOOSE(CONTROL!$C$32, $C$9, 100%, $E$9)</f>
        <v>12.9352</v>
      </c>
      <c r="O777" s="81">
        <f>12.9405 * CHOOSE(CONTROL!$C$32, $C$9, 100%, $E$9)</f>
        <v>12.9405</v>
      </c>
    </row>
    <row r="778" spans="1:15" ht="15" x14ac:dyDescent="0.2">
      <c r="A778" s="16">
        <v>64894</v>
      </c>
      <c r="B778" s="80">
        <f>11.5913 * CHOOSE(CONTROL!$C$32, $C$9, 100%, $E$9)</f>
        <v>11.5913</v>
      </c>
      <c r="C778" s="80">
        <f>11.5913 * CHOOSE(CONTROL!$C$32, $C$9, 100%, $E$9)</f>
        <v>11.5913</v>
      </c>
      <c r="D778" s="80">
        <f>11.5929 * CHOOSE(CONTROL!$C$32, $C$9, 100%, $E$9)</f>
        <v>11.5929</v>
      </c>
      <c r="E778" s="81">
        <f>12.8972 * CHOOSE(CONTROL!$C$32, $C$9, 100%, $E$9)</f>
        <v>12.8972</v>
      </c>
      <c r="F778" s="81">
        <f>12.8972 * CHOOSE(CONTROL!$C$32, $C$9, 100%, $E$9)</f>
        <v>12.8972</v>
      </c>
      <c r="G778" s="81">
        <f>12.9025 * CHOOSE(CONTROL!$C$32, $C$9, 100%, $E$9)</f>
        <v>12.9025</v>
      </c>
      <c r="H778" s="81">
        <f>26.6786 * CHOOSE(CONTROL!$C$32, $C$9, 100%, $E$9)</f>
        <v>26.678599999999999</v>
      </c>
      <c r="I778" s="81">
        <f>26.6839 * CHOOSE(CONTROL!$C$32, $C$9, 100%, $E$9)</f>
        <v>26.683900000000001</v>
      </c>
      <c r="J778" s="81">
        <f>26.6786 * CHOOSE(CONTROL!$C$32, $C$9, 100%, $E$9)</f>
        <v>26.678599999999999</v>
      </c>
      <c r="K778" s="81">
        <f>26.6839 * CHOOSE(CONTROL!$C$32, $C$9, 100%, $E$9)</f>
        <v>26.683900000000001</v>
      </c>
      <c r="L778" s="81">
        <f>12.8972 * CHOOSE(CONTROL!$C$32, $C$9, 100%, $E$9)</f>
        <v>12.8972</v>
      </c>
      <c r="M778" s="81">
        <f>12.9025 * CHOOSE(CONTROL!$C$32, $C$9, 100%, $E$9)</f>
        <v>12.9025</v>
      </c>
      <c r="N778" s="81">
        <f>12.8972 * CHOOSE(CONTROL!$C$32, $C$9, 100%, $E$9)</f>
        <v>12.8972</v>
      </c>
      <c r="O778" s="81">
        <f>12.9025 * CHOOSE(CONTROL!$C$32, $C$9, 100%, $E$9)</f>
        <v>12.9025</v>
      </c>
    </row>
    <row r="779" spans="1:15" ht="15" x14ac:dyDescent="0.2">
      <c r="A779" s="16">
        <v>64924</v>
      </c>
      <c r="B779" s="80">
        <f>11.6148 * CHOOSE(CONTROL!$C$32, $C$9, 100%, $E$9)</f>
        <v>11.614800000000001</v>
      </c>
      <c r="C779" s="80">
        <f>11.6148 * CHOOSE(CONTROL!$C$32, $C$9, 100%, $E$9)</f>
        <v>11.614800000000001</v>
      </c>
      <c r="D779" s="80">
        <f>11.6158 * CHOOSE(CONTROL!$C$32, $C$9, 100%, $E$9)</f>
        <v>11.6158</v>
      </c>
      <c r="E779" s="81">
        <f>13.0271 * CHOOSE(CONTROL!$C$32, $C$9, 100%, $E$9)</f>
        <v>13.027100000000001</v>
      </c>
      <c r="F779" s="81">
        <f>13.0271 * CHOOSE(CONTROL!$C$32, $C$9, 100%, $E$9)</f>
        <v>13.027100000000001</v>
      </c>
      <c r="G779" s="81">
        <f>13.0307 * CHOOSE(CONTROL!$C$32, $C$9, 100%, $E$9)</f>
        <v>13.0307</v>
      </c>
      <c r="H779" s="81">
        <f>26.7342 * CHOOSE(CONTROL!$C$32, $C$9, 100%, $E$9)</f>
        <v>26.734200000000001</v>
      </c>
      <c r="I779" s="81">
        <f>26.7378 * CHOOSE(CONTROL!$C$32, $C$9, 100%, $E$9)</f>
        <v>26.7378</v>
      </c>
      <c r="J779" s="81">
        <f>26.7342 * CHOOSE(CONTROL!$C$32, $C$9, 100%, $E$9)</f>
        <v>26.734200000000001</v>
      </c>
      <c r="K779" s="81">
        <f>26.7378 * CHOOSE(CONTROL!$C$32, $C$9, 100%, $E$9)</f>
        <v>26.7378</v>
      </c>
      <c r="L779" s="81">
        <f>13.0271 * CHOOSE(CONTROL!$C$32, $C$9, 100%, $E$9)</f>
        <v>13.027100000000001</v>
      </c>
      <c r="M779" s="81">
        <f>13.0307 * CHOOSE(CONTROL!$C$32, $C$9, 100%, $E$9)</f>
        <v>13.0307</v>
      </c>
      <c r="N779" s="81">
        <f>13.0271 * CHOOSE(CONTROL!$C$32, $C$9, 100%, $E$9)</f>
        <v>13.027100000000001</v>
      </c>
      <c r="O779" s="81">
        <f>13.0307 * CHOOSE(CONTROL!$C$32, $C$9, 100%, $E$9)</f>
        <v>13.0307</v>
      </c>
    </row>
    <row r="780" spans="1:15" ht="15" x14ac:dyDescent="0.2">
      <c r="A780" s="16">
        <v>64955</v>
      </c>
      <c r="B780" s="80">
        <f>11.6178 * CHOOSE(CONTROL!$C$32, $C$9, 100%, $E$9)</f>
        <v>11.617800000000001</v>
      </c>
      <c r="C780" s="80">
        <f>11.6178 * CHOOSE(CONTROL!$C$32, $C$9, 100%, $E$9)</f>
        <v>11.617800000000001</v>
      </c>
      <c r="D780" s="80">
        <f>11.6189 * CHOOSE(CONTROL!$C$32, $C$9, 100%, $E$9)</f>
        <v>11.6189</v>
      </c>
      <c r="E780" s="81">
        <f>13.1009 * CHOOSE(CONTROL!$C$32, $C$9, 100%, $E$9)</f>
        <v>13.100899999999999</v>
      </c>
      <c r="F780" s="81">
        <f>13.1009 * CHOOSE(CONTROL!$C$32, $C$9, 100%, $E$9)</f>
        <v>13.100899999999999</v>
      </c>
      <c r="G780" s="81">
        <f>13.1045 * CHOOSE(CONTROL!$C$32, $C$9, 100%, $E$9)</f>
        <v>13.1045</v>
      </c>
      <c r="H780" s="81">
        <f>26.7899 * CHOOSE(CONTROL!$C$32, $C$9, 100%, $E$9)</f>
        <v>26.789899999999999</v>
      </c>
      <c r="I780" s="81">
        <f>26.7935 * CHOOSE(CONTROL!$C$32, $C$9, 100%, $E$9)</f>
        <v>26.793500000000002</v>
      </c>
      <c r="J780" s="81">
        <f>26.7899 * CHOOSE(CONTROL!$C$32, $C$9, 100%, $E$9)</f>
        <v>26.789899999999999</v>
      </c>
      <c r="K780" s="81">
        <f>26.7935 * CHOOSE(CONTROL!$C$32, $C$9, 100%, $E$9)</f>
        <v>26.793500000000002</v>
      </c>
      <c r="L780" s="81">
        <f>13.1009 * CHOOSE(CONTROL!$C$32, $C$9, 100%, $E$9)</f>
        <v>13.100899999999999</v>
      </c>
      <c r="M780" s="81">
        <f>13.1045 * CHOOSE(CONTROL!$C$32, $C$9, 100%, $E$9)</f>
        <v>13.1045</v>
      </c>
      <c r="N780" s="81">
        <f>13.1009 * CHOOSE(CONTROL!$C$32, $C$9, 100%, $E$9)</f>
        <v>13.100899999999999</v>
      </c>
      <c r="O780" s="81">
        <f>13.1045 * CHOOSE(CONTROL!$C$32, $C$9, 100%, $E$9)</f>
        <v>13.1045</v>
      </c>
    </row>
    <row r="781" spans="1:15" ht="15" x14ac:dyDescent="0.2">
      <c r="A781" s="16">
        <v>64985</v>
      </c>
      <c r="B781" s="80">
        <f>11.6178 * CHOOSE(CONTROL!$C$32, $C$9, 100%, $E$9)</f>
        <v>11.617800000000001</v>
      </c>
      <c r="C781" s="80">
        <f>11.6178 * CHOOSE(CONTROL!$C$32, $C$9, 100%, $E$9)</f>
        <v>11.617800000000001</v>
      </c>
      <c r="D781" s="80">
        <f>11.6189 * CHOOSE(CONTROL!$C$32, $C$9, 100%, $E$9)</f>
        <v>11.6189</v>
      </c>
      <c r="E781" s="81">
        <f>12.9218 * CHOOSE(CONTROL!$C$32, $C$9, 100%, $E$9)</f>
        <v>12.921799999999999</v>
      </c>
      <c r="F781" s="81">
        <f>12.9218 * CHOOSE(CONTROL!$C$32, $C$9, 100%, $E$9)</f>
        <v>12.921799999999999</v>
      </c>
      <c r="G781" s="81">
        <f>12.9254 * CHOOSE(CONTROL!$C$32, $C$9, 100%, $E$9)</f>
        <v>12.9254</v>
      </c>
      <c r="H781" s="81">
        <f>26.8457 * CHOOSE(CONTROL!$C$32, $C$9, 100%, $E$9)</f>
        <v>26.845700000000001</v>
      </c>
      <c r="I781" s="81">
        <f>26.8493 * CHOOSE(CONTROL!$C$32, $C$9, 100%, $E$9)</f>
        <v>26.849299999999999</v>
      </c>
      <c r="J781" s="81">
        <f>26.8457 * CHOOSE(CONTROL!$C$32, $C$9, 100%, $E$9)</f>
        <v>26.845700000000001</v>
      </c>
      <c r="K781" s="81">
        <f>26.8493 * CHOOSE(CONTROL!$C$32, $C$9, 100%, $E$9)</f>
        <v>26.849299999999999</v>
      </c>
      <c r="L781" s="81">
        <f>12.9218 * CHOOSE(CONTROL!$C$32, $C$9, 100%, $E$9)</f>
        <v>12.921799999999999</v>
      </c>
      <c r="M781" s="81">
        <f>12.9254 * CHOOSE(CONTROL!$C$32, $C$9, 100%, $E$9)</f>
        <v>12.9254</v>
      </c>
      <c r="N781" s="81">
        <f>12.9218 * CHOOSE(CONTROL!$C$32, $C$9, 100%, $E$9)</f>
        <v>12.921799999999999</v>
      </c>
      <c r="O781" s="81">
        <f>12.9254 * CHOOSE(CONTROL!$C$32, $C$9, 100%, $E$9)</f>
        <v>12.9254</v>
      </c>
    </row>
    <row r="782" spans="1:15" ht="15" x14ac:dyDescent="0.2">
      <c r="A782" s="16">
        <v>65016</v>
      </c>
      <c r="B782" s="80">
        <f>11.6299 * CHOOSE(CONTROL!$C$32, $C$9, 100%, $E$9)</f>
        <v>11.629899999999999</v>
      </c>
      <c r="C782" s="80">
        <f>11.6299 * CHOOSE(CONTROL!$C$32, $C$9, 100%, $E$9)</f>
        <v>11.629899999999999</v>
      </c>
      <c r="D782" s="80">
        <f>11.631 * CHOOSE(CONTROL!$C$32, $C$9, 100%, $E$9)</f>
        <v>11.631</v>
      </c>
      <c r="E782" s="81">
        <f>13.0706 * CHOOSE(CONTROL!$C$32, $C$9, 100%, $E$9)</f>
        <v>13.070600000000001</v>
      </c>
      <c r="F782" s="81">
        <f>13.0706 * CHOOSE(CONTROL!$C$32, $C$9, 100%, $E$9)</f>
        <v>13.070600000000001</v>
      </c>
      <c r="G782" s="81">
        <f>13.0742 * CHOOSE(CONTROL!$C$32, $C$9, 100%, $E$9)</f>
        <v>13.074199999999999</v>
      </c>
      <c r="H782" s="81">
        <f>26.7021 * CHOOSE(CONTROL!$C$32, $C$9, 100%, $E$9)</f>
        <v>26.702100000000002</v>
      </c>
      <c r="I782" s="81">
        <f>26.7057 * CHOOSE(CONTROL!$C$32, $C$9, 100%, $E$9)</f>
        <v>26.7057</v>
      </c>
      <c r="J782" s="81">
        <f>26.7021 * CHOOSE(CONTROL!$C$32, $C$9, 100%, $E$9)</f>
        <v>26.702100000000002</v>
      </c>
      <c r="K782" s="81">
        <f>26.7057 * CHOOSE(CONTROL!$C$32, $C$9, 100%, $E$9)</f>
        <v>26.7057</v>
      </c>
      <c r="L782" s="81">
        <f>13.0706 * CHOOSE(CONTROL!$C$32, $C$9, 100%, $E$9)</f>
        <v>13.070600000000001</v>
      </c>
      <c r="M782" s="81">
        <f>13.0742 * CHOOSE(CONTROL!$C$32, $C$9, 100%, $E$9)</f>
        <v>13.074199999999999</v>
      </c>
      <c r="N782" s="81">
        <f>13.0706 * CHOOSE(CONTROL!$C$32, $C$9, 100%, $E$9)</f>
        <v>13.070600000000001</v>
      </c>
      <c r="O782" s="81">
        <f>13.0742 * CHOOSE(CONTROL!$C$32, $C$9, 100%, $E$9)</f>
        <v>13.074199999999999</v>
      </c>
    </row>
    <row r="783" spans="1:15" ht="15" x14ac:dyDescent="0.2">
      <c r="A783" s="16">
        <v>65047</v>
      </c>
      <c r="B783" s="80">
        <f>11.6269 * CHOOSE(CONTROL!$C$32, $C$9, 100%, $E$9)</f>
        <v>11.626899999999999</v>
      </c>
      <c r="C783" s="80">
        <f>11.6269 * CHOOSE(CONTROL!$C$32, $C$9, 100%, $E$9)</f>
        <v>11.626899999999999</v>
      </c>
      <c r="D783" s="80">
        <f>11.628 * CHOOSE(CONTROL!$C$32, $C$9, 100%, $E$9)</f>
        <v>11.628</v>
      </c>
      <c r="E783" s="81">
        <f>12.7228 * CHOOSE(CONTROL!$C$32, $C$9, 100%, $E$9)</f>
        <v>12.722799999999999</v>
      </c>
      <c r="F783" s="81">
        <f>12.7228 * CHOOSE(CONTROL!$C$32, $C$9, 100%, $E$9)</f>
        <v>12.722799999999999</v>
      </c>
      <c r="G783" s="81">
        <f>12.7265 * CHOOSE(CONTROL!$C$32, $C$9, 100%, $E$9)</f>
        <v>12.7265</v>
      </c>
      <c r="H783" s="81">
        <f>26.7577 * CHOOSE(CONTROL!$C$32, $C$9, 100%, $E$9)</f>
        <v>26.7577</v>
      </c>
      <c r="I783" s="81">
        <f>26.7614 * CHOOSE(CONTROL!$C$32, $C$9, 100%, $E$9)</f>
        <v>26.761399999999998</v>
      </c>
      <c r="J783" s="81">
        <f>26.7577 * CHOOSE(CONTROL!$C$32, $C$9, 100%, $E$9)</f>
        <v>26.7577</v>
      </c>
      <c r="K783" s="81">
        <f>26.7614 * CHOOSE(CONTROL!$C$32, $C$9, 100%, $E$9)</f>
        <v>26.761399999999998</v>
      </c>
      <c r="L783" s="81">
        <f>12.7228 * CHOOSE(CONTROL!$C$32, $C$9, 100%, $E$9)</f>
        <v>12.722799999999999</v>
      </c>
      <c r="M783" s="81">
        <f>12.7265 * CHOOSE(CONTROL!$C$32, $C$9, 100%, $E$9)</f>
        <v>12.7265</v>
      </c>
      <c r="N783" s="81">
        <f>12.7228 * CHOOSE(CONTROL!$C$32, $C$9, 100%, $E$9)</f>
        <v>12.722799999999999</v>
      </c>
      <c r="O783" s="81">
        <f>12.7265 * CHOOSE(CONTROL!$C$32, $C$9, 100%, $E$9)</f>
        <v>12.7265</v>
      </c>
    </row>
    <row r="784" spans="1:15" ht="15" x14ac:dyDescent="0.2">
      <c r="A784" s="16">
        <v>65075</v>
      </c>
      <c r="B784" s="80">
        <f>11.6239 * CHOOSE(CONTROL!$C$32, $C$9, 100%, $E$9)</f>
        <v>11.623900000000001</v>
      </c>
      <c r="C784" s="80">
        <f>11.6239 * CHOOSE(CONTROL!$C$32, $C$9, 100%, $E$9)</f>
        <v>11.623900000000001</v>
      </c>
      <c r="D784" s="80">
        <f>11.6249 * CHOOSE(CONTROL!$C$32, $C$9, 100%, $E$9)</f>
        <v>11.6249</v>
      </c>
      <c r="E784" s="81">
        <f>12.9932 * CHOOSE(CONTROL!$C$32, $C$9, 100%, $E$9)</f>
        <v>12.9932</v>
      </c>
      <c r="F784" s="81">
        <f>12.9932 * CHOOSE(CONTROL!$C$32, $C$9, 100%, $E$9)</f>
        <v>12.9932</v>
      </c>
      <c r="G784" s="81">
        <f>12.9968 * CHOOSE(CONTROL!$C$32, $C$9, 100%, $E$9)</f>
        <v>12.9968</v>
      </c>
      <c r="H784" s="81">
        <f>26.8135 * CHOOSE(CONTROL!$C$32, $C$9, 100%, $E$9)</f>
        <v>26.813500000000001</v>
      </c>
      <c r="I784" s="81">
        <f>26.8171 * CHOOSE(CONTROL!$C$32, $C$9, 100%, $E$9)</f>
        <v>26.8171</v>
      </c>
      <c r="J784" s="81">
        <f>26.8135 * CHOOSE(CONTROL!$C$32, $C$9, 100%, $E$9)</f>
        <v>26.813500000000001</v>
      </c>
      <c r="K784" s="81">
        <f>26.8171 * CHOOSE(CONTROL!$C$32, $C$9, 100%, $E$9)</f>
        <v>26.8171</v>
      </c>
      <c r="L784" s="81">
        <f>12.9932 * CHOOSE(CONTROL!$C$32, $C$9, 100%, $E$9)</f>
        <v>12.9932</v>
      </c>
      <c r="M784" s="81">
        <f>12.9968 * CHOOSE(CONTROL!$C$32, $C$9, 100%, $E$9)</f>
        <v>12.9968</v>
      </c>
      <c r="N784" s="81">
        <f>12.9932 * CHOOSE(CONTROL!$C$32, $C$9, 100%, $E$9)</f>
        <v>12.9932</v>
      </c>
      <c r="O784" s="81">
        <f>12.9968 * CHOOSE(CONTROL!$C$32, $C$9, 100%, $E$9)</f>
        <v>12.9968</v>
      </c>
    </row>
    <row r="785" spans="1:15" ht="15" x14ac:dyDescent="0.2">
      <c r="A785" s="16">
        <v>65106</v>
      </c>
      <c r="B785" s="80">
        <f>11.6289 * CHOOSE(CONTROL!$C$32, $C$9, 100%, $E$9)</f>
        <v>11.6289</v>
      </c>
      <c r="C785" s="80">
        <f>11.6289 * CHOOSE(CONTROL!$C$32, $C$9, 100%, $E$9)</f>
        <v>11.6289</v>
      </c>
      <c r="D785" s="80">
        <f>11.63 * CHOOSE(CONTROL!$C$32, $C$9, 100%, $E$9)</f>
        <v>11.63</v>
      </c>
      <c r="E785" s="81">
        <f>13.2815 * CHOOSE(CONTROL!$C$32, $C$9, 100%, $E$9)</f>
        <v>13.281499999999999</v>
      </c>
      <c r="F785" s="81">
        <f>13.2815 * CHOOSE(CONTROL!$C$32, $C$9, 100%, $E$9)</f>
        <v>13.281499999999999</v>
      </c>
      <c r="G785" s="81">
        <f>13.2851 * CHOOSE(CONTROL!$C$32, $C$9, 100%, $E$9)</f>
        <v>13.2851</v>
      </c>
      <c r="H785" s="81">
        <f>26.8693 * CHOOSE(CONTROL!$C$32, $C$9, 100%, $E$9)</f>
        <v>26.869299999999999</v>
      </c>
      <c r="I785" s="81">
        <f>26.873 * CHOOSE(CONTROL!$C$32, $C$9, 100%, $E$9)</f>
        <v>26.873000000000001</v>
      </c>
      <c r="J785" s="81">
        <f>26.8693 * CHOOSE(CONTROL!$C$32, $C$9, 100%, $E$9)</f>
        <v>26.869299999999999</v>
      </c>
      <c r="K785" s="81">
        <f>26.873 * CHOOSE(CONTROL!$C$32, $C$9, 100%, $E$9)</f>
        <v>26.873000000000001</v>
      </c>
      <c r="L785" s="81">
        <f>13.2815 * CHOOSE(CONTROL!$C$32, $C$9, 100%, $E$9)</f>
        <v>13.281499999999999</v>
      </c>
      <c r="M785" s="81">
        <f>13.2851 * CHOOSE(CONTROL!$C$32, $C$9, 100%, $E$9)</f>
        <v>13.2851</v>
      </c>
      <c r="N785" s="81">
        <f>13.2815 * CHOOSE(CONTROL!$C$32, $C$9, 100%, $E$9)</f>
        <v>13.281499999999999</v>
      </c>
      <c r="O785" s="81">
        <f>13.2851 * CHOOSE(CONTROL!$C$32, $C$9, 100%, $E$9)</f>
        <v>13.2851</v>
      </c>
    </row>
    <row r="786" spans="1:15" ht="15" x14ac:dyDescent="0.2">
      <c r="A786" s="16">
        <v>65136</v>
      </c>
      <c r="B786" s="80">
        <f>11.6289 * CHOOSE(CONTROL!$C$32, $C$9, 100%, $E$9)</f>
        <v>11.6289</v>
      </c>
      <c r="C786" s="80">
        <f>11.6289 * CHOOSE(CONTROL!$C$32, $C$9, 100%, $E$9)</f>
        <v>11.6289</v>
      </c>
      <c r="D786" s="80">
        <f>11.6305 * CHOOSE(CONTROL!$C$32, $C$9, 100%, $E$9)</f>
        <v>11.6305</v>
      </c>
      <c r="E786" s="81">
        <f>13.3912 * CHOOSE(CONTROL!$C$32, $C$9, 100%, $E$9)</f>
        <v>13.3912</v>
      </c>
      <c r="F786" s="81">
        <f>13.3912 * CHOOSE(CONTROL!$C$32, $C$9, 100%, $E$9)</f>
        <v>13.3912</v>
      </c>
      <c r="G786" s="81">
        <f>13.3965 * CHOOSE(CONTROL!$C$32, $C$9, 100%, $E$9)</f>
        <v>13.3965</v>
      </c>
      <c r="H786" s="81">
        <f>26.9253 * CHOOSE(CONTROL!$C$32, $C$9, 100%, $E$9)</f>
        <v>26.9253</v>
      </c>
      <c r="I786" s="81">
        <f>26.9306 * CHOOSE(CONTROL!$C$32, $C$9, 100%, $E$9)</f>
        <v>26.930599999999998</v>
      </c>
      <c r="J786" s="81">
        <f>26.9253 * CHOOSE(CONTROL!$C$32, $C$9, 100%, $E$9)</f>
        <v>26.9253</v>
      </c>
      <c r="K786" s="81">
        <f>26.9306 * CHOOSE(CONTROL!$C$32, $C$9, 100%, $E$9)</f>
        <v>26.930599999999998</v>
      </c>
      <c r="L786" s="81">
        <f>13.3912 * CHOOSE(CONTROL!$C$32, $C$9, 100%, $E$9)</f>
        <v>13.3912</v>
      </c>
      <c r="M786" s="81">
        <f>13.3965 * CHOOSE(CONTROL!$C$32, $C$9, 100%, $E$9)</f>
        <v>13.3965</v>
      </c>
      <c r="N786" s="81">
        <f>13.3912 * CHOOSE(CONTROL!$C$32, $C$9, 100%, $E$9)</f>
        <v>13.3912</v>
      </c>
      <c r="O786" s="81">
        <f>13.3965 * CHOOSE(CONTROL!$C$32, $C$9, 100%, $E$9)</f>
        <v>13.3965</v>
      </c>
    </row>
    <row r="787" spans="1:15" ht="15" x14ac:dyDescent="0.2">
      <c r="A787" s="16">
        <v>65167</v>
      </c>
      <c r="B787" s="80">
        <f>11.635 * CHOOSE(CONTROL!$C$32, $C$9, 100%, $E$9)</f>
        <v>11.635</v>
      </c>
      <c r="C787" s="80">
        <f>11.635 * CHOOSE(CONTROL!$C$32, $C$9, 100%, $E$9)</f>
        <v>11.635</v>
      </c>
      <c r="D787" s="80">
        <f>11.6366 * CHOOSE(CONTROL!$C$32, $C$9, 100%, $E$9)</f>
        <v>11.6366</v>
      </c>
      <c r="E787" s="81">
        <f>13.2858 * CHOOSE(CONTROL!$C$32, $C$9, 100%, $E$9)</f>
        <v>13.2858</v>
      </c>
      <c r="F787" s="81">
        <f>13.2858 * CHOOSE(CONTROL!$C$32, $C$9, 100%, $E$9)</f>
        <v>13.2858</v>
      </c>
      <c r="G787" s="81">
        <f>13.2911 * CHOOSE(CONTROL!$C$32, $C$9, 100%, $E$9)</f>
        <v>13.2911</v>
      </c>
      <c r="H787" s="81">
        <f>26.9814 * CHOOSE(CONTROL!$C$32, $C$9, 100%, $E$9)</f>
        <v>26.981400000000001</v>
      </c>
      <c r="I787" s="81">
        <f>26.9867 * CHOOSE(CONTROL!$C$32, $C$9, 100%, $E$9)</f>
        <v>26.986699999999999</v>
      </c>
      <c r="J787" s="81">
        <f>26.9814 * CHOOSE(CONTROL!$C$32, $C$9, 100%, $E$9)</f>
        <v>26.981400000000001</v>
      </c>
      <c r="K787" s="81">
        <f>26.9867 * CHOOSE(CONTROL!$C$32, $C$9, 100%, $E$9)</f>
        <v>26.986699999999999</v>
      </c>
      <c r="L787" s="81">
        <f>13.2858 * CHOOSE(CONTROL!$C$32, $C$9, 100%, $E$9)</f>
        <v>13.2858</v>
      </c>
      <c r="M787" s="81">
        <f>13.2911 * CHOOSE(CONTROL!$C$32, $C$9, 100%, $E$9)</f>
        <v>13.2911</v>
      </c>
      <c r="N787" s="81">
        <f>13.2858 * CHOOSE(CONTROL!$C$32, $C$9, 100%, $E$9)</f>
        <v>13.2858</v>
      </c>
      <c r="O787" s="81">
        <f>13.2911 * CHOOSE(CONTROL!$C$32, $C$9, 100%, $E$9)</f>
        <v>13.2911</v>
      </c>
    </row>
    <row r="788" spans="1:15" ht="15" x14ac:dyDescent="0.2">
      <c r="A788" s="16">
        <v>65197</v>
      </c>
      <c r="B788" s="80">
        <f>11.7773 * CHOOSE(CONTROL!$C$32, $C$9, 100%, $E$9)</f>
        <v>11.7773</v>
      </c>
      <c r="C788" s="80">
        <f>11.7773 * CHOOSE(CONTROL!$C$32, $C$9, 100%, $E$9)</f>
        <v>11.7773</v>
      </c>
      <c r="D788" s="80">
        <f>11.7789 * CHOOSE(CONTROL!$C$32, $C$9, 100%, $E$9)</f>
        <v>11.7789</v>
      </c>
      <c r="E788" s="81">
        <f>13.4731 * CHOOSE(CONTROL!$C$32, $C$9, 100%, $E$9)</f>
        <v>13.473100000000001</v>
      </c>
      <c r="F788" s="81">
        <f>13.4731 * CHOOSE(CONTROL!$C$32, $C$9, 100%, $E$9)</f>
        <v>13.473100000000001</v>
      </c>
      <c r="G788" s="81">
        <f>13.4784 * CHOOSE(CONTROL!$C$32, $C$9, 100%, $E$9)</f>
        <v>13.478400000000001</v>
      </c>
      <c r="H788" s="81">
        <f>27.0376 * CHOOSE(CONTROL!$C$32, $C$9, 100%, $E$9)</f>
        <v>27.037600000000001</v>
      </c>
      <c r="I788" s="81">
        <f>27.0429 * CHOOSE(CONTROL!$C$32, $C$9, 100%, $E$9)</f>
        <v>27.042899999999999</v>
      </c>
      <c r="J788" s="81">
        <f>27.0376 * CHOOSE(CONTROL!$C$32, $C$9, 100%, $E$9)</f>
        <v>27.037600000000001</v>
      </c>
      <c r="K788" s="81">
        <f>27.0429 * CHOOSE(CONTROL!$C$32, $C$9, 100%, $E$9)</f>
        <v>27.042899999999999</v>
      </c>
      <c r="L788" s="81">
        <f>13.4731 * CHOOSE(CONTROL!$C$32, $C$9, 100%, $E$9)</f>
        <v>13.473100000000001</v>
      </c>
      <c r="M788" s="81">
        <f>13.4784 * CHOOSE(CONTROL!$C$32, $C$9, 100%, $E$9)</f>
        <v>13.478400000000001</v>
      </c>
      <c r="N788" s="81">
        <f>13.4731 * CHOOSE(CONTROL!$C$32, $C$9, 100%, $E$9)</f>
        <v>13.473100000000001</v>
      </c>
      <c r="O788" s="81">
        <f>13.4784 * CHOOSE(CONTROL!$C$32, $C$9, 100%, $E$9)</f>
        <v>13.478400000000001</v>
      </c>
    </row>
    <row r="789" spans="1:15" ht="15" x14ac:dyDescent="0.2">
      <c r="A789" s="16">
        <v>65228</v>
      </c>
      <c r="B789" s="80">
        <f>11.784 * CHOOSE(CONTROL!$C$32, $C$9, 100%, $E$9)</f>
        <v>11.784000000000001</v>
      </c>
      <c r="C789" s="80">
        <f>11.784 * CHOOSE(CONTROL!$C$32, $C$9, 100%, $E$9)</f>
        <v>11.784000000000001</v>
      </c>
      <c r="D789" s="80">
        <f>11.7856 * CHOOSE(CONTROL!$C$32, $C$9, 100%, $E$9)</f>
        <v>11.785600000000001</v>
      </c>
      <c r="E789" s="81">
        <f>13.1486 * CHOOSE(CONTROL!$C$32, $C$9, 100%, $E$9)</f>
        <v>13.1486</v>
      </c>
      <c r="F789" s="81">
        <f>13.1486 * CHOOSE(CONTROL!$C$32, $C$9, 100%, $E$9)</f>
        <v>13.1486</v>
      </c>
      <c r="G789" s="81">
        <f>13.1539 * CHOOSE(CONTROL!$C$32, $C$9, 100%, $E$9)</f>
        <v>13.1539</v>
      </c>
      <c r="H789" s="81">
        <f>27.094 * CHOOSE(CONTROL!$C$32, $C$9, 100%, $E$9)</f>
        <v>27.094000000000001</v>
      </c>
      <c r="I789" s="81">
        <f>27.0993 * CHOOSE(CONTROL!$C$32, $C$9, 100%, $E$9)</f>
        <v>27.099299999999999</v>
      </c>
      <c r="J789" s="81">
        <f>27.094 * CHOOSE(CONTROL!$C$32, $C$9, 100%, $E$9)</f>
        <v>27.094000000000001</v>
      </c>
      <c r="K789" s="81">
        <f>27.0993 * CHOOSE(CONTROL!$C$32, $C$9, 100%, $E$9)</f>
        <v>27.099299999999999</v>
      </c>
      <c r="L789" s="81">
        <f>13.1486 * CHOOSE(CONTROL!$C$32, $C$9, 100%, $E$9)</f>
        <v>13.1486</v>
      </c>
      <c r="M789" s="81">
        <f>13.1539 * CHOOSE(CONTROL!$C$32, $C$9, 100%, $E$9)</f>
        <v>13.1539</v>
      </c>
      <c r="N789" s="81">
        <f>13.1486 * CHOOSE(CONTROL!$C$32, $C$9, 100%, $E$9)</f>
        <v>13.1486</v>
      </c>
      <c r="O789" s="81">
        <f>13.1539 * CHOOSE(CONTROL!$C$32, $C$9, 100%, $E$9)</f>
        <v>13.1539</v>
      </c>
    </row>
    <row r="790" spans="1:15" ht="15" x14ac:dyDescent="0.2">
      <c r="A790" s="16">
        <v>65259</v>
      </c>
      <c r="B790" s="80">
        <f>11.7809 * CHOOSE(CONTROL!$C$32, $C$9, 100%, $E$9)</f>
        <v>11.780900000000001</v>
      </c>
      <c r="C790" s="80">
        <f>11.7809 * CHOOSE(CONTROL!$C$32, $C$9, 100%, $E$9)</f>
        <v>11.780900000000001</v>
      </c>
      <c r="D790" s="80">
        <f>11.7825 * CHOOSE(CONTROL!$C$32, $C$9, 100%, $E$9)</f>
        <v>11.782500000000001</v>
      </c>
      <c r="E790" s="81">
        <f>13.1099 * CHOOSE(CONTROL!$C$32, $C$9, 100%, $E$9)</f>
        <v>13.1099</v>
      </c>
      <c r="F790" s="81">
        <f>13.1099 * CHOOSE(CONTROL!$C$32, $C$9, 100%, $E$9)</f>
        <v>13.1099</v>
      </c>
      <c r="G790" s="81">
        <f>13.1152 * CHOOSE(CONTROL!$C$32, $C$9, 100%, $E$9)</f>
        <v>13.1152</v>
      </c>
      <c r="H790" s="81">
        <f>27.1504 * CHOOSE(CONTROL!$C$32, $C$9, 100%, $E$9)</f>
        <v>27.150400000000001</v>
      </c>
      <c r="I790" s="81">
        <f>27.1557 * CHOOSE(CONTROL!$C$32, $C$9, 100%, $E$9)</f>
        <v>27.1557</v>
      </c>
      <c r="J790" s="81">
        <f>27.1504 * CHOOSE(CONTROL!$C$32, $C$9, 100%, $E$9)</f>
        <v>27.150400000000001</v>
      </c>
      <c r="K790" s="81">
        <f>27.1557 * CHOOSE(CONTROL!$C$32, $C$9, 100%, $E$9)</f>
        <v>27.1557</v>
      </c>
      <c r="L790" s="81">
        <f>13.1099 * CHOOSE(CONTROL!$C$32, $C$9, 100%, $E$9)</f>
        <v>13.1099</v>
      </c>
      <c r="M790" s="81">
        <f>13.1152 * CHOOSE(CONTROL!$C$32, $C$9, 100%, $E$9)</f>
        <v>13.1152</v>
      </c>
      <c r="N790" s="81">
        <f>13.1099 * CHOOSE(CONTROL!$C$32, $C$9, 100%, $E$9)</f>
        <v>13.1099</v>
      </c>
      <c r="O790" s="81">
        <f>13.1152 * CHOOSE(CONTROL!$C$32, $C$9, 100%, $E$9)</f>
        <v>13.1152</v>
      </c>
    </row>
    <row r="791" spans="1:15" ht="15" x14ac:dyDescent="0.2">
      <c r="A791" s="16">
        <v>65289</v>
      </c>
      <c r="B791" s="80">
        <f>11.8051 * CHOOSE(CONTROL!$C$32, $C$9, 100%, $E$9)</f>
        <v>11.805099999999999</v>
      </c>
      <c r="C791" s="80">
        <f>11.8051 * CHOOSE(CONTROL!$C$32, $C$9, 100%, $E$9)</f>
        <v>11.805099999999999</v>
      </c>
      <c r="D791" s="80">
        <f>11.8062 * CHOOSE(CONTROL!$C$32, $C$9, 100%, $E$9)</f>
        <v>11.8062</v>
      </c>
      <c r="E791" s="81">
        <f>13.2428 * CHOOSE(CONTROL!$C$32, $C$9, 100%, $E$9)</f>
        <v>13.242800000000001</v>
      </c>
      <c r="F791" s="81">
        <f>13.2428 * CHOOSE(CONTROL!$C$32, $C$9, 100%, $E$9)</f>
        <v>13.242800000000001</v>
      </c>
      <c r="G791" s="81">
        <f>13.2464 * CHOOSE(CONTROL!$C$32, $C$9, 100%, $E$9)</f>
        <v>13.2464</v>
      </c>
      <c r="H791" s="81">
        <f>27.207 * CHOOSE(CONTROL!$C$32, $C$9, 100%, $E$9)</f>
        <v>27.207000000000001</v>
      </c>
      <c r="I791" s="81">
        <f>27.2106 * CHOOSE(CONTROL!$C$32, $C$9, 100%, $E$9)</f>
        <v>27.210599999999999</v>
      </c>
      <c r="J791" s="81">
        <f>27.207 * CHOOSE(CONTROL!$C$32, $C$9, 100%, $E$9)</f>
        <v>27.207000000000001</v>
      </c>
      <c r="K791" s="81">
        <f>27.2106 * CHOOSE(CONTROL!$C$32, $C$9, 100%, $E$9)</f>
        <v>27.210599999999999</v>
      </c>
      <c r="L791" s="81">
        <f>13.2428 * CHOOSE(CONTROL!$C$32, $C$9, 100%, $E$9)</f>
        <v>13.242800000000001</v>
      </c>
      <c r="M791" s="81">
        <f>13.2464 * CHOOSE(CONTROL!$C$32, $C$9, 100%, $E$9)</f>
        <v>13.2464</v>
      </c>
      <c r="N791" s="81">
        <f>13.2428 * CHOOSE(CONTROL!$C$32, $C$9, 100%, $E$9)</f>
        <v>13.242800000000001</v>
      </c>
      <c r="O791" s="81">
        <f>13.2464 * CHOOSE(CONTROL!$C$32, $C$9, 100%, $E$9)</f>
        <v>13.2464</v>
      </c>
    </row>
    <row r="792" spans="1:15" ht="15" x14ac:dyDescent="0.2">
      <c r="A792" s="16">
        <v>65320</v>
      </c>
      <c r="B792" s="80">
        <f>11.8081 * CHOOSE(CONTROL!$C$32, $C$9, 100%, $E$9)</f>
        <v>11.8081</v>
      </c>
      <c r="C792" s="80">
        <f>11.8081 * CHOOSE(CONTROL!$C$32, $C$9, 100%, $E$9)</f>
        <v>11.8081</v>
      </c>
      <c r="D792" s="80">
        <f>11.8092 * CHOOSE(CONTROL!$C$32, $C$9, 100%, $E$9)</f>
        <v>11.809200000000001</v>
      </c>
      <c r="E792" s="81">
        <f>13.3181 * CHOOSE(CONTROL!$C$32, $C$9, 100%, $E$9)</f>
        <v>13.318099999999999</v>
      </c>
      <c r="F792" s="81">
        <f>13.3181 * CHOOSE(CONTROL!$C$32, $C$9, 100%, $E$9)</f>
        <v>13.318099999999999</v>
      </c>
      <c r="G792" s="81">
        <f>13.3217 * CHOOSE(CONTROL!$C$32, $C$9, 100%, $E$9)</f>
        <v>13.3217</v>
      </c>
      <c r="H792" s="81">
        <f>27.2636 * CHOOSE(CONTROL!$C$32, $C$9, 100%, $E$9)</f>
        <v>27.2636</v>
      </c>
      <c r="I792" s="81">
        <f>27.2673 * CHOOSE(CONTROL!$C$32, $C$9, 100%, $E$9)</f>
        <v>27.267299999999999</v>
      </c>
      <c r="J792" s="81">
        <f>27.2636 * CHOOSE(CONTROL!$C$32, $C$9, 100%, $E$9)</f>
        <v>27.2636</v>
      </c>
      <c r="K792" s="81">
        <f>27.2673 * CHOOSE(CONTROL!$C$32, $C$9, 100%, $E$9)</f>
        <v>27.267299999999999</v>
      </c>
      <c r="L792" s="81">
        <f>13.3181 * CHOOSE(CONTROL!$C$32, $C$9, 100%, $E$9)</f>
        <v>13.318099999999999</v>
      </c>
      <c r="M792" s="81">
        <f>13.3217 * CHOOSE(CONTROL!$C$32, $C$9, 100%, $E$9)</f>
        <v>13.3217</v>
      </c>
      <c r="N792" s="81">
        <f>13.3181 * CHOOSE(CONTROL!$C$32, $C$9, 100%, $E$9)</f>
        <v>13.318099999999999</v>
      </c>
      <c r="O792" s="81">
        <f>13.3217 * CHOOSE(CONTROL!$C$32, $C$9, 100%, $E$9)</f>
        <v>13.3217</v>
      </c>
    </row>
    <row r="793" spans="1:15" ht="15" x14ac:dyDescent="0.2">
      <c r="A793" s="16">
        <v>65350</v>
      </c>
      <c r="B793" s="80">
        <f>11.8081 * CHOOSE(CONTROL!$C$32, $C$9, 100%, $E$9)</f>
        <v>11.8081</v>
      </c>
      <c r="C793" s="80">
        <f>11.8081 * CHOOSE(CONTROL!$C$32, $C$9, 100%, $E$9)</f>
        <v>11.8081</v>
      </c>
      <c r="D793" s="80">
        <f>11.8092 * CHOOSE(CONTROL!$C$32, $C$9, 100%, $E$9)</f>
        <v>11.809200000000001</v>
      </c>
      <c r="E793" s="81">
        <f>13.1352 * CHOOSE(CONTROL!$C$32, $C$9, 100%, $E$9)</f>
        <v>13.135199999999999</v>
      </c>
      <c r="F793" s="81">
        <f>13.1352 * CHOOSE(CONTROL!$C$32, $C$9, 100%, $E$9)</f>
        <v>13.135199999999999</v>
      </c>
      <c r="G793" s="81">
        <f>13.1388 * CHOOSE(CONTROL!$C$32, $C$9, 100%, $E$9)</f>
        <v>13.1388</v>
      </c>
      <c r="H793" s="81">
        <f>27.3204 * CHOOSE(CONTROL!$C$32, $C$9, 100%, $E$9)</f>
        <v>27.320399999999999</v>
      </c>
      <c r="I793" s="81">
        <f>27.3241 * CHOOSE(CONTROL!$C$32, $C$9, 100%, $E$9)</f>
        <v>27.324100000000001</v>
      </c>
      <c r="J793" s="81">
        <f>27.3204 * CHOOSE(CONTROL!$C$32, $C$9, 100%, $E$9)</f>
        <v>27.320399999999999</v>
      </c>
      <c r="K793" s="81">
        <f>27.3241 * CHOOSE(CONTROL!$C$32, $C$9, 100%, $E$9)</f>
        <v>27.324100000000001</v>
      </c>
      <c r="L793" s="81">
        <f>13.1352 * CHOOSE(CONTROL!$C$32, $C$9, 100%, $E$9)</f>
        <v>13.135199999999999</v>
      </c>
      <c r="M793" s="81">
        <f>13.1388 * CHOOSE(CONTROL!$C$32, $C$9, 100%, $E$9)</f>
        <v>13.1388</v>
      </c>
      <c r="N793" s="81">
        <f>13.1352 * CHOOSE(CONTROL!$C$32, $C$9, 100%, $E$9)</f>
        <v>13.135199999999999</v>
      </c>
      <c r="O793" s="81">
        <f>13.1388 * CHOOSE(CONTROL!$C$32, $C$9, 100%, $E$9)</f>
        <v>13.1388</v>
      </c>
    </row>
    <row r="794" spans="1:15" ht="15" x14ac:dyDescent="0.2">
      <c r="A794" s="16">
        <v>65381</v>
      </c>
      <c r="B794" s="80">
        <f>11.8173 * CHOOSE(CONTROL!$C$32, $C$9, 100%, $E$9)</f>
        <v>11.817299999999999</v>
      </c>
      <c r="C794" s="80">
        <f>11.8173 * CHOOSE(CONTROL!$C$32, $C$9, 100%, $E$9)</f>
        <v>11.817299999999999</v>
      </c>
      <c r="D794" s="80">
        <f>11.8184 * CHOOSE(CONTROL!$C$32, $C$9, 100%, $E$9)</f>
        <v>11.8184</v>
      </c>
      <c r="E794" s="81">
        <f>13.2831 * CHOOSE(CONTROL!$C$32, $C$9, 100%, $E$9)</f>
        <v>13.283099999999999</v>
      </c>
      <c r="F794" s="81">
        <f>13.2831 * CHOOSE(CONTROL!$C$32, $C$9, 100%, $E$9)</f>
        <v>13.283099999999999</v>
      </c>
      <c r="G794" s="81">
        <f>13.2867 * CHOOSE(CONTROL!$C$32, $C$9, 100%, $E$9)</f>
        <v>13.2867</v>
      </c>
      <c r="H794" s="81">
        <f>27.1661 * CHOOSE(CONTROL!$C$32, $C$9, 100%, $E$9)</f>
        <v>27.1661</v>
      </c>
      <c r="I794" s="81">
        <f>27.1698 * CHOOSE(CONTROL!$C$32, $C$9, 100%, $E$9)</f>
        <v>27.169799999999999</v>
      </c>
      <c r="J794" s="81">
        <f>27.1661 * CHOOSE(CONTROL!$C$32, $C$9, 100%, $E$9)</f>
        <v>27.1661</v>
      </c>
      <c r="K794" s="81">
        <f>27.1698 * CHOOSE(CONTROL!$C$32, $C$9, 100%, $E$9)</f>
        <v>27.169799999999999</v>
      </c>
      <c r="L794" s="81">
        <f>13.2831 * CHOOSE(CONTROL!$C$32, $C$9, 100%, $E$9)</f>
        <v>13.283099999999999</v>
      </c>
      <c r="M794" s="81">
        <f>13.2867 * CHOOSE(CONTROL!$C$32, $C$9, 100%, $E$9)</f>
        <v>13.2867</v>
      </c>
      <c r="N794" s="81">
        <f>13.2831 * CHOOSE(CONTROL!$C$32, $C$9, 100%, $E$9)</f>
        <v>13.283099999999999</v>
      </c>
      <c r="O794" s="81">
        <f>13.2867 * CHOOSE(CONTROL!$C$32, $C$9, 100%, $E$9)</f>
        <v>13.2867</v>
      </c>
    </row>
    <row r="795" spans="1:15" ht="15" x14ac:dyDescent="0.2">
      <c r="A795" s="16">
        <v>65412</v>
      </c>
      <c r="B795" s="80">
        <f>11.8143 * CHOOSE(CONTROL!$C$32, $C$9, 100%, $E$9)</f>
        <v>11.814299999999999</v>
      </c>
      <c r="C795" s="80">
        <f>11.8143 * CHOOSE(CONTROL!$C$32, $C$9, 100%, $E$9)</f>
        <v>11.814299999999999</v>
      </c>
      <c r="D795" s="80">
        <f>11.8153 * CHOOSE(CONTROL!$C$32, $C$9, 100%, $E$9)</f>
        <v>11.815300000000001</v>
      </c>
      <c r="E795" s="81">
        <f>12.9283 * CHOOSE(CONTROL!$C$32, $C$9, 100%, $E$9)</f>
        <v>12.9283</v>
      </c>
      <c r="F795" s="81">
        <f>12.9283 * CHOOSE(CONTROL!$C$32, $C$9, 100%, $E$9)</f>
        <v>12.9283</v>
      </c>
      <c r="G795" s="81">
        <f>12.9319 * CHOOSE(CONTROL!$C$32, $C$9, 100%, $E$9)</f>
        <v>12.931900000000001</v>
      </c>
      <c r="H795" s="81">
        <f>27.2227 * CHOOSE(CONTROL!$C$32, $C$9, 100%, $E$9)</f>
        <v>27.2227</v>
      </c>
      <c r="I795" s="81">
        <f>27.2264 * CHOOSE(CONTROL!$C$32, $C$9, 100%, $E$9)</f>
        <v>27.226400000000002</v>
      </c>
      <c r="J795" s="81">
        <f>27.2227 * CHOOSE(CONTROL!$C$32, $C$9, 100%, $E$9)</f>
        <v>27.2227</v>
      </c>
      <c r="K795" s="81">
        <f>27.2264 * CHOOSE(CONTROL!$C$32, $C$9, 100%, $E$9)</f>
        <v>27.226400000000002</v>
      </c>
      <c r="L795" s="81">
        <f>12.9283 * CHOOSE(CONTROL!$C$32, $C$9, 100%, $E$9)</f>
        <v>12.9283</v>
      </c>
      <c r="M795" s="81">
        <f>12.9319 * CHOOSE(CONTROL!$C$32, $C$9, 100%, $E$9)</f>
        <v>12.931900000000001</v>
      </c>
      <c r="N795" s="81">
        <f>12.9283 * CHOOSE(CONTROL!$C$32, $C$9, 100%, $E$9)</f>
        <v>12.9283</v>
      </c>
      <c r="O795" s="81">
        <f>12.9319 * CHOOSE(CONTROL!$C$32, $C$9, 100%, $E$9)</f>
        <v>12.931900000000001</v>
      </c>
    </row>
    <row r="796" spans="1:15" ht="15" x14ac:dyDescent="0.2">
      <c r="A796" s="16">
        <v>65440</v>
      </c>
      <c r="B796" s="80">
        <f>11.8112 * CHOOSE(CONTROL!$C$32, $C$9, 100%, $E$9)</f>
        <v>11.811199999999999</v>
      </c>
      <c r="C796" s="80">
        <f>11.8112 * CHOOSE(CONTROL!$C$32, $C$9, 100%, $E$9)</f>
        <v>11.811199999999999</v>
      </c>
      <c r="D796" s="80">
        <f>11.8123 * CHOOSE(CONTROL!$C$32, $C$9, 100%, $E$9)</f>
        <v>11.8123</v>
      </c>
      <c r="E796" s="81">
        <f>13.2042 * CHOOSE(CONTROL!$C$32, $C$9, 100%, $E$9)</f>
        <v>13.2042</v>
      </c>
      <c r="F796" s="81">
        <f>13.2042 * CHOOSE(CONTROL!$C$32, $C$9, 100%, $E$9)</f>
        <v>13.2042</v>
      </c>
      <c r="G796" s="81">
        <f>13.2078 * CHOOSE(CONTROL!$C$32, $C$9, 100%, $E$9)</f>
        <v>13.207800000000001</v>
      </c>
      <c r="H796" s="81">
        <f>27.2795 * CHOOSE(CONTROL!$C$32, $C$9, 100%, $E$9)</f>
        <v>27.279499999999999</v>
      </c>
      <c r="I796" s="81">
        <f>27.2831 * CHOOSE(CONTROL!$C$32, $C$9, 100%, $E$9)</f>
        <v>27.283100000000001</v>
      </c>
      <c r="J796" s="81">
        <f>27.2795 * CHOOSE(CONTROL!$C$32, $C$9, 100%, $E$9)</f>
        <v>27.279499999999999</v>
      </c>
      <c r="K796" s="81">
        <f>27.2831 * CHOOSE(CONTROL!$C$32, $C$9, 100%, $E$9)</f>
        <v>27.283100000000001</v>
      </c>
      <c r="L796" s="81">
        <f>13.2042 * CHOOSE(CONTROL!$C$32, $C$9, 100%, $E$9)</f>
        <v>13.2042</v>
      </c>
      <c r="M796" s="81">
        <f>13.2078 * CHOOSE(CONTROL!$C$32, $C$9, 100%, $E$9)</f>
        <v>13.207800000000001</v>
      </c>
      <c r="N796" s="81">
        <f>13.2042 * CHOOSE(CONTROL!$C$32, $C$9, 100%, $E$9)</f>
        <v>13.2042</v>
      </c>
      <c r="O796" s="81">
        <f>13.2078 * CHOOSE(CONTROL!$C$32, $C$9, 100%, $E$9)</f>
        <v>13.207800000000001</v>
      </c>
    </row>
    <row r="797" spans="1:15" ht="15" x14ac:dyDescent="0.2">
      <c r="A797" s="16">
        <v>65471</v>
      </c>
      <c r="B797" s="80">
        <f>11.8164 * CHOOSE(CONTROL!$C$32, $C$9, 100%, $E$9)</f>
        <v>11.8164</v>
      </c>
      <c r="C797" s="80">
        <f>11.8164 * CHOOSE(CONTROL!$C$32, $C$9, 100%, $E$9)</f>
        <v>11.8164</v>
      </c>
      <c r="D797" s="80">
        <f>11.8175 * CHOOSE(CONTROL!$C$32, $C$9, 100%, $E$9)</f>
        <v>11.817500000000001</v>
      </c>
      <c r="E797" s="81">
        <f>13.4985 * CHOOSE(CONTROL!$C$32, $C$9, 100%, $E$9)</f>
        <v>13.4985</v>
      </c>
      <c r="F797" s="81">
        <f>13.4985 * CHOOSE(CONTROL!$C$32, $C$9, 100%, $E$9)</f>
        <v>13.4985</v>
      </c>
      <c r="G797" s="81">
        <f>13.5021 * CHOOSE(CONTROL!$C$32, $C$9, 100%, $E$9)</f>
        <v>13.5021</v>
      </c>
      <c r="H797" s="81">
        <f>27.3363 * CHOOSE(CONTROL!$C$32, $C$9, 100%, $E$9)</f>
        <v>27.336300000000001</v>
      </c>
      <c r="I797" s="81">
        <f>27.3399 * CHOOSE(CONTROL!$C$32, $C$9, 100%, $E$9)</f>
        <v>27.3399</v>
      </c>
      <c r="J797" s="81">
        <f>27.3363 * CHOOSE(CONTROL!$C$32, $C$9, 100%, $E$9)</f>
        <v>27.336300000000001</v>
      </c>
      <c r="K797" s="81">
        <f>27.3399 * CHOOSE(CONTROL!$C$32, $C$9, 100%, $E$9)</f>
        <v>27.3399</v>
      </c>
      <c r="L797" s="81">
        <f>13.4985 * CHOOSE(CONTROL!$C$32, $C$9, 100%, $E$9)</f>
        <v>13.4985</v>
      </c>
      <c r="M797" s="81">
        <f>13.5021 * CHOOSE(CONTROL!$C$32, $C$9, 100%, $E$9)</f>
        <v>13.5021</v>
      </c>
      <c r="N797" s="81">
        <f>13.4985 * CHOOSE(CONTROL!$C$32, $C$9, 100%, $E$9)</f>
        <v>13.4985</v>
      </c>
      <c r="O797" s="81">
        <f>13.5021 * CHOOSE(CONTROL!$C$32, $C$9, 100%, $E$9)</f>
        <v>13.5021</v>
      </c>
    </row>
    <row r="798" spans="1:15" ht="15" x14ac:dyDescent="0.2">
      <c r="A798" s="16">
        <v>65501</v>
      </c>
      <c r="B798" s="80">
        <f>11.8164 * CHOOSE(CONTROL!$C$32, $C$9, 100%, $E$9)</f>
        <v>11.8164</v>
      </c>
      <c r="C798" s="80">
        <f>11.8164 * CHOOSE(CONTROL!$C$32, $C$9, 100%, $E$9)</f>
        <v>11.8164</v>
      </c>
      <c r="D798" s="80">
        <f>11.818 * CHOOSE(CONTROL!$C$32, $C$9, 100%, $E$9)</f>
        <v>11.818</v>
      </c>
      <c r="E798" s="81">
        <f>13.6105 * CHOOSE(CONTROL!$C$32, $C$9, 100%, $E$9)</f>
        <v>13.6105</v>
      </c>
      <c r="F798" s="81">
        <f>13.6105 * CHOOSE(CONTROL!$C$32, $C$9, 100%, $E$9)</f>
        <v>13.6105</v>
      </c>
      <c r="G798" s="81">
        <f>13.6158 * CHOOSE(CONTROL!$C$32, $C$9, 100%, $E$9)</f>
        <v>13.6158</v>
      </c>
      <c r="H798" s="81">
        <f>27.3932 * CHOOSE(CONTROL!$C$32, $C$9, 100%, $E$9)</f>
        <v>27.3932</v>
      </c>
      <c r="I798" s="81">
        <f>27.3985 * CHOOSE(CONTROL!$C$32, $C$9, 100%, $E$9)</f>
        <v>27.398499999999999</v>
      </c>
      <c r="J798" s="81">
        <f>27.3932 * CHOOSE(CONTROL!$C$32, $C$9, 100%, $E$9)</f>
        <v>27.3932</v>
      </c>
      <c r="K798" s="81">
        <f>27.3985 * CHOOSE(CONTROL!$C$32, $C$9, 100%, $E$9)</f>
        <v>27.398499999999999</v>
      </c>
      <c r="L798" s="81">
        <f>13.6105 * CHOOSE(CONTROL!$C$32, $C$9, 100%, $E$9)</f>
        <v>13.6105</v>
      </c>
      <c r="M798" s="81">
        <f>13.6158 * CHOOSE(CONTROL!$C$32, $C$9, 100%, $E$9)</f>
        <v>13.6158</v>
      </c>
      <c r="N798" s="81">
        <f>13.6105 * CHOOSE(CONTROL!$C$32, $C$9, 100%, $E$9)</f>
        <v>13.6105</v>
      </c>
      <c r="O798" s="81">
        <f>13.6158 * CHOOSE(CONTROL!$C$32, $C$9, 100%, $E$9)</f>
        <v>13.6158</v>
      </c>
    </row>
    <row r="799" spans="1:15" ht="15" x14ac:dyDescent="0.2">
      <c r="A799" s="16">
        <v>65532</v>
      </c>
      <c r="B799" s="80">
        <f>11.8225 * CHOOSE(CONTROL!$C$32, $C$9, 100%, $E$9)</f>
        <v>11.8225</v>
      </c>
      <c r="C799" s="80">
        <f>11.8225 * CHOOSE(CONTROL!$C$32, $C$9, 100%, $E$9)</f>
        <v>11.8225</v>
      </c>
      <c r="D799" s="80">
        <f>11.8241 * CHOOSE(CONTROL!$C$32, $C$9, 100%, $E$9)</f>
        <v>11.8241</v>
      </c>
      <c r="E799" s="81">
        <f>13.5028 * CHOOSE(CONTROL!$C$32, $C$9, 100%, $E$9)</f>
        <v>13.502800000000001</v>
      </c>
      <c r="F799" s="81">
        <f>13.5028 * CHOOSE(CONTROL!$C$32, $C$9, 100%, $E$9)</f>
        <v>13.502800000000001</v>
      </c>
      <c r="G799" s="81">
        <f>13.5081 * CHOOSE(CONTROL!$C$32, $C$9, 100%, $E$9)</f>
        <v>13.508100000000001</v>
      </c>
      <c r="H799" s="81">
        <f>27.4503 * CHOOSE(CONTROL!$C$32, $C$9, 100%, $E$9)</f>
        <v>27.450299999999999</v>
      </c>
      <c r="I799" s="81">
        <f>27.4556 * CHOOSE(CONTROL!$C$32, $C$9, 100%, $E$9)</f>
        <v>27.4556</v>
      </c>
      <c r="J799" s="81">
        <f>27.4503 * CHOOSE(CONTROL!$C$32, $C$9, 100%, $E$9)</f>
        <v>27.450299999999999</v>
      </c>
      <c r="K799" s="81">
        <f>27.4556 * CHOOSE(CONTROL!$C$32, $C$9, 100%, $E$9)</f>
        <v>27.4556</v>
      </c>
      <c r="L799" s="81">
        <f>13.5028 * CHOOSE(CONTROL!$C$32, $C$9, 100%, $E$9)</f>
        <v>13.502800000000001</v>
      </c>
      <c r="M799" s="81">
        <f>13.5081 * CHOOSE(CONTROL!$C$32, $C$9, 100%, $E$9)</f>
        <v>13.508100000000001</v>
      </c>
      <c r="N799" s="81">
        <f>13.5028 * CHOOSE(CONTROL!$C$32, $C$9, 100%, $E$9)</f>
        <v>13.502800000000001</v>
      </c>
      <c r="O799" s="81">
        <f>13.5081 * CHOOSE(CONTROL!$C$32, $C$9, 100%, $E$9)</f>
        <v>13.508100000000001</v>
      </c>
    </row>
    <row r="800" spans="1:15" ht="15" x14ac:dyDescent="0.2">
      <c r="A800" s="16">
        <v>65562</v>
      </c>
      <c r="B800" s="80">
        <f>11.9669 * CHOOSE(CONTROL!$C$32, $C$9, 100%, $E$9)</f>
        <v>11.966900000000001</v>
      </c>
      <c r="C800" s="80">
        <f>11.9669 * CHOOSE(CONTROL!$C$32, $C$9, 100%, $E$9)</f>
        <v>11.966900000000001</v>
      </c>
      <c r="D800" s="80">
        <f>11.9685 * CHOOSE(CONTROL!$C$32, $C$9, 100%, $E$9)</f>
        <v>11.968500000000001</v>
      </c>
      <c r="E800" s="81">
        <f>13.6933 * CHOOSE(CONTROL!$C$32, $C$9, 100%, $E$9)</f>
        <v>13.693300000000001</v>
      </c>
      <c r="F800" s="81">
        <f>13.6933 * CHOOSE(CONTROL!$C$32, $C$9, 100%, $E$9)</f>
        <v>13.693300000000001</v>
      </c>
      <c r="G800" s="81">
        <f>13.6986 * CHOOSE(CONTROL!$C$32, $C$9, 100%, $E$9)</f>
        <v>13.698600000000001</v>
      </c>
      <c r="H800" s="81">
        <f>27.5075 * CHOOSE(CONTROL!$C$32, $C$9, 100%, $E$9)</f>
        <v>27.5075</v>
      </c>
      <c r="I800" s="81">
        <f>27.5128 * CHOOSE(CONTROL!$C$32, $C$9, 100%, $E$9)</f>
        <v>27.512799999999999</v>
      </c>
      <c r="J800" s="81">
        <f>27.5075 * CHOOSE(CONTROL!$C$32, $C$9, 100%, $E$9)</f>
        <v>27.5075</v>
      </c>
      <c r="K800" s="81">
        <f>27.5128 * CHOOSE(CONTROL!$C$32, $C$9, 100%, $E$9)</f>
        <v>27.512799999999999</v>
      </c>
      <c r="L800" s="81">
        <f>13.6933 * CHOOSE(CONTROL!$C$32, $C$9, 100%, $E$9)</f>
        <v>13.693300000000001</v>
      </c>
      <c r="M800" s="81">
        <f>13.6986 * CHOOSE(CONTROL!$C$32, $C$9, 100%, $E$9)</f>
        <v>13.698600000000001</v>
      </c>
      <c r="N800" s="81">
        <f>13.6933 * CHOOSE(CONTROL!$C$32, $C$9, 100%, $E$9)</f>
        <v>13.693300000000001</v>
      </c>
      <c r="O800" s="81">
        <f>13.6986 * CHOOSE(CONTROL!$C$32, $C$9, 100%, $E$9)</f>
        <v>13.698600000000001</v>
      </c>
    </row>
    <row r="801" spans="1:15" ht="15" x14ac:dyDescent="0.2">
      <c r="A801" s="16">
        <v>65593</v>
      </c>
      <c r="B801" s="80">
        <f>11.9736 * CHOOSE(CONTROL!$C$32, $C$9, 100%, $E$9)</f>
        <v>11.973599999999999</v>
      </c>
      <c r="C801" s="80">
        <f>11.9736 * CHOOSE(CONTROL!$C$32, $C$9, 100%, $E$9)</f>
        <v>11.973599999999999</v>
      </c>
      <c r="D801" s="80">
        <f>11.9752 * CHOOSE(CONTROL!$C$32, $C$9, 100%, $E$9)</f>
        <v>11.975199999999999</v>
      </c>
      <c r="E801" s="81">
        <f>13.3621 * CHOOSE(CONTROL!$C$32, $C$9, 100%, $E$9)</f>
        <v>13.3621</v>
      </c>
      <c r="F801" s="81">
        <f>13.3621 * CHOOSE(CONTROL!$C$32, $C$9, 100%, $E$9)</f>
        <v>13.3621</v>
      </c>
      <c r="G801" s="81">
        <f>13.3673 * CHOOSE(CONTROL!$C$32, $C$9, 100%, $E$9)</f>
        <v>13.3673</v>
      </c>
      <c r="H801" s="81">
        <f>27.5648 * CHOOSE(CONTROL!$C$32, $C$9, 100%, $E$9)</f>
        <v>27.564800000000002</v>
      </c>
      <c r="I801" s="81">
        <f>27.5701 * CHOOSE(CONTROL!$C$32, $C$9, 100%, $E$9)</f>
        <v>27.5701</v>
      </c>
      <c r="J801" s="81">
        <f>27.5648 * CHOOSE(CONTROL!$C$32, $C$9, 100%, $E$9)</f>
        <v>27.564800000000002</v>
      </c>
      <c r="K801" s="81">
        <f>27.5701 * CHOOSE(CONTROL!$C$32, $C$9, 100%, $E$9)</f>
        <v>27.5701</v>
      </c>
      <c r="L801" s="81">
        <f>13.3621 * CHOOSE(CONTROL!$C$32, $C$9, 100%, $E$9)</f>
        <v>13.3621</v>
      </c>
      <c r="M801" s="81">
        <f>13.3673 * CHOOSE(CONTROL!$C$32, $C$9, 100%, $E$9)</f>
        <v>13.3673</v>
      </c>
      <c r="N801" s="81">
        <f>13.3621 * CHOOSE(CONTROL!$C$32, $C$9, 100%, $E$9)</f>
        <v>13.3621</v>
      </c>
      <c r="O801" s="81">
        <f>13.3673 * CHOOSE(CONTROL!$C$32, $C$9, 100%, $E$9)</f>
        <v>13.3673</v>
      </c>
    </row>
    <row r="802" spans="1:15" ht="15" x14ac:dyDescent="0.2">
      <c r="A802" s="16">
        <v>65624</v>
      </c>
      <c r="B802" s="80">
        <f>11.9705 * CHOOSE(CONTROL!$C$32, $C$9, 100%, $E$9)</f>
        <v>11.970499999999999</v>
      </c>
      <c r="C802" s="80">
        <f>11.9705 * CHOOSE(CONTROL!$C$32, $C$9, 100%, $E$9)</f>
        <v>11.970499999999999</v>
      </c>
      <c r="D802" s="80">
        <f>11.9721 * CHOOSE(CONTROL!$C$32, $C$9, 100%, $E$9)</f>
        <v>11.972099999999999</v>
      </c>
      <c r="E802" s="81">
        <f>13.3226 * CHOOSE(CONTROL!$C$32, $C$9, 100%, $E$9)</f>
        <v>13.3226</v>
      </c>
      <c r="F802" s="81">
        <f>13.3226 * CHOOSE(CONTROL!$C$32, $C$9, 100%, $E$9)</f>
        <v>13.3226</v>
      </c>
      <c r="G802" s="81">
        <f>13.3279 * CHOOSE(CONTROL!$C$32, $C$9, 100%, $E$9)</f>
        <v>13.3279</v>
      </c>
      <c r="H802" s="81">
        <f>27.6222 * CHOOSE(CONTROL!$C$32, $C$9, 100%, $E$9)</f>
        <v>27.622199999999999</v>
      </c>
      <c r="I802" s="81">
        <f>27.6275 * CHOOSE(CONTROL!$C$32, $C$9, 100%, $E$9)</f>
        <v>27.627500000000001</v>
      </c>
      <c r="J802" s="81">
        <f>27.6222 * CHOOSE(CONTROL!$C$32, $C$9, 100%, $E$9)</f>
        <v>27.622199999999999</v>
      </c>
      <c r="K802" s="81">
        <f>27.6275 * CHOOSE(CONTROL!$C$32, $C$9, 100%, $E$9)</f>
        <v>27.627500000000001</v>
      </c>
      <c r="L802" s="81">
        <f>13.3226 * CHOOSE(CONTROL!$C$32, $C$9, 100%, $E$9)</f>
        <v>13.3226</v>
      </c>
      <c r="M802" s="81">
        <f>13.3279 * CHOOSE(CONTROL!$C$32, $C$9, 100%, $E$9)</f>
        <v>13.3279</v>
      </c>
      <c r="N802" s="81">
        <f>13.3226 * CHOOSE(CONTROL!$C$32, $C$9, 100%, $E$9)</f>
        <v>13.3226</v>
      </c>
      <c r="O802" s="81">
        <f>13.3279 * CHOOSE(CONTROL!$C$32, $C$9, 100%, $E$9)</f>
        <v>13.3279</v>
      </c>
    </row>
    <row r="803" spans="1:15" ht="15" x14ac:dyDescent="0.2">
      <c r="A803" s="16">
        <v>65654</v>
      </c>
      <c r="B803" s="80">
        <f>11.9954 * CHOOSE(CONTROL!$C$32, $C$9, 100%, $E$9)</f>
        <v>11.9954</v>
      </c>
      <c r="C803" s="80">
        <f>11.9954 * CHOOSE(CONTROL!$C$32, $C$9, 100%, $E$9)</f>
        <v>11.9954</v>
      </c>
      <c r="D803" s="80">
        <f>11.9965 * CHOOSE(CONTROL!$C$32, $C$9, 100%, $E$9)</f>
        <v>11.996499999999999</v>
      </c>
      <c r="E803" s="81">
        <f>13.4585 * CHOOSE(CONTROL!$C$32, $C$9, 100%, $E$9)</f>
        <v>13.458500000000001</v>
      </c>
      <c r="F803" s="81">
        <f>13.4585 * CHOOSE(CONTROL!$C$32, $C$9, 100%, $E$9)</f>
        <v>13.458500000000001</v>
      </c>
      <c r="G803" s="81">
        <f>13.4621 * CHOOSE(CONTROL!$C$32, $C$9, 100%, $E$9)</f>
        <v>13.4621</v>
      </c>
      <c r="H803" s="81">
        <f>27.6798 * CHOOSE(CONTROL!$C$32, $C$9, 100%, $E$9)</f>
        <v>27.6798</v>
      </c>
      <c r="I803" s="81">
        <f>27.6834 * CHOOSE(CONTROL!$C$32, $C$9, 100%, $E$9)</f>
        <v>27.683399999999999</v>
      </c>
      <c r="J803" s="81">
        <f>27.6798 * CHOOSE(CONTROL!$C$32, $C$9, 100%, $E$9)</f>
        <v>27.6798</v>
      </c>
      <c r="K803" s="81">
        <f>27.6834 * CHOOSE(CONTROL!$C$32, $C$9, 100%, $E$9)</f>
        <v>27.683399999999999</v>
      </c>
      <c r="L803" s="81">
        <f>13.4585 * CHOOSE(CONTROL!$C$32, $C$9, 100%, $E$9)</f>
        <v>13.458500000000001</v>
      </c>
      <c r="M803" s="81">
        <f>13.4621 * CHOOSE(CONTROL!$C$32, $C$9, 100%, $E$9)</f>
        <v>13.4621</v>
      </c>
      <c r="N803" s="81">
        <f>13.4585 * CHOOSE(CONTROL!$C$32, $C$9, 100%, $E$9)</f>
        <v>13.458500000000001</v>
      </c>
      <c r="O803" s="81">
        <f>13.4621 * CHOOSE(CONTROL!$C$32, $C$9, 100%, $E$9)</f>
        <v>13.4621</v>
      </c>
    </row>
    <row r="804" spans="1:15" ht="15" x14ac:dyDescent="0.2">
      <c r="A804" s="16">
        <v>65685</v>
      </c>
      <c r="B804" s="80">
        <f>11.9984 * CHOOSE(CONTROL!$C$32, $C$9, 100%, $E$9)</f>
        <v>11.9984</v>
      </c>
      <c r="C804" s="80">
        <f>11.9984 * CHOOSE(CONTROL!$C$32, $C$9, 100%, $E$9)</f>
        <v>11.9984</v>
      </c>
      <c r="D804" s="80">
        <f>11.9995 * CHOOSE(CONTROL!$C$32, $C$9, 100%, $E$9)</f>
        <v>11.999499999999999</v>
      </c>
      <c r="E804" s="81">
        <f>13.5353 * CHOOSE(CONTROL!$C$32, $C$9, 100%, $E$9)</f>
        <v>13.535299999999999</v>
      </c>
      <c r="F804" s="81">
        <f>13.5353 * CHOOSE(CONTROL!$C$32, $C$9, 100%, $E$9)</f>
        <v>13.535299999999999</v>
      </c>
      <c r="G804" s="81">
        <f>13.5389 * CHOOSE(CONTROL!$C$32, $C$9, 100%, $E$9)</f>
        <v>13.5389</v>
      </c>
      <c r="H804" s="81">
        <f>27.7374 * CHOOSE(CONTROL!$C$32, $C$9, 100%, $E$9)</f>
        <v>27.737400000000001</v>
      </c>
      <c r="I804" s="81">
        <f>27.7411 * CHOOSE(CONTROL!$C$32, $C$9, 100%, $E$9)</f>
        <v>27.741099999999999</v>
      </c>
      <c r="J804" s="81">
        <f>27.7374 * CHOOSE(CONTROL!$C$32, $C$9, 100%, $E$9)</f>
        <v>27.737400000000001</v>
      </c>
      <c r="K804" s="81">
        <f>27.7411 * CHOOSE(CONTROL!$C$32, $C$9, 100%, $E$9)</f>
        <v>27.741099999999999</v>
      </c>
      <c r="L804" s="81">
        <f>13.5353 * CHOOSE(CONTROL!$C$32, $C$9, 100%, $E$9)</f>
        <v>13.535299999999999</v>
      </c>
      <c r="M804" s="81">
        <f>13.5389 * CHOOSE(CONTROL!$C$32, $C$9, 100%, $E$9)</f>
        <v>13.5389</v>
      </c>
      <c r="N804" s="81">
        <f>13.5353 * CHOOSE(CONTROL!$C$32, $C$9, 100%, $E$9)</f>
        <v>13.535299999999999</v>
      </c>
      <c r="O804" s="81">
        <f>13.5389 * CHOOSE(CONTROL!$C$32, $C$9, 100%, $E$9)</f>
        <v>13.5389</v>
      </c>
    </row>
    <row r="805" spans="1:15" ht="15" x14ac:dyDescent="0.2">
      <c r="A805" s="16">
        <v>65715</v>
      </c>
      <c r="B805" s="80">
        <f>11.9984 * CHOOSE(CONTROL!$C$32, $C$9, 100%, $E$9)</f>
        <v>11.9984</v>
      </c>
      <c r="C805" s="80">
        <f>11.9984 * CHOOSE(CONTROL!$C$32, $C$9, 100%, $E$9)</f>
        <v>11.9984</v>
      </c>
      <c r="D805" s="80">
        <f>11.9995 * CHOOSE(CONTROL!$C$32, $C$9, 100%, $E$9)</f>
        <v>11.999499999999999</v>
      </c>
      <c r="E805" s="81">
        <f>13.3486 * CHOOSE(CONTROL!$C$32, $C$9, 100%, $E$9)</f>
        <v>13.348599999999999</v>
      </c>
      <c r="F805" s="81">
        <f>13.3486 * CHOOSE(CONTROL!$C$32, $C$9, 100%, $E$9)</f>
        <v>13.348599999999999</v>
      </c>
      <c r="G805" s="81">
        <f>13.3523 * CHOOSE(CONTROL!$C$32, $C$9, 100%, $E$9)</f>
        <v>13.3523</v>
      </c>
      <c r="H805" s="81">
        <f>27.7952 * CHOOSE(CONTROL!$C$32, $C$9, 100%, $E$9)</f>
        <v>27.795200000000001</v>
      </c>
      <c r="I805" s="81">
        <f>27.7988 * CHOOSE(CONTROL!$C$32, $C$9, 100%, $E$9)</f>
        <v>27.7988</v>
      </c>
      <c r="J805" s="81">
        <f>27.7952 * CHOOSE(CONTROL!$C$32, $C$9, 100%, $E$9)</f>
        <v>27.795200000000001</v>
      </c>
      <c r="K805" s="81">
        <f>27.7988 * CHOOSE(CONTROL!$C$32, $C$9, 100%, $E$9)</f>
        <v>27.7988</v>
      </c>
      <c r="L805" s="81">
        <f>13.3486 * CHOOSE(CONTROL!$C$32, $C$9, 100%, $E$9)</f>
        <v>13.348599999999999</v>
      </c>
      <c r="M805" s="81">
        <f>13.3523 * CHOOSE(CONTROL!$C$32, $C$9, 100%, $E$9)</f>
        <v>13.3523</v>
      </c>
      <c r="N805" s="81">
        <f>13.3486 * CHOOSE(CONTROL!$C$32, $C$9, 100%, $E$9)</f>
        <v>13.348599999999999</v>
      </c>
      <c r="O805" s="81">
        <f>13.3523 * CHOOSE(CONTROL!$C$32, $C$9, 100%, $E$9)</f>
        <v>13.3523</v>
      </c>
    </row>
    <row r="806" spans="1:15" ht="15" x14ac:dyDescent="0.2">
      <c r="A806" s="16">
        <v>65746</v>
      </c>
      <c r="B806" s="80">
        <f>12.0047 * CHOOSE(CONTROL!$C$32, $C$9, 100%, $E$9)</f>
        <v>12.0047</v>
      </c>
      <c r="C806" s="80">
        <f>12.0047 * CHOOSE(CONTROL!$C$32, $C$9, 100%, $E$9)</f>
        <v>12.0047</v>
      </c>
      <c r="D806" s="80">
        <f>12.0057 * CHOOSE(CONTROL!$C$32, $C$9, 100%, $E$9)</f>
        <v>12.005699999999999</v>
      </c>
      <c r="E806" s="81">
        <f>13.4956 * CHOOSE(CONTROL!$C$32, $C$9, 100%, $E$9)</f>
        <v>13.4956</v>
      </c>
      <c r="F806" s="81">
        <f>13.4956 * CHOOSE(CONTROL!$C$32, $C$9, 100%, $E$9)</f>
        <v>13.4956</v>
      </c>
      <c r="G806" s="81">
        <f>13.4992 * CHOOSE(CONTROL!$C$32, $C$9, 100%, $E$9)</f>
        <v>13.4992</v>
      </c>
      <c r="H806" s="81">
        <f>27.6302 * CHOOSE(CONTROL!$C$32, $C$9, 100%, $E$9)</f>
        <v>27.630199999999999</v>
      </c>
      <c r="I806" s="81">
        <f>27.6338 * CHOOSE(CONTROL!$C$32, $C$9, 100%, $E$9)</f>
        <v>27.633800000000001</v>
      </c>
      <c r="J806" s="81">
        <f>27.6302 * CHOOSE(CONTROL!$C$32, $C$9, 100%, $E$9)</f>
        <v>27.630199999999999</v>
      </c>
      <c r="K806" s="81">
        <f>27.6338 * CHOOSE(CONTROL!$C$32, $C$9, 100%, $E$9)</f>
        <v>27.633800000000001</v>
      </c>
      <c r="L806" s="81">
        <f>13.4956 * CHOOSE(CONTROL!$C$32, $C$9, 100%, $E$9)</f>
        <v>13.4956</v>
      </c>
      <c r="M806" s="81">
        <f>13.4992 * CHOOSE(CONTROL!$C$32, $C$9, 100%, $E$9)</f>
        <v>13.4992</v>
      </c>
      <c r="N806" s="81">
        <f>13.4956 * CHOOSE(CONTROL!$C$32, $C$9, 100%, $E$9)</f>
        <v>13.4956</v>
      </c>
      <c r="O806" s="81">
        <f>13.4992 * CHOOSE(CONTROL!$C$32, $C$9, 100%, $E$9)</f>
        <v>13.4992</v>
      </c>
    </row>
    <row r="807" spans="1:15" ht="15" x14ac:dyDescent="0.2">
      <c r="A807" s="16">
        <v>65777</v>
      </c>
      <c r="B807" s="80">
        <f>12.0016 * CHOOSE(CONTROL!$C$32, $C$9, 100%, $E$9)</f>
        <v>12.0016</v>
      </c>
      <c r="C807" s="80">
        <f>12.0016 * CHOOSE(CONTROL!$C$32, $C$9, 100%, $E$9)</f>
        <v>12.0016</v>
      </c>
      <c r="D807" s="80">
        <f>12.0027 * CHOOSE(CONTROL!$C$32, $C$9, 100%, $E$9)</f>
        <v>12.002700000000001</v>
      </c>
      <c r="E807" s="81">
        <f>13.1337 * CHOOSE(CONTROL!$C$32, $C$9, 100%, $E$9)</f>
        <v>13.133699999999999</v>
      </c>
      <c r="F807" s="81">
        <f>13.1337 * CHOOSE(CONTROL!$C$32, $C$9, 100%, $E$9)</f>
        <v>13.133699999999999</v>
      </c>
      <c r="G807" s="81">
        <f>13.1373 * CHOOSE(CONTROL!$C$32, $C$9, 100%, $E$9)</f>
        <v>13.1373</v>
      </c>
      <c r="H807" s="81">
        <f>27.6877 * CHOOSE(CONTROL!$C$32, $C$9, 100%, $E$9)</f>
        <v>27.6877</v>
      </c>
      <c r="I807" s="81">
        <f>27.6914 * CHOOSE(CONTROL!$C$32, $C$9, 100%, $E$9)</f>
        <v>27.691400000000002</v>
      </c>
      <c r="J807" s="81">
        <f>27.6877 * CHOOSE(CONTROL!$C$32, $C$9, 100%, $E$9)</f>
        <v>27.6877</v>
      </c>
      <c r="K807" s="81">
        <f>27.6914 * CHOOSE(CONTROL!$C$32, $C$9, 100%, $E$9)</f>
        <v>27.691400000000002</v>
      </c>
      <c r="L807" s="81">
        <f>13.1337 * CHOOSE(CONTROL!$C$32, $C$9, 100%, $E$9)</f>
        <v>13.133699999999999</v>
      </c>
      <c r="M807" s="81">
        <f>13.1373 * CHOOSE(CONTROL!$C$32, $C$9, 100%, $E$9)</f>
        <v>13.1373</v>
      </c>
      <c r="N807" s="81">
        <f>13.1337 * CHOOSE(CONTROL!$C$32, $C$9, 100%, $E$9)</f>
        <v>13.133699999999999</v>
      </c>
      <c r="O807" s="81">
        <f>13.1373 * CHOOSE(CONTROL!$C$32, $C$9, 100%, $E$9)</f>
        <v>13.1373</v>
      </c>
    </row>
    <row r="808" spans="1:15" ht="15" x14ac:dyDescent="0.2">
      <c r="A808" s="16">
        <v>65806</v>
      </c>
      <c r="B808" s="80">
        <f>11.9986 * CHOOSE(CONTROL!$C$32, $C$9, 100%, $E$9)</f>
        <v>11.9986</v>
      </c>
      <c r="C808" s="80">
        <f>11.9986 * CHOOSE(CONTROL!$C$32, $C$9, 100%, $E$9)</f>
        <v>11.9986</v>
      </c>
      <c r="D808" s="80">
        <f>11.9996 * CHOOSE(CONTROL!$C$32, $C$9, 100%, $E$9)</f>
        <v>11.999599999999999</v>
      </c>
      <c r="E808" s="81">
        <f>13.4152 * CHOOSE(CONTROL!$C$32, $C$9, 100%, $E$9)</f>
        <v>13.4152</v>
      </c>
      <c r="F808" s="81">
        <f>13.4152 * CHOOSE(CONTROL!$C$32, $C$9, 100%, $E$9)</f>
        <v>13.4152</v>
      </c>
      <c r="G808" s="81">
        <f>13.4188 * CHOOSE(CONTROL!$C$32, $C$9, 100%, $E$9)</f>
        <v>13.418799999999999</v>
      </c>
      <c r="H808" s="81">
        <f>27.7454 * CHOOSE(CONTROL!$C$32, $C$9, 100%, $E$9)</f>
        <v>27.7454</v>
      </c>
      <c r="I808" s="81">
        <f>27.749 * CHOOSE(CONTROL!$C$32, $C$9, 100%, $E$9)</f>
        <v>27.748999999999999</v>
      </c>
      <c r="J808" s="81">
        <f>27.7454 * CHOOSE(CONTROL!$C$32, $C$9, 100%, $E$9)</f>
        <v>27.7454</v>
      </c>
      <c r="K808" s="81">
        <f>27.749 * CHOOSE(CONTROL!$C$32, $C$9, 100%, $E$9)</f>
        <v>27.748999999999999</v>
      </c>
      <c r="L808" s="81">
        <f>13.4152 * CHOOSE(CONTROL!$C$32, $C$9, 100%, $E$9)</f>
        <v>13.4152</v>
      </c>
      <c r="M808" s="81">
        <f>13.4188 * CHOOSE(CONTROL!$C$32, $C$9, 100%, $E$9)</f>
        <v>13.418799999999999</v>
      </c>
      <c r="N808" s="81">
        <f>13.4152 * CHOOSE(CONTROL!$C$32, $C$9, 100%, $E$9)</f>
        <v>13.4152</v>
      </c>
      <c r="O808" s="81">
        <f>13.4188 * CHOOSE(CONTROL!$C$32, $C$9, 100%, $E$9)</f>
        <v>13.418799999999999</v>
      </c>
    </row>
    <row r="809" spans="1:15" ht="15" x14ac:dyDescent="0.2">
      <c r="A809" s="16">
        <v>65837</v>
      </c>
      <c r="B809" s="80">
        <f>12.004 * CHOOSE(CONTROL!$C$32, $C$9, 100%, $E$9)</f>
        <v>12.004</v>
      </c>
      <c r="C809" s="80">
        <f>12.004 * CHOOSE(CONTROL!$C$32, $C$9, 100%, $E$9)</f>
        <v>12.004</v>
      </c>
      <c r="D809" s="80">
        <f>12.0051 * CHOOSE(CONTROL!$C$32, $C$9, 100%, $E$9)</f>
        <v>12.005100000000001</v>
      </c>
      <c r="E809" s="81">
        <f>13.7155 * CHOOSE(CONTROL!$C$32, $C$9, 100%, $E$9)</f>
        <v>13.7155</v>
      </c>
      <c r="F809" s="81">
        <f>13.7155 * CHOOSE(CONTROL!$C$32, $C$9, 100%, $E$9)</f>
        <v>13.7155</v>
      </c>
      <c r="G809" s="81">
        <f>13.7191 * CHOOSE(CONTROL!$C$32, $C$9, 100%, $E$9)</f>
        <v>13.719099999999999</v>
      </c>
      <c r="H809" s="81">
        <f>27.8032 * CHOOSE(CONTROL!$C$32, $C$9, 100%, $E$9)</f>
        <v>27.8032</v>
      </c>
      <c r="I809" s="81">
        <f>27.8068 * CHOOSE(CONTROL!$C$32, $C$9, 100%, $E$9)</f>
        <v>27.806799999999999</v>
      </c>
      <c r="J809" s="81">
        <f>27.8032 * CHOOSE(CONTROL!$C$32, $C$9, 100%, $E$9)</f>
        <v>27.8032</v>
      </c>
      <c r="K809" s="81">
        <f>27.8068 * CHOOSE(CONTROL!$C$32, $C$9, 100%, $E$9)</f>
        <v>27.806799999999999</v>
      </c>
      <c r="L809" s="81">
        <f>13.7155 * CHOOSE(CONTROL!$C$32, $C$9, 100%, $E$9)</f>
        <v>13.7155</v>
      </c>
      <c r="M809" s="81">
        <f>13.7191 * CHOOSE(CONTROL!$C$32, $C$9, 100%, $E$9)</f>
        <v>13.719099999999999</v>
      </c>
      <c r="N809" s="81">
        <f>13.7155 * CHOOSE(CONTROL!$C$32, $C$9, 100%, $E$9)</f>
        <v>13.7155</v>
      </c>
      <c r="O809" s="81">
        <f>13.7191 * CHOOSE(CONTROL!$C$32, $C$9, 100%, $E$9)</f>
        <v>13.719099999999999</v>
      </c>
    </row>
    <row r="810" spans="1:15" ht="15" x14ac:dyDescent="0.2">
      <c r="A810" s="16">
        <v>65867</v>
      </c>
      <c r="B810" s="80">
        <f>12.004 * CHOOSE(CONTROL!$C$32, $C$9, 100%, $E$9)</f>
        <v>12.004</v>
      </c>
      <c r="C810" s="80">
        <f>12.004 * CHOOSE(CONTROL!$C$32, $C$9, 100%, $E$9)</f>
        <v>12.004</v>
      </c>
      <c r="D810" s="80">
        <f>12.0056 * CHOOSE(CONTROL!$C$32, $C$9, 100%, $E$9)</f>
        <v>12.005599999999999</v>
      </c>
      <c r="E810" s="81">
        <f>13.8298 * CHOOSE(CONTROL!$C$32, $C$9, 100%, $E$9)</f>
        <v>13.829800000000001</v>
      </c>
      <c r="F810" s="81">
        <f>13.8298 * CHOOSE(CONTROL!$C$32, $C$9, 100%, $E$9)</f>
        <v>13.829800000000001</v>
      </c>
      <c r="G810" s="81">
        <f>13.835 * CHOOSE(CONTROL!$C$32, $C$9, 100%, $E$9)</f>
        <v>13.835000000000001</v>
      </c>
      <c r="H810" s="81">
        <f>27.8611 * CHOOSE(CONTROL!$C$32, $C$9, 100%, $E$9)</f>
        <v>27.8611</v>
      </c>
      <c r="I810" s="81">
        <f>27.8664 * CHOOSE(CONTROL!$C$32, $C$9, 100%, $E$9)</f>
        <v>27.866399999999999</v>
      </c>
      <c r="J810" s="81">
        <f>27.8611 * CHOOSE(CONTROL!$C$32, $C$9, 100%, $E$9)</f>
        <v>27.8611</v>
      </c>
      <c r="K810" s="81">
        <f>27.8664 * CHOOSE(CONTROL!$C$32, $C$9, 100%, $E$9)</f>
        <v>27.866399999999999</v>
      </c>
      <c r="L810" s="81">
        <f>13.8298 * CHOOSE(CONTROL!$C$32, $C$9, 100%, $E$9)</f>
        <v>13.829800000000001</v>
      </c>
      <c r="M810" s="81">
        <f>13.835 * CHOOSE(CONTROL!$C$32, $C$9, 100%, $E$9)</f>
        <v>13.835000000000001</v>
      </c>
      <c r="N810" s="81">
        <f>13.8298 * CHOOSE(CONTROL!$C$32, $C$9, 100%, $E$9)</f>
        <v>13.829800000000001</v>
      </c>
      <c r="O810" s="81">
        <f>13.835 * CHOOSE(CONTROL!$C$32, $C$9, 100%, $E$9)</f>
        <v>13.835000000000001</v>
      </c>
    </row>
    <row r="811" spans="1:15" ht="15" x14ac:dyDescent="0.2">
      <c r="A811" s="16">
        <v>65898</v>
      </c>
      <c r="B811" s="80">
        <f>12.0101 * CHOOSE(CONTROL!$C$32, $C$9, 100%, $E$9)</f>
        <v>12.0101</v>
      </c>
      <c r="C811" s="80">
        <f>12.0101 * CHOOSE(CONTROL!$C$32, $C$9, 100%, $E$9)</f>
        <v>12.0101</v>
      </c>
      <c r="D811" s="80">
        <f>12.0116 * CHOOSE(CONTROL!$C$32, $C$9, 100%, $E$9)</f>
        <v>12.0116</v>
      </c>
      <c r="E811" s="81">
        <f>13.7198 * CHOOSE(CONTROL!$C$32, $C$9, 100%, $E$9)</f>
        <v>13.719799999999999</v>
      </c>
      <c r="F811" s="81">
        <f>13.7198 * CHOOSE(CONTROL!$C$32, $C$9, 100%, $E$9)</f>
        <v>13.719799999999999</v>
      </c>
      <c r="G811" s="81">
        <f>13.7251 * CHOOSE(CONTROL!$C$32, $C$9, 100%, $E$9)</f>
        <v>13.725099999999999</v>
      </c>
      <c r="H811" s="81">
        <f>27.9192 * CHOOSE(CONTROL!$C$32, $C$9, 100%, $E$9)</f>
        <v>27.9192</v>
      </c>
      <c r="I811" s="81">
        <f>27.9245 * CHOOSE(CONTROL!$C$32, $C$9, 100%, $E$9)</f>
        <v>27.924499999999998</v>
      </c>
      <c r="J811" s="81">
        <f>27.9192 * CHOOSE(CONTROL!$C$32, $C$9, 100%, $E$9)</f>
        <v>27.9192</v>
      </c>
      <c r="K811" s="81">
        <f>27.9245 * CHOOSE(CONTROL!$C$32, $C$9, 100%, $E$9)</f>
        <v>27.924499999999998</v>
      </c>
      <c r="L811" s="81">
        <f>13.7198 * CHOOSE(CONTROL!$C$32, $C$9, 100%, $E$9)</f>
        <v>13.719799999999999</v>
      </c>
      <c r="M811" s="81">
        <f>13.7251 * CHOOSE(CONTROL!$C$32, $C$9, 100%, $E$9)</f>
        <v>13.725099999999999</v>
      </c>
      <c r="N811" s="81">
        <f>13.7198 * CHOOSE(CONTROL!$C$32, $C$9, 100%, $E$9)</f>
        <v>13.719799999999999</v>
      </c>
      <c r="O811" s="81">
        <f>13.7251 * CHOOSE(CONTROL!$C$32, $C$9, 100%, $E$9)</f>
        <v>13.725099999999999</v>
      </c>
    </row>
    <row r="812" spans="1:15" ht="15" x14ac:dyDescent="0.2">
      <c r="A812" s="16">
        <v>65928</v>
      </c>
      <c r="B812" s="80">
        <f>12.1565 * CHOOSE(CONTROL!$C$32, $C$9, 100%, $E$9)</f>
        <v>12.156499999999999</v>
      </c>
      <c r="C812" s="80">
        <f>12.1565 * CHOOSE(CONTROL!$C$32, $C$9, 100%, $E$9)</f>
        <v>12.156499999999999</v>
      </c>
      <c r="D812" s="80">
        <f>12.1581 * CHOOSE(CONTROL!$C$32, $C$9, 100%, $E$9)</f>
        <v>12.158099999999999</v>
      </c>
      <c r="E812" s="81">
        <f>13.9135 * CHOOSE(CONTROL!$C$32, $C$9, 100%, $E$9)</f>
        <v>13.913500000000001</v>
      </c>
      <c r="F812" s="81">
        <f>13.9135 * CHOOSE(CONTROL!$C$32, $C$9, 100%, $E$9)</f>
        <v>13.913500000000001</v>
      </c>
      <c r="G812" s="81">
        <f>13.9188 * CHOOSE(CONTROL!$C$32, $C$9, 100%, $E$9)</f>
        <v>13.918799999999999</v>
      </c>
      <c r="H812" s="81">
        <f>27.9774 * CHOOSE(CONTROL!$C$32, $C$9, 100%, $E$9)</f>
        <v>27.977399999999999</v>
      </c>
      <c r="I812" s="81">
        <f>27.9826 * CHOOSE(CONTROL!$C$32, $C$9, 100%, $E$9)</f>
        <v>27.982600000000001</v>
      </c>
      <c r="J812" s="81">
        <f>27.9774 * CHOOSE(CONTROL!$C$32, $C$9, 100%, $E$9)</f>
        <v>27.977399999999999</v>
      </c>
      <c r="K812" s="81">
        <f>27.9826 * CHOOSE(CONTROL!$C$32, $C$9, 100%, $E$9)</f>
        <v>27.982600000000001</v>
      </c>
      <c r="L812" s="81">
        <f>13.9135 * CHOOSE(CONTROL!$C$32, $C$9, 100%, $E$9)</f>
        <v>13.913500000000001</v>
      </c>
      <c r="M812" s="81">
        <f>13.9188 * CHOOSE(CONTROL!$C$32, $C$9, 100%, $E$9)</f>
        <v>13.918799999999999</v>
      </c>
      <c r="N812" s="81">
        <f>13.9135 * CHOOSE(CONTROL!$C$32, $C$9, 100%, $E$9)</f>
        <v>13.913500000000001</v>
      </c>
      <c r="O812" s="81">
        <f>13.9188 * CHOOSE(CONTROL!$C$32, $C$9, 100%, $E$9)</f>
        <v>13.918799999999999</v>
      </c>
    </row>
    <row r="813" spans="1:15" ht="15" x14ac:dyDescent="0.2">
      <c r="A813" s="16">
        <v>65959</v>
      </c>
      <c r="B813" s="80">
        <f>12.1632 * CHOOSE(CONTROL!$C$32, $C$9, 100%, $E$9)</f>
        <v>12.1632</v>
      </c>
      <c r="C813" s="80">
        <f>12.1632 * CHOOSE(CONTROL!$C$32, $C$9, 100%, $E$9)</f>
        <v>12.1632</v>
      </c>
      <c r="D813" s="80">
        <f>12.1648 * CHOOSE(CONTROL!$C$32, $C$9, 100%, $E$9)</f>
        <v>12.1648</v>
      </c>
      <c r="E813" s="81">
        <f>13.5755 * CHOOSE(CONTROL!$C$32, $C$9, 100%, $E$9)</f>
        <v>13.5755</v>
      </c>
      <c r="F813" s="81">
        <f>13.5755 * CHOOSE(CONTROL!$C$32, $C$9, 100%, $E$9)</f>
        <v>13.5755</v>
      </c>
      <c r="G813" s="81">
        <f>13.5808 * CHOOSE(CONTROL!$C$32, $C$9, 100%, $E$9)</f>
        <v>13.5808</v>
      </c>
      <c r="H813" s="81">
        <f>28.0356 * CHOOSE(CONTROL!$C$32, $C$9, 100%, $E$9)</f>
        <v>28.035599999999999</v>
      </c>
      <c r="I813" s="81">
        <f>28.0409 * CHOOSE(CONTROL!$C$32, $C$9, 100%, $E$9)</f>
        <v>28.040900000000001</v>
      </c>
      <c r="J813" s="81">
        <f>28.0356 * CHOOSE(CONTROL!$C$32, $C$9, 100%, $E$9)</f>
        <v>28.035599999999999</v>
      </c>
      <c r="K813" s="81">
        <f>28.0409 * CHOOSE(CONTROL!$C$32, $C$9, 100%, $E$9)</f>
        <v>28.040900000000001</v>
      </c>
      <c r="L813" s="81">
        <f>13.5755 * CHOOSE(CONTROL!$C$32, $C$9, 100%, $E$9)</f>
        <v>13.5755</v>
      </c>
      <c r="M813" s="81">
        <f>13.5808 * CHOOSE(CONTROL!$C$32, $C$9, 100%, $E$9)</f>
        <v>13.5808</v>
      </c>
      <c r="N813" s="81">
        <f>13.5755 * CHOOSE(CONTROL!$C$32, $C$9, 100%, $E$9)</f>
        <v>13.5755</v>
      </c>
      <c r="O813" s="81">
        <f>13.5808 * CHOOSE(CONTROL!$C$32, $C$9, 100%, $E$9)</f>
        <v>13.5808</v>
      </c>
    </row>
    <row r="814" spans="1:15" ht="15" x14ac:dyDescent="0.2">
      <c r="A814" s="16">
        <v>65990</v>
      </c>
      <c r="B814" s="80">
        <f>12.1601 * CHOOSE(CONTROL!$C$32, $C$9, 100%, $E$9)</f>
        <v>12.1601</v>
      </c>
      <c r="C814" s="80">
        <f>12.1601 * CHOOSE(CONTROL!$C$32, $C$9, 100%, $E$9)</f>
        <v>12.1601</v>
      </c>
      <c r="D814" s="80">
        <f>12.1617 * CHOOSE(CONTROL!$C$32, $C$9, 100%, $E$9)</f>
        <v>12.1617</v>
      </c>
      <c r="E814" s="81">
        <f>13.5353 * CHOOSE(CONTROL!$C$32, $C$9, 100%, $E$9)</f>
        <v>13.535299999999999</v>
      </c>
      <c r="F814" s="81">
        <f>13.5353 * CHOOSE(CONTROL!$C$32, $C$9, 100%, $E$9)</f>
        <v>13.535299999999999</v>
      </c>
      <c r="G814" s="81">
        <f>13.5406 * CHOOSE(CONTROL!$C$32, $C$9, 100%, $E$9)</f>
        <v>13.5406</v>
      </c>
      <c r="H814" s="81">
        <f>28.094 * CHOOSE(CONTROL!$C$32, $C$9, 100%, $E$9)</f>
        <v>28.094000000000001</v>
      </c>
      <c r="I814" s="81">
        <f>28.0993 * CHOOSE(CONTROL!$C$32, $C$9, 100%, $E$9)</f>
        <v>28.099299999999999</v>
      </c>
      <c r="J814" s="81">
        <f>28.094 * CHOOSE(CONTROL!$C$32, $C$9, 100%, $E$9)</f>
        <v>28.094000000000001</v>
      </c>
      <c r="K814" s="81">
        <f>28.0993 * CHOOSE(CONTROL!$C$32, $C$9, 100%, $E$9)</f>
        <v>28.099299999999999</v>
      </c>
      <c r="L814" s="81">
        <f>13.5353 * CHOOSE(CONTROL!$C$32, $C$9, 100%, $E$9)</f>
        <v>13.535299999999999</v>
      </c>
      <c r="M814" s="81">
        <f>13.5406 * CHOOSE(CONTROL!$C$32, $C$9, 100%, $E$9)</f>
        <v>13.5406</v>
      </c>
      <c r="N814" s="81">
        <f>13.5353 * CHOOSE(CONTROL!$C$32, $C$9, 100%, $E$9)</f>
        <v>13.535299999999999</v>
      </c>
      <c r="O814" s="81">
        <f>13.5406 * CHOOSE(CONTROL!$C$32, $C$9, 100%, $E$9)</f>
        <v>13.5406</v>
      </c>
    </row>
    <row r="815" spans="1:15" ht="15" x14ac:dyDescent="0.2">
      <c r="A815" s="16">
        <v>66020</v>
      </c>
      <c r="B815" s="80">
        <f>12.1857 * CHOOSE(CONTROL!$C$32, $C$9, 100%, $E$9)</f>
        <v>12.185700000000001</v>
      </c>
      <c r="C815" s="80">
        <f>12.1857 * CHOOSE(CONTROL!$C$32, $C$9, 100%, $E$9)</f>
        <v>12.185700000000001</v>
      </c>
      <c r="D815" s="80">
        <f>12.1868 * CHOOSE(CONTROL!$C$32, $C$9, 100%, $E$9)</f>
        <v>12.1868</v>
      </c>
      <c r="E815" s="81">
        <f>13.6742 * CHOOSE(CONTROL!$C$32, $C$9, 100%, $E$9)</f>
        <v>13.674200000000001</v>
      </c>
      <c r="F815" s="81">
        <f>13.6742 * CHOOSE(CONTROL!$C$32, $C$9, 100%, $E$9)</f>
        <v>13.674200000000001</v>
      </c>
      <c r="G815" s="81">
        <f>13.6778 * CHOOSE(CONTROL!$C$32, $C$9, 100%, $E$9)</f>
        <v>13.6778</v>
      </c>
      <c r="H815" s="81">
        <f>28.1526 * CHOOSE(CONTROL!$C$32, $C$9, 100%, $E$9)</f>
        <v>28.1526</v>
      </c>
      <c r="I815" s="81">
        <f>28.1562 * CHOOSE(CONTROL!$C$32, $C$9, 100%, $E$9)</f>
        <v>28.156199999999998</v>
      </c>
      <c r="J815" s="81">
        <f>28.1526 * CHOOSE(CONTROL!$C$32, $C$9, 100%, $E$9)</f>
        <v>28.1526</v>
      </c>
      <c r="K815" s="81">
        <f>28.1562 * CHOOSE(CONTROL!$C$32, $C$9, 100%, $E$9)</f>
        <v>28.156199999999998</v>
      </c>
      <c r="L815" s="81">
        <f>13.6742 * CHOOSE(CONTROL!$C$32, $C$9, 100%, $E$9)</f>
        <v>13.674200000000001</v>
      </c>
      <c r="M815" s="81">
        <f>13.6778 * CHOOSE(CONTROL!$C$32, $C$9, 100%, $E$9)</f>
        <v>13.6778</v>
      </c>
      <c r="N815" s="81">
        <f>13.6742 * CHOOSE(CONTROL!$C$32, $C$9, 100%, $E$9)</f>
        <v>13.674200000000001</v>
      </c>
      <c r="O815" s="81">
        <f>13.6778 * CHOOSE(CONTROL!$C$32, $C$9, 100%, $E$9)</f>
        <v>13.6778</v>
      </c>
    </row>
    <row r="816" spans="1:15" ht="15" x14ac:dyDescent="0.2">
      <c r="A816" s="16">
        <v>66051</v>
      </c>
      <c r="B816" s="80">
        <f>12.1887 * CHOOSE(CONTROL!$C$32, $C$9, 100%, $E$9)</f>
        <v>12.188700000000001</v>
      </c>
      <c r="C816" s="80">
        <f>12.1887 * CHOOSE(CONTROL!$C$32, $C$9, 100%, $E$9)</f>
        <v>12.188700000000001</v>
      </c>
      <c r="D816" s="80">
        <f>12.1898 * CHOOSE(CONTROL!$C$32, $C$9, 100%, $E$9)</f>
        <v>12.1898</v>
      </c>
      <c r="E816" s="81">
        <f>13.7524 * CHOOSE(CONTROL!$C$32, $C$9, 100%, $E$9)</f>
        <v>13.7524</v>
      </c>
      <c r="F816" s="81">
        <f>13.7524 * CHOOSE(CONTROL!$C$32, $C$9, 100%, $E$9)</f>
        <v>13.7524</v>
      </c>
      <c r="G816" s="81">
        <f>13.7561 * CHOOSE(CONTROL!$C$32, $C$9, 100%, $E$9)</f>
        <v>13.7561</v>
      </c>
      <c r="H816" s="81">
        <f>28.2112 * CHOOSE(CONTROL!$C$32, $C$9, 100%, $E$9)</f>
        <v>28.211200000000002</v>
      </c>
      <c r="I816" s="81">
        <f>28.2148 * CHOOSE(CONTROL!$C$32, $C$9, 100%, $E$9)</f>
        <v>28.2148</v>
      </c>
      <c r="J816" s="81">
        <f>28.2112 * CHOOSE(CONTROL!$C$32, $C$9, 100%, $E$9)</f>
        <v>28.211200000000002</v>
      </c>
      <c r="K816" s="81">
        <f>28.2148 * CHOOSE(CONTROL!$C$32, $C$9, 100%, $E$9)</f>
        <v>28.2148</v>
      </c>
      <c r="L816" s="81">
        <f>13.7524 * CHOOSE(CONTROL!$C$32, $C$9, 100%, $E$9)</f>
        <v>13.7524</v>
      </c>
      <c r="M816" s="81">
        <f>13.7561 * CHOOSE(CONTROL!$C$32, $C$9, 100%, $E$9)</f>
        <v>13.7561</v>
      </c>
      <c r="N816" s="81">
        <f>13.7524 * CHOOSE(CONTROL!$C$32, $C$9, 100%, $E$9)</f>
        <v>13.7524</v>
      </c>
      <c r="O816" s="81">
        <f>13.7561 * CHOOSE(CONTROL!$C$32, $C$9, 100%, $E$9)</f>
        <v>13.7561</v>
      </c>
    </row>
    <row r="817" spans="1:15" ht="15" x14ac:dyDescent="0.2">
      <c r="A817" s="16">
        <v>66081</v>
      </c>
      <c r="B817" s="80">
        <f>12.1887 * CHOOSE(CONTROL!$C$32, $C$9, 100%, $E$9)</f>
        <v>12.188700000000001</v>
      </c>
      <c r="C817" s="80">
        <f>12.1887 * CHOOSE(CONTROL!$C$32, $C$9, 100%, $E$9)</f>
        <v>12.188700000000001</v>
      </c>
      <c r="D817" s="80">
        <f>12.1898 * CHOOSE(CONTROL!$C$32, $C$9, 100%, $E$9)</f>
        <v>12.1898</v>
      </c>
      <c r="E817" s="81">
        <f>13.5621 * CHOOSE(CONTROL!$C$32, $C$9, 100%, $E$9)</f>
        <v>13.562099999999999</v>
      </c>
      <c r="F817" s="81">
        <f>13.5621 * CHOOSE(CONTROL!$C$32, $C$9, 100%, $E$9)</f>
        <v>13.562099999999999</v>
      </c>
      <c r="G817" s="81">
        <f>13.5657 * CHOOSE(CONTROL!$C$32, $C$9, 100%, $E$9)</f>
        <v>13.5657</v>
      </c>
      <c r="H817" s="81">
        <f>28.27 * CHOOSE(CONTROL!$C$32, $C$9, 100%, $E$9)</f>
        <v>28.27</v>
      </c>
      <c r="I817" s="81">
        <f>28.2736 * CHOOSE(CONTROL!$C$32, $C$9, 100%, $E$9)</f>
        <v>28.273599999999998</v>
      </c>
      <c r="J817" s="81">
        <f>28.27 * CHOOSE(CONTROL!$C$32, $C$9, 100%, $E$9)</f>
        <v>28.27</v>
      </c>
      <c r="K817" s="81">
        <f>28.2736 * CHOOSE(CONTROL!$C$32, $C$9, 100%, $E$9)</f>
        <v>28.273599999999998</v>
      </c>
      <c r="L817" s="81">
        <f>13.5621 * CHOOSE(CONTROL!$C$32, $C$9, 100%, $E$9)</f>
        <v>13.562099999999999</v>
      </c>
      <c r="M817" s="81">
        <f>13.5657 * CHOOSE(CONTROL!$C$32, $C$9, 100%, $E$9)</f>
        <v>13.5657</v>
      </c>
      <c r="N817" s="81">
        <f>13.5621 * CHOOSE(CONTROL!$C$32, $C$9, 100%, $E$9)</f>
        <v>13.562099999999999</v>
      </c>
      <c r="O817" s="81">
        <f>13.5657 * CHOOSE(CONTROL!$C$32, $C$9, 100%, $E$9)</f>
        <v>13.5657</v>
      </c>
    </row>
    <row r="818" spans="1:15" ht="15" x14ac:dyDescent="0.2">
      <c r="A818" s="16">
        <v>66112</v>
      </c>
      <c r="B818" s="80">
        <f>12.192 * CHOOSE(CONTROL!$C$32, $C$9, 100%, $E$9)</f>
        <v>12.192</v>
      </c>
      <c r="C818" s="80">
        <f>12.192 * CHOOSE(CONTROL!$C$32, $C$9, 100%, $E$9)</f>
        <v>12.192</v>
      </c>
      <c r="D818" s="80">
        <f>12.1931 * CHOOSE(CONTROL!$C$32, $C$9, 100%, $E$9)</f>
        <v>12.193099999999999</v>
      </c>
      <c r="E818" s="81">
        <f>13.7081 * CHOOSE(CONTROL!$C$32, $C$9, 100%, $E$9)</f>
        <v>13.7081</v>
      </c>
      <c r="F818" s="81">
        <f>13.7081 * CHOOSE(CONTROL!$C$32, $C$9, 100%, $E$9)</f>
        <v>13.7081</v>
      </c>
      <c r="G818" s="81">
        <f>13.7117 * CHOOSE(CONTROL!$C$32, $C$9, 100%, $E$9)</f>
        <v>13.7117</v>
      </c>
      <c r="H818" s="81">
        <f>28.0942 * CHOOSE(CONTROL!$C$32, $C$9, 100%, $E$9)</f>
        <v>28.094200000000001</v>
      </c>
      <c r="I818" s="81">
        <f>28.0978 * CHOOSE(CONTROL!$C$32, $C$9, 100%, $E$9)</f>
        <v>28.097799999999999</v>
      </c>
      <c r="J818" s="81">
        <f>28.0942 * CHOOSE(CONTROL!$C$32, $C$9, 100%, $E$9)</f>
        <v>28.094200000000001</v>
      </c>
      <c r="K818" s="81">
        <f>28.0978 * CHOOSE(CONTROL!$C$32, $C$9, 100%, $E$9)</f>
        <v>28.097799999999999</v>
      </c>
      <c r="L818" s="81">
        <f>13.7081 * CHOOSE(CONTROL!$C$32, $C$9, 100%, $E$9)</f>
        <v>13.7081</v>
      </c>
      <c r="M818" s="81">
        <f>13.7117 * CHOOSE(CONTROL!$C$32, $C$9, 100%, $E$9)</f>
        <v>13.7117</v>
      </c>
      <c r="N818" s="81">
        <f>13.7081 * CHOOSE(CONTROL!$C$32, $C$9, 100%, $E$9)</f>
        <v>13.7081</v>
      </c>
      <c r="O818" s="81">
        <f>13.7117 * CHOOSE(CONTROL!$C$32, $C$9, 100%, $E$9)</f>
        <v>13.7117</v>
      </c>
    </row>
    <row r="819" spans="1:15" ht="15" x14ac:dyDescent="0.2">
      <c r="A819" s="16">
        <v>66143</v>
      </c>
      <c r="B819" s="80">
        <f>12.189 * CHOOSE(CONTROL!$C$32, $C$9, 100%, $E$9)</f>
        <v>12.189</v>
      </c>
      <c r="C819" s="80">
        <f>12.189 * CHOOSE(CONTROL!$C$32, $C$9, 100%, $E$9)</f>
        <v>12.189</v>
      </c>
      <c r="D819" s="80">
        <f>12.19 * CHOOSE(CONTROL!$C$32, $C$9, 100%, $E$9)</f>
        <v>12.19</v>
      </c>
      <c r="E819" s="81">
        <f>13.3391 * CHOOSE(CONTROL!$C$32, $C$9, 100%, $E$9)</f>
        <v>13.3391</v>
      </c>
      <c r="F819" s="81">
        <f>13.3391 * CHOOSE(CONTROL!$C$32, $C$9, 100%, $E$9)</f>
        <v>13.3391</v>
      </c>
      <c r="G819" s="81">
        <f>13.3427 * CHOOSE(CONTROL!$C$32, $C$9, 100%, $E$9)</f>
        <v>13.342700000000001</v>
      </c>
      <c r="H819" s="81">
        <f>28.1527 * CHOOSE(CONTROL!$C$32, $C$9, 100%, $E$9)</f>
        <v>28.152699999999999</v>
      </c>
      <c r="I819" s="81">
        <f>28.1563 * CHOOSE(CONTROL!$C$32, $C$9, 100%, $E$9)</f>
        <v>28.156300000000002</v>
      </c>
      <c r="J819" s="81">
        <f>28.1527 * CHOOSE(CONTROL!$C$32, $C$9, 100%, $E$9)</f>
        <v>28.152699999999999</v>
      </c>
      <c r="K819" s="81">
        <f>28.1563 * CHOOSE(CONTROL!$C$32, $C$9, 100%, $E$9)</f>
        <v>28.156300000000002</v>
      </c>
      <c r="L819" s="81">
        <f>13.3391 * CHOOSE(CONTROL!$C$32, $C$9, 100%, $E$9)</f>
        <v>13.3391</v>
      </c>
      <c r="M819" s="81">
        <f>13.3427 * CHOOSE(CONTROL!$C$32, $C$9, 100%, $E$9)</f>
        <v>13.342700000000001</v>
      </c>
      <c r="N819" s="81">
        <f>13.3391 * CHOOSE(CONTROL!$C$32, $C$9, 100%, $E$9)</f>
        <v>13.3391</v>
      </c>
      <c r="O819" s="81">
        <f>13.3427 * CHOOSE(CONTROL!$C$32, $C$9, 100%, $E$9)</f>
        <v>13.342700000000001</v>
      </c>
    </row>
    <row r="820" spans="1:15" ht="15" x14ac:dyDescent="0.2">
      <c r="A820" s="16">
        <v>66171</v>
      </c>
      <c r="B820" s="80">
        <f>12.1859 * CHOOSE(CONTROL!$C$32, $C$9, 100%, $E$9)</f>
        <v>12.1859</v>
      </c>
      <c r="C820" s="80">
        <f>12.1859 * CHOOSE(CONTROL!$C$32, $C$9, 100%, $E$9)</f>
        <v>12.1859</v>
      </c>
      <c r="D820" s="80">
        <f>12.187 * CHOOSE(CONTROL!$C$32, $C$9, 100%, $E$9)</f>
        <v>12.186999999999999</v>
      </c>
      <c r="E820" s="81">
        <f>13.6262 * CHOOSE(CONTROL!$C$32, $C$9, 100%, $E$9)</f>
        <v>13.626200000000001</v>
      </c>
      <c r="F820" s="81">
        <f>13.6262 * CHOOSE(CONTROL!$C$32, $C$9, 100%, $E$9)</f>
        <v>13.626200000000001</v>
      </c>
      <c r="G820" s="81">
        <f>13.6298 * CHOOSE(CONTROL!$C$32, $C$9, 100%, $E$9)</f>
        <v>13.629799999999999</v>
      </c>
      <c r="H820" s="81">
        <f>28.2114 * CHOOSE(CONTROL!$C$32, $C$9, 100%, $E$9)</f>
        <v>28.211400000000001</v>
      </c>
      <c r="I820" s="81">
        <f>28.215 * CHOOSE(CONTROL!$C$32, $C$9, 100%, $E$9)</f>
        <v>28.215</v>
      </c>
      <c r="J820" s="81">
        <f>28.2114 * CHOOSE(CONTROL!$C$32, $C$9, 100%, $E$9)</f>
        <v>28.211400000000001</v>
      </c>
      <c r="K820" s="81">
        <f>28.215 * CHOOSE(CONTROL!$C$32, $C$9, 100%, $E$9)</f>
        <v>28.215</v>
      </c>
      <c r="L820" s="81">
        <f>13.6262 * CHOOSE(CONTROL!$C$32, $C$9, 100%, $E$9)</f>
        <v>13.626200000000001</v>
      </c>
      <c r="M820" s="81">
        <f>13.6298 * CHOOSE(CONTROL!$C$32, $C$9, 100%, $E$9)</f>
        <v>13.629799999999999</v>
      </c>
      <c r="N820" s="81">
        <f>13.6262 * CHOOSE(CONTROL!$C$32, $C$9, 100%, $E$9)</f>
        <v>13.626200000000001</v>
      </c>
      <c r="O820" s="81">
        <f>13.6298 * CHOOSE(CONTROL!$C$32, $C$9, 100%, $E$9)</f>
        <v>13.629799999999999</v>
      </c>
    </row>
    <row r="821" spans="1:15" ht="15" x14ac:dyDescent="0.2">
      <c r="A821" s="16">
        <v>66202</v>
      </c>
      <c r="B821" s="80">
        <f>12.1915 * CHOOSE(CONTROL!$C$32, $C$9, 100%, $E$9)</f>
        <v>12.1915</v>
      </c>
      <c r="C821" s="80">
        <f>12.1915 * CHOOSE(CONTROL!$C$32, $C$9, 100%, $E$9)</f>
        <v>12.1915</v>
      </c>
      <c r="D821" s="80">
        <f>12.1926 * CHOOSE(CONTROL!$C$32, $C$9, 100%, $E$9)</f>
        <v>12.192600000000001</v>
      </c>
      <c r="E821" s="81">
        <f>13.9325 * CHOOSE(CONTROL!$C$32, $C$9, 100%, $E$9)</f>
        <v>13.932499999999999</v>
      </c>
      <c r="F821" s="81">
        <f>13.9325 * CHOOSE(CONTROL!$C$32, $C$9, 100%, $E$9)</f>
        <v>13.932499999999999</v>
      </c>
      <c r="G821" s="81">
        <f>13.9361 * CHOOSE(CONTROL!$C$32, $C$9, 100%, $E$9)</f>
        <v>13.9361</v>
      </c>
      <c r="H821" s="81">
        <f>28.2702 * CHOOSE(CONTROL!$C$32, $C$9, 100%, $E$9)</f>
        <v>28.270199999999999</v>
      </c>
      <c r="I821" s="81">
        <f>28.2738 * CHOOSE(CONTROL!$C$32, $C$9, 100%, $E$9)</f>
        <v>28.273800000000001</v>
      </c>
      <c r="J821" s="81">
        <f>28.2702 * CHOOSE(CONTROL!$C$32, $C$9, 100%, $E$9)</f>
        <v>28.270199999999999</v>
      </c>
      <c r="K821" s="81">
        <f>28.2738 * CHOOSE(CONTROL!$C$32, $C$9, 100%, $E$9)</f>
        <v>28.273800000000001</v>
      </c>
      <c r="L821" s="81">
        <f>13.9325 * CHOOSE(CONTROL!$C$32, $C$9, 100%, $E$9)</f>
        <v>13.932499999999999</v>
      </c>
      <c r="M821" s="81">
        <f>13.9361 * CHOOSE(CONTROL!$C$32, $C$9, 100%, $E$9)</f>
        <v>13.9361</v>
      </c>
      <c r="N821" s="81">
        <f>13.9325 * CHOOSE(CONTROL!$C$32, $C$9, 100%, $E$9)</f>
        <v>13.932499999999999</v>
      </c>
      <c r="O821" s="81">
        <f>13.9361 * CHOOSE(CONTROL!$C$32, $C$9, 100%, $E$9)</f>
        <v>13.9361</v>
      </c>
    </row>
    <row r="822" spans="1:15" ht="15" x14ac:dyDescent="0.2">
      <c r="A822" s="16">
        <v>66232</v>
      </c>
      <c r="B822" s="80">
        <f>12.1915 * CHOOSE(CONTROL!$C$32, $C$9, 100%, $E$9)</f>
        <v>12.1915</v>
      </c>
      <c r="C822" s="80">
        <f>12.1915 * CHOOSE(CONTROL!$C$32, $C$9, 100%, $E$9)</f>
        <v>12.1915</v>
      </c>
      <c r="D822" s="80">
        <f>12.1931 * CHOOSE(CONTROL!$C$32, $C$9, 100%, $E$9)</f>
        <v>12.193099999999999</v>
      </c>
      <c r="E822" s="81">
        <f>14.049 * CHOOSE(CONTROL!$C$32, $C$9, 100%, $E$9)</f>
        <v>14.048999999999999</v>
      </c>
      <c r="F822" s="81">
        <f>14.049 * CHOOSE(CONTROL!$C$32, $C$9, 100%, $E$9)</f>
        <v>14.048999999999999</v>
      </c>
      <c r="G822" s="81">
        <f>14.0543 * CHOOSE(CONTROL!$C$32, $C$9, 100%, $E$9)</f>
        <v>14.0543</v>
      </c>
      <c r="H822" s="81">
        <f>28.3291 * CHOOSE(CONTROL!$C$32, $C$9, 100%, $E$9)</f>
        <v>28.3291</v>
      </c>
      <c r="I822" s="81">
        <f>28.3343 * CHOOSE(CONTROL!$C$32, $C$9, 100%, $E$9)</f>
        <v>28.334299999999999</v>
      </c>
      <c r="J822" s="81">
        <f>28.3291 * CHOOSE(CONTROL!$C$32, $C$9, 100%, $E$9)</f>
        <v>28.3291</v>
      </c>
      <c r="K822" s="81">
        <f>28.3343 * CHOOSE(CONTROL!$C$32, $C$9, 100%, $E$9)</f>
        <v>28.334299999999999</v>
      </c>
      <c r="L822" s="81">
        <f>14.049 * CHOOSE(CONTROL!$C$32, $C$9, 100%, $E$9)</f>
        <v>14.048999999999999</v>
      </c>
      <c r="M822" s="81">
        <f>14.0543 * CHOOSE(CONTROL!$C$32, $C$9, 100%, $E$9)</f>
        <v>14.0543</v>
      </c>
      <c r="N822" s="81">
        <f>14.049 * CHOOSE(CONTROL!$C$32, $C$9, 100%, $E$9)</f>
        <v>14.048999999999999</v>
      </c>
      <c r="O822" s="81">
        <f>14.0543 * CHOOSE(CONTROL!$C$32, $C$9, 100%, $E$9)</f>
        <v>14.0543</v>
      </c>
    </row>
    <row r="823" spans="1:15" ht="15" x14ac:dyDescent="0.2">
      <c r="A823" s="16">
        <v>66263</v>
      </c>
      <c r="B823" s="80">
        <f>12.1976 * CHOOSE(CONTROL!$C$32, $C$9, 100%, $E$9)</f>
        <v>12.1976</v>
      </c>
      <c r="C823" s="80">
        <f>12.1976 * CHOOSE(CONTROL!$C$32, $C$9, 100%, $E$9)</f>
        <v>12.1976</v>
      </c>
      <c r="D823" s="80">
        <f>12.1992 * CHOOSE(CONTROL!$C$32, $C$9, 100%, $E$9)</f>
        <v>12.199199999999999</v>
      </c>
      <c r="E823" s="81">
        <f>13.9368 * CHOOSE(CONTROL!$C$32, $C$9, 100%, $E$9)</f>
        <v>13.9368</v>
      </c>
      <c r="F823" s="81">
        <f>13.9368 * CHOOSE(CONTROL!$C$32, $C$9, 100%, $E$9)</f>
        <v>13.9368</v>
      </c>
      <c r="G823" s="81">
        <f>13.9421 * CHOOSE(CONTROL!$C$32, $C$9, 100%, $E$9)</f>
        <v>13.9421</v>
      </c>
      <c r="H823" s="81">
        <f>28.3881 * CHOOSE(CONTROL!$C$32, $C$9, 100%, $E$9)</f>
        <v>28.388100000000001</v>
      </c>
      <c r="I823" s="81">
        <f>28.3934 * CHOOSE(CONTROL!$C$32, $C$9, 100%, $E$9)</f>
        <v>28.3934</v>
      </c>
      <c r="J823" s="81">
        <f>28.3881 * CHOOSE(CONTROL!$C$32, $C$9, 100%, $E$9)</f>
        <v>28.388100000000001</v>
      </c>
      <c r="K823" s="81">
        <f>28.3934 * CHOOSE(CONTROL!$C$32, $C$9, 100%, $E$9)</f>
        <v>28.3934</v>
      </c>
      <c r="L823" s="81">
        <f>13.9368 * CHOOSE(CONTROL!$C$32, $C$9, 100%, $E$9)</f>
        <v>13.9368</v>
      </c>
      <c r="M823" s="81">
        <f>13.9421 * CHOOSE(CONTROL!$C$32, $C$9, 100%, $E$9)</f>
        <v>13.9421</v>
      </c>
      <c r="N823" s="81">
        <f>13.9368 * CHOOSE(CONTROL!$C$32, $C$9, 100%, $E$9)</f>
        <v>13.9368</v>
      </c>
      <c r="O823" s="81">
        <f>13.9421 * CHOOSE(CONTROL!$C$32, $C$9, 100%, $E$9)</f>
        <v>13.9421</v>
      </c>
    </row>
    <row r="824" spans="1:15" ht="15" x14ac:dyDescent="0.2">
      <c r="A824" s="16">
        <v>66293</v>
      </c>
      <c r="B824" s="80">
        <f>12.3461 * CHOOSE(CONTROL!$C$32, $C$9, 100%, $E$9)</f>
        <v>12.3461</v>
      </c>
      <c r="C824" s="80">
        <f>12.3461 * CHOOSE(CONTROL!$C$32, $C$9, 100%, $E$9)</f>
        <v>12.3461</v>
      </c>
      <c r="D824" s="80">
        <f>12.3477 * CHOOSE(CONTROL!$C$32, $C$9, 100%, $E$9)</f>
        <v>12.3477</v>
      </c>
      <c r="E824" s="81">
        <f>14.1337 * CHOOSE(CONTROL!$C$32, $C$9, 100%, $E$9)</f>
        <v>14.133699999999999</v>
      </c>
      <c r="F824" s="81">
        <f>14.1337 * CHOOSE(CONTROL!$C$32, $C$9, 100%, $E$9)</f>
        <v>14.133699999999999</v>
      </c>
      <c r="G824" s="81">
        <f>14.139 * CHOOSE(CONTROL!$C$32, $C$9, 100%, $E$9)</f>
        <v>14.138999999999999</v>
      </c>
      <c r="H824" s="81">
        <f>28.4472 * CHOOSE(CONTROL!$C$32, $C$9, 100%, $E$9)</f>
        <v>28.447199999999999</v>
      </c>
      <c r="I824" s="81">
        <f>28.4525 * CHOOSE(CONTROL!$C$32, $C$9, 100%, $E$9)</f>
        <v>28.452500000000001</v>
      </c>
      <c r="J824" s="81">
        <f>28.4472 * CHOOSE(CONTROL!$C$32, $C$9, 100%, $E$9)</f>
        <v>28.447199999999999</v>
      </c>
      <c r="K824" s="81">
        <f>28.4525 * CHOOSE(CONTROL!$C$32, $C$9, 100%, $E$9)</f>
        <v>28.452500000000001</v>
      </c>
      <c r="L824" s="81">
        <f>14.1337 * CHOOSE(CONTROL!$C$32, $C$9, 100%, $E$9)</f>
        <v>14.133699999999999</v>
      </c>
      <c r="M824" s="81">
        <f>14.139 * CHOOSE(CONTROL!$C$32, $C$9, 100%, $E$9)</f>
        <v>14.138999999999999</v>
      </c>
      <c r="N824" s="81">
        <f>14.1337 * CHOOSE(CONTROL!$C$32, $C$9, 100%, $E$9)</f>
        <v>14.133699999999999</v>
      </c>
      <c r="O824" s="81">
        <f>14.139 * CHOOSE(CONTROL!$C$32, $C$9, 100%, $E$9)</f>
        <v>14.138999999999999</v>
      </c>
    </row>
    <row r="825" spans="1:15" ht="15" x14ac:dyDescent="0.2">
      <c r="A825" s="16">
        <v>66324</v>
      </c>
      <c r="B825" s="80">
        <f>12.3528 * CHOOSE(CONTROL!$C$32, $C$9, 100%, $E$9)</f>
        <v>12.3528</v>
      </c>
      <c r="C825" s="80">
        <f>12.3528 * CHOOSE(CONTROL!$C$32, $C$9, 100%, $E$9)</f>
        <v>12.3528</v>
      </c>
      <c r="D825" s="80">
        <f>12.3544 * CHOOSE(CONTROL!$C$32, $C$9, 100%, $E$9)</f>
        <v>12.3544</v>
      </c>
      <c r="E825" s="81">
        <f>13.7889 * CHOOSE(CONTROL!$C$32, $C$9, 100%, $E$9)</f>
        <v>13.7889</v>
      </c>
      <c r="F825" s="81">
        <f>13.7889 * CHOOSE(CONTROL!$C$32, $C$9, 100%, $E$9)</f>
        <v>13.7889</v>
      </c>
      <c r="G825" s="81">
        <f>13.7942 * CHOOSE(CONTROL!$C$32, $C$9, 100%, $E$9)</f>
        <v>13.7942</v>
      </c>
      <c r="H825" s="81">
        <f>28.5065 * CHOOSE(CONTROL!$C$32, $C$9, 100%, $E$9)</f>
        <v>28.506499999999999</v>
      </c>
      <c r="I825" s="81">
        <f>28.5118 * CHOOSE(CONTROL!$C$32, $C$9, 100%, $E$9)</f>
        <v>28.511800000000001</v>
      </c>
      <c r="J825" s="81">
        <f>28.5065 * CHOOSE(CONTROL!$C$32, $C$9, 100%, $E$9)</f>
        <v>28.506499999999999</v>
      </c>
      <c r="K825" s="81">
        <f>28.5118 * CHOOSE(CONTROL!$C$32, $C$9, 100%, $E$9)</f>
        <v>28.511800000000001</v>
      </c>
      <c r="L825" s="81">
        <f>13.7889 * CHOOSE(CONTROL!$C$32, $C$9, 100%, $E$9)</f>
        <v>13.7889</v>
      </c>
      <c r="M825" s="81">
        <f>13.7942 * CHOOSE(CONTROL!$C$32, $C$9, 100%, $E$9)</f>
        <v>13.7942</v>
      </c>
      <c r="N825" s="81">
        <f>13.7889 * CHOOSE(CONTROL!$C$32, $C$9, 100%, $E$9)</f>
        <v>13.7889</v>
      </c>
      <c r="O825" s="81">
        <f>13.7942 * CHOOSE(CONTROL!$C$32, $C$9, 100%, $E$9)</f>
        <v>13.7942</v>
      </c>
    </row>
    <row r="826" spans="1:15" ht="15" x14ac:dyDescent="0.2">
      <c r="A826" s="16">
        <v>66355</v>
      </c>
      <c r="B826" s="80">
        <f>12.3497 * CHOOSE(CONTROL!$C$32, $C$9, 100%, $E$9)</f>
        <v>12.3497</v>
      </c>
      <c r="C826" s="80">
        <f>12.3497 * CHOOSE(CONTROL!$C$32, $C$9, 100%, $E$9)</f>
        <v>12.3497</v>
      </c>
      <c r="D826" s="80">
        <f>12.3513 * CHOOSE(CONTROL!$C$32, $C$9, 100%, $E$9)</f>
        <v>12.3513</v>
      </c>
      <c r="E826" s="81">
        <f>13.748 * CHOOSE(CONTROL!$C$32, $C$9, 100%, $E$9)</f>
        <v>13.747999999999999</v>
      </c>
      <c r="F826" s="81">
        <f>13.748 * CHOOSE(CONTROL!$C$32, $C$9, 100%, $E$9)</f>
        <v>13.747999999999999</v>
      </c>
      <c r="G826" s="81">
        <f>13.7533 * CHOOSE(CONTROL!$C$32, $C$9, 100%, $E$9)</f>
        <v>13.753299999999999</v>
      </c>
      <c r="H826" s="81">
        <f>28.5659 * CHOOSE(CONTROL!$C$32, $C$9, 100%, $E$9)</f>
        <v>28.565899999999999</v>
      </c>
      <c r="I826" s="81">
        <f>28.5712 * CHOOSE(CONTROL!$C$32, $C$9, 100%, $E$9)</f>
        <v>28.571200000000001</v>
      </c>
      <c r="J826" s="81">
        <f>28.5659 * CHOOSE(CONTROL!$C$32, $C$9, 100%, $E$9)</f>
        <v>28.565899999999999</v>
      </c>
      <c r="K826" s="81">
        <f>28.5712 * CHOOSE(CONTROL!$C$32, $C$9, 100%, $E$9)</f>
        <v>28.571200000000001</v>
      </c>
      <c r="L826" s="81">
        <f>13.748 * CHOOSE(CONTROL!$C$32, $C$9, 100%, $E$9)</f>
        <v>13.747999999999999</v>
      </c>
      <c r="M826" s="81">
        <f>13.7533 * CHOOSE(CONTROL!$C$32, $C$9, 100%, $E$9)</f>
        <v>13.753299999999999</v>
      </c>
      <c r="N826" s="81">
        <f>13.748 * CHOOSE(CONTROL!$C$32, $C$9, 100%, $E$9)</f>
        <v>13.747999999999999</v>
      </c>
      <c r="O826" s="81">
        <f>13.7533 * CHOOSE(CONTROL!$C$32, $C$9, 100%, $E$9)</f>
        <v>13.753299999999999</v>
      </c>
    </row>
    <row r="827" spans="1:15" ht="15" x14ac:dyDescent="0.2">
      <c r="A827" s="16">
        <v>66385</v>
      </c>
      <c r="B827" s="80">
        <f>12.376 * CHOOSE(CONTROL!$C$32, $C$9, 100%, $E$9)</f>
        <v>12.375999999999999</v>
      </c>
      <c r="C827" s="80">
        <f>12.376 * CHOOSE(CONTROL!$C$32, $C$9, 100%, $E$9)</f>
        <v>12.375999999999999</v>
      </c>
      <c r="D827" s="80">
        <f>12.3771 * CHOOSE(CONTROL!$C$32, $C$9, 100%, $E$9)</f>
        <v>12.3771</v>
      </c>
      <c r="E827" s="81">
        <f>13.8899 * CHOOSE(CONTROL!$C$32, $C$9, 100%, $E$9)</f>
        <v>13.889900000000001</v>
      </c>
      <c r="F827" s="81">
        <f>13.8899 * CHOOSE(CONTROL!$C$32, $C$9, 100%, $E$9)</f>
        <v>13.889900000000001</v>
      </c>
      <c r="G827" s="81">
        <f>13.8935 * CHOOSE(CONTROL!$C$32, $C$9, 100%, $E$9)</f>
        <v>13.8935</v>
      </c>
      <c r="H827" s="81">
        <f>28.6254 * CHOOSE(CONTROL!$C$32, $C$9, 100%, $E$9)</f>
        <v>28.625399999999999</v>
      </c>
      <c r="I827" s="81">
        <f>28.629 * CHOOSE(CONTROL!$C$32, $C$9, 100%, $E$9)</f>
        <v>28.629000000000001</v>
      </c>
      <c r="J827" s="81">
        <f>28.6254 * CHOOSE(CONTROL!$C$32, $C$9, 100%, $E$9)</f>
        <v>28.625399999999999</v>
      </c>
      <c r="K827" s="81">
        <f>28.629 * CHOOSE(CONTROL!$C$32, $C$9, 100%, $E$9)</f>
        <v>28.629000000000001</v>
      </c>
      <c r="L827" s="81">
        <f>13.8899 * CHOOSE(CONTROL!$C$32, $C$9, 100%, $E$9)</f>
        <v>13.889900000000001</v>
      </c>
      <c r="M827" s="81">
        <f>13.8935 * CHOOSE(CONTROL!$C$32, $C$9, 100%, $E$9)</f>
        <v>13.8935</v>
      </c>
      <c r="N827" s="81">
        <f>13.8899 * CHOOSE(CONTROL!$C$32, $C$9, 100%, $E$9)</f>
        <v>13.889900000000001</v>
      </c>
      <c r="O827" s="81">
        <f>13.8935 * CHOOSE(CONTROL!$C$32, $C$9, 100%, $E$9)</f>
        <v>13.8935</v>
      </c>
    </row>
    <row r="828" spans="1:15" ht="15" x14ac:dyDescent="0.2">
      <c r="A828" s="16">
        <v>66416</v>
      </c>
      <c r="B828" s="80">
        <f>12.379 * CHOOSE(CONTROL!$C$32, $C$9, 100%, $E$9)</f>
        <v>12.379</v>
      </c>
      <c r="C828" s="80">
        <f>12.379 * CHOOSE(CONTROL!$C$32, $C$9, 100%, $E$9)</f>
        <v>12.379</v>
      </c>
      <c r="D828" s="80">
        <f>12.3801 * CHOOSE(CONTROL!$C$32, $C$9, 100%, $E$9)</f>
        <v>12.380100000000001</v>
      </c>
      <c r="E828" s="81">
        <f>13.9696 * CHOOSE(CONTROL!$C$32, $C$9, 100%, $E$9)</f>
        <v>13.9696</v>
      </c>
      <c r="F828" s="81">
        <f>13.9696 * CHOOSE(CONTROL!$C$32, $C$9, 100%, $E$9)</f>
        <v>13.9696</v>
      </c>
      <c r="G828" s="81">
        <f>13.9732 * CHOOSE(CONTROL!$C$32, $C$9, 100%, $E$9)</f>
        <v>13.9732</v>
      </c>
      <c r="H828" s="81">
        <f>28.685 * CHOOSE(CONTROL!$C$32, $C$9, 100%, $E$9)</f>
        <v>28.684999999999999</v>
      </c>
      <c r="I828" s="81">
        <f>28.6886 * CHOOSE(CONTROL!$C$32, $C$9, 100%, $E$9)</f>
        <v>28.688600000000001</v>
      </c>
      <c r="J828" s="81">
        <f>28.685 * CHOOSE(CONTROL!$C$32, $C$9, 100%, $E$9)</f>
        <v>28.684999999999999</v>
      </c>
      <c r="K828" s="81">
        <f>28.6886 * CHOOSE(CONTROL!$C$32, $C$9, 100%, $E$9)</f>
        <v>28.688600000000001</v>
      </c>
      <c r="L828" s="81">
        <f>13.9696 * CHOOSE(CONTROL!$C$32, $C$9, 100%, $E$9)</f>
        <v>13.9696</v>
      </c>
      <c r="M828" s="81">
        <f>13.9732 * CHOOSE(CONTROL!$C$32, $C$9, 100%, $E$9)</f>
        <v>13.9732</v>
      </c>
      <c r="N828" s="81">
        <f>13.9696 * CHOOSE(CONTROL!$C$32, $C$9, 100%, $E$9)</f>
        <v>13.9696</v>
      </c>
      <c r="O828" s="81">
        <f>13.9732 * CHOOSE(CONTROL!$C$32, $C$9, 100%, $E$9)</f>
        <v>13.9732</v>
      </c>
    </row>
    <row r="829" spans="1:15" ht="15" x14ac:dyDescent="0.2">
      <c r="A829" s="16">
        <v>66446</v>
      </c>
      <c r="B829" s="80">
        <f>12.379 * CHOOSE(CONTROL!$C$32, $C$9, 100%, $E$9)</f>
        <v>12.379</v>
      </c>
      <c r="C829" s="80">
        <f>12.379 * CHOOSE(CONTROL!$C$32, $C$9, 100%, $E$9)</f>
        <v>12.379</v>
      </c>
      <c r="D829" s="80">
        <f>12.3801 * CHOOSE(CONTROL!$C$32, $C$9, 100%, $E$9)</f>
        <v>12.380100000000001</v>
      </c>
      <c r="E829" s="81">
        <f>13.7755 * CHOOSE(CONTROL!$C$32, $C$9, 100%, $E$9)</f>
        <v>13.775499999999999</v>
      </c>
      <c r="F829" s="81">
        <f>13.7755 * CHOOSE(CONTROL!$C$32, $C$9, 100%, $E$9)</f>
        <v>13.775499999999999</v>
      </c>
      <c r="G829" s="81">
        <f>13.7791 * CHOOSE(CONTROL!$C$32, $C$9, 100%, $E$9)</f>
        <v>13.7791</v>
      </c>
      <c r="H829" s="81">
        <f>28.7448 * CHOOSE(CONTROL!$C$32, $C$9, 100%, $E$9)</f>
        <v>28.744800000000001</v>
      </c>
      <c r="I829" s="81">
        <f>28.7484 * CHOOSE(CONTROL!$C$32, $C$9, 100%, $E$9)</f>
        <v>28.7484</v>
      </c>
      <c r="J829" s="81">
        <f>28.7448 * CHOOSE(CONTROL!$C$32, $C$9, 100%, $E$9)</f>
        <v>28.744800000000001</v>
      </c>
      <c r="K829" s="81">
        <f>28.7484 * CHOOSE(CONTROL!$C$32, $C$9, 100%, $E$9)</f>
        <v>28.7484</v>
      </c>
      <c r="L829" s="81">
        <f>13.7755 * CHOOSE(CONTROL!$C$32, $C$9, 100%, $E$9)</f>
        <v>13.775499999999999</v>
      </c>
      <c r="M829" s="81">
        <f>13.7791 * CHOOSE(CONTROL!$C$32, $C$9, 100%, $E$9)</f>
        <v>13.7791</v>
      </c>
      <c r="N829" s="81">
        <f>13.7755 * CHOOSE(CONTROL!$C$32, $C$9, 100%, $E$9)</f>
        <v>13.775499999999999</v>
      </c>
      <c r="O829" s="81">
        <f>13.7791 * CHOOSE(CONTROL!$C$32, $C$9, 100%, $E$9)</f>
        <v>13.7791</v>
      </c>
    </row>
    <row r="830" spans="1:15" ht="15" x14ac:dyDescent="0.2">
      <c r="A830" s="16">
        <v>66477</v>
      </c>
      <c r="B830" s="80">
        <f>12.3794 * CHOOSE(CONTROL!$C$32, $C$9, 100%, $E$9)</f>
        <v>12.3794</v>
      </c>
      <c r="C830" s="80">
        <f>12.3794 * CHOOSE(CONTROL!$C$32, $C$9, 100%, $E$9)</f>
        <v>12.3794</v>
      </c>
      <c r="D830" s="80">
        <f>12.3804 * CHOOSE(CONTROL!$C$32, $C$9, 100%, $E$9)</f>
        <v>12.3804</v>
      </c>
      <c r="E830" s="81">
        <f>13.9206 * CHOOSE(CONTROL!$C$32, $C$9, 100%, $E$9)</f>
        <v>13.9206</v>
      </c>
      <c r="F830" s="81">
        <f>13.9206 * CHOOSE(CONTROL!$C$32, $C$9, 100%, $E$9)</f>
        <v>13.9206</v>
      </c>
      <c r="G830" s="81">
        <f>13.9242 * CHOOSE(CONTROL!$C$32, $C$9, 100%, $E$9)</f>
        <v>13.924200000000001</v>
      </c>
      <c r="H830" s="81">
        <f>28.5582 * CHOOSE(CONTROL!$C$32, $C$9, 100%, $E$9)</f>
        <v>28.558199999999999</v>
      </c>
      <c r="I830" s="81">
        <f>28.5619 * CHOOSE(CONTROL!$C$32, $C$9, 100%, $E$9)</f>
        <v>28.561900000000001</v>
      </c>
      <c r="J830" s="81">
        <f>28.5582 * CHOOSE(CONTROL!$C$32, $C$9, 100%, $E$9)</f>
        <v>28.558199999999999</v>
      </c>
      <c r="K830" s="81">
        <f>28.5619 * CHOOSE(CONTROL!$C$32, $C$9, 100%, $E$9)</f>
        <v>28.561900000000001</v>
      </c>
      <c r="L830" s="81">
        <f>13.9206 * CHOOSE(CONTROL!$C$32, $C$9, 100%, $E$9)</f>
        <v>13.9206</v>
      </c>
      <c r="M830" s="81">
        <f>13.9242 * CHOOSE(CONTROL!$C$32, $C$9, 100%, $E$9)</f>
        <v>13.924200000000001</v>
      </c>
      <c r="N830" s="81">
        <f>13.9206 * CHOOSE(CONTROL!$C$32, $C$9, 100%, $E$9)</f>
        <v>13.9206</v>
      </c>
      <c r="O830" s="81">
        <f>13.9242 * CHOOSE(CONTROL!$C$32, $C$9, 100%, $E$9)</f>
        <v>13.924200000000001</v>
      </c>
    </row>
    <row r="831" spans="1:15" ht="15" x14ac:dyDescent="0.2">
      <c r="A831" s="16">
        <v>66508</v>
      </c>
      <c r="B831" s="80">
        <f>12.3763 * CHOOSE(CONTROL!$C$32, $C$9, 100%, $E$9)</f>
        <v>12.376300000000001</v>
      </c>
      <c r="C831" s="80">
        <f>12.3763 * CHOOSE(CONTROL!$C$32, $C$9, 100%, $E$9)</f>
        <v>12.376300000000001</v>
      </c>
      <c r="D831" s="80">
        <f>12.3774 * CHOOSE(CONTROL!$C$32, $C$9, 100%, $E$9)</f>
        <v>12.3774</v>
      </c>
      <c r="E831" s="81">
        <f>13.5445 * CHOOSE(CONTROL!$C$32, $C$9, 100%, $E$9)</f>
        <v>13.544499999999999</v>
      </c>
      <c r="F831" s="81">
        <f>13.5445 * CHOOSE(CONTROL!$C$32, $C$9, 100%, $E$9)</f>
        <v>13.544499999999999</v>
      </c>
      <c r="G831" s="81">
        <f>13.5481 * CHOOSE(CONTROL!$C$32, $C$9, 100%, $E$9)</f>
        <v>13.5481</v>
      </c>
      <c r="H831" s="81">
        <f>28.6177 * CHOOSE(CONTROL!$C$32, $C$9, 100%, $E$9)</f>
        <v>28.617699999999999</v>
      </c>
      <c r="I831" s="81">
        <f>28.6213 * CHOOSE(CONTROL!$C$32, $C$9, 100%, $E$9)</f>
        <v>28.621300000000002</v>
      </c>
      <c r="J831" s="81">
        <f>28.6177 * CHOOSE(CONTROL!$C$32, $C$9, 100%, $E$9)</f>
        <v>28.617699999999999</v>
      </c>
      <c r="K831" s="81">
        <f>28.6213 * CHOOSE(CONTROL!$C$32, $C$9, 100%, $E$9)</f>
        <v>28.621300000000002</v>
      </c>
      <c r="L831" s="81">
        <f>13.5445 * CHOOSE(CONTROL!$C$32, $C$9, 100%, $E$9)</f>
        <v>13.544499999999999</v>
      </c>
      <c r="M831" s="81">
        <f>13.5481 * CHOOSE(CONTROL!$C$32, $C$9, 100%, $E$9)</f>
        <v>13.5481</v>
      </c>
      <c r="N831" s="81">
        <f>13.5445 * CHOOSE(CONTROL!$C$32, $C$9, 100%, $E$9)</f>
        <v>13.544499999999999</v>
      </c>
      <c r="O831" s="81">
        <f>13.5481 * CHOOSE(CONTROL!$C$32, $C$9, 100%, $E$9)</f>
        <v>13.5481</v>
      </c>
    </row>
    <row r="832" spans="1:15" ht="15" x14ac:dyDescent="0.2">
      <c r="A832" s="16">
        <v>66536</v>
      </c>
      <c r="B832" s="80">
        <f>12.3733 * CHOOSE(CONTROL!$C$32, $C$9, 100%, $E$9)</f>
        <v>12.3733</v>
      </c>
      <c r="C832" s="80">
        <f>12.3733 * CHOOSE(CONTROL!$C$32, $C$9, 100%, $E$9)</f>
        <v>12.3733</v>
      </c>
      <c r="D832" s="80">
        <f>12.3744 * CHOOSE(CONTROL!$C$32, $C$9, 100%, $E$9)</f>
        <v>12.3744</v>
      </c>
      <c r="E832" s="81">
        <f>13.8372 * CHOOSE(CONTROL!$C$32, $C$9, 100%, $E$9)</f>
        <v>13.837199999999999</v>
      </c>
      <c r="F832" s="81">
        <f>13.8372 * CHOOSE(CONTROL!$C$32, $C$9, 100%, $E$9)</f>
        <v>13.837199999999999</v>
      </c>
      <c r="G832" s="81">
        <f>13.8408 * CHOOSE(CONTROL!$C$32, $C$9, 100%, $E$9)</f>
        <v>13.8408</v>
      </c>
      <c r="H832" s="81">
        <f>28.6774 * CHOOSE(CONTROL!$C$32, $C$9, 100%, $E$9)</f>
        <v>28.677399999999999</v>
      </c>
      <c r="I832" s="81">
        <f>28.681 * CHOOSE(CONTROL!$C$32, $C$9, 100%, $E$9)</f>
        <v>28.681000000000001</v>
      </c>
      <c r="J832" s="81">
        <f>28.6774 * CHOOSE(CONTROL!$C$32, $C$9, 100%, $E$9)</f>
        <v>28.677399999999999</v>
      </c>
      <c r="K832" s="81">
        <f>28.681 * CHOOSE(CONTROL!$C$32, $C$9, 100%, $E$9)</f>
        <v>28.681000000000001</v>
      </c>
      <c r="L832" s="81">
        <f>13.8372 * CHOOSE(CONTROL!$C$32, $C$9, 100%, $E$9)</f>
        <v>13.837199999999999</v>
      </c>
      <c r="M832" s="81">
        <f>13.8408 * CHOOSE(CONTROL!$C$32, $C$9, 100%, $E$9)</f>
        <v>13.8408</v>
      </c>
      <c r="N832" s="81">
        <f>13.8372 * CHOOSE(CONTROL!$C$32, $C$9, 100%, $E$9)</f>
        <v>13.837199999999999</v>
      </c>
      <c r="O832" s="81">
        <f>13.8408 * CHOOSE(CONTROL!$C$32, $C$9, 100%, $E$9)</f>
        <v>13.8408</v>
      </c>
    </row>
    <row r="833" spans="1:15" ht="15" x14ac:dyDescent="0.2">
      <c r="A833" s="16">
        <v>66567</v>
      </c>
      <c r="B833" s="80">
        <f>12.3791 * CHOOSE(CONTROL!$C$32, $C$9, 100%, $E$9)</f>
        <v>12.379099999999999</v>
      </c>
      <c r="C833" s="80">
        <f>12.3791 * CHOOSE(CONTROL!$C$32, $C$9, 100%, $E$9)</f>
        <v>12.379099999999999</v>
      </c>
      <c r="D833" s="80">
        <f>12.3801 * CHOOSE(CONTROL!$C$32, $C$9, 100%, $E$9)</f>
        <v>12.380100000000001</v>
      </c>
      <c r="E833" s="81">
        <f>14.1495 * CHOOSE(CONTROL!$C$32, $C$9, 100%, $E$9)</f>
        <v>14.1495</v>
      </c>
      <c r="F833" s="81">
        <f>14.1495 * CHOOSE(CONTROL!$C$32, $C$9, 100%, $E$9)</f>
        <v>14.1495</v>
      </c>
      <c r="G833" s="81">
        <f>14.1532 * CHOOSE(CONTROL!$C$32, $C$9, 100%, $E$9)</f>
        <v>14.1532</v>
      </c>
      <c r="H833" s="81">
        <f>28.7371 * CHOOSE(CONTROL!$C$32, $C$9, 100%, $E$9)</f>
        <v>28.737100000000002</v>
      </c>
      <c r="I833" s="81">
        <f>28.7407 * CHOOSE(CONTROL!$C$32, $C$9, 100%, $E$9)</f>
        <v>28.7407</v>
      </c>
      <c r="J833" s="81">
        <f>28.7371 * CHOOSE(CONTROL!$C$32, $C$9, 100%, $E$9)</f>
        <v>28.737100000000002</v>
      </c>
      <c r="K833" s="81">
        <f>28.7407 * CHOOSE(CONTROL!$C$32, $C$9, 100%, $E$9)</f>
        <v>28.7407</v>
      </c>
      <c r="L833" s="81">
        <f>14.1495 * CHOOSE(CONTROL!$C$32, $C$9, 100%, $E$9)</f>
        <v>14.1495</v>
      </c>
      <c r="M833" s="81">
        <f>14.1532 * CHOOSE(CONTROL!$C$32, $C$9, 100%, $E$9)</f>
        <v>14.1532</v>
      </c>
      <c r="N833" s="81">
        <f>14.1495 * CHOOSE(CONTROL!$C$32, $C$9, 100%, $E$9)</f>
        <v>14.1495</v>
      </c>
      <c r="O833" s="81">
        <f>14.1532 * CHOOSE(CONTROL!$C$32, $C$9, 100%, $E$9)</f>
        <v>14.1532</v>
      </c>
    </row>
    <row r="834" spans="1:15" ht="15" x14ac:dyDescent="0.2">
      <c r="A834" s="16">
        <v>66597</v>
      </c>
      <c r="B834" s="80">
        <f>12.3791 * CHOOSE(CONTROL!$C$32, $C$9, 100%, $E$9)</f>
        <v>12.379099999999999</v>
      </c>
      <c r="C834" s="80">
        <f>12.3791 * CHOOSE(CONTROL!$C$32, $C$9, 100%, $E$9)</f>
        <v>12.379099999999999</v>
      </c>
      <c r="D834" s="80">
        <f>12.3806 * CHOOSE(CONTROL!$C$32, $C$9, 100%, $E$9)</f>
        <v>12.380599999999999</v>
      </c>
      <c r="E834" s="81">
        <f>14.2683 * CHOOSE(CONTROL!$C$32, $C$9, 100%, $E$9)</f>
        <v>14.2683</v>
      </c>
      <c r="F834" s="81">
        <f>14.2683 * CHOOSE(CONTROL!$C$32, $C$9, 100%, $E$9)</f>
        <v>14.2683</v>
      </c>
      <c r="G834" s="81">
        <f>14.2736 * CHOOSE(CONTROL!$C$32, $C$9, 100%, $E$9)</f>
        <v>14.2736</v>
      </c>
      <c r="H834" s="81">
        <f>28.797 * CHOOSE(CONTROL!$C$32, $C$9, 100%, $E$9)</f>
        <v>28.797000000000001</v>
      </c>
      <c r="I834" s="81">
        <f>28.8023 * CHOOSE(CONTROL!$C$32, $C$9, 100%, $E$9)</f>
        <v>28.802299999999999</v>
      </c>
      <c r="J834" s="81">
        <f>28.797 * CHOOSE(CONTROL!$C$32, $C$9, 100%, $E$9)</f>
        <v>28.797000000000001</v>
      </c>
      <c r="K834" s="81">
        <f>28.8023 * CHOOSE(CONTROL!$C$32, $C$9, 100%, $E$9)</f>
        <v>28.802299999999999</v>
      </c>
      <c r="L834" s="81">
        <f>14.2683 * CHOOSE(CONTROL!$C$32, $C$9, 100%, $E$9)</f>
        <v>14.2683</v>
      </c>
      <c r="M834" s="81">
        <f>14.2736 * CHOOSE(CONTROL!$C$32, $C$9, 100%, $E$9)</f>
        <v>14.2736</v>
      </c>
      <c r="N834" s="81">
        <f>14.2683 * CHOOSE(CONTROL!$C$32, $C$9, 100%, $E$9)</f>
        <v>14.2683</v>
      </c>
      <c r="O834" s="81">
        <f>14.2736 * CHOOSE(CONTROL!$C$32, $C$9, 100%, $E$9)</f>
        <v>14.2736</v>
      </c>
    </row>
    <row r="835" spans="1:15" ht="15" x14ac:dyDescent="0.2">
      <c r="A835" s="16">
        <v>66628</v>
      </c>
      <c r="B835" s="80">
        <f>12.3851 * CHOOSE(CONTROL!$C$32, $C$9, 100%, $E$9)</f>
        <v>12.3851</v>
      </c>
      <c r="C835" s="80">
        <f>12.3851 * CHOOSE(CONTROL!$C$32, $C$9, 100%, $E$9)</f>
        <v>12.3851</v>
      </c>
      <c r="D835" s="80">
        <f>12.3867 * CHOOSE(CONTROL!$C$32, $C$9, 100%, $E$9)</f>
        <v>12.386699999999999</v>
      </c>
      <c r="E835" s="81">
        <f>14.1538 * CHOOSE(CONTROL!$C$32, $C$9, 100%, $E$9)</f>
        <v>14.1538</v>
      </c>
      <c r="F835" s="81">
        <f>14.1538 * CHOOSE(CONTROL!$C$32, $C$9, 100%, $E$9)</f>
        <v>14.1538</v>
      </c>
      <c r="G835" s="81">
        <f>14.1591 * CHOOSE(CONTROL!$C$32, $C$9, 100%, $E$9)</f>
        <v>14.1591</v>
      </c>
      <c r="H835" s="81">
        <f>28.857 * CHOOSE(CONTROL!$C$32, $C$9, 100%, $E$9)</f>
        <v>28.856999999999999</v>
      </c>
      <c r="I835" s="81">
        <f>28.8623 * CHOOSE(CONTROL!$C$32, $C$9, 100%, $E$9)</f>
        <v>28.862300000000001</v>
      </c>
      <c r="J835" s="81">
        <f>28.857 * CHOOSE(CONTROL!$C$32, $C$9, 100%, $E$9)</f>
        <v>28.856999999999999</v>
      </c>
      <c r="K835" s="81">
        <f>28.8623 * CHOOSE(CONTROL!$C$32, $C$9, 100%, $E$9)</f>
        <v>28.862300000000001</v>
      </c>
      <c r="L835" s="81">
        <f>14.1538 * CHOOSE(CONTROL!$C$32, $C$9, 100%, $E$9)</f>
        <v>14.1538</v>
      </c>
      <c r="M835" s="81">
        <f>14.1591 * CHOOSE(CONTROL!$C$32, $C$9, 100%, $E$9)</f>
        <v>14.1591</v>
      </c>
      <c r="N835" s="81">
        <f>14.1538 * CHOOSE(CONTROL!$C$32, $C$9, 100%, $E$9)</f>
        <v>14.1538</v>
      </c>
      <c r="O835" s="81">
        <f>14.1591 * CHOOSE(CONTROL!$C$32, $C$9, 100%, $E$9)</f>
        <v>14.1591</v>
      </c>
    </row>
    <row r="836" spans="1:15" ht="15" x14ac:dyDescent="0.2">
      <c r="A836" s="16">
        <v>66658</v>
      </c>
      <c r="B836" s="80">
        <f>12.5357 * CHOOSE(CONTROL!$C$32, $C$9, 100%, $E$9)</f>
        <v>12.5357</v>
      </c>
      <c r="C836" s="80">
        <f>12.5357 * CHOOSE(CONTROL!$C$32, $C$9, 100%, $E$9)</f>
        <v>12.5357</v>
      </c>
      <c r="D836" s="80">
        <f>12.5373 * CHOOSE(CONTROL!$C$32, $C$9, 100%, $E$9)</f>
        <v>12.5373</v>
      </c>
      <c r="E836" s="81">
        <f>14.3539 * CHOOSE(CONTROL!$C$32, $C$9, 100%, $E$9)</f>
        <v>14.353899999999999</v>
      </c>
      <c r="F836" s="81">
        <f>14.3539 * CHOOSE(CONTROL!$C$32, $C$9, 100%, $E$9)</f>
        <v>14.353899999999999</v>
      </c>
      <c r="G836" s="81">
        <f>14.3591 * CHOOSE(CONTROL!$C$32, $C$9, 100%, $E$9)</f>
        <v>14.3591</v>
      </c>
      <c r="H836" s="81">
        <f>28.9171 * CHOOSE(CONTROL!$C$32, $C$9, 100%, $E$9)</f>
        <v>28.917100000000001</v>
      </c>
      <c r="I836" s="81">
        <f>28.9224 * CHOOSE(CONTROL!$C$32, $C$9, 100%, $E$9)</f>
        <v>28.9224</v>
      </c>
      <c r="J836" s="81">
        <f>28.9171 * CHOOSE(CONTROL!$C$32, $C$9, 100%, $E$9)</f>
        <v>28.917100000000001</v>
      </c>
      <c r="K836" s="81">
        <f>28.9224 * CHOOSE(CONTROL!$C$32, $C$9, 100%, $E$9)</f>
        <v>28.9224</v>
      </c>
      <c r="L836" s="81">
        <f>14.3539 * CHOOSE(CONTROL!$C$32, $C$9, 100%, $E$9)</f>
        <v>14.353899999999999</v>
      </c>
      <c r="M836" s="81">
        <f>14.3591 * CHOOSE(CONTROL!$C$32, $C$9, 100%, $E$9)</f>
        <v>14.3591</v>
      </c>
      <c r="N836" s="81">
        <f>14.3539 * CHOOSE(CONTROL!$C$32, $C$9, 100%, $E$9)</f>
        <v>14.353899999999999</v>
      </c>
      <c r="O836" s="81">
        <f>14.3591 * CHOOSE(CONTROL!$C$32, $C$9, 100%, $E$9)</f>
        <v>14.3591</v>
      </c>
    </row>
    <row r="837" spans="1:15" ht="15" x14ac:dyDescent="0.2">
      <c r="A837" s="16">
        <v>66689</v>
      </c>
      <c r="B837" s="80">
        <f>12.5424 * CHOOSE(CONTROL!$C$32, $C$9, 100%, $E$9)</f>
        <v>12.542400000000001</v>
      </c>
      <c r="C837" s="80">
        <f>12.5424 * CHOOSE(CONTROL!$C$32, $C$9, 100%, $E$9)</f>
        <v>12.542400000000001</v>
      </c>
      <c r="D837" s="80">
        <f>12.544 * CHOOSE(CONTROL!$C$32, $C$9, 100%, $E$9)</f>
        <v>12.544</v>
      </c>
      <c r="E837" s="81">
        <f>14.0024 * CHOOSE(CONTROL!$C$32, $C$9, 100%, $E$9)</f>
        <v>14.0024</v>
      </c>
      <c r="F837" s="81">
        <f>14.0024 * CHOOSE(CONTROL!$C$32, $C$9, 100%, $E$9)</f>
        <v>14.0024</v>
      </c>
      <c r="G837" s="81">
        <f>14.0076 * CHOOSE(CONTROL!$C$32, $C$9, 100%, $E$9)</f>
        <v>14.0076</v>
      </c>
      <c r="H837" s="81">
        <f>28.9773 * CHOOSE(CONTROL!$C$32, $C$9, 100%, $E$9)</f>
        <v>28.9773</v>
      </c>
      <c r="I837" s="81">
        <f>28.9826 * CHOOSE(CONTROL!$C$32, $C$9, 100%, $E$9)</f>
        <v>28.982600000000001</v>
      </c>
      <c r="J837" s="81">
        <f>28.9773 * CHOOSE(CONTROL!$C$32, $C$9, 100%, $E$9)</f>
        <v>28.9773</v>
      </c>
      <c r="K837" s="81">
        <f>28.9826 * CHOOSE(CONTROL!$C$32, $C$9, 100%, $E$9)</f>
        <v>28.982600000000001</v>
      </c>
      <c r="L837" s="81">
        <f>14.0024 * CHOOSE(CONTROL!$C$32, $C$9, 100%, $E$9)</f>
        <v>14.0024</v>
      </c>
      <c r="M837" s="81">
        <f>14.0076 * CHOOSE(CONTROL!$C$32, $C$9, 100%, $E$9)</f>
        <v>14.0076</v>
      </c>
      <c r="N837" s="81">
        <f>14.0024 * CHOOSE(CONTROL!$C$32, $C$9, 100%, $E$9)</f>
        <v>14.0024</v>
      </c>
      <c r="O837" s="81">
        <f>14.0076 * CHOOSE(CONTROL!$C$32, $C$9, 100%, $E$9)</f>
        <v>14.0076</v>
      </c>
    </row>
    <row r="838" spans="1:15" ht="15" x14ac:dyDescent="0.2">
      <c r="A838" s="16">
        <v>66720</v>
      </c>
      <c r="B838" s="80">
        <f>12.5393 * CHOOSE(CONTROL!$C$32, $C$9, 100%, $E$9)</f>
        <v>12.539300000000001</v>
      </c>
      <c r="C838" s="80">
        <f>12.5393 * CHOOSE(CONTROL!$C$32, $C$9, 100%, $E$9)</f>
        <v>12.539300000000001</v>
      </c>
      <c r="D838" s="80">
        <f>12.5409 * CHOOSE(CONTROL!$C$32, $C$9, 100%, $E$9)</f>
        <v>12.540900000000001</v>
      </c>
      <c r="E838" s="81">
        <f>13.9607 * CHOOSE(CONTROL!$C$32, $C$9, 100%, $E$9)</f>
        <v>13.960699999999999</v>
      </c>
      <c r="F838" s="81">
        <f>13.9607 * CHOOSE(CONTROL!$C$32, $C$9, 100%, $E$9)</f>
        <v>13.960699999999999</v>
      </c>
      <c r="G838" s="81">
        <f>13.966 * CHOOSE(CONTROL!$C$32, $C$9, 100%, $E$9)</f>
        <v>13.965999999999999</v>
      </c>
      <c r="H838" s="81">
        <f>29.0377 * CHOOSE(CONTROL!$C$32, $C$9, 100%, $E$9)</f>
        <v>29.037700000000001</v>
      </c>
      <c r="I838" s="81">
        <f>29.043 * CHOOSE(CONTROL!$C$32, $C$9, 100%, $E$9)</f>
        <v>29.042999999999999</v>
      </c>
      <c r="J838" s="81">
        <f>29.0377 * CHOOSE(CONTROL!$C$32, $C$9, 100%, $E$9)</f>
        <v>29.037700000000001</v>
      </c>
      <c r="K838" s="81">
        <f>29.043 * CHOOSE(CONTROL!$C$32, $C$9, 100%, $E$9)</f>
        <v>29.042999999999999</v>
      </c>
      <c r="L838" s="81">
        <f>13.9607 * CHOOSE(CONTROL!$C$32, $C$9, 100%, $E$9)</f>
        <v>13.960699999999999</v>
      </c>
      <c r="M838" s="81">
        <f>13.966 * CHOOSE(CONTROL!$C$32, $C$9, 100%, $E$9)</f>
        <v>13.965999999999999</v>
      </c>
      <c r="N838" s="81">
        <f>13.9607 * CHOOSE(CONTROL!$C$32, $C$9, 100%, $E$9)</f>
        <v>13.960699999999999</v>
      </c>
      <c r="O838" s="81">
        <f>13.966 * CHOOSE(CONTROL!$C$32, $C$9, 100%, $E$9)</f>
        <v>13.965999999999999</v>
      </c>
    </row>
    <row r="839" spans="1:15" ht="15" x14ac:dyDescent="0.2">
      <c r="A839" s="16">
        <v>66750</v>
      </c>
      <c r="B839" s="80">
        <f>12.5663 * CHOOSE(CONTROL!$C$32, $C$9, 100%, $E$9)</f>
        <v>12.5663</v>
      </c>
      <c r="C839" s="80">
        <f>12.5663 * CHOOSE(CONTROL!$C$32, $C$9, 100%, $E$9)</f>
        <v>12.5663</v>
      </c>
      <c r="D839" s="80">
        <f>12.5674 * CHOOSE(CONTROL!$C$32, $C$9, 100%, $E$9)</f>
        <v>12.567399999999999</v>
      </c>
      <c r="E839" s="81">
        <f>14.1055 * CHOOSE(CONTROL!$C$32, $C$9, 100%, $E$9)</f>
        <v>14.105499999999999</v>
      </c>
      <c r="F839" s="81">
        <f>14.1055 * CHOOSE(CONTROL!$C$32, $C$9, 100%, $E$9)</f>
        <v>14.105499999999999</v>
      </c>
      <c r="G839" s="81">
        <f>14.1092 * CHOOSE(CONTROL!$C$32, $C$9, 100%, $E$9)</f>
        <v>14.1092</v>
      </c>
      <c r="H839" s="81">
        <f>29.0982 * CHOOSE(CONTROL!$C$32, $C$9, 100%, $E$9)</f>
        <v>29.098199999999999</v>
      </c>
      <c r="I839" s="81">
        <f>29.1018 * CHOOSE(CONTROL!$C$32, $C$9, 100%, $E$9)</f>
        <v>29.101800000000001</v>
      </c>
      <c r="J839" s="81">
        <f>29.0982 * CHOOSE(CONTROL!$C$32, $C$9, 100%, $E$9)</f>
        <v>29.098199999999999</v>
      </c>
      <c r="K839" s="81">
        <f>29.1018 * CHOOSE(CONTROL!$C$32, $C$9, 100%, $E$9)</f>
        <v>29.101800000000001</v>
      </c>
      <c r="L839" s="81">
        <f>14.1055 * CHOOSE(CONTROL!$C$32, $C$9, 100%, $E$9)</f>
        <v>14.105499999999999</v>
      </c>
      <c r="M839" s="81">
        <f>14.1092 * CHOOSE(CONTROL!$C$32, $C$9, 100%, $E$9)</f>
        <v>14.1092</v>
      </c>
      <c r="N839" s="81">
        <f>14.1055 * CHOOSE(CONTROL!$C$32, $C$9, 100%, $E$9)</f>
        <v>14.105499999999999</v>
      </c>
      <c r="O839" s="81">
        <f>14.1092 * CHOOSE(CONTROL!$C$32, $C$9, 100%, $E$9)</f>
        <v>14.1092</v>
      </c>
    </row>
    <row r="840" spans="1:15" ht="15" x14ac:dyDescent="0.2">
      <c r="A840" s="16">
        <v>66781</v>
      </c>
      <c r="B840" s="80">
        <f>12.5694 * CHOOSE(CONTROL!$C$32, $C$9, 100%, $E$9)</f>
        <v>12.5694</v>
      </c>
      <c r="C840" s="80">
        <f>12.5694 * CHOOSE(CONTROL!$C$32, $C$9, 100%, $E$9)</f>
        <v>12.5694</v>
      </c>
      <c r="D840" s="80">
        <f>12.5704 * CHOOSE(CONTROL!$C$32, $C$9, 100%, $E$9)</f>
        <v>12.570399999999999</v>
      </c>
      <c r="E840" s="81">
        <f>14.1868 * CHOOSE(CONTROL!$C$32, $C$9, 100%, $E$9)</f>
        <v>14.1868</v>
      </c>
      <c r="F840" s="81">
        <f>14.1868 * CHOOSE(CONTROL!$C$32, $C$9, 100%, $E$9)</f>
        <v>14.1868</v>
      </c>
      <c r="G840" s="81">
        <f>14.1904 * CHOOSE(CONTROL!$C$32, $C$9, 100%, $E$9)</f>
        <v>14.1904</v>
      </c>
      <c r="H840" s="81">
        <f>29.1588 * CHOOSE(CONTROL!$C$32, $C$9, 100%, $E$9)</f>
        <v>29.158799999999999</v>
      </c>
      <c r="I840" s="81">
        <f>29.1624 * CHOOSE(CONTROL!$C$32, $C$9, 100%, $E$9)</f>
        <v>29.162400000000002</v>
      </c>
      <c r="J840" s="81">
        <f>29.1588 * CHOOSE(CONTROL!$C$32, $C$9, 100%, $E$9)</f>
        <v>29.158799999999999</v>
      </c>
      <c r="K840" s="81">
        <f>29.1624 * CHOOSE(CONTROL!$C$32, $C$9, 100%, $E$9)</f>
        <v>29.162400000000002</v>
      </c>
      <c r="L840" s="81">
        <f>14.1868 * CHOOSE(CONTROL!$C$32, $C$9, 100%, $E$9)</f>
        <v>14.1868</v>
      </c>
      <c r="M840" s="81">
        <f>14.1904 * CHOOSE(CONTROL!$C$32, $C$9, 100%, $E$9)</f>
        <v>14.1904</v>
      </c>
      <c r="N840" s="81">
        <f>14.1868 * CHOOSE(CONTROL!$C$32, $C$9, 100%, $E$9)</f>
        <v>14.1868</v>
      </c>
      <c r="O840" s="81">
        <f>14.1904 * CHOOSE(CONTROL!$C$32, $C$9, 100%, $E$9)</f>
        <v>14.1904</v>
      </c>
    </row>
    <row r="841" spans="1:15" ht="15" x14ac:dyDescent="0.2">
      <c r="A841" s="16">
        <v>66811</v>
      </c>
      <c r="B841" s="80">
        <f>12.5694 * CHOOSE(CONTROL!$C$32, $C$9, 100%, $E$9)</f>
        <v>12.5694</v>
      </c>
      <c r="C841" s="80">
        <f>12.5694 * CHOOSE(CONTROL!$C$32, $C$9, 100%, $E$9)</f>
        <v>12.5694</v>
      </c>
      <c r="D841" s="80">
        <f>12.5704 * CHOOSE(CONTROL!$C$32, $C$9, 100%, $E$9)</f>
        <v>12.570399999999999</v>
      </c>
      <c r="E841" s="81">
        <f>13.9889 * CHOOSE(CONTROL!$C$32, $C$9, 100%, $E$9)</f>
        <v>13.988899999999999</v>
      </c>
      <c r="F841" s="81">
        <f>13.9889 * CHOOSE(CONTROL!$C$32, $C$9, 100%, $E$9)</f>
        <v>13.988899999999999</v>
      </c>
      <c r="G841" s="81">
        <f>13.9926 * CHOOSE(CONTROL!$C$32, $C$9, 100%, $E$9)</f>
        <v>13.992599999999999</v>
      </c>
      <c r="H841" s="81">
        <f>29.2196 * CHOOSE(CONTROL!$C$32, $C$9, 100%, $E$9)</f>
        <v>29.2196</v>
      </c>
      <c r="I841" s="81">
        <f>29.2232 * CHOOSE(CONTROL!$C$32, $C$9, 100%, $E$9)</f>
        <v>29.223199999999999</v>
      </c>
      <c r="J841" s="81">
        <f>29.2196 * CHOOSE(CONTROL!$C$32, $C$9, 100%, $E$9)</f>
        <v>29.2196</v>
      </c>
      <c r="K841" s="81">
        <f>29.2232 * CHOOSE(CONTROL!$C$32, $C$9, 100%, $E$9)</f>
        <v>29.223199999999999</v>
      </c>
      <c r="L841" s="81">
        <f>13.9889 * CHOOSE(CONTROL!$C$32, $C$9, 100%, $E$9)</f>
        <v>13.988899999999999</v>
      </c>
      <c r="M841" s="81">
        <f>13.9926 * CHOOSE(CONTROL!$C$32, $C$9, 100%, $E$9)</f>
        <v>13.992599999999999</v>
      </c>
      <c r="N841" s="81">
        <f>13.9889 * CHOOSE(CONTROL!$C$32, $C$9, 100%, $E$9)</f>
        <v>13.988899999999999</v>
      </c>
      <c r="O841" s="81">
        <f>13.9926 * CHOOSE(CONTROL!$C$32, $C$9, 100%, $E$9)</f>
        <v>13.992599999999999</v>
      </c>
    </row>
    <row r="842" spans="1:15" ht="15" x14ac:dyDescent="0.2">
      <c r="A842" s="16">
        <v>66842</v>
      </c>
      <c r="B842" s="80">
        <f>12.5667 * CHOOSE(CONTROL!$C$32, $C$9, 100%, $E$9)</f>
        <v>12.566700000000001</v>
      </c>
      <c r="C842" s="80">
        <f>12.5667 * CHOOSE(CONTROL!$C$32, $C$9, 100%, $E$9)</f>
        <v>12.566700000000001</v>
      </c>
      <c r="D842" s="80">
        <f>12.5678 * CHOOSE(CONTROL!$C$32, $C$9, 100%, $E$9)</f>
        <v>12.5678</v>
      </c>
      <c r="E842" s="81">
        <f>14.1331 * CHOOSE(CONTROL!$C$32, $C$9, 100%, $E$9)</f>
        <v>14.133100000000001</v>
      </c>
      <c r="F842" s="81">
        <f>14.1331 * CHOOSE(CONTROL!$C$32, $C$9, 100%, $E$9)</f>
        <v>14.133100000000001</v>
      </c>
      <c r="G842" s="81">
        <f>14.1367 * CHOOSE(CONTROL!$C$32, $C$9, 100%, $E$9)</f>
        <v>14.136699999999999</v>
      </c>
      <c r="H842" s="81">
        <f>29.0223 * CHOOSE(CONTROL!$C$32, $C$9, 100%, $E$9)</f>
        <v>29.022300000000001</v>
      </c>
      <c r="I842" s="81">
        <f>29.0259 * CHOOSE(CONTROL!$C$32, $C$9, 100%, $E$9)</f>
        <v>29.0259</v>
      </c>
      <c r="J842" s="81">
        <f>29.0223 * CHOOSE(CONTROL!$C$32, $C$9, 100%, $E$9)</f>
        <v>29.022300000000001</v>
      </c>
      <c r="K842" s="81">
        <f>29.0259 * CHOOSE(CONTROL!$C$32, $C$9, 100%, $E$9)</f>
        <v>29.0259</v>
      </c>
      <c r="L842" s="81">
        <f>14.1331 * CHOOSE(CONTROL!$C$32, $C$9, 100%, $E$9)</f>
        <v>14.133100000000001</v>
      </c>
      <c r="M842" s="81">
        <f>14.1367 * CHOOSE(CONTROL!$C$32, $C$9, 100%, $E$9)</f>
        <v>14.136699999999999</v>
      </c>
      <c r="N842" s="81">
        <f>14.1331 * CHOOSE(CONTROL!$C$32, $C$9, 100%, $E$9)</f>
        <v>14.133100000000001</v>
      </c>
      <c r="O842" s="81">
        <f>14.1367 * CHOOSE(CONTROL!$C$32, $C$9, 100%, $E$9)</f>
        <v>14.136699999999999</v>
      </c>
    </row>
    <row r="843" spans="1:15" ht="15" x14ac:dyDescent="0.2">
      <c r="A843" s="16">
        <v>66873</v>
      </c>
      <c r="B843" s="80">
        <f>12.5637 * CHOOSE(CONTROL!$C$32, $C$9, 100%, $E$9)</f>
        <v>12.563700000000001</v>
      </c>
      <c r="C843" s="80">
        <f>12.5637 * CHOOSE(CONTROL!$C$32, $C$9, 100%, $E$9)</f>
        <v>12.563700000000001</v>
      </c>
      <c r="D843" s="80">
        <f>12.5648 * CHOOSE(CONTROL!$C$32, $C$9, 100%, $E$9)</f>
        <v>12.5648</v>
      </c>
      <c r="E843" s="81">
        <f>13.7499 * CHOOSE(CONTROL!$C$32, $C$9, 100%, $E$9)</f>
        <v>13.7499</v>
      </c>
      <c r="F843" s="81">
        <f>13.7499 * CHOOSE(CONTROL!$C$32, $C$9, 100%, $E$9)</f>
        <v>13.7499</v>
      </c>
      <c r="G843" s="81">
        <f>13.7535 * CHOOSE(CONTROL!$C$32, $C$9, 100%, $E$9)</f>
        <v>13.753500000000001</v>
      </c>
      <c r="H843" s="81">
        <f>29.0827 * CHOOSE(CONTROL!$C$32, $C$9, 100%, $E$9)</f>
        <v>29.082699999999999</v>
      </c>
      <c r="I843" s="81">
        <f>29.0863 * CHOOSE(CONTROL!$C$32, $C$9, 100%, $E$9)</f>
        <v>29.086300000000001</v>
      </c>
      <c r="J843" s="81">
        <f>29.0827 * CHOOSE(CONTROL!$C$32, $C$9, 100%, $E$9)</f>
        <v>29.082699999999999</v>
      </c>
      <c r="K843" s="81">
        <f>29.0863 * CHOOSE(CONTROL!$C$32, $C$9, 100%, $E$9)</f>
        <v>29.086300000000001</v>
      </c>
      <c r="L843" s="81">
        <f>13.7499 * CHOOSE(CONTROL!$C$32, $C$9, 100%, $E$9)</f>
        <v>13.7499</v>
      </c>
      <c r="M843" s="81">
        <f>13.7535 * CHOOSE(CONTROL!$C$32, $C$9, 100%, $E$9)</f>
        <v>13.753500000000001</v>
      </c>
      <c r="N843" s="81">
        <f>13.7499 * CHOOSE(CONTROL!$C$32, $C$9, 100%, $E$9)</f>
        <v>13.7499</v>
      </c>
      <c r="O843" s="81">
        <f>13.7535 * CHOOSE(CONTROL!$C$32, $C$9, 100%, $E$9)</f>
        <v>13.753500000000001</v>
      </c>
    </row>
    <row r="844" spans="1:15" ht="15" x14ac:dyDescent="0.2">
      <c r="A844" s="16">
        <v>66901</v>
      </c>
      <c r="B844" s="80">
        <f>12.5606 * CHOOSE(CONTROL!$C$32, $C$9, 100%, $E$9)</f>
        <v>12.560600000000001</v>
      </c>
      <c r="C844" s="80">
        <f>12.5606 * CHOOSE(CONTROL!$C$32, $C$9, 100%, $E$9)</f>
        <v>12.560600000000001</v>
      </c>
      <c r="D844" s="80">
        <f>12.5617 * CHOOSE(CONTROL!$C$32, $C$9, 100%, $E$9)</f>
        <v>12.5617</v>
      </c>
      <c r="E844" s="81">
        <f>14.0482 * CHOOSE(CONTROL!$C$32, $C$9, 100%, $E$9)</f>
        <v>14.0482</v>
      </c>
      <c r="F844" s="81">
        <f>14.0482 * CHOOSE(CONTROL!$C$32, $C$9, 100%, $E$9)</f>
        <v>14.0482</v>
      </c>
      <c r="G844" s="81">
        <f>14.0518 * CHOOSE(CONTROL!$C$32, $C$9, 100%, $E$9)</f>
        <v>14.0518</v>
      </c>
      <c r="H844" s="81">
        <f>29.1433 * CHOOSE(CONTROL!$C$32, $C$9, 100%, $E$9)</f>
        <v>29.1433</v>
      </c>
      <c r="I844" s="81">
        <f>29.1469 * CHOOSE(CONTROL!$C$32, $C$9, 100%, $E$9)</f>
        <v>29.146899999999999</v>
      </c>
      <c r="J844" s="81">
        <f>29.1433 * CHOOSE(CONTROL!$C$32, $C$9, 100%, $E$9)</f>
        <v>29.1433</v>
      </c>
      <c r="K844" s="81">
        <f>29.1469 * CHOOSE(CONTROL!$C$32, $C$9, 100%, $E$9)</f>
        <v>29.146899999999999</v>
      </c>
      <c r="L844" s="81">
        <f>14.0482 * CHOOSE(CONTROL!$C$32, $C$9, 100%, $E$9)</f>
        <v>14.0482</v>
      </c>
      <c r="M844" s="81">
        <f>14.0518 * CHOOSE(CONTROL!$C$32, $C$9, 100%, $E$9)</f>
        <v>14.0518</v>
      </c>
      <c r="N844" s="81">
        <f>14.0482 * CHOOSE(CONTROL!$C$32, $C$9, 100%, $E$9)</f>
        <v>14.0482</v>
      </c>
      <c r="O844" s="81">
        <f>14.0518 * CHOOSE(CONTROL!$C$32, $C$9, 100%, $E$9)</f>
        <v>14.0518</v>
      </c>
    </row>
    <row r="845" spans="1:15" ht="15" x14ac:dyDescent="0.2">
      <c r="A845" s="16">
        <v>66932</v>
      </c>
      <c r="B845" s="80">
        <f>12.5666 * CHOOSE(CONTROL!$C$32, $C$9, 100%, $E$9)</f>
        <v>12.566599999999999</v>
      </c>
      <c r="C845" s="80">
        <f>12.5666 * CHOOSE(CONTROL!$C$32, $C$9, 100%, $E$9)</f>
        <v>12.566599999999999</v>
      </c>
      <c r="D845" s="80">
        <f>12.5677 * CHOOSE(CONTROL!$C$32, $C$9, 100%, $E$9)</f>
        <v>12.5677</v>
      </c>
      <c r="E845" s="81">
        <f>14.3665 * CHOOSE(CONTROL!$C$32, $C$9, 100%, $E$9)</f>
        <v>14.3665</v>
      </c>
      <c r="F845" s="81">
        <f>14.3665 * CHOOSE(CONTROL!$C$32, $C$9, 100%, $E$9)</f>
        <v>14.3665</v>
      </c>
      <c r="G845" s="81">
        <f>14.3702 * CHOOSE(CONTROL!$C$32, $C$9, 100%, $E$9)</f>
        <v>14.370200000000001</v>
      </c>
      <c r="H845" s="81">
        <f>29.204 * CHOOSE(CONTROL!$C$32, $C$9, 100%, $E$9)</f>
        <v>29.204000000000001</v>
      </c>
      <c r="I845" s="81">
        <f>29.2077 * CHOOSE(CONTROL!$C$32, $C$9, 100%, $E$9)</f>
        <v>29.207699999999999</v>
      </c>
      <c r="J845" s="81">
        <f>29.204 * CHOOSE(CONTROL!$C$32, $C$9, 100%, $E$9)</f>
        <v>29.204000000000001</v>
      </c>
      <c r="K845" s="81">
        <f>29.2077 * CHOOSE(CONTROL!$C$32, $C$9, 100%, $E$9)</f>
        <v>29.207699999999999</v>
      </c>
      <c r="L845" s="81">
        <f>14.3665 * CHOOSE(CONTROL!$C$32, $C$9, 100%, $E$9)</f>
        <v>14.3665</v>
      </c>
      <c r="M845" s="81">
        <f>14.3702 * CHOOSE(CONTROL!$C$32, $C$9, 100%, $E$9)</f>
        <v>14.370200000000001</v>
      </c>
      <c r="N845" s="81">
        <f>14.3665 * CHOOSE(CONTROL!$C$32, $C$9, 100%, $E$9)</f>
        <v>14.3665</v>
      </c>
      <c r="O845" s="81">
        <f>14.3702 * CHOOSE(CONTROL!$C$32, $C$9, 100%, $E$9)</f>
        <v>14.370200000000001</v>
      </c>
    </row>
    <row r="846" spans="1:15" ht="15" x14ac:dyDescent="0.2">
      <c r="A846" s="16">
        <v>66962</v>
      </c>
      <c r="B846" s="80">
        <f>12.5666 * CHOOSE(CONTROL!$C$32, $C$9, 100%, $E$9)</f>
        <v>12.566599999999999</v>
      </c>
      <c r="C846" s="80">
        <f>12.5666 * CHOOSE(CONTROL!$C$32, $C$9, 100%, $E$9)</f>
        <v>12.566599999999999</v>
      </c>
      <c r="D846" s="80">
        <f>12.5682 * CHOOSE(CONTROL!$C$32, $C$9, 100%, $E$9)</f>
        <v>12.568199999999999</v>
      </c>
      <c r="E846" s="81">
        <f>14.4875 * CHOOSE(CONTROL!$C$32, $C$9, 100%, $E$9)</f>
        <v>14.487500000000001</v>
      </c>
      <c r="F846" s="81">
        <f>14.4875 * CHOOSE(CONTROL!$C$32, $C$9, 100%, $E$9)</f>
        <v>14.487500000000001</v>
      </c>
      <c r="G846" s="81">
        <f>14.4928 * CHOOSE(CONTROL!$C$32, $C$9, 100%, $E$9)</f>
        <v>14.492800000000001</v>
      </c>
      <c r="H846" s="81">
        <f>29.2649 * CHOOSE(CONTROL!$C$32, $C$9, 100%, $E$9)</f>
        <v>29.264900000000001</v>
      </c>
      <c r="I846" s="81">
        <f>29.2702 * CHOOSE(CONTROL!$C$32, $C$9, 100%, $E$9)</f>
        <v>29.270199999999999</v>
      </c>
      <c r="J846" s="81">
        <f>29.2649 * CHOOSE(CONTROL!$C$32, $C$9, 100%, $E$9)</f>
        <v>29.264900000000001</v>
      </c>
      <c r="K846" s="81">
        <f>29.2702 * CHOOSE(CONTROL!$C$32, $C$9, 100%, $E$9)</f>
        <v>29.270199999999999</v>
      </c>
      <c r="L846" s="81">
        <f>14.4875 * CHOOSE(CONTROL!$C$32, $C$9, 100%, $E$9)</f>
        <v>14.487500000000001</v>
      </c>
      <c r="M846" s="81">
        <f>14.4928 * CHOOSE(CONTROL!$C$32, $C$9, 100%, $E$9)</f>
        <v>14.492800000000001</v>
      </c>
      <c r="N846" s="81">
        <f>14.4875 * CHOOSE(CONTROL!$C$32, $C$9, 100%, $E$9)</f>
        <v>14.487500000000001</v>
      </c>
      <c r="O846" s="81">
        <f>14.4928 * CHOOSE(CONTROL!$C$32, $C$9, 100%, $E$9)</f>
        <v>14.492800000000001</v>
      </c>
    </row>
    <row r="847" spans="1:15" ht="15" x14ac:dyDescent="0.2">
      <c r="A847" s="16">
        <v>66993</v>
      </c>
      <c r="B847" s="80">
        <f>12.5727 * CHOOSE(CONTROL!$C$32, $C$9, 100%, $E$9)</f>
        <v>12.572699999999999</v>
      </c>
      <c r="C847" s="80">
        <f>12.5727 * CHOOSE(CONTROL!$C$32, $C$9, 100%, $E$9)</f>
        <v>12.572699999999999</v>
      </c>
      <c r="D847" s="80">
        <f>12.5743 * CHOOSE(CONTROL!$C$32, $C$9, 100%, $E$9)</f>
        <v>12.574299999999999</v>
      </c>
      <c r="E847" s="81">
        <f>14.3708 * CHOOSE(CONTROL!$C$32, $C$9, 100%, $E$9)</f>
        <v>14.370799999999999</v>
      </c>
      <c r="F847" s="81">
        <f>14.3708 * CHOOSE(CONTROL!$C$32, $C$9, 100%, $E$9)</f>
        <v>14.370799999999999</v>
      </c>
      <c r="G847" s="81">
        <f>14.3761 * CHOOSE(CONTROL!$C$32, $C$9, 100%, $E$9)</f>
        <v>14.376099999999999</v>
      </c>
      <c r="H847" s="81">
        <f>29.3258 * CHOOSE(CONTROL!$C$32, $C$9, 100%, $E$9)</f>
        <v>29.325800000000001</v>
      </c>
      <c r="I847" s="81">
        <f>29.3311 * CHOOSE(CONTROL!$C$32, $C$9, 100%, $E$9)</f>
        <v>29.331099999999999</v>
      </c>
      <c r="J847" s="81">
        <f>29.3258 * CHOOSE(CONTROL!$C$32, $C$9, 100%, $E$9)</f>
        <v>29.325800000000001</v>
      </c>
      <c r="K847" s="81">
        <f>29.3311 * CHOOSE(CONTROL!$C$32, $C$9, 100%, $E$9)</f>
        <v>29.331099999999999</v>
      </c>
      <c r="L847" s="81">
        <f>14.3708 * CHOOSE(CONTROL!$C$32, $C$9, 100%, $E$9)</f>
        <v>14.370799999999999</v>
      </c>
      <c r="M847" s="81">
        <f>14.3761 * CHOOSE(CONTROL!$C$32, $C$9, 100%, $E$9)</f>
        <v>14.376099999999999</v>
      </c>
      <c r="N847" s="81">
        <f>14.3708 * CHOOSE(CONTROL!$C$32, $C$9, 100%, $E$9)</f>
        <v>14.370799999999999</v>
      </c>
      <c r="O847" s="81">
        <f>14.3761 * CHOOSE(CONTROL!$C$32, $C$9, 100%, $E$9)</f>
        <v>14.376099999999999</v>
      </c>
    </row>
    <row r="848" spans="1:15" ht="15" x14ac:dyDescent="0.2">
      <c r="A848" s="16">
        <v>67023</v>
      </c>
      <c r="B848" s="80">
        <f>12.7253 * CHOOSE(CONTROL!$C$32, $C$9, 100%, $E$9)</f>
        <v>12.725300000000001</v>
      </c>
      <c r="C848" s="80">
        <f>12.7253 * CHOOSE(CONTROL!$C$32, $C$9, 100%, $E$9)</f>
        <v>12.725300000000001</v>
      </c>
      <c r="D848" s="80">
        <f>12.7269 * CHOOSE(CONTROL!$C$32, $C$9, 100%, $E$9)</f>
        <v>12.726900000000001</v>
      </c>
      <c r="E848" s="81">
        <f>14.574 * CHOOSE(CONTROL!$C$32, $C$9, 100%, $E$9)</f>
        <v>14.574</v>
      </c>
      <c r="F848" s="81">
        <f>14.574 * CHOOSE(CONTROL!$C$32, $C$9, 100%, $E$9)</f>
        <v>14.574</v>
      </c>
      <c r="G848" s="81">
        <f>14.5793 * CHOOSE(CONTROL!$C$32, $C$9, 100%, $E$9)</f>
        <v>14.5793</v>
      </c>
      <c r="H848" s="81">
        <f>29.3869 * CHOOSE(CONTROL!$C$32, $C$9, 100%, $E$9)</f>
        <v>29.386900000000001</v>
      </c>
      <c r="I848" s="81">
        <f>29.3922 * CHOOSE(CONTROL!$C$32, $C$9, 100%, $E$9)</f>
        <v>29.392199999999999</v>
      </c>
      <c r="J848" s="81">
        <f>29.3869 * CHOOSE(CONTROL!$C$32, $C$9, 100%, $E$9)</f>
        <v>29.386900000000001</v>
      </c>
      <c r="K848" s="81">
        <f>29.3922 * CHOOSE(CONTROL!$C$32, $C$9, 100%, $E$9)</f>
        <v>29.392199999999999</v>
      </c>
      <c r="L848" s="81">
        <f>14.574 * CHOOSE(CONTROL!$C$32, $C$9, 100%, $E$9)</f>
        <v>14.574</v>
      </c>
      <c r="M848" s="81">
        <f>14.5793 * CHOOSE(CONTROL!$C$32, $C$9, 100%, $E$9)</f>
        <v>14.5793</v>
      </c>
      <c r="N848" s="81">
        <f>14.574 * CHOOSE(CONTROL!$C$32, $C$9, 100%, $E$9)</f>
        <v>14.574</v>
      </c>
      <c r="O848" s="81">
        <f>14.5793 * CHOOSE(CONTROL!$C$32, $C$9, 100%, $E$9)</f>
        <v>14.5793</v>
      </c>
    </row>
    <row r="849" spans="1:15" ht="15" x14ac:dyDescent="0.2">
      <c r="A849" s="16">
        <v>67054</v>
      </c>
      <c r="B849" s="80">
        <f>12.732 * CHOOSE(CONTROL!$C$32, $C$9, 100%, $E$9)</f>
        <v>12.731999999999999</v>
      </c>
      <c r="C849" s="80">
        <f>12.732 * CHOOSE(CONTROL!$C$32, $C$9, 100%, $E$9)</f>
        <v>12.731999999999999</v>
      </c>
      <c r="D849" s="80">
        <f>12.7336 * CHOOSE(CONTROL!$C$32, $C$9, 100%, $E$9)</f>
        <v>12.733599999999999</v>
      </c>
      <c r="E849" s="81">
        <f>14.2158 * CHOOSE(CONTROL!$C$32, $C$9, 100%, $E$9)</f>
        <v>14.2158</v>
      </c>
      <c r="F849" s="81">
        <f>14.2158 * CHOOSE(CONTROL!$C$32, $C$9, 100%, $E$9)</f>
        <v>14.2158</v>
      </c>
      <c r="G849" s="81">
        <f>14.2211 * CHOOSE(CONTROL!$C$32, $C$9, 100%, $E$9)</f>
        <v>14.2211</v>
      </c>
      <c r="H849" s="81">
        <f>29.4482 * CHOOSE(CONTROL!$C$32, $C$9, 100%, $E$9)</f>
        <v>29.4482</v>
      </c>
      <c r="I849" s="81">
        <f>29.4535 * CHOOSE(CONTROL!$C$32, $C$9, 100%, $E$9)</f>
        <v>29.453499999999998</v>
      </c>
      <c r="J849" s="81">
        <f>29.4482 * CHOOSE(CONTROL!$C$32, $C$9, 100%, $E$9)</f>
        <v>29.4482</v>
      </c>
      <c r="K849" s="81">
        <f>29.4535 * CHOOSE(CONTROL!$C$32, $C$9, 100%, $E$9)</f>
        <v>29.453499999999998</v>
      </c>
      <c r="L849" s="81">
        <f>14.2158 * CHOOSE(CONTROL!$C$32, $C$9, 100%, $E$9)</f>
        <v>14.2158</v>
      </c>
      <c r="M849" s="81">
        <f>14.2211 * CHOOSE(CONTROL!$C$32, $C$9, 100%, $E$9)</f>
        <v>14.2211</v>
      </c>
      <c r="N849" s="81">
        <f>14.2158 * CHOOSE(CONTROL!$C$32, $C$9, 100%, $E$9)</f>
        <v>14.2158</v>
      </c>
      <c r="O849" s="81">
        <f>14.2211 * CHOOSE(CONTROL!$C$32, $C$9, 100%, $E$9)</f>
        <v>14.2211</v>
      </c>
    </row>
    <row r="850" spans="1:15" ht="15" x14ac:dyDescent="0.2">
      <c r="A850" s="16">
        <v>67085</v>
      </c>
      <c r="B850" s="80">
        <f>12.7289 * CHOOSE(CONTROL!$C$32, $C$9, 100%, $E$9)</f>
        <v>12.728899999999999</v>
      </c>
      <c r="C850" s="80">
        <f>12.7289 * CHOOSE(CONTROL!$C$32, $C$9, 100%, $E$9)</f>
        <v>12.728899999999999</v>
      </c>
      <c r="D850" s="80">
        <f>12.7305 * CHOOSE(CONTROL!$C$32, $C$9, 100%, $E$9)</f>
        <v>12.730499999999999</v>
      </c>
      <c r="E850" s="81">
        <f>14.1733 * CHOOSE(CONTROL!$C$32, $C$9, 100%, $E$9)</f>
        <v>14.173299999999999</v>
      </c>
      <c r="F850" s="81">
        <f>14.1733 * CHOOSE(CONTROL!$C$32, $C$9, 100%, $E$9)</f>
        <v>14.173299999999999</v>
      </c>
      <c r="G850" s="81">
        <f>14.1786 * CHOOSE(CONTROL!$C$32, $C$9, 100%, $E$9)</f>
        <v>14.178599999999999</v>
      </c>
      <c r="H850" s="81">
        <f>29.5095 * CHOOSE(CONTROL!$C$32, $C$9, 100%, $E$9)</f>
        <v>29.509499999999999</v>
      </c>
      <c r="I850" s="81">
        <f>29.5148 * CHOOSE(CONTROL!$C$32, $C$9, 100%, $E$9)</f>
        <v>29.514800000000001</v>
      </c>
      <c r="J850" s="81">
        <f>29.5095 * CHOOSE(CONTROL!$C$32, $C$9, 100%, $E$9)</f>
        <v>29.509499999999999</v>
      </c>
      <c r="K850" s="81">
        <f>29.5148 * CHOOSE(CONTROL!$C$32, $C$9, 100%, $E$9)</f>
        <v>29.514800000000001</v>
      </c>
      <c r="L850" s="81">
        <f>14.1733 * CHOOSE(CONTROL!$C$32, $C$9, 100%, $E$9)</f>
        <v>14.173299999999999</v>
      </c>
      <c r="M850" s="81">
        <f>14.1786 * CHOOSE(CONTROL!$C$32, $C$9, 100%, $E$9)</f>
        <v>14.178599999999999</v>
      </c>
      <c r="N850" s="81">
        <f>14.1733 * CHOOSE(CONTROL!$C$32, $C$9, 100%, $E$9)</f>
        <v>14.173299999999999</v>
      </c>
      <c r="O850" s="81">
        <f>14.1786 * CHOOSE(CONTROL!$C$32, $C$9, 100%, $E$9)</f>
        <v>14.178599999999999</v>
      </c>
    </row>
    <row r="851" spans="1:15" ht="15" x14ac:dyDescent="0.2">
      <c r="A851" s="16">
        <v>67115</v>
      </c>
      <c r="B851" s="80">
        <f>12.7566 * CHOOSE(CONTROL!$C$32, $C$9, 100%, $E$9)</f>
        <v>12.756600000000001</v>
      </c>
      <c r="C851" s="80">
        <f>12.7566 * CHOOSE(CONTROL!$C$32, $C$9, 100%, $E$9)</f>
        <v>12.756600000000001</v>
      </c>
      <c r="D851" s="80">
        <f>12.7577 * CHOOSE(CONTROL!$C$32, $C$9, 100%, $E$9)</f>
        <v>12.7577</v>
      </c>
      <c r="E851" s="81">
        <f>14.3212 * CHOOSE(CONTROL!$C$32, $C$9, 100%, $E$9)</f>
        <v>14.321199999999999</v>
      </c>
      <c r="F851" s="81">
        <f>14.3212 * CHOOSE(CONTROL!$C$32, $C$9, 100%, $E$9)</f>
        <v>14.321199999999999</v>
      </c>
      <c r="G851" s="81">
        <f>14.3248 * CHOOSE(CONTROL!$C$32, $C$9, 100%, $E$9)</f>
        <v>14.3248</v>
      </c>
      <c r="H851" s="81">
        <f>29.571 * CHOOSE(CONTROL!$C$32, $C$9, 100%, $E$9)</f>
        <v>29.571000000000002</v>
      </c>
      <c r="I851" s="81">
        <f>29.5746 * CHOOSE(CONTROL!$C$32, $C$9, 100%, $E$9)</f>
        <v>29.5746</v>
      </c>
      <c r="J851" s="81">
        <f>29.571 * CHOOSE(CONTROL!$C$32, $C$9, 100%, $E$9)</f>
        <v>29.571000000000002</v>
      </c>
      <c r="K851" s="81">
        <f>29.5746 * CHOOSE(CONTROL!$C$32, $C$9, 100%, $E$9)</f>
        <v>29.5746</v>
      </c>
      <c r="L851" s="81">
        <f>14.3212 * CHOOSE(CONTROL!$C$32, $C$9, 100%, $E$9)</f>
        <v>14.321199999999999</v>
      </c>
      <c r="M851" s="81">
        <f>14.3248 * CHOOSE(CONTROL!$C$32, $C$9, 100%, $E$9)</f>
        <v>14.3248</v>
      </c>
      <c r="N851" s="81">
        <f>14.3212 * CHOOSE(CONTROL!$C$32, $C$9, 100%, $E$9)</f>
        <v>14.321199999999999</v>
      </c>
      <c r="O851" s="81">
        <f>14.3248 * CHOOSE(CONTROL!$C$32, $C$9, 100%, $E$9)</f>
        <v>14.3248</v>
      </c>
    </row>
    <row r="852" spans="1:15" ht="15" x14ac:dyDescent="0.2">
      <c r="A852" s="16">
        <v>67146</v>
      </c>
      <c r="B852" s="80">
        <f>12.7597 * CHOOSE(CONTROL!$C$32, $C$9, 100%, $E$9)</f>
        <v>12.7597</v>
      </c>
      <c r="C852" s="80">
        <f>12.7597 * CHOOSE(CONTROL!$C$32, $C$9, 100%, $E$9)</f>
        <v>12.7597</v>
      </c>
      <c r="D852" s="80">
        <f>12.7607 * CHOOSE(CONTROL!$C$32, $C$9, 100%, $E$9)</f>
        <v>12.7607</v>
      </c>
      <c r="E852" s="81">
        <f>14.404 * CHOOSE(CONTROL!$C$32, $C$9, 100%, $E$9)</f>
        <v>14.404</v>
      </c>
      <c r="F852" s="81">
        <f>14.404 * CHOOSE(CONTROL!$C$32, $C$9, 100%, $E$9)</f>
        <v>14.404</v>
      </c>
      <c r="G852" s="81">
        <f>14.4076 * CHOOSE(CONTROL!$C$32, $C$9, 100%, $E$9)</f>
        <v>14.4076</v>
      </c>
      <c r="H852" s="81">
        <f>29.6326 * CHOOSE(CONTROL!$C$32, $C$9, 100%, $E$9)</f>
        <v>29.6326</v>
      </c>
      <c r="I852" s="81">
        <f>29.6362 * CHOOSE(CONTROL!$C$32, $C$9, 100%, $E$9)</f>
        <v>29.636199999999999</v>
      </c>
      <c r="J852" s="81">
        <f>29.6326 * CHOOSE(CONTROL!$C$32, $C$9, 100%, $E$9)</f>
        <v>29.6326</v>
      </c>
      <c r="K852" s="81">
        <f>29.6362 * CHOOSE(CONTROL!$C$32, $C$9, 100%, $E$9)</f>
        <v>29.636199999999999</v>
      </c>
      <c r="L852" s="81">
        <f>14.404 * CHOOSE(CONTROL!$C$32, $C$9, 100%, $E$9)</f>
        <v>14.404</v>
      </c>
      <c r="M852" s="81">
        <f>14.4076 * CHOOSE(CONTROL!$C$32, $C$9, 100%, $E$9)</f>
        <v>14.4076</v>
      </c>
      <c r="N852" s="81">
        <f>14.404 * CHOOSE(CONTROL!$C$32, $C$9, 100%, $E$9)</f>
        <v>14.404</v>
      </c>
      <c r="O852" s="81">
        <f>14.4076 * CHOOSE(CONTROL!$C$32, $C$9, 100%, $E$9)</f>
        <v>14.4076</v>
      </c>
    </row>
    <row r="853" spans="1:15" ht="15" x14ac:dyDescent="0.2">
      <c r="A853" s="16">
        <v>67176</v>
      </c>
      <c r="B853" s="80">
        <f>12.7597 * CHOOSE(CONTROL!$C$32, $C$9, 100%, $E$9)</f>
        <v>12.7597</v>
      </c>
      <c r="C853" s="80">
        <f>12.7597 * CHOOSE(CONTROL!$C$32, $C$9, 100%, $E$9)</f>
        <v>12.7597</v>
      </c>
      <c r="D853" s="80">
        <f>12.7607 * CHOOSE(CONTROL!$C$32, $C$9, 100%, $E$9)</f>
        <v>12.7607</v>
      </c>
      <c r="E853" s="81">
        <f>14.2024 * CHOOSE(CONTROL!$C$32, $C$9, 100%, $E$9)</f>
        <v>14.202400000000001</v>
      </c>
      <c r="F853" s="81">
        <f>14.2024 * CHOOSE(CONTROL!$C$32, $C$9, 100%, $E$9)</f>
        <v>14.202400000000001</v>
      </c>
      <c r="G853" s="81">
        <f>14.206 * CHOOSE(CONTROL!$C$32, $C$9, 100%, $E$9)</f>
        <v>14.206</v>
      </c>
      <c r="H853" s="81">
        <f>29.6943 * CHOOSE(CONTROL!$C$32, $C$9, 100%, $E$9)</f>
        <v>29.694299999999998</v>
      </c>
      <c r="I853" s="81">
        <f>29.6979 * CHOOSE(CONTROL!$C$32, $C$9, 100%, $E$9)</f>
        <v>29.697900000000001</v>
      </c>
      <c r="J853" s="81">
        <f>29.6943 * CHOOSE(CONTROL!$C$32, $C$9, 100%, $E$9)</f>
        <v>29.694299999999998</v>
      </c>
      <c r="K853" s="81">
        <f>29.6979 * CHOOSE(CONTROL!$C$32, $C$9, 100%, $E$9)</f>
        <v>29.697900000000001</v>
      </c>
      <c r="L853" s="81">
        <f>14.2024 * CHOOSE(CONTROL!$C$32, $C$9, 100%, $E$9)</f>
        <v>14.202400000000001</v>
      </c>
      <c r="M853" s="81">
        <f>14.206 * CHOOSE(CONTROL!$C$32, $C$9, 100%, $E$9)</f>
        <v>14.206</v>
      </c>
      <c r="N853" s="81">
        <f>14.2024 * CHOOSE(CONTROL!$C$32, $C$9, 100%, $E$9)</f>
        <v>14.202400000000001</v>
      </c>
      <c r="O853" s="81">
        <f>14.206 * CHOOSE(CONTROL!$C$32, $C$9, 100%, $E$9)</f>
        <v>14.206</v>
      </c>
    </row>
    <row r="854" spans="1:15" ht="15" x14ac:dyDescent="0.2">
      <c r="A854" s="16">
        <v>67207</v>
      </c>
      <c r="B854" s="80">
        <f>12.7541 * CHOOSE(CONTROL!$C$32, $C$9, 100%, $E$9)</f>
        <v>12.754099999999999</v>
      </c>
      <c r="C854" s="80">
        <f>12.7541 * CHOOSE(CONTROL!$C$32, $C$9, 100%, $E$9)</f>
        <v>12.754099999999999</v>
      </c>
      <c r="D854" s="80">
        <f>12.7552 * CHOOSE(CONTROL!$C$32, $C$9, 100%, $E$9)</f>
        <v>12.7552</v>
      </c>
      <c r="E854" s="81">
        <f>14.3456 * CHOOSE(CONTROL!$C$32, $C$9, 100%, $E$9)</f>
        <v>14.345599999999999</v>
      </c>
      <c r="F854" s="81">
        <f>14.3456 * CHOOSE(CONTROL!$C$32, $C$9, 100%, $E$9)</f>
        <v>14.345599999999999</v>
      </c>
      <c r="G854" s="81">
        <f>14.3492 * CHOOSE(CONTROL!$C$32, $C$9, 100%, $E$9)</f>
        <v>14.3492</v>
      </c>
      <c r="H854" s="81">
        <f>29.4863 * CHOOSE(CONTROL!$C$32, $C$9, 100%, $E$9)</f>
        <v>29.4863</v>
      </c>
      <c r="I854" s="81">
        <f>29.4899 * CHOOSE(CONTROL!$C$32, $C$9, 100%, $E$9)</f>
        <v>29.489899999999999</v>
      </c>
      <c r="J854" s="81">
        <f>29.4863 * CHOOSE(CONTROL!$C$32, $C$9, 100%, $E$9)</f>
        <v>29.4863</v>
      </c>
      <c r="K854" s="81">
        <f>29.4899 * CHOOSE(CONTROL!$C$32, $C$9, 100%, $E$9)</f>
        <v>29.489899999999999</v>
      </c>
      <c r="L854" s="81">
        <f>14.3456 * CHOOSE(CONTROL!$C$32, $C$9, 100%, $E$9)</f>
        <v>14.345599999999999</v>
      </c>
      <c r="M854" s="81">
        <f>14.3492 * CHOOSE(CONTROL!$C$32, $C$9, 100%, $E$9)</f>
        <v>14.3492</v>
      </c>
      <c r="N854" s="81">
        <f>14.3456 * CHOOSE(CONTROL!$C$32, $C$9, 100%, $E$9)</f>
        <v>14.345599999999999</v>
      </c>
      <c r="O854" s="81">
        <f>14.3492 * CHOOSE(CONTROL!$C$32, $C$9, 100%, $E$9)</f>
        <v>14.3492</v>
      </c>
    </row>
    <row r="855" spans="1:15" ht="15" x14ac:dyDescent="0.2">
      <c r="A855" s="16">
        <v>67238</v>
      </c>
      <c r="B855" s="80">
        <f>12.751 * CHOOSE(CONTROL!$C$32, $C$9, 100%, $E$9)</f>
        <v>12.750999999999999</v>
      </c>
      <c r="C855" s="80">
        <f>12.751 * CHOOSE(CONTROL!$C$32, $C$9, 100%, $E$9)</f>
        <v>12.750999999999999</v>
      </c>
      <c r="D855" s="80">
        <f>12.7521 * CHOOSE(CONTROL!$C$32, $C$9, 100%, $E$9)</f>
        <v>12.7521</v>
      </c>
      <c r="E855" s="81">
        <f>13.9553 * CHOOSE(CONTROL!$C$32, $C$9, 100%, $E$9)</f>
        <v>13.955299999999999</v>
      </c>
      <c r="F855" s="81">
        <f>13.9553 * CHOOSE(CONTROL!$C$32, $C$9, 100%, $E$9)</f>
        <v>13.955299999999999</v>
      </c>
      <c r="G855" s="81">
        <f>13.959 * CHOOSE(CONTROL!$C$32, $C$9, 100%, $E$9)</f>
        <v>13.959</v>
      </c>
      <c r="H855" s="81">
        <f>29.5477 * CHOOSE(CONTROL!$C$32, $C$9, 100%, $E$9)</f>
        <v>29.547699999999999</v>
      </c>
      <c r="I855" s="81">
        <f>29.5513 * CHOOSE(CONTROL!$C$32, $C$9, 100%, $E$9)</f>
        <v>29.551300000000001</v>
      </c>
      <c r="J855" s="81">
        <f>29.5477 * CHOOSE(CONTROL!$C$32, $C$9, 100%, $E$9)</f>
        <v>29.547699999999999</v>
      </c>
      <c r="K855" s="81">
        <f>29.5513 * CHOOSE(CONTROL!$C$32, $C$9, 100%, $E$9)</f>
        <v>29.551300000000001</v>
      </c>
      <c r="L855" s="81">
        <f>13.9553 * CHOOSE(CONTROL!$C$32, $C$9, 100%, $E$9)</f>
        <v>13.955299999999999</v>
      </c>
      <c r="M855" s="81">
        <f>13.959 * CHOOSE(CONTROL!$C$32, $C$9, 100%, $E$9)</f>
        <v>13.959</v>
      </c>
      <c r="N855" s="81">
        <f>13.9553 * CHOOSE(CONTROL!$C$32, $C$9, 100%, $E$9)</f>
        <v>13.955299999999999</v>
      </c>
      <c r="O855" s="81">
        <f>13.959 * CHOOSE(CONTROL!$C$32, $C$9, 100%, $E$9)</f>
        <v>13.959</v>
      </c>
    </row>
    <row r="856" spans="1:15" ht="15" x14ac:dyDescent="0.2">
      <c r="A856" s="16">
        <v>67267</v>
      </c>
      <c r="B856" s="80">
        <f>12.748 * CHOOSE(CONTROL!$C$32, $C$9, 100%, $E$9)</f>
        <v>12.747999999999999</v>
      </c>
      <c r="C856" s="80">
        <f>12.748 * CHOOSE(CONTROL!$C$32, $C$9, 100%, $E$9)</f>
        <v>12.747999999999999</v>
      </c>
      <c r="D856" s="80">
        <f>12.7491 * CHOOSE(CONTROL!$C$32, $C$9, 100%, $E$9)</f>
        <v>12.7491</v>
      </c>
      <c r="E856" s="81">
        <f>14.2592 * CHOOSE(CONTROL!$C$32, $C$9, 100%, $E$9)</f>
        <v>14.2592</v>
      </c>
      <c r="F856" s="81">
        <f>14.2592 * CHOOSE(CONTROL!$C$32, $C$9, 100%, $E$9)</f>
        <v>14.2592</v>
      </c>
      <c r="G856" s="81">
        <f>14.2628 * CHOOSE(CONTROL!$C$32, $C$9, 100%, $E$9)</f>
        <v>14.2628</v>
      </c>
      <c r="H856" s="81">
        <f>29.6093 * CHOOSE(CONTROL!$C$32, $C$9, 100%, $E$9)</f>
        <v>29.609300000000001</v>
      </c>
      <c r="I856" s="81">
        <f>29.6129 * CHOOSE(CONTROL!$C$32, $C$9, 100%, $E$9)</f>
        <v>29.6129</v>
      </c>
      <c r="J856" s="81">
        <f>29.6093 * CHOOSE(CONTROL!$C$32, $C$9, 100%, $E$9)</f>
        <v>29.609300000000001</v>
      </c>
      <c r="K856" s="81">
        <f>29.6129 * CHOOSE(CONTROL!$C$32, $C$9, 100%, $E$9)</f>
        <v>29.6129</v>
      </c>
      <c r="L856" s="81">
        <f>14.2592 * CHOOSE(CONTROL!$C$32, $C$9, 100%, $E$9)</f>
        <v>14.2592</v>
      </c>
      <c r="M856" s="81">
        <f>14.2628 * CHOOSE(CONTROL!$C$32, $C$9, 100%, $E$9)</f>
        <v>14.2628</v>
      </c>
      <c r="N856" s="81">
        <f>14.2592 * CHOOSE(CONTROL!$C$32, $C$9, 100%, $E$9)</f>
        <v>14.2592</v>
      </c>
      <c r="O856" s="81">
        <f>14.2628 * CHOOSE(CONTROL!$C$32, $C$9, 100%, $E$9)</f>
        <v>14.2628</v>
      </c>
    </row>
    <row r="857" spans="1:15" ht="15" x14ac:dyDescent="0.2">
      <c r="A857" s="16">
        <v>67298</v>
      </c>
      <c r="B857" s="80">
        <f>12.7541 * CHOOSE(CONTROL!$C$32, $C$9, 100%, $E$9)</f>
        <v>12.754099999999999</v>
      </c>
      <c r="C857" s="80">
        <f>12.7541 * CHOOSE(CONTROL!$C$32, $C$9, 100%, $E$9)</f>
        <v>12.754099999999999</v>
      </c>
      <c r="D857" s="80">
        <f>12.7552 * CHOOSE(CONTROL!$C$32, $C$9, 100%, $E$9)</f>
        <v>12.7552</v>
      </c>
      <c r="E857" s="81">
        <f>14.5835 * CHOOSE(CONTROL!$C$32, $C$9, 100%, $E$9)</f>
        <v>14.583500000000001</v>
      </c>
      <c r="F857" s="81">
        <f>14.5835 * CHOOSE(CONTROL!$C$32, $C$9, 100%, $E$9)</f>
        <v>14.583500000000001</v>
      </c>
      <c r="G857" s="81">
        <f>14.5872 * CHOOSE(CONTROL!$C$32, $C$9, 100%, $E$9)</f>
        <v>14.587199999999999</v>
      </c>
      <c r="H857" s="81">
        <f>29.671 * CHOOSE(CONTROL!$C$32, $C$9, 100%, $E$9)</f>
        <v>29.670999999999999</v>
      </c>
      <c r="I857" s="81">
        <f>29.6746 * CHOOSE(CONTROL!$C$32, $C$9, 100%, $E$9)</f>
        <v>29.674600000000002</v>
      </c>
      <c r="J857" s="81">
        <f>29.671 * CHOOSE(CONTROL!$C$32, $C$9, 100%, $E$9)</f>
        <v>29.670999999999999</v>
      </c>
      <c r="K857" s="81">
        <f>29.6746 * CHOOSE(CONTROL!$C$32, $C$9, 100%, $E$9)</f>
        <v>29.674600000000002</v>
      </c>
      <c r="L857" s="81">
        <f>14.5835 * CHOOSE(CONTROL!$C$32, $C$9, 100%, $E$9)</f>
        <v>14.583500000000001</v>
      </c>
      <c r="M857" s="81">
        <f>14.5872 * CHOOSE(CONTROL!$C$32, $C$9, 100%, $E$9)</f>
        <v>14.587199999999999</v>
      </c>
      <c r="N857" s="81">
        <f>14.5835 * CHOOSE(CONTROL!$C$32, $C$9, 100%, $E$9)</f>
        <v>14.583500000000001</v>
      </c>
      <c r="O857" s="81">
        <f>14.5872 * CHOOSE(CONTROL!$C$32, $C$9, 100%, $E$9)</f>
        <v>14.587199999999999</v>
      </c>
    </row>
    <row r="858" spans="1:15" ht="15" x14ac:dyDescent="0.2">
      <c r="A858" s="16">
        <v>67328</v>
      </c>
      <c r="B858" s="80">
        <f>12.7541 * CHOOSE(CONTROL!$C$32, $C$9, 100%, $E$9)</f>
        <v>12.754099999999999</v>
      </c>
      <c r="C858" s="80">
        <f>12.7541 * CHOOSE(CONTROL!$C$32, $C$9, 100%, $E$9)</f>
        <v>12.754099999999999</v>
      </c>
      <c r="D858" s="80">
        <f>12.7557 * CHOOSE(CONTROL!$C$32, $C$9, 100%, $E$9)</f>
        <v>12.755699999999999</v>
      </c>
      <c r="E858" s="81">
        <f>14.7068 * CHOOSE(CONTROL!$C$32, $C$9, 100%, $E$9)</f>
        <v>14.706799999999999</v>
      </c>
      <c r="F858" s="81">
        <f>14.7068 * CHOOSE(CONTROL!$C$32, $C$9, 100%, $E$9)</f>
        <v>14.706799999999999</v>
      </c>
      <c r="G858" s="81">
        <f>14.7121 * CHOOSE(CONTROL!$C$32, $C$9, 100%, $E$9)</f>
        <v>14.7121</v>
      </c>
      <c r="H858" s="81">
        <f>29.7328 * CHOOSE(CONTROL!$C$32, $C$9, 100%, $E$9)</f>
        <v>29.732800000000001</v>
      </c>
      <c r="I858" s="81">
        <f>29.7381 * CHOOSE(CONTROL!$C$32, $C$9, 100%, $E$9)</f>
        <v>29.738099999999999</v>
      </c>
      <c r="J858" s="81">
        <f>29.7328 * CHOOSE(CONTROL!$C$32, $C$9, 100%, $E$9)</f>
        <v>29.732800000000001</v>
      </c>
      <c r="K858" s="81">
        <f>29.7381 * CHOOSE(CONTROL!$C$32, $C$9, 100%, $E$9)</f>
        <v>29.738099999999999</v>
      </c>
      <c r="L858" s="81">
        <f>14.7068 * CHOOSE(CONTROL!$C$32, $C$9, 100%, $E$9)</f>
        <v>14.706799999999999</v>
      </c>
      <c r="M858" s="81">
        <f>14.7121 * CHOOSE(CONTROL!$C$32, $C$9, 100%, $E$9)</f>
        <v>14.7121</v>
      </c>
      <c r="N858" s="81">
        <f>14.7068 * CHOOSE(CONTROL!$C$32, $C$9, 100%, $E$9)</f>
        <v>14.706799999999999</v>
      </c>
      <c r="O858" s="81">
        <f>14.7121 * CHOOSE(CONTROL!$C$32, $C$9, 100%, $E$9)</f>
        <v>14.7121</v>
      </c>
    </row>
    <row r="859" spans="1:15" ht="15" x14ac:dyDescent="0.2">
      <c r="A859" s="16">
        <v>67359</v>
      </c>
      <c r="B859" s="80">
        <f>12.7602 * CHOOSE(CONTROL!$C$32, $C$9, 100%, $E$9)</f>
        <v>12.760199999999999</v>
      </c>
      <c r="C859" s="80">
        <f>12.7602 * CHOOSE(CONTROL!$C$32, $C$9, 100%, $E$9)</f>
        <v>12.760199999999999</v>
      </c>
      <c r="D859" s="80">
        <f>12.7618 * CHOOSE(CONTROL!$C$32, $C$9, 100%, $E$9)</f>
        <v>12.761799999999999</v>
      </c>
      <c r="E859" s="81">
        <f>14.5878 * CHOOSE(CONTROL!$C$32, $C$9, 100%, $E$9)</f>
        <v>14.5878</v>
      </c>
      <c r="F859" s="81">
        <f>14.5878 * CHOOSE(CONTROL!$C$32, $C$9, 100%, $E$9)</f>
        <v>14.5878</v>
      </c>
      <c r="G859" s="81">
        <f>14.5931 * CHOOSE(CONTROL!$C$32, $C$9, 100%, $E$9)</f>
        <v>14.5931</v>
      </c>
      <c r="H859" s="81">
        <f>29.7947 * CHOOSE(CONTROL!$C$32, $C$9, 100%, $E$9)</f>
        <v>29.794699999999999</v>
      </c>
      <c r="I859" s="81">
        <f>29.8 * CHOOSE(CONTROL!$C$32, $C$9, 100%, $E$9)</f>
        <v>29.8</v>
      </c>
      <c r="J859" s="81">
        <f>29.7947 * CHOOSE(CONTROL!$C$32, $C$9, 100%, $E$9)</f>
        <v>29.794699999999999</v>
      </c>
      <c r="K859" s="81">
        <f>29.8 * CHOOSE(CONTROL!$C$32, $C$9, 100%, $E$9)</f>
        <v>29.8</v>
      </c>
      <c r="L859" s="81">
        <f>14.5878 * CHOOSE(CONTROL!$C$32, $C$9, 100%, $E$9)</f>
        <v>14.5878</v>
      </c>
      <c r="M859" s="81">
        <f>14.5931 * CHOOSE(CONTROL!$C$32, $C$9, 100%, $E$9)</f>
        <v>14.5931</v>
      </c>
      <c r="N859" s="81">
        <f>14.5878 * CHOOSE(CONTROL!$C$32, $C$9, 100%, $E$9)</f>
        <v>14.5878</v>
      </c>
      <c r="O859" s="81">
        <f>14.5931 * CHOOSE(CONTROL!$C$32, $C$9, 100%, $E$9)</f>
        <v>14.5931</v>
      </c>
    </row>
    <row r="860" spans="1:15" ht="15" x14ac:dyDescent="0.2">
      <c r="A860" s="16">
        <v>67389</v>
      </c>
      <c r="B860" s="80">
        <f>12.9149 * CHOOSE(CONTROL!$C$32, $C$9, 100%, $E$9)</f>
        <v>12.914899999999999</v>
      </c>
      <c r="C860" s="80">
        <f>12.9149 * CHOOSE(CONTROL!$C$32, $C$9, 100%, $E$9)</f>
        <v>12.914899999999999</v>
      </c>
      <c r="D860" s="80">
        <f>12.9165 * CHOOSE(CONTROL!$C$32, $C$9, 100%, $E$9)</f>
        <v>12.916499999999999</v>
      </c>
      <c r="E860" s="81">
        <f>14.7942 * CHOOSE(CONTROL!$C$32, $C$9, 100%, $E$9)</f>
        <v>14.7942</v>
      </c>
      <c r="F860" s="81">
        <f>14.7942 * CHOOSE(CONTROL!$C$32, $C$9, 100%, $E$9)</f>
        <v>14.7942</v>
      </c>
      <c r="G860" s="81">
        <f>14.7995 * CHOOSE(CONTROL!$C$32, $C$9, 100%, $E$9)</f>
        <v>14.7995</v>
      </c>
      <c r="H860" s="81">
        <f>29.8568 * CHOOSE(CONTROL!$C$32, $C$9, 100%, $E$9)</f>
        <v>29.8568</v>
      </c>
      <c r="I860" s="81">
        <f>29.8621 * CHOOSE(CONTROL!$C$32, $C$9, 100%, $E$9)</f>
        <v>29.862100000000002</v>
      </c>
      <c r="J860" s="81">
        <f>29.8568 * CHOOSE(CONTROL!$C$32, $C$9, 100%, $E$9)</f>
        <v>29.8568</v>
      </c>
      <c r="K860" s="81">
        <f>29.8621 * CHOOSE(CONTROL!$C$32, $C$9, 100%, $E$9)</f>
        <v>29.862100000000002</v>
      </c>
      <c r="L860" s="81">
        <f>14.7942 * CHOOSE(CONTROL!$C$32, $C$9, 100%, $E$9)</f>
        <v>14.7942</v>
      </c>
      <c r="M860" s="81">
        <f>14.7995 * CHOOSE(CONTROL!$C$32, $C$9, 100%, $E$9)</f>
        <v>14.7995</v>
      </c>
      <c r="N860" s="81">
        <f>14.7942 * CHOOSE(CONTROL!$C$32, $C$9, 100%, $E$9)</f>
        <v>14.7942</v>
      </c>
      <c r="O860" s="81">
        <f>14.7995 * CHOOSE(CONTROL!$C$32, $C$9, 100%, $E$9)</f>
        <v>14.7995</v>
      </c>
    </row>
    <row r="861" spans="1:15" ht="15" x14ac:dyDescent="0.2">
      <c r="A861" s="16">
        <v>67420</v>
      </c>
      <c r="B861" s="80">
        <f>12.9216 * CHOOSE(CONTROL!$C$32, $C$9, 100%, $E$9)</f>
        <v>12.9216</v>
      </c>
      <c r="C861" s="80">
        <f>12.9216 * CHOOSE(CONTROL!$C$32, $C$9, 100%, $E$9)</f>
        <v>12.9216</v>
      </c>
      <c r="D861" s="80">
        <f>12.9231 * CHOOSE(CONTROL!$C$32, $C$9, 100%, $E$9)</f>
        <v>12.9231</v>
      </c>
      <c r="E861" s="81">
        <f>14.4292 * CHOOSE(CONTROL!$C$32, $C$9, 100%, $E$9)</f>
        <v>14.4292</v>
      </c>
      <c r="F861" s="81">
        <f>14.4292 * CHOOSE(CONTROL!$C$32, $C$9, 100%, $E$9)</f>
        <v>14.4292</v>
      </c>
      <c r="G861" s="81">
        <f>14.4345 * CHOOSE(CONTROL!$C$32, $C$9, 100%, $E$9)</f>
        <v>14.4345</v>
      </c>
      <c r="H861" s="81">
        <f>29.919 * CHOOSE(CONTROL!$C$32, $C$9, 100%, $E$9)</f>
        <v>29.919</v>
      </c>
      <c r="I861" s="81">
        <f>29.9243 * CHOOSE(CONTROL!$C$32, $C$9, 100%, $E$9)</f>
        <v>29.924299999999999</v>
      </c>
      <c r="J861" s="81">
        <f>29.919 * CHOOSE(CONTROL!$C$32, $C$9, 100%, $E$9)</f>
        <v>29.919</v>
      </c>
      <c r="K861" s="81">
        <f>29.9243 * CHOOSE(CONTROL!$C$32, $C$9, 100%, $E$9)</f>
        <v>29.924299999999999</v>
      </c>
      <c r="L861" s="81">
        <f>14.4292 * CHOOSE(CONTROL!$C$32, $C$9, 100%, $E$9)</f>
        <v>14.4292</v>
      </c>
      <c r="M861" s="81">
        <f>14.4345 * CHOOSE(CONTROL!$C$32, $C$9, 100%, $E$9)</f>
        <v>14.4345</v>
      </c>
      <c r="N861" s="81">
        <f>14.4292 * CHOOSE(CONTROL!$C$32, $C$9, 100%, $E$9)</f>
        <v>14.4292</v>
      </c>
      <c r="O861" s="81">
        <f>14.4345 * CHOOSE(CONTROL!$C$32, $C$9, 100%, $E$9)</f>
        <v>14.4345</v>
      </c>
    </row>
    <row r="862" spans="1:15" ht="15" x14ac:dyDescent="0.2">
      <c r="A862" s="16">
        <v>67451</v>
      </c>
      <c r="B862" s="80">
        <f>12.9185 * CHOOSE(CONTROL!$C$32, $C$9, 100%, $E$9)</f>
        <v>12.9185</v>
      </c>
      <c r="C862" s="80">
        <f>12.9185 * CHOOSE(CONTROL!$C$32, $C$9, 100%, $E$9)</f>
        <v>12.9185</v>
      </c>
      <c r="D862" s="80">
        <f>12.9201 * CHOOSE(CONTROL!$C$32, $C$9, 100%, $E$9)</f>
        <v>12.9201</v>
      </c>
      <c r="E862" s="81">
        <f>14.386 * CHOOSE(CONTROL!$C$32, $C$9, 100%, $E$9)</f>
        <v>14.385999999999999</v>
      </c>
      <c r="F862" s="81">
        <f>14.386 * CHOOSE(CONTROL!$C$32, $C$9, 100%, $E$9)</f>
        <v>14.385999999999999</v>
      </c>
      <c r="G862" s="81">
        <f>14.3913 * CHOOSE(CONTROL!$C$32, $C$9, 100%, $E$9)</f>
        <v>14.391299999999999</v>
      </c>
      <c r="H862" s="81">
        <f>29.9813 * CHOOSE(CONTROL!$C$32, $C$9, 100%, $E$9)</f>
        <v>29.981300000000001</v>
      </c>
      <c r="I862" s="81">
        <f>29.9866 * CHOOSE(CONTROL!$C$32, $C$9, 100%, $E$9)</f>
        <v>29.986599999999999</v>
      </c>
      <c r="J862" s="81">
        <f>29.9813 * CHOOSE(CONTROL!$C$32, $C$9, 100%, $E$9)</f>
        <v>29.981300000000001</v>
      </c>
      <c r="K862" s="81">
        <f>29.9866 * CHOOSE(CONTROL!$C$32, $C$9, 100%, $E$9)</f>
        <v>29.986599999999999</v>
      </c>
      <c r="L862" s="81">
        <f>14.386 * CHOOSE(CONTROL!$C$32, $C$9, 100%, $E$9)</f>
        <v>14.385999999999999</v>
      </c>
      <c r="M862" s="81">
        <f>14.3913 * CHOOSE(CONTROL!$C$32, $C$9, 100%, $E$9)</f>
        <v>14.391299999999999</v>
      </c>
      <c r="N862" s="81">
        <f>14.386 * CHOOSE(CONTROL!$C$32, $C$9, 100%, $E$9)</f>
        <v>14.385999999999999</v>
      </c>
      <c r="O862" s="81">
        <f>14.3913 * CHOOSE(CONTROL!$C$32, $C$9, 100%, $E$9)</f>
        <v>14.391299999999999</v>
      </c>
    </row>
    <row r="863" spans="1:15" ht="15" x14ac:dyDescent="0.2">
      <c r="A863" s="16">
        <v>67481</v>
      </c>
      <c r="B863" s="80">
        <f>12.9469 * CHOOSE(CONTROL!$C$32, $C$9, 100%, $E$9)</f>
        <v>12.946899999999999</v>
      </c>
      <c r="C863" s="80">
        <f>12.9469 * CHOOSE(CONTROL!$C$32, $C$9, 100%, $E$9)</f>
        <v>12.946899999999999</v>
      </c>
      <c r="D863" s="80">
        <f>12.948 * CHOOSE(CONTROL!$C$32, $C$9, 100%, $E$9)</f>
        <v>12.948</v>
      </c>
      <c r="E863" s="81">
        <f>14.5369 * CHOOSE(CONTROL!$C$32, $C$9, 100%, $E$9)</f>
        <v>14.536899999999999</v>
      </c>
      <c r="F863" s="81">
        <f>14.5369 * CHOOSE(CONTROL!$C$32, $C$9, 100%, $E$9)</f>
        <v>14.536899999999999</v>
      </c>
      <c r="G863" s="81">
        <f>14.5405 * CHOOSE(CONTROL!$C$32, $C$9, 100%, $E$9)</f>
        <v>14.5405</v>
      </c>
      <c r="H863" s="81">
        <f>30.0438 * CHOOSE(CONTROL!$C$32, $C$9, 100%, $E$9)</f>
        <v>30.043800000000001</v>
      </c>
      <c r="I863" s="81">
        <f>30.0474 * CHOOSE(CONTROL!$C$32, $C$9, 100%, $E$9)</f>
        <v>30.0474</v>
      </c>
      <c r="J863" s="81">
        <f>30.0438 * CHOOSE(CONTROL!$C$32, $C$9, 100%, $E$9)</f>
        <v>30.043800000000001</v>
      </c>
      <c r="K863" s="81">
        <f>30.0474 * CHOOSE(CONTROL!$C$32, $C$9, 100%, $E$9)</f>
        <v>30.0474</v>
      </c>
      <c r="L863" s="81">
        <f>14.5369 * CHOOSE(CONTROL!$C$32, $C$9, 100%, $E$9)</f>
        <v>14.536899999999999</v>
      </c>
      <c r="M863" s="81">
        <f>14.5405 * CHOOSE(CONTROL!$C$32, $C$9, 100%, $E$9)</f>
        <v>14.5405</v>
      </c>
      <c r="N863" s="81">
        <f>14.5369 * CHOOSE(CONTROL!$C$32, $C$9, 100%, $E$9)</f>
        <v>14.536899999999999</v>
      </c>
      <c r="O863" s="81">
        <f>14.5405 * CHOOSE(CONTROL!$C$32, $C$9, 100%, $E$9)</f>
        <v>14.5405</v>
      </c>
    </row>
    <row r="864" spans="1:15" ht="15" x14ac:dyDescent="0.2">
      <c r="A864" s="16">
        <v>67512</v>
      </c>
      <c r="B864" s="80">
        <f>12.95 * CHOOSE(CONTROL!$C$32, $C$9, 100%, $E$9)</f>
        <v>12.95</v>
      </c>
      <c r="C864" s="80">
        <f>12.95 * CHOOSE(CONTROL!$C$32, $C$9, 100%, $E$9)</f>
        <v>12.95</v>
      </c>
      <c r="D864" s="80">
        <f>12.951 * CHOOSE(CONTROL!$C$32, $C$9, 100%, $E$9)</f>
        <v>12.951000000000001</v>
      </c>
      <c r="E864" s="81">
        <f>14.6212 * CHOOSE(CONTROL!$C$32, $C$9, 100%, $E$9)</f>
        <v>14.6212</v>
      </c>
      <c r="F864" s="81">
        <f>14.6212 * CHOOSE(CONTROL!$C$32, $C$9, 100%, $E$9)</f>
        <v>14.6212</v>
      </c>
      <c r="G864" s="81">
        <f>14.6248 * CHOOSE(CONTROL!$C$32, $C$9, 100%, $E$9)</f>
        <v>14.6248</v>
      </c>
      <c r="H864" s="81">
        <f>30.1064 * CHOOSE(CONTROL!$C$32, $C$9, 100%, $E$9)</f>
        <v>30.106400000000001</v>
      </c>
      <c r="I864" s="81">
        <f>30.11 * CHOOSE(CONTROL!$C$32, $C$9, 100%, $E$9)</f>
        <v>30.11</v>
      </c>
      <c r="J864" s="81">
        <f>30.1064 * CHOOSE(CONTROL!$C$32, $C$9, 100%, $E$9)</f>
        <v>30.106400000000001</v>
      </c>
      <c r="K864" s="81">
        <f>30.11 * CHOOSE(CONTROL!$C$32, $C$9, 100%, $E$9)</f>
        <v>30.11</v>
      </c>
      <c r="L864" s="81">
        <f>14.6212 * CHOOSE(CONTROL!$C$32, $C$9, 100%, $E$9)</f>
        <v>14.6212</v>
      </c>
      <c r="M864" s="81">
        <f>14.6248 * CHOOSE(CONTROL!$C$32, $C$9, 100%, $E$9)</f>
        <v>14.6248</v>
      </c>
      <c r="N864" s="81">
        <f>14.6212 * CHOOSE(CONTROL!$C$32, $C$9, 100%, $E$9)</f>
        <v>14.6212</v>
      </c>
      <c r="O864" s="81">
        <f>14.6248 * CHOOSE(CONTROL!$C$32, $C$9, 100%, $E$9)</f>
        <v>14.6248</v>
      </c>
    </row>
    <row r="865" spans="1:15" ht="15" x14ac:dyDescent="0.2">
      <c r="A865" s="16">
        <v>67542</v>
      </c>
      <c r="B865" s="80">
        <f>12.95 * CHOOSE(CONTROL!$C$32, $C$9, 100%, $E$9)</f>
        <v>12.95</v>
      </c>
      <c r="C865" s="80">
        <f>12.95 * CHOOSE(CONTROL!$C$32, $C$9, 100%, $E$9)</f>
        <v>12.95</v>
      </c>
      <c r="D865" s="80">
        <f>12.951 * CHOOSE(CONTROL!$C$32, $C$9, 100%, $E$9)</f>
        <v>12.951000000000001</v>
      </c>
      <c r="E865" s="81">
        <f>14.4158 * CHOOSE(CONTROL!$C$32, $C$9, 100%, $E$9)</f>
        <v>14.415800000000001</v>
      </c>
      <c r="F865" s="81">
        <f>14.4158 * CHOOSE(CONTROL!$C$32, $C$9, 100%, $E$9)</f>
        <v>14.415800000000001</v>
      </c>
      <c r="G865" s="81">
        <f>14.4194 * CHOOSE(CONTROL!$C$32, $C$9, 100%, $E$9)</f>
        <v>14.4194</v>
      </c>
      <c r="H865" s="81">
        <f>30.1691 * CHOOSE(CONTROL!$C$32, $C$9, 100%, $E$9)</f>
        <v>30.1691</v>
      </c>
      <c r="I865" s="81">
        <f>30.1727 * CHOOSE(CONTROL!$C$32, $C$9, 100%, $E$9)</f>
        <v>30.172699999999999</v>
      </c>
      <c r="J865" s="81">
        <f>30.1691 * CHOOSE(CONTROL!$C$32, $C$9, 100%, $E$9)</f>
        <v>30.1691</v>
      </c>
      <c r="K865" s="81">
        <f>30.1727 * CHOOSE(CONTROL!$C$32, $C$9, 100%, $E$9)</f>
        <v>30.172699999999999</v>
      </c>
      <c r="L865" s="81">
        <f>14.4158 * CHOOSE(CONTROL!$C$32, $C$9, 100%, $E$9)</f>
        <v>14.415800000000001</v>
      </c>
      <c r="M865" s="81">
        <f>14.4194 * CHOOSE(CONTROL!$C$32, $C$9, 100%, $E$9)</f>
        <v>14.4194</v>
      </c>
      <c r="N865" s="81">
        <f>14.4158 * CHOOSE(CONTROL!$C$32, $C$9, 100%, $E$9)</f>
        <v>14.415800000000001</v>
      </c>
      <c r="O865" s="81">
        <f>14.4194 * CHOOSE(CONTROL!$C$32, $C$9, 100%, $E$9)</f>
        <v>14.4194</v>
      </c>
    </row>
    <row r="866" spans="1:15" ht="15" x14ac:dyDescent="0.2">
      <c r="A866" s="16">
        <v>67573</v>
      </c>
      <c r="B866" s="80">
        <f>12.9414 * CHOOSE(CONTROL!$C$32, $C$9, 100%, $E$9)</f>
        <v>12.9414</v>
      </c>
      <c r="C866" s="80">
        <f>12.9414 * CHOOSE(CONTROL!$C$32, $C$9, 100%, $E$9)</f>
        <v>12.9414</v>
      </c>
      <c r="D866" s="80">
        <f>12.9425 * CHOOSE(CONTROL!$C$32, $C$9, 100%, $E$9)</f>
        <v>12.942500000000001</v>
      </c>
      <c r="E866" s="81">
        <f>14.5581 * CHOOSE(CONTROL!$C$32, $C$9, 100%, $E$9)</f>
        <v>14.5581</v>
      </c>
      <c r="F866" s="81">
        <f>14.5581 * CHOOSE(CONTROL!$C$32, $C$9, 100%, $E$9)</f>
        <v>14.5581</v>
      </c>
      <c r="G866" s="81">
        <f>14.5617 * CHOOSE(CONTROL!$C$32, $C$9, 100%, $E$9)</f>
        <v>14.5617</v>
      </c>
      <c r="H866" s="81">
        <f>29.9503 * CHOOSE(CONTROL!$C$32, $C$9, 100%, $E$9)</f>
        <v>29.950299999999999</v>
      </c>
      <c r="I866" s="81">
        <f>29.9539 * CHOOSE(CONTROL!$C$32, $C$9, 100%, $E$9)</f>
        <v>29.953900000000001</v>
      </c>
      <c r="J866" s="81">
        <f>29.9503 * CHOOSE(CONTROL!$C$32, $C$9, 100%, $E$9)</f>
        <v>29.950299999999999</v>
      </c>
      <c r="K866" s="81">
        <f>29.9539 * CHOOSE(CONTROL!$C$32, $C$9, 100%, $E$9)</f>
        <v>29.953900000000001</v>
      </c>
      <c r="L866" s="81">
        <f>14.5581 * CHOOSE(CONTROL!$C$32, $C$9, 100%, $E$9)</f>
        <v>14.5581</v>
      </c>
      <c r="M866" s="81">
        <f>14.5617 * CHOOSE(CONTROL!$C$32, $C$9, 100%, $E$9)</f>
        <v>14.5617</v>
      </c>
      <c r="N866" s="81">
        <f>14.5581 * CHOOSE(CONTROL!$C$32, $C$9, 100%, $E$9)</f>
        <v>14.5581</v>
      </c>
      <c r="O866" s="81">
        <f>14.5617 * CHOOSE(CONTROL!$C$32, $C$9, 100%, $E$9)</f>
        <v>14.5617</v>
      </c>
    </row>
    <row r="867" spans="1:15" ht="15" x14ac:dyDescent="0.2">
      <c r="A867" s="16">
        <v>67604</v>
      </c>
      <c r="B867" s="80">
        <f>12.9384 * CHOOSE(CONTROL!$C$32, $C$9, 100%, $E$9)</f>
        <v>12.9384</v>
      </c>
      <c r="C867" s="80">
        <f>12.9384 * CHOOSE(CONTROL!$C$32, $C$9, 100%, $E$9)</f>
        <v>12.9384</v>
      </c>
      <c r="D867" s="80">
        <f>12.9395 * CHOOSE(CONTROL!$C$32, $C$9, 100%, $E$9)</f>
        <v>12.939500000000001</v>
      </c>
      <c r="E867" s="81">
        <f>14.1608 * CHOOSE(CONTROL!$C$32, $C$9, 100%, $E$9)</f>
        <v>14.1608</v>
      </c>
      <c r="F867" s="81">
        <f>14.1608 * CHOOSE(CONTROL!$C$32, $C$9, 100%, $E$9)</f>
        <v>14.1608</v>
      </c>
      <c r="G867" s="81">
        <f>14.1644 * CHOOSE(CONTROL!$C$32, $C$9, 100%, $E$9)</f>
        <v>14.164400000000001</v>
      </c>
      <c r="H867" s="81">
        <f>30.0127 * CHOOSE(CONTROL!$C$32, $C$9, 100%, $E$9)</f>
        <v>30.012699999999999</v>
      </c>
      <c r="I867" s="81">
        <f>30.0163 * CHOOSE(CONTROL!$C$32, $C$9, 100%, $E$9)</f>
        <v>30.016300000000001</v>
      </c>
      <c r="J867" s="81">
        <f>30.0127 * CHOOSE(CONTROL!$C$32, $C$9, 100%, $E$9)</f>
        <v>30.012699999999999</v>
      </c>
      <c r="K867" s="81">
        <f>30.0163 * CHOOSE(CONTROL!$C$32, $C$9, 100%, $E$9)</f>
        <v>30.016300000000001</v>
      </c>
      <c r="L867" s="81">
        <f>14.1608 * CHOOSE(CONTROL!$C$32, $C$9, 100%, $E$9)</f>
        <v>14.1608</v>
      </c>
      <c r="M867" s="81">
        <f>14.1644 * CHOOSE(CONTROL!$C$32, $C$9, 100%, $E$9)</f>
        <v>14.164400000000001</v>
      </c>
      <c r="N867" s="81">
        <f>14.1608 * CHOOSE(CONTROL!$C$32, $C$9, 100%, $E$9)</f>
        <v>14.1608</v>
      </c>
      <c r="O867" s="81">
        <f>14.1644 * CHOOSE(CONTROL!$C$32, $C$9, 100%, $E$9)</f>
        <v>14.164400000000001</v>
      </c>
    </row>
    <row r="868" spans="1:15" ht="15" x14ac:dyDescent="0.2">
      <c r="A868" s="16">
        <v>67632</v>
      </c>
      <c r="B868" s="80">
        <f>12.9354 * CHOOSE(CONTROL!$C$32, $C$9, 100%, $E$9)</f>
        <v>12.9354</v>
      </c>
      <c r="C868" s="80">
        <f>12.9354 * CHOOSE(CONTROL!$C$32, $C$9, 100%, $E$9)</f>
        <v>12.9354</v>
      </c>
      <c r="D868" s="80">
        <f>12.9364 * CHOOSE(CONTROL!$C$32, $C$9, 100%, $E$9)</f>
        <v>12.936400000000001</v>
      </c>
      <c r="E868" s="81">
        <f>14.4702 * CHOOSE(CONTROL!$C$32, $C$9, 100%, $E$9)</f>
        <v>14.4702</v>
      </c>
      <c r="F868" s="81">
        <f>14.4702 * CHOOSE(CONTROL!$C$32, $C$9, 100%, $E$9)</f>
        <v>14.4702</v>
      </c>
      <c r="G868" s="81">
        <f>14.4738 * CHOOSE(CONTROL!$C$32, $C$9, 100%, $E$9)</f>
        <v>14.473800000000001</v>
      </c>
      <c r="H868" s="81">
        <f>30.0753 * CHOOSE(CONTROL!$C$32, $C$9, 100%, $E$9)</f>
        <v>30.075299999999999</v>
      </c>
      <c r="I868" s="81">
        <f>30.0789 * CHOOSE(CONTROL!$C$32, $C$9, 100%, $E$9)</f>
        <v>30.078900000000001</v>
      </c>
      <c r="J868" s="81">
        <f>30.0753 * CHOOSE(CONTROL!$C$32, $C$9, 100%, $E$9)</f>
        <v>30.075299999999999</v>
      </c>
      <c r="K868" s="81">
        <f>30.0789 * CHOOSE(CONTROL!$C$32, $C$9, 100%, $E$9)</f>
        <v>30.078900000000001</v>
      </c>
      <c r="L868" s="81">
        <f>14.4702 * CHOOSE(CONTROL!$C$32, $C$9, 100%, $E$9)</f>
        <v>14.4702</v>
      </c>
      <c r="M868" s="81">
        <f>14.4738 * CHOOSE(CONTROL!$C$32, $C$9, 100%, $E$9)</f>
        <v>14.473800000000001</v>
      </c>
      <c r="N868" s="81">
        <f>14.4702 * CHOOSE(CONTROL!$C$32, $C$9, 100%, $E$9)</f>
        <v>14.4702</v>
      </c>
      <c r="O868" s="81">
        <f>14.4738 * CHOOSE(CONTROL!$C$32, $C$9, 100%, $E$9)</f>
        <v>14.473800000000001</v>
      </c>
    </row>
    <row r="869" spans="1:15" ht="15" x14ac:dyDescent="0.2">
      <c r="A869" s="16">
        <v>67663</v>
      </c>
      <c r="B869" s="80">
        <f>12.9417 * CHOOSE(CONTROL!$C$32, $C$9, 100%, $E$9)</f>
        <v>12.941700000000001</v>
      </c>
      <c r="C869" s="80">
        <f>12.9417 * CHOOSE(CONTROL!$C$32, $C$9, 100%, $E$9)</f>
        <v>12.941700000000001</v>
      </c>
      <c r="D869" s="80">
        <f>12.9428 * CHOOSE(CONTROL!$C$32, $C$9, 100%, $E$9)</f>
        <v>12.9428</v>
      </c>
      <c r="E869" s="81">
        <f>14.8005 * CHOOSE(CONTROL!$C$32, $C$9, 100%, $E$9)</f>
        <v>14.8005</v>
      </c>
      <c r="F869" s="81">
        <f>14.8005 * CHOOSE(CONTROL!$C$32, $C$9, 100%, $E$9)</f>
        <v>14.8005</v>
      </c>
      <c r="G869" s="81">
        <f>14.8042 * CHOOSE(CONTROL!$C$32, $C$9, 100%, $E$9)</f>
        <v>14.8042</v>
      </c>
      <c r="H869" s="81">
        <f>30.1379 * CHOOSE(CONTROL!$C$32, $C$9, 100%, $E$9)</f>
        <v>30.137899999999998</v>
      </c>
      <c r="I869" s="81">
        <f>30.1415 * CHOOSE(CONTROL!$C$32, $C$9, 100%, $E$9)</f>
        <v>30.141500000000001</v>
      </c>
      <c r="J869" s="81">
        <f>30.1379 * CHOOSE(CONTROL!$C$32, $C$9, 100%, $E$9)</f>
        <v>30.137899999999998</v>
      </c>
      <c r="K869" s="81">
        <f>30.1415 * CHOOSE(CONTROL!$C$32, $C$9, 100%, $E$9)</f>
        <v>30.141500000000001</v>
      </c>
      <c r="L869" s="81">
        <f>14.8005 * CHOOSE(CONTROL!$C$32, $C$9, 100%, $E$9)</f>
        <v>14.8005</v>
      </c>
      <c r="M869" s="81">
        <f>14.8042 * CHOOSE(CONTROL!$C$32, $C$9, 100%, $E$9)</f>
        <v>14.8042</v>
      </c>
      <c r="N869" s="81">
        <f>14.8005 * CHOOSE(CONTROL!$C$32, $C$9, 100%, $E$9)</f>
        <v>14.8005</v>
      </c>
      <c r="O869" s="81">
        <f>14.8042 * CHOOSE(CONTROL!$C$32, $C$9, 100%, $E$9)</f>
        <v>14.8042</v>
      </c>
    </row>
    <row r="870" spans="1:15" ht="15" x14ac:dyDescent="0.2">
      <c r="A870" s="16">
        <v>67693</v>
      </c>
      <c r="B870" s="80">
        <f>12.9417 * CHOOSE(CONTROL!$C$32, $C$9, 100%, $E$9)</f>
        <v>12.941700000000001</v>
      </c>
      <c r="C870" s="80">
        <f>12.9417 * CHOOSE(CONTROL!$C$32, $C$9, 100%, $E$9)</f>
        <v>12.941700000000001</v>
      </c>
      <c r="D870" s="80">
        <f>12.9433 * CHOOSE(CONTROL!$C$32, $C$9, 100%, $E$9)</f>
        <v>12.943300000000001</v>
      </c>
      <c r="E870" s="81">
        <f>14.926 * CHOOSE(CONTROL!$C$32, $C$9, 100%, $E$9)</f>
        <v>14.926</v>
      </c>
      <c r="F870" s="81">
        <f>14.926 * CHOOSE(CONTROL!$C$32, $C$9, 100%, $E$9)</f>
        <v>14.926</v>
      </c>
      <c r="G870" s="81">
        <f>14.9313 * CHOOSE(CONTROL!$C$32, $C$9, 100%, $E$9)</f>
        <v>14.9313</v>
      </c>
      <c r="H870" s="81">
        <f>30.2007 * CHOOSE(CONTROL!$C$32, $C$9, 100%, $E$9)</f>
        <v>30.200700000000001</v>
      </c>
      <c r="I870" s="81">
        <f>30.206 * CHOOSE(CONTROL!$C$32, $C$9, 100%, $E$9)</f>
        <v>30.206</v>
      </c>
      <c r="J870" s="81">
        <f>30.2007 * CHOOSE(CONTROL!$C$32, $C$9, 100%, $E$9)</f>
        <v>30.200700000000001</v>
      </c>
      <c r="K870" s="81">
        <f>30.206 * CHOOSE(CONTROL!$C$32, $C$9, 100%, $E$9)</f>
        <v>30.206</v>
      </c>
      <c r="L870" s="81">
        <f>14.926 * CHOOSE(CONTROL!$C$32, $C$9, 100%, $E$9)</f>
        <v>14.926</v>
      </c>
      <c r="M870" s="81">
        <f>14.9313 * CHOOSE(CONTROL!$C$32, $C$9, 100%, $E$9)</f>
        <v>14.9313</v>
      </c>
      <c r="N870" s="81">
        <f>14.926 * CHOOSE(CONTROL!$C$32, $C$9, 100%, $E$9)</f>
        <v>14.926</v>
      </c>
      <c r="O870" s="81">
        <f>14.9313 * CHOOSE(CONTROL!$C$32, $C$9, 100%, $E$9)</f>
        <v>14.9313</v>
      </c>
    </row>
    <row r="871" spans="1:15" ht="15" x14ac:dyDescent="0.2">
      <c r="A871" s="16">
        <v>67724</v>
      </c>
      <c r="B871" s="80">
        <f>12.9478 * CHOOSE(CONTROL!$C$32, $C$9, 100%, $E$9)</f>
        <v>12.947800000000001</v>
      </c>
      <c r="C871" s="80">
        <f>12.9478 * CHOOSE(CONTROL!$C$32, $C$9, 100%, $E$9)</f>
        <v>12.947800000000001</v>
      </c>
      <c r="D871" s="80">
        <f>12.9493 * CHOOSE(CONTROL!$C$32, $C$9, 100%, $E$9)</f>
        <v>12.949299999999999</v>
      </c>
      <c r="E871" s="81">
        <f>14.8048 * CHOOSE(CONTROL!$C$32, $C$9, 100%, $E$9)</f>
        <v>14.8048</v>
      </c>
      <c r="F871" s="81">
        <f>14.8048 * CHOOSE(CONTROL!$C$32, $C$9, 100%, $E$9)</f>
        <v>14.8048</v>
      </c>
      <c r="G871" s="81">
        <f>14.8101 * CHOOSE(CONTROL!$C$32, $C$9, 100%, $E$9)</f>
        <v>14.8101</v>
      </c>
      <c r="H871" s="81">
        <f>30.2636 * CHOOSE(CONTROL!$C$32, $C$9, 100%, $E$9)</f>
        <v>30.2636</v>
      </c>
      <c r="I871" s="81">
        <f>30.2689 * CHOOSE(CONTROL!$C$32, $C$9, 100%, $E$9)</f>
        <v>30.268899999999999</v>
      </c>
      <c r="J871" s="81">
        <f>30.2636 * CHOOSE(CONTROL!$C$32, $C$9, 100%, $E$9)</f>
        <v>30.2636</v>
      </c>
      <c r="K871" s="81">
        <f>30.2689 * CHOOSE(CONTROL!$C$32, $C$9, 100%, $E$9)</f>
        <v>30.268899999999999</v>
      </c>
      <c r="L871" s="81">
        <f>14.8048 * CHOOSE(CONTROL!$C$32, $C$9, 100%, $E$9)</f>
        <v>14.8048</v>
      </c>
      <c r="M871" s="81">
        <f>14.8101 * CHOOSE(CONTROL!$C$32, $C$9, 100%, $E$9)</f>
        <v>14.8101</v>
      </c>
      <c r="N871" s="81">
        <f>14.8048 * CHOOSE(CONTROL!$C$32, $C$9, 100%, $E$9)</f>
        <v>14.8048</v>
      </c>
      <c r="O871" s="81">
        <f>14.8101 * CHOOSE(CONTROL!$C$32, $C$9, 100%, $E$9)</f>
        <v>14.8101</v>
      </c>
    </row>
    <row r="872" spans="1:15" ht="15" x14ac:dyDescent="0.2">
      <c r="A872" s="16">
        <v>67754</v>
      </c>
      <c r="B872" s="80">
        <f>13.1045 * CHOOSE(CONTROL!$C$32, $C$9, 100%, $E$9)</f>
        <v>13.1045</v>
      </c>
      <c r="C872" s="80">
        <f>13.1045 * CHOOSE(CONTROL!$C$32, $C$9, 100%, $E$9)</f>
        <v>13.1045</v>
      </c>
      <c r="D872" s="80">
        <f>13.1061 * CHOOSE(CONTROL!$C$32, $C$9, 100%, $E$9)</f>
        <v>13.1061</v>
      </c>
      <c r="E872" s="81">
        <f>15.0144 * CHOOSE(CONTROL!$C$32, $C$9, 100%, $E$9)</f>
        <v>15.0144</v>
      </c>
      <c r="F872" s="81">
        <f>15.0144 * CHOOSE(CONTROL!$C$32, $C$9, 100%, $E$9)</f>
        <v>15.0144</v>
      </c>
      <c r="G872" s="81">
        <f>15.0197 * CHOOSE(CONTROL!$C$32, $C$9, 100%, $E$9)</f>
        <v>15.0197</v>
      </c>
      <c r="H872" s="81">
        <f>30.3267 * CHOOSE(CONTROL!$C$32, $C$9, 100%, $E$9)</f>
        <v>30.326699999999999</v>
      </c>
      <c r="I872" s="81">
        <f>30.332 * CHOOSE(CONTROL!$C$32, $C$9, 100%, $E$9)</f>
        <v>30.332000000000001</v>
      </c>
      <c r="J872" s="81">
        <f>30.3267 * CHOOSE(CONTROL!$C$32, $C$9, 100%, $E$9)</f>
        <v>30.326699999999999</v>
      </c>
      <c r="K872" s="81">
        <f>30.332 * CHOOSE(CONTROL!$C$32, $C$9, 100%, $E$9)</f>
        <v>30.332000000000001</v>
      </c>
      <c r="L872" s="81">
        <f>15.0144 * CHOOSE(CONTROL!$C$32, $C$9, 100%, $E$9)</f>
        <v>15.0144</v>
      </c>
      <c r="M872" s="81">
        <f>15.0197 * CHOOSE(CONTROL!$C$32, $C$9, 100%, $E$9)</f>
        <v>15.0197</v>
      </c>
      <c r="N872" s="81">
        <f>15.0144 * CHOOSE(CONTROL!$C$32, $C$9, 100%, $E$9)</f>
        <v>15.0144</v>
      </c>
      <c r="O872" s="81">
        <f>15.0197 * CHOOSE(CONTROL!$C$32, $C$9, 100%, $E$9)</f>
        <v>15.0197</v>
      </c>
    </row>
    <row r="873" spans="1:15" ht="15" x14ac:dyDescent="0.2">
      <c r="A873" s="16">
        <v>67785</v>
      </c>
      <c r="B873" s="80">
        <f>13.1112 * CHOOSE(CONTROL!$C$32, $C$9, 100%, $E$9)</f>
        <v>13.1112</v>
      </c>
      <c r="C873" s="80">
        <f>13.1112 * CHOOSE(CONTROL!$C$32, $C$9, 100%, $E$9)</f>
        <v>13.1112</v>
      </c>
      <c r="D873" s="80">
        <f>13.1127 * CHOOSE(CONTROL!$C$32, $C$9, 100%, $E$9)</f>
        <v>13.1127</v>
      </c>
      <c r="E873" s="81">
        <f>14.6427 * CHOOSE(CONTROL!$C$32, $C$9, 100%, $E$9)</f>
        <v>14.6427</v>
      </c>
      <c r="F873" s="81">
        <f>14.6427 * CHOOSE(CONTROL!$C$32, $C$9, 100%, $E$9)</f>
        <v>14.6427</v>
      </c>
      <c r="G873" s="81">
        <f>14.6479 * CHOOSE(CONTROL!$C$32, $C$9, 100%, $E$9)</f>
        <v>14.6479</v>
      </c>
      <c r="H873" s="81">
        <f>30.3898 * CHOOSE(CONTROL!$C$32, $C$9, 100%, $E$9)</f>
        <v>30.389800000000001</v>
      </c>
      <c r="I873" s="81">
        <f>30.3951 * CHOOSE(CONTROL!$C$32, $C$9, 100%, $E$9)</f>
        <v>30.395099999999999</v>
      </c>
      <c r="J873" s="81">
        <f>30.3898 * CHOOSE(CONTROL!$C$32, $C$9, 100%, $E$9)</f>
        <v>30.389800000000001</v>
      </c>
      <c r="K873" s="81">
        <f>30.3951 * CHOOSE(CONTROL!$C$32, $C$9, 100%, $E$9)</f>
        <v>30.395099999999999</v>
      </c>
      <c r="L873" s="81">
        <f>14.6427 * CHOOSE(CONTROL!$C$32, $C$9, 100%, $E$9)</f>
        <v>14.6427</v>
      </c>
      <c r="M873" s="81">
        <f>14.6479 * CHOOSE(CONTROL!$C$32, $C$9, 100%, $E$9)</f>
        <v>14.6479</v>
      </c>
      <c r="N873" s="81">
        <f>14.6427 * CHOOSE(CONTROL!$C$32, $C$9, 100%, $E$9)</f>
        <v>14.6427</v>
      </c>
      <c r="O873" s="81">
        <f>14.6479 * CHOOSE(CONTROL!$C$32, $C$9, 100%, $E$9)</f>
        <v>14.6479</v>
      </c>
    </row>
    <row r="874" spans="1:15" ht="15" x14ac:dyDescent="0.2">
      <c r="A874" s="16">
        <v>67816</v>
      </c>
      <c r="B874" s="80">
        <f>13.1081 * CHOOSE(CONTROL!$C$32, $C$9, 100%, $E$9)</f>
        <v>13.1081</v>
      </c>
      <c r="C874" s="80">
        <f>13.1081 * CHOOSE(CONTROL!$C$32, $C$9, 100%, $E$9)</f>
        <v>13.1081</v>
      </c>
      <c r="D874" s="80">
        <f>13.1097 * CHOOSE(CONTROL!$C$32, $C$9, 100%, $E$9)</f>
        <v>13.1097</v>
      </c>
      <c r="E874" s="81">
        <f>14.5987 * CHOOSE(CONTROL!$C$32, $C$9, 100%, $E$9)</f>
        <v>14.598699999999999</v>
      </c>
      <c r="F874" s="81">
        <f>14.5987 * CHOOSE(CONTROL!$C$32, $C$9, 100%, $E$9)</f>
        <v>14.598699999999999</v>
      </c>
      <c r="G874" s="81">
        <f>14.604 * CHOOSE(CONTROL!$C$32, $C$9, 100%, $E$9)</f>
        <v>14.603999999999999</v>
      </c>
      <c r="H874" s="81">
        <f>30.4532 * CHOOSE(CONTROL!$C$32, $C$9, 100%, $E$9)</f>
        <v>30.453199999999999</v>
      </c>
      <c r="I874" s="81">
        <f>30.4585 * CHOOSE(CONTROL!$C$32, $C$9, 100%, $E$9)</f>
        <v>30.458500000000001</v>
      </c>
      <c r="J874" s="81">
        <f>30.4532 * CHOOSE(CONTROL!$C$32, $C$9, 100%, $E$9)</f>
        <v>30.453199999999999</v>
      </c>
      <c r="K874" s="81">
        <f>30.4585 * CHOOSE(CONTROL!$C$32, $C$9, 100%, $E$9)</f>
        <v>30.458500000000001</v>
      </c>
      <c r="L874" s="81">
        <f>14.5987 * CHOOSE(CONTROL!$C$32, $C$9, 100%, $E$9)</f>
        <v>14.598699999999999</v>
      </c>
      <c r="M874" s="81">
        <f>14.604 * CHOOSE(CONTROL!$C$32, $C$9, 100%, $E$9)</f>
        <v>14.603999999999999</v>
      </c>
      <c r="N874" s="81">
        <f>14.5987 * CHOOSE(CONTROL!$C$32, $C$9, 100%, $E$9)</f>
        <v>14.598699999999999</v>
      </c>
      <c r="O874" s="81">
        <f>14.604 * CHOOSE(CONTROL!$C$32, $C$9, 100%, $E$9)</f>
        <v>14.603999999999999</v>
      </c>
    </row>
    <row r="875" spans="1:15" ht="15" x14ac:dyDescent="0.2">
      <c r="A875" s="16">
        <v>67846</v>
      </c>
      <c r="B875" s="80">
        <f>13.1372 * CHOOSE(CONTROL!$C$32, $C$9, 100%, $E$9)</f>
        <v>13.1372</v>
      </c>
      <c r="C875" s="80">
        <f>13.1372 * CHOOSE(CONTROL!$C$32, $C$9, 100%, $E$9)</f>
        <v>13.1372</v>
      </c>
      <c r="D875" s="80">
        <f>13.1383 * CHOOSE(CONTROL!$C$32, $C$9, 100%, $E$9)</f>
        <v>13.138299999999999</v>
      </c>
      <c r="E875" s="81">
        <f>14.7526 * CHOOSE(CONTROL!$C$32, $C$9, 100%, $E$9)</f>
        <v>14.752599999999999</v>
      </c>
      <c r="F875" s="81">
        <f>14.7526 * CHOOSE(CONTROL!$C$32, $C$9, 100%, $E$9)</f>
        <v>14.752599999999999</v>
      </c>
      <c r="G875" s="81">
        <f>14.7562 * CHOOSE(CONTROL!$C$32, $C$9, 100%, $E$9)</f>
        <v>14.7562</v>
      </c>
      <c r="H875" s="81">
        <f>30.5166 * CHOOSE(CONTROL!$C$32, $C$9, 100%, $E$9)</f>
        <v>30.5166</v>
      </c>
      <c r="I875" s="81">
        <f>30.5202 * CHOOSE(CONTROL!$C$32, $C$9, 100%, $E$9)</f>
        <v>30.520199999999999</v>
      </c>
      <c r="J875" s="81">
        <f>30.5166 * CHOOSE(CONTROL!$C$32, $C$9, 100%, $E$9)</f>
        <v>30.5166</v>
      </c>
      <c r="K875" s="81">
        <f>30.5202 * CHOOSE(CONTROL!$C$32, $C$9, 100%, $E$9)</f>
        <v>30.520199999999999</v>
      </c>
      <c r="L875" s="81">
        <f>14.7526 * CHOOSE(CONTROL!$C$32, $C$9, 100%, $E$9)</f>
        <v>14.752599999999999</v>
      </c>
      <c r="M875" s="81">
        <f>14.7562 * CHOOSE(CONTROL!$C$32, $C$9, 100%, $E$9)</f>
        <v>14.7562</v>
      </c>
      <c r="N875" s="81">
        <f>14.7526 * CHOOSE(CONTROL!$C$32, $C$9, 100%, $E$9)</f>
        <v>14.752599999999999</v>
      </c>
      <c r="O875" s="81">
        <f>14.7562 * CHOOSE(CONTROL!$C$32, $C$9, 100%, $E$9)</f>
        <v>14.7562</v>
      </c>
    </row>
    <row r="876" spans="1:15" ht="15" x14ac:dyDescent="0.2">
      <c r="A876" s="16">
        <v>67877</v>
      </c>
      <c r="B876" s="80">
        <f>13.1403 * CHOOSE(CONTROL!$C$32, $C$9, 100%, $E$9)</f>
        <v>13.1403</v>
      </c>
      <c r="C876" s="80">
        <f>13.1403 * CHOOSE(CONTROL!$C$32, $C$9, 100%, $E$9)</f>
        <v>13.1403</v>
      </c>
      <c r="D876" s="80">
        <f>13.1413 * CHOOSE(CONTROL!$C$32, $C$9, 100%, $E$9)</f>
        <v>13.141299999999999</v>
      </c>
      <c r="E876" s="81">
        <f>14.8383 * CHOOSE(CONTROL!$C$32, $C$9, 100%, $E$9)</f>
        <v>14.8383</v>
      </c>
      <c r="F876" s="81">
        <f>14.8383 * CHOOSE(CONTROL!$C$32, $C$9, 100%, $E$9)</f>
        <v>14.8383</v>
      </c>
      <c r="G876" s="81">
        <f>14.842 * CHOOSE(CONTROL!$C$32, $C$9, 100%, $E$9)</f>
        <v>14.842000000000001</v>
      </c>
      <c r="H876" s="81">
        <f>30.5802 * CHOOSE(CONTROL!$C$32, $C$9, 100%, $E$9)</f>
        <v>30.580200000000001</v>
      </c>
      <c r="I876" s="81">
        <f>30.5838 * CHOOSE(CONTROL!$C$32, $C$9, 100%, $E$9)</f>
        <v>30.5838</v>
      </c>
      <c r="J876" s="81">
        <f>30.5802 * CHOOSE(CONTROL!$C$32, $C$9, 100%, $E$9)</f>
        <v>30.580200000000001</v>
      </c>
      <c r="K876" s="81">
        <f>30.5838 * CHOOSE(CONTROL!$C$32, $C$9, 100%, $E$9)</f>
        <v>30.5838</v>
      </c>
      <c r="L876" s="81">
        <f>14.8383 * CHOOSE(CONTROL!$C$32, $C$9, 100%, $E$9)</f>
        <v>14.8383</v>
      </c>
      <c r="M876" s="81">
        <f>14.842 * CHOOSE(CONTROL!$C$32, $C$9, 100%, $E$9)</f>
        <v>14.842000000000001</v>
      </c>
      <c r="N876" s="81">
        <f>14.8383 * CHOOSE(CONTROL!$C$32, $C$9, 100%, $E$9)</f>
        <v>14.8383</v>
      </c>
      <c r="O876" s="81">
        <f>14.842 * CHOOSE(CONTROL!$C$32, $C$9, 100%, $E$9)</f>
        <v>14.842000000000001</v>
      </c>
    </row>
    <row r="877" spans="1:15" ht="15" x14ac:dyDescent="0.2">
      <c r="A877" s="16">
        <v>67907</v>
      </c>
      <c r="B877" s="80">
        <f>13.1403 * CHOOSE(CONTROL!$C$32, $C$9, 100%, $E$9)</f>
        <v>13.1403</v>
      </c>
      <c r="C877" s="80">
        <f>13.1403 * CHOOSE(CONTROL!$C$32, $C$9, 100%, $E$9)</f>
        <v>13.1403</v>
      </c>
      <c r="D877" s="80">
        <f>13.1413 * CHOOSE(CONTROL!$C$32, $C$9, 100%, $E$9)</f>
        <v>13.141299999999999</v>
      </c>
      <c r="E877" s="81">
        <f>14.6292 * CHOOSE(CONTROL!$C$32, $C$9, 100%, $E$9)</f>
        <v>14.629200000000001</v>
      </c>
      <c r="F877" s="81">
        <f>14.6292 * CHOOSE(CONTROL!$C$32, $C$9, 100%, $E$9)</f>
        <v>14.629200000000001</v>
      </c>
      <c r="G877" s="81">
        <f>14.6328 * CHOOSE(CONTROL!$C$32, $C$9, 100%, $E$9)</f>
        <v>14.6328</v>
      </c>
      <c r="H877" s="81">
        <f>30.6439 * CHOOSE(CONTROL!$C$32, $C$9, 100%, $E$9)</f>
        <v>30.643899999999999</v>
      </c>
      <c r="I877" s="81">
        <f>30.6475 * CHOOSE(CONTROL!$C$32, $C$9, 100%, $E$9)</f>
        <v>30.647500000000001</v>
      </c>
      <c r="J877" s="81">
        <f>30.6439 * CHOOSE(CONTROL!$C$32, $C$9, 100%, $E$9)</f>
        <v>30.643899999999999</v>
      </c>
      <c r="K877" s="81">
        <f>30.6475 * CHOOSE(CONTROL!$C$32, $C$9, 100%, $E$9)</f>
        <v>30.647500000000001</v>
      </c>
      <c r="L877" s="81">
        <f>14.6292 * CHOOSE(CONTROL!$C$32, $C$9, 100%, $E$9)</f>
        <v>14.629200000000001</v>
      </c>
      <c r="M877" s="81">
        <f>14.6328 * CHOOSE(CONTROL!$C$32, $C$9, 100%, $E$9)</f>
        <v>14.6328</v>
      </c>
      <c r="N877" s="81">
        <f>14.6292 * CHOOSE(CONTROL!$C$32, $C$9, 100%, $E$9)</f>
        <v>14.629200000000001</v>
      </c>
      <c r="O877" s="81">
        <f>14.6328 * CHOOSE(CONTROL!$C$32, $C$9, 100%, $E$9)</f>
        <v>14.6328</v>
      </c>
    </row>
    <row r="878" spans="1:15" ht="15" x14ac:dyDescent="0.2">
      <c r="A878" s="16">
        <v>67938</v>
      </c>
      <c r="B878" s="80">
        <f>13.1288 * CHOOSE(CONTROL!$C$32, $C$9, 100%, $E$9)</f>
        <v>13.1288</v>
      </c>
      <c r="C878" s="80">
        <f>13.1288 * CHOOSE(CONTROL!$C$32, $C$9, 100%, $E$9)</f>
        <v>13.1288</v>
      </c>
      <c r="D878" s="80">
        <f>13.1299 * CHOOSE(CONTROL!$C$32, $C$9, 100%, $E$9)</f>
        <v>13.129899999999999</v>
      </c>
      <c r="E878" s="81">
        <f>14.7706 * CHOOSE(CONTROL!$C$32, $C$9, 100%, $E$9)</f>
        <v>14.7706</v>
      </c>
      <c r="F878" s="81">
        <f>14.7706 * CHOOSE(CONTROL!$C$32, $C$9, 100%, $E$9)</f>
        <v>14.7706</v>
      </c>
      <c r="G878" s="81">
        <f>14.7742 * CHOOSE(CONTROL!$C$32, $C$9, 100%, $E$9)</f>
        <v>14.7742</v>
      </c>
      <c r="H878" s="81">
        <f>30.4144 * CHOOSE(CONTROL!$C$32, $C$9, 100%, $E$9)</f>
        <v>30.414400000000001</v>
      </c>
      <c r="I878" s="81">
        <f>30.418 * CHOOSE(CONTROL!$C$32, $C$9, 100%, $E$9)</f>
        <v>30.417999999999999</v>
      </c>
      <c r="J878" s="81">
        <f>30.4144 * CHOOSE(CONTROL!$C$32, $C$9, 100%, $E$9)</f>
        <v>30.414400000000001</v>
      </c>
      <c r="K878" s="81">
        <f>30.418 * CHOOSE(CONTROL!$C$32, $C$9, 100%, $E$9)</f>
        <v>30.417999999999999</v>
      </c>
      <c r="L878" s="81">
        <f>14.7706 * CHOOSE(CONTROL!$C$32, $C$9, 100%, $E$9)</f>
        <v>14.7706</v>
      </c>
      <c r="M878" s="81">
        <f>14.7742 * CHOOSE(CONTROL!$C$32, $C$9, 100%, $E$9)</f>
        <v>14.7742</v>
      </c>
      <c r="N878" s="81">
        <f>14.7706 * CHOOSE(CONTROL!$C$32, $C$9, 100%, $E$9)</f>
        <v>14.7706</v>
      </c>
      <c r="O878" s="81">
        <f>14.7742 * CHOOSE(CONTROL!$C$32, $C$9, 100%, $E$9)</f>
        <v>14.7742</v>
      </c>
    </row>
    <row r="879" spans="1:15" ht="15" x14ac:dyDescent="0.2">
      <c r="A879" s="16">
        <v>67969</v>
      </c>
      <c r="B879" s="80">
        <f>13.1258 * CHOOSE(CONTROL!$C$32, $C$9, 100%, $E$9)</f>
        <v>13.1258</v>
      </c>
      <c r="C879" s="80">
        <f>13.1258 * CHOOSE(CONTROL!$C$32, $C$9, 100%, $E$9)</f>
        <v>13.1258</v>
      </c>
      <c r="D879" s="80">
        <f>13.1268 * CHOOSE(CONTROL!$C$32, $C$9, 100%, $E$9)</f>
        <v>13.126799999999999</v>
      </c>
      <c r="E879" s="81">
        <f>14.3662 * CHOOSE(CONTROL!$C$32, $C$9, 100%, $E$9)</f>
        <v>14.366199999999999</v>
      </c>
      <c r="F879" s="81">
        <f>14.3662 * CHOOSE(CONTROL!$C$32, $C$9, 100%, $E$9)</f>
        <v>14.366199999999999</v>
      </c>
      <c r="G879" s="81">
        <f>14.3698 * CHOOSE(CONTROL!$C$32, $C$9, 100%, $E$9)</f>
        <v>14.3698</v>
      </c>
      <c r="H879" s="81">
        <f>30.4777 * CHOOSE(CONTROL!$C$32, $C$9, 100%, $E$9)</f>
        <v>30.477699999999999</v>
      </c>
      <c r="I879" s="81">
        <f>30.4813 * CHOOSE(CONTROL!$C$32, $C$9, 100%, $E$9)</f>
        <v>30.481300000000001</v>
      </c>
      <c r="J879" s="81">
        <f>30.4777 * CHOOSE(CONTROL!$C$32, $C$9, 100%, $E$9)</f>
        <v>30.477699999999999</v>
      </c>
      <c r="K879" s="81">
        <f>30.4813 * CHOOSE(CONTROL!$C$32, $C$9, 100%, $E$9)</f>
        <v>30.481300000000001</v>
      </c>
      <c r="L879" s="81">
        <f>14.3662 * CHOOSE(CONTROL!$C$32, $C$9, 100%, $E$9)</f>
        <v>14.366199999999999</v>
      </c>
      <c r="M879" s="81">
        <f>14.3698 * CHOOSE(CONTROL!$C$32, $C$9, 100%, $E$9)</f>
        <v>14.3698</v>
      </c>
      <c r="N879" s="81">
        <f>14.3662 * CHOOSE(CONTROL!$C$32, $C$9, 100%, $E$9)</f>
        <v>14.366199999999999</v>
      </c>
      <c r="O879" s="81">
        <f>14.3698 * CHOOSE(CONTROL!$C$32, $C$9, 100%, $E$9)</f>
        <v>14.3698</v>
      </c>
    </row>
    <row r="880" spans="1:15" ht="15" x14ac:dyDescent="0.2">
      <c r="A880" s="16">
        <v>67997</v>
      </c>
      <c r="B880" s="80">
        <f>13.1227 * CHOOSE(CONTROL!$C$32, $C$9, 100%, $E$9)</f>
        <v>13.1227</v>
      </c>
      <c r="C880" s="80">
        <f>13.1227 * CHOOSE(CONTROL!$C$32, $C$9, 100%, $E$9)</f>
        <v>13.1227</v>
      </c>
      <c r="D880" s="80">
        <f>13.1238 * CHOOSE(CONTROL!$C$32, $C$9, 100%, $E$9)</f>
        <v>13.123799999999999</v>
      </c>
      <c r="E880" s="81">
        <f>14.6812 * CHOOSE(CONTROL!$C$32, $C$9, 100%, $E$9)</f>
        <v>14.6812</v>
      </c>
      <c r="F880" s="81">
        <f>14.6812 * CHOOSE(CONTROL!$C$32, $C$9, 100%, $E$9)</f>
        <v>14.6812</v>
      </c>
      <c r="G880" s="81">
        <f>14.6848 * CHOOSE(CONTROL!$C$32, $C$9, 100%, $E$9)</f>
        <v>14.684799999999999</v>
      </c>
      <c r="H880" s="81">
        <f>30.5412 * CHOOSE(CONTROL!$C$32, $C$9, 100%, $E$9)</f>
        <v>30.5412</v>
      </c>
      <c r="I880" s="81">
        <f>30.5448 * CHOOSE(CONTROL!$C$32, $C$9, 100%, $E$9)</f>
        <v>30.544799999999999</v>
      </c>
      <c r="J880" s="81">
        <f>30.5412 * CHOOSE(CONTROL!$C$32, $C$9, 100%, $E$9)</f>
        <v>30.5412</v>
      </c>
      <c r="K880" s="81">
        <f>30.5448 * CHOOSE(CONTROL!$C$32, $C$9, 100%, $E$9)</f>
        <v>30.544799999999999</v>
      </c>
      <c r="L880" s="81">
        <f>14.6812 * CHOOSE(CONTROL!$C$32, $C$9, 100%, $E$9)</f>
        <v>14.6812</v>
      </c>
      <c r="M880" s="81">
        <f>14.6848 * CHOOSE(CONTROL!$C$32, $C$9, 100%, $E$9)</f>
        <v>14.684799999999999</v>
      </c>
      <c r="N880" s="81">
        <f>14.6812 * CHOOSE(CONTROL!$C$32, $C$9, 100%, $E$9)</f>
        <v>14.6812</v>
      </c>
      <c r="O880" s="81">
        <f>14.6848 * CHOOSE(CONTROL!$C$32, $C$9, 100%, $E$9)</f>
        <v>14.684799999999999</v>
      </c>
    </row>
    <row r="881" spans="1:15" ht="15" x14ac:dyDescent="0.2">
      <c r="A881" s="16">
        <v>68028</v>
      </c>
      <c r="B881" s="80">
        <f>13.1292 * CHOOSE(CONTROL!$C$32, $C$9, 100%, $E$9)</f>
        <v>13.129200000000001</v>
      </c>
      <c r="C881" s="80">
        <f>13.1292 * CHOOSE(CONTROL!$C$32, $C$9, 100%, $E$9)</f>
        <v>13.129200000000001</v>
      </c>
      <c r="D881" s="80">
        <f>13.1303 * CHOOSE(CONTROL!$C$32, $C$9, 100%, $E$9)</f>
        <v>13.1303</v>
      </c>
      <c r="E881" s="81">
        <f>15.0175 * CHOOSE(CONTROL!$C$32, $C$9, 100%, $E$9)</f>
        <v>15.0175</v>
      </c>
      <c r="F881" s="81">
        <f>15.0175 * CHOOSE(CONTROL!$C$32, $C$9, 100%, $E$9)</f>
        <v>15.0175</v>
      </c>
      <c r="G881" s="81">
        <f>15.0212 * CHOOSE(CONTROL!$C$32, $C$9, 100%, $E$9)</f>
        <v>15.0212</v>
      </c>
      <c r="H881" s="81">
        <f>30.6048 * CHOOSE(CONTROL!$C$32, $C$9, 100%, $E$9)</f>
        <v>30.604800000000001</v>
      </c>
      <c r="I881" s="81">
        <f>30.6085 * CHOOSE(CONTROL!$C$32, $C$9, 100%, $E$9)</f>
        <v>30.608499999999999</v>
      </c>
      <c r="J881" s="81">
        <f>30.6048 * CHOOSE(CONTROL!$C$32, $C$9, 100%, $E$9)</f>
        <v>30.604800000000001</v>
      </c>
      <c r="K881" s="81">
        <f>30.6085 * CHOOSE(CONTROL!$C$32, $C$9, 100%, $E$9)</f>
        <v>30.608499999999999</v>
      </c>
      <c r="L881" s="81">
        <f>15.0175 * CHOOSE(CONTROL!$C$32, $C$9, 100%, $E$9)</f>
        <v>15.0175</v>
      </c>
      <c r="M881" s="81">
        <f>15.0212 * CHOOSE(CONTROL!$C$32, $C$9, 100%, $E$9)</f>
        <v>15.0212</v>
      </c>
      <c r="N881" s="81">
        <f>15.0175 * CHOOSE(CONTROL!$C$32, $C$9, 100%, $E$9)</f>
        <v>15.0175</v>
      </c>
      <c r="O881" s="81">
        <f>15.0212 * CHOOSE(CONTROL!$C$32, $C$9, 100%, $E$9)</f>
        <v>15.0212</v>
      </c>
    </row>
    <row r="882" spans="1:15" ht="15" x14ac:dyDescent="0.2">
      <c r="A882" s="16">
        <v>68058</v>
      </c>
      <c r="B882" s="80">
        <f>13.1292 * CHOOSE(CONTROL!$C$32, $C$9, 100%, $E$9)</f>
        <v>13.129200000000001</v>
      </c>
      <c r="C882" s="80">
        <f>13.1292 * CHOOSE(CONTROL!$C$32, $C$9, 100%, $E$9)</f>
        <v>13.129200000000001</v>
      </c>
      <c r="D882" s="80">
        <f>13.1308 * CHOOSE(CONTROL!$C$32, $C$9, 100%, $E$9)</f>
        <v>13.130800000000001</v>
      </c>
      <c r="E882" s="81">
        <f>15.1453 * CHOOSE(CONTROL!$C$32, $C$9, 100%, $E$9)</f>
        <v>15.145300000000001</v>
      </c>
      <c r="F882" s="81">
        <f>15.1453 * CHOOSE(CONTROL!$C$32, $C$9, 100%, $E$9)</f>
        <v>15.145300000000001</v>
      </c>
      <c r="G882" s="81">
        <f>15.1506 * CHOOSE(CONTROL!$C$32, $C$9, 100%, $E$9)</f>
        <v>15.150600000000001</v>
      </c>
      <c r="H882" s="81">
        <f>30.6686 * CHOOSE(CONTROL!$C$32, $C$9, 100%, $E$9)</f>
        <v>30.668600000000001</v>
      </c>
      <c r="I882" s="81">
        <f>30.6739 * CHOOSE(CONTROL!$C$32, $C$9, 100%, $E$9)</f>
        <v>30.6739</v>
      </c>
      <c r="J882" s="81">
        <f>30.6686 * CHOOSE(CONTROL!$C$32, $C$9, 100%, $E$9)</f>
        <v>30.668600000000001</v>
      </c>
      <c r="K882" s="81">
        <f>30.6739 * CHOOSE(CONTROL!$C$32, $C$9, 100%, $E$9)</f>
        <v>30.6739</v>
      </c>
      <c r="L882" s="81">
        <f>15.1453 * CHOOSE(CONTROL!$C$32, $C$9, 100%, $E$9)</f>
        <v>15.145300000000001</v>
      </c>
      <c r="M882" s="81">
        <f>15.1506 * CHOOSE(CONTROL!$C$32, $C$9, 100%, $E$9)</f>
        <v>15.150600000000001</v>
      </c>
      <c r="N882" s="81">
        <f>15.1453 * CHOOSE(CONTROL!$C$32, $C$9, 100%, $E$9)</f>
        <v>15.145300000000001</v>
      </c>
      <c r="O882" s="81">
        <f>15.1506 * CHOOSE(CONTROL!$C$32, $C$9, 100%, $E$9)</f>
        <v>15.150600000000001</v>
      </c>
    </row>
    <row r="883" spans="1:15" ht="15" x14ac:dyDescent="0.2">
      <c r="A883" s="16">
        <v>68089</v>
      </c>
      <c r="B883" s="80">
        <f>13.1353 * CHOOSE(CONTROL!$C$32, $C$9, 100%, $E$9)</f>
        <v>13.135300000000001</v>
      </c>
      <c r="C883" s="80">
        <f>13.1353 * CHOOSE(CONTROL!$C$32, $C$9, 100%, $E$9)</f>
        <v>13.135300000000001</v>
      </c>
      <c r="D883" s="80">
        <f>13.1369 * CHOOSE(CONTROL!$C$32, $C$9, 100%, $E$9)</f>
        <v>13.136900000000001</v>
      </c>
      <c r="E883" s="81">
        <f>15.0218 * CHOOSE(CONTROL!$C$32, $C$9, 100%, $E$9)</f>
        <v>15.021800000000001</v>
      </c>
      <c r="F883" s="81">
        <f>15.0218 * CHOOSE(CONTROL!$C$32, $C$9, 100%, $E$9)</f>
        <v>15.021800000000001</v>
      </c>
      <c r="G883" s="81">
        <f>15.0271 * CHOOSE(CONTROL!$C$32, $C$9, 100%, $E$9)</f>
        <v>15.027100000000001</v>
      </c>
      <c r="H883" s="81">
        <f>30.7325 * CHOOSE(CONTROL!$C$32, $C$9, 100%, $E$9)</f>
        <v>30.732500000000002</v>
      </c>
      <c r="I883" s="81">
        <f>30.7378 * CHOOSE(CONTROL!$C$32, $C$9, 100%, $E$9)</f>
        <v>30.7378</v>
      </c>
      <c r="J883" s="81">
        <f>30.7325 * CHOOSE(CONTROL!$C$32, $C$9, 100%, $E$9)</f>
        <v>30.732500000000002</v>
      </c>
      <c r="K883" s="81">
        <f>30.7378 * CHOOSE(CONTROL!$C$32, $C$9, 100%, $E$9)</f>
        <v>30.7378</v>
      </c>
      <c r="L883" s="81">
        <f>15.0218 * CHOOSE(CONTROL!$C$32, $C$9, 100%, $E$9)</f>
        <v>15.021800000000001</v>
      </c>
      <c r="M883" s="81">
        <f>15.0271 * CHOOSE(CONTROL!$C$32, $C$9, 100%, $E$9)</f>
        <v>15.027100000000001</v>
      </c>
      <c r="N883" s="81">
        <f>15.0218 * CHOOSE(CONTROL!$C$32, $C$9, 100%, $E$9)</f>
        <v>15.021800000000001</v>
      </c>
      <c r="O883" s="81">
        <f>15.0271 * CHOOSE(CONTROL!$C$32, $C$9, 100%, $E$9)</f>
        <v>15.027100000000001</v>
      </c>
    </row>
    <row r="884" spans="1:15" ht="15" x14ac:dyDescent="0.2">
      <c r="A884" s="16">
        <v>68119</v>
      </c>
      <c r="B884" s="80">
        <f>13.2941 * CHOOSE(CONTROL!$C$32, $C$9, 100%, $E$9)</f>
        <v>13.2941</v>
      </c>
      <c r="C884" s="80">
        <f>13.2941 * CHOOSE(CONTROL!$C$32, $C$9, 100%, $E$9)</f>
        <v>13.2941</v>
      </c>
      <c r="D884" s="80">
        <f>13.2957 * CHOOSE(CONTROL!$C$32, $C$9, 100%, $E$9)</f>
        <v>13.2957</v>
      </c>
      <c r="E884" s="81">
        <f>15.2346 * CHOOSE(CONTROL!$C$32, $C$9, 100%, $E$9)</f>
        <v>15.2346</v>
      </c>
      <c r="F884" s="81">
        <f>15.2346 * CHOOSE(CONTROL!$C$32, $C$9, 100%, $E$9)</f>
        <v>15.2346</v>
      </c>
      <c r="G884" s="81">
        <f>15.2399 * CHOOSE(CONTROL!$C$32, $C$9, 100%, $E$9)</f>
        <v>15.2399</v>
      </c>
      <c r="H884" s="81">
        <f>30.7965 * CHOOSE(CONTROL!$C$32, $C$9, 100%, $E$9)</f>
        <v>30.796500000000002</v>
      </c>
      <c r="I884" s="81">
        <f>30.8018 * CHOOSE(CONTROL!$C$32, $C$9, 100%, $E$9)</f>
        <v>30.8018</v>
      </c>
      <c r="J884" s="81">
        <f>30.7965 * CHOOSE(CONTROL!$C$32, $C$9, 100%, $E$9)</f>
        <v>30.796500000000002</v>
      </c>
      <c r="K884" s="81">
        <f>30.8018 * CHOOSE(CONTROL!$C$32, $C$9, 100%, $E$9)</f>
        <v>30.8018</v>
      </c>
      <c r="L884" s="81">
        <f>15.2346 * CHOOSE(CONTROL!$C$32, $C$9, 100%, $E$9)</f>
        <v>15.2346</v>
      </c>
      <c r="M884" s="81">
        <f>15.2399 * CHOOSE(CONTROL!$C$32, $C$9, 100%, $E$9)</f>
        <v>15.2399</v>
      </c>
      <c r="N884" s="81">
        <f>15.2346 * CHOOSE(CONTROL!$C$32, $C$9, 100%, $E$9)</f>
        <v>15.2346</v>
      </c>
      <c r="O884" s="81">
        <f>15.2399 * CHOOSE(CONTROL!$C$32, $C$9, 100%, $E$9)</f>
        <v>15.2399</v>
      </c>
    </row>
    <row r="885" spans="1:15" ht="15" x14ac:dyDescent="0.2">
      <c r="A885" s="16">
        <v>68150</v>
      </c>
      <c r="B885" s="80">
        <f>13.3008 * CHOOSE(CONTROL!$C$32, $C$9, 100%, $E$9)</f>
        <v>13.300800000000001</v>
      </c>
      <c r="C885" s="80">
        <f>13.3008 * CHOOSE(CONTROL!$C$32, $C$9, 100%, $E$9)</f>
        <v>13.300800000000001</v>
      </c>
      <c r="D885" s="80">
        <f>13.3023 * CHOOSE(CONTROL!$C$32, $C$9, 100%, $E$9)</f>
        <v>13.302300000000001</v>
      </c>
      <c r="E885" s="81">
        <f>14.8561 * CHOOSE(CONTROL!$C$32, $C$9, 100%, $E$9)</f>
        <v>14.8561</v>
      </c>
      <c r="F885" s="81">
        <f>14.8561 * CHOOSE(CONTROL!$C$32, $C$9, 100%, $E$9)</f>
        <v>14.8561</v>
      </c>
      <c r="G885" s="81">
        <f>14.8614 * CHOOSE(CONTROL!$C$32, $C$9, 100%, $E$9)</f>
        <v>14.8614</v>
      </c>
      <c r="H885" s="81">
        <f>30.8607 * CHOOSE(CONTROL!$C$32, $C$9, 100%, $E$9)</f>
        <v>30.860700000000001</v>
      </c>
      <c r="I885" s="81">
        <f>30.866 * CHOOSE(CONTROL!$C$32, $C$9, 100%, $E$9)</f>
        <v>30.866</v>
      </c>
      <c r="J885" s="81">
        <f>30.8607 * CHOOSE(CONTROL!$C$32, $C$9, 100%, $E$9)</f>
        <v>30.860700000000001</v>
      </c>
      <c r="K885" s="81">
        <f>30.866 * CHOOSE(CONTROL!$C$32, $C$9, 100%, $E$9)</f>
        <v>30.866</v>
      </c>
      <c r="L885" s="81">
        <f>14.8561 * CHOOSE(CONTROL!$C$32, $C$9, 100%, $E$9)</f>
        <v>14.8561</v>
      </c>
      <c r="M885" s="81">
        <f>14.8614 * CHOOSE(CONTROL!$C$32, $C$9, 100%, $E$9)</f>
        <v>14.8614</v>
      </c>
      <c r="N885" s="81">
        <f>14.8561 * CHOOSE(CONTROL!$C$32, $C$9, 100%, $E$9)</f>
        <v>14.8561</v>
      </c>
      <c r="O885" s="81">
        <f>14.8614 * CHOOSE(CONTROL!$C$32, $C$9, 100%, $E$9)</f>
        <v>14.8614</v>
      </c>
    </row>
    <row r="886" spans="1:15" ht="15" x14ac:dyDescent="0.2">
      <c r="A886" s="16">
        <v>68181</v>
      </c>
      <c r="B886" s="80">
        <f>13.2977 * CHOOSE(CONTROL!$C$32, $C$9, 100%, $E$9)</f>
        <v>13.297700000000001</v>
      </c>
      <c r="C886" s="80">
        <f>13.2977 * CHOOSE(CONTROL!$C$32, $C$9, 100%, $E$9)</f>
        <v>13.297700000000001</v>
      </c>
      <c r="D886" s="80">
        <f>13.2993 * CHOOSE(CONTROL!$C$32, $C$9, 100%, $E$9)</f>
        <v>13.299300000000001</v>
      </c>
      <c r="E886" s="81">
        <f>14.8114 * CHOOSE(CONTROL!$C$32, $C$9, 100%, $E$9)</f>
        <v>14.811400000000001</v>
      </c>
      <c r="F886" s="81">
        <f>14.8114 * CHOOSE(CONTROL!$C$32, $C$9, 100%, $E$9)</f>
        <v>14.811400000000001</v>
      </c>
      <c r="G886" s="81">
        <f>14.8167 * CHOOSE(CONTROL!$C$32, $C$9, 100%, $E$9)</f>
        <v>14.816700000000001</v>
      </c>
      <c r="H886" s="81">
        <f>30.925 * CHOOSE(CONTROL!$C$32, $C$9, 100%, $E$9)</f>
        <v>30.925000000000001</v>
      </c>
      <c r="I886" s="81">
        <f>30.9303 * CHOOSE(CONTROL!$C$32, $C$9, 100%, $E$9)</f>
        <v>30.930299999999999</v>
      </c>
      <c r="J886" s="81">
        <f>30.925 * CHOOSE(CONTROL!$C$32, $C$9, 100%, $E$9)</f>
        <v>30.925000000000001</v>
      </c>
      <c r="K886" s="81">
        <f>30.9303 * CHOOSE(CONTROL!$C$32, $C$9, 100%, $E$9)</f>
        <v>30.930299999999999</v>
      </c>
      <c r="L886" s="81">
        <f>14.8114 * CHOOSE(CONTROL!$C$32, $C$9, 100%, $E$9)</f>
        <v>14.811400000000001</v>
      </c>
      <c r="M886" s="81">
        <f>14.8167 * CHOOSE(CONTROL!$C$32, $C$9, 100%, $E$9)</f>
        <v>14.816700000000001</v>
      </c>
      <c r="N886" s="81">
        <f>14.8114 * CHOOSE(CONTROL!$C$32, $C$9, 100%, $E$9)</f>
        <v>14.811400000000001</v>
      </c>
      <c r="O886" s="81">
        <f>14.8167 * CHOOSE(CONTROL!$C$32, $C$9, 100%, $E$9)</f>
        <v>14.816700000000001</v>
      </c>
    </row>
    <row r="887" spans="1:15" ht="15" x14ac:dyDescent="0.2">
      <c r="A887" s="16">
        <v>68211</v>
      </c>
      <c r="B887" s="80">
        <f>13.3275 * CHOOSE(CONTROL!$C$32, $C$9, 100%, $E$9)</f>
        <v>13.327500000000001</v>
      </c>
      <c r="C887" s="80">
        <f>13.3275 * CHOOSE(CONTROL!$C$32, $C$9, 100%, $E$9)</f>
        <v>13.327500000000001</v>
      </c>
      <c r="D887" s="80">
        <f>13.3286 * CHOOSE(CONTROL!$C$32, $C$9, 100%, $E$9)</f>
        <v>13.3286</v>
      </c>
      <c r="E887" s="81">
        <f>14.9683 * CHOOSE(CONTROL!$C$32, $C$9, 100%, $E$9)</f>
        <v>14.968299999999999</v>
      </c>
      <c r="F887" s="81">
        <f>14.9683 * CHOOSE(CONTROL!$C$32, $C$9, 100%, $E$9)</f>
        <v>14.968299999999999</v>
      </c>
      <c r="G887" s="81">
        <f>14.9719 * CHOOSE(CONTROL!$C$32, $C$9, 100%, $E$9)</f>
        <v>14.9719</v>
      </c>
      <c r="H887" s="81">
        <f>30.9894 * CHOOSE(CONTROL!$C$32, $C$9, 100%, $E$9)</f>
        <v>30.9894</v>
      </c>
      <c r="I887" s="81">
        <f>30.993 * CHOOSE(CONTROL!$C$32, $C$9, 100%, $E$9)</f>
        <v>30.992999999999999</v>
      </c>
      <c r="J887" s="81">
        <f>30.9894 * CHOOSE(CONTROL!$C$32, $C$9, 100%, $E$9)</f>
        <v>30.9894</v>
      </c>
      <c r="K887" s="81">
        <f>30.993 * CHOOSE(CONTROL!$C$32, $C$9, 100%, $E$9)</f>
        <v>30.992999999999999</v>
      </c>
      <c r="L887" s="81">
        <f>14.9683 * CHOOSE(CONTROL!$C$32, $C$9, 100%, $E$9)</f>
        <v>14.968299999999999</v>
      </c>
      <c r="M887" s="81">
        <f>14.9719 * CHOOSE(CONTROL!$C$32, $C$9, 100%, $E$9)</f>
        <v>14.9719</v>
      </c>
      <c r="N887" s="81">
        <f>14.9683 * CHOOSE(CONTROL!$C$32, $C$9, 100%, $E$9)</f>
        <v>14.968299999999999</v>
      </c>
      <c r="O887" s="81">
        <f>14.9719 * CHOOSE(CONTROL!$C$32, $C$9, 100%, $E$9)</f>
        <v>14.9719</v>
      </c>
    </row>
    <row r="888" spans="1:15" ht="15" x14ac:dyDescent="0.2">
      <c r="A888" s="16">
        <v>68242</v>
      </c>
      <c r="B888" s="80">
        <f>13.3306 * CHOOSE(CONTROL!$C$32, $C$9, 100%, $E$9)</f>
        <v>13.3306</v>
      </c>
      <c r="C888" s="80">
        <f>13.3306 * CHOOSE(CONTROL!$C$32, $C$9, 100%, $E$9)</f>
        <v>13.3306</v>
      </c>
      <c r="D888" s="80">
        <f>13.3317 * CHOOSE(CONTROL!$C$32, $C$9, 100%, $E$9)</f>
        <v>13.3317</v>
      </c>
      <c r="E888" s="81">
        <f>15.0555 * CHOOSE(CONTROL!$C$32, $C$9, 100%, $E$9)</f>
        <v>15.0555</v>
      </c>
      <c r="F888" s="81">
        <f>15.0555 * CHOOSE(CONTROL!$C$32, $C$9, 100%, $E$9)</f>
        <v>15.0555</v>
      </c>
      <c r="G888" s="81">
        <f>15.0591 * CHOOSE(CONTROL!$C$32, $C$9, 100%, $E$9)</f>
        <v>15.059100000000001</v>
      </c>
      <c r="H888" s="81">
        <f>31.054 * CHOOSE(CONTROL!$C$32, $C$9, 100%, $E$9)</f>
        <v>31.053999999999998</v>
      </c>
      <c r="I888" s="81">
        <f>31.0576 * CHOOSE(CONTROL!$C$32, $C$9, 100%, $E$9)</f>
        <v>31.057600000000001</v>
      </c>
      <c r="J888" s="81">
        <f>31.054 * CHOOSE(CONTROL!$C$32, $C$9, 100%, $E$9)</f>
        <v>31.053999999999998</v>
      </c>
      <c r="K888" s="81">
        <f>31.0576 * CHOOSE(CONTROL!$C$32, $C$9, 100%, $E$9)</f>
        <v>31.057600000000001</v>
      </c>
      <c r="L888" s="81">
        <f>15.0555 * CHOOSE(CONTROL!$C$32, $C$9, 100%, $E$9)</f>
        <v>15.0555</v>
      </c>
      <c r="M888" s="81">
        <f>15.0591 * CHOOSE(CONTROL!$C$32, $C$9, 100%, $E$9)</f>
        <v>15.059100000000001</v>
      </c>
      <c r="N888" s="81">
        <f>15.0555 * CHOOSE(CONTROL!$C$32, $C$9, 100%, $E$9)</f>
        <v>15.0555</v>
      </c>
      <c r="O888" s="81">
        <f>15.0591 * CHOOSE(CONTROL!$C$32, $C$9, 100%, $E$9)</f>
        <v>15.059100000000001</v>
      </c>
    </row>
    <row r="889" spans="1:15" ht="15" x14ac:dyDescent="0.2">
      <c r="A889" s="16">
        <v>68272</v>
      </c>
      <c r="B889" s="80">
        <f>13.3306 * CHOOSE(CONTROL!$C$32, $C$9, 100%, $E$9)</f>
        <v>13.3306</v>
      </c>
      <c r="C889" s="80">
        <f>13.3306 * CHOOSE(CONTROL!$C$32, $C$9, 100%, $E$9)</f>
        <v>13.3306</v>
      </c>
      <c r="D889" s="80">
        <f>13.3317 * CHOOSE(CONTROL!$C$32, $C$9, 100%, $E$9)</f>
        <v>13.3317</v>
      </c>
      <c r="E889" s="81">
        <f>14.8427 * CHOOSE(CONTROL!$C$32, $C$9, 100%, $E$9)</f>
        <v>14.842700000000001</v>
      </c>
      <c r="F889" s="81">
        <f>14.8427 * CHOOSE(CONTROL!$C$32, $C$9, 100%, $E$9)</f>
        <v>14.842700000000001</v>
      </c>
      <c r="G889" s="81">
        <f>14.8463 * CHOOSE(CONTROL!$C$32, $C$9, 100%, $E$9)</f>
        <v>14.846299999999999</v>
      </c>
      <c r="H889" s="81">
        <f>31.1187 * CHOOSE(CONTROL!$C$32, $C$9, 100%, $E$9)</f>
        <v>31.1187</v>
      </c>
      <c r="I889" s="81">
        <f>31.1223 * CHOOSE(CONTROL!$C$32, $C$9, 100%, $E$9)</f>
        <v>31.122299999999999</v>
      </c>
      <c r="J889" s="81">
        <f>31.1187 * CHOOSE(CONTROL!$C$32, $C$9, 100%, $E$9)</f>
        <v>31.1187</v>
      </c>
      <c r="K889" s="81">
        <f>31.1223 * CHOOSE(CONTROL!$C$32, $C$9, 100%, $E$9)</f>
        <v>31.122299999999999</v>
      </c>
      <c r="L889" s="81">
        <f>14.8427 * CHOOSE(CONTROL!$C$32, $C$9, 100%, $E$9)</f>
        <v>14.842700000000001</v>
      </c>
      <c r="M889" s="81">
        <f>14.8463 * CHOOSE(CONTROL!$C$32, $C$9, 100%, $E$9)</f>
        <v>14.846299999999999</v>
      </c>
      <c r="N889" s="81">
        <f>14.8427 * CHOOSE(CONTROL!$C$32, $C$9, 100%, $E$9)</f>
        <v>14.842700000000001</v>
      </c>
      <c r="O889" s="81">
        <f>14.8463 * CHOOSE(CONTROL!$C$32, $C$9, 100%, $E$9)</f>
        <v>14.846299999999999</v>
      </c>
    </row>
    <row r="890" spans="1:15" ht="15" x14ac:dyDescent="0.2">
      <c r="A890" s="16">
        <v>68303</v>
      </c>
      <c r="B890" s="80">
        <f>13.3162 * CHOOSE(CONTROL!$C$32, $C$9, 100%, $E$9)</f>
        <v>13.3162</v>
      </c>
      <c r="C890" s="80">
        <f>13.3162 * CHOOSE(CONTROL!$C$32, $C$9, 100%, $E$9)</f>
        <v>13.3162</v>
      </c>
      <c r="D890" s="80">
        <f>13.3172 * CHOOSE(CONTROL!$C$32, $C$9, 100%, $E$9)</f>
        <v>13.3172</v>
      </c>
      <c r="E890" s="81">
        <f>14.9831 * CHOOSE(CONTROL!$C$32, $C$9, 100%, $E$9)</f>
        <v>14.9831</v>
      </c>
      <c r="F890" s="81">
        <f>14.9831 * CHOOSE(CONTROL!$C$32, $C$9, 100%, $E$9)</f>
        <v>14.9831</v>
      </c>
      <c r="G890" s="81">
        <f>14.9867 * CHOOSE(CONTROL!$C$32, $C$9, 100%, $E$9)</f>
        <v>14.986700000000001</v>
      </c>
      <c r="H890" s="81">
        <f>30.8784 * CHOOSE(CONTROL!$C$32, $C$9, 100%, $E$9)</f>
        <v>30.878399999999999</v>
      </c>
      <c r="I890" s="81">
        <f>30.882 * CHOOSE(CONTROL!$C$32, $C$9, 100%, $E$9)</f>
        <v>30.882000000000001</v>
      </c>
      <c r="J890" s="81">
        <f>30.8784 * CHOOSE(CONTROL!$C$32, $C$9, 100%, $E$9)</f>
        <v>30.878399999999999</v>
      </c>
      <c r="K890" s="81">
        <f>30.882 * CHOOSE(CONTROL!$C$32, $C$9, 100%, $E$9)</f>
        <v>30.882000000000001</v>
      </c>
      <c r="L890" s="81">
        <f>14.9831 * CHOOSE(CONTROL!$C$32, $C$9, 100%, $E$9)</f>
        <v>14.9831</v>
      </c>
      <c r="M890" s="81">
        <f>14.9867 * CHOOSE(CONTROL!$C$32, $C$9, 100%, $E$9)</f>
        <v>14.986700000000001</v>
      </c>
      <c r="N890" s="81">
        <f>14.9831 * CHOOSE(CONTROL!$C$32, $C$9, 100%, $E$9)</f>
        <v>14.9831</v>
      </c>
      <c r="O890" s="81">
        <f>14.9867 * CHOOSE(CONTROL!$C$32, $C$9, 100%, $E$9)</f>
        <v>14.986700000000001</v>
      </c>
    </row>
    <row r="891" spans="1:15" ht="15" x14ac:dyDescent="0.2">
      <c r="A891" s="16">
        <v>68334</v>
      </c>
      <c r="B891" s="80">
        <f>13.3131 * CHOOSE(CONTROL!$C$32, $C$9, 100%, $E$9)</f>
        <v>13.3131</v>
      </c>
      <c r="C891" s="80">
        <f>13.3131 * CHOOSE(CONTROL!$C$32, $C$9, 100%, $E$9)</f>
        <v>13.3131</v>
      </c>
      <c r="D891" s="80">
        <f>13.3142 * CHOOSE(CONTROL!$C$32, $C$9, 100%, $E$9)</f>
        <v>13.3142</v>
      </c>
      <c r="E891" s="81">
        <f>14.5716 * CHOOSE(CONTROL!$C$32, $C$9, 100%, $E$9)</f>
        <v>14.5716</v>
      </c>
      <c r="F891" s="81">
        <f>14.5716 * CHOOSE(CONTROL!$C$32, $C$9, 100%, $E$9)</f>
        <v>14.5716</v>
      </c>
      <c r="G891" s="81">
        <f>14.5752 * CHOOSE(CONTROL!$C$32, $C$9, 100%, $E$9)</f>
        <v>14.575200000000001</v>
      </c>
      <c r="H891" s="81">
        <f>30.9427 * CHOOSE(CONTROL!$C$32, $C$9, 100%, $E$9)</f>
        <v>30.942699999999999</v>
      </c>
      <c r="I891" s="81">
        <f>30.9463 * CHOOSE(CONTROL!$C$32, $C$9, 100%, $E$9)</f>
        <v>30.946300000000001</v>
      </c>
      <c r="J891" s="81">
        <f>30.9427 * CHOOSE(CONTROL!$C$32, $C$9, 100%, $E$9)</f>
        <v>30.942699999999999</v>
      </c>
      <c r="K891" s="81">
        <f>30.9463 * CHOOSE(CONTROL!$C$32, $C$9, 100%, $E$9)</f>
        <v>30.946300000000001</v>
      </c>
      <c r="L891" s="81">
        <f>14.5716 * CHOOSE(CONTROL!$C$32, $C$9, 100%, $E$9)</f>
        <v>14.5716</v>
      </c>
      <c r="M891" s="81">
        <f>14.5752 * CHOOSE(CONTROL!$C$32, $C$9, 100%, $E$9)</f>
        <v>14.575200000000001</v>
      </c>
      <c r="N891" s="81">
        <f>14.5716 * CHOOSE(CONTROL!$C$32, $C$9, 100%, $E$9)</f>
        <v>14.5716</v>
      </c>
      <c r="O891" s="81">
        <f>14.5752 * CHOOSE(CONTROL!$C$32, $C$9, 100%, $E$9)</f>
        <v>14.575200000000001</v>
      </c>
    </row>
    <row r="892" spans="1:15" ht="15" x14ac:dyDescent="0.2">
      <c r="A892" s="16">
        <v>68362</v>
      </c>
      <c r="B892" s="80">
        <f>13.3101 * CHOOSE(CONTROL!$C$32, $C$9, 100%, $E$9)</f>
        <v>13.3101</v>
      </c>
      <c r="C892" s="80">
        <f>13.3101 * CHOOSE(CONTROL!$C$32, $C$9, 100%, $E$9)</f>
        <v>13.3101</v>
      </c>
      <c r="D892" s="80">
        <f>13.3112 * CHOOSE(CONTROL!$C$32, $C$9, 100%, $E$9)</f>
        <v>13.311199999999999</v>
      </c>
      <c r="E892" s="81">
        <f>14.8922 * CHOOSE(CONTROL!$C$32, $C$9, 100%, $E$9)</f>
        <v>14.892200000000001</v>
      </c>
      <c r="F892" s="81">
        <f>14.8922 * CHOOSE(CONTROL!$C$32, $C$9, 100%, $E$9)</f>
        <v>14.892200000000001</v>
      </c>
      <c r="G892" s="81">
        <f>14.8958 * CHOOSE(CONTROL!$C$32, $C$9, 100%, $E$9)</f>
        <v>14.895799999999999</v>
      </c>
      <c r="H892" s="81">
        <f>31.0072 * CHOOSE(CONTROL!$C$32, $C$9, 100%, $E$9)</f>
        <v>31.007200000000001</v>
      </c>
      <c r="I892" s="81">
        <f>31.0108 * CHOOSE(CONTROL!$C$32, $C$9, 100%, $E$9)</f>
        <v>31.0108</v>
      </c>
      <c r="J892" s="81">
        <f>31.0072 * CHOOSE(CONTROL!$C$32, $C$9, 100%, $E$9)</f>
        <v>31.007200000000001</v>
      </c>
      <c r="K892" s="81">
        <f>31.0108 * CHOOSE(CONTROL!$C$32, $C$9, 100%, $E$9)</f>
        <v>31.0108</v>
      </c>
      <c r="L892" s="81">
        <f>14.8922 * CHOOSE(CONTROL!$C$32, $C$9, 100%, $E$9)</f>
        <v>14.892200000000001</v>
      </c>
      <c r="M892" s="81">
        <f>14.8958 * CHOOSE(CONTROL!$C$32, $C$9, 100%, $E$9)</f>
        <v>14.895799999999999</v>
      </c>
      <c r="N892" s="81">
        <f>14.8922 * CHOOSE(CONTROL!$C$32, $C$9, 100%, $E$9)</f>
        <v>14.892200000000001</v>
      </c>
      <c r="O892" s="81">
        <f>14.8958 * CHOOSE(CONTROL!$C$32, $C$9, 100%, $E$9)</f>
        <v>14.895799999999999</v>
      </c>
    </row>
    <row r="893" spans="1:15" ht="15" x14ac:dyDescent="0.2">
      <c r="A893" s="16">
        <v>68393</v>
      </c>
      <c r="B893" s="80">
        <f>13.3168 * CHOOSE(CONTROL!$C$32, $C$9, 100%, $E$9)</f>
        <v>13.316800000000001</v>
      </c>
      <c r="C893" s="80">
        <f>13.3168 * CHOOSE(CONTROL!$C$32, $C$9, 100%, $E$9)</f>
        <v>13.316800000000001</v>
      </c>
      <c r="D893" s="80">
        <f>13.3178 * CHOOSE(CONTROL!$C$32, $C$9, 100%, $E$9)</f>
        <v>13.3178</v>
      </c>
      <c r="E893" s="81">
        <f>15.2346 * CHOOSE(CONTROL!$C$32, $C$9, 100%, $E$9)</f>
        <v>15.2346</v>
      </c>
      <c r="F893" s="81">
        <f>15.2346 * CHOOSE(CONTROL!$C$32, $C$9, 100%, $E$9)</f>
        <v>15.2346</v>
      </c>
      <c r="G893" s="81">
        <f>15.2382 * CHOOSE(CONTROL!$C$32, $C$9, 100%, $E$9)</f>
        <v>15.238200000000001</v>
      </c>
      <c r="H893" s="81">
        <f>31.0718 * CHOOSE(CONTROL!$C$32, $C$9, 100%, $E$9)</f>
        <v>31.0718</v>
      </c>
      <c r="I893" s="81">
        <f>31.0754 * CHOOSE(CONTROL!$C$32, $C$9, 100%, $E$9)</f>
        <v>31.075399999999998</v>
      </c>
      <c r="J893" s="81">
        <f>31.0718 * CHOOSE(CONTROL!$C$32, $C$9, 100%, $E$9)</f>
        <v>31.0718</v>
      </c>
      <c r="K893" s="81">
        <f>31.0754 * CHOOSE(CONTROL!$C$32, $C$9, 100%, $E$9)</f>
        <v>31.075399999999998</v>
      </c>
      <c r="L893" s="81">
        <f>15.2346 * CHOOSE(CONTROL!$C$32, $C$9, 100%, $E$9)</f>
        <v>15.2346</v>
      </c>
      <c r="M893" s="81">
        <f>15.2382 * CHOOSE(CONTROL!$C$32, $C$9, 100%, $E$9)</f>
        <v>15.238200000000001</v>
      </c>
      <c r="N893" s="81">
        <f>15.2346 * CHOOSE(CONTROL!$C$32, $C$9, 100%, $E$9)</f>
        <v>15.2346</v>
      </c>
      <c r="O893" s="81">
        <f>15.2382 * CHOOSE(CONTROL!$C$32, $C$9, 100%, $E$9)</f>
        <v>15.238200000000001</v>
      </c>
    </row>
    <row r="894" spans="1:15" ht="15" x14ac:dyDescent="0.2">
      <c r="A894" s="16">
        <v>68423</v>
      </c>
      <c r="B894" s="80">
        <f>13.3168 * CHOOSE(CONTROL!$C$32, $C$9, 100%, $E$9)</f>
        <v>13.316800000000001</v>
      </c>
      <c r="C894" s="80">
        <f>13.3168 * CHOOSE(CONTROL!$C$32, $C$9, 100%, $E$9)</f>
        <v>13.316800000000001</v>
      </c>
      <c r="D894" s="80">
        <f>13.3183 * CHOOSE(CONTROL!$C$32, $C$9, 100%, $E$9)</f>
        <v>13.318300000000001</v>
      </c>
      <c r="E894" s="81">
        <f>15.3645 * CHOOSE(CONTROL!$C$32, $C$9, 100%, $E$9)</f>
        <v>15.3645</v>
      </c>
      <c r="F894" s="81">
        <f>15.3645 * CHOOSE(CONTROL!$C$32, $C$9, 100%, $E$9)</f>
        <v>15.3645</v>
      </c>
      <c r="G894" s="81">
        <f>15.3698 * CHOOSE(CONTROL!$C$32, $C$9, 100%, $E$9)</f>
        <v>15.3698</v>
      </c>
      <c r="H894" s="81">
        <f>31.1365 * CHOOSE(CONTROL!$C$32, $C$9, 100%, $E$9)</f>
        <v>31.136500000000002</v>
      </c>
      <c r="I894" s="81">
        <f>31.1418 * CHOOSE(CONTROL!$C$32, $C$9, 100%, $E$9)</f>
        <v>31.1418</v>
      </c>
      <c r="J894" s="81">
        <f>31.1365 * CHOOSE(CONTROL!$C$32, $C$9, 100%, $E$9)</f>
        <v>31.136500000000002</v>
      </c>
      <c r="K894" s="81">
        <f>31.1418 * CHOOSE(CONTROL!$C$32, $C$9, 100%, $E$9)</f>
        <v>31.1418</v>
      </c>
      <c r="L894" s="81">
        <f>15.3645 * CHOOSE(CONTROL!$C$32, $C$9, 100%, $E$9)</f>
        <v>15.3645</v>
      </c>
      <c r="M894" s="81">
        <f>15.3698 * CHOOSE(CONTROL!$C$32, $C$9, 100%, $E$9)</f>
        <v>15.3698</v>
      </c>
      <c r="N894" s="81">
        <f>15.3645 * CHOOSE(CONTROL!$C$32, $C$9, 100%, $E$9)</f>
        <v>15.3645</v>
      </c>
      <c r="O894" s="81">
        <f>15.3698 * CHOOSE(CONTROL!$C$32, $C$9, 100%, $E$9)</f>
        <v>15.3698</v>
      </c>
    </row>
    <row r="895" spans="1:15" ht="15" x14ac:dyDescent="0.2">
      <c r="A895" s="16">
        <v>68454</v>
      </c>
      <c r="B895" s="80">
        <f>13.3229 * CHOOSE(CONTROL!$C$32, $C$9, 100%, $E$9)</f>
        <v>13.322900000000001</v>
      </c>
      <c r="C895" s="80">
        <f>13.3229 * CHOOSE(CONTROL!$C$32, $C$9, 100%, $E$9)</f>
        <v>13.322900000000001</v>
      </c>
      <c r="D895" s="80">
        <f>13.3244 * CHOOSE(CONTROL!$C$32, $C$9, 100%, $E$9)</f>
        <v>13.324400000000001</v>
      </c>
      <c r="E895" s="81">
        <f>15.2388 * CHOOSE(CONTROL!$C$32, $C$9, 100%, $E$9)</f>
        <v>15.238799999999999</v>
      </c>
      <c r="F895" s="81">
        <f>15.2388 * CHOOSE(CONTROL!$C$32, $C$9, 100%, $E$9)</f>
        <v>15.238799999999999</v>
      </c>
      <c r="G895" s="81">
        <f>15.2441 * CHOOSE(CONTROL!$C$32, $C$9, 100%, $E$9)</f>
        <v>15.2441</v>
      </c>
      <c r="H895" s="81">
        <f>31.2014 * CHOOSE(CONTROL!$C$32, $C$9, 100%, $E$9)</f>
        <v>31.2014</v>
      </c>
      <c r="I895" s="81">
        <f>31.2067 * CHOOSE(CONTROL!$C$32, $C$9, 100%, $E$9)</f>
        <v>31.206700000000001</v>
      </c>
      <c r="J895" s="81">
        <f>31.2014 * CHOOSE(CONTROL!$C$32, $C$9, 100%, $E$9)</f>
        <v>31.2014</v>
      </c>
      <c r="K895" s="81">
        <f>31.2067 * CHOOSE(CONTROL!$C$32, $C$9, 100%, $E$9)</f>
        <v>31.206700000000001</v>
      </c>
      <c r="L895" s="81">
        <f>15.2388 * CHOOSE(CONTROL!$C$32, $C$9, 100%, $E$9)</f>
        <v>15.238799999999999</v>
      </c>
      <c r="M895" s="81">
        <f>15.2441 * CHOOSE(CONTROL!$C$32, $C$9, 100%, $E$9)</f>
        <v>15.2441</v>
      </c>
      <c r="N895" s="81">
        <f>15.2388 * CHOOSE(CONTROL!$C$32, $C$9, 100%, $E$9)</f>
        <v>15.238799999999999</v>
      </c>
      <c r="O895" s="81">
        <f>15.2441 * CHOOSE(CONTROL!$C$32, $C$9, 100%, $E$9)</f>
        <v>15.2441</v>
      </c>
    </row>
    <row r="896" spans="1:15" ht="15" x14ac:dyDescent="0.2">
      <c r="A896" s="16">
        <v>68484</v>
      </c>
      <c r="B896" s="80">
        <f>13.4837 * CHOOSE(CONTROL!$C$32, $C$9, 100%, $E$9)</f>
        <v>13.483700000000001</v>
      </c>
      <c r="C896" s="80">
        <f>13.4837 * CHOOSE(CONTROL!$C$32, $C$9, 100%, $E$9)</f>
        <v>13.483700000000001</v>
      </c>
      <c r="D896" s="80">
        <f>13.4853 * CHOOSE(CONTROL!$C$32, $C$9, 100%, $E$9)</f>
        <v>13.485300000000001</v>
      </c>
      <c r="E896" s="81">
        <f>15.4548 * CHOOSE(CONTROL!$C$32, $C$9, 100%, $E$9)</f>
        <v>15.454800000000001</v>
      </c>
      <c r="F896" s="81">
        <f>15.4548 * CHOOSE(CONTROL!$C$32, $C$9, 100%, $E$9)</f>
        <v>15.454800000000001</v>
      </c>
      <c r="G896" s="81">
        <f>15.4601 * CHOOSE(CONTROL!$C$32, $C$9, 100%, $E$9)</f>
        <v>15.460100000000001</v>
      </c>
      <c r="H896" s="81">
        <f>31.2664 * CHOOSE(CONTROL!$C$32, $C$9, 100%, $E$9)</f>
        <v>31.266400000000001</v>
      </c>
      <c r="I896" s="81">
        <f>31.2717 * CHOOSE(CONTROL!$C$32, $C$9, 100%, $E$9)</f>
        <v>31.271699999999999</v>
      </c>
      <c r="J896" s="81">
        <f>31.2664 * CHOOSE(CONTROL!$C$32, $C$9, 100%, $E$9)</f>
        <v>31.266400000000001</v>
      </c>
      <c r="K896" s="81">
        <f>31.2717 * CHOOSE(CONTROL!$C$32, $C$9, 100%, $E$9)</f>
        <v>31.271699999999999</v>
      </c>
      <c r="L896" s="81">
        <f>15.4548 * CHOOSE(CONTROL!$C$32, $C$9, 100%, $E$9)</f>
        <v>15.454800000000001</v>
      </c>
      <c r="M896" s="81">
        <f>15.4601 * CHOOSE(CONTROL!$C$32, $C$9, 100%, $E$9)</f>
        <v>15.460100000000001</v>
      </c>
      <c r="N896" s="81">
        <f>15.4548 * CHOOSE(CONTROL!$C$32, $C$9, 100%, $E$9)</f>
        <v>15.454800000000001</v>
      </c>
      <c r="O896" s="81">
        <f>15.4601 * CHOOSE(CONTROL!$C$32, $C$9, 100%, $E$9)</f>
        <v>15.460100000000001</v>
      </c>
    </row>
    <row r="897" spans="1:15" ht="15" x14ac:dyDescent="0.2">
      <c r="A897" s="16">
        <v>68515</v>
      </c>
      <c r="B897" s="80">
        <f>13.4904 * CHOOSE(CONTROL!$C$32, $C$9, 100%, $E$9)</f>
        <v>13.490399999999999</v>
      </c>
      <c r="C897" s="80">
        <f>13.4904 * CHOOSE(CONTROL!$C$32, $C$9, 100%, $E$9)</f>
        <v>13.490399999999999</v>
      </c>
      <c r="D897" s="80">
        <f>13.4919 * CHOOSE(CONTROL!$C$32, $C$9, 100%, $E$9)</f>
        <v>13.491899999999999</v>
      </c>
      <c r="E897" s="81">
        <f>15.0695 * CHOOSE(CONTROL!$C$32, $C$9, 100%, $E$9)</f>
        <v>15.0695</v>
      </c>
      <c r="F897" s="81">
        <f>15.0695 * CHOOSE(CONTROL!$C$32, $C$9, 100%, $E$9)</f>
        <v>15.0695</v>
      </c>
      <c r="G897" s="81">
        <f>15.0748 * CHOOSE(CONTROL!$C$32, $C$9, 100%, $E$9)</f>
        <v>15.0748</v>
      </c>
      <c r="H897" s="81">
        <f>31.3315 * CHOOSE(CONTROL!$C$32, $C$9, 100%, $E$9)</f>
        <v>31.331499999999998</v>
      </c>
      <c r="I897" s="81">
        <f>31.3368 * CHOOSE(CONTROL!$C$32, $C$9, 100%, $E$9)</f>
        <v>31.3368</v>
      </c>
      <c r="J897" s="81">
        <f>31.3315 * CHOOSE(CONTROL!$C$32, $C$9, 100%, $E$9)</f>
        <v>31.331499999999998</v>
      </c>
      <c r="K897" s="81">
        <f>31.3368 * CHOOSE(CONTROL!$C$32, $C$9, 100%, $E$9)</f>
        <v>31.3368</v>
      </c>
      <c r="L897" s="81">
        <f>15.0695 * CHOOSE(CONTROL!$C$32, $C$9, 100%, $E$9)</f>
        <v>15.0695</v>
      </c>
      <c r="M897" s="81">
        <f>15.0748 * CHOOSE(CONTROL!$C$32, $C$9, 100%, $E$9)</f>
        <v>15.0748</v>
      </c>
      <c r="N897" s="81">
        <f>15.0695 * CHOOSE(CONTROL!$C$32, $C$9, 100%, $E$9)</f>
        <v>15.0695</v>
      </c>
      <c r="O897" s="81">
        <f>15.0748 * CHOOSE(CONTROL!$C$32, $C$9, 100%, $E$9)</f>
        <v>15.0748</v>
      </c>
    </row>
    <row r="898" spans="1:15" ht="15" x14ac:dyDescent="0.2">
      <c r="A898" s="16">
        <v>68546</v>
      </c>
      <c r="B898" s="80">
        <f>13.4873 * CHOOSE(CONTROL!$C$32, $C$9, 100%, $E$9)</f>
        <v>13.487299999999999</v>
      </c>
      <c r="C898" s="80">
        <f>13.4873 * CHOOSE(CONTROL!$C$32, $C$9, 100%, $E$9)</f>
        <v>13.487299999999999</v>
      </c>
      <c r="D898" s="80">
        <f>13.4889 * CHOOSE(CONTROL!$C$32, $C$9, 100%, $E$9)</f>
        <v>13.488899999999999</v>
      </c>
      <c r="E898" s="81">
        <f>15.0241 * CHOOSE(CONTROL!$C$32, $C$9, 100%, $E$9)</f>
        <v>15.024100000000001</v>
      </c>
      <c r="F898" s="81">
        <f>15.0241 * CHOOSE(CONTROL!$C$32, $C$9, 100%, $E$9)</f>
        <v>15.024100000000001</v>
      </c>
      <c r="G898" s="81">
        <f>15.0294 * CHOOSE(CONTROL!$C$32, $C$9, 100%, $E$9)</f>
        <v>15.029400000000001</v>
      </c>
      <c r="H898" s="81">
        <f>31.3968 * CHOOSE(CONTROL!$C$32, $C$9, 100%, $E$9)</f>
        <v>31.396799999999999</v>
      </c>
      <c r="I898" s="81">
        <f>31.4021 * CHOOSE(CONTROL!$C$32, $C$9, 100%, $E$9)</f>
        <v>31.402100000000001</v>
      </c>
      <c r="J898" s="81">
        <f>31.3968 * CHOOSE(CONTROL!$C$32, $C$9, 100%, $E$9)</f>
        <v>31.396799999999999</v>
      </c>
      <c r="K898" s="81">
        <f>31.4021 * CHOOSE(CONTROL!$C$32, $C$9, 100%, $E$9)</f>
        <v>31.402100000000001</v>
      </c>
      <c r="L898" s="81">
        <f>15.0241 * CHOOSE(CONTROL!$C$32, $C$9, 100%, $E$9)</f>
        <v>15.024100000000001</v>
      </c>
      <c r="M898" s="81">
        <f>15.0294 * CHOOSE(CONTROL!$C$32, $C$9, 100%, $E$9)</f>
        <v>15.029400000000001</v>
      </c>
      <c r="N898" s="81">
        <f>15.0241 * CHOOSE(CONTROL!$C$32, $C$9, 100%, $E$9)</f>
        <v>15.024100000000001</v>
      </c>
      <c r="O898" s="81">
        <f>15.0294 * CHOOSE(CONTROL!$C$32, $C$9, 100%, $E$9)</f>
        <v>15.029400000000001</v>
      </c>
    </row>
    <row r="899" spans="1:15" ht="15" x14ac:dyDescent="0.2">
      <c r="A899" s="16">
        <v>68576</v>
      </c>
      <c r="B899" s="80">
        <f>13.5179 * CHOOSE(CONTROL!$C$32, $C$9, 100%, $E$9)</f>
        <v>13.517899999999999</v>
      </c>
      <c r="C899" s="80">
        <f>13.5179 * CHOOSE(CONTROL!$C$32, $C$9, 100%, $E$9)</f>
        <v>13.517899999999999</v>
      </c>
      <c r="D899" s="80">
        <f>13.5189 * CHOOSE(CONTROL!$C$32, $C$9, 100%, $E$9)</f>
        <v>13.5189</v>
      </c>
      <c r="E899" s="81">
        <f>15.1839 * CHOOSE(CONTROL!$C$32, $C$9, 100%, $E$9)</f>
        <v>15.1839</v>
      </c>
      <c r="F899" s="81">
        <f>15.1839 * CHOOSE(CONTROL!$C$32, $C$9, 100%, $E$9)</f>
        <v>15.1839</v>
      </c>
      <c r="G899" s="81">
        <f>15.1876 * CHOOSE(CONTROL!$C$32, $C$9, 100%, $E$9)</f>
        <v>15.1876</v>
      </c>
      <c r="H899" s="81">
        <f>31.4622 * CHOOSE(CONTROL!$C$32, $C$9, 100%, $E$9)</f>
        <v>31.462199999999999</v>
      </c>
      <c r="I899" s="81">
        <f>31.4658 * CHOOSE(CONTROL!$C$32, $C$9, 100%, $E$9)</f>
        <v>31.465800000000002</v>
      </c>
      <c r="J899" s="81">
        <f>31.4622 * CHOOSE(CONTROL!$C$32, $C$9, 100%, $E$9)</f>
        <v>31.462199999999999</v>
      </c>
      <c r="K899" s="81">
        <f>31.4658 * CHOOSE(CONTROL!$C$32, $C$9, 100%, $E$9)</f>
        <v>31.465800000000002</v>
      </c>
      <c r="L899" s="81">
        <f>15.1839 * CHOOSE(CONTROL!$C$32, $C$9, 100%, $E$9)</f>
        <v>15.1839</v>
      </c>
      <c r="M899" s="81">
        <f>15.1876 * CHOOSE(CONTROL!$C$32, $C$9, 100%, $E$9)</f>
        <v>15.1876</v>
      </c>
      <c r="N899" s="81">
        <f>15.1839 * CHOOSE(CONTROL!$C$32, $C$9, 100%, $E$9)</f>
        <v>15.1839</v>
      </c>
      <c r="O899" s="81">
        <f>15.1876 * CHOOSE(CONTROL!$C$32, $C$9, 100%, $E$9)</f>
        <v>15.1876</v>
      </c>
    </row>
    <row r="900" spans="1:15" ht="15" x14ac:dyDescent="0.2">
      <c r="A900" s="16">
        <v>68607</v>
      </c>
      <c r="B900" s="80">
        <f>13.5209 * CHOOSE(CONTROL!$C$32, $C$9, 100%, $E$9)</f>
        <v>13.520899999999999</v>
      </c>
      <c r="C900" s="80">
        <f>13.5209 * CHOOSE(CONTROL!$C$32, $C$9, 100%, $E$9)</f>
        <v>13.520899999999999</v>
      </c>
      <c r="D900" s="80">
        <f>13.522 * CHOOSE(CONTROL!$C$32, $C$9, 100%, $E$9)</f>
        <v>13.522</v>
      </c>
      <c r="E900" s="81">
        <f>15.2727 * CHOOSE(CONTROL!$C$32, $C$9, 100%, $E$9)</f>
        <v>15.2727</v>
      </c>
      <c r="F900" s="81">
        <f>15.2727 * CHOOSE(CONTROL!$C$32, $C$9, 100%, $E$9)</f>
        <v>15.2727</v>
      </c>
      <c r="G900" s="81">
        <f>15.2763 * CHOOSE(CONTROL!$C$32, $C$9, 100%, $E$9)</f>
        <v>15.276300000000001</v>
      </c>
      <c r="H900" s="81">
        <f>31.5278 * CHOOSE(CONTROL!$C$32, $C$9, 100%, $E$9)</f>
        <v>31.527799999999999</v>
      </c>
      <c r="I900" s="81">
        <f>31.5314 * CHOOSE(CONTROL!$C$32, $C$9, 100%, $E$9)</f>
        <v>31.531400000000001</v>
      </c>
      <c r="J900" s="81">
        <f>31.5278 * CHOOSE(CONTROL!$C$32, $C$9, 100%, $E$9)</f>
        <v>31.527799999999999</v>
      </c>
      <c r="K900" s="81">
        <f>31.5314 * CHOOSE(CONTROL!$C$32, $C$9, 100%, $E$9)</f>
        <v>31.531400000000001</v>
      </c>
      <c r="L900" s="81">
        <f>15.2727 * CHOOSE(CONTROL!$C$32, $C$9, 100%, $E$9)</f>
        <v>15.2727</v>
      </c>
      <c r="M900" s="81">
        <f>15.2763 * CHOOSE(CONTROL!$C$32, $C$9, 100%, $E$9)</f>
        <v>15.276300000000001</v>
      </c>
      <c r="N900" s="81">
        <f>15.2727 * CHOOSE(CONTROL!$C$32, $C$9, 100%, $E$9)</f>
        <v>15.2727</v>
      </c>
      <c r="O900" s="81">
        <f>15.2763 * CHOOSE(CONTROL!$C$32, $C$9, 100%, $E$9)</f>
        <v>15.276300000000001</v>
      </c>
    </row>
    <row r="901" spans="1:15" ht="15" x14ac:dyDescent="0.2">
      <c r="A901" s="16">
        <v>68637</v>
      </c>
      <c r="B901" s="80">
        <f>13.5209 * CHOOSE(CONTROL!$C$32, $C$9, 100%, $E$9)</f>
        <v>13.520899999999999</v>
      </c>
      <c r="C901" s="80">
        <f>13.5209 * CHOOSE(CONTROL!$C$32, $C$9, 100%, $E$9)</f>
        <v>13.520899999999999</v>
      </c>
      <c r="D901" s="80">
        <f>13.522 * CHOOSE(CONTROL!$C$32, $C$9, 100%, $E$9)</f>
        <v>13.522</v>
      </c>
      <c r="E901" s="81">
        <f>15.0561 * CHOOSE(CONTROL!$C$32, $C$9, 100%, $E$9)</f>
        <v>15.056100000000001</v>
      </c>
      <c r="F901" s="81">
        <f>15.0561 * CHOOSE(CONTROL!$C$32, $C$9, 100%, $E$9)</f>
        <v>15.056100000000001</v>
      </c>
      <c r="G901" s="81">
        <f>15.0597 * CHOOSE(CONTROL!$C$32, $C$9, 100%, $E$9)</f>
        <v>15.059699999999999</v>
      </c>
      <c r="H901" s="81">
        <f>31.5934 * CHOOSE(CONTROL!$C$32, $C$9, 100%, $E$9)</f>
        <v>31.593399999999999</v>
      </c>
      <c r="I901" s="81">
        <f>31.5971 * CHOOSE(CONTROL!$C$32, $C$9, 100%, $E$9)</f>
        <v>31.597100000000001</v>
      </c>
      <c r="J901" s="81">
        <f>31.5934 * CHOOSE(CONTROL!$C$32, $C$9, 100%, $E$9)</f>
        <v>31.593399999999999</v>
      </c>
      <c r="K901" s="81">
        <f>31.5971 * CHOOSE(CONTROL!$C$32, $C$9, 100%, $E$9)</f>
        <v>31.597100000000001</v>
      </c>
      <c r="L901" s="81">
        <f>15.0561 * CHOOSE(CONTROL!$C$32, $C$9, 100%, $E$9)</f>
        <v>15.056100000000001</v>
      </c>
      <c r="M901" s="81">
        <f>15.0597 * CHOOSE(CONTROL!$C$32, $C$9, 100%, $E$9)</f>
        <v>15.059699999999999</v>
      </c>
      <c r="N901" s="81">
        <f>15.0561 * CHOOSE(CONTROL!$C$32, $C$9, 100%, $E$9)</f>
        <v>15.056100000000001</v>
      </c>
      <c r="O901" s="81">
        <f>15.0597 * CHOOSE(CONTROL!$C$32, $C$9, 100%, $E$9)</f>
        <v>15.059699999999999</v>
      </c>
    </row>
    <row r="902" spans="1:15" ht="15" x14ac:dyDescent="0.2">
      <c r="A902" s="16">
        <v>68668</v>
      </c>
      <c r="B902" s="80">
        <f>13.5035 * CHOOSE(CONTROL!$C$32, $C$9, 100%, $E$9)</f>
        <v>13.503500000000001</v>
      </c>
      <c r="C902" s="80">
        <f>13.5035 * CHOOSE(CONTROL!$C$32, $C$9, 100%, $E$9)</f>
        <v>13.503500000000001</v>
      </c>
      <c r="D902" s="80">
        <f>13.5046 * CHOOSE(CONTROL!$C$32, $C$9, 100%, $E$9)</f>
        <v>13.5046</v>
      </c>
      <c r="E902" s="81">
        <f>15.1956 * CHOOSE(CONTROL!$C$32, $C$9, 100%, $E$9)</f>
        <v>15.195600000000001</v>
      </c>
      <c r="F902" s="81">
        <f>15.1956 * CHOOSE(CONTROL!$C$32, $C$9, 100%, $E$9)</f>
        <v>15.195600000000001</v>
      </c>
      <c r="G902" s="81">
        <f>15.1992 * CHOOSE(CONTROL!$C$32, $C$9, 100%, $E$9)</f>
        <v>15.199199999999999</v>
      </c>
      <c r="H902" s="81">
        <f>31.3424 * CHOOSE(CONTROL!$C$32, $C$9, 100%, $E$9)</f>
        <v>31.342400000000001</v>
      </c>
      <c r="I902" s="81">
        <f>31.346 * CHOOSE(CONTROL!$C$32, $C$9, 100%, $E$9)</f>
        <v>31.346</v>
      </c>
      <c r="J902" s="81">
        <f>31.3424 * CHOOSE(CONTROL!$C$32, $C$9, 100%, $E$9)</f>
        <v>31.342400000000001</v>
      </c>
      <c r="K902" s="81">
        <f>31.346 * CHOOSE(CONTROL!$C$32, $C$9, 100%, $E$9)</f>
        <v>31.346</v>
      </c>
      <c r="L902" s="81">
        <f>15.1956 * CHOOSE(CONTROL!$C$32, $C$9, 100%, $E$9)</f>
        <v>15.195600000000001</v>
      </c>
      <c r="M902" s="81">
        <f>15.1992 * CHOOSE(CONTROL!$C$32, $C$9, 100%, $E$9)</f>
        <v>15.199199999999999</v>
      </c>
      <c r="N902" s="81">
        <f>15.1956 * CHOOSE(CONTROL!$C$32, $C$9, 100%, $E$9)</f>
        <v>15.195600000000001</v>
      </c>
      <c r="O902" s="81">
        <f>15.1992 * CHOOSE(CONTROL!$C$32, $C$9, 100%, $E$9)</f>
        <v>15.199199999999999</v>
      </c>
    </row>
    <row r="903" spans="1:15" ht="15" x14ac:dyDescent="0.2">
      <c r="A903" s="16">
        <v>68699</v>
      </c>
      <c r="B903" s="80">
        <f>13.5005 * CHOOSE(CONTROL!$C$32, $C$9, 100%, $E$9)</f>
        <v>13.500500000000001</v>
      </c>
      <c r="C903" s="80">
        <f>13.5005 * CHOOSE(CONTROL!$C$32, $C$9, 100%, $E$9)</f>
        <v>13.500500000000001</v>
      </c>
      <c r="D903" s="80">
        <f>13.5016 * CHOOSE(CONTROL!$C$32, $C$9, 100%, $E$9)</f>
        <v>13.5016</v>
      </c>
      <c r="E903" s="81">
        <f>14.777 * CHOOSE(CONTROL!$C$32, $C$9, 100%, $E$9)</f>
        <v>14.776999999999999</v>
      </c>
      <c r="F903" s="81">
        <f>14.777 * CHOOSE(CONTROL!$C$32, $C$9, 100%, $E$9)</f>
        <v>14.776999999999999</v>
      </c>
      <c r="G903" s="81">
        <f>14.7806 * CHOOSE(CONTROL!$C$32, $C$9, 100%, $E$9)</f>
        <v>14.7806</v>
      </c>
      <c r="H903" s="81">
        <f>31.4077 * CHOOSE(CONTROL!$C$32, $C$9, 100%, $E$9)</f>
        <v>31.407699999999998</v>
      </c>
      <c r="I903" s="81">
        <f>31.4113 * CHOOSE(CONTROL!$C$32, $C$9, 100%, $E$9)</f>
        <v>31.411300000000001</v>
      </c>
      <c r="J903" s="81">
        <f>31.4077 * CHOOSE(CONTROL!$C$32, $C$9, 100%, $E$9)</f>
        <v>31.407699999999998</v>
      </c>
      <c r="K903" s="81">
        <f>31.4113 * CHOOSE(CONTROL!$C$32, $C$9, 100%, $E$9)</f>
        <v>31.411300000000001</v>
      </c>
      <c r="L903" s="81">
        <f>14.777 * CHOOSE(CONTROL!$C$32, $C$9, 100%, $E$9)</f>
        <v>14.776999999999999</v>
      </c>
      <c r="M903" s="81">
        <f>14.7806 * CHOOSE(CONTROL!$C$32, $C$9, 100%, $E$9)</f>
        <v>14.7806</v>
      </c>
      <c r="N903" s="81">
        <f>14.777 * CHOOSE(CONTROL!$C$32, $C$9, 100%, $E$9)</f>
        <v>14.776999999999999</v>
      </c>
      <c r="O903" s="81">
        <f>14.7806 * CHOOSE(CONTROL!$C$32, $C$9, 100%, $E$9)</f>
        <v>14.7806</v>
      </c>
    </row>
    <row r="904" spans="1:15" ht="15" x14ac:dyDescent="0.2">
      <c r="A904" s="16">
        <v>68728</v>
      </c>
      <c r="B904" s="80">
        <f>13.4974 * CHOOSE(CONTROL!$C$32, $C$9, 100%, $E$9)</f>
        <v>13.497400000000001</v>
      </c>
      <c r="C904" s="80">
        <f>13.4974 * CHOOSE(CONTROL!$C$32, $C$9, 100%, $E$9)</f>
        <v>13.497400000000001</v>
      </c>
      <c r="D904" s="80">
        <f>13.4985 * CHOOSE(CONTROL!$C$32, $C$9, 100%, $E$9)</f>
        <v>13.4985</v>
      </c>
      <c r="E904" s="81">
        <f>15.1032 * CHOOSE(CONTROL!$C$32, $C$9, 100%, $E$9)</f>
        <v>15.103199999999999</v>
      </c>
      <c r="F904" s="81">
        <f>15.1032 * CHOOSE(CONTROL!$C$32, $C$9, 100%, $E$9)</f>
        <v>15.103199999999999</v>
      </c>
      <c r="G904" s="81">
        <f>15.1068 * CHOOSE(CONTROL!$C$32, $C$9, 100%, $E$9)</f>
        <v>15.1068</v>
      </c>
      <c r="H904" s="81">
        <f>31.4732 * CHOOSE(CONTROL!$C$32, $C$9, 100%, $E$9)</f>
        <v>31.473199999999999</v>
      </c>
      <c r="I904" s="81">
        <f>31.4768 * CHOOSE(CONTROL!$C$32, $C$9, 100%, $E$9)</f>
        <v>31.476800000000001</v>
      </c>
      <c r="J904" s="81">
        <f>31.4732 * CHOOSE(CONTROL!$C$32, $C$9, 100%, $E$9)</f>
        <v>31.473199999999999</v>
      </c>
      <c r="K904" s="81">
        <f>31.4768 * CHOOSE(CONTROL!$C$32, $C$9, 100%, $E$9)</f>
        <v>31.476800000000001</v>
      </c>
      <c r="L904" s="81">
        <f>15.1032 * CHOOSE(CONTROL!$C$32, $C$9, 100%, $E$9)</f>
        <v>15.103199999999999</v>
      </c>
      <c r="M904" s="81">
        <f>15.1068 * CHOOSE(CONTROL!$C$32, $C$9, 100%, $E$9)</f>
        <v>15.1068</v>
      </c>
      <c r="N904" s="81">
        <f>15.1032 * CHOOSE(CONTROL!$C$32, $C$9, 100%, $E$9)</f>
        <v>15.103199999999999</v>
      </c>
      <c r="O904" s="81">
        <f>15.1068 * CHOOSE(CONTROL!$C$32, $C$9, 100%, $E$9)</f>
        <v>15.1068</v>
      </c>
    </row>
    <row r="905" spans="1:15" ht="15" x14ac:dyDescent="0.2">
      <c r="A905" s="16">
        <v>68759</v>
      </c>
      <c r="B905" s="80">
        <f>13.5043 * CHOOSE(CONTROL!$C$32, $C$9, 100%, $E$9)</f>
        <v>13.504300000000001</v>
      </c>
      <c r="C905" s="80">
        <f>13.5043 * CHOOSE(CONTROL!$C$32, $C$9, 100%, $E$9)</f>
        <v>13.504300000000001</v>
      </c>
      <c r="D905" s="80">
        <f>13.5054 * CHOOSE(CONTROL!$C$32, $C$9, 100%, $E$9)</f>
        <v>13.5054</v>
      </c>
      <c r="E905" s="81">
        <f>15.4516 * CHOOSE(CONTROL!$C$32, $C$9, 100%, $E$9)</f>
        <v>15.451599999999999</v>
      </c>
      <c r="F905" s="81">
        <f>15.4516 * CHOOSE(CONTROL!$C$32, $C$9, 100%, $E$9)</f>
        <v>15.451599999999999</v>
      </c>
      <c r="G905" s="81">
        <f>15.4552 * CHOOSE(CONTROL!$C$32, $C$9, 100%, $E$9)</f>
        <v>15.4552</v>
      </c>
      <c r="H905" s="81">
        <f>31.5387 * CHOOSE(CONTROL!$C$32, $C$9, 100%, $E$9)</f>
        <v>31.538699999999999</v>
      </c>
      <c r="I905" s="81">
        <f>31.5423 * CHOOSE(CONTROL!$C$32, $C$9, 100%, $E$9)</f>
        <v>31.542300000000001</v>
      </c>
      <c r="J905" s="81">
        <f>31.5387 * CHOOSE(CONTROL!$C$32, $C$9, 100%, $E$9)</f>
        <v>31.538699999999999</v>
      </c>
      <c r="K905" s="81">
        <f>31.5423 * CHOOSE(CONTROL!$C$32, $C$9, 100%, $E$9)</f>
        <v>31.542300000000001</v>
      </c>
      <c r="L905" s="81">
        <f>15.4516 * CHOOSE(CONTROL!$C$32, $C$9, 100%, $E$9)</f>
        <v>15.451599999999999</v>
      </c>
      <c r="M905" s="81">
        <f>15.4552 * CHOOSE(CONTROL!$C$32, $C$9, 100%, $E$9)</f>
        <v>15.4552</v>
      </c>
      <c r="N905" s="81">
        <f>15.4516 * CHOOSE(CONTROL!$C$32, $C$9, 100%, $E$9)</f>
        <v>15.451599999999999</v>
      </c>
      <c r="O905" s="81">
        <f>15.4552 * CHOOSE(CONTROL!$C$32, $C$9, 100%, $E$9)</f>
        <v>15.4552</v>
      </c>
    </row>
    <row r="906" spans="1:15" ht="15" x14ac:dyDescent="0.2">
      <c r="A906" s="16">
        <v>68789</v>
      </c>
      <c r="B906" s="80">
        <f>13.5043 * CHOOSE(CONTROL!$C$32, $C$9, 100%, $E$9)</f>
        <v>13.504300000000001</v>
      </c>
      <c r="C906" s="80">
        <f>13.5043 * CHOOSE(CONTROL!$C$32, $C$9, 100%, $E$9)</f>
        <v>13.504300000000001</v>
      </c>
      <c r="D906" s="80">
        <f>13.5059 * CHOOSE(CONTROL!$C$32, $C$9, 100%, $E$9)</f>
        <v>13.5059</v>
      </c>
      <c r="E906" s="81">
        <f>15.5838 * CHOOSE(CONTROL!$C$32, $C$9, 100%, $E$9)</f>
        <v>15.5838</v>
      </c>
      <c r="F906" s="81">
        <f>15.5838 * CHOOSE(CONTROL!$C$32, $C$9, 100%, $E$9)</f>
        <v>15.5838</v>
      </c>
      <c r="G906" s="81">
        <f>15.5891 * CHOOSE(CONTROL!$C$32, $C$9, 100%, $E$9)</f>
        <v>15.5891</v>
      </c>
      <c r="H906" s="81">
        <f>31.6044 * CHOOSE(CONTROL!$C$32, $C$9, 100%, $E$9)</f>
        <v>31.604399999999998</v>
      </c>
      <c r="I906" s="81">
        <f>31.6097 * CHOOSE(CONTROL!$C$32, $C$9, 100%, $E$9)</f>
        <v>31.6097</v>
      </c>
      <c r="J906" s="81">
        <f>31.6044 * CHOOSE(CONTROL!$C$32, $C$9, 100%, $E$9)</f>
        <v>31.604399999999998</v>
      </c>
      <c r="K906" s="81">
        <f>31.6097 * CHOOSE(CONTROL!$C$32, $C$9, 100%, $E$9)</f>
        <v>31.6097</v>
      </c>
      <c r="L906" s="81">
        <f>15.5838 * CHOOSE(CONTROL!$C$32, $C$9, 100%, $E$9)</f>
        <v>15.5838</v>
      </c>
      <c r="M906" s="81">
        <f>15.5891 * CHOOSE(CONTROL!$C$32, $C$9, 100%, $E$9)</f>
        <v>15.5891</v>
      </c>
      <c r="N906" s="81">
        <f>15.5838 * CHOOSE(CONTROL!$C$32, $C$9, 100%, $E$9)</f>
        <v>15.5838</v>
      </c>
      <c r="O906" s="81">
        <f>15.5891 * CHOOSE(CONTROL!$C$32, $C$9, 100%, $E$9)</f>
        <v>15.5891</v>
      </c>
    </row>
    <row r="907" spans="1:15" ht="15" x14ac:dyDescent="0.2">
      <c r="A907" s="16">
        <v>68820</v>
      </c>
      <c r="B907" s="80">
        <f>13.5104 * CHOOSE(CONTROL!$C$32, $C$9, 100%, $E$9)</f>
        <v>13.510400000000001</v>
      </c>
      <c r="C907" s="80">
        <f>13.5104 * CHOOSE(CONTROL!$C$32, $C$9, 100%, $E$9)</f>
        <v>13.510400000000001</v>
      </c>
      <c r="D907" s="80">
        <f>13.512 * CHOOSE(CONTROL!$C$32, $C$9, 100%, $E$9)</f>
        <v>13.512</v>
      </c>
      <c r="E907" s="81">
        <f>15.4558 * CHOOSE(CONTROL!$C$32, $C$9, 100%, $E$9)</f>
        <v>15.4558</v>
      </c>
      <c r="F907" s="81">
        <f>15.4558 * CHOOSE(CONTROL!$C$32, $C$9, 100%, $E$9)</f>
        <v>15.4558</v>
      </c>
      <c r="G907" s="81">
        <f>15.4611 * CHOOSE(CONTROL!$C$32, $C$9, 100%, $E$9)</f>
        <v>15.4611</v>
      </c>
      <c r="H907" s="81">
        <f>31.6703 * CHOOSE(CONTROL!$C$32, $C$9, 100%, $E$9)</f>
        <v>31.670300000000001</v>
      </c>
      <c r="I907" s="81">
        <f>31.6756 * CHOOSE(CONTROL!$C$32, $C$9, 100%, $E$9)</f>
        <v>31.675599999999999</v>
      </c>
      <c r="J907" s="81">
        <f>31.6703 * CHOOSE(CONTROL!$C$32, $C$9, 100%, $E$9)</f>
        <v>31.670300000000001</v>
      </c>
      <c r="K907" s="81">
        <f>31.6756 * CHOOSE(CONTROL!$C$32, $C$9, 100%, $E$9)</f>
        <v>31.675599999999999</v>
      </c>
      <c r="L907" s="81">
        <f>15.4558 * CHOOSE(CONTROL!$C$32, $C$9, 100%, $E$9)</f>
        <v>15.4558</v>
      </c>
      <c r="M907" s="81">
        <f>15.4611 * CHOOSE(CONTROL!$C$32, $C$9, 100%, $E$9)</f>
        <v>15.4611</v>
      </c>
      <c r="N907" s="81">
        <f>15.4558 * CHOOSE(CONTROL!$C$32, $C$9, 100%, $E$9)</f>
        <v>15.4558</v>
      </c>
      <c r="O907" s="81">
        <f>15.4611 * CHOOSE(CONTROL!$C$32, $C$9, 100%, $E$9)</f>
        <v>15.4611</v>
      </c>
    </row>
    <row r="908" spans="1:15" ht="15" x14ac:dyDescent="0.2">
      <c r="A908" s="16">
        <v>68850</v>
      </c>
      <c r="B908" s="80">
        <f>13.6733 * CHOOSE(CONTROL!$C$32, $C$9, 100%, $E$9)</f>
        <v>13.673299999999999</v>
      </c>
      <c r="C908" s="80">
        <f>13.6733 * CHOOSE(CONTROL!$C$32, $C$9, 100%, $E$9)</f>
        <v>13.673299999999999</v>
      </c>
      <c r="D908" s="80">
        <f>13.6749 * CHOOSE(CONTROL!$C$32, $C$9, 100%, $E$9)</f>
        <v>13.674899999999999</v>
      </c>
      <c r="E908" s="81">
        <f>15.6749 * CHOOSE(CONTROL!$C$32, $C$9, 100%, $E$9)</f>
        <v>15.674899999999999</v>
      </c>
      <c r="F908" s="81">
        <f>15.6749 * CHOOSE(CONTROL!$C$32, $C$9, 100%, $E$9)</f>
        <v>15.674899999999999</v>
      </c>
      <c r="G908" s="81">
        <f>15.6802 * CHOOSE(CONTROL!$C$32, $C$9, 100%, $E$9)</f>
        <v>15.680199999999999</v>
      </c>
      <c r="H908" s="81">
        <f>31.7363 * CHOOSE(CONTROL!$C$32, $C$9, 100%, $E$9)</f>
        <v>31.7363</v>
      </c>
      <c r="I908" s="81">
        <f>31.7415 * CHOOSE(CONTROL!$C$32, $C$9, 100%, $E$9)</f>
        <v>31.741499999999998</v>
      </c>
      <c r="J908" s="81">
        <f>31.7363 * CHOOSE(CONTROL!$C$32, $C$9, 100%, $E$9)</f>
        <v>31.7363</v>
      </c>
      <c r="K908" s="81">
        <f>31.7415 * CHOOSE(CONTROL!$C$32, $C$9, 100%, $E$9)</f>
        <v>31.741499999999998</v>
      </c>
      <c r="L908" s="81">
        <f>15.6749 * CHOOSE(CONTROL!$C$32, $C$9, 100%, $E$9)</f>
        <v>15.674899999999999</v>
      </c>
      <c r="M908" s="81">
        <f>15.6802 * CHOOSE(CONTROL!$C$32, $C$9, 100%, $E$9)</f>
        <v>15.680199999999999</v>
      </c>
      <c r="N908" s="81">
        <f>15.6749 * CHOOSE(CONTROL!$C$32, $C$9, 100%, $E$9)</f>
        <v>15.674899999999999</v>
      </c>
      <c r="O908" s="81">
        <f>15.6802 * CHOOSE(CONTROL!$C$32, $C$9, 100%, $E$9)</f>
        <v>15.680199999999999</v>
      </c>
    </row>
    <row r="909" spans="1:15" ht="15" x14ac:dyDescent="0.2">
      <c r="A909" s="16">
        <v>68881</v>
      </c>
      <c r="B909" s="80">
        <f>13.68 * CHOOSE(CONTROL!$C$32, $C$9, 100%, $E$9)</f>
        <v>13.68</v>
      </c>
      <c r="C909" s="80">
        <f>13.68 * CHOOSE(CONTROL!$C$32, $C$9, 100%, $E$9)</f>
        <v>13.68</v>
      </c>
      <c r="D909" s="80">
        <f>13.6815 * CHOOSE(CONTROL!$C$32, $C$9, 100%, $E$9)</f>
        <v>13.6815</v>
      </c>
      <c r="E909" s="81">
        <f>15.2829 * CHOOSE(CONTROL!$C$32, $C$9, 100%, $E$9)</f>
        <v>15.2829</v>
      </c>
      <c r="F909" s="81">
        <f>15.2829 * CHOOSE(CONTROL!$C$32, $C$9, 100%, $E$9)</f>
        <v>15.2829</v>
      </c>
      <c r="G909" s="81">
        <f>15.2882 * CHOOSE(CONTROL!$C$32, $C$9, 100%, $E$9)</f>
        <v>15.2882</v>
      </c>
      <c r="H909" s="81">
        <f>31.8024 * CHOOSE(CONTROL!$C$32, $C$9, 100%, $E$9)</f>
        <v>31.802399999999999</v>
      </c>
      <c r="I909" s="81">
        <f>31.8077 * CHOOSE(CONTROL!$C$32, $C$9, 100%, $E$9)</f>
        <v>31.807700000000001</v>
      </c>
      <c r="J909" s="81">
        <f>31.8024 * CHOOSE(CONTROL!$C$32, $C$9, 100%, $E$9)</f>
        <v>31.802399999999999</v>
      </c>
      <c r="K909" s="81">
        <f>31.8077 * CHOOSE(CONTROL!$C$32, $C$9, 100%, $E$9)</f>
        <v>31.807700000000001</v>
      </c>
      <c r="L909" s="81">
        <f>15.2829 * CHOOSE(CONTROL!$C$32, $C$9, 100%, $E$9)</f>
        <v>15.2829</v>
      </c>
      <c r="M909" s="81">
        <f>15.2882 * CHOOSE(CONTROL!$C$32, $C$9, 100%, $E$9)</f>
        <v>15.2882</v>
      </c>
      <c r="N909" s="81">
        <f>15.2829 * CHOOSE(CONTROL!$C$32, $C$9, 100%, $E$9)</f>
        <v>15.2829</v>
      </c>
      <c r="O909" s="81">
        <f>15.2882 * CHOOSE(CONTROL!$C$32, $C$9, 100%, $E$9)</f>
        <v>15.2882</v>
      </c>
    </row>
    <row r="910" spans="1:15" ht="15" x14ac:dyDescent="0.2">
      <c r="A910" s="16">
        <v>68912</v>
      </c>
      <c r="B910" s="80">
        <f>13.6769 * CHOOSE(CONTROL!$C$32, $C$9, 100%, $E$9)</f>
        <v>13.6769</v>
      </c>
      <c r="C910" s="80">
        <f>13.6769 * CHOOSE(CONTROL!$C$32, $C$9, 100%, $E$9)</f>
        <v>13.6769</v>
      </c>
      <c r="D910" s="80">
        <f>13.6785 * CHOOSE(CONTROL!$C$32, $C$9, 100%, $E$9)</f>
        <v>13.6785</v>
      </c>
      <c r="E910" s="81">
        <f>15.2368 * CHOOSE(CONTROL!$C$32, $C$9, 100%, $E$9)</f>
        <v>15.236800000000001</v>
      </c>
      <c r="F910" s="81">
        <f>15.2368 * CHOOSE(CONTROL!$C$32, $C$9, 100%, $E$9)</f>
        <v>15.236800000000001</v>
      </c>
      <c r="G910" s="81">
        <f>15.2421 * CHOOSE(CONTROL!$C$32, $C$9, 100%, $E$9)</f>
        <v>15.242100000000001</v>
      </c>
      <c r="H910" s="81">
        <f>31.8686 * CHOOSE(CONTROL!$C$32, $C$9, 100%, $E$9)</f>
        <v>31.868600000000001</v>
      </c>
      <c r="I910" s="81">
        <f>31.8739 * CHOOSE(CONTROL!$C$32, $C$9, 100%, $E$9)</f>
        <v>31.873899999999999</v>
      </c>
      <c r="J910" s="81">
        <f>31.8686 * CHOOSE(CONTROL!$C$32, $C$9, 100%, $E$9)</f>
        <v>31.868600000000001</v>
      </c>
      <c r="K910" s="81">
        <f>31.8739 * CHOOSE(CONTROL!$C$32, $C$9, 100%, $E$9)</f>
        <v>31.873899999999999</v>
      </c>
      <c r="L910" s="81">
        <f>15.2368 * CHOOSE(CONTROL!$C$32, $C$9, 100%, $E$9)</f>
        <v>15.236800000000001</v>
      </c>
      <c r="M910" s="81">
        <f>15.2421 * CHOOSE(CONTROL!$C$32, $C$9, 100%, $E$9)</f>
        <v>15.242100000000001</v>
      </c>
      <c r="N910" s="81">
        <f>15.2368 * CHOOSE(CONTROL!$C$32, $C$9, 100%, $E$9)</f>
        <v>15.236800000000001</v>
      </c>
      <c r="O910" s="81">
        <f>15.2421 * CHOOSE(CONTROL!$C$32, $C$9, 100%, $E$9)</f>
        <v>15.242100000000001</v>
      </c>
    </row>
    <row r="911" spans="1:15" ht="15" x14ac:dyDescent="0.2">
      <c r="A911" s="16">
        <v>68942</v>
      </c>
      <c r="B911" s="80">
        <f>13.7082 * CHOOSE(CONTROL!$C$32, $C$9, 100%, $E$9)</f>
        <v>13.7082</v>
      </c>
      <c r="C911" s="80">
        <f>13.7082 * CHOOSE(CONTROL!$C$32, $C$9, 100%, $E$9)</f>
        <v>13.7082</v>
      </c>
      <c r="D911" s="80">
        <f>13.7092 * CHOOSE(CONTROL!$C$32, $C$9, 100%, $E$9)</f>
        <v>13.709199999999999</v>
      </c>
      <c r="E911" s="81">
        <f>15.3996 * CHOOSE(CONTROL!$C$32, $C$9, 100%, $E$9)</f>
        <v>15.3996</v>
      </c>
      <c r="F911" s="81">
        <f>15.3996 * CHOOSE(CONTROL!$C$32, $C$9, 100%, $E$9)</f>
        <v>15.3996</v>
      </c>
      <c r="G911" s="81">
        <f>15.4032 * CHOOSE(CONTROL!$C$32, $C$9, 100%, $E$9)</f>
        <v>15.4032</v>
      </c>
      <c r="H911" s="81">
        <f>31.935 * CHOOSE(CONTROL!$C$32, $C$9, 100%, $E$9)</f>
        <v>31.934999999999999</v>
      </c>
      <c r="I911" s="81">
        <f>31.9386 * CHOOSE(CONTROL!$C$32, $C$9, 100%, $E$9)</f>
        <v>31.938600000000001</v>
      </c>
      <c r="J911" s="81">
        <f>31.935 * CHOOSE(CONTROL!$C$32, $C$9, 100%, $E$9)</f>
        <v>31.934999999999999</v>
      </c>
      <c r="K911" s="81">
        <f>31.9386 * CHOOSE(CONTROL!$C$32, $C$9, 100%, $E$9)</f>
        <v>31.938600000000001</v>
      </c>
      <c r="L911" s="81">
        <f>15.3996 * CHOOSE(CONTROL!$C$32, $C$9, 100%, $E$9)</f>
        <v>15.3996</v>
      </c>
      <c r="M911" s="81">
        <f>15.4032 * CHOOSE(CONTROL!$C$32, $C$9, 100%, $E$9)</f>
        <v>15.4032</v>
      </c>
      <c r="N911" s="81">
        <f>15.3996 * CHOOSE(CONTROL!$C$32, $C$9, 100%, $E$9)</f>
        <v>15.3996</v>
      </c>
      <c r="O911" s="81">
        <f>15.4032 * CHOOSE(CONTROL!$C$32, $C$9, 100%, $E$9)</f>
        <v>15.4032</v>
      </c>
    </row>
    <row r="912" spans="1:15" ht="15" x14ac:dyDescent="0.2">
      <c r="A912" s="16">
        <v>68973</v>
      </c>
      <c r="B912" s="80">
        <f>13.7112 * CHOOSE(CONTROL!$C$32, $C$9, 100%, $E$9)</f>
        <v>13.7112</v>
      </c>
      <c r="C912" s="80">
        <f>13.7112 * CHOOSE(CONTROL!$C$32, $C$9, 100%, $E$9)</f>
        <v>13.7112</v>
      </c>
      <c r="D912" s="80">
        <f>13.7123 * CHOOSE(CONTROL!$C$32, $C$9, 100%, $E$9)</f>
        <v>13.712300000000001</v>
      </c>
      <c r="E912" s="81">
        <f>15.4899 * CHOOSE(CONTROL!$C$32, $C$9, 100%, $E$9)</f>
        <v>15.4899</v>
      </c>
      <c r="F912" s="81">
        <f>15.4899 * CHOOSE(CONTROL!$C$32, $C$9, 100%, $E$9)</f>
        <v>15.4899</v>
      </c>
      <c r="G912" s="81">
        <f>15.4935 * CHOOSE(CONTROL!$C$32, $C$9, 100%, $E$9)</f>
        <v>15.493499999999999</v>
      </c>
      <c r="H912" s="81">
        <f>32.0015 * CHOOSE(CONTROL!$C$32, $C$9, 100%, $E$9)</f>
        <v>32.0015</v>
      </c>
      <c r="I912" s="81">
        <f>32.0052 * CHOOSE(CONTROL!$C$32, $C$9, 100%, $E$9)</f>
        <v>32.005200000000002</v>
      </c>
      <c r="J912" s="81">
        <f>32.0015 * CHOOSE(CONTROL!$C$32, $C$9, 100%, $E$9)</f>
        <v>32.0015</v>
      </c>
      <c r="K912" s="81">
        <f>32.0052 * CHOOSE(CONTROL!$C$32, $C$9, 100%, $E$9)</f>
        <v>32.005200000000002</v>
      </c>
      <c r="L912" s="81">
        <f>15.4899 * CHOOSE(CONTROL!$C$32, $C$9, 100%, $E$9)</f>
        <v>15.4899</v>
      </c>
      <c r="M912" s="81">
        <f>15.4935 * CHOOSE(CONTROL!$C$32, $C$9, 100%, $E$9)</f>
        <v>15.493499999999999</v>
      </c>
      <c r="N912" s="81">
        <f>15.4899 * CHOOSE(CONTROL!$C$32, $C$9, 100%, $E$9)</f>
        <v>15.4899</v>
      </c>
      <c r="O912" s="81">
        <f>15.4935 * CHOOSE(CONTROL!$C$32, $C$9, 100%, $E$9)</f>
        <v>15.493499999999999</v>
      </c>
    </row>
    <row r="913" spans="1:15" ht="15" x14ac:dyDescent="0.2">
      <c r="A913" s="16">
        <v>69003</v>
      </c>
      <c r="B913" s="80">
        <f>13.7112 * CHOOSE(CONTROL!$C$32, $C$9, 100%, $E$9)</f>
        <v>13.7112</v>
      </c>
      <c r="C913" s="80">
        <f>13.7112 * CHOOSE(CONTROL!$C$32, $C$9, 100%, $E$9)</f>
        <v>13.7112</v>
      </c>
      <c r="D913" s="80">
        <f>13.7123 * CHOOSE(CONTROL!$C$32, $C$9, 100%, $E$9)</f>
        <v>13.712300000000001</v>
      </c>
      <c r="E913" s="81">
        <f>15.2695 * CHOOSE(CONTROL!$C$32, $C$9, 100%, $E$9)</f>
        <v>15.269500000000001</v>
      </c>
      <c r="F913" s="81">
        <f>15.2695 * CHOOSE(CONTROL!$C$32, $C$9, 100%, $E$9)</f>
        <v>15.269500000000001</v>
      </c>
      <c r="G913" s="81">
        <f>15.2731 * CHOOSE(CONTROL!$C$32, $C$9, 100%, $E$9)</f>
        <v>15.273099999999999</v>
      </c>
      <c r="H913" s="81">
        <f>32.0682 * CHOOSE(CONTROL!$C$32, $C$9, 100%, $E$9)</f>
        <v>32.068199999999997</v>
      </c>
      <c r="I913" s="81">
        <f>32.0718 * CHOOSE(CONTROL!$C$32, $C$9, 100%, $E$9)</f>
        <v>32.071800000000003</v>
      </c>
      <c r="J913" s="81">
        <f>32.0682 * CHOOSE(CONTROL!$C$32, $C$9, 100%, $E$9)</f>
        <v>32.068199999999997</v>
      </c>
      <c r="K913" s="81">
        <f>32.0718 * CHOOSE(CONTROL!$C$32, $C$9, 100%, $E$9)</f>
        <v>32.071800000000003</v>
      </c>
      <c r="L913" s="81">
        <f>15.2695 * CHOOSE(CONTROL!$C$32, $C$9, 100%, $E$9)</f>
        <v>15.269500000000001</v>
      </c>
      <c r="M913" s="81">
        <f>15.2731 * CHOOSE(CONTROL!$C$32, $C$9, 100%, $E$9)</f>
        <v>15.273099999999999</v>
      </c>
      <c r="N913" s="81">
        <f>15.2695 * CHOOSE(CONTROL!$C$32, $C$9, 100%, $E$9)</f>
        <v>15.269500000000001</v>
      </c>
      <c r="O913" s="81">
        <f>15.2731 * CHOOSE(CONTROL!$C$32, $C$9, 100%, $E$9)</f>
        <v>15.273099999999999</v>
      </c>
    </row>
    <row r="914" spans="1:15" ht="15" x14ac:dyDescent="0.2">
      <c r="A914" s="16">
        <v>69034</v>
      </c>
      <c r="B914" s="80">
        <f>13.6909 * CHOOSE(CONTROL!$C$32, $C$9, 100%, $E$9)</f>
        <v>13.690899999999999</v>
      </c>
      <c r="C914" s="80">
        <f>13.6909 * CHOOSE(CONTROL!$C$32, $C$9, 100%, $E$9)</f>
        <v>13.690899999999999</v>
      </c>
      <c r="D914" s="80">
        <f>13.6919 * CHOOSE(CONTROL!$C$32, $C$9, 100%, $E$9)</f>
        <v>13.6919</v>
      </c>
      <c r="E914" s="81">
        <f>15.4081 * CHOOSE(CONTROL!$C$32, $C$9, 100%, $E$9)</f>
        <v>15.408099999999999</v>
      </c>
      <c r="F914" s="81">
        <f>15.4081 * CHOOSE(CONTROL!$C$32, $C$9, 100%, $E$9)</f>
        <v>15.408099999999999</v>
      </c>
      <c r="G914" s="81">
        <f>15.4117 * CHOOSE(CONTROL!$C$32, $C$9, 100%, $E$9)</f>
        <v>15.4117</v>
      </c>
      <c r="H914" s="81">
        <f>31.8065 * CHOOSE(CONTROL!$C$32, $C$9, 100%, $E$9)</f>
        <v>31.8065</v>
      </c>
      <c r="I914" s="81">
        <f>31.8101 * CHOOSE(CONTROL!$C$32, $C$9, 100%, $E$9)</f>
        <v>31.810099999999998</v>
      </c>
      <c r="J914" s="81">
        <f>31.8065 * CHOOSE(CONTROL!$C$32, $C$9, 100%, $E$9)</f>
        <v>31.8065</v>
      </c>
      <c r="K914" s="81">
        <f>31.8101 * CHOOSE(CONTROL!$C$32, $C$9, 100%, $E$9)</f>
        <v>31.810099999999998</v>
      </c>
      <c r="L914" s="81">
        <f>15.4081 * CHOOSE(CONTROL!$C$32, $C$9, 100%, $E$9)</f>
        <v>15.408099999999999</v>
      </c>
      <c r="M914" s="81">
        <f>15.4117 * CHOOSE(CONTROL!$C$32, $C$9, 100%, $E$9)</f>
        <v>15.4117</v>
      </c>
      <c r="N914" s="81">
        <f>15.4081 * CHOOSE(CONTROL!$C$32, $C$9, 100%, $E$9)</f>
        <v>15.408099999999999</v>
      </c>
      <c r="O914" s="81">
        <f>15.4117 * CHOOSE(CONTROL!$C$32, $C$9, 100%, $E$9)</f>
        <v>15.4117</v>
      </c>
    </row>
    <row r="915" spans="1:15" ht="15" x14ac:dyDescent="0.2">
      <c r="A915" s="16">
        <v>69065</v>
      </c>
      <c r="B915" s="80">
        <f>13.6878 * CHOOSE(CONTROL!$C$32, $C$9, 100%, $E$9)</f>
        <v>13.687799999999999</v>
      </c>
      <c r="C915" s="80">
        <f>13.6878 * CHOOSE(CONTROL!$C$32, $C$9, 100%, $E$9)</f>
        <v>13.687799999999999</v>
      </c>
      <c r="D915" s="80">
        <f>13.6889 * CHOOSE(CONTROL!$C$32, $C$9, 100%, $E$9)</f>
        <v>13.6889</v>
      </c>
      <c r="E915" s="81">
        <f>14.9824 * CHOOSE(CONTROL!$C$32, $C$9, 100%, $E$9)</f>
        <v>14.9824</v>
      </c>
      <c r="F915" s="81">
        <f>14.9824 * CHOOSE(CONTROL!$C$32, $C$9, 100%, $E$9)</f>
        <v>14.9824</v>
      </c>
      <c r="G915" s="81">
        <f>14.9861 * CHOOSE(CONTROL!$C$32, $C$9, 100%, $E$9)</f>
        <v>14.9861</v>
      </c>
      <c r="H915" s="81">
        <f>31.8727 * CHOOSE(CONTROL!$C$32, $C$9, 100%, $E$9)</f>
        <v>31.872699999999998</v>
      </c>
      <c r="I915" s="81">
        <f>31.8763 * CHOOSE(CONTROL!$C$32, $C$9, 100%, $E$9)</f>
        <v>31.876300000000001</v>
      </c>
      <c r="J915" s="81">
        <f>31.8727 * CHOOSE(CONTROL!$C$32, $C$9, 100%, $E$9)</f>
        <v>31.872699999999998</v>
      </c>
      <c r="K915" s="81">
        <f>31.8763 * CHOOSE(CONTROL!$C$32, $C$9, 100%, $E$9)</f>
        <v>31.876300000000001</v>
      </c>
      <c r="L915" s="81">
        <f>14.9824 * CHOOSE(CONTROL!$C$32, $C$9, 100%, $E$9)</f>
        <v>14.9824</v>
      </c>
      <c r="M915" s="81">
        <f>14.9861 * CHOOSE(CONTROL!$C$32, $C$9, 100%, $E$9)</f>
        <v>14.9861</v>
      </c>
      <c r="N915" s="81">
        <f>14.9824 * CHOOSE(CONTROL!$C$32, $C$9, 100%, $E$9)</f>
        <v>14.9824</v>
      </c>
      <c r="O915" s="81">
        <f>14.9861 * CHOOSE(CONTROL!$C$32, $C$9, 100%, $E$9)</f>
        <v>14.9861</v>
      </c>
    </row>
    <row r="916" spans="1:15" ht="15" x14ac:dyDescent="0.2">
      <c r="A916" s="16">
        <v>69093</v>
      </c>
      <c r="B916" s="80">
        <f>13.6848 * CHOOSE(CONTROL!$C$32, $C$9, 100%, $E$9)</f>
        <v>13.684799999999999</v>
      </c>
      <c r="C916" s="80">
        <f>13.6848 * CHOOSE(CONTROL!$C$32, $C$9, 100%, $E$9)</f>
        <v>13.684799999999999</v>
      </c>
      <c r="D916" s="80">
        <f>13.6859 * CHOOSE(CONTROL!$C$32, $C$9, 100%, $E$9)</f>
        <v>13.6859</v>
      </c>
      <c r="E916" s="81">
        <f>15.3142 * CHOOSE(CONTROL!$C$32, $C$9, 100%, $E$9)</f>
        <v>15.3142</v>
      </c>
      <c r="F916" s="81">
        <f>15.3142 * CHOOSE(CONTROL!$C$32, $C$9, 100%, $E$9)</f>
        <v>15.3142</v>
      </c>
      <c r="G916" s="81">
        <f>15.3178 * CHOOSE(CONTROL!$C$32, $C$9, 100%, $E$9)</f>
        <v>15.3178</v>
      </c>
      <c r="H916" s="81">
        <f>31.9391 * CHOOSE(CONTROL!$C$32, $C$9, 100%, $E$9)</f>
        <v>31.9391</v>
      </c>
      <c r="I916" s="81">
        <f>31.9427 * CHOOSE(CONTROL!$C$32, $C$9, 100%, $E$9)</f>
        <v>31.942699999999999</v>
      </c>
      <c r="J916" s="81">
        <f>31.9391 * CHOOSE(CONTROL!$C$32, $C$9, 100%, $E$9)</f>
        <v>31.9391</v>
      </c>
      <c r="K916" s="81">
        <f>31.9427 * CHOOSE(CONTROL!$C$32, $C$9, 100%, $E$9)</f>
        <v>31.942699999999999</v>
      </c>
      <c r="L916" s="81">
        <f>15.3142 * CHOOSE(CONTROL!$C$32, $C$9, 100%, $E$9)</f>
        <v>15.3142</v>
      </c>
      <c r="M916" s="81">
        <f>15.3178 * CHOOSE(CONTROL!$C$32, $C$9, 100%, $E$9)</f>
        <v>15.3178</v>
      </c>
      <c r="N916" s="81">
        <f>15.3142 * CHOOSE(CONTROL!$C$32, $C$9, 100%, $E$9)</f>
        <v>15.3142</v>
      </c>
      <c r="O916" s="81">
        <f>15.3178 * CHOOSE(CONTROL!$C$32, $C$9, 100%, $E$9)</f>
        <v>15.3178</v>
      </c>
    </row>
    <row r="917" spans="1:15" ht="15" x14ac:dyDescent="0.2">
      <c r="A917" s="16">
        <v>69124</v>
      </c>
      <c r="B917" s="80">
        <f>13.6919 * CHOOSE(CONTROL!$C$32, $C$9, 100%, $E$9)</f>
        <v>13.6919</v>
      </c>
      <c r="C917" s="80">
        <f>13.6919 * CHOOSE(CONTROL!$C$32, $C$9, 100%, $E$9)</f>
        <v>13.6919</v>
      </c>
      <c r="D917" s="80">
        <f>13.6929 * CHOOSE(CONTROL!$C$32, $C$9, 100%, $E$9)</f>
        <v>13.6929</v>
      </c>
      <c r="E917" s="81">
        <f>15.6686 * CHOOSE(CONTROL!$C$32, $C$9, 100%, $E$9)</f>
        <v>15.6686</v>
      </c>
      <c r="F917" s="81">
        <f>15.6686 * CHOOSE(CONTROL!$C$32, $C$9, 100%, $E$9)</f>
        <v>15.6686</v>
      </c>
      <c r="G917" s="81">
        <f>15.6722 * CHOOSE(CONTROL!$C$32, $C$9, 100%, $E$9)</f>
        <v>15.6722</v>
      </c>
      <c r="H917" s="81">
        <f>32.0057 * CHOOSE(CONTROL!$C$32, $C$9, 100%, $E$9)</f>
        <v>32.005699999999997</v>
      </c>
      <c r="I917" s="81">
        <f>32.0093 * CHOOSE(CONTROL!$C$32, $C$9, 100%, $E$9)</f>
        <v>32.009300000000003</v>
      </c>
      <c r="J917" s="81">
        <f>32.0057 * CHOOSE(CONTROL!$C$32, $C$9, 100%, $E$9)</f>
        <v>32.005699999999997</v>
      </c>
      <c r="K917" s="81">
        <f>32.0093 * CHOOSE(CONTROL!$C$32, $C$9, 100%, $E$9)</f>
        <v>32.009300000000003</v>
      </c>
      <c r="L917" s="81">
        <f>15.6686 * CHOOSE(CONTROL!$C$32, $C$9, 100%, $E$9)</f>
        <v>15.6686</v>
      </c>
      <c r="M917" s="81">
        <f>15.6722 * CHOOSE(CONTROL!$C$32, $C$9, 100%, $E$9)</f>
        <v>15.6722</v>
      </c>
      <c r="N917" s="81">
        <f>15.6686 * CHOOSE(CONTROL!$C$32, $C$9, 100%, $E$9)</f>
        <v>15.6686</v>
      </c>
      <c r="O917" s="81">
        <f>15.6722 * CHOOSE(CONTROL!$C$32, $C$9, 100%, $E$9)</f>
        <v>15.6722</v>
      </c>
    </row>
    <row r="918" spans="1:15" ht="15" x14ac:dyDescent="0.2">
      <c r="A918" s="16">
        <v>69154</v>
      </c>
      <c r="B918" s="80">
        <f>13.6919 * CHOOSE(CONTROL!$C$32, $C$9, 100%, $E$9)</f>
        <v>13.6919</v>
      </c>
      <c r="C918" s="80">
        <f>13.6919 * CHOOSE(CONTROL!$C$32, $C$9, 100%, $E$9)</f>
        <v>13.6919</v>
      </c>
      <c r="D918" s="80">
        <f>13.6934 * CHOOSE(CONTROL!$C$32, $C$9, 100%, $E$9)</f>
        <v>13.6934</v>
      </c>
      <c r="E918" s="81">
        <f>15.803 * CHOOSE(CONTROL!$C$32, $C$9, 100%, $E$9)</f>
        <v>15.803000000000001</v>
      </c>
      <c r="F918" s="81">
        <f>15.803 * CHOOSE(CONTROL!$C$32, $C$9, 100%, $E$9)</f>
        <v>15.803000000000001</v>
      </c>
      <c r="G918" s="81">
        <f>15.8083 * CHOOSE(CONTROL!$C$32, $C$9, 100%, $E$9)</f>
        <v>15.808299999999999</v>
      </c>
      <c r="H918" s="81">
        <f>32.0723 * CHOOSE(CONTROL!$C$32, $C$9, 100%, $E$9)</f>
        <v>32.072299999999998</v>
      </c>
      <c r="I918" s="81">
        <f>32.0776 * CHOOSE(CONTROL!$C$32, $C$9, 100%, $E$9)</f>
        <v>32.077599999999997</v>
      </c>
      <c r="J918" s="81">
        <f>32.0723 * CHOOSE(CONTROL!$C$32, $C$9, 100%, $E$9)</f>
        <v>32.072299999999998</v>
      </c>
      <c r="K918" s="81">
        <f>32.0776 * CHOOSE(CONTROL!$C$32, $C$9, 100%, $E$9)</f>
        <v>32.077599999999997</v>
      </c>
      <c r="L918" s="81">
        <f>15.803 * CHOOSE(CONTROL!$C$32, $C$9, 100%, $E$9)</f>
        <v>15.803000000000001</v>
      </c>
      <c r="M918" s="81">
        <f>15.8083 * CHOOSE(CONTROL!$C$32, $C$9, 100%, $E$9)</f>
        <v>15.808299999999999</v>
      </c>
      <c r="N918" s="81">
        <f>15.803 * CHOOSE(CONTROL!$C$32, $C$9, 100%, $E$9)</f>
        <v>15.803000000000001</v>
      </c>
      <c r="O918" s="81">
        <f>15.8083 * CHOOSE(CONTROL!$C$32, $C$9, 100%, $E$9)</f>
        <v>15.808299999999999</v>
      </c>
    </row>
    <row r="919" spans="1:15" ht="15" x14ac:dyDescent="0.2">
      <c r="A919" s="16">
        <v>69185</v>
      </c>
      <c r="B919" s="80">
        <f>13.6979 * CHOOSE(CONTROL!$C$32, $C$9, 100%, $E$9)</f>
        <v>13.697900000000001</v>
      </c>
      <c r="C919" s="80">
        <f>13.6979 * CHOOSE(CONTROL!$C$32, $C$9, 100%, $E$9)</f>
        <v>13.697900000000001</v>
      </c>
      <c r="D919" s="80">
        <f>13.6995 * CHOOSE(CONTROL!$C$32, $C$9, 100%, $E$9)</f>
        <v>13.6995</v>
      </c>
      <c r="E919" s="81">
        <f>15.6728 * CHOOSE(CONTROL!$C$32, $C$9, 100%, $E$9)</f>
        <v>15.672800000000001</v>
      </c>
      <c r="F919" s="81">
        <f>15.6728 * CHOOSE(CONTROL!$C$32, $C$9, 100%, $E$9)</f>
        <v>15.672800000000001</v>
      </c>
      <c r="G919" s="81">
        <f>15.6781 * CHOOSE(CONTROL!$C$32, $C$9, 100%, $E$9)</f>
        <v>15.678100000000001</v>
      </c>
      <c r="H919" s="81">
        <f>32.1392 * CHOOSE(CONTROL!$C$32, $C$9, 100%, $E$9)</f>
        <v>32.139200000000002</v>
      </c>
      <c r="I919" s="81">
        <f>32.1445 * CHOOSE(CONTROL!$C$32, $C$9, 100%, $E$9)</f>
        <v>32.144500000000001</v>
      </c>
      <c r="J919" s="81">
        <f>32.1392 * CHOOSE(CONTROL!$C$32, $C$9, 100%, $E$9)</f>
        <v>32.139200000000002</v>
      </c>
      <c r="K919" s="81">
        <f>32.1445 * CHOOSE(CONTROL!$C$32, $C$9, 100%, $E$9)</f>
        <v>32.144500000000001</v>
      </c>
      <c r="L919" s="81">
        <f>15.6728 * CHOOSE(CONTROL!$C$32, $C$9, 100%, $E$9)</f>
        <v>15.672800000000001</v>
      </c>
      <c r="M919" s="81">
        <f>15.6781 * CHOOSE(CONTROL!$C$32, $C$9, 100%, $E$9)</f>
        <v>15.678100000000001</v>
      </c>
      <c r="N919" s="81">
        <f>15.6728 * CHOOSE(CONTROL!$C$32, $C$9, 100%, $E$9)</f>
        <v>15.672800000000001</v>
      </c>
      <c r="O919" s="81">
        <f>15.6781 * CHOOSE(CONTROL!$C$32, $C$9, 100%, $E$9)</f>
        <v>15.678100000000001</v>
      </c>
    </row>
    <row r="920" spans="1:15" ht="15" x14ac:dyDescent="0.2">
      <c r="A920" s="16">
        <v>69215</v>
      </c>
      <c r="B920" s="80">
        <f>13.8629 * CHOOSE(CONTROL!$C$32, $C$9, 100%, $E$9)</f>
        <v>13.8629</v>
      </c>
      <c r="C920" s="80">
        <f>13.8629 * CHOOSE(CONTROL!$C$32, $C$9, 100%, $E$9)</f>
        <v>13.8629</v>
      </c>
      <c r="D920" s="80">
        <f>13.8644 * CHOOSE(CONTROL!$C$32, $C$9, 100%, $E$9)</f>
        <v>13.8644</v>
      </c>
      <c r="E920" s="81">
        <f>15.8951 * CHOOSE(CONTROL!$C$32, $C$9, 100%, $E$9)</f>
        <v>15.895099999999999</v>
      </c>
      <c r="F920" s="81">
        <f>15.8951 * CHOOSE(CONTROL!$C$32, $C$9, 100%, $E$9)</f>
        <v>15.895099999999999</v>
      </c>
      <c r="G920" s="81">
        <f>15.9004 * CHOOSE(CONTROL!$C$32, $C$9, 100%, $E$9)</f>
        <v>15.900399999999999</v>
      </c>
      <c r="H920" s="81">
        <f>32.2061 * CHOOSE(CONTROL!$C$32, $C$9, 100%, $E$9)</f>
        <v>32.206099999999999</v>
      </c>
      <c r="I920" s="81">
        <f>32.2114 * CHOOSE(CONTROL!$C$32, $C$9, 100%, $E$9)</f>
        <v>32.211399999999998</v>
      </c>
      <c r="J920" s="81">
        <f>32.2061 * CHOOSE(CONTROL!$C$32, $C$9, 100%, $E$9)</f>
        <v>32.206099999999999</v>
      </c>
      <c r="K920" s="81">
        <f>32.2114 * CHOOSE(CONTROL!$C$32, $C$9, 100%, $E$9)</f>
        <v>32.211399999999998</v>
      </c>
      <c r="L920" s="81">
        <f>15.8951 * CHOOSE(CONTROL!$C$32, $C$9, 100%, $E$9)</f>
        <v>15.895099999999999</v>
      </c>
      <c r="M920" s="81">
        <f>15.9004 * CHOOSE(CONTROL!$C$32, $C$9, 100%, $E$9)</f>
        <v>15.900399999999999</v>
      </c>
      <c r="N920" s="81">
        <f>15.8951 * CHOOSE(CONTROL!$C$32, $C$9, 100%, $E$9)</f>
        <v>15.895099999999999</v>
      </c>
      <c r="O920" s="81">
        <f>15.9004 * CHOOSE(CONTROL!$C$32, $C$9, 100%, $E$9)</f>
        <v>15.900399999999999</v>
      </c>
    </row>
    <row r="921" spans="1:15" ht="15" x14ac:dyDescent="0.2">
      <c r="A921" s="16">
        <v>69246</v>
      </c>
      <c r="B921" s="80">
        <f>13.8696 * CHOOSE(CONTROL!$C$32, $C$9, 100%, $E$9)</f>
        <v>13.8696</v>
      </c>
      <c r="C921" s="80">
        <f>13.8696 * CHOOSE(CONTROL!$C$32, $C$9, 100%, $E$9)</f>
        <v>13.8696</v>
      </c>
      <c r="D921" s="80">
        <f>13.8711 * CHOOSE(CONTROL!$C$32, $C$9, 100%, $E$9)</f>
        <v>13.8711</v>
      </c>
      <c r="E921" s="81">
        <f>15.4964 * CHOOSE(CONTROL!$C$32, $C$9, 100%, $E$9)</f>
        <v>15.4964</v>
      </c>
      <c r="F921" s="81">
        <f>15.4964 * CHOOSE(CONTROL!$C$32, $C$9, 100%, $E$9)</f>
        <v>15.4964</v>
      </c>
      <c r="G921" s="81">
        <f>15.5017 * CHOOSE(CONTROL!$C$32, $C$9, 100%, $E$9)</f>
        <v>15.5017</v>
      </c>
      <c r="H921" s="81">
        <f>32.2732 * CHOOSE(CONTROL!$C$32, $C$9, 100%, $E$9)</f>
        <v>32.273200000000003</v>
      </c>
      <c r="I921" s="81">
        <f>32.2785 * CHOOSE(CONTROL!$C$32, $C$9, 100%, $E$9)</f>
        <v>32.278500000000001</v>
      </c>
      <c r="J921" s="81">
        <f>32.2732 * CHOOSE(CONTROL!$C$32, $C$9, 100%, $E$9)</f>
        <v>32.273200000000003</v>
      </c>
      <c r="K921" s="81">
        <f>32.2785 * CHOOSE(CONTROL!$C$32, $C$9, 100%, $E$9)</f>
        <v>32.278500000000001</v>
      </c>
      <c r="L921" s="81">
        <f>15.4964 * CHOOSE(CONTROL!$C$32, $C$9, 100%, $E$9)</f>
        <v>15.4964</v>
      </c>
      <c r="M921" s="81">
        <f>15.5017 * CHOOSE(CONTROL!$C$32, $C$9, 100%, $E$9)</f>
        <v>15.5017</v>
      </c>
      <c r="N921" s="81">
        <f>15.4964 * CHOOSE(CONTROL!$C$32, $C$9, 100%, $E$9)</f>
        <v>15.4964</v>
      </c>
      <c r="O921" s="81">
        <f>15.5017 * CHOOSE(CONTROL!$C$32, $C$9, 100%, $E$9)</f>
        <v>15.5017</v>
      </c>
    </row>
    <row r="922" spans="1:15" ht="15" x14ac:dyDescent="0.2">
      <c r="A922" s="16">
        <v>69277</v>
      </c>
      <c r="B922" s="80">
        <f>13.8665 * CHOOSE(CONTROL!$C$32, $C$9, 100%, $E$9)</f>
        <v>13.8665</v>
      </c>
      <c r="C922" s="80">
        <f>13.8665 * CHOOSE(CONTROL!$C$32, $C$9, 100%, $E$9)</f>
        <v>13.8665</v>
      </c>
      <c r="D922" s="80">
        <f>13.8681 * CHOOSE(CONTROL!$C$32, $C$9, 100%, $E$9)</f>
        <v>13.8681</v>
      </c>
      <c r="E922" s="81">
        <f>15.4494 * CHOOSE(CONTROL!$C$32, $C$9, 100%, $E$9)</f>
        <v>15.449400000000001</v>
      </c>
      <c r="F922" s="81">
        <f>15.4494 * CHOOSE(CONTROL!$C$32, $C$9, 100%, $E$9)</f>
        <v>15.449400000000001</v>
      </c>
      <c r="G922" s="81">
        <f>15.4547 * CHOOSE(CONTROL!$C$32, $C$9, 100%, $E$9)</f>
        <v>15.454700000000001</v>
      </c>
      <c r="H922" s="81">
        <f>32.3404 * CHOOSE(CONTROL!$C$32, $C$9, 100%, $E$9)</f>
        <v>32.340400000000002</v>
      </c>
      <c r="I922" s="81">
        <f>32.3457 * CHOOSE(CONTROL!$C$32, $C$9, 100%, $E$9)</f>
        <v>32.345700000000001</v>
      </c>
      <c r="J922" s="81">
        <f>32.3404 * CHOOSE(CONTROL!$C$32, $C$9, 100%, $E$9)</f>
        <v>32.340400000000002</v>
      </c>
      <c r="K922" s="81">
        <f>32.3457 * CHOOSE(CONTROL!$C$32, $C$9, 100%, $E$9)</f>
        <v>32.345700000000001</v>
      </c>
      <c r="L922" s="81">
        <f>15.4494 * CHOOSE(CONTROL!$C$32, $C$9, 100%, $E$9)</f>
        <v>15.449400000000001</v>
      </c>
      <c r="M922" s="81">
        <f>15.4547 * CHOOSE(CONTROL!$C$32, $C$9, 100%, $E$9)</f>
        <v>15.454700000000001</v>
      </c>
      <c r="N922" s="81">
        <f>15.4494 * CHOOSE(CONTROL!$C$32, $C$9, 100%, $E$9)</f>
        <v>15.449400000000001</v>
      </c>
      <c r="O922" s="81">
        <f>15.4547 * CHOOSE(CONTROL!$C$32, $C$9, 100%, $E$9)</f>
        <v>15.454700000000001</v>
      </c>
    </row>
    <row r="923" spans="1:15" ht="15" x14ac:dyDescent="0.2">
      <c r="A923" s="16">
        <v>69307</v>
      </c>
      <c r="B923" s="80">
        <f>13.8985 * CHOOSE(CONTROL!$C$32, $C$9, 100%, $E$9)</f>
        <v>13.8985</v>
      </c>
      <c r="C923" s="80">
        <f>13.8985 * CHOOSE(CONTROL!$C$32, $C$9, 100%, $E$9)</f>
        <v>13.8985</v>
      </c>
      <c r="D923" s="80">
        <f>13.8995 * CHOOSE(CONTROL!$C$32, $C$9, 100%, $E$9)</f>
        <v>13.8995</v>
      </c>
      <c r="E923" s="81">
        <f>15.6153 * CHOOSE(CONTROL!$C$32, $C$9, 100%, $E$9)</f>
        <v>15.6153</v>
      </c>
      <c r="F923" s="81">
        <f>15.6153 * CHOOSE(CONTROL!$C$32, $C$9, 100%, $E$9)</f>
        <v>15.6153</v>
      </c>
      <c r="G923" s="81">
        <f>15.6189 * CHOOSE(CONTROL!$C$32, $C$9, 100%, $E$9)</f>
        <v>15.6189</v>
      </c>
      <c r="H923" s="81">
        <f>32.4078 * CHOOSE(CONTROL!$C$32, $C$9, 100%, $E$9)</f>
        <v>32.407800000000002</v>
      </c>
      <c r="I923" s="81">
        <f>32.4114 * CHOOSE(CONTROL!$C$32, $C$9, 100%, $E$9)</f>
        <v>32.4114</v>
      </c>
      <c r="J923" s="81">
        <f>32.4078 * CHOOSE(CONTROL!$C$32, $C$9, 100%, $E$9)</f>
        <v>32.407800000000002</v>
      </c>
      <c r="K923" s="81">
        <f>32.4114 * CHOOSE(CONTROL!$C$32, $C$9, 100%, $E$9)</f>
        <v>32.4114</v>
      </c>
      <c r="L923" s="81">
        <f>15.6153 * CHOOSE(CONTROL!$C$32, $C$9, 100%, $E$9)</f>
        <v>15.6153</v>
      </c>
      <c r="M923" s="81">
        <f>15.6189 * CHOOSE(CONTROL!$C$32, $C$9, 100%, $E$9)</f>
        <v>15.6189</v>
      </c>
      <c r="N923" s="81">
        <f>15.6153 * CHOOSE(CONTROL!$C$32, $C$9, 100%, $E$9)</f>
        <v>15.6153</v>
      </c>
      <c r="O923" s="81">
        <f>15.6189 * CHOOSE(CONTROL!$C$32, $C$9, 100%, $E$9)</f>
        <v>15.6189</v>
      </c>
    </row>
    <row r="924" spans="1:15" ht="15" x14ac:dyDescent="0.2">
      <c r="A924" s="16">
        <v>69338</v>
      </c>
      <c r="B924" s="80">
        <f>13.9015 * CHOOSE(CONTROL!$C$32, $C$9, 100%, $E$9)</f>
        <v>13.9015</v>
      </c>
      <c r="C924" s="80">
        <f>13.9015 * CHOOSE(CONTROL!$C$32, $C$9, 100%, $E$9)</f>
        <v>13.9015</v>
      </c>
      <c r="D924" s="80">
        <f>13.9026 * CHOOSE(CONTROL!$C$32, $C$9, 100%, $E$9)</f>
        <v>13.9026</v>
      </c>
      <c r="E924" s="81">
        <f>15.7071 * CHOOSE(CONTROL!$C$32, $C$9, 100%, $E$9)</f>
        <v>15.707100000000001</v>
      </c>
      <c r="F924" s="81">
        <f>15.7071 * CHOOSE(CONTROL!$C$32, $C$9, 100%, $E$9)</f>
        <v>15.707100000000001</v>
      </c>
      <c r="G924" s="81">
        <f>15.7107 * CHOOSE(CONTROL!$C$32, $C$9, 100%, $E$9)</f>
        <v>15.710699999999999</v>
      </c>
      <c r="H924" s="81">
        <f>32.4753 * CHOOSE(CONTROL!$C$32, $C$9, 100%, $E$9)</f>
        <v>32.475299999999997</v>
      </c>
      <c r="I924" s="81">
        <f>32.479 * CHOOSE(CONTROL!$C$32, $C$9, 100%, $E$9)</f>
        <v>32.478999999999999</v>
      </c>
      <c r="J924" s="81">
        <f>32.4753 * CHOOSE(CONTROL!$C$32, $C$9, 100%, $E$9)</f>
        <v>32.475299999999997</v>
      </c>
      <c r="K924" s="81">
        <f>32.479 * CHOOSE(CONTROL!$C$32, $C$9, 100%, $E$9)</f>
        <v>32.478999999999999</v>
      </c>
      <c r="L924" s="81">
        <f>15.7071 * CHOOSE(CONTROL!$C$32, $C$9, 100%, $E$9)</f>
        <v>15.707100000000001</v>
      </c>
      <c r="M924" s="81">
        <f>15.7107 * CHOOSE(CONTROL!$C$32, $C$9, 100%, $E$9)</f>
        <v>15.710699999999999</v>
      </c>
      <c r="N924" s="81">
        <f>15.7071 * CHOOSE(CONTROL!$C$32, $C$9, 100%, $E$9)</f>
        <v>15.707100000000001</v>
      </c>
      <c r="O924" s="81">
        <f>15.7107 * CHOOSE(CONTROL!$C$32, $C$9, 100%, $E$9)</f>
        <v>15.710699999999999</v>
      </c>
    </row>
    <row r="925" spans="1:15" ht="15" x14ac:dyDescent="0.2">
      <c r="A925" s="16">
        <v>69368</v>
      </c>
      <c r="B925" s="80">
        <f>13.9015 * CHOOSE(CONTROL!$C$32, $C$9, 100%, $E$9)</f>
        <v>13.9015</v>
      </c>
      <c r="C925" s="80">
        <f>13.9015 * CHOOSE(CONTROL!$C$32, $C$9, 100%, $E$9)</f>
        <v>13.9015</v>
      </c>
      <c r="D925" s="80">
        <f>13.9026 * CHOOSE(CONTROL!$C$32, $C$9, 100%, $E$9)</f>
        <v>13.9026</v>
      </c>
      <c r="E925" s="81">
        <f>15.483 * CHOOSE(CONTROL!$C$32, $C$9, 100%, $E$9)</f>
        <v>15.483000000000001</v>
      </c>
      <c r="F925" s="81">
        <f>15.483 * CHOOSE(CONTROL!$C$32, $C$9, 100%, $E$9)</f>
        <v>15.483000000000001</v>
      </c>
      <c r="G925" s="81">
        <f>15.4866 * CHOOSE(CONTROL!$C$32, $C$9, 100%, $E$9)</f>
        <v>15.486599999999999</v>
      </c>
      <c r="H925" s="81">
        <f>32.543 * CHOOSE(CONTROL!$C$32, $C$9, 100%, $E$9)</f>
        <v>32.542999999999999</v>
      </c>
      <c r="I925" s="81">
        <f>32.5466 * CHOOSE(CONTROL!$C$32, $C$9, 100%, $E$9)</f>
        <v>32.546599999999998</v>
      </c>
      <c r="J925" s="81">
        <f>32.543 * CHOOSE(CONTROL!$C$32, $C$9, 100%, $E$9)</f>
        <v>32.542999999999999</v>
      </c>
      <c r="K925" s="81">
        <f>32.5466 * CHOOSE(CONTROL!$C$32, $C$9, 100%, $E$9)</f>
        <v>32.546599999999998</v>
      </c>
      <c r="L925" s="81">
        <f>15.483 * CHOOSE(CONTROL!$C$32, $C$9, 100%, $E$9)</f>
        <v>15.483000000000001</v>
      </c>
      <c r="M925" s="81">
        <f>15.4866 * CHOOSE(CONTROL!$C$32, $C$9, 100%, $E$9)</f>
        <v>15.486599999999999</v>
      </c>
      <c r="N925" s="81">
        <f>15.483 * CHOOSE(CONTROL!$C$32, $C$9, 100%, $E$9)</f>
        <v>15.483000000000001</v>
      </c>
      <c r="O925" s="81">
        <f>15.4866 * CHOOSE(CONTROL!$C$32, $C$9, 100%, $E$9)</f>
        <v>15.486599999999999</v>
      </c>
    </row>
    <row r="926" spans="1:15" ht="15" x14ac:dyDescent="0.2">
      <c r="A926" s="16">
        <v>69399</v>
      </c>
      <c r="B926" s="80">
        <f>13.8782 * CHOOSE(CONTROL!$C$32, $C$9, 100%, $E$9)</f>
        <v>13.8782</v>
      </c>
      <c r="C926" s="80">
        <f>13.8782 * CHOOSE(CONTROL!$C$32, $C$9, 100%, $E$9)</f>
        <v>13.8782</v>
      </c>
      <c r="D926" s="80">
        <f>13.8793 * CHOOSE(CONTROL!$C$32, $C$9, 100%, $E$9)</f>
        <v>13.879300000000001</v>
      </c>
      <c r="E926" s="81">
        <f>15.6206 * CHOOSE(CONTROL!$C$32, $C$9, 100%, $E$9)</f>
        <v>15.6206</v>
      </c>
      <c r="F926" s="81">
        <f>15.6206 * CHOOSE(CONTROL!$C$32, $C$9, 100%, $E$9)</f>
        <v>15.6206</v>
      </c>
      <c r="G926" s="81">
        <f>15.6242 * CHOOSE(CONTROL!$C$32, $C$9, 100%, $E$9)</f>
        <v>15.6242</v>
      </c>
      <c r="H926" s="81">
        <f>32.2705 * CHOOSE(CONTROL!$C$32, $C$9, 100%, $E$9)</f>
        <v>32.270499999999998</v>
      </c>
      <c r="I926" s="81">
        <f>32.2741 * CHOOSE(CONTROL!$C$32, $C$9, 100%, $E$9)</f>
        <v>32.274099999999997</v>
      </c>
      <c r="J926" s="81">
        <f>32.2705 * CHOOSE(CONTROL!$C$32, $C$9, 100%, $E$9)</f>
        <v>32.270499999999998</v>
      </c>
      <c r="K926" s="81">
        <f>32.2741 * CHOOSE(CONTROL!$C$32, $C$9, 100%, $E$9)</f>
        <v>32.274099999999997</v>
      </c>
      <c r="L926" s="81">
        <f>15.6206 * CHOOSE(CONTROL!$C$32, $C$9, 100%, $E$9)</f>
        <v>15.6206</v>
      </c>
      <c r="M926" s="81">
        <f>15.6242 * CHOOSE(CONTROL!$C$32, $C$9, 100%, $E$9)</f>
        <v>15.6242</v>
      </c>
      <c r="N926" s="81">
        <f>15.6206 * CHOOSE(CONTROL!$C$32, $C$9, 100%, $E$9)</f>
        <v>15.6206</v>
      </c>
      <c r="O926" s="81">
        <f>15.6242 * CHOOSE(CONTROL!$C$32, $C$9, 100%, $E$9)</f>
        <v>15.6242</v>
      </c>
    </row>
    <row r="927" spans="1:15" ht="15" x14ac:dyDescent="0.2">
      <c r="A927" s="16">
        <v>69430</v>
      </c>
      <c r="B927" s="80">
        <f>13.8752 * CHOOSE(CONTROL!$C$32, $C$9, 100%, $E$9)</f>
        <v>13.8752</v>
      </c>
      <c r="C927" s="80">
        <f>13.8752 * CHOOSE(CONTROL!$C$32, $C$9, 100%, $E$9)</f>
        <v>13.8752</v>
      </c>
      <c r="D927" s="80">
        <f>13.8763 * CHOOSE(CONTROL!$C$32, $C$9, 100%, $E$9)</f>
        <v>13.876300000000001</v>
      </c>
      <c r="E927" s="81">
        <f>15.1879 * CHOOSE(CONTROL!$C$32, $C$9, 100%, $E$9)</f>
        <v>15.187900000000001</v>
      </c>
      <c r="F927" s="81">
        <f>15.1879 * CHOOSE(CONTROL!$C$32, $C$9, 100%, $E$9)</f>
        <v>15.187900000000001</v>
      </c>
      <c r="G927" s="81">
        <f>15.1915 * CHOOSE(CONTROL!$C$32, $C$9, 100%, $E$9)</f>
        <v>15.1915</v>
      </c>
      <c r="H927" s="81">
        <f>32.3377 * CHOOSE(CONTROL!$C$32, $C$9, 100%, $E$9)</f>
        <v>32.337699999999998</v>
      </c>
      <c r="I927" s="81">
        <f>32.3413 * CHOOSE(CONTROL!$C$32, $C$9, 100%, $E$9)</f>
        <v>32.341299999999997</v>
      </c>
      <c r="J927" s="81">
        <f>32.3377 * CHOOSE(CONTROL!$C$32, $C$9, 100%, $E$9)</f>
        <v>32.337699999999998</v>
      </c>
      <c r="K927" s="81">
        <f>32.3413 * CHOOSE(CONTROL!$C$32, $C$9, 100%, $E$9)</f>
        <v>32.341299999999997</v>
      </c>
      <c r="L927" s="81">
        <f>15.1879 * CHOOSE(CONTROL!$C$32, $C$9, 100%, $E$9)</f>
        <v>15.187900000000001</v>
      </c>
      <c r="M927" s="81">
        <f>15.1915 * CHOOSE(CONTROL!$C$32, $C$9, 100%, $E$9)</f>
        <v>15.1915</v>
      </c>
      <c r="N927" s="81">
        <f>15.1879 * CHOOSE(CONTROL!$C$32, $C$9, 100%, $E$9)</f>
        <v>15.187900000000001</v>
      </c>
      <c r="O927" s="81">
        <f>15.1915 * CHOOSE(CONTROL!$C$32, $C$9, 100%, $E$9)</f>
        <v>15.1915</v>
      </c>
    </row>
    <row r="928" spans="1:15" ht="15" x14ac:dyDescent="0.2">
      <c r="A928" s="16">
        <v>69458</v>
      </c>
      <c r="B928" s="80">
        <f>13.8722 * CHOOSE(CONTROL!$C$32, $C$9, 100%, $E$9)</f>
        <v>13.872199999999999</v>
      </c>
      <c r="C928" s="80">
        <f>13.8722 * CHOOSE(CONTROL!$C$32, $C$9, 100%, $E$9)</f>
        <v>13.872199999999999</v>
      </c>
      <c r="D928" s="80">
        <f>13.8732 * CHOOSE(CONTROL!$C$32, $C$9, 100%, $E$9)</f>
        <v>13.873200000000001</v>
      </c>
      <c r="E928" s="81">
        <f>15.5252 * CHOOSE(CONTROL!$C$32, $C$9, 100%, $E$9)</f>
        <v>15.5252</v>
      </c>
      <c r="F928" s="81">
        <f>15.5252 * CHOOSE(CONTROL!$C$32, $C$9, 100%, $E$9)</f>
        <v>15.5252</v>
      </c>
      <c r="G928" s="81">
        <f>15.5288 * CHOOSE(CONTROL!$C$32, $C$9, 100%, $E$9)</f>
        <v>15.5288</v>
      </c>
      <c r="H928" s="81">
        <f>32.4051 * CHOOSE(CONTROL!$C$32, $C$9, 100%, $E$9)</f>
        <v>32.405099999999997</v>
      </c>
      <c r="I928" s="81">
        <f>32.4087 * CHOOSE(CONTROL!$C$32, $C$9, 100%, $E$9)</f>
        <v>32.408700000000003</v>
      </c>
      <c r="J928" s="81">
        <f>32.4051 * CHOOSE(CONTROL!$C$32, $C$9, 100%, $E$9)</f>
        <v>32.405099999999997</v>
      </c>
      <c r="K928" s="81">
        <f>32.4087 * CHOOSE(CONTROL!$C$32, $C$9, 100%, $E$9)</f>
        <v>32.408700000000003</v>
      </c>
      <c r="L928" s="81">
        <f>15.5252 * CHOOSE(CONTROL!$C$32, $C$9, 100%, $E$9)</f>
        <v>15.5252</v>
      </c>
      <c r="M928" s="81">
        <f>15.5288 * CHOOSE(CONTROL!$C$32, $C$9, 100%, $E$9)</f>
        <v>15.5288</v>
      </c>
      <c r="N928" s="81">
        <f>15.5252 * CHOOSE(CONTROL!$C$32, $C$9, 100%, $E$9)</f>
        <v>15.5252</v>
      </c>
      <c r="O928" s="81">
        <f>15.5288 * CHOOSE(CONTROL!$C$32, $C$9, 100%, $E$9)</f>
        <v>15.5288</v>
      </c>
    </row>
    <row r="929" spans="1:15" ht="15" x14ac:dyDescent="0.2">
      <c r="A929" s="16">
        <v>69489</v>
      </c>
      <c r="B929" s="80">
        <f>13.8794 * CHOOSE(CONTROL!$C$32, $C$9, 100%, $E$9)</f>
        <v>13.8794</v>
      </c>
      <c r="C929" s="80">
        <f>13.8794 * CHOOSE(CONTROL!$C$32, $C$9, 100%, $E$9)</f>
        <v>13.8794</v>
      </c>
      <c r="D929" s="80">
        <f>13.8805 * CHOOSE(CONTROL!$C$32, $C$9, 100%, $E$9)</f>
        <v>13.8805</v>
      </c>
      <c r="E929" s="81">
        <f>15.8856 * CHOOSE(CONTROL!$C$32, $C$9, 100%, $E$9)</f>
        <v>15.8856</v>
      </c>
      <c r="F929" s="81">
        <f>15.8856 * CHOOSE(CONTROL!$C$32, $C$9, 100%, $E$9)</f>
        <v>15.8856</v>
      </c>
      <c r="G929" s="81">
        <f>15.8892 * CHOOSE(CONTROL!$C$32, $C$9, 100%, $E$9)</f>
        <v>15.889200000000001</v>
      </c>
      <c r="H929" s="81">
        <f>32.4726 * CHOOSE(CONTROL!$C$32, $C$9, 100%, $E$9)</f>
        <v>32.4726</v>
      </c>
      <c r="I929" s="81">
        <f>32.4762 * CHOOSE(CONTROL!$C$32, $C$9, 100%, $E$9)</f>
        <v>32.476199999999999</v>
      </c>
      <c r="J929" s="81">
        <f>32.4726 * CHOOSE(CONTROL!$C$32, $C$9, 100%, $E$9)</f>
        <v>32.4726</v>
      </c>
      <c r="K929" s="81">
        <f>32.4762 * CHOOSE(CONTROL!$C$32, $C$9, 100%, $E$9)</f>
        <v>32.476199999999999</v>
      </c>
      <c r="L929" s="81">
        <f>15.8856 * CHOOSE(CONTROL!$C$32, $C$9, 100%, $E$9)</f>
        <v>15.8856</v>
      </c>
      <c r="M929" s="81">
        <f>15.8892 * CHOOSE(CONTROL!$C$32, $C$9, 100%, $E$9)</f>
        <v>15.889200000000001</v>
      </c>
      <c r="N929" s="81">
        <f>15.8856 * CHOOSE(CONTROL!$C$32, $C$9, 100%, $E$9)</f>
        <v>15.8856</v>
      </c>
      <c r="O929" s="81">
        <f>15.8892 * CHOOSE(CONTROL!$C$32, $C$9, 100%, $E$9)</f>
        <v>15.889200000000001</v>
      </c>
    </row>
    <row r="930" spans="1:15" ht="15" x14ac:dyDescent="0.2">
      <c r="A930" s="16">
        <v>69519</v>
      </c>
      <c r="B930" s="80">
        <f>13.8794 * CHOOSE(CONTROL!$C$32, $C$9, 100%, $E$9)</f>
        <v>13.8794</v>
      </c>
      <c r="C930" s="80">
        <f>13.8794 * CHOOSE(CONTROL!$C$32, $C$9, 100%, $E$9)</f>
        <v>13.8794</v>
      </c>
      <c r="D930" s="80">
        <f>13.881 * CHOOSE(CONTROL!$C$32, $C$9, 100%, $E$9)</f>
        <v>13.881</v>
      </c>
      <c r="E930" s="81">
        <f>16.0223 * CHOOSE(CONTROL!$C$32, $C$9, 100%, $E$9)</f>
        <v>16.022300000000001</v>
      </c>
      <c r="F930" s="81">
        <f>16.0223 * CHOOSE(CONTROL!$C$32, $C$9, 100%, $E$9)</f>
        <v>16.022300000000001</v>
      </c>
      <c r="G930" s="81">
        <f>16.0276 * CHOOSE(CONTROL!$C$32, $C$9, 100%, $E$9)</f>
        <v>16.0276</v>
      </c>
      <c r="H930" s="81">
        <f>32.5402 * CHOOSE(CONTROL!$C$32, $C$9, 100%, $E$9)</f>
        <v>32.540199999999999</v>
      </c>
      <c r="I930" s="81">
        <f>32.5455 * CHOOSE(CONTROL!$C$32, $C$9, 100%, $E$9)</f>
        <v>32.545499999999997</v>
      </c>
      <c r="J930" s="81">
        <f>32.5402 * CHOOSE(CONTROL!$C$32, $C$9, 100%, $E$9)</f>
        <v>32.540199999999999</v>
      </c>
      <c r="K930" s="81">
        <f>32.5455 * CHOOSE(CONTROL!$C$32, $C$9, 100%, $E$9)</f>
        <v>32.545499999999997</v>
      </c>
      <c r="L930" s="81">
        <f>16.0223 * CHOOSE(CONTROL!$C$32, $C$9, 100%, $E$9)</f>
        <v>16.022300000000001</v>
      </c>
      <c r="M930" s="81">
        <f>16.0276 * CHOOSE(CONTROL!$C$32, $C$9, 100%, $E$9)</f>
        <v>16.0276</v>
      </c>
      <c r="N930" s="81">
        <f>16.0223 * CHOOSE(CONTROL!$C$32, $C$9, 100%, $E$9)</f>
        <v>16.022300000000001</v>
      </c>
      <c r="O930" s="81">
        <f>16.0276 * CHOOSE(CONTROL!$C$32, $C$9, 100%, $E$9)</f>
        <v>16.0276</v>
      </c>
    </row>
    <row r="931" spans="1:15" ht="15" x14ac:dyDescent="0.2">
      <c r="A931" s="16">
        <v>69550</v>
      </c>
      <c r="B931" s="80">
        <f>13.8855 * CHOOSE(CONTROL!$C$32, $C$9, 100%, $E$9)</f>
        <v>13.8855</v>
      </c>
      <c r="C931" s="80">
        <f>13.8855 * CHOOSE(CONTROL!$C$32, $C$9, 100%, $E$9)</f>
        <v>13.8855</v>
      </c>
      <c r="D931" s="80">
        <f>13.8871 * CHOOSE(CONTROL!$C$32, $C$9, 100%, $E$9)</f>
        <v>13.8871</v>
      </c>
      <c r="E931" s="81">
        <f>15.8898 * CHOOSE(CONTROL!$C$32, $C$9, 100%, $E$9)</f>
        <v>15.889799999999999</v>
      </c>
      <c r="F931" s="81">
        <f>15.8898 * CHOOSE(CONTROL!$C$32, $C$9, 100%, $E$9)</f>
        <v>15.889799999999999</v>
      </c>
      <c r="G931" s="81">
        <f>15.8951 * CHOOSE(CONTROL!$C$32, $C$9, 100%, $E$9)</f>
        <v>15.895099999999999</v>
      </c>
      <c r="H931" s="81">
        <f>32.608 * CHOOSE(CONTROL!$C$32, $C$9, 100%, $E$9)</f>
        <v>32.607999999999997</v>
      </c>
      <c r="I931" s="81">
        <f>32.6133 * CHOOSE(CONTROL!$C$32, $C$9, 100%, $E$9)</f>
        <v>32.613300000000002</v>
      </c>
      <c r="J931" s="81">
        <f>32.608 * CHOOSE(CONTROL!$C$32, $C$9, 100%, $E$9)</f>
        <v>32.607999999999997</v>
      </c>
      <c r="K931" s="81">
        <f>32.6133 * CHOOSE(CONTROL!$C$32, $C$9, 100%, $E$9)</f>
        <v>32.613300000000002</v>
      </c>
      <c r="L931" s="81">
        <f>15.8898 * CHOOSE(CONTROL!$C$32, $C$9, 100%, $E$9)</f>
        <v>15.889799999999999</v>
      </c>
      <c r="M931" s="81">
        <f>15.8951 * CHOOSE(CONTROL!$C$32, $C$9, 100%, $E$9)</f>
        <v>15.895099999999999</v>
      </c>
      <c r="N931" s="81">
        <f>15.8898 * CHOOSE(CONTROL!$C$32, $C$9, 100%, $E$9)</f>
        <v>15.889799999999999</v>
      </c>
      <c r="O931" s="81">
        <f>15.8951 * CHOOSE(CONTROL!$C$32, $C$9, 100%, $E$9)</f>
        <v>15.895099999999999</v>
      </c>
    </row>
    <row r="932" spans="1:15" ht="15" x14ac:dyDescent="0.2">
      <c r="A932" s="16">
        <v>69580</v>
      </c>
      <c r="B932" s="80">
        <f>14.0525 * CHOOSE(CONTROL!$C$32, $C$9, 100%, $E$9)</f>
        <v>14.0525</v>
      </c>
      <c r="C932" s="80">
        <f>14.0525 * CHOOSE(CONTROL!$C$32, $C$9, 100%, $E$9)</f>
        <v>14.0525</v>
      </c>
      <c r="D932" s="80">
        <f>14.054 * CHOOSE(CONTROL!$C$32, $C$9, 100%, $E$9)</f>
        <v>14.054</v>
      </c>
      <c r="E932" s="81">
        <f>16.1153 * CHOOSE(CONTROL!$C$32, $C$9, 100%, $E$9)</f>
        <v>16.115300000000001</v>
      </c>
      <c r="F932" s="81">
        <f>16.1153 * CHOOSE(CONTROL!$C$32, $C$9, 100%, $E$9)</f>
        <v>16.115300000000001</v>
      </c>
      <c r="G932" s="81">
        <f>16.1206 * CHOOSE(CONTROL!$C$32, $C$9, 100%, $E$9)</f>
        <v>16.1206</v>
      </c>
      <c r="H932" s="81">
        <f>32.676 * CHOOSE(CONTROL!$C$32, $C$9, 100%, $E$9)</f>
        <v>32.676000000000002</v>
      </c>
      <c r="I932" s="81">
        <f>32.6813 * CHOOSE(CONTROL!$C$32, $C$9, 100%, $E$9)</f>
        <v>32.6813</v>
      </c>
      <c r="J932" s="81">
        <f>32.676 * CHOOSE(CONTROL!$C$32, $C$9, 100%, $E$9)</f>
        <v>32.676000000000002</v>
      </c>
      <c r="K932" s="81">
        <f>32.6813 * CHOOSE(CONTROL!$C$32, $C$9, 100%, $E$9)</f>
        <v>32.6813</v>
      </c>
      <c r="L932" s="81">
        <f>16.1153 * CHOOSE(CONTROL!$C$32, $C$9, 100%, $E$9)</f>
        <v>16.115300000000001</v>
      </c>
      <c r="M932" s="81">
        <f>16.1206 * CHOOSE(CONTROL!$C$32, $C$9, 100%, $E$9)</f>
        <v>16.1206</v>
      </c>
      <c r="N932" s="81">
        <f>16.1153 * CHOOSE(CONTROL!$C$32, $C$9, 100%, $E$9)</f>
        <v>16.115300000000001</v>
      </c>
      <c r="O932" s="81">
        <f>16.1206 * CHOOSE(CONTROL!$C$32, $C$9, 100%, $E$9)</f>
        <v>16.1206</v>
      </c>
    </row>
    <row r="933" spans="1:15" ht="15" x14ac:dyDescent="0.2">
      <c r="A933" s="16">
        <v>69611</v>
      </c>
      <c r="B933" s="80">
        <f>14.0592 * CHOOSE(CONTROL!$C$32, $C$9, 100%, $E$9)</f>
        <v>14.059200000000001</v>
      </c>
      <c r="C933" s="80">
        <f>14.0592 * CHOOSE(CONTROL!$C$32, $C$9, 100%, $E$9)</f>
        <v>14.059200000000001</v>
      </c>
      <c r="D933" s="80">
        <f>14.0607 * CHOOSE(CONTROL!$C$32, $C$9, 100%, $E$9)</f>
        <v>14.060700000000001</v>
      </c>
      <c r="E933" s="81">
        <f>15.7098 * CHOOSE(CONTROL!$C$32, $C$9, 100%, $E$9)</f>
        <v>15.7098</v>
      </c>
      <c r="F933" s="81">
        <f>15.7098 * CHOOSE(CONTROL!$C$32, $C$9, 100%, $E$9)</f>
        <v>15.7098</v>
      </c>
      <c r="G933" s="81">
        <f>15.7151 * CHOOSE(CONTROL!$C$32, $C$9, 100%, $E$9)</f>
        <v>15.7151</v>
      </c>
      <c r="H933" s="81">
        <f>32.7441 * CHOOSE(CONTROL!$C$32, $C$9, 100%, $E$9)</f>
        <v>32.744100000000003</v>
      </c>
      <c r="I933" s="81">
        <f>32.7493 * CHOOSE(CONTROL!$C$32, $C$9, 100%, $E$9)</f>
        <v>32.749299999999998</v>
      </c>
      <c r="J933" s="81">
        <f>32.7441 * CHOOSE(CONTROL!$C$32, $C$9, 100%, $E$9)</f>
        <v>32.744100000000003</v>
      </c>
      <c r="K933" s="81">
        <f>32.7493 * CHOOSE(CONTROL!$C$32, $C$9, 100%, $E$9)</f>
        <v>32.749299999999998</v>
      </c>
      <c r="L933" s="81">
        <f>15.7098 * CHOOSE(CONTROL!$C$32, $C$9, 100%, $E$9)</f>
        <v>15.7098</v>
      </c>
      <c r="M933" s="81">
        <f>15.7151 * CHOOSE(CONTROL!$C$32, $C$9, 100%, $E$9)</f>
        <v>15.7151</v>
      </c>
      <c r="N933" s="81">
        <f>15.7098 * CHOOSE(CONTROL!$C$32, $C$9, 100%, $E$9)</f>
        <v>15.7098</v>
      </c>
      <c r="O933" s="81">
        <f>15.7151 * CHOOSE(CONTROL!$C$32, $C$9, 100%, $E$9)</f>
        <v>15.7151</v>
      </c>
    </row>
    <row r="934" spans="1:15" ht="15" x14ac:dyDescent="0.2">
      <c r="A934" s="16">
        <v>69642</v>
      </c>
      <c r="B934" s="80">
        <f>14.0561 * CHOOSE(CONTROL!$C$32, $C$9, 100%, $E$9)</f>
        <v>14.056100000000001</v>
      </c>
      <c r="C934" s="80">
        <f>14.0561 * CHOOSE(CONTROL!$C$32, $C$9, 100%, $E$9)</f>
        <v>14.056100000000001</v>
      </c>
      <c r="D934" s="80">
        <f>14.0577 * CHOOSE(CONTROL!$C$32, $C$9, 100%, $E$9)</f>
        <v>14.057700000000001</v>
      </c>
      <c r="E934" s="81">
        <f>15.6621 * CHOOSE(CONTROL!$C$32, $C$9, 100%, $E$9)</f>
        <v>15.662100000000001</v>
      </c>
      <c r="F934" s="81">
        <f>15.6621 * CHOOSE(CONTROL!$C$32, $C$9, 100%, $E$9)</f>
        <v>15.662100000000001</v>
      </c>
      <c r="G934" s="81">
        <f>15.6674 * CHOOSE(CONTROL!$C$32, $C$9, 100%, $E$9)</f>
        <v>15.667400000000001</v>
      </c>
      <c r="H934" s="81">
        <f>32.8123 * CHOOSE(CONTROL!$C$32, $C$9, 100%, $E$9)</f>
        <v>32.8123</v>
      </c>
      <c r="I934" s="81">
        <f>32.8176 * CHOOSE(CONTROL!$C$32, $C$9, 100%, $E$9)</f>
        <v>32.817599999999999</v>
      </c>
      <c r="J934" s="81">
        <f>32.8123 * CHOOSE(CONTROL!$C$32, $C$9, 100%, $E$9)</f>
        <v>32.8123</v>
      </c>
      <c r="K934" s="81">
        <f>32.8176 * CHOOSE(CONTROL!$C$32, $C$9, 100%, $E$9)</f>
        <v>32.817599999999999</v>
      </c>
      <c r="L934" s="81">
        <f>15.6621 * CHOOSE(CONTROL!$C$32, $C$9, 100%, $E$9)</f>
        <v>15.662100000000001</v>
      </c>
      <c r="M934" s="81">
        <f>15.6674 * CHOOSE(CONTROL!$C$32, $C$9, 100%, $E$9)</f>
        <v>15.667400000000001</v>
      </c>
      <c r="N934" s="81">
        <f>15.6621 * CHOOSE(CONTROL!$C$32, $C$9, 100%, $E$9)</f>
        <v>15.662100000000001</v>
      </c>
      <c r="O934" s="81">
        <f>15.6674 * CHOOSE(CONTROL!$C$32, $C$9, 100%, $E$9)</f>
        <v>15.667400000000001</v>
      </c>
    </row>
    <row r="935" spans="1:15" ht="15" x14ac:dyDescent="0.2">
      <c r="A935" s="16">
        <v>69672</v>
      </c>
      <c r="B935" s="80">
        <f>14.0888 * CHOOSE(CONTROL!$C$32, $C$9, 100%, $E$9)</f>
        <v>14.088800000000001</v>
      </c>
      <c r="C935" s="80">
        <f>14.0888 * CHOOSE(CONTROL!$C$32, $C$9, 100%, $E$9)</f>
        <v>14.088800000000001</v>
      </c>
      <c r="D935" s="80">
        <f>14.0899 * CHOOSE(CONTROL!$C$32, $C$9, 100%, $E$9)</f>
        <v>14.0899</v>
      </c>
      <c r="E935" s="81">
        <f>15.831 * CHOOSE(CONTROL!$C$32, $C$9, 100%, $E$9)</f>
        <v>15.831</v>
      </c>
      <c r="F935" s="81">
        <f>15.831 * CHOOSE(CONTROL!$C$32, $C$9, 100%, $E$9)</f>
        <v>15.831</v>
      </c>
      <c r="G935" s="81">
        <f>15.8346 * CHOOSE(CONTROL!$C$32, $C$9, 100%, $E$9)</f>
        <v>15.8346</v>
      </c>
      <c r="H935" s="81">
        <f>32.8806 * CHOOSE(CONTROL!$C$32, $C$9, 100%, $E$9)</f>
        <v>32.880600000000001</v>
      </c>
      <c r="I935" s="81">
        <f>32.8842 * CHOOSE(CONTROL!$C$32, $C$9, 100%, $E$9)</f>
        <v>32.8842</v>
      </c>
      <c r="J935" s="81">
        <f>32.8806 * CHOOSE(CONTROL!$C$32, $C$9, 100%, $E$9)</f>
        <v>32.880600000000001</v>
      </c>
      <c r="K935" s="81">
        <f>32.8842 * CHOOSE(CONTROL!$C$32, $C$9, 100%, $E$9)</f>
        <v>32.8842</v>
      </c>
      <c r="L935" s="81">
        <f>15.831 * CHOOSE(CONTROL!$C$32, $C$9, 100%, $E$9)</f>
        <v>15.831</v>
      </c>
      <c r="M935" s="81">
        <f>15.8346 * CHOOSE(CONTROL!$C$32, $C$9, 100%, $E$9)</f>
        <v>15.8346</v>
      </c>
      <c r="N935" s="81">
        <f>15.831 * CHOOSE(CONTROL!$C$32, $C$9, 100%, $E$9)</f>
        <v>15.831</v>
      </c>
      <c r="O935" s="81">
        <f>15.8346 * CHOOSE(CONTROL!$C$32, $C$9, 100%, $E$9)</f>
        <v>15.8346</v>
      </c>
    </row>
    <row r="936" spans="1:15" ht="15" x14ac:dyDescent="0.2">
      <c r="A936" s="16">
        <v>69703</v>
      </c>
      <c r="B936" s="80">
        <f>14.0918 * CHOOSE(CONTROL!$C$32, $C$9, 100%, $E$9)</f>
        <v>14.091799999999999</v>
      </c>
      <c r="C936" s="80">
        <f>14.0918 * CHOOSE(CONTROL!$C$32, $C$9, 100%, $E$9)</f>
        <v>14.091799999999999</v>
      </c>
      <c r="D936" s="80">
        <f>14.0929 * CHOOSE(CONTROL!$C$32, $C$9, 100%, $E$9)</f>
        <v>14.0929</v>
      </c>
      <c r="E936" s="81">
        <f>15.9243 * CHOOSE(CONTROL!$C$32, $C$9, 100%, $E$9)</f>
        <v>15.924300000000001</v>
      </c>
      <c r="F936" s="81">
        <f>15.9243 * CHOOSE(CONTROL!$C$32, $C$9, 100%, $E$9)</f>
        <v>15.924300000000001</v>
      </c>
      <c r="G936" s="81">
        <f>15.9279 * CHOOSE(CONTROL!$C$32, $C$9, 100%, $E$9)</f>
        <v>15.927899999999999</v>
      </c>
      <c r="H936" s="81">
        <f>32.9491 * CHOOSE(CONTROL!$C$32, $C$9, 100%, $E$9)</f>
        <v>32.949100000000001</v>
      </c>
      <c r="I936" s="81">
        <f>32.9527 * CHOOSE(CONTROL!$C$32, $C$9, 100%, $E$9)</f>
        <v>32.9527</v>
      </c>
      <c r="J936" s="81">
        <f>32.9491 * CHOOSE(CONTROL!$C$32, $C$9, 100%, $E$9)</f>
        <v>32.949100000000001</v>
      </c>
      <c r="K936" s="81">
        <f>32.9527 * CHOOSE(CONTROL!$C$32, $C$9, 100%, $E$9)</f>
        <v>32.9527</v>
      </c>
      <c r="L936" s="81">
        <f>15.9243 * CHOOSE(CONTROL!$C$32, $C$9, 100%, $E$9)</f>
        <v>15.924300000000001</v>
      </c>
      <c r="M936" s="81">
        <f>15.9279 * CHOOSE(CONTROL!$C$32, $C$9, 100%, $E$9)</f>
        <v>15.927899999999999</v>
      </c>
      <c r="N936" s="81">
        <f>15.9243 * CHOOSE(CONTROL!$C$32, $C$9, 100%, $E$9)</f>
        <v>15.924300000000001</v>
      </c>
      <c r="O936" s="81">
        <f>15.9279 * CHOOSE(CONTROL!$C$32, $C$9, 100%, $E$9)</f>
        <v>15.927899999999999</v>
      </c>
    </row>
    <row r="937" spans="1:15" ht="15" x14ac:dyDescent="0.2">
      <c r="A937" s="16">
        <v>69733</v>
      </c>
      <c r="B937" s="80">
        <f>14.0918 * CHOOSE(CONTROL!$C$32, $C$9, 100%, $E$9)</f>
        <v>14.091799999999999</v>
      </c>
      <c r="C937" s="80">
        <f>14.0918 * CHOOSE(CONTROL!$C$32, $C$9, 100%, $E$9)</f>
        <v>14.091799999999999</v>
      </c>
      <c r="D937" s="80">
        <f>14.0929 * CHOOSE(CONTROL!$C$32, $C$9, 100%, $E$9)</f>
        <v>14.0929</v>
      </c>
      <c r="E937" s="81">
        <f>15.6964 * CHOOSE(CONTROL!$C$32, $C$9, 100%, $E$9)</f>
        <v>15.696400000000001</v>
      </c>
      <c r="F937" s="81">
        <f>15.6964 * CHOOSE(CONTROL!$C$32, $C$9, 100%, $E$9)</f>
        <v>15.696400000000001</v>
      </c>
      <c r="G937" s="81">
        <f>15.7 * CHOOSE(CONTROL!$C$32, $C$9, 100%, $E$9)</f>
        <v>15.7</v>
      </c>
      <c r="H937" s="81">
        <f>33.0178 * CHOOSE(CONTROL!$C$32, $C$9, 100%, $E$9)</f>
        <v>33.017800000000001</v>
      </c>
      <c r="I937" s="81">
        <f>33.0214 * CHOOSE(CONTROL!$C$32, $C$9, 100%, $E$9)</f>
        <v>33.0214</v>
      </c>
      <c r="J937" s="81">
        <f>33.0178 * CHOOSE(CONTROL!$C$32, $C$9, 100%, $E$9)</f>
        <v>33.017800000000001</v>
      </c>
      <c r="K937" s="81">
        <f>33.0214 * CHOOSE(CONTROL!$C$32, $C$9, 100%, $E$9)</f>
        <v>33.0214</v>
      </c>
      <c r="L937" s="81">
        <f>15.6964 * CHOOSE(CONTROL!$C$32, $C$9, 100%, $E$9)</f>
        <v>15.696400000000001</v>
      </c>
      <c r="M937" s="81">
        <f>15.7 * CHOOSE(CONTROL!$C$32, $C$9, 100%, $E$9)</f>
        <v>15.7</v>
      </c>
      <c r="N937" s="81">
        <f>15.6964 * CHOOSE(CONTROL!$C$32, $C$9, 100%, $E$9)</f>
        <v>15.696400000000001</v>
      </c>
      <c r="O937" s="81">
        <f>15.7 * CHOOSE(CONTROL!$C$32, $C$9, 100%, $E$9)</f>
        <v>15.7</v>
      </c>
    </row>
    <row r="938" spans="1:15" ht="15" x14ac:dyDescent="0.2">
      <c r="A938" s="16">
        <v>69764</v>
      </c>
      <c r="B938" s="80">
        <f>14.0656 * CHOOSE(CONTROL!$C$32, $C$9, 100%, $E$9)</f>
        <v>14.0656</v>
      </c>
      <c r="C938" s="80">
        <f>14.0656 * CHOOSE(CONTROL!$C$32, $C$9, 100%, $E$9)</f>
        <v>14.0656</v>
      </c>
      <c r="D938" s="80">
        <f>14.0667 * CHOOSE(CONTROL!$C$32, $C$9, 100%, $E$9)</f>
        <v>14.066700000000001</v>
      </c>
      <c r="E938" s="81">
        <f>15.8331 * CHOOSE(CONTROL!$C$32, $C$9, 100%, $E$9)</f>
        <v>15.8331</v>
      </c>
      <c r="F938" s="81">
        <f>15.8331 * CHOOSE(CONTROL!$C$32, $C$9, 100%, $E$9)</f>
        <v>15.8331</v>
      </c>
      <c r="G938" s="81">
        <f>15.8367 * CHOOSE(CONTROL!$C$32, $C$9, 100%, $E$9)</f>
        <v>15.8367</v>
      </c>
      <c r="H938" s="81">
        <f>32.7345 * CHOOSE(CONTROL!$C$32, $C$9, 100%, $E$9)</f>
        <v>32.734499999999997</v>
      </c>
      <c r="I938" s="81">
        <f>32.7381 * CHOOSE(CONTROL!$C$32, $C$9, 100%, $E$9)</f>
        <v>32.738100000000003</v>
      </c>
      <c r="J938" s="81">
        <f>32.7345 * CHOOSE(CONTROL!$C$32, $C$9, 100%, $E$9)</f>
        <v>32.734499999999997</v>
      </c>
      <c r="K938" s="81">
        <f>32.7381 * CHOOSE(CONTROL!$C$32, $C$9, 100%, $E$9)</f>
        <v>32.738100000000003</v>
      </c>
      <c r="L938" s="81">
        <f>15.8331 * CHOOSE(CONTROL!$C$32, $C$9, 100%, $E$9)</f>
        <v>15.8331</v>
      </c>
      <c r="M938" s="81">
        <f>15.8367 * CHOOSE(CONTROL!$C$32, $C$9, 100%, $E$9)</f>
        <v>15.8367</v>
      </c>
      <c r="N938" s="81">
        <f>15.8331 * CHOOSE(CONTROL!$C$32, $C$9, 100%, $E$9)</f>
        <v>15.8331</v>
      </c>
      <c r="O938" s="81">
        <f>15.8367 * CHOOSE(CONTROL!$C$32, $C$9, 100%, $E$9)</f>
        <v>15.8367</v>
      </c>
    </row>
    <row r="939" spans="1:15" ht="15" x14ac:dyDescent="0.2">
      <c r="A939" s="16">
        <v>69795</v>
      </c>
      <c r="B939" s="80">
        <f>14.0626 * CHOOSE(CONTROL!$C$32, $C$9, 100%, $E$9)</f>
        <v>14.0626</v>
      </c>
      <c r="C939" s="80">
        <f>14.0626 * CHOOSE(CONTROL!$C$32, $C$9, 100%, $E$9)</f>
        <v>14.0626</v>
      </c>
      <c r="D939" s="80">
        <f>14.0636 * CHOOSE(CONTROL!$C$32, $C$9, 100%, $E$9)</f>
        <v>14.063599999999999</v>
      </c>
      <c r="E939" s="81">
        <f>15.3933 * CHOOSE(CONTROL!$C$32, $C$9, 100%, $E$9)</f>
        <v>15.3933</v>
      </c>
      <c r="F939" s="81">
        <f>15.3933 * CHOOSE(CONTROL!$C$32, $C$9, 100%, $E$9)</f>
        <v>15.3933</v>
      </c>
      <c r="G939" s="81">
        <f>15.3969 * CHOOSE(CONTROL!$C$32, $C$9, 100%, $E$9)</f>
        <v>15.3969</v>
      </c>
      <c r="H939" s="81">
        <f>32.8027 * CHOOSE(CONTROL!$C$32, $C$9, 100%, $E$9)</f>
        <v>32.802700000000002</v>
      </c>
      <c r="I939" s="81">
        <f>32.8063 * CHOOSE(CONTROL!$C$32, $C$9, 100%, $E$9)</f>
        <v>32.8063</v>
      </c>
      <c r="J939" s="81">
        <f>32.8027 * CHOOSE(CONTROL!$C$32, $C$9, 100%, $E$9)</f>
        <v>32.802700000000002</v>
      </c>
      <c r="K939" s="81">
        <f>32.8063 * CHOOSE(CONTROL!$C$32, $C$9, 100%, $E$9)</f>
        <v>32.8063</v>
      </c>
      <c r="L939" s="81">
        <f>15.3933 * CHOOSE(CONTROL!$C$32, $C$9, 100%, $E$9)</f>
        <v>15.3933</v>
      </c>
      <c r="M939" s="81">
        <f>15.3969 * CHOOSE(CONTROL!$C$32, $C$9, 100%, $E$9)</f>
        <v>15.3969</v>
      </c>
      <c r="N939" s="81">
        <f>15.3933 * CHOOSE(CONTROL!$C$32, $C$9, 100%, $E$9)</f>
        <v>15.3933</v>
      </c>
      <c r="O939" s="81">
        <f>15.3969 * CHOOSE(CONTROL!$C$32, $C$9, 100%, $E$9)</f>
        <v>15.3969</v>
      </c>
    </row>
    <row r="940" spans="1:15" ht="15" x14ac:dyDescent="0.2">
      <c r="A940" s="16">
        <v>69823</v>
      </c>
      <c r="B940" s="80">
        <f>14.0595 * CHOOSE(CONTROL!$C$32, $C$9, 100%, $E$9)</f>
        <v>14.0595</v>
      </c>
      <c r="C940" s="80">
        <f>14.0595 * CHOOSE(CONTROL!$C$32, $C$9, 100%, $E$9)</f>
        <v>14.0595</v>
      </c>
      <c r="D940" s="80">
        <f>14.0606 * CHOOSE(CONTROL!$C$32, $C$9, 100%, $E$9)</f>
        <v>14.060600000000001</v>
      </c>
      <c r="E940" s="81">
        <f>15.7362 * CHOOSE(CONTROL!$C$32, $C$9, 100%, $E$9)</f>
        <v>15.7362</v>
      </c>
      <c r="F940" s="81">
        <f>15.7362 * CHOOSE(CONTROL!$C$32, $C$9, 100%, $E$9)</f>
        <v>15.7362</v>
      </c>
      <c r="G940" s="81">
        <f>15.7398 * CHOOSE(CONTROL!$C$32, $C$9, 100%, $E$9)</f>
        <v>15.739800000000001</v>
      </c>
      <c r="H940" s="81">
        <f>32.8711 * CHOOSE(CONTROL!$C$32, $C$9, 100%, $E$9)</f>
        <v>32.871099999999998</v>
      </c>
      <c r="I940" s="81">
        <f>32.8747 * CHOOSE(CONTROL!$C$32, $C$9, 100%, $E$9)</f>
        <v>32.874699999999997</v>
      </c>
      <c r="J940" s="81">
        <f>32.8711 * CHOOSE(CONTROL!$C$32, $C$9, 100%, $E$9)</f>
        <v>32.871099999999998</v>
      </c>
      <c r="K940" s="81">
        <f>32.8747 * CHOOSE(CONTROL!$C$32, $C$9, 100%, $E$9)</f>
        <v>32.874699999999997</v>
      </c>
      <c r="L940" s="81">
        <f>15.7362 * CHOOSE(CONTROL!$C$32, $C$9, 100%, $E$9)</f>
        <v>15.7362</v>
      </c>
      <c r="M940" s="81">
        <f>15.7398 * CHOOSE(CONTROL!$C$32, $C$9, 100%, $E$9)</f>
        <v>15.739800000000001</v>
      </c>
      <c r="N940" s="81">
        <f>15.7362 * CHOOSE(CONTROL!$C$32, $C$9, 100%, $E$9)</f>
        <v>15.7362</v>
      </c>
      <c r="O940" s="81">
        <f>15.7398 * CHOOSE(CONTROL!$C$32, $C$9, 100%, $E$9)</f>
        <v>15.739800000000001</v>
      </c>
    </row>
    <row r="941" spans="1:15" ht="15" x14ac:dyDescent="0.2">
      <c r="A941" s="16">
        <v>69854</v>
      </c>
      <c r="B941" s="80">
        <f>14.0669 * CHOOSE(CONTROL!$C$32, $C$9, 100%, $E$9)</f>
        <v>14.0669</v>
      </c>
      <c r="C941" s="80">
        <f>14.0669 * CHOOSE(CONTROL!$C$32, $C$9, 100%, $E$9)</f>
        <v>14.0669</v>
      </c>
      <c r="D941" s="80">
        <f>14.068 * CHOOSE(CONTROL!$C$32, $C$9, 100%, $E$9)</f>
        <v>14.068</v>
      </c>
      <c r="E941" s="81">
        <f>16.1026 * CHOOSE(CONTROL!$C$32, $C$9, 100%, $E$9)</f>
        <v>16.102599999999999</v>
      </c>
      <c r="F941" s="81">
        <f>16.1026 * CHOOSE(CONTROL!$C$32, $C$9, 100%, $E$9)</f>
        <v>16.102599999999999</v>
      </c>
      <c r="G941" s="81">
        <f>16.1062 * CHOOSE(CONTROL!$C$32, $C$9, 100%, $E$9)</f>
        <v>16.106200000000001</v>
      </c>
      <c r="H941" s="81">
        <f>32.9395 * CHOOSE(CONTROL!$C$32, $C$9, 100%, $E$9)</f>
        <v>32.939500000000002</v>
      </c>
      <c r="I941" s="81">
        <f>32.9432 * CHOOSE(CONTROL!$C$32, $C$9, 100%, $E$9)</f>
        <v>32.943199999999997</v>
      </c>
      <c r="J941" s="81">
        <f>32.9395 * CHOOSE(CONTROL!$C$32, $C$9, 100%, $E$9)</f>
        <v>32.939500000000002</v>
      </c>
      <c r="K941" s="81">
        <f>32.9432 * CHOOSE(CONTROL!$C$32, $C$9, 100%, $E$9)</f>
        <v>32.943199999999997</v>
      </c>
      <c r="L941" s="81">
        <f>16.1026 * CHOOSE(CONTROL!$C$32, $C$9, 100%, $E$9)</f>
        <v>16.102599999999999</v>
      </c>
      <c r="M941" s="81">
        <f>16.1062 * CHOOSE(CONTROL!$C$32, $C$9, 100%, $E$9)</f>
        <v>16.106200000000001</v>
      </c>
      <c r="N941" s="81">
        <f>16.1026 * CHOOSE(CONTROL!$C$32, $C$9, 100%, $E$9)</f>
        <v>16.102599999999999</v>
      </c>
      <c r="O941" s="81">
        <f>16.1062 * CHOOSE(CONTROL!$C$32, $C$9, 100%, $E$9)</f>
        <v>16.106200000000001</v>
      </c>
    </row>
    <row r="942" spans="1:15" ht="15" x14ac:dyDescent="0.2">
      <c r="A942" s="16">
        <v>69884</v>
      </c>
      <c r="B942" s="80">
        <f>14.0669 * CHOOSE(CONTROL!$C$32, $C$9, 100%, $E$9)</f>
        <v>14.0669</v>
      </c>
      <c r="C942" s="80">
        <f>14.0669 * CHOOSE(CONTROL!$C$32, $C$9, 100%, $E$9)</f>
        <v>14.0669</v>
      </c>
      <c r="D942" s="80">
        <f>14.0685 * CHOOSE(CONTROL!$C$32, $C$9, 100%, $E$9)</f>
        <v>14.0685</v>
      </c>
      <c r="E942" s="81">
        <f>16.2415 * CHOOSE(CONTROL!$C$32, $C$9, 100%, $E$9)</f>
        <v>16.241499999999998</v>
      </c>
      <c r="F942" s="81">
        <f>16.2415 * CHOOSE(CONTROL!$C$32, $C$9, 100%, $E$9)</f>
        <v>16.241499999999998</v>
      </c>
      <c r="G942" s="81">
        <f>16.2468 * CHOOSE(CONTROL!$C$32, $C$9, 100%, $E$9)</f>
        <v>16.2468</v>
      </c>
      <c r="H942" s="81">
        <f>33.0082 * CHOOSE(CONTROL!$C$32, $C$9, 100%, $E$9)</f>
        <v>33.008200000000002</v>
      </c>
      <c r="I942" s="81">
        <f>33.0135 * CHOOSE(CONTROL!$C$32, $C$9, 100%, $E$9)</f>
        <v>33.013500000000001</v>
      </c>
      <c r="J942" s="81">
        <f>33.0082 * CHOOSE(CONTROL!$C$32, $C$9, 100%, $E$9)</f>
        <v>33.008200000000002</v>
      </c>
      <c r="K942" s="81">
        <f>33.0135 * CHOOSE(CONTROL!$C$32, $C$9, 100%, $E$9)</f>
        <v>33.013500000000001</v>
      </c>
      <c r="L942" s="81">
        <f>16.2415 * CHOOSE(CONTROL!$C$32, $C$9, 100%, $E$9)</f>
        <v>16.241499999999998</v>
      </c>
      <c r="M942" s="81">
        <f>16.2468 * CHOOSE(CONTROL!$C$32, $C$9, 100%, $E$9)</f>
        <v>16.2468</v>
      </c>
      <c r="N942" s="81">
        <f>16.2415 * CHOOSE(CONTROL!$C$32, $C$9, 100%, $E$9)</f>
        <v>16.241499999999998</v>
      </c>
      <c r="O942" s="81">
        <f>16.2468 * CHOOSE(CONTROL!$C$32, $C$9, 100%, $E$9)</f>
        <v>16.2468</v>
      </c>
    </row>
    <row r="943" spans="1:15" ht="15" x14ac:dyDescent="0.2">
      <c r="A943" s="16">
        <v>69915</v>
      </c>
      <c r="B943" s="80">
        <f>14.073 * CHOOSE(CONTROL!$C$32, $C$9, 100%, $E$9)</f>
        <v>14.073</v>
      </c>
      <c r="C943" s="80">
        <f>14.073 * CHOOSE(CONTROL!$C$32, $C$9, 100%, $E$9)</f>
        <v>14.073</v>
      </c>
      <c r="D943" s="80">
        <f>14.0746 * CHOOSE(CONTROL!$C$32, $C$9, 100%, $E$9)</f>
        <v>14.0746</v>
      </c>
      <c r="E943" s="81">
        <f>16.1068 * CHOOSE(CONTROL!$C$32, $C$9, 100%, $E$9)</f>
        <v>16.1068</v>
      </c>
      <c r="F943" s="81">
        <f>16.1068 * CHOOSE(CONTROL!$C$32, $C$9, 100%, $E$9)</f>
        <v>16.1068</v>
      </c>
      <c r="G943" s="81">
        <f>16.1121 * CHOOSE(CONTROL!$C$32, $C$9, 100%, $E$9)</f>
        <v>16.112100000000002</v>
      </c>
      <c r="H943" s="81">
        <f>33.0769 * CHOOSE(CONTROL!$C$32, $C$9, 100%, $E$9)</f>
        <v>33.076900000000002</v>
      </c>
      <c r="I943" s="81">
        <f>33.0822 * CHOOSE(CONTROL!$C$32, $C$9, 100%, $E$9)</f>
        <v>33.0822</v>
      </c>
      <c r="J943" s="81">
        <f>33.0769 * CHOOSE(CONTROL!$C$32, $C$9, 100%, $E$9)</f>
        <v>33.076900000000002</v>
      </c>
      <c r="K943" s="81">
        <f>33.0822 * CHOOSE(CONTROL!$C$32, $C$9, 100%, $E$9)</f>
        <v>33.0822</v>
      </c>
      <c r="L943" s="81">
        <f>16.1068 * CHOOSE(CONTROL!$C$32, $C$9, 100%, $E$9)</f>
        <v>16.1068</v>
      </c>
      <c r="M943" s="81">
        <f>16.1121 * CHOOSE(CONTROL!$C$32, $C$9, 100%, $E$9)</f>
        <v>16.112100000000002</v>
      </c>
      <c r="N943" s="81">
        <f>16.1068 * CHOOSE(CONTROL!$C$32, $C$9, 100%, $E$9)</f>
        <v>16.1068</v>
      </c>
      <c r="O943" s="81">
        <f>16.1121 * CHOOSE(CONTROL!$C$32, $C$9, 100%, $E$9)</f>
        <v>16.112100000000002</v>
      </c>
    </row>
    <row r="944" spans="1:15" ht="15" x14ac:dyDescent="0.2">
      <c r="A944" s="16">
        <v>69945</v>
      </c>
      <c r="B944" s="80">
        <f>14.2421 * CHOOSE(CONTROL!$C$32, $C$9, 100%, $E$9)</f>
        <v>14.242100000000001</v>
      </c>
      <c r="C944" s="80">
        <f>14.2421 * CHOOSE(CONTROL!$C$32, $C$9, 100%, $E$9)</f>
        <v>14.242100000000001</v>
      </c>
      <c r="D944" s="80">
        <f>14.2436 * CHOOSE(CONTROL!$C$32, $C$9, 100%, $E$9)</f>
        <v>14.243600000000001</v>
      </c>
      <c r="E944" s="81">
        <f>16.3355 * CHOOSE(CONTROL!$C$32, $C$9, 100%, $E$9)</f>
        <v>16.3355</v>
      </c>
      <c r="F944" s="81">
        <f>16.3355 * CHOOSE(CONTROL!$C$32, $C$9, 100%, $E$9)</f>
        <v>16.3355</v>
      </c>
      <c r="G944" s="81">
        <f>16.3408 * CHOOSE(CONTROL!$C$32, $C$9, 100%, $E$9)</f>
        <v>16.340800000000002</v>
      </c>
      <c r="H944" s="81">
        <f>33.1458 * CHOOSE(CONTROL!$C$32, $C$9, 100%, $E$9)</f>
        <v>33.145800000000001</v>
      </c>
      <c r="I944" s="81">
        <f>33.1511 * CHOOSE(CONTROL!$C$32, $C$9, 100%, $E$9)</f>
        <v>33.1511</v>
      </c>
      <c r="J944" s="81">
        <f>33.1458 * CHOOSE(CONTROL!$C$32, $C$9, 100%, $E$9)</f>
        <v>33.145800000000001</v>
      </c>
      <c r="K944" s="81">
        <f>33.1511 * CHOOSE(CONTROL!$C$32, $C$9, 100%, $E$9)</f>
        <v>33.1511</v>
      </c>
      <c r="L944" s="81">
        <f>16.3355 * CHOOSE(CONTROL!$C$32, $C$9, 100%, $E$9)</f>
        <v>16.3355</v>
      </c>
      <c r="M944" s="81">
        <f>16.3408 * CHOOSE(CONTROL!$C$32, $C$9, 100%, $E$9)</f>
        <v>16.340800000000002</v>
      </c>
      <c r="N944" s="81">
        <f>16.3355 * CHOOSE(CONTROL!$C$32, $C$9, 100%, $E$9)</f>
        <v>16.3355</v>
      </c>
      <c r="O944" s="81">
        <f>16.3408 * CHOOSE(CONTROL!$C$32, $C$9, 100%, $E$9)</f>
        <v>16.340800000000002</v>
      </c>
    </row>
    <row r="945" spans="1:15" ht="15" x14ac:dyDescent="0.2">
      <c r="A945" s="16">
        <v>69976</v>
      </c>
      <c r="B945" s="80">
        <f>14.2488 * CHOOSE(CONTROL!$C$32, $C$9, 100%, $E$9)</f>
        <v>14.248799999999999</v>
      </c>
      <c r="C945" s="80">
        <f>14.2488 * CHOOSE(CONTROL!$C$32, $C$9, 100%, $E$9)</f>
        <v>14.248799999999999</v>
      </c>
      <c r="D945" s="80">
        <f>14.2503 * CHOOSE(CONTROL!$C$32, $C$9, 100%, $E$9)</f>
        <v>14.250299999999999</v>
      </c>
      <c r="E945" s="81">
        <f>15.9232 * CHOOSE(CONTROL!$C$32, $C$9, 100%, $E$9)</f>
        <v>15.9232</v>
      </c>
      <c r="F945" s="81">
        <f>15.9232 * CHOOSE(CONTROL!$C$32, $C$9, 100%, $E$9)</f>
        <v>15.9232</v>
      </c>
      <c r="G945" s="81">
        <f>15.9285 * CHOOSE(CONTROL!$C$32, $C$9, 100%, $E$9)</f>
        <v>15.9285</v>
      </c>
      <c r="H945" s="81">
        <f>33.2149 * CHOOSE(CONTROL!$C$32, $C$9, 100%, $E$9)</f>
        <v>33.2149</v>
      </c>
      <c r="I945" s="81">
        <f>33.2202 * CHOOSE(CONTROL!$C$32, $C$9, 100%, $E$9)</f>
        <v>33.220199999999998</v>
      </c>
      <c r="J945" s="81">
        <f>33.2149 * CHOOSE(CONTROL!$C$32, $C$9, 100%, $E$9)</f>
        <v>33.2149</v>
      </c>
      <c r="K945" s="81">
        <f>33.2202 * CHOOSE(CONTROL!$C$32, $C$9, 100%, $E$9)</f>
        <v>33.220199999999998</v>
      </c>
      <c r="L945" s="81">
        <f>15.9232 * CHOOSE(CONTROL!$C$32, $C$9, 100%, $E$9)</f>
        <v>15.9232</v>
      </c>
      <c r="M945" s="81">
        <f>15.9285 * CHOOSE(CONTROL!$C$32, $C$9, 100%, $E$9)</f>
        <v>15.9285</v>
      </c>
      <c r="N945" s="81">
        <f>15.9232 * CHOOSE(CONTROL!$C$32, $C$9, 100%, $E$9)</f>
        <v>15.9232</v>
      </c>
      <c r="O945" s="81">
        <f>15.9285 * CHOOSE(CONTROL!$C$32, $C$9, 100%, $E$9)</f>
        <v>15.9285</v>
      </c>
    </row>
    <row r="946" spans="1:15" ht="15" x14ac:dyDescent="0.2">
      <c r="A946" s="16">
        <v>70007</v>
      </c>
      <c r="B946" s="80">
        <f>14.2457 * CHOOSE(CONTROL!$C$32, $C$9, 100%, $E$9)</f>
        <v>14.245699999999999</v>
      </c>
      <c r="C946" s="80">
        <f>14.2457 * CHOOSE(CONTROL!$C$32, $C$9, 100%, $E$9)</f>
        <v>14.245699999999999</v>
      </c>
      <c r="D946" s="80">
        <f>14.2473 * CHOOSE(CONTROL!$C$32, $C$9, 100%, $E$9)</f>
        <v>14.247299999999999</v>
      </c>
      <c r="E946" s="81">
        <f>15.8748 * CHOOSE(CONTROL!$C$32, $C$9, 100%, $E$9)</f>
        <v>15.8748</v>
      </c>
      <c r="F946" s="81">
        <f>15.8748 * CHOOSE(CONTROL!$C$32, $C$9, 100%, $E$9)</f>
        <v>15.8748</v>
      </c>
      <c r="G946" s="81">
        <f>15.8801 * CHOOSE(CONTROL!$C$32, $C$9, 100%, $E$9)</f>
        <v>15.880100000000001</v>
      </c>
      <c r="H946" s="81">
        <f>33.2841 * CHOOSE(CONTROL!$C$32, $C$9, 100%, $E$9)</f>
        <v>33.284100000000002</v>
      </c>
      <c r="I946" s="81">
        <f>33.2894 * CHOOSE(CONTROL!$C$32, $C$9, 100%, $E$9)</f>
        <v>33.289400000000001</v>
      </c>
      <c r="J946" s="81">
        <f>33.2841 * CHOOSE(CONTROL!$C$32, $C$9, 100%, $E$9)</f>
        <v>33.284100000000002</v>
      </c>
      <c r="K946" s="81">
        <f>33.2894 * CHOOSE(CONTROL!$C$32, $C$9, 100%, $E$9)</f>
        <v>33.289400000000001</v>
      </c>
      <c r="L946" s="81">
        <f>15.8748 * CHOOSE(CONTROL!$C$32, $C$9, 100%, $E$9)</f>
        <v>15.8748</v>
      </c>
      <c r="M946" s="81">
        <f>15.8801 * CHOOSE(CONTROL!$C$32, $C$9, 100%, $E$9)</f>
        <v>15.880100000000001</v>
      </c>
      <c r="N946" s="81">
        <f>15.8748 * CHOOSE(CONTROL!$C$32, $C$9, 100%, $E$9)</f>
        <v>15.8748</v>
      </c>
      <c r="O946" s="81">
        <f>15.8801 * CHOOSE(CONTROL!$C$32, $C$9, 100%, $E$9)</f>
        <v>15.880100000000001</v>
      </c>
    </row>
    <row r="947" spans="1:15" ht="15" x14ac:dyDescent="0.2">
      <c r="A947" s="16">
        <v>70037</v>
      </c>
      <c r="B947" s="80">
        <f>14.2791 * CHOOSE(CONTROL!$C$32, $C$9, 100%, $E$9)</f>
        <v>14.2791</v>
      </c>
      <c r="C947" s="80">
        <f>14.2791 * CHOOSE(CONTROL!$C$32, $C$9, 100%, $E$9)</f>
        <v>14.2791</v>
      </c>
      <c r="D947" s="80">
        <f>14.2802 * CHOOSE(CONTROL!$C$32, $C$9, 100%, $E$9)</f>
        <v>14.280200000000001</v>
      </c>
      <c r="E947" s="81">
        <f>16.0467 * CHOOSE(CONTROL!$C$32, $C$9, 100%, $E$9)</f>
        <v>16.046700000000001</v>
      </c>
      <c r="F947" s="81">
        <f>16.0467 * CHOOSE(CONTROL!$C$32, $C$9, 100%, $E$9)</f>
        <v>16.046700000000001</v>
      </c>
      <c r="G947" s="81">
        <f>16.0503 * CHOOSE(CONTROL!$C$32, $C$9, 100%, $E$9)</f>
        <v>16.0503</v>
      </c>
      <c r="H947" s="81">
        <f>33.3534 * CHOOSE(CONTROL!$C$32, $C$9, 100%, $E$9)</f>
        <v>33.353400000000001</v>
      </c>
      <c r="I947" s="81">
        <f>33.357 * CHOOSE(CONTROL!$C$32, $C$9, 100%, $E$9)</f>
        <v>33.356999999999999</v>
      </c>
      <c r="J947" s="81">
        <f>33.3534 * CHOOSE(CONTROL!$C$32, $C$9, 100%, $E$9)</f>
        <v>33.353400000000001</v>
      </c>
      <c r="K947" s="81">
        <f>33.357 * CHOOSE(CONTROL!$C$32, $C$9, 100%, $E$9)</f>
        <v>33.356999999999999</v>
      </c>
      <c r="L947" s="81">
        <f>16.0467 * CHOOSE(CONTROL!$C$32, $C$9, 100%, $E$9)</f>
        <v>16.046700000000001</v>
      </c>
      <c r="M947" s="81">
        <f>16.0503 * CHOOSE(CONTROL!$C$32, $C$9, 100%, $E$9)</f>
        <v>16.0503</v>
      </c>
      <c r="N947" s="81">
        <f>16.0467 * CHOOSE(CONTROL!$C$32, $C$9, 100%, $E$9)</f>
        <v>16.046700000000001</v>
      </c>
      <c r="O947" s="81">
        <f>16.0503 * CHOOSE(CONTROL!$C$32, $C$9, 100%, $E$9)</f>
        <v>16.0503</v>
      </c>
    </row>
    <row r="948" spans="1:15" ht="15" x14ac:dyDescent="0.2">
      <c r="A948" s="16">
        <v>70068</v>
      </c>
      <c r="B948" s="80">
        <f>14.2821 * CHOOSE(CONTROL!$C$32, $C$9, 100%, $E$9)</f>
        <v>14.2821</v>
      </c>
      <c r="C948" s="80">
        <f>14.2821 * CHOOSE(CONTROL!$C$32, $C$9, 100%, $E$9)</f>
        <v>14.2821</v>
      </c>
      <c r="D948" s="80">
        <f>14.2832 * CHOOSE(CONTROL!$C$32, $C$9, 100%, $E$9)</f>
        <v>14.283200000000001</v>
      </c>
      <c r="E948" s="81">
        <f>16.1414 * CHOOSE(CONTROL!$C$32, $C$9, 100%, $E$9)</f>
        <v>16.141400000000001</v>
      </c>
      <c r="F948" s="81">
        <f>16.1414 * CHOOSE(CONTROL!$C$32, $C$9, 100%, $E$9)</f>
        <v>16.141400000000001</v>
      </c>
      <c r="G948" s="81">
        <f>16.1451 * CHOOSE(CONTROL!$C$32, $C$9, 100%, $E$9)</f>
        <v>16.145099999999999</v>
      </c>
      <c r="H948" s="81">
        <f>33.4229 * CHOOSE(CONTROL!$C$32, $C$9, 100%, $E$9)</f>
        <v>33.422899999999998</v>
      </c>
      <c r="I948" s="81">
        <f>33.4265 * CHOOSE(CONTROL!$C$32, $C$9, 100%, $E$9)</f>
        <v>33.426499999999997</v>
      </c>
      <c r="J948" s="81">
        <f>33.4229 * CHOOSE(CONTROL!$C$32, $C$9, 100%, $E$9)</f>
        <v>33.422899999999998</v>
      </c>
      <c r="K948" s="81">
        <f>33.4265 * CHOOSE(CONTROL!$C$32, $C$9, 100%, $E$9)</f>
        <v>33.426499999999997</v>
      </c>
      <c r="L948" s="81">
        <f>16.1414 * CHOOSE(CONTROL!$C$32, $C$9, 100%, $E$9)</f>
        <v>16.141400000000001</v>
      </c>
      <c r="M948" s="81">
        <f>16.1451 * CHOOSE(CONTROL!$C$32, $C$9, 100%, $E$9)</f>
        <v>16.145099999999999</v>
      </c>
      <c r="N948" s="81">
        <f>16.1414 * CHOOSE(CONTROL!$C$32, $C$9, 100%, $E$9)</f>
        <v>16.141400000000001</v>
      </c>
      <c r="O948" s="81">
        <f>16.1451 * CHOOSE(CONTROL!$C$32, $C$9, 100%, $E$9)</f>
        <v>16.145099999999999</v>
      </c>
    </row>
    <row r="949" spans="1:15" ht="15" x14ac:dyDescent="0.2">
      <c r="A949" s="16">
        <v>70098</v>
      </c>
      <c r="B949" s="80">
        <f>14.2821 * CHOOSE(CONTROL!$C$32, $C$9, 100%, $E$9)</f>
        <v>14.2821</v>
      </c>
      <c r="C949" s="80">
        <f>14.2821 * CHOOSE(CONTROL!$C$32, $C$9, 100%, $E$9)</f>
        <v>14.2821</v>
      </c>
      <c r="D949" s="80">
        <f>14.2832 * CHOOSE(CONTROL!$C$32, $C$9, 100%, $E$9)</f>
        <v>14.283200000000001</v>
      </c>
      <c r="E949" s="81">
        <f>15.9098 * CHOOSE(CONTROL!$C$32, $C$9, 100%, $E$9)</f>
        <v>15.909800000000001</v>
      </c>
      <c r="F949" s="81">
        <f>15.9098 * CHOOSE(CONTROL!$C$32, $C$9, 100%, $E$9)</f>
        <v>15.909800000000001</v>
      </c>
      <c r="G949" s="81">
        <f>15.9134 * CHOOSE(CONTROL!$C$32, $C$9, 100%, $E$9)</f>
        <v>15.913399999999999</v>
      </c>
      <c r="H949" s="81">
        <f>33.4925 * CHOOSE(CONTROL!$C$32, $C$9, 100%, $E$9)</f>
        <v>33.4925</v>
      </c>
      <c r="I949" s="81">
        <f>33.4962 * CHOOSE(CONTROL!$C$32, $C$9, 100%, $E$9)</f>
        <v>33.496200000000002</v>
      </c>
      <c r="J949" s="81">
        <f>33.4925 * CHOOSE(CONTROL!$C$32, $C$9, 100%, $E$9)</f>
        <v>33.4925</v>
      </c>
      <c r="K949" s="81">
        <f>33.4962 * CHOOSE(CONTROL!$C$32, $C$9, 100%, $E$9)</f>
        <v>33.496200000000002</v>
      </c>
      <c r="L949" s="81">
        <f>15.9098 * CHOOSE(CONTROL!$C$32, $C$9, 100%, $E$9)</f>
        <v>15.909800000000001</v>
      </c>
      <c r="M949" s="81">
        <f>15.9134 * CHOOSE(CONTROL!$C$32, $C$9, 100%, $E$9)</f>
        <v>15.913399999999999</v>
      </c>
      <c r="N949" s="81">
        <f>15.9098 * CHOOSE(CONTROL!$C$32, $C$9, 100%, $E$9)</f>
        <v>15.909800000000001</v>
      </c>
      <c r="O949" s="81">
        <f>15.9134 * CHOOSE(CONTROL!$C$32, $C$9, 100%, $E$9)</f>
        <v>15.913399999999999</v>
      </c>
    </row>
    <row r="950" spans="1:15" ht="15" x14ac:dyDescent="0.2">
      <c r="A950" s="16">
        <v>70129</v>
      </c>
      <c r="B950" s="80">
        <f>14.253 * CHOOSE(CONTROL!$C$32, $C$9, 100%, $E$9)</f>
        <v>14.253</v>
      </c>
      <c r="C950" s="80">
        <f>14.253 * CHOOSE(CONTROL!$C$32, $C$9, 100%, $E$9)</f>
        <v>14.253</v>
      </c>
      <c r="D950" s="80">
        <f>14.254 * CHOOSE(CONTROL!$C$32, $C$9, 100%, $E$9)</f>
        <v>14.254</v>
      </c>
      <c r="E950" s="81">
        <f>16.0456 * CHOOSE(CONTROL!$C$32, $C$9, 100%, $E$9)</f>
        <v>16.0456</v>
      </c>
      <c r="F950" s="81">
        <f>16.0456 * CHOOSE(CONTROL!$C$32, $C$9, 100%, $E$9)</f>
        <v>16.0456</v>
      </c>
      <c r="G950" s="81">
        <f>16.0492 * CHOOSE(CONTROL!$C$32, $C$9, 100%, $E$9)</f>
        <v>16.049199999999999</v>
      </c>
      <c r="H950" s="81">
        <f>33.1986 * CHOOSE(CONTROL!$C$32, $C$9, 100%, $E$9)</f>
        <v>33.198599999999999</v>
      </c>
      <c r="I950" s="81">
        <f>33.2022 * CHOOSE(CONTROL!$C$32, $C$9, 100%, $E$9)</f>
        <v>33.202199999999998</v>
      </c>
      <c r="J950" s="81">
        <f>33.1986 * CHOOSE(CONTROL!$C$32, $C$9, 100%, $E$9)</f>
        <v>33.198599999999999</v>
      </c>
      <c r="K950" s="81">
        <f>33.2022 * CHOOSE(CONTROL!$C$32, $C$9, 100%, $E$9)</f>
        <v>33.202199999999998</v>
      </c>
      <c r="L950" s="81">
        <f>16.0456 * CHOOSE(CONTROL!$C$32, $C$9, 100%, $E$9)</f>
        <v>16.0456</v>
      </c>
      <c r="M950" s="81">
        <f>16.0492 * CHOOSE(CONTROL!$C$32, $C$9, 100%, $E$9)</f>
        <v>16.049199999999999</v>
      </c>
      <c r="N950" s="81">
        <f>16.0456 * CHOOSE(CONTROL!$C$32, $C$9, 100%, $E$9)</f>
        <v>16.0456</v>
      </c>
      <c r="O950" s="81">
        <f>16.0492 * CHOOSE(CONTROL!$C$32, $C$9, 100%, $E$9)</f>
        <v>16.049199999999999</v>
      </c>
    </row>
    <row r="951" spans="1:15" ht="15" x14ac:dyDescent="0.2">
      <c r="A951" s="16">
        <v>70160</v>
      </c>
      <c r="B951" s="80">
        <f>14.2499 * CHOOSE(CONTROL!$C$32, $C$9, 100%, $E$9)</f>
        <v>14.2499</v>
      </c>
      <c r="C951" s="80">
        <f>14.2499 * CHOOSE(CONTROL!$C$32, $C$9, 100%, $E$9)</f>
        <v>14.2499</v>
      </c>
      <c r="D951" s="80">
        <f>14.251 * CHOOSE(CONTROL!$C$32, $C$9, 100%, $E$9)</f>
        <v>14.250999999999999</v>
      </c>
      <c r="E951" s="81">
        <f>15.5987 * CHOOSE(CONTROL!$C$32, $C$9, 100%, $E$9)</f>
        <v>15.598699999999999</v>
      </c>
      <c r="F951" s="81">
        <f>15.5987 * CHOOSE(CONTROL!$C$32, $C$9, 100%, $E$9)</f>
        <v>15.598699999999999</v>
      </c>
      <c r="G951" s="81">
        <f>15.6023 * CHOOSE(CONTROL!$C$32, $C$9, 100%, $E$9)</f>
        <v>15.6023</v>
      </c>
      <c r="H951" s="81">
        <f>33.2677 * CHOOSE(CONTROL!$C$32, $C$9, 100%, $E$9)</f>
        <v>33.267699999999998</v>
      </c>
      <c r="I951" s="81">
        <f>33.2713 * CHOOSE(CONTROL!$C$32, $C$9, 100%, $E$9)</f>
        <v>33.271299999999997</v>
      </c>
      <c r="J951" s="81">
        <f>33.2677 * CHOOSE(CONTROL!$C$32, $C$9, 100%, $E$9)</f>
        <v>33.267699999999998</v>
      </c>
      <c r="K951" s="81">
        <f>33.2713 * CHOOSE(CONTROL!$C$32, $C$9, 100%, $E$9)</f>
        <v>33.271299999999997</v>
      </c>
      <c r="L951" s="81">
        <f>15.5987 * CHOOSE(CONTROL!$C$32, $C$9, 100%, $E$9)</f>
        <v>15.598699999999999</v>
      </c>
      <c r="M951" s="81">
        <f>15.6023 * CHOOSE(CONTROL!$C$32, $C$9, 100%, $E$9)</f>
        <v>15.6023</v>
      </c>
      <c r="N951" s="81">
        <f>15.5987 * CHOOSE(CONTROL!$C$32, $C$9, 100%, $E$9)</f>
        <v>15.598699999999999</v>
      </c>
      <c r="O951" s="81">
        <f>15.6023 * CHOOSE(CONTROL!$C$32, $C$9, 100%, $E$9)</f>
        <v>15.6023</v>
      </c>
    </row>
    <row r="952" spans="1:15" ht="15" x14ac:dyDescent="0.2">
      <c r="A952" s="16">
        <v>70189</v>
      </c>
      <c r="B952" s="80">
        <f>14.2469 * CHOOSE(CONTROL!$C$32, $C$9, 100%, $E$9)</f>
        <v>14.2469</v>
      </c>
      <c r="C952" s="80">
        <f>14.2469 * CHOOSE(CONTROL!$C$32, $C$9, 100%, $E$9)</f>
        <v>14.2469</v>
      </c>
      <c r="D952" s="80">
        <f>14.2479 * CHOOSE(CONTROL!$C$32, $C$9, 100%, $E$9)</f>
        <v>14.2479</v>
      </c>
      <c r="E952" s="81">
        <f>15.9472 * CHOOSE(CONTROL!$C$32, $C$9, 100%, $E$9)</f>
        <v>15.9472</v>
      </c>
      <c r="F952" s="81">
        <f>15.9472 * CHOOSE(CONTROL!$C$32, $C$9, 100%, $E$9)</f>
        <v>15.9472</v>
      </c>
      <c r="G952" s="81">
        <f>15.9508 * CHOOSE(CONTROL!$C$32, $C$9, 100%, $E$9)</f>
        <v>15.950799999999999</v>
      </c>
      <c r="H952" s="81">
        <f>33.337 * CHOOSE(CONTROL!$C$32, $C$9, 100%, $E$9)</f>
        <v>33.337000000000003</v>
      </c>
      <c r="I952" s="81">
        <f>33.3406 * CHOOSE(CONTROL!$C$32, $C$9, 100%, $E$9)</f>
        <v>33.340600000000002</v>
      </c>
      <c r="J952" s="81">
        <f>33.337 * CHOOSE(CONTROL!$C$32, $C$9, 100%, $E$9)</f>
        <v>33.337000000000003</v>
      </c>
      <c r="K952" s="81">
        <f>33.3406 * CHOOSE(CONTROL!$C$32, $C$9, 100%, $E$9)</f>
        <v>33.340600000000002</v>
      </c>
      <c r="L952" s="81">
        <f>15.9472 * CHOOSE(CONTROL!$C$32, $C$9, 100%, $E$9)</f>
        <v>15.9472</v>
      </c>
      <c r="M952" s="81">
        <f>15.9508 * CHOOSE(CONTROL!$C$32, $C$9, 100%, $E$9)</f>
        <v>15.950799999999999</v>
      </c>
      <c r="N952" s="81">
        <f>15.9472 * CHOOSE(CONTROL!$C$32, $C$9, 100%, $E$9)</f>
        <v>15.9472</v>
      </c>
      <c r="O952" s="81">
        <f>15.9508 * CHOOSE(CONTROL!$C$32, $C$9, 100%, $E$9)</f>
        <v>15.950799999999999</v>
      </c>
    </row>
    <row r="953" spans="1:15" ht="15" x14ac:dyDescent="0.2">
      <c r="A953" s="16">
        <v>70220</v>
      </c>
      <c r="B953" s="80">
        <f>14.2545 * CHOOSE(CONTROL!$C$32, $C$9, 100%, $E$9)</f>
        <v>14.2545</v>
      </c>
      <c r="C953" s="80">
        <f>14.2545 * CHOOSE(CONTROL!$C$32, $C$9, 100%, $E$9)</f>
        <v>14.2545</v>
      </c>
      <c r="D953" s="80">
        <f>14.2555 * CHOOSE(CONTROL!$C$32, $C$9, 100%, $E$9)</f>
        <v>14.2555</v>
      </c>
      <c r="E953" s="81">
        <f>16.3196 * CHOOSE(CONTROL!$C$32, $C$9, 100%, $E$9)</f>
        <v>16.319600000000001</v>
      </c>
      <c r="F953" s="81">
        <f>16.3196 * CHOOSE(CONTROL!$C$32, $C$9, 100%, $E$9)</f>
        <v>16.319600000000001</v>
      </c>
      <c r="G953" s="81">
        <f>16.3232 * CHOOSE(CONTROL!$C$32, $C$9, 100%, $E$9)</f>
        <v>16.3232</v>
      </c>
      <c r="H953" s="81">
        <f>33.4065 * CHOOSE(CONTROL!$C$32, $C$9, 100%, $E$9)</f>
        <v>33.406500000000001</v>
      </c>
      <c r="I953" s="81">
        <f>33.4101 * CHOOSE(CONTROL!$C$32, $C$9, 100%, $E$9)</f>
        <v>33.4101</v>
      </c>
      <c r="J953" s="81">
        <f>33.4065 * CHOOSE(CONTROL!$C$32, $C$9, 100%, $E$9)</f>
        <v>33.406500000000001</v>
      </c>
      <c r="K953" s="81">
        <f>33.4101 * CHOOSE(CONTROL!$C$32, $C$9, 100%, $E$9)</f>
        <v>33.4101</v>
      </c>
      <c r="L953" s="81">
        <f>16.3196 * CHOOSE(CONTROL!$C$32, $C$9, 100%, $E$9)</f>
        <v>16.319600000000001</v>
      </c>
      <c r="M953" s="81">
        <f>16.3232 * CHOOSE(CONTROL!$C$32, $C$9, 100%, $E$9)</f>
        <v>16.3232</v>
      </c>
      <c r="N953" s="81">
        <f>16.3196 * CHOOSE(CONTROL!$C$32, $C$9, 100%, $E$9)</f>
        <v>16.319600000000001</v>
      </c>
      <c r="O953" s="81">
        <f>16.3232 * CHOOSE(CONTROL!$C$32, $C$9, 100%, $E$9)</f>
        <v>16.3232</v>
      </c>
    </row>
    <row r="954" spans="1:15" ht="15" x14ac:dyDescent="0.2">
      <c r="A954" s="16">
        <v>70250</v>
      </c>
      <c r="B954" s="80">
        <f>14.2545 * CHOOSE(CONTROL!$C$32, $C$9, 100%, $E$9)</f>
        <v>14.2545</v>
      </c>
      <c r="C954" s="80">
        <f>14.2545 * CHOOSE(CONTROL!$C$32, $C$9, 100%, $E$9)</f>
        <v>14.2545</v>
      </c>
      <c r="D954" s="80">
        <f>14.2561 * CHOOSE(CONTROL!$C$32, $C$9, 100%, $E$9)</f>
        <v>14.2561</v>
      </c>
      <c r="E954" s="81">
        <f>16.4608 * CHOOSE(CONTROL!$C$32, $C$9, 100%, $E$9)</f>
        <v>16.460799999999999</v>
      </c>
      <c r="F954" s="81">
        <f>16.4608 * CHOOSE(CONTROL!$C$32, $C$9, 100%, $E$9)</f>
        <v>16.460799999999999</v>
      </c>
      <c r="G954" s="81">
        <f>16.4661 * CHOOSE(CONTROL!$C$32, $C$9, 100%, $E$9)</f>
        <v>16.466100000000001</v>
      </c>
      <c r="H954" s="81">
        <f>33.4761 * CHOOSE(CONTROL!$C$32, $C$9, 100%, $E$9)</f>
        <v>33.476100000000002</v>
      </c>
      <c r="I954" s="81">
        <f>33.4814 * CHOOSE(CONTROL!$C$32, $C$9, 100%, $E$9)</f>
        <v>33.481400000000001</v>
      </c>
      <c r="J954" s="81">
        <f>33.4761 * CHOOSE(CONTROL!$C$32, $C$9, 100%, $E$9)</f>
        <v>33.476100000000002</v>
      </c>
      <c r="K954" s="81">
        <f>33.4814 * CHOOSE(CONTROL!$C$32, $C$9, 100%, $E$9)</f>
        <v>33.481400000000001</v>
      </c>
      <c r="L954" s="81">
        <f>16.4608 * CHOOSE(CONTROL!$C$32, $C$9, 100%, $E$9)</f>
        <v>16.460799999999999</v>
      </c>
      <c r="M954" s="81">
        <f>16.4661 * CHOOSE(CONTROL!$C$32, $C$9, 100%, $E$9)</f>
        <v>16.466100000000001</v>
      </c>
      <c r="N954" s="81">
        <f>16.4608 * CHOOSE(CONTROL!$C$32, $C$9, 100%, $E$9)</f>
        <v>16.460799999999999</v>
      </c>
      <c r="O954" s="81">
        <f>16.4661 * CHOOSE(CONTROL!$C$32, $C$9, 100%, $E$9)</f>
        <v>16.466100000000001</v>
      </c>
    </row>
    <row r="955" spans="1:15" ht="15" x14ac:dyDescent="0.2">
      <c r="A955" s="16">
        <v>70281</v>
      </c>
      <c r="B955" s="80">
        <f>14.2606 * CHOOSE(CONTROL!$C$32, $C$9, 100%, $E$9)</f>
        <v>14.2606</v>
      </c>
      <c r="C955" s="80">
        <f>14.2606 * CHOOSE(CONTROL!$C$32, $C$9, 100%, $E$9)</f>
        <v>14.2606</v>
      </c>
      <c r="D955" s="80">
        <f>14.2621 * CHOOSE(CONTROL!$C$32, $C$9, 100%, $E$9)</f>
        <v>14.2621</v>
      </c>
      <c r="E955" s="81">
        <f>16.3238 * CHOOSE(CONTROL!$C$32, $C$9, 100%, $E$9)</f>
        <v>16.323799999999999</v>
      </c>
      <c r="F955" s="81">
        <f>16.3238 * CHOOSE(CONTROL!$C$32, $C$9, 100%, $E$9)</f>
        <v>16.323799999999999</v>
      </c>
      <c r="G955" s="81">
        <f>16.3291 * CHOOSE(CONTROL!$C$32, $C$9, 100%, $E$9)</f>
        <v>16.3291</v>
      </c>
      <c r="H955" s="81">
        <f>33.5458 * CHOOSE(CONTROL!$C$32, $C$9, 100%, $E$9)</f>
        <v>33.5458</v>
      </c>
      <c r="I955" s="81">
        <f>33.5511 * CHOOSE(CONTROL!$C$32, $C$9, 100%, $E$9)</f>
        <v>33.551099999999998</v>
      </c>
      <c r="J955" s="81">
        <f>33.5458 * CHOOSE(CONTROL!$C$32, $C$9, 100%, $E$9)</f>
        <v>33.5458</v>
      </c>
      <c r="K955" s="81">
        <f>33.5511 * CHOOSE(CONTROL!$C$32, $C$9, 100%, $E$9)</f>
        <v>33.551099999999998</v>
      </c>
      <c r="L955" s="81">
        <f>16.3238 * CHOOSE(CONTROL!$C$32, $C$9, 100%, $E$9)</f>
        <v>16.323799999999999</v>
      </c>
      <c r="M955" s="81">
        <f>16.3291 * CHOOSE(CONTROL!$C$32, $C$9, 100%, $E$9)</f>
        <v>16.3291</v>
      </c>
      <c r="N955" s="81">
        <f>16.3238 * CHOOSE(CONTROL!$C$32, $C$9, 100%, $E$9)</f>
        <v>16.323799999999999</v>
      </c>
      <c r="O955" s="81">
        <f>16.3291 * CHOOSE(CONTROL!$C$32, $C$9, 100%, $E$9)</f>
        <v>16.3291</v>
      </c>
    </row>
    <row r="956" spans="1:15" ht="15" x14ac:dyDescent="0.2">
      <c r="A956" s="16">
        <v>70311</v>
      </c>
      <c r="B956" s="80">
        <f>14.4317 * CHOOSE(CONTROL!$C$32, $C$9, 100%, $E$9)</f>
        <v>14.431699999999999</v>
      </c>
      <c r="C956" s="80">
        <f>14.4317 * CHOOSE(CONTROL!$C$32, $C$9, 100%, $E$9)</f>
        <v>14.431699999999999</v>
      </c>
      <c r="D956" s="80">
        <f>14.4332 * CHOOSE(CONTROL!$C$32, $C$9, 100%, $E$9)</f>
        <v>14.433199999999999</v>
      </c>
      <c r="E956" s="81">
        <f>16.5557 * CHOOSE(CONTROL!$C$32, $C$9, 100%, $E$9)</f>
        <v>16.555700000000002</v>
      </c>
      <c r="F956" s="81">
        <f>16.5557 * CHOOSE(CONTROL!$C$32, $C$9, 100%, $E$9)</f>
        <v>16.555700000000002</v>
      </c>
      <c r="G956" s="81">
        <f>16.561 * CHOOSE(CONTROL!$C$32, $C$9, 100%, $E$9)</f>
        <v>16.561</v>
      </c>
      <c r="H956" s="81">
        <f>33.6157 * CHOOSE(CONTROL!$C$32, $C$9, 100%, $E$9)</f>
        <v>33.615699999999997</v>
      </c>
      <c r="I956" s="81">
        <f>33.621 * CHOOSE(CONTROL!$C$32, $C$9, 100%, $E$9)</f>
        <v>33.621000000000002</v>
      </c>
      <c r="J956" s="81">
        <f>33.6157 * CHOOSE(CONTROL!$C$32, $C$9, 100%, $E$9)</f>
        <v>33.615699999999997</v>
      </c>
      <c r="K956" s="81">
        <f>33.621 * CHOOSE(CONTROL!$C$32, $C$9, 100%, $E$9)</f>
        <v>33.621000000000002</v>
      </c>
      <c r="L956" s="81">
        <f>16.5557 * CHOOSE(CONTROL!$C$32, $C$9, 100%, $E$9)</f>
        <v>16.555700000000002</v>
      </c>
      <c r="M956" s="81">
        <f>16.561 * CHOOSE(CONTROL!$C$32, $C$9, 100%, $E$9)</f>
        <v>16.561</v>
      </c>
      <c r="N956" s="81">
        <f>16.5557 * CHOOSE(CONTROL!$C$32, $C$9, 100%, $E$9)</f>
        <v>16.555700000000002</v>
      </c>
      <c r="O956" s="81">
        <f>16.561 * CHOOSE(CONTROL!$C$32, $C$9, 100%, $E$9)</f>
        <v>16.561</v>
      </c>
    </row>
    <row r="957" spans="1:15" ht="15" x14ac:dyDescent="0.2">
      <c r="A957" s="16">
        <v>70342</v>
      </c>
      <c r="B957" s="80">
        <f>14.4384 * CHOOSE(CONTROL!$C$32, $C$9, 100%, $E$9)</f>
        <v>14.4384</v>
      </c>
      <c r="C957" s="80">
        <f>14.4384 * CHOOSE(CONTROL!$C$32, $C$9, 100%, $E$9)</f>
        <v>14.4384</v>
      </c>
      <c r="D957" s="80">
        <f>14.4399 * CHOOSE(CONTROL!$C$32, $C$9, 100%, $E$9)</f>
        <v>14.4399</v>
      </c>
      <c r="E957" s="81">
        <f>16.1367 * CHOOSE(CONTROL!$C$32, $C$9, 100%, $E$9)</f>
        <v>16.136700000000001</v>
      </c>
      <c r="F957" s="81">
        <f>16.1367 * CHOOSE(CONTROL!$C$32, $C$9, 100%, $E$9)</f>
        <v>16.136700000000001</v>
      </c>
      <c r="G957" s="81">
        <f>16.142 * CHOOSE(CONTROL!$C$32, $C$9, 100%, $E$9)</f>
        <v>16.141999999999999</v>
      </c>
      <c r="H957" s="81">
        <f>33.6857 * CHOOSE(CONTROL!$C$32, $C$9, 100%, $E$9)</f>
        <v>33.685699999999997</v>
      </c>
      <c r="I957" s="81">
        <f>33.691 * CHOOSE(CONTROL!$C$32, $C$9, 100%, $E$9)</f>
        <v>33.691000000000003</v>
      </c>
      <c r="J957" s="81">
        <f>33.6857 * CHOOSE(CONTROL!$C$32, $C$9, 100%, $E$9)</f>
        <v>33.685699999999997</v>
      </c>
      <c r="K957" s="81">
        <f>33.691 * CHOOSE(CONTROL!$C$32, $C$9, 100%, $E$9)</f>
        <v>33.691000000000003</v>
      </c>
      <c r="L957" s="81">
        <f>16.1367 * CHOOSE(CONTROL!$C$32, $C$9, 100%, $E$9)</f>
        <v>16.136700000000001</v>
      </c>
      <c r="M957" s="81">
        <f>16.142 * CHOOSE(CONTROL!$C$32, $C$9, 100%, $E$9)</f>
        <v>16.141999999999999</v>
      </c>
      <c r="N957" s="81">
        <f>16.1367 * CHOOSE(CONTROL!$C$32, $C$9, 100%, $E$9)</f>
        <v>16.136700000000001</v>
      </c>
      <c r="O957" s="81">
        <f>16.142 * CHOOSE(CONTROL!$C$32, $C$9, 100%, $E$9)</f>
        <v>16.141999999999999</v>
      </c>
    </row>
    <row r="958" spans="1:15" ht="15" x14ac:dyDescent="0.2">
      <c r="A958" s="16">
        <v>70373</v>
      </c>
      <c r="B958" s="80">
        <f>14.4353 * CHOOSE(CONTROL!$C$32, $C$9, 100%, $E$9)</f>
        <v>14.4353</v>
      </c>
      <c r="C958" s="80">
        <f>14.4353 * CHOOSE(CONTROL!$C$32, $C$9, 100%, $E$9)</f>
        <v>14.4353</v>
      </c>
      <c r="D958" s="80">
        <f>14.4369 * CHOOSE(CONTROL!$C$32, $C$9, 100%, $E$9)</f>
        <v>14.4369</v>
      </c>
      <c r="E958" s="81">
        <f>16.0875 * CHOOSE(CONTROL!$C$32, $C$9, 100%, $E$9)</f>
        <v>16.087499999999999</v>
      </c>
      <c r="F958" s="81">
        <f>16.0875 * CHOOSE(CONTROL!$C$32, $C$9, 100%, $E$9)</f>
        <v>16.087499999999999</v>
      </c>
      <c r="G958" s="81">
        <f>16.0928 * CHOOSE(CONTROL!$C$32, $C$9, 100%, $E$9)</f>
        <v>16.0928</v>
      </c>
      <c r="H958" s="81">
        <f>33.7559 * CHOOSE(CONTROL!$C$32, $C$9, 100%, $E$9)</f>
        <v>33.755899999999997</v>
      </c>
      <c r="I958" s="81">
        <f>33.7612 * CHOOSE(CONTROL!$C$32, $C$9, 100%, $E$9)</f>
        <v>33.761200000000002</v>
      </c>
      <c r="J958" s="81">
        <f>33.7559 * CHOOSE(CONTROL!$C$32, $C$9, 100%, $E$9)</f>
        <v>33.755899999999997</v>
      </c>
      <c r="K958" s="81">
        <f>33.7612 * CHOOSE(CONTROL!$C$32, $C$9, 100%, $E$9)</f>
        <v>33.761200000000002</v>
      </c>
      <c r="L958" s="81">
        <f>16.0875 * CHOOSE(CONTROL!$C$32, $C$9, 100%, $E$9)</f>
        <v>16.087499999999999</v>
      </c>
      <c r="M958" s="81">
        <f>16.0928 * CHOOSE(CONTROL!$C$32, $C$9, 100%, $E$9)</f>
        <v>16.0928</v>
      </c>
      <c r="N958" s="81">
        <f>16.0875 * CHOOSE(CONTROL!$C$32, $C$9, 100%, $E$9)</f>
        <v>16.087499999999999</v>
      </c>
      <c r="O958" s="81">
        <f>16.0928 * CHOOSE(CONTROL!$C$32, $C$9, 100%, $E$9)</f>
        <v>16.0928</v>
      </c>
    </row>
    <row r="959" spans="1:15" ht="15" x14ac:dyDescent="0.2">
      <c r="A959" s="16">
        <v>70403</v>
      </c>
      <c r="B959" s="80">
        <f>14.4694 * CHOOSE(CONTROL!$C$32, $C$9, 100%, $E$9)</f>
        <v>14.4694</v>
      </c>
      <c r="C959" s="80">
        <f>14.4694 * CHOOSE(CONTROL!$C$32, $C$9, 100%, $E$9)</f>
        <v>14.4694</v>
      </c>
      <c r="D959" s="80">
        <f>14.4705 * CHOOSE(CONTROL!$C$32, $C$9, 100%, $E$9)</f>
        <v>14.470499999999999</v>
      </c>
      <c r="E959" s="81">
        <f>16.2624 * CHOOSE(CONTROL!$C$32, $C$9, 100%, $E$9)</f>
        <v>16.2624</v>
      </c>
      <c r="F959" s="81">
        <f>16.2624 * CHOOSE(CONTROL!$C$32, $C$9, 100%, $E$9)</f>
        <v>16.2624</v>
      </c>
      <c r="G959" s="81">
        <f>16.266 * CHOOSE(CONTROL!$C$32, $C$9, 100%, $E$9)</f>
        <v>16.265999999999998</v>
      </c>
      <c r="H959" s="81">
        <f>33.8262 * CHOOSE(CONTROL!$C$32, $C$9, 100%, $E$9)</f>
        <v>33.8262</v>
      </c>
      <c r="I959" s="81">
        <f>33.8299 * CHOOSE(CONTROL!$C$32, $C$9, 100%, $E$9)</f>
        <v>33.829900000000002</v>
      </c>
      <c r="J959" s="81">
        <f>33.8262 * CHOOSE(CONTROL!$C$32, $C$9, 100%, $E$9)</f>
        <v>33.8262</v>
      </c>
      <c r="K959" s="81">
        <f>33.8299 * CHOOSE(CONTROL!$C$32, $C$9, 100%, $E$9)</f>
        <v>33.829900000000002</v>
      </c>
      <c r="L959" s="81">
        <f>16.2624 * CHOOSE(CONTROL!$C$32, $C$9, 100%, $E$9)</f>
        <v>16.2624</v>
      </c>
      <c r="M959" s="81">
        <f>16.266 * CHOOSE(CONTROL!$C$32, $C$9, 100%, $E$9)</f>
        <v>16.265999999999998</v>
      </c>
      <c r="N959" s="81">
        <f>16.2624 * CHOOSE(CONTROL!$C$32, $C$9, 100%, $E$9)</f>
        <v>16.2624</v>
      </c>
      <c r="O959" s="81">
        <f>16.266 * CHOOSE(CONTROL!$C$32, $C$9, 100%, $E$9)</f>
        <v>16.265999999999998</v>
      </c>
    </row>
    <row r="960" spans="1:15" ht="15" x14ac:dyDescent="0.2">
      <c r="A960" s="16">
        <v>70434</v>
      </c>
      <c r="B960" s="80">
        <f>14.4724 * CHOOSE(CONTROL!$C$32, $C$9, 100%, $E$9)</f>
        <v>14.4724</v>
      </c>
      <c r="C960" s="80">
        <f>14.4724 * CHOOSE(CONTROL!$C$32, $C$9, 100%, $E$9)</f>
        <v>14.4724</v>
      </c>
      <c r="D960" s="80">
        <f>14.4735 * CHOOSE(CONTROL!$C$32, $C$9, 100%, $E$9)</f>
        <v>14.4735</v>
      </c>
      <c r="E960" s="81">
        <f>16.3586 * CHOOSE(CONTROL!$C$32, $C$9, 100%, $E$9)</f>
        <v>16.358599999999999</v>
      </c>
      <c r="F960" s="81">
        <f>16.3586 * CHOOSE(CONTROL!$C$32, $C$9, 100%, $E$9)</f>
        <v>16.358599999999999</v>
      </c>
      <c r="G960" s="81">
        <f>16.3622 * CHOOSE(CONTROL!$C$32, $C$9, 100%, $E$9)</f>
        <v>16.362200000000001</v>
      </c>
      <c r="H960" s="81">
        <f>33.8967 * CHOOSE(CONTROL!$C$32, $C$9, 100%, $E$9)</f>
        <v>33.896700000000003</v>
      </c>
      <c r="I960" s="81">
        <f>33.9003 * CHOOSE(CONTROL!$C$32, $C$9, 100%, $E$9)</f>
        <v>33.900300000000001</v>
      </c>
      <c r="J960" s="81">
        <f>33.8967 * CHOOSE(CONTROL!$C$32, $C$9, 100%, $E$9)</f>
        <v>33.896700000000003</v>
      </c>
      <c r="K960" s="81">
        <f>33.9003 * CHOOSE(CONTROL!$C$32, $C$9, 100%, $E$9)</f>
        <v>33.900300000000001</v>
      </c>
      <c r="L960" s="81">
        <f>16.3586 * CHOOSE(CONTROL!$C$32, $C$9, 100%, $E$9)</f>
        <v>16.358599999999999</v>
      </c>
      <c r="M960" s="81">
        <f>16.3622 * CHOOSE(CONTROL!$C$32, $C$9, 100%, $E$9)</f>
        <v>16.362200000000001</v>
      </c>
      <c r="N960" s="81">
        <f>16.3586 * CHOOSE(CONTROL!$C$32, $C$9, 100%, $E$9)</f>
        <v>16.358599999999999</v>
      </c>
      <c r="O960" s="81">
        <f>16.3622 * CHOOSE(CONTROL!$C$32, $C$9, 100%, $E$9)</f>
        <v>16.362200000000001</v>
      </c>
    </row>
    <row r="961" spans="1:15" ht="15" x14ac:dyDescent="0.2">
      <c r="A961" s="16">
        <v>70464</v>
      </c>
      <c r="B961" s="80">
        <f>14.4724 * CHOOSE(CONTROL!$C$32, $C$9, 100%, $E$9)</f>
        <v>14.4724</v>
      </c>
      <c r="C961" s="80">
        <f>14.4724 * CHOOSE(CONTROL!$C$32, $C$9, 100%, $E$9)</f>
        <v>14.4724</v>
      </c>
      <c r="D961" s="80">
        <f>14.4735 * CHOOSE(CONTROL!$C$32, $C$9, 100%, $E$9)</f>
        <v>14.4735</v>
      </c>
      <c r="E961" s="81">
        <f>16.1233 * CHOOSE(CONTROL!$C$32, $C$9, 100%, $E$9)</f>
        <v>16.1233</v>
      </c>
      <c r="F961" s="81">
        <f>16.1233 * CHOOSE(CONTROL!$C$32, $C$9, 100%, $E$9)</f>
        <v>16.1233</v>
      </c>
      <c r="G961" s="81">
        <f>16.1269 * CHOOSE(CONTROL!$C$32, $C$9, 100%, $E$9)</f>
        <v>16.126899999999999</v>
      </c>
      <c r="H961" s="81">
        <f>33.9673 * CHOOSE(CONTROL!$C$32, $C$9, 100%, $E$9)</f>
        <v>33.967300000000002</v>
      </c>
      <c r="I961" s="81">
        <f>33.9709 * CHOOSE(CONTROL!$C$32, $C$9, 100%, $E$9)</f>
        <v>33.9709</v>
      </c>
      <c r="J961" s="81">
        <f>33.9673 * CHOOSE(CONTROL!$C$32, $C$9, 100%, $E$9)</f>
        <v>33.967300000000002</v>
      </c>
      <c r="K961" s="81">
        <f>33.9709 * CHOOSE(CONTROL!$C$32, $C$9, 100%, $E$9)</f>
        <v>33.9709</v>
      </c>
      <c r="L961" s="81">
        <f>16.1233 * CHOOSE(CONTROL!$C$32, $C$9, 100%, $E$9)</f>
        <v>16.1233</v>
      </c>
      <c r="M961" s="81">
        <f>16.1269 * CHOOSE(CONTROL!$C$32, $C$9, 100%, $E$9)</f>
        <v>16.126899999999999</v>
      </c>
      <c r="N961" s="81">
        <f>16.1233 * CHOOSE(CONTROL!$C$32, $C$9, 100%, $E$9)</f>
        <v>16.1233</v>
      </c>
      <c r="O961" s="81">
        <f>16.1269 * CHOOSE(CONTROL!$C$32, $C$9, 100%, $E$9)</f>
        <v>16.126899999999999</v>
      </c>
    </row>
    <row r="962" spans="1:15" ht="15" x14ac:dyDescent="0.2">
      <c r="A962" s="16">
        <v>70495</v>
      </c>
      <c r="B962" s="80">
        <f>14.4403 * CHOOSE(CONTROL!$C$32, $C$9, 100%, $E$9)</f>
        <v>14.440300000000001</v>
      </c>
      <c r="C962" s="80">
        <f>14.4403 * CHOOSE(CONTROL!$C$32, $C$9, 100%, $E$9)</f>
        <v>14.440300000000001</v>
      </c>
      <c r="D962" s="80">
        <f>14.4414 * CHOOSE(CONTROL!$C$32, $C$9, 100%, $E$9)</f>
        <v>14.4414</v>
      </c>
      <c r="E962" s="81">
        <f>16.2581 * CHOOSE(CONTROL!$C$32, $C$9, 100%, $E$9)</f>
        <v>16.258099999999999</v>
      </c>
      <c r="F962" s="81">
        <f>16.2581 * CHOOSE(CONTROL!$C$32, $C$9, 100%, $E$9)</f>
        <v>16.258099999999999</v>
      </c>
      <c r="G962" s="81">
        <f>16.2617 * CHOOSE(CONTROL!$C$32, $C$9, 100%, $E$9)</f>
        <v>16.261700000000001</v>
      </c>
      <c r="H962" s="81">
        <f>33.6626 * CHOOSE(CONTROL!$C$32, $C$9, 100%, $E$9)</f>
        <v>33.662599999999998</v>
      </c>
      <c r="I962" s="81">
        <f>33.6662 * CHOOSE(CONTROL!$C$32, $C$9, 100%, $E$9)</f>
        <v>33.666200000000003</v>
      </c>
      <c r="J962" s="81">
        <f>33.6626 * CHOOSE(CONTROL!$C$32, $C$9, 100%, $E$9)</f>
        <v>33.662599999999998</v>
      </c>
      <c r="K962" s="81">
        <f>33.6662 * CHOOSE(CONTROL!$C$32, $C$9, 100%, $E$9)</f>
        <v>33.666200000000003</v>
      </c>
      <c r="L962" s="81">
        <f>16.2581 * CHOOSE(CONTROL!$C$32, $C$9, 100%, $E$9)</f>
        <v>16.258099999999999</v>
      </c>
      <c r="M962" s="81">
        <f>16.2617 * CHOOSE(CONTROL!$C$32, $C$9, 100%, $E$9)</f>
        <v>16.261700000000001</v>
      </c>
      <c r="N962" s="81">
        <f>16.2581 * CHOOSE(CONTROL!$C$32, $C$9, 100%, $E$9)</f>
        <v>16.258099999999999</v>
      </c>
      <c r="O962" s="81">
        <f>16.2617 * CHOOSE(CONTROL!$C$32, $C$9, 100%, $E$9)</f>
        <v>16.261700000000001</v>
      </c>
    </row>
    <row r="963" spans="1:15" ht="15" x14ac:dyDescent="0.2">
      <c r="A963" s="16">
        <v>70526</v>
      </c>
      <c r="B963" s="80">
        <f>14.4373 * CHOOSE(CONTROL!$C$32, $C$9, 100%, $E$9)</f>
        <v>14.4373</v>
      </c>
      <c r="C963" s="80">
        <f>14.4373 * CHOOSE(CONTROL!$C$32, $C$9, 100%, $E$9)</f>
        <v>14.4373</v>
      </c>
      <c r="D963" s="80">
        <f>14.4383 * CHOOSE(CONTROL!$C$32, $C$9, 100%, $E$9)</f>
        <v>14.4383</v>
      </c>
      <c r="E963" s="81">
        <f>15.8041 * CHOOSE(CONTROL!$C$32, $C$9, 100%, $E$9)</f>
        <v>15.8041</v>
      </c>
      <c r="F963" s="81">
        <f>15.8041 * CHOOSE(CONTROL!$C$32, $C$9, 100%, $E$9)</f>
        <v>15.8041</v>
      </c>
      <c r="G963" s="81">
        <f>15.8077 * CHOOSE(CONTROL!$C$32, $C$9, 100%, $E$9)</f>
        <v>15.807700000000001</v>
      </c>
      <c r="H963" s="81">
        <f>33.7327 * CHOOSE(CONTROL!$C$32, $C$9, 100%, $E$9)</f>
        <v>33.732700000000001</v>
      </c>
      <c r="I963" s="81">
        <f>33.7363 * CHOOSE(CONTROL!$C$32, $C$9, 100%, $E$9)</f>
        <v>33.7363</v>
      </c>
      <c r="J963" s="81">
        <f>33.7327 * CHOOSE(CONTROL!$C$32, $C$9, 100%, $E$9)</f>
        <v>33.732700000000001</v>
      </c>
      <c r="K963" s="81">
        <f>33.7363 * CHOOSE(CONTROL!$C$32, $C$9, 100%, $E$9)</f>
        <v>33.7363</v>
      </c>
      <c r="L963" s="81">
        <f>15.8041 * CHOOSE(CONTROL!$C$32, $C$9, 100%, $E$9)</f>
        <v>15.8041</v>
      </c>
      <c r="M963" s="81">
        <f>15.8077 * CHOOSE(CONTROL!$C$32, $C$9, 100%, $E$9)</f>
        <v>15.807700000000001</v>
      </c>
      <c r="N963" s="81">
        <f>15.8041 * CHOOSE(CONTROL!$C$32, $C$9, 100%, $E$9)</f>
        <v>15.8041</v>
      </c>
      <c r="O963" s="81">
        <f>15.8077 * CHOOSE(CONTROL!$C$32, $C$9, 100%, $E$9)</f>
        <v>15.807700000000001</v>
      </c>
    </row>
    <row r="964" spans="1:15" ht="15" x14ac:dyDescent="0.2">
      <c r="A964" s="16">
        <v>70554</v>
      </c>
      <c r="B964" s="80">
        <f>14.4342 * CHOOSE(CONTROL!$C$32, $C$9, 100%, $E$9)</f>
        <v>14.434200000000001</v>
      </c>
      <c r="C964" s="80">
        <f>14.4342 * CHOOSE(CONTROL!$C$32, $C$9, 100%, $E$9)</f>
        <v>14.434200000000001</v>
      </c>
      <c r="D964" s="80">
        <f>14.4353 * CHOOSE(CONTROL!$C$32, $C$9, 100%, $E$9)</f>
        <v>14.4353</v>
      </c>
      <c r="E964" s="81">
        <f>16.1582 * CHOOSE(CONTROL!$C$32, $C$9, 100%, $E$9)</f>
        <v>16.158200000000001</v>
      </c>
      <c r="F964" s="81">
        <f>16.1582 * CHOOSE(CONTROL!$C$32, $C$9, 100%, $E$9)</f>
        <v>16.158200000000001</v>
      </c>
      <c r="G964" s="81">
        <f>16.1618 * CHOOSE(CONTROL!$C$32, $C$9, 100%, $E$9)</f>
        <v>16.161799999999999</v>
      </c>
      <c r="H964" s="81">
        <f>33.803 * CHOOSE(CONTROL!$C$32, $C$9, 100%, $E$9)</f>
        <v>33.802999999999997</v>
      </c>
      <c r="I964" s="81">
        <f>33.8066 * CHOOSE(CONTROL!$C$32, $C$9, 100%, $E$9)</f>
        <v>33.806600000000003</v>
      </c>
      <c r="J964" s="81">
        <f>33.803 * CHOOSE(CONTROL!$C$32, $C$9, 100%, $E$9)</f>
        <v>33.802999999999997</v>
      </c>
      <c r="K964" s="81">
        <f>33.8066 * CHOOSE(CONTROL!$C$32, $C$9, 100%, $E$9)</f>
        <v>33.806600000000003</v>
      </c>
      <c r="L964" s="81">
        <f>16.1582 * CHOOSE(CONTROL!$C$32, $C$9, 100%, $E$9)</f>
        <v>16.158200000000001</v>
      </c>
      <c r="M964" s="81">
        <f>16.1618 * CHOOSE(CONTROL!$C$32, $C$9, 100%, $E$9)</f>
        <v>16.161799999999999</v>
      </c>
      <c r="N964" s="81">
        <f>16.1582 * CHOOSE(CONTROL!$C$32, $C$9, 100%, $E$9)</f>
        <v>16.158200000000001</v>
      </c>
      <c r="O964" s="81">
        <f>16.1618 * CHOOSE(CONTROL!$C$32, $C$9, 100%, $E$9)</f>
        <v>16.161799999999999</v>
      </c>
    </row>
    <row r="965" spans="1:15" ht="15" x14ac:dyDescent="0.2">
      <c r="A965" s="16">
        <v>70585</v>
      </c>
      <c r="B965" s="80">
        <f>14.442 * CHOOSE(CONTROL!$C$32, $C$9, 100%, $E$9)</f>
        <v>14.442</v>
      </c>
      <c r="C965" s="80">
        <f>14.442 * CHOOSE(CONTROL!$C$32, $C$9, 100%, $E$9)</f>
        <v>14.442</v>
      </c>
      <c r="D965" s="80">
        <f>14.4431 * CHOOSE(CONTROL!$C$32, $C$9, 100%, $E$9)</f>
        <v>14.443099999999999</v>
      </c>
      <c r="E965" s="81">
        <f>16.5366 * CHOOSE(CONTROL!$C$32, $C$9, 100%, $E$9)</f>
        <v>16.5366</v>
      </c>
      <c r="F965" s="81">
        <f>16.5366 * CHOOSE(CONTROL!$C$32, $C$9, 100%, $E$9)</f>
        <v>16.5366</v>
      </c>
      <c r="G965" s="81">
        <f>16.5402 * CHOOSE(CONTROL!$C$32, $C$9, 100%, $E$9)</f>
        <v>16.540199999999999</v>
      </c>
      <c r="H965" s="81">
        <f>33.8734 * CHOOSE(CONTROL!$C$32, $C$9, 100%, $E$9)</f>
        <v>33.873399999999997</v>
      </c>
      <c r="I965" s="81">
        <f>33.877 * CHOOSE(CONTROL!$C$32, $C$9, 100%, $E$9)</f>
        <v>33.877000000000002</v>
      </c>
      <c r="J965" s="81">
        <f>33.8734 * CHOOSE(CONTROL!$C$32, $C$9, 100%, $E$9)</f>
        <v>33.873399999999997</v>
      </c>
      <c r="K965" s="81">
        <f>33.877 * CHOOSE(CONTROL!$C$32, $C$9, 100%, $E$9)</f>
        <v>33.877000000000002</v>
      </c>
      <c r="L965" s="81">
        <f>16.5366 * CHOOSE(CONTROL!$C$32, $C$9, 100%, $E$9)</f>
        <v>16.5366</v>
      </c>
      <c r="M965" s="81">
        <f>16.5402 * CHOOSE(CONTROL!$C$32, $C$9, 100%, $E$9)</f>
        <v>16.540199999999999</v>
      </c>
      <c r="N965" s="81">
        <f>16.5366 * CHOOSE(CONTROL!$C$32, $C$9, 100%, $E$9)</f>
        <v>16.5366</v>
      </c>
      <c r="O965" s="81">
        <f>16.5402 * CHOOSE(CONTROL!$C$32, $C$9, 100%, $E$9)</f>
        <v>16.540199999999999</v>
      </c>
    </row>
    <row r="966" spans="1:15" ht="15" x14ac:dyDescent="0.2">
      <c r="A966" s="16">
        <v>70615</v>
      </c>
      <c r="B966" s="80">
        <f>14.442 * CHOOSE(CONTROL!$C$32, $C$9, 100%, $E$9)</f>
        <v>14.442</v>
      </c>
      <c r="C966" s="80">
        <f>14.442 * CHOOSE(CONTROL!$C$32, $C$9, 100%, $E$9)</f>
        <v>14.442</v>
      </c>
      <c r="D966" s="80">
        <f>14.4436 * CHOOSE(CONTROL!$C$32, $C$9, 100%, $E$9)</f>
        <v>14.4436</v>
      </c>
      <c r="E966" s="81">
        <f>16.68 * CHOOSE(CONTROL!$C$32, $C$9, 100%, $E$9)</f>
        <v>16.68</v>
      </c>
      <c r="F966" s="81">
        <f>16.68 * CHOOSE(CONTROL!$C$32, $C$9, 100%, $E$9)</f>
        <v>16.68</v>
      </c>
      <c r="G966" s="81">
        <f>16.6853 * CHOOSE(CONTROL!$C$32, $C$9, 100%, $E$9)</f>
        <v>16.685300000000002</v>
      </c>
      <c r="H966" s="81">
        <f>33.944 * CHOOSE(CONTROL!$C$32, $C$9, 100%, $E$9)</f>
        <v>33.944000000000003</v>
      </c>
      <c r="I966" s="81">
        <f>33.9493 * CHOOSE(CONTROL!$C$32, $C$9, 100%, $E$9)</f>
        <v>33.949300000000001</v>
      </c>
      <c r="J966" s="81">
        <f>33.944 * CHOOSE(CONTROL!$C$32, $C$9, 100%, $E$9)</f>
        <v>33.944000000000003</v>
      </c>
      <c r="K966" s="81">
        <f>33.9493 * CHOOSE(CONTROL!$C$32, $C$9, 100%, $E$9)</f>
        <v>33.949300000000001</v>
      </c>
      <c r="L966" s="81">
        <f>16.68 * CHOOSE(CONTROL!$C$32, $C$9, 100%, $E$9)</f>
        <v>16.68</v>
      </c>
      <c r="M966" s="81">
        <f>16.6853 * CHOOSE(CONTROL!$C$32, $C$9, 100%, $E$9)</f>
        <v>16.685300000000002</v>
      </c>
      <c r="N966" s="81">
        <f>16.68 * CHOOSE(CONTROL!$C$32, $C$9, 100%, $E$9)</f>
        <v>16.68</v>
      </c>
      <c r="O966" s="81">
        <f>16.6853 * CHOOSE(CONTROL!$C$32, $C$9, 100%, $E$9)</f>
        <v>16.685300000000002</v>
      </c>
    </row>
    <row r="967" spans="1:15" ht="15" x14ac:dyDescent="0.2">
      <c r="A967" s="16">
        <v>70646</v>
      </c>
      <c r="B967" s="80">
        <f>14.4481 * CHOOSE(CONTROL!$C$32, $C$9, 100%, $E$9)</f>
        <v>14.4481</v>
      </c>
      <c r="C967" s="80">
        <f>14.4481 * CHOOSE(CONTROL!$C$32, $C$9, 100%, $E$9)</f>
        <v>14.4481</v>
      </c>
      <c r="D967" s="80">
        <f>14.4497 * CHOOSE(CONTROL!$C$32, $C$9, 100%, $E$9)</f>
        <v>14.4497</v>
      </c>
      <c r="E967" s="81">
        <f>16.5408 * CHOOSE(CONTROL!$C$32, $C$9, 100%, $E$9)</f>
        <v>16.540800000000001</v>
      </c>
      <c r="F967" s="81">
        <f>16.5408 * CHOOSE(CONTROL!$C$32, $C$9, 100%, $E$9)</f>
        <v>16.540800000000001</v>
      </c>
      <c r="G967" s="81">
        <f>16.5461 * CHOOSE(CONTROL!$C$32, $C$9, 100%, $E$9)</f>
        <v>16.546099999999999</v>
      </c>
      <c r="H967" s="81">
        <f>34.0147 * CHOOSE(CONTROL!$C$32, $C$9, 100%, $E$9)</f>
        <v>34.014699999999998</v>
      </c>
      <c r="I967" s="81">
        <f>34.02 * CHOOSE(CONTROL!$C$32, $C$9, 100%, $E$9)</f>
        <v>34.020000000000003</v>
      </c>
      <c r="J967" s="81">
        <f>34.0147 * CHOOSE(CONTROL!$C$32, $C$9, 100%, $E$9)</f>
        <v>34.014699999999998</v>
      </c>
      <c r="K967" s="81">
        <f>34.02 * CHOOSE(CONTROL!$C$32, $C$9, 100%, $E$9)</f>
        <v>34.020000000000003</v>
      </c>
      <c r="L967" s="81">
        <f>16.5408 * CHOOSE(CONTROL!$C$32, $C$9, 100%, $E$9)</f>
        <v>16.540800000000001</v>
      </c>
      <c r="M967" s="81">
        <f>16.5461 * CHOOSE(CONTROL!$C$32, $C$9, 100%, $E$9)</f>
        <v>16.546099999999999</v>
      </c>
      <c r="N967" s="81">
        <f>16.5408 * CHOOSE(CONTROL!$C$32, $C$9, 100%, $E$9)</f>
        <v>16.540800000000001</v>
      </c>
      <c r="O967" s="81">
        <f>16.5461 * CHOOSE(CONTROL!$C$32, $C$9, 100%, $E$9)</f>
        <v>16.546099999999999</v>
      </c>
    </row>
    <row r="968" spans="1:15" ht="15" x14ac:dyDescent="0.2">
      <c r="A968" s="16">
        <v>70676</v>
      </c>
      <c r="B968" s="80">
        <f>14.6213 * CHOOSE(CONTROL!$C$32, $C$9, 100%, $E$9)</f>
        <v>14.6213</v>
      </c>
      <c r="C968" s="80">
        <f>14.6213 * CHOOSE(CONTROL!$C$32, $C$9, 100%, $E$9)</f>
        <v>14.6213</v>
      </c>
      <c r="D968" s="80">
        <f>14.6228 * CHOOSE(CONTROL!$C$32, $C$9, 100%, $E$9)</f>
        <v>14.6228</v>
      </c>
      <c r="E968" s="81">
        <f>16.7759 * CHOOSE(CONTROL!$C$32, $C$9, 100%, $E$9)</f>
        <v>16.7759</v>
      </c>
      <c r="F968" s="81">
        <f>16.7759 * CHOOSE(CONTROL!$C$32, $C$9, 100%, $E$9)</f>
        <v>16.7759</v>
      </c>
      <c r="G968" s="81">
        <f>16.7811 * CHOOSE(CONTROL!$C$32, $C$9, 100%, $E$9)</f>
        <v>16.781099999999999</v>
      </c>
      <c r="H968" s="81">
        <f>34.0856 * CHOOSE(CONTROL!$C$32, $C$9, 100%, $E$9)</f>
        <v>34.085599999999999</v>
      </c>
      <c r="I968" s="81">
        <f>34.0909 * CHOOSE(CONTROL!$C$32, $C$9, 100%, $E$9)</f>
        <v>34.090899999999998</v>
      </c>
      <c r="J968" s="81">
        <f>34.0856 * CHOOSE(CONTROL!$C$32, $C$9, 100%, $E$9)</f>
        <v>34.085599999999999</v>
      </c>
      <c r="K968" s="81">
        <f>34.0909 * CHOOSE(CONTROL!$C$32, $C$9, 100%, $E$9)</f>
        <v>34.090899999999998</v>
      </c>
      <c r="L968" s="81">
        <f>16.7759 * CHOOSE(CONTROL!$C$32, $C$9, 100%, $E$9)</f>
        <v>16.7759</v>
      </c>
      <c r="M968" s="81">
        <f>16.7811 * CHOOSE(CONTROL!$C$32, $C$9, 100%, $E$9)</f>
        <v>16.781099999999999</v>
      </c>
      <c r="N968" s="81">
        <f>16.7759 * CHOOSE(CONTROL!$C$32, $C$9, 100%, $E$9)</f>
        <v>16.7759</v>
      </c>
      <c r="O968" s="81">
        <f>16.7811 * CHOOSE(CONTROL!$C$32, $C$9, 100%, $E$9)</f>
        <v>16.781099999999999</v>
      </c>
    </row>
    <row r="969" spans="1:15" ht="15" x14ac:dyDescent="0.2">
      <c r="A969" s="16">
        <v>70707</v>
      </c>
      <c r="B969" s="80">
        <f>14.6279 * CHOOSE(CONTROL!$C$32, $C$9, 100%, $E$9)</f>
        <v>14.6279</v>
      </c>
      <c r="C969" s="80">
        <f>14.6279 * CHOOSE(CONTROL!$C$32, $C$9, 100%, $E$9)</f>
        <v>14.6279</v>
      </c>
      <c r="D969" s="80">
        <f>14.6295 * CHOOSE(CONTROL!$C$32, $C$9, 100%, $E$9)</f>
        <v>14.6295</v>
      </c>
      <c r="E969" s="81">
        <f>16.3501 * CHOOSE(CONTROL!$C$32, $C$9, 100%, $E$9)</f>
        <v>16.350100000000001</v>
      </c>
      <c r="F969" s="81">
        <f>16.3501 * CHOOSE(CONTROL!$C$32, $C$9, 100%, $E$9)</f>
        <v>16.350100000000001</v>
      </c>
      <c r="G969" s="81">
        <f>16.3554 * CHOOSE(CONTROL!$C$32, $C$9, 100%, $E$9)</f>
        <v>16.355399999999999</v>
      </c>
      <c r="H969" s="81">
        <f>34.1566 * CHOOSE(CONTROL!$C$32, $C$9, 100%, $E$9)</f>
        <v>34.156599999999997</v>
      </c>
      <c r="I969" s="81">
        <f>34.1619 * CHOOSE(CONTROL!$C$32, $C$9, 100%, $E$9)</f>
        <v>34.161900000000003</v>
      </c>
      <c r="J969" s="81">
        <f>34.1566 * CHOOSE(CONTROL!$C$32, $C$9, 100%, $E$9)</f>
        <v>34.156599999999997</v>
      </c>
      <c r="K969" s="81">
        <f>34.1619 * CHOOSE(CONTROL!$C$32, $C$9, 100%, $E$9)</f>
        <v>34.161900000000003</v>
      </c>
      <c r="L969" s="81">
        <f>16.3501 * CHOOSE(CONTROL!$C$32, $C$9, 100%, $E$9)</f>
        <v>16.350100000000001</v>
      </c>
      <c r="M969" s="81">
        <f>16.3554 * CHOOSE(CONTROL!$C$32, $C$9, 100%, $E$9)</f>
        <v>16.355399999999999</v>
      </c>
      <c r="N969" s="81">
        <f>16.3501 * CHOOSE(CONTROL!$C$32, $C$9, 100%, $E$9)</f>
        <v>16.350100000000001</v>
      </c>
      <c r="O969" s="81">
        <f>16.3554 * CHOOSE(CONTROL!$C$32, $C$9, 100%, $E$9)</f>
        <v>16.355399999999999</v>
      </c>
    </row>
    <row r="970" spans="1:15" ht="15" x14ac:dyDescent="0.2">
      <c r="A970" s="16">
        <v>70738</v>
      </c>
      <c r="B970" s="80">
        <f>14.6249 * CHOOSE(CONTROL!$C$32, $C$9, 100%, $E$9)</f>
        <v>14.6249</v>
      </c>
      <c r="C970" s="80">
        <f>14.6249 * CHOOSE(CONTROL!$C$32, $C$9, 100%, $E$9)</f>
        <v>14.6249</v>
      </c>
      <c r="D970" s="80">
        <f>14.6265 * CHOOSE(CONTROL!$C$32, $C$9, 100%, $E$9)</f>
        <v>14.6265</v>
      </c>
      <c r="E970" s="81">
        <f>16.3002 * CHOOSE(CONTROL!$C$32, $C$9, 100%, $E$9)</f>
        <v>16.3002</v>
      </c>
      <c r="F970" s="81">
        <f>16.3002 * CHOOSE(CONTROL!$C$32, $C$9, 100%, $E$9)</f>
        <v>16.3002</v>
      </c>
      <c r="G970" s="81">
        <f>16.3055 * CHOOSE(CONTROL!$C$32, $C$9, 100%, $E$9)</f>
        <v>16.305499999999999</v>
      </c>
      <c r="H970" s="81">
        <f>34.2277 * CHOOSE(CONTROL!$C$32, $C$9, 100%, $E$9)</f>
        <v>34.227699999999999</v>
      </c>
      <c r="I970" s="81">
        <f>34.233 * CHOOSE(CONTROL!$C$32, $C$9, 100%, $E$9)</f>
        <v>34.232999999999997</v>
      </c>
      <c r="J970" s="81">
        <f>34.2277 * CHOOSE(CONTROL!$C$32, $C$9, 100%, $E$9)</f>
        <v>34.227699999999999</v>
      </c>
      <c r="K970" s="81">
        <f>34.233 * CHOOSE(CONTROL!$C$32, $C$9, 100%, $E$9)</f>
        <v>34.232999999999997</v>
      </c>
      <c r="L970" s="81">
        <f>16.3002 * CHOOSE(CONTROL!$C$32, $C$9, 100%, $E$9)</f>
        <v>16.3002</v>
      </c>
      <c r="M970" s="81">
        <f>16.3055 * CHOOSE(CONTROL!$C$32, $C$9, 100%, $E$9)</f>
        <v>16.305499999999999</v>
      </c>
      <c r="N970" s="81">
        <f>16.3002 * CHOOSE(CONTROL!$C$32, $C$9, 100%, $E$9)</f>
        <v>16.3002</v>
      </c>
      <c r="O970" s="81">
        <f>16.3055 * CHOOSE(CONTROL!$C$32, $C$9, 100%, $E$9)</f>
        <v>16.305499999999999</v>
      </c>
    </row>
    <row r="971" spans="1:15" ht="15" x14ac:dyDescent="0.2">
      <c r="A971" s="16">
        <v>70768</v>
      </c>
      <c r="B971" s="80">
        <f>14.6597 * CHOOSE(CONTROL!$C$32, $C$9, 100%, $E$9)</f>
        <v>14.659700000000001</v>
      </c>
      <c r="C971" s="80">
        <f>14.6597 * CHOOSE(CONTROL!$C$32, $C$9, 100%, $E$9)</f>
        <v>14.659700000000001</v>
      </c>
      <c r="D971" s="80">
        <f>14.6608 * CHOOSE(CONTROL!$C$32, $C$9, 100%, $E$9)</f>
        <v>14.6608</v>
      </c>
      <c r="E971" s="81">
        <f>16.478 * CHOOSE(CONTROL!$C$32, $C$9, 100%, $E$9)</f>
        <v>16.478000000000002</v>
      </c>
      <c r="F971" s="81">
        <f>16.478 * CHOOSE(CONTROL!$C$32, $C$9, 100%, $E$9)</f>
        <v>16.478000000000002</v>
      </c>
      <c r="G971" s="81">
        <f>16.4817 * CHOOSE(CONTROL!$C$32, $C$9, 100%, $E$9)</f>
        <v>16.4817</v>
      </c>
      <c r="H971" s="81">
        <f>34.299 * CHOOSE(CONTROL!$C$32, $C$9, 100%, $E$9)</f>
        <v>34.298999999999999</v>
      </c>
      <c r="I971" s="81">
        <f>34.3027 * CHOOSE(CONTROL!$C$32, $C$9, 100%, $E$9)</f>
        <v>34.302700000000002</v>
      </c>
      <c r="J971" s="81">
        <f>34.299 * CHOOSE(CONTROL!$C$32, $C$9, 100%, $E$9)</f>
        <v>34.298999999999999</v>
      </c>
      <c r="K971" s="81">
        <f>34.3027 * CHOOSE(CONTROL!$C$32, $C$9, 100%, $E$9)</f>
        <v>34.302700000000002</v>
      </c>
      <c r="L971" s="81">
        <f>16.478 * CHOOSE(CONTROL!$C$32, $C$9, 100%, $E$9)</f>
        <v>16.478000000000002</v>
      </c>
      <c r="M971" s="81">
        <f>16.4817 * CHOOSE(CONTROL!$C$32, $C$9, 100%, $E$9)</f>
        <v>16.4817</v>
      </c>
      <c r="N971" s="81">
        <f>16.478 * CHOOSE(CONTROL!$C$32, $C$9, 100%, $E$9)</f>
        <v>16.478000000000002</v>
      </c>
      <c r="O971" s="81">
        <f>16.4817 * CHOOSE(CONTROL!$C$32, $C$9, 100%, $E$9)</f>
        <v>16.4817</v>
      </c>
    </row>
    <row r="972" spans="1:15" ht="15" x14ac:dyDescent="0.2">
      <c r="A972" s="16">
        <v>70799</v>
      </c>
      <c r="B972" s="80">
        <f>14.6627 * CHOOSE(CONTROL!$C$32, $C$9, 100%, $E$9)</f>
        <v>14.662699999999999</v>
      </c>
      <c r="C972" s="80">
        <f>14.6627 * CHOOSE(CONTROL!$C$32, $C$9, 100%, $E$9)</f>
        <v>14.662699999999999</v>
      </c>
      <c r="D972" s="80">
        <f>14.6638 * CHOOSE(CONTROL!$C$32, $C$9, 100%, $E$9)</f>
        <v>14.6638</v>
      </c>
      <c r="E972" s="81">
        <f>16.5758 * CHOOSE(CONTROL!$C$32, $C$9, 100%, $E$9)</f>
        <v>16.575800000000001</v>
      </c>
      <c r="F972" s="81">
        <f>16.5758 * CHOOSE(CONTROL!$C$32, $C$9, 100%, $E$9)</f>
        <v>16.575800000000001</v>
      </c>
      <c r="G972" s="81">
        <f>16.5794 * CHOOSE(CONTROL!$C$32, $C$9, 100%, $E$9)</f>
        <v>16.5794</v>
      </c>
      <c r="H972" s="81">
        <f>34.3705 * CHOOSE(CONTROL!$C$32, $C$9, 100%, $E$9)</f>
        <v>34.3705</v>
      </c>
      <c r="I972" s="81">
        <f>34.3741 * CHOOSE(CONTROL!$C$32, $C$9, 100%, $E$9)</f>
        <v>34.374099999999999</v>
      </c>
      <c r="J972" s="81">
        <f>34.3705 * CHOOSE(CONTROL!$C$32, $C$9, 100%, $E$9)</f>
        <v>34.3705</v>
      </c>
      <c r="K972" s="81">
        <f>34.3741 * CHOOSE(CONTROL!$C$32, $C$9, 100%, $E$9)</f>
        <v>34.374099999999999</v>
      </c>
      <c r="L972" s="81">
        <f>16.5758 * CHOOSE(CONTROL!$C$32, $C$9, 100%, $E$9)</f>
        <v>16.575800000000001</v>
      </c>
      <c r="M972" s="81">
        <f>16.5794 * CHOOSE(CONTROL!$C$32, $C$9, 100%, $E$9)</f>
        <v>16.5794</v>
      </c>
      <c r="N972" s="81">
        <f>16.5758 * CHOOSE(CONTROL!$C$32, $C$9, 100%, $E$9)</f>
        <v>16.575800000000001</v>
      </c>
      <c r="O972" s="81">
        <f>16.5794 * CHOOSE(CONTROL!$C$32, $C$9, 100%, $E$9)</f>
        <v>16.5794</v>
      </c>
    </row>
    <row r="973" spans="1:15" ht="15" x14ac:dyDescent="0.2">
      <c r="A973" s="16">
        <v>70829</v>
      </c>
      <c r="B973" s="80">
        <f>14.6627 * CHOOSE(CONTROL!$C$32, $C$9, 100%, $E$9)</f>
        <v>14.662699999999999</v>
      </c>
      <c r="C973" s="80">
        <f>14.6627 * CHOOSE(CONTROL!$C$32, $C$9, 100%, $E$9)</f>
        <v>14.662699999999999</v>
      </c>
      <c r="D973" s="80">
        <f>14.6638 * CHOOSE(CONTROL!$C$32, $C$9, 100%, $E$9)</f>
        <v>14.6638</v>
      </c>
      <c r="E973" s="81">
        <f>16.3367 * CHOOSE(CONTROL!$C$32, $C$9, 100%, $E$9)</f>
        <v>16.3367</v>
      </c>
      <c r="F973" s="81">
        <f>16.3367 * CHOOSE(CONTROL!$C$32, $C$9, 100%, $E$9)</f>
        <v>16.3367</v>
      </c>
      <c r="G973" s="81">
        <f>16.3403 * CHOOSE(CONTROL!$C$32, $C$9, 100%, $E$9)</f>
        <v>16.340299999999999</v>
      </c>
      <c r="H973" s="81">
        <f>34.4421 * CHOOSE(CONTROL!$C$32, $C$9, 100%, $E$9)</f>
        <v>34.442100000000003</v>
      </c>
      <c r="I973" s="81">
        <f>34.4457 * CHOOSE(CONTROL!$C$32, $C$9, 100%, $E$9)</f>
        <v>34.445700000000002</v>
      </c>
      <c r="J973" s="81">
        <f>34.4421 * CHOOSE(CONTROL!$C$32, $C$9, 100%, $E$9)</f>
        <v>34.442100000000003</v>
      </c>
      <c r="K973" s="81">
        <f>34.4457 * CHOOSE(CONTROL!$C$32, $C$9, 100%, $E$9)</f>
        <v>34.445700000000002</v>
      </c>
      <c r="L973" s="81">
        <f>16.3367 * CHOOSE(CONTROL!$C$32, $C$9, 100%, $E$9)</f>
        <v>16.3367</v>
      </c>
      <c r="M973" s="81">
        <f>16.3403 * CHOOSE(CONTROL!$C$32, $C$9, 100%, $E$9)</f>
        <v>16.340299999999999</v>
      </c>
      <c r="N973" s="81">
        <f>16.3367 * CHOOSE(CONTROL!$C$32, $C$9, 100%, $E$9)</f>
        <v>16.3367</v>
      </c>
      <c r="O973" s="81">
        <f>16.3403 * CHOOSE(CONTROL!$C$32, $C$9, 100%, $E$9)</f>
        <v>16.340299999999999</v>
      </c>
    </row>
    <row r="974" spans="1:15" ht="15" x14ac:dyDescent="0.2">
      <c r="A974" s="16">
        <v>70860</v>
      </c>
      <c r="B974" s="80">
        <f>14.6277 * CHOOSE(CONTROL!$C$32, $C$9, 100%, $E$9)</f>
        <v>14.627700000000001</v>
      </c>
      <c r="C974" s="80">
        <f>14.6277 * CHOOSE(CONTROL!$C$32, $C$9, 100%, $E$9)</f>
        <v>14.627700000000001</v>
      </c>
      <c r="D974" s="80">
        <f>14.6287 * CHOOSE(CONTROL!$C$32, $C$9, 100%, $E$9)</f>
        <v>14.6287</v>
      </c>
      <c r="E974" s="81">
        <f>16.4706 * CHOOSE(CONTROL!$C$32, $C$9, 100%, $E$9)</f>
        <v>16.470600000000001</v>
      </c>
      <c r="F974" s="81">
        <f>16.4706 * CHOOSE(CONTROL!$C$32, $C$9, 100%, $E$9)</f>
        <v>16.470600000000001</v>
      </c>
      <c r="G974" s="81">
        <f>16.4742 * CHOOSE(CONTROL!$C$32, $C$9, 100%, $E$9)</f>
        <v>16.4742</v>
      </c>
      <c r="H974" s="81">
        <f>34.1266 * CHOOSE(CONTROL!$C$32, $C$9, 100%, $E$9)</f>
        <v>34.126600000000003</v>
      </c>
      <c r="I974" s="81">
        <f>34.1302 * CHOOSE(CONTROL!$C$32, $C$9, 100%, $E$9)</f>
        <v>34.130200000000002</v>
      </c>
      <c r="J974" s="81">
        <f>34.1266 * CHOOSE(CONTROL!$C$32, $C$9, 100%, $E$9)</f>
        <v>34.126600000000003</v>
      </c>
      <c r="K974" s="81">
        <f>34.1302 * CHOOSE(CONTROL!$C$32, $C$9, 100%, $E$9)</f>
        <v>34.130200000000002</v>
      </c>
      <c r="L974" s="81">
        <f>16.4706 * CHOOSE(CONTROL!$C$32, $C$9, 100%, $E$9)</f>
        <v>16.470600000000001</v>
      </c>
      <c r="M974" s="81">
        <f>16.4742 * CHOOSE(CONTROL!$C$32, $C$9, 100%, $E$9)</f>
        <v>16.4742</v>
      </c>
      <c r="N974" s="81">
        <f>16.4706 * CHOOSE(CONTROL!$C$32, $C$9, 100%, $E$9)</f>
        <v>16.470600000000001</v>
      </c>
      <c r="O974" s="81">
        <f>16.4742 * CHOOSE(CONTROL!$C$32, $C$9, 100%, $E$9)</f>
        <v>16.4742</v>
      </c>
    </row>
    <row r="975" spans="1:15" ht="15" x14ac:dyDescent="0.2">
      <c r="A975" s="16">
        <v>70891</v>
      </c>
      <c r="B975" s="80">
        <f>14.6246 * CHOOSE(CONTROL!$C$32, $C$9, 100%, $E$9)</f>
        <v>14.624599999999999</v>
      </c>
      <c r="C975" s="80">
        <f>14.6246 * CHOOSE(CONTROL!$C$32, $C$9, 100%, $E$9)</f>
        <v>14.624599999999999</v>
      </c>
      <c r="D975" s="80">
        <f>14.6257 * CHOOSE(CONTROL!$C$32, $C$9, 100%, $E$9)</f>
        <v>14.6257</v>
      </c>
      <c r="E975" s="81">
        <f>16.0095 * CHOOSE(CONTROL!$C$32, $C$9, 100%, $E$9)</f>
        <v>16.009499999999999</v>
      </c>
      <c r="F975" s="81">
        <f>16.0095 * CHOOSE(CONTROL!$C$32, $C$9, 100%, $E$9)</f>
        <v>16.009499999999999</v>
      </c>
      <c r="G975" s="81">
        <f>16.0132 * CHOOSE(CONTROL!$C$32, $C$9, 100%, $E$9)</f>
        <v>16.013200000000001</v>
      </c>
      <c r="H975" s="81">
        <f>34.1977 * CHOOSE(CONTROL!$C$32, $C$9, 100%, $E$9)</f>
        <v>34.197699999999998</v>
      </c>
      <c r="I975" s="81">
        <f>34.2013 * CHOOSE(CONTROL!$C$32, $C$9, 100%, $E$9)</f>
        <v>34.201300000000003</v>
      </c>
      <c r="J975" s="81">
        <f>34.1977 * CHOOSE(CONTROL!$C$32, $C$9, 100%, $E$9)</f>
        <v>34.197699999999998</v>
      </c>
      <c r="K975" s="81">
        <f>34.2013 * CHOOSE(CONTROL!$C$32, $C$9, 100%, $E$9)</f>
        <v>34.201300000000003</v>
      </c>
      <c r="L975" s="81">
        <f>16.0095 * CHOOSE(CONTROL!$C$32, $C$9, 100%, $E$9)</f>
        <v>16.009499999999999</v>
      </c>
      <c r="M975" s="81">
        <f>16.0132 * CHOOSE(CONTROL!$C$32, $C$9, 100%, $E$9)</f>
        <v>16.013200000000001</v>
      </c>
      <c r="N975" s="81">
        <f>16.0095 * CHOOSE(CONTROL!$C$32, $C$9, 100%, $E$9)</f>
        <v>16.009499999999999</v>
      </c>
      <c r="O975" s="81">
        <f>16.0132 * CHOOSE(CONTROL!$C$32, $C$9, 100%, $E$9)</f>
        <v>16.013200000000001</v>
      </c>
    </row>
    <row r="976" spans="1:15" ht="15" x14ac:dyDescent="0.2">
      <c r="A976" s="16">
        <v>70919</v>
      </c>
      <c r="B976" s="80">
        <f>14.6216 * CHOOSE(CONTROL!$C$32, $C$9, 100%, $E$9)</f>
        <v>14.621600000000001</v>
      </c>
      <c r="C976" s="80">
        <f>14.6216 * CHOOSE(CONTROL!$C$32, $C$9, 100%, $E$9)</f>
        <v>14.621600000000001</v>
      </c>
      <c r="D976" s="80">
        <f>14.6227 * CHOOSE(CONTROL!$C$32, $C$9, 100%, $E$9)</f>
        <v>14.6227</v>
      </c>
      <c r="E976" s="81">
        <f>16.3692 * CHOOSE(CONTROL!$C$32, $C$9, 100%, $E$9)</f>
        <v>16.369199999999999</v>
      </c>
      <c r="F976" s="81">
        <f>16.3692 * CHOOSE(CONTROL!$C$32, $C$9, 100%, $E$9)</f>
        <v>16.369199999999999</v>
      </c>
      <c r="G976" s="81">
        <f>16.3729 * CHOOSE(CONTROL!$C$32, $C$9, 100%, $E$9)</f>
        <v>16.372900000000001</v>
      </c>
      <c r="H976" s="81">
        <f>34.269 * CHOOSE(CONTROL!$C$32, $C$9, 100%, $E$9)</f>
        <v>34.268999999999998</v>
      </c>
      <c r="I976" s="81">
        <f>34.2726 * CHOOSE(CONTROL!$C$32, $C$9, 100%, $E$9)</f>
        <v>34.272599999999997</v>
      </c>
      <c r="J976" s="81">
        <f>34.269 * CHOOSE(CONTROL!$C$32, $C$9, 100%, $E$9)</f>
        <v>34.268999999999998</v>
      </c>
      <c r="K976" s="81">
        <f>34.2726 * CHOOSE(CONTROL!$C$32, $C$9, 100%, $E$9)</f>
        <v>34.272599999999997</v>
      </c>
      <c r="L976" s="81">
        <f>16.3692 * CHOOSE(CONTROL!$C$32, $C$9, 100%, $E$9)</f>
        <v>16.369199999999999</v>
      </c>
      <c r="M976" s="81">
        <f>16.3729 * CHOOSE(CONTROL!$C$32, $C$9, 100%, $E$9)</f>
        <v>16.372900000000001</v>
      </c>
      <c r="N976" s="81">
        <f>16.3692 * CHOOSE(CONTROL!$C$32, $C$9, 100%, $E$9)</f>
        <v>16.369199999999999</v>
      </c>
      <c r="O976" s="81">
        <f>16.3729 * CHOOSE(CONTROL!$C$32, $C$9, 100%, $E$9)</f>
        <v>16.372900000000001</v>
      </c>
    </row>
    <row r="977" spans="1:15" ht="15" x14ac:dyDescent="0.2">
      <c r="A977" s="16">
        <v>70950</v>
      </c>
      <c r="B977" s="80">
        <f>14.6296 * CHOOSE(CONTROL!$C$32, $C$9, 100%, $E$9)</f>
        <v>14.6296</v>
      </c>
      <c r="C977" s="80">
        <f>14.6296 * CHOOSE(CONTROL!$C$32, $C$9, 100%, $E$9)</f>
        <v>14.6296</v>
      </c>
      <c r="D977" s="80">
        <f>14.6306 * CHOOSE(CONTROL!$C$32, $C$9, 100%, $E$9)</f>
        <v>14.630599999999999</v>
      </c>
      <c r="E977" s="81">
        <f>16.7536 * CHOOSE(CONTROL!$C$32, $C$9, 100%, $E$9)</f>
        <v>16.753599999999999</v>
      </c>
      <c r="F977" s="81">
        <f>16.7536 * CHOOSE(CONTROL!$C$32, $C$9, 100%, $E$9)</f>
        <v>16.753599999999999</v>
      </c>
      <c r="G977" s="81">
        <f>16.7572 * CHOOSE(CONTROL!$C$32, $C$9, 100%, $E$9)</f>
        <v>16.757200000000001</v>
      </c>
      <c r="H977" s="81">
        <f>34.3403 * CHOOSE(CONTROL!$C$32, $C$9, 100%, $E$9)</f>
        <v>34.340299999999999</v>
      </c>
      <c r="I977" s="81">
        <f>34.344 * CHOOSE(CONTROL!$C$32, $C$9, 100%, $E$9)</f>
        <v>34.344000000000001</v>
      </c>
      <c r="J977" s="81">
        <f>34.3403 * CHOOSE(CONTROL!$C$32, $C$9, 100%, $E$9)</f>
        <v>34.340299999999999</v>
      </c>
      <c r="K977" s="81">
        <f>34.344 * CHOOSE(CONTROL!$C$32, $C$9, 100%, $E$9)</f>
        <v>34.344000000000001</v>
      </c>
      <c r="L977" s="81">
        <f>16.7536 * CHOOSE(CONTROL!$C$32, $C$9, 100%, $E$9)</f>
        <v>16.753599999999999</v>
      </c>
      <c r="M977" s="81">
        <f>16.7572 * CHOOSE(CONTROL!$C$32, $C$9, 100%, $E$9)</f>
        <v>16.757200000000001</v>
      </c>
      <c r="N977" s="81">
        <f>16.7536 * CHOOSE(CONTROL!$C$32, $C$9, 100%, $E$9)</f>
        <v>16.753599999999999</v>
      </c>
      <c r="O977" s="81">
        <f>16.7572 * CHOOSE(CONTROL!$C$32, $C$9, 100%, $E$9)</f>
        <v>16.757200000000001</v>
      </c>
    </row>
    <row r="978" spans="1:15" ht="15" x14ac:dyDescent="0.2">
      <c r="A978" s="16">
        <v>70980</v>
      </c>
      <c r="B978" s="80">
        <f>14.6296 * CHOOSE(CONTROL!$C$32, $C$9, 100%, $E$9)</f>
        <v>14.6296</v>
      </c>
      <c r="C978" s="80">
        <f>14.6296 * CHOOSE(CONTROL!$C$32, $C$9, 100%, $E$9)</f>
        <v>14.6296</v>
      </c>
      <c r="D978" s="80">
        <f>14.6311 * CHOOSE(CONTROL!$C$32, $C$9, 100%, $E$9)</f>
        <v>14.6311</v>
      </c>
      <c r="E978" s="81">
        <f>16.8993 * CHOOSE(CONTROL!$C$32, $C$9, 100%, $E$9)</f>
        <v>16.8993</v>
      </c>
      <c r="F978" s="81">
        <f>16.8993 * CHOOSE(CONTROL!$C$32, $C$9, 100%, $E$9)</f>
        <v>16.8993</v>
      </c>
      <c r="G978" s="81">
        <f>16.9046 * CHOOSE(CONTROL!$C$32, $C$9, 100%, $E$9)</f>
        <v>16.904599999999999</v>
      </c>
      <c r="H978" s="81">
        <f>34.4119 * CHOOSE(CONTROL!$C$32, $C$9, 100%, $E$9)</f>
        <v>34.411900000000003</v>
      </c>
      <c r="I978" s="81">
        <f>34.4172 * CHOOSE(CONTROL!$C$32, $C$9, 100%, $E$9)</f>
        <v>34.417200000000001</v>
      </c>
      <c r="J978" s="81">
        <f>34.4119 * CHOOSE(CONTROL!$C$32, $C$9, 100%, $E$9)</f>
        <v>34.411900000000003</v>
      </c>
      <c r="K978" s="81">
        <f>34.4172 * CHOOSE(CONTROL!$C$32, $C$9, 100%, $E$9)</f>
        <v>34.417200000000001</v>
      </c>
      <c r="L978" s="81">
        <f>16.8993 * CHOOSE(CONTROL!$C$32, $C$9, 100%, $E$9)</f>
        <v>16.8993</v>
      </c>
      <c r="M978" s="81">
        <f>16.9046 * CHOOSE(CONTROL!$C$32, $C$9, 100%, $E$9)</f>
        <v>16.904599999999999</v>
      </c>
      <c r="N978" s="81">
        <f>16.8993 * CHOOSE(CONTROL!$C$32, $C$9, 100%, $E$9)</f>
        <v>16.8993</v>
      </c>
      <c r="O978" s="81">
        <f>16.9046 * CHOOSE(CONTROL!$C$32, $C$9, 100%, $E$9)</f>
        <v>16.904599999999999</v>
      </c>
    </row>
    <row r="979" spans="1:15" ht="15" x14ac:dyDescent="0.2">
      <c r="A979" s="16">
        <v>71011</v>
      </c>
      <c r="B979" s="80">
        <f>14.6356 * CHOOSE(CONTROL!$C$32, $C$9, 100%, $E$9)</f>
        <v>14.6356</v>
      </c>
      <c r="C979" s="80">
        <f>14.6356 * CHOOSE(CONTROL!$C$32, $C$9, 100%, $E$9)</f>
        <v>14.6356</v>
      </c>
      <c r="D979" s="80">
        <f>14.6372 * CHOOSE(CONTROL!$C$32, $C$9, 100%, $E$9)</f>
        <v>14.6372</v>
      </c>
      <c r="E979" s="81">
        <f>16.7578 * CHOOSE(CONTROL!$C$32, $C$9, 100%, $E$9)</f>
        <v>16.7578</v>
      </c>
      <c r="F979" s="81">
        <f>16.7578 * CHOOSE(CONTROL!$C$32, $C$9, 100%, $E$9)</f>
        <v>16.7578</v>
      </c>
      <c r="G979" s="81">
        <f>16.7631 * CHOOSE(CONTROL!$C$32, $C$9, 100%, $E$9)</f>
        <v>16.763100000000001</v>
      </c>
      <c r="H979" s="81">
        <f>34.4836 * CHOOSE(CONTROL!$C$32, $C$9, 100%, $E$9)</f>
        <v>34.483600000000003</v>
      </c>
      <c r="I979" s="81">
        <f>34.4889 * CHOOSE(CONTROL!$C$32, $C$9, 100%, $E$9)</f>
        <v>34.488900000000001</v>
      </c>
      <c r="J979" s="81">
        <f>34.4836 * CHOOSE(CONTROL!$C$32, $C$9, 100%, $E$9)</f>
        <v>34.483600000000003</v>
      </c>
      <c r="K979" s="81">
        <f>34.4889 * CHOOSE(CONTROL!$C$32, $C$9, 100%, $E$9)</f>
        <v>34.488900000000001</v>
      </c>
      <c r="L979" s="81">
        <f>16.7578 * CHOOSE(CONTROL!$C$32, $C$9, 100%, $E$9)</f>
        <v>16.7578</v>
      </c>
      <c r="M979" s="81">
        <f>16.7631 * CHOOSE(CONTROL!$C$32, $C$9, 100%, $E$9)</f>
        <v>16.763100000000001</v>
      </c>
      <c r="N979" s="81">
        <f>16.7578 * CHOOSE(CONTROL!$C$32, $C$9, 100%, $E$9)</f>
        <v>16.7578</v>
      </c>
      <c r="O979" s="81">
        <f>16.7631 * CHOOSE(CONTROL!$C$32, $C$9, 100%, $E$9)</f>
        <v>16.763100000000001</v>
      </c>
    </row>
    <row r="980" spans="1:15" ht="15" x14ac:dyDescent="0.2">
      <c r="A980" s="16">
        <v>71041</v>
      </c>
      <c r="B980" s="80">
        <f>14.8109 * CHOOSE(CONTROL!$C$32, $C$9, 100%, $E$9)</f>
        <v>14.8109</v>
      </c>
      <c r="C980" s="80">
        <f>14.8109 * CHOOSE(CONTROL!$C$32, $C$9, 100%, $E$9)</f>
        <v>14.8109</v>
      </c>
      <c r="D980" s="80">
        <f>14.8124 * CHOOSE(CONTROL!$C$32, $C$9, 100%, $E$9)</f>
        <v>14.8124</v>
      </c>
      <c r="E980" s="81">
        <f>16.996 * CHOOSE(CONTROL!$C$32, $C$9, 100%, $E$9)</f>
        <v>16.995999999999999</v>
      </c>
      <c r="F980" s="81">
        <f>16.996 * CHOOSE(CONTROL!$C$32, $C$9, 100%, $E$9)</f>
        <v>16.995999999999999</v>
      </c>
      <c r="G980" s="81">
        <f>17.0013 * CHOOSE(CONTROL!$C$32, $C$9, 100%, $E$9)</f>
        <v>17.001300000000001</v>
      </c>
      <c r="H980" s="81">
        <f>34.5554 * CHOOSE(CONTROL!$C$32, $C$9, 100%, $E$9)</f>
        <v>34.555399999999999</v>
      </c>
      <c r="I980" s="81">
        <f>34.5607 * CHOOSE(CONTROL!$C$32, $C$9, 100%, $E$9)</f>
        <v>34.560699999999997</v>
      </c>
      <c r="J980" s="81">
        <f>34.5554 * CHOOSE(CONTROL!$C$32, $C$9, 100%, $E$9)</f>
        <v>34.555399999999999</v>
      </c>
      <c r="K980" s="81">
        <f>34.5607 * CHOOSE(CONTROL!$C$32, $C$9, 100%, $E$9)</f>
        <v>34.560699999999997</v>
      </c>
      <c r="L980" s="81">
        <f>16.996 * CHOOSE(CONTROL!$C$32, $C$9, 100%, $E$9)</f>
        <v>16.995999999999999</v>
      </c>
      <c r="M980" s="81">
        <f>17.0013 * CHOOSE(CONTROL!$C$32, $C$9, 100%, $E$9)</f>
        <v>17.001300000000001</v>
      </c>
      <c r="N980" s="81">
        <f>16.996 * CHOOSE(CONTROL!$C$32, $C$9, 100%, $E$9)</f>
        <v>16.995999999999999</v>
      </c>
      <c r="O980" s="81">
        <f>17.0013 * CHOOSE(CONTROL!$C$32, $C$9, 100%, $E$9)</f>
        <v>17.001300000000001</v>
      </c>
    </row>
    <row r="981" spans="1:15" ht="15" x14ac:dyDescent="0.2">
      <c r="A981" s="16">
        <v>71072</v>
      </c>
      <c r="B981" s="80">
        <f>14.8175 * CHOOSE(CONTROL!$C$32, $C$9, 100%, $E$9)</f>
        <v>14.817500000000001</v>
      </c>
      <c r="C981" s="80">
        <f>14.8175 * CHOOSE(CONTROL!$C$32, $C$9, 100%, $E$9)</f>
        <v>14.817500000000001</v>
      </c>
      <c r="D981" s="80">
        <f>14.8191 * CHOOSE(CONTROL!$C$32, $C$9, 100%, $E$9)</f>
        <v>14.819100000000001</v>
      </c>
      <c r="E981" s="81">
        <f>16.5635 * CHOOSE(CONTROL!$C$32, $C$9, 100%, $E$9)</f>
        <v>16.563500000000001</v>
      </c>
      <c r="F981" s="81">
        <f>16.5635 * CHOOSE(CONTROL!$C$32, $C$9, 100%, $E$9)</f>
        <v>16.563500000000001</v>
      </c>
      <c r="G981" s="81">
        <f>16.5688 * CHOOSE(CONTROL!$C$32, $C$9, 100%, $E$9)</f>
        <v>16.5688</v>
      </c>
      <c r="H981" s="81">
        <f>34.6274 * CHOOSE(CONTROL!$C$32, $C$9, 100%, $E$9)</f>
        <v>34.627400000000002</v>
      </c>
      <c r="I981" s="81">
        <f>34.6327 * CHOOSE(CONTROL!$C$32, $C$9, 100%, $E$9)</f>
        <v>34.6327</v>
      </c>
      <c r="J981" s="81">
        <f>34.6274 * CHOOSE(CONTROL!$C$32, $C$9, 100%, $E$9)</f>
        <v>34.627400000000002</v>
      </c>
      <c r="K981" s="81">
        <f>34.6327 * CHOOSE(CONTROL!$C$32, $C$9, 100%, $E$9)</f>
        <v>34.6327</v>
      </c>
      <c r="L981" s="81">
        <f>16.5635 * CHOOSE(CONTROL!$C$32, $C$9, 100%, $E$9)</f>
        <v>16.563500000000001</v>
      </c>
      <c r="M981" s="81">
        <f>16.5688 * CHOOSE(CONTROL!$C$32, $C$9, 100%, $E$9)</f>
        <v>16.5688</v>
      </c>
      <c r="N981" s="81">
        <f>16.5635 * CHOOSE(CONTROL!$C$32, $C$9, 100%, $E$9)</f>
        <v>16.563500000000001</v>
      </c>
      <c r="O981" s="81">
        <f>16.5688 * CHOOSE(CONTROL!$C$32, $C$9, 100%, $E$9)</f>
        <v>16.5688</v>
      </c>
    </row>
    <row r="982" spans="1:15" ht="15" x14ac:dyDescent="0.2">
      <c r="A982" s="16">
        <v>71103</v>
      </c>
      <c r="B982" s="80">
        <f>14.8145 * CHOOSE(CONTROL!$C$32, $C$9, 100%, $E$9)</f>
        <v>14.814500000000001</v>
      </c>
      <c r="C982" s="80">
        <f>14.8145 * CHOOSE(CONTROL!$C$32, $C$9, 100%, $E$9)</f>
        <v>14.814500000000001</v>
      </c>
      <c r="D982" s="80">
        <f>14.8161 * CHOOSE(CONTROL!$C$32, $C$9, 100%, $E$9)</f>
        <v>14.8161</v>
      </c>
      <c r="E982" s="81">
        <f>16.5129 * CHOOSE(CONTROL!$C$32, $C$9, 100%, $E$9)</f>
        <v>16.512899999999998</v>
      </c>
      <c r="F982" s="81">
        <f>16.5129 * CHOOSE(CONTROL!$C$32, $C$9, 100%, $E$9)</f>
        <v>16.512899999999998</v>
      </c>
      <c r="G982" s="81">
        <f>16.5181 * CHOOSE(CONTROL!$C$32, $C$9, 100%, $E$9)</f>
        <v>16.5181</v>
      </c>
      <c r="H982" s="81">
        <f>34.6996 * CHOOSE(CONTROL!$C$32, $C$9, 100%, $E$9)</f>
        <v>34.699599999999997</v>
      </c>
      <c r="I982" s="81">
        <f>34.7048 * CHOOSE(CONTROL!$C$32, $C$9, 100%, $E$9)</f>
        <v>34.704799999999999</v>
      </c>
      <c r="J982" s="81">
        <f>34.6996 * CHOOSE(CONTROL!$C$32, $C$9, 100%, $E$9)</f>
        <v>34.699599999999997</v>
      </c>
      <c r="K982" s="81">
        <f>34.7048 * CHOOSE(CONTROL!$C$32, $C$9, 100%, $E$9)</f>
        <v>34.704799999999999</v>
      </c>
      <c r="L982" s="81">
        <f>16.5129 * CHOOSE(CONTROL!$C$32, $C$9, 100%, $E$9)</f>
        <v>16.512899999999998</v>
      </c>
      <c r="M982" s="81">
        <f>16.5181 * CHOOSE(CONTROL!$C$32, $C$9, 100%, $E$9)</f>
        <v>16.5181</v>
      </c>
      <c r="N982" s="81">
        <f>16.5129 * CHOOSE(CONTROL!$C$32, $C$9, 100%, $E$9)</f>
        <v>16.512899999999998</v>
      </c>
      <c r="O982" s="81">
        <f>16.5181 * CHOOSE(CONTROL!$C$32, $C$9, 100%, $E$9)</f>
        <v>16.5181</v>
      </c>
    </row>
    <row r="983" spans="1:15" ht="15" x14ac:dyDescent="0.2">
      <c r="A983" s="16">
        <v>71133</v>
      </c>
      <c r="B983" s="80">
        <f>14.85 * CHOOSE(CONTROL!$C$32, $C$9, 100%, $E$9)</f>
        <v>14.85</v>
      </c>
      <c r="C983" s="80">
        <f>14.85 * CHOOSE(CONTROL!$C$32, $C$9, 100%, $E$9)</f>
        <v>14.85</v>
      </c>
      <c r="D983" s="80">
        <f>14.8511 * CHOOSE(CONTROL!$C$32, $C$9, 100%, $E$9)</f>
        <v>14.851100000000001</v>
      </c>
      <c r="E983" s="81">
        <f>16.6937 * CHOOSE(CONTROL!$C$32, $C$9, 100%, $E$9)</f>
        <v>16.6937</v>
      </c>
      <c r="F983" s="81">
        <f>16.6937 * CHOOSE(CONTROL!$C$32, $C$9, 100%, $E$9)</f>
        <v>16.6937</v>
      </c>
      <c r="G983" s="81">
        <f>16.6973 * CHOOSE(CONTROL!$C$32, $C$9, 100%, $E$9)</f>
        <v>16.697299999999998</v>
      </c>
      <c r="H983" s="81">
        <f>34.7718 * CHOOSE(CONTROL!$C$32, $C$9, 100%, $E$9)</f>
        <v>34.771799999999999</v>
      </c>
      <c r="I983" s="81">
        <f>34.7755 * CHOOSE(CONTROL!$C$32, $C$9, 100%, $E$9)</f>
        <v>34.775500000000001</v>
      </c>
      <c r="J983" s="81">
        <f>34.7718 * CHOOSE(CONTROL!$C$32, $C$9, 100%, $E$9)</f>
        <v>34.771799999999999</v>
      </c>
      <c r="K983" s="81">
        <f>34.7755 * CHOOSE(CONTROL!$C$32, $C$9, 100%, $E$9)</f>
        <v>34.775500000000001</v>
      </c>
      <c r="L983" s="81">
        <f>16.6937 * CHOOSE(CONTROL!$C$32, $C$9, 100%, $E$9)</f>
        <v>16.6937</v>
      </c>
      <c r="M983" s="81">
        <f>16.6973 * CHOOSE(CONTROL!$C$32, $C$9, 100%, $E$9)</f>
        <v>16.697299999999998</v>
      </c>
      <c r="N983" s="81">
        <f>16.6937 * CHOOSE(CONTROL!$C$32, $C$9, 100%, $E$9)</f>
        <v>16.6937</v>
      </c>
      <c r="O983" s="81">
        <f>16.6973 * CHOOSE(CONTROL!$C$32, $C$9, 100%, $E$9)</f>
        <v>16.697299999999998</v>
      </c>
    </row>
    <row r="984" spans="1:15" ht="15" x14ac:dyDescent="0.2">
      <c r="A984" s="16">
        <v>71164</v>
      </c>
      <c r="B984" s="80">
        <f>14.8531 * CHOOSE(CONTROL!$C$32, $C$9, 100%, $E$9)</f>
        <v>14.8531</v>
      </c>
      <c r="C984" s="80">
        <f>14.8531 * CHOOSE(CONTROL!$C$32, $C$9, 100%, $E$9)</f>
        <v>14.8531</v>
      </c>
      <c r="D984" s="80">
        <f>14.8541 * CHOOSE(CONTROL!$C$32, $C$9, 100%, $E$9)</f>
        <v>14.854100000000001</v>
      </c>
      <c r="E984" s="81">
        <f>16.793 * CHOOSE(CONTROL!$C$32, $C$9, 100%, $E$9)</f>
        <v>16.792999999999999</v>
      </c>
      <c r="F984" s="81">
        <f>16.793 * CHOOSE(CONTROL!$C$32, $C$9, 100%, $E$9)</f>
        <v>16.792999999999999</v>
      </c>
      <c r="G984" s="81">
        <f>16.7966 * CHOOSE(CONTROL!$C$32, $C$9, 100%, $E$9)</f>
        <v>16.796600000000002</v>
      </c>
      <c r="H984" s="81">
        <f>34.8443 * CHOOSE(CONTROL!$C$32, $C$9, 100%, $E$9)</f>
        <v>34.844299999999997</v>
      </c>
      <c r="I984" s="81">
        <f>34.8479 * CHOOSE(CONTROL!$C$32, $C$9, 100%, $E$9)</f>
        <v>34.847900000000003</v>
      </c>
      <c r="J984" s="81">
        <f>34.8443 * CHOOSE(CONTROL!$C$32, $C$9, 100%, $E$9)</f>
        <v>34.844299999999997</v>
      </c>
      <c r="K984" s="81">
        <f>34.8479 * CHOOSE(CONTROL!$C$32, $C$9, 100%, $E$9)</f>
        <v>34.847900000000003</v>
      </c>
      <c r="L984" s="81">
        <f>16.793 * CHOOSE(CONTROL!$C$32, $C$9, 100%, $E$9)</f>
        <v>16.792999999999999</v>
      </c>
      <c r="M984" s="81">
        <f>16.7966 * CHOOSE(CONTROL!$C$32, $C$9, 100%, $E$9)</f>
        <v>16.796600000000002</v>
      </c>
      <c r="N984" s="81">
        <f>16.793 * CHOOSE(CONTROL!$C$32, $C$9, 100%, $E$9)</f>
        <v>16.792999999999999</v>
      </c>
      <c r="O984" s="81">
        <f>16.7966 * CHOOSE(CONTROL!$C$32, $C$9, 100%, $E$9)</f>
        <v>16.796600000000002</v>
      </c>
    </row>
    <row r="985" spans="1:15" ht="15" x14ac:dyDescent="0.2">
      <c r="A985" s="16">
        <v>71194</v>
      </c>
      <c r="B985" s="80">
        <f>14.8531 * CHOOSE(CONTROL!$C$32, $C$9, 100%, $E$9)</f>
        <v>14.8531</v>
      </c>
      <c r="C985" s="80">
        <f>14.8531 * CHOOSE(CONTROL!$C$32, $C$9, 100%, $E$9)</f>
        <v>14.8531</v>
      </c>
      <c r="D985" s="80">
        <f>14.8541 * CHOOSE(CONTROL!$C$32, $C$9, 100%, $E$9)</f>
        <v>14.854100000000001</v>
      </c>
      <c r="E985" s="81">
        <f>16.5501 * CHOOSE(CONTROL!$C$32, $C$9, 100%, $E$9)</f>
        <v>16.5501</v>
      </c>
      <c r="F985" s="81">
        <f>16.5501 * CHOOSE(CONTROL!$C$32, $C$9, 100%, $E$9)</f>
        <v>16.5501</v>
      </c>
      <c r="G985" s="81">
        <f>16.5537 * CHOOSE(CONTROL!$C$32, $C$9, 100%, $E$9)</f>
        <v>16.553699999999999</v>
      </c>
      <c r="H985" s="81">
        <f>34.9169 * CHOOSE(CONTROL!$C$32, $C$9, 100%, $E$9)</f>
        <v>34.916899999999998</v>
      </c>
      <c r="I985" s="81">
        <f>34.9205 * CHOOSE(CONTROL!$C$32, $C$9, 100%, $E$9)</f>
        <v>34.920499999999997</v>
      </c>
      <c r="J985" s="81">
        <f>34.9169 * CHOOSE(CONTROL!$C$32, $C$9, 100%, $E$9)</f>
        <v>34.916899999999998</v>
      </c>
      <c r="K985" s="81">
        <f>34.9205 * CHOOSE(CONTROL!$C$32, $C$9, 100%, $E$9)</f>
        <v>34.920499999999997</v>
      </c>
      <c r="L985" s="81">
        <f>16.5501 * CHOOSE(CONTROL!$C$32, $C$9, 100%, $E$9)</f>
        <v>16.5501</v>
      </c>
      <c r="M985" s="81">
        <f>16.5537 * CHOOSE(CONTROL!$C$32, $C$9, 100%, $E$9)</f>
        <v>16.553699999999999</v>
      </c>
      <c r="N985" s="81">
        <f>16.5501 * CHOOSE(CONTROL!$C$32, $C$9, 100%, $E$9)</f>
        <v>16.5501</v>
      </c>
      <c r="O985" s="81">
        <f>16.5537 * CHOOSE(CONTROL!$C$32, $C$9, 100%, $E$9)</f>
        <v>16.553699999999999</v>
      </c>
    </row>
    <row r="986" spans="1:15" ht="15" x14ac:dyDescent="0.2">
      <c r="A986" s="16">
        <v>71225</v>
      </c>
      <c r="B986" s="80">
        <f>14.815 * CHOOSE(CONTROL!$C$32, $C$9, 100%, $E$9)</f>
        <v>14.815</v>
      </c>
      <c r="C986" s="80">
        <f>14.815 * CHOOSE(CONTROL!$C$32, $C$9, 100%, $E$9)</f>
        <v>14.815</v>
      </c>
      <c r="D986" s="80">
        <f>14.8161 * CHOOSE(CONTROL!$C$32, $C$9, 100%, $E$9)</f>
        <v>14.8161</v>
      </c>
      <c r="E986" s="81">
        <f>16.6831 * CHOOSE(CONTROL!$C$32, $C$9, 100%, $E$9)</f>
        <v>16.6831</v>
      </c>
      <c r="F986" s="81">
        <f>16.6831 * CHOOSE(CONTROL!$C$32, $C$9, 100%, $E$9)</f>
        <v>16.6831</v>
      </c>
      <c r="G986" s="81">
        <f>16.6867 * CHOOSE(CONTROL!$C$32, $C$9, 100%, $E$9)</f>
        <v>16.686699999999998</v>
      </c>
      <c r="H986" s="81">
        <f>34.5906 * CHOOSE(CONTROL!$C$32, $C$9, 100%, $E$9)</f>
        <v>34.590600000000002</v>
      </c>
      <c r="I986" s="81">
        <f>34.5943 * CHOOSE(CONTROL!$C$32, $C$9, 100%, $E$9)</f>
        <v>34.594299999999997</v>
      </c>
      <c r="J986" s="81">
        <f>34.5906 * CHOOSE(CONTROL!$C$32, $C$9, 100%, $E$9)</f>
        <v>34.590600000000002</v>
      </c>
      <c r="K986" s="81">
        <f>34.5943 * CHOOSE(CONTROL!$C$32, $C$9, 100%, $E$9)</f>
        <v>34.594299999999997</v>
      </c>
      <c r="L986" s="81">
        <f>16.6831 * CHOOSE(CONTROL!$C$32, $C$9, 100%, $E$9)</f>
        <v>16.6831</v>
      </c>
      <c r="M986" s="81">
        <f>16.6867 * CHOOSE(CONTROL!$C$32, $C$9, 100%, $E$9)</f>
        <v>16.686699999999998</v>
      </c>
      <c r="N986" s="81">
        <f>16.6831 * CHOOSE(CONTROL!$C$32, $C$9, 100%, $E$9)</f>
        <v>16.6831</v>
      </c>
      <c r="O986" s="81">
        <f>16.6867 * CHOOSE(CONTROL!$C$32, $C$9, 100%, $E$9)</f>
        <v>16.686699999999998</v>
      </c>
    </row>
    <row r="987" spans="1:15" ht="15" x14ac:dyDescent="0.2">
      <c r="A987" s="16">
        <v>71256</v>
      </c>
      <c r="B987" s="80">
        <f>14.812 * CHOOSE(CONTROL!$C$32, $C$9, 100%, $E$9)</f>
        <v>14.811999999999999</v>
      </c>
      <c r="C987" s="80">
        <f>14.812 * CHOOSE(CONTROL!$C$32, $C$9, 100%, $E$9)</f>
        <v>14.811999999999999</v>
      </c>
      <c r="D987" s="80">
        <f>14.8131 * CHOOSE(CONTROL!$C$32, $C$9, 100%, $E$9)</f>
        <v>14.8131</v>
      </c>
      <c r="E987" s="81">
        <f>16.215 * CHOOSE(CONTROL!$C$32, $C$9, 100%, $E$9)</f>
        <v>16.215</v>
      </c>
      <c r="F987" s="81">
        <f>16.215 * CHOOSE(CONTROL!$C$32, $C$9, 100%, $E$9)</f>
        <v>16.215</v>
      </c>
      <c r="G987" s="81">
        <f>16.2186 * CHOOSE(CONTROL!$C$32, $C$9, 100%, $E$9)</f>
        <v>16.218599999999999</v>
      </c>
      <c r="H987" s="81">
        <f>34.6627 * CHOOSE(CONTROL!$C$32, $C$9, 100%, $E$9)</f>
        <v>34.662700000000001</v>
      </c>
      <c r="I987" s="81">
        <f>34.6663 * CHOOSE(CONTROL!$C$32, $C$9, 100%, $E$9)</f>
        <v>34.6663</v>
      </c>
      <c r="J987" s="81">
        <f>34.6627 * CHOOSE(CONTROL!$C$32, $C$9, 100%, $E$9)</f>
        <v>34.662700000000001</v>
      </c>
      <c r="K987" s="81">
        <f>34.6663 * CHOOSE(CONTROL!$C$32, $C$9, 100%, $E$9)</f>
        <v>34.6663</v>
      </c>
      <c r="L987" s="81">
        <f>16.215 * CHOOSE(CONTROL!$C$32, $C$9, 100%, $E$9)</f>
        <v>16.215</v>
      </c>
      <c r="M987" s="81">
        <f>16.2186 * CHOOSE(CONTROL!$C$32, $C$9, 100%, $E$9)</f>
        <v>16.218599999999999</v>
      </c>
      <c r="N987" s="81">
        <f>16.215 * CHOOSE(CONTROL!$C$32, $C$9, 100%, $E$9)</f>
        <v>16.215</v>
      </c>
      <c r="O987" s="81">
        <f>16.2186 * CHOOSE(CONTROL!$C$32, $C$9, 100%, $E$9)</f>
        <v>16.218599999999999</v>
      </c>
    </row>
    <row r="988" spans="1:15" ht="15" x14ac:dyDescent="0.2">
      <c r="A988" s="16">
        <v>71284</v>
      </c>
      <c r="B988" s="80">
        <f>14.8089 * CHOOSE(CONTROL!$C$32, $C$9, 100%, $E$9)</f>
        <v>14.8089</v>
      </c>
      <c r="C988" s="80">
        <f>14.8089 * CHOOSE(CONTROL!$C$32, $C$9, 100%, $E$9)</f>
        <v>14.8089</v>
      </c>
      <c r="D988" s="80">
        <f>14.81 * CHOOSE(CONTROL!$C$32, $C$9, 100%, $E$9)</f>
        <v>14.81</v>
      </c>
      <c r="E988" s="81">
        <f>16.5802 * CHOOSE(CONTROL!$C$32, $C$9, 100%, $E$9)</f>
        <v>16.580200000000001</v>
      </c>
      <c r="F988" s="81">
        <f>16.5802 * CHOOSE(CONTROL!$C$32, $C$9, 100%, $E$9)</f>
        <v>16.580200000000001</v>
      </c>
      <c r="G988" s="81">
        <f>16.5839 * CHOOSE(CONTROL!$C$32, $C$9, 100%, $E$9)</f>
        <v>16.5839</v>
      </c>
      <c r="H988" s="81">
        <f>34.7349 * CHOOSE(CONTROL!$C$32, $C$9, 100%, $E$9)</f>
        <v>34.734900000000003</v>
      </c>
      <c r="I988" s="81">
        <f>34.7385 * CHOOSE(CONTROL!$C$32, $C$9, 100%, $E$9)</f>
        <v>34.738500000000002</v>
      </c>
      <c r="J988" s="81">
        <f>34.7349 * CHOOSE(CONTROL!$C$32, $C$9, 100%, $E$9)</f>
        <v>34.734900000000003</v>
      </c>
      <c r="K988" s="81">
        <f>34.7385 * CHOOSE(CONTROL!$C$32, $C$9, 100%, $E$9)</f>
        <v>34.738500000000002</v>
      </c>
      <c r="L988" s="81">
        <f>16.5802 * CHOOSE(CONTROL!$C$32, $C$9, 100%, $E$9)</f>
        <v>16.580200000000001</v>
      </c>
      <c r="M988" s="81">
        <f>16.5839 * CHOOSE(CONTROL!$C$32, $C$9, 100%, $E$9)</f>
        <v>16.5839</v>
      </c>
      <c r="N988" s="81">
        <f>16.5802 * CHOOSE(CONTROL!$C$32, $C$9, 100%, $E$9)</f>
        <v>16.580200000000001</v>
      </c>
      <c r="O988" s="81">
        <f>16.5839 * CHOOSE(CONTROL!$C$32, $C$9, 100%, $E$9)</f>
        <v>16.5839</v>
      </c>
    </row>
    <row r="989" spans="1:15" ht="15" x14ac:dyDescent="0.2">
      <c r="A989" s="16">
        <v>71315</v>
      </c>
      <c r="B989" s="80">
        <f>14.8171 * CHOOSE(CONTROL!$C$32, $C$9, 100%, $E$9)</f>
        <v>14.8171</v>
      </c>
      <c r="C989" s="80">
        <f>14.8171 * CHOOSE(CONTROL!$C$32, $C$9, 100%, $E$9)</f>
        <v>14.8171</v>
      </c>
      <c r="D989" s="80">
        <f>14.8182 * CHOOSE(CONTROL!$C$32, $C$9, 100%, $E$9)</f>
        <v>14.818199999999999</v>
      </c>
      <c r="E989" s="81">
        <f>16.9706 * CHOOSE(CONTROL!$C$32, $C$9, 100%, $E$9)</f>
        <v>16.970600000000001</v>
      </c>
      <c r="F989" s="81">
        <f>16.9706 * CHOOSE(CONTROL!$C$32, $C$9, 100%, $E$9)</f>
        <v>16.970600000000001</v>
      </c>
      <c r="G989" s="81">
        <f>16.9742 * CHOOSE(CONTROL!$C$32, $C$9, 100%, $E$9)</f>
        <v>16.9742</v>
      </c>
      <c r="H989" s="81">
        <f>34.8073 * CHOOSE(CONTROL!$C$32, $C$9, 100%, $E$9)</f>
        <v>34.807299999999998</v>
      </c>
      <c r="I989" s="81">
        <f>34.8109 * CHOOSE(CONTROL!$C$32, $C$9, 100%, $E$9)</f>
        <v>34.810899999999997</v>
      </c>
      <c r="J989" s="81">
        <f>34.8073 * CHOOSE(CONTROL!$C$32, $C$9, 100%, $E$9)</f>
        <v>34.807299999999998</v>
      </c>
      <c r="K989" s="81">
        <f>34.8109 * CHOOSE(CONTROL!$C$32, $C$9, 100%, $E$9)</f>
        <v>34.810899999999997</v>
      </c>
      <c r="L989" s="81">
        <f>16.9706 * CHOOSE(CONTROL!$C$32, $C$9, 100%, $E$9)</f>
        <v>16.970600000000001</v>
      </c>
      <c r="M989" s="81">
        <f>16.9742 * CHOOSE(CONTROL!$C$32, $C$9, 100%, $E$9)</f>
        <v>16.9742</v>
      </c>
      <c r="N989" s="81">
        <f>16.9706 * CHOOSE(CONTROL!$C$32, $C$9, 100%, $E$9)</f>
        <v>16.970600000000001</v>
      </c>
      <c r="O989" s="81">
        <f>16.9742 * CHOOSE(CONTROL!$C$32, $C$9, 100%, $E$9)</f>
        <v>16.9742</v>
      </c>
    </row>
    <row r="990" spans="1:15" ht="15" x14ac:dyDescent="0.2">
      <c r="A990" s="16">
        <v>71345</v>
      </c>
      <c r="B990" s="80">
        <f>14.8171 * CHOOSE(CONTROL!$C$32, $C$9, 100%, $E$9)</f>
        <v>14.8171</v>
      </c>
      <c r="C990" s="80">
        <f>14.8171 * CHOOSE(CONTROL!$C$32, $C$9, 100%, $E$9)</f>
        <v>14.8171</v>
      </c>
      <c r="D990" s="80">
        <f>14.8187 * CHOOSE(CONTROL!$C$32, $C$9, 100%, $E$9)</f>
        <v>14.8187</v>
      </c>
      <c r="E990" s="81">
        <f>17.1185 * CHOOSE(CONTROL!$C$32, $C$9, 100%, $E$9)</f>
        <v>17.118500000000001</v>
      </c>
      <c r="F990" s="81">
        <f>17.1185 * CHOOSE(CONTROL!$C$32, $C$9, 100%, $E$9)</f>
        <v>17.118500000000001</v>
      </c>
      <c r="G990" s="81">
        <f>17.1238 * CHOOSE(CONTROL!$C$32, $C$9, 100%, $E$9)</f>
        <v>17.123799999999999</v>
      </c>
      <c r="H990" s="81">
        <f>34.8798 * CHOOSE(CONTROL!$C$32, $C$9, 100%, $E$9)</f>
        <v>34.879800000000003</v>
      </c>
      <c r="I990" s="81">
        <f>34.8851 * CHOOSE(CONTROL!$C$32, $C$9, 100%, $E$9)</f>
        <v>34.885100000000001</v>
      </c>
      <c r="J990" s="81">
        <f>34.8798 * CHOOSE(CONTROL!$C$32, $C$9, 100%, $E$9)</f>
        <v>34.879800000000003</v>
      </c>
      <c r="K990" s="81">
        <f>34.8851 * CHOOSE(CONTROL!$C$32, $C$9, 100%, $E$9)</f>
        <v>34.885100000000001</v>
      </c>
      <c r="L990" s="81">
        <f>17.1185 * CHOOSE(CONTROL!$C$32, $C$9, 100%, $E$9)</f>
        <v>17.118500000000001</v>
      </c>
      <c r="M990" s="81">
        <f>17.1238 * CHOOSE(CONTROL!$C$32, $C$9, 100%, $E$9)</f>
        <v>17.123799999999999</v>
      </c>
      <c r="N990" s="81">
        <f>17.1185 * CHOOSE(CONTROL!$C$32, $C$9, 100%, $E$9)</f>
        <v>17.118500000000001</v>
      </c>
      <c r="O990" s="81">
        <f>17.1238 * CHOOSE(CONTROL!$C$32, $C$9, 100%, $E$9)</f>
        <v>17.123799999999999</v>
      </c>
    </row>
    <row r="991" spans="1:15" ht="15" x14ac:dyDescent="0.2">
      <c r="A991" s="16">
        <v>71376</v>
      </c>
      <c r="B991" s="80">
        <f>14.8232 * CHOOSE(CONTROL!$C$32, $C$9, 100%, $E$9)</f>
        <v>14.8232</v>
      </c>
      <c r="C991" s="80">
        <f>14.8232 * CHOOSE(CONTROL!$C$32, $C$9, 100%, $E$9)</f>
        <v>14.8232</v>
      </c>
      <c r="D991" s="80">
        <f>14.8248 * CHOOSE(CONTROL!$C$32, $C$9, 100%, $E$9)</f>
        <v>14.8248</v>
      </c>
      <c r="E991" s="81">
        <f>16.9748 * CHOOSE(CONTROL!$C$32, $C$9, 100%, $E$9)</f>
        <v>16.974799999999998</v>
      </c>
      <c r="F991" s="81">
        <f>16.9748 * CHOOSE(CONTROL!$C$32, $C$9, 100%, $E$9)</f>
        <v>16.974799999999998</v>
      </c>
      <c r="G991" s="81">
        <f>16.9801 * CHOOSE(CONTROL!$C$32, $C$9, 100%, $E$9)</f>
        <v>16.9801</v>
      </c>
      <c r="H991" s="81">
        <f>34.9525 * CHOOSE(CONTROL!$C$32, $C$9, 100%, $E$9)</f>
        <v>34.952500000000001</v>
      </c>
      <c r="I991" s="81">
        <f>34.9578 * CHOOSE(CONTROL!$C$32, $C$9, 100%, $E$9)</f>
        <v>34.957799999999999</v>
      </c>
      <c r="J991" s="81">
        <f>34.9525 * CHOOSE(CONTROL!$C$32, $C$9, 100%, $E$9)</f>
        <v>34.952500000000001</v>
      </c>
      <c r="K991" s="81">
        <f>34.9578 * CHOOSE(CONTROL!$C$32, $C$9, 100%, $E$9)</f>
        <v>34.957799999999999</v>
      </c>
      <c r="L991" s="81">
        <f>16.9748 * CHOOSE(CONTROL!$C$32, $C$9, 100%, $E$9)</f>
        <v>16.974799999999998</v>
      </c>
      <c r="M991" s="81">
        <f>16.9801 * CHOOSE(CONTROL!$C$32, $C$9, 100%, $E$9)</f>
        <v>16.9801</v>
      </c>
      <c r="N991" s="81">
        <f>16.9748 * CHOOSE(CONTROL!$C$32, $C$9, 100%, $E$9)</f>
        <v>16.974799999999998</v>
      </c>
      <c r="O991" s="81">
        <f>16.9801 * CHOOSE(CONTROL!$C$32, $C$9, 100%, $E$9)</f>
        <v>16.9801</v>
      </c>
    </row>
    <row r="992" spans="1:15" ht="15" x14ac:dyDescent="0.2">
      <c r="A992" s="16">
        <v>71406</v>
      </c>
      <c r="B992" s="80">
        <f>15.0005 * CHOOSE(CONTROL!$C$32, $C$9, 100%, $E$9)</f>
        <v>15.000500000000001</v>
      </c>
      <c r="C992" s="80">
        <f>15.0005 * CHOOSE(CONTROL!$C$32, $C$9, 100%, $E$9)</f>
        <v>15.000500000000001</v>
      </c>
      <c r="D992" s="80">
        <f>15.002 * CHOOSE(CONTROL!$C$32, $C$9, 100%, $E$9)</f>
        <v>15.002000000000001</v>
      </c>
      <c r="E992" s="81">
        <f>17.2162 * CHOOSE(CONTROL!$C$32, $C$9, 100%, $E$9)</f>
        <v>17.216200000000001</v>
      </c>
      <c r="F992" s="81">
        <f>17.2162 * CHOOSE(CONTROL!$C$32, $C$9, 100%, $E$9)</f>
        <v>17.216200000000001</v>
      </c>
      <c r="G992" s="81">
        <f>17.2215 * CHOOSE(CONTROL!$C$32, $C$9, 100%, $E$9)</f>
        <v>17.221499999999999</v>
      </c>
      <c r="H992" s="81">
        <f>35.0253 * CHOOSE(CONTROL!$C$32, $C$9, 100%, $E$9)</f>
        <v>35.025300000000001</v>
      </c>
      <c r="I992" s="81">
        <f>35.0306 * CHOOSE(CONTROL!$C$32, $C$9, 100%, $E$9)</f>
        <v>35.0306</v>
      </c>
      <c r="J992" s="81">
        <f>35.0253 * CHOOSE(CONTROL!$C$32, $C$9, 100%, $E$9)</f>
        <v>35.025300000000001</v>
      </c>
      <c r="K992" s="81">
        <f>35.0306 * CHOOSE(CONTROL!$C$32, $C$9, 100%, $E$9)</f>
        <v>35.0306</v>
      </c>
      <c r="L992" s="81">
        <f>17.2162 * CHOOSE(CONTROL!$C$32, $C$9, 100%, $E$9)</f>
        <v>17.216200000000001</v>
      </c>
      <c r="M992" s="81">
        <f>17.2215 * CHOOSE(CONTROL!$C$32, $C$9, 100%, $E$9)</f>
        <v>17.221499999999999</v>
      </c>
      <c r="N992" s="81">
        <f>17.2162 * CHOOSE(CONTROL!$C$32, $C$9, 100%, $E$9)</f>
        <v>17.216200000000001</v>
      </c>
      <c r="O992" s="81">
        <f>17.2215 * CHOOSE(CONTROL!$C$32, $C$9, 100%, $E$9)</f>
        <v>17.221499999999999</v>
      </c>
    </row>
    <row r="993" spans="1:15" ht="15" x14ac:dyDescent="0.2">
      <c r="A993" s="16">
        <v>71437</v>
      </c>
      <c r="B993" s="80">
        <f>15.0071 * CHOOSE(CONTROL!$C$32, $C$9, 100%, $E$9)</f>
        <v>15.007099999999999</v>
      </c>
      <c r="C993" s="80">
        <f>15.0071 * CHOOSE(CONTROL!$C$32, $C$9, 100%, $E$9)</f>
        <v>15.007099999999999</v>
      </c>
      <c r="D993" s="80">
        <f>15.0087 * CHOOSE(CONTROL!$C$32, $C$9, 100%, $E$9)</f>
        <v>15.008699999999999</v>
      </c>
      <c r="E993" s="81">
        <f>16.777 * CHOOSE(CONTROL!$C$32, $C$9, 100%, $E$9)</f>
        <v>16.777000000000001</v>
      </c>
      <c r="F993" s="81">
        <f>16.777 * CHOOSE(CONTROL!$C$32, $C$9, 100%, $E$9)</f>
        <v>16.777000000000001</v>
      </c>
      <c r="G993" s="81">
        <f>16.7823 * CHOOSE(CONTROL!$C$32, $C$9, 100%, $E$9)</f>
        <v>16.782299999999999</v>
      </c>
      <c r="H993" s="81">
        <f>35.0983 * CHOOSE(CONTROL!$C$32, $C$9, 100%, $E$9)</f>
        <v>35.098300000000002</v>
      </c>
      <c r="I993" s="81">
        <f>35.1035 * CHOOSE(CONTROL!$C$32, $C$9, 100%, $E$9)</f>
        <v>35.103499999999997</v>
      </c>
      <c r="J993" s="81">
        <f>35.0983 * CHOOSE(CONTROL!$C$32, $C$9, 100%, $E$9)</f>
        <v>35.098300000000002</v>
      </c>
      <c r="K993" s="81">
        <f>35.1035 * CHOOSE(CONTROL!$C$32, $C$9, 100%, $E$9)</f>
        <v>35.103499999999997</v>
      </c>
      <c r="L993" s="81">
        <f>16.777 * CHOOSE(CONTROL!$C$32, $C$9, 100%, $E$9)</f>
        <v>16.777000000000001</v>
      </c>
      <c r="M993" s="81">
        <f>16.7823 * CHOOSE(CONTROL!$C$32, $C$9, 100%, $E$9)</f>
        <v>16.782299999999999</v>
      </c>
      <c r="N993" s="81">
        <f>16.777 * CHOOSE(CONTROL!$C$32, $C$9, 100%, $E$9)</f>
        <v>16.777000000000001</v>
      </c>
      <c r="O993" s="81">
        <f>16.7823 * CHOOSE(CONTROL!$C$32, $C$9, 100%, $E$9)</f>
        <v>16.782299999999999</v>
      </c>
    </row>
    <row r="994" spans="1:15" ht="15" x14ac:dyDescent="0.2">
      <c r="A994" s="16">
        <v>71468</v>
      </c>
      <c r="B994" s="80">
        <f>15.0041 * CHOOSE(CONTROL!$C$32, $C$9, 100%, $E$9)</f>
        <v>15.004099999999999</v>
      </c>
      <c r="C994" s="80">
        <f>15.0041 * CHOOSE(CONTROL!$C$32, $C$9, 100%, $E$9)</f>
        <v>15.004099999999999</v>
      </c>
      <c r="D994" s="80">
        <f>15.0057 * CHOOSE(CONTROL!$C$32, $C$9, 100%, $E$9)</f>
        <v>15.005699999999999</v>
      </c>
      <c r="E994" s="81">
        <f>16.7255 * CHOOSE(CONTROL!$C$32, $C$9, 100%, $E$9)</f>
        <v>16.7255</v>
      </c>
      <c r="F994" s="81">
        <f>16.7255 * CHOOSE(CONTROL!$C$32, $C$9, 100%, $E$9)</f>
        <v>16.7255</v>
      </c>
      <c r="G994" s="81">
        <f>16.7308 * CHOOSE(CONTROL!$C$32, $C$9, 100%, $E$9)</f>
        <v>16.730799999999999</v>
      </c>
      <c r="H994" s="81">
        <f>35.1714 * CHOOSE(CONTROL!$C$32, $C$9, 100%, $E$9)</f>
        <v>35.171399999999998</v>
      </c>
      <c r="I994" s="81">
        <f>35.1767 * CHOOSE(CONTROL!$C$32, $C$9, 100%, $E$9)</f>
        <v>35.176699999999997</v>
      </c>
      <c r="J994" s="81">
        <f>35.1714 * CHOOSE(CONTROL!$C$32, $C$9, 100%, $E$9)</f>
        <v>35.171399999999998</v>
      </c>
      <c r="K994" s="81">
        <f>35.1767 * CHOOSE(CONTROL!$C$32, $C$9, 100%, $E$9)</f>
        <v>35.176699999999997</v>
      </c>
      <c r="L994" s="81">
        <f>16.7255 * CHOOSE(CONTROL!$C$32, $C$9, 100%, $E$9)</f>
        <v>16.7255</v>
      </c>
      <c r="M994" s="81">
        <f>16.7308 * CHOOSE(CONTROL!$C$32, $C$9, 100%, $E$9)</f>
        <v>16.730799999999999</v>
      </c>
      <c r="N994" s="81">
        <f>16.7255 * CHOOSE(CONTROL!$C$32, $C$9, 100%, $E$9)</f>
        <v>16.7255</v>
      </c>
      <c r="O994" s="81">
        <f>16.7308 * CHOOSE(CONTROL!$C$32, $C$9, 100%, $E$9)</f>
        <v>16.730799999999999</v>
      </c>
    </row>
    <row r="995" spans="1:15" ht="15" x14ac:dyDescent="0.2">
      <c r="A995" s="16">
        <v>71498</v>
      </c>
      <c r="B995" s="80">
        <f>15.0403 * CHOOSE(CONTROL!$C$32, $C$9, 100%, $E$9)</f>
        <v>15.0403</v>
      </c>
      <c r="C995" s="80">
        <f>15.0403 * CHOOSE(CONTROL!$C$32, $C$9, 100%, $E$9)</f>
        <v>15.0403</v>
      </c>
      <c r="D995" s="80">
        <f>15.0414 * CHOOSE(CONTROL!$C$32, $C$9, 100%, $E$9)</f>
        <v>15.041399999999999</v>
      </c>
      <c r="E995" s="81">
        <f>16.9094 * CHOOSE(CONTROL!$C$32, $C$9, 100%, $E$9)</f>
        <v>16.909400000000002</v>
      </c>
      <c r="F995" s="81">
        <f>16.9094 * CHOOSE(CONTROL!$C$32, $C$9, 100%, $E$9)</f>
        <v>16.909400000000002</v>
      </c>
      <c r="G995" s="81">
        <f>16.913 * CHOOSE(CONTROL!$C$32, $C$9, 100%, $E$9)</f>
        <v>16.913</v>
      </c>
      <c r="H995" s="81">
        <f>35.2447 * CHOOSE(CONTROL!$C$32, $C$9, 100%, $E$9)</f>
        <v>35.244700000000002</v>
      </c>
      <c r="I995" s="81">
        <f>35.2483 * CHOOSE(CONTROL!$C$32, $C$9, 100%, $E$9)</f>
        <v>35.2483</v>
      </c>
      <c r="J995" s="81">
        <f>35.2447 * CHOOSE(CONTROL!$C$32, $C$9, 100%, $E$9)</f>
        <v>35.244700000000002</v>
      </c>
      <c r="K995" s="81">
        <f>35.2483 * CHOOSE(CONTROL!$C$32, $C$9, 100%, $E$9)</f>
        <v>35.2483</v>
      </c>
      <c r="L995" s="81">
        <f>16.9094 * CHOOSE(CONTROL!$C$32, $C$9, 100%, $E$9)</f>
        <v>16.909400000000002</v>
      </c>
      <c r="M995" s="81">
        <f>16.913 * CHOOSE(CONTROL!$C$32, $C$9, 100%, $E$9)</f>
        <v>16.913</v>
      </c>
      <c r="N995" s="81">
        <f>16.9094 * CHOOSE(CONTROL!$C$32, $C$9, 100%, $E$9)</f>
        <v>16.909400000000002</v>
      </c>
      <c r="O995" s="81">
        <f>16.913 * CHOOSE(CONTROL!$C$32, $C$9, 100%, $E$9)</f>
        <v>16.913</v>
      </c>
    </row>
    <row r="996" spans="1:15" ht="15" x14ac:dyDescent="0.2">
      <c r="A996" s="16">
        <v>71529</v>
      </c>
      <c r="B996" s="80">
        <f>15.0434 * CHOOSE(CONTROL!$C$32, $C$9, 100%, $E$9)</f>
        <v>15.0434</v>
      </c>
      <c r="C996" s="80">
        <f>15.0434 * CHOOSE(CONTROL!$C$32, $C$9, 100%, $E$9)</f>
        <v>15.0434</v>
      </c>
      <c r="D996" s="80">
        <f>15.0444 * CHOOSE(CONTROL!$C$32, $C$9, 100%, $E$9)</f>
        <v>15.0444</v>
      </c>
      <c r="E996" s="81">
        <f>17.0102 * CHOOSE(CONTROL!$C$32, $C$9, 100%, $E$9)</f>
        <v>17.010200000000001</v>
      </c>
      <c r="F996" s="81">
        <f>17.0102 * CHOOSE(CONTROL!$C$32, $C$9, 100%, $E$9)</f>
        <v>17.010200000000001</v>
      </c>
      <c r="G996" s="81">
        <f>17.0138 * CHOOSE(CONTROL!$C$32, $C$9, 100%, $E$9)</f>
        <v>17.0138</v>
      </c>
      <c r="H996" s="81">
        <f>35.3181 * CHOOSE(CONTROL!$C$32, $C$9, 100%, $E$9)</f>
        <v>35.318100000000001</v>
      </c>
      <c r="I996" s="81">
        <f>35.3217 * CHOOSE(CONTROL!$C$32, $C$9, 100%, $E$9)</f>
        <v>35.3217</v>
      </c>
      <c r="J996" s="81">
        <f>35.3181 * CHOOSE(CONTROL!$C$32, $C$9, 100%, $E$9)</f>
        <v>35.318100000000001</v>
      </c>
      <c r="K996" s="81">
        <f>35.3217 * CHOOSE(CONTROL!$C$32, $C$9, 100%, $E$9)</f>
        <v>35.3217</v>
      </c>
      <c r="L996" s="81">
        <f>17.0102 * CHOOSE(CONTROL!$C$32, $C$9, 100%, $E$9)</f>
        <v>17.010200000000001</v>
      </c>
      <c r="M996" s="81">
        <f>17.0138 * CHOOSE(CONTROL!$C$32, $C$9, 100%, $E$9)</f>
        <v>17.0138</v>
      </c>
      <c r="N996" s="81">
        <f>17.0102 * CHOOSE(CONTROL!$C$32, $C$9, 100%, $E$9)</f>
        <v>17.010200000000001</v>
      </c>
      <c r="O996" s="81">
        <f>17.0138 * CHOOSE(CONTROL!$C$32, $C$9, 100%, $E$9)</f>
        <v>17.0138</v>
      </c>
    </row>
    <row r="997" spans="1:15" ht="15" x14ac:dyDescent="0.2">
      <c r="A997" s="16">
        <v>71559</v>
      </c>
      <c r="B997" s="80">
        <f>15.0434 * CHOOSE(CONTROL!$C$32, $C$9, 100%, $E$9)</f>
        <v>15.0434</v>
      </c>
      <c r="C997" s="80">
        <f>15.0434 * CHOOSE(CONTROL!$C$32, $C$9, 100%, $E$9)</f>
        <v>15.0434</v>
      </c>
      <c r="D997" s="80">
        <f>15.0444 * CHOOSE(CONTROL!$C$32, $C$9, 100%, $E$9)</f>
        <v>15.0444</v>
      </c>
      <c r="E997" s="81">
        <f>16.7636 * CHOOSE(CONTROL!$C$32, $C$9, 100%, $E$9)</f>
        <v>16.7636</v>
      </c>
      <c r="F997" s="81">
        <f>16.7636 * CHOOSE(CONTROL!$C$32, $C$9, 100%, $E$9)</f>
        <v>16.7636</v>
      </c>
      <c r="G997" s="81">
        <f>16.7672 * CHOOSE(CONTROL!$C$32, $C$9, 100%, $E$9)</f>
        <v>16.767199999999999</v>
      </c>
      <c r="H997" s="81">
        <f>35.3917 * CHOOSE(CONTROL!$C$32, $C$9, 100%, $E$9)</f>
        <v>35.3917</v>
      </c>
      <c r="I997" s="81">
        <f>35.3953 * CHOOSE(CONTROL!$C$32, $C$9, 100%, $E$9)</f>
        <v>35.395299999999999</v>
      </c>
      <c r="J997" s="81">
        <f>35.3917 * CHOOSE(CONTROL!$C$32, $C$9, 100%, $E$9)</f>
        <v>35.3917</v>
      </c>
      <c r="K997" s="81">
        <f>35.3953 * CHOOSE(CONTROL!$C$32, $C$9, 100%, $E$9)</f>
        <v>35.395299999999999</v>
      </c>
      <c r="L997" s="81">
        <f>16.7636 * CHOOSE(CONTROL!$C$32, $C$9, 100%, $E$9)</f>
        <v>16.7636</v>
      </c>
      <c r="M997" s="81">
        <f>16.7672 * CHOOSE(CONTROL!$C$32, $C$9, 100%, $E$9)</f>
        <v>16.767199999999999</v>
      </c>
      <c r="N997" s="81">
        <f>16.7636 * CHOOSE(CONTROL!$C$32, $C$9, 100%, $E$9)</f>
        <v>16.7636</v>
      </c>
      <c r="O997" s="81">
        <f>16.7672 * CHOOSE(CONTROL!$C$32, $C$9, 100%, $E$9)</f>
        <v>16.767199999999999</v>
      </c>
    </row>
    <row r="998" spans="1:15" ht="15" x14ac:dyDescent="0.2">
      <c r="A998" s="16">
        <v>71590</v>
      </c>
      <c r="B998" s="80">
        <f>15.0024 * CHOOSE(CONTROL!$C$32, $C$9, 100%, $E$9)</f>
        <v>15.0024</v>
      </c>
      <c r="C998" s="80">
        <f>15.0024 * CHOOSE(CONTROL!$C$32, $C$9, 100%, $E$9)</f>
        <v>15.0024</v>
      </c>
      <c r="D998" s="80">
        <f>15.0035 * CHOOSE(CONTROL!$C$32, $C$9, 100%, $E$9)</f>
        <v>15.003500000000001</v>
      </c>
      <c r="E998" s="81">
        <f>16.8956 * CHOOSE(CONTROL!$C$32, $C$9, 100%, $E$9)</f>
        <v>16.895600000000002</v>
      </c>
      <c r="F998" s="81">
        <f>16.8956 * CHOOSE(CONTROL!$C$32, $C$9, 100%, $E$9)</f>
        <v>16.895600000000002</v>
      </c>
      <c r="G998" s="81">
        <f>16.8992 * CHOOSE(CONTROL!$C$32, $C$9, 100%, $E$9)</f>
        <v>16.8992</v>
      </c>
      <c r="H998" s="81">
        <f>35.0547 * CHOOSE(CONTROL!$C$32, $C$9, 100%, $E$9)</f>
        <v>35.054699999999997</v>
      </c>
      <c r="I998" s="81">
        <f>35.0583 * CHOOSE(CONTROL!$C$32, $C$9, 100%, $E$9)</f>
        <v>35.058300000000003</v>
      </c>
      <c r="J998" s="81">
        <f>35.0547 * CHOOSE(CONTROL!$C$32, $C$9, 100%, $E$9)</f>
        <v>35.054699999999997</v>
      </c>
      <c r="K998" s="81">
        <f>35.0583 * CHOOSE(CONTROL!$C$32, $C$9, 100%, $E$9)</f>
        <v>35.058300000000003</v>
      </c>
      <c r="L998" s="81">
        <f>16.8956 * CHOOSE(CONTROL!$C$32, $C$9, 100%, $E$9)</f>
        <v>16.895600000000002</v>
      </c>
      <c r="M998" s="81">
        <f>16.8992 * CHOOSE(CONTROL!$C$32, $C$9, 100%, $E$9)</f>
        <v>16.8992</v>
      </c>
      <c r="N998" s="81">
        <f>16.8956 * CHOOSE(CONTROL!$C$32, $C$9, 100%, $E$9)</f>
        <v>16.895600000000002</v>
      </c>
      <c r="O998" s="81">
        <f>16.8992 * CHOOSE(CONTROL!$C$32, $C$9, 100%, $E$9)</f>
        <v>16.8992</v>
      </c>
    </row>
    <row r="999" spans="1:15" ht="15" x14ac:dyDescent="0.2">
      <c r="A999" s="16">
        <v>71621</v>
      </c>
      <c r="B999" s="80">
        <f>14.9993 * CHOOSE(CONTROL!$C$32, $C$9, 100%, $E$9)</f>
        <v>14.9993</v>
      </c>
      <c r="C999" s="80">
        <f>14.9993 * CHOOSE(CONTROL!$C$32, $C$9, 100%, $E$9)</f>
        <v>14.9993</v>
      </c>
      <c r="D999" s="80">
        <f>15.0004 * CHOOSE(CONTROL!$C$32, $C$9, 100%, $E$9)</f>
        <v>15.000400000000001</v>
      </c>
      <c r="E999" s="81">
        <f>16.4204 * CHOOSE(CONTROL!$C$32, $C$9, 100%, $E$9)</f>
        <v>16.420400000000001</v>
      </c>
      <c r="F999" s="81">
        <f>16.4204 * CHOOSE(CONTROL!$C$32, $C$9, 100%, $E$9)</f>
        <v>16.420400000000001</v>
      </c>
      <c r="G999" s="81">
        <f>16.424 * CHOOSE(CONTROL!$C$32, $C$9, 100%, $E$9)</f>
        <v>16.423999999999999</v>
      </c>
      <c r="H999" s="81">
        <f>35.1277 * CHOOSE(CONTROL!$C$32, $C$9, 100%, $E$9)</f>
        <v>35.127699999999997</v>
      </c>
      <c r="I999" s="81">
        <f>35.1313 * CHOOSE(CONTROL!$C$32, $C$9, 100%, $E$9)</f>
        <v>35.131300000000003</v>
      </c>
      <c r="J999" s="81">
        <f>35.1277 * CHOOSE(CONTROL!$C$32, $C$9, 100%, $E$9)</f>
        <v>35.127699999999997</v>
      </c>
      <c r="K999" s="81">
        <f>35.1313 * CHOOSE(CONTROL!$C$32, $C$9, 100%, $E$9)</f>
        <v>35.131300000000003</v>
      </c>
      <c r="L999" s="81">
        <f>16.4204 * CHOOSE(CONTROL!$C$32, $C$9, 100%, $E$9)</f>
        <v>16.420400000000001</v>
      </c>
      <c r="M999" s="81">
        <f>16.424 * CHOOSE(CONTROL!$C$32, $C$9, 100%, $E$9)</f>
        <v>16.423999999999999</v>
      </c>
      <c r="N999" s="81">
        <f>16.4204 * CHOOSE(CONTROL!$C$32, $C$9, 100%, $E$9)</f>
        <v>16.420400000000001</v>
      </c>
      <c r="O999" s="81">
        <f>16.424 * CHOOSE(CONTROL!$C$32, $C$9, 100%, $E$9)</f>
        <v>16.423999999999999</v>
      </c>
    </row>
    <row r="1000" spans="1:15" ht="15" x14ac:dyDescent="0.2">
      <c r="A1000" s="16">
        <v>71650</v>
      </c>
      <c r="B1000" s="80">
        <f>14.9963 * CHOOSE(CONTROL!$C$32, $C$9, 100%, $E$9)</f>
        <v>14.9963</v>
      </c>
      <c r="C1000" s="80">
        <f>14.9963 * CHOOSE(CONTROL!$C$32, $C$9, 100%, $E$9)</f>
        <v>14.9963</v>
      </c>
      <c r="D1000" s="80">
        <f>14.9974 * CHOOSE(CONTROL!$C$32, $C$9, 100%, $E$9)</f>
        <v>14.997400000000001</v>
      </c>
      <c r="E1000" s="81">
        <f>16.7912 * CHOOSE(CONTROL!$C$32, $C$9, 100%, $E$9)</f>
        <v>16.7912</v>
      </c>
      <c r="F1000" s="81">
        <f>16.7912 * CHOOSE(CONTROL!$C$32, $C$9, 100%, $E$9)</f>
        <v>16.7912</v>
      </c>
      <c r="G1000" s="81">
        <f>16.7949 * CHOOSE(CONTROL!$C$32, $C$9, 100%, $E$9)</f>
        <v>16.794899999999998</v>
      </c>
      <c r="H1000" s="81">
        <f>35.2009 * CHOOSE(CONTROL!$C$32, $C$9, 100%, $E$9)</f>
        <v>35.200899999999997</v>
      </c>
      <c r="I1000" s="81">
        <f>35.2045 * CHOOSE(CONTROL!$C$32, $C$9, 100%, $E$9)</f>
        <v>35.204500000000003</v>
      </c>
      <c r="J1000" s="81">
        <f>35.2009 * CHOOSE(CONTROL!$C$32, $C$9, 100%, $E$9)</f>
        <v>35.200899999999997</v>
      </c>
      <c r="K1000" s="81">
        <f>35.2045 * CHOOSE(CONTROL!$C$32, $C$9, 100%, $E$9)</f>
        <v>35.204500000000003</v>
      </c>
      <c r="L1000" s="81">
        <f>16.7912 * CHOOSE(CONTROL!$C$32, $C$9, 100%, $E$9)</f>
        <v>16.7912</v>
      </c>
      <c r="M1000" s="81">
        <f>16.7949 * CHOOSE(CONTROL!$C$32, $C$9, 100%, $E$9)</f>
        <v>16.794899999999998</v>
      </c>
      <c r="N1000" s="81">
        <f>16.7912 * CHOOSE(CONTROL!$C$32, $C$9, 100%, $E$9)</f>
        <v>16.7912</v>
      </c>
      <c r="O1000" s="81">
        <f>16.7949 * CHOOSE(CONTROL!$C$32, $C$9, 100%, $E$9)</f>
        <v>16.794899999999998</v>
      </c>
    </row>
    <row r="1001" spans="1:15" ht="15" x14ac:dyDescent="0.2">
      <c r="A1001" s="16">
        <v>71681</v>
      </c>
      <c r="B1001" s="80">
        <f>15.0046 * CHOOSE(CONTROL!$C$32, $C$9, 100%, $E$9)</f>
        <v>15.0046</v>
      </c>
      <c r="C1001" s="80">
        <f>15.0046 * CHOOSE(CONTROL!$C$32, $C$9, 100%, $E$9)</f>
        <v>15.0046</v>
      </c>
      <c r="D1001" s="80">
        <f>15.0057 * CHOOSE(CONTROL!$C$32, $C$9, 100%, $E$9)</f>
        <v>15.005699999999999</v>
      </c>
      <c r="E1001" s="81">
        <f>17.1876 * CHOOSE(CONTROL!$C$32, $C$9, 100%, $E$9)</f>
        <v>17.1876</v>
      </c>
      <c r="F1001" s="81">
        <f>17.1876 * CHOOSE(CONTROL!$C$32, $C$9, 100%, $E$9)</f>
        <v>17.1876</v>
      </c>
      <c r="G1001" s="81">
        <f>17.1912 * CHOOSE(CONTROL!$C$32, $C$9, 100%, $E$9)</f>
        <v>17.191199999999998</v>
      </c>
      <c r="H1001" s="81">
        <f>35.2742 * CHOOSE(CONTROL!$C$32, $C$9, 100%, $E$9)</f>
        <v>35.2742</v>
      </c>
      <c r="I1001" s="81">
        <f>35.2778 * CHOOSE(CONTROL!$C$32, $C$9, 100%, $E$9)</f>
        <v>35.277799999999999</v>
      </c>
      <c r="J1001" s="81">
        <f>35.2742 * CHOOSE(CONTROL!$C$32, $C$9, 100%, $E$9)</f>
        <v>35.2742</v>
      </c>
      <c r="K1001" s="81">
        <f>35.2778 * CHOOSE(CONTROL!$C$32, $C$9, 100%, $E$9)</f>
        <v>35.277799999999999</v>
      </c>
      <c r="L1001" s="81">
        <f>17.1876 * CHOOSE(CONTROL!$C$32, $C$9, 100%, $E$9)</f>
        <v>17.1876</v>
      </c>
      <c r="M1001" s="81">
        <f>17.1912 * CHOOSE(CONTROL!$C$32, $C$9, 100%, $E$9)</f>
        <v>17.191199999999998</v>
      </c>
      <c r="N1001" s="81">
        <f>17.1876 * CHOOSE(CONTROL!$C$32, $C$9, 100%, $E$9)</f>
        <v>17.1876</v>
      </c>
      <c r="O1001" s="81">
        <f>17.1912 * CHOOSE(CONTROL!$C$32, $C$9, 100%, $E$9)</f>
        <v>17.191199999999998</v>
      </c>
    </row>
    <row r="1002" spans="1:15" ht="15" x14ac:dyDescent="0.2">
      <c r="A1002" s="16">
        <v>71711</v>
      </c>
      <c r="B1002" s="80">
        <f>15.0046 * CHOOSE(CONTROL!$C$32, $C$9, 100%, $E$9)</f>
        <v>15.0046</v>
      </c>
      <c r="C1002" s="80">
        <f>15.0046 * CHOOSE(CONTROL!$C$32, $C$9, 100%, $E$9)</f>
        <v>15.0046</v>
      </c>
      <c r="D1002" s="80">
        <f>15.0062 * CHOOSE(CONTROL!$C$32, $C$9, 100%, $E$9)</f>
        <v>15.0062</v>
      </c>
      <c r="E1002" s="81">
        <f>17.3378 * CHOOSE(CONTROL!$C$32, $C$9, 100%, $E$9)</f>
        <v>17.337800000000001</v>
      </c>
      <c r="F1002" s="81">
        <f>17.3378 * CHOOSE(CONTROL!$C$32, $C$9, 100%, $E$9)</f>
        <v>17.337800000000001</v>
      </c>
      <c r="G1002" s="81">
        <f>17.3431 * CHOOSE(CONTROL!$C$32, $C$9, 100%, $E$9)</f>
        <v>17.3431</v>
      </c>
      <c r="H1002" s="81">
        <f>35.3477 * CHOOSE(CONTROL!$C$32, $C$9, 100%, $E$9)</f>
        <v>35.347700000000003</v>
      </c>
      <c r="I1002" s="81">
        <f>35.353 * CHOOSE(CONTROL!$C$32, $C$9, 100%, $E$9)</f>
        <v>35.353000000000002</v>
      </c>
      <c r="J1002" s="81">
        <f>35.3477 * CHOOSE(CONTROL!$C$32, $C$9, 100%, $E$9)</f>
        <v>35.347700000000003</v>
      </c>
      <c r="K1002" s="81">
        <f>35.353 * CHOOSE(CONTROL!$C$32, $C$9, 100%, $E$9)</f>
        <v>35.353000000000002</v>
      </c>
      <c r="L1002" s="81">
        <f>17.3378 * CHOOSE(CONTROL!$C$32, $C$9, 100%, $E$9)</f>
        <v>17.337800000000001</v>
      </c>
      <c r="M1002" s="81">
        <f>17.3431 * CHOOSE(CONTROL!$C$32, $C$9, 100%, $E$9)</f>
        <v>17.3431</v>
      </c>
      <c r="N1002" s="81">
        <f>17.3378 * CHOOSE(CONTROL!$C$32, $C$9, 100%, $E$9)</f>
        <v>17.337800000000001</v>
      </c>
      <c r="O1002" s="81">
        <f>17.3431 * CHOOSE(CONTROL!$C$32, $C$9, 100%, $E$9)</f>
        <v>17.3431</v>
      </c>
    </row>
    <row r="1003" spans="1:15" ht="15" x14ac:dyDescent="0.2">
      <c r="A1003" s="16">
        <v>71742</v>
      </c>
      <c r="B1003" s="80">
        <f>15.0107 * CHOOSE(CONTROL!$C$32, $C$9, 100%, $E$9)</f>
        <v>15.0107</v>
      </c>
      <c r="C1003" s="80">
        <f>15.0107 * CHOOSE(CONTROL!$C$32, $C$9, 100%, $E$9)</f>
        <v>15.0107</v>
      </c>
      <c r="D1003" s="80">
        <f>15.0123 * CHOOSE(CONTROL!$C$32, $C$9, 100%, $E$9)</f>
        <v>15.0123</v>
      </c>
      <c r="E1003" s="81">
        <f>17.1918 * CHOOSE(CONTROL!$C$32, $C$9, 100%, $E$9)</f>
        <v>17.191800000000001</v>
      </c>
      <c r="F1003" s="81">
        <f>17.1918 * CHOOSE(CONTROL!$C$32, $C$9, 100%, $E$9)</f>
        <v>17.191800000000001</v>
      </c>
      <c r="G1003" s="81">
        <f>17.1971 * CHOOSE(CONTROL!$C$32, $C$9, 100%, $E$9)</f>
        <v>17.197099999999999</v>
      </c>
      <c r="H1003" s="81">
        <f>35.4214 * CHOOSE(CONTROL!$C$32, $C$9, 100%, $E$9)</f>
        <v>35.421399999999998</v>
      </c>
      <c r="I1003" s="81">
        <f>35.4266 * CHOOSE(CONTROL!$C$32, $C$9, 100%, $E$9)</f>
        <v>35.426600000000001</v>
      </c>
      <c r="J1003" s="81">
        <f>35.4214 * CHOOSE(CONTROL!$C$32, $C$9, 100%, $E$9)</f>
        <v>35.421399999999998</v>
      </c>
      <c r="K1003" s="81">
        <f>35.4266 * CHOOSE(CONTROL!$C$32, $C$9, 100%, $E$9)</f>
        <v>35.426600000000001</v>
      </c>
      <c r="L1003" s="81">
        <f>17.1918 * CHOOSE(CONTROL!$C$32, $C$9, 100%, $E$9)</f>
        <v>17.191800000000001</v>
      </c>
      <c r="M1003" s="81">
        <f>17.1971 * CHOOSE(CONTROL!$C$32, $C$9, 100%, $E$9)</f>
        <v>17.197099999999999</v>
      </c>
      <c r="N1003" s="81">
        <f>17.1918 * CHOOSE(CONTROL!$C$32, $C$9, 100%, $E$9)</f>
        <v>17.191800000000001</v>
      </c>
      <c r="O1003" s="81">
        <f>17.1971 * CHOOSE(CONTROL!$C$32, $C$9, 100%, $E$9)</f>
        <v>17.197099999999999</v>
      </c>
    </row>
    <row r="1004" spans="1:15" ht="15" x14ac:dyDescent="0.2">
      <c r="A1004" s="16">
        <v>71772</v>
      </c>
      <c r="B1004" s="80">
        <f>15.1901 * CHOOSE(CONTROL!$C$32, $C$9, 100%, $E$9)</f>
        <v>15.190099999999999</v>
      </c>
      <c r="C1004" s="80">
        <f>15.1901 * CHOOSE(CONTROL!$C$32, $C$9, 100%, $E$9)</f>
        <v>15.190099999999999</v>
      </c>
      <c r="D1004" s="80">
        <f>15.1916 * CHOOSE(CONTROL!$C$32, $C$9, 100%, $E$9)</f>
        <v>15.191599999999999</v>
      </c>
      <c r="E1004" s="81">
        <f>17.4364 * CHOOSE(CONTROL!$C$32, $C$9, 100%, $E$9)</f>
        <v>17.436399999999999</v>
      </c>
      <c r="F1004" s="81">
        <f>17.4364 * CHOOSE(CONTROL!$C$32, $C$9, 100%, $E$9)</f>
        <v>17.436399999999999</v>
      </c>
      <c r="G1004" s="81">
        <f>17.4417 * CHOOSE(CONTROL!$C$32, $C$9, 100%, $E$9)</f>
        <v>17.441700000000001</v>
      </c>
      <c r="H1004" s="81">
        <f>35.4951 * CHOOSE(CONTROL!$C$32, $C$9, 100%, $E$9)</f>
        <v>35.495100000000001</v>
      </c>
      <c r="I1004" s="81">
        <f>35.5004 * CHOOSE(CONTROL!$C$32, $C$9, 100%, $E$9)</f>
        <v>35.500399999999999</v>
      </c>
      <c r="J1004" s="81">
        <f>35.4951 * CHOOSE(CONTROL!$C$32, $C$9, 100%, $E$9)</f>
        <v>35.495100000000001</v>
      </c>
      <c r="K1004" s="81">
        <f>35.5004 * CHOOSE(CONTROL!$C$32, $C$9, 100%, $E$9)</f>
        <v>35.500399999999999</v>
      </c>
      <c r="L1004" s="81">
        <f>17.4364 * CHOOSE(CONTROL!$C$32, $C$9, 100%, $E$9)</f>
        <v>17.436399999999999</v>
      </c>
      <c r="M1004" s="81">
        <f>17.4417 * CHOOSE(CONTROL!$C$32, $C$9, 100%, $E$9)</f>
        <v>17.441700000000001</v>
      </c>
      <c r="N1004" s="81">
        <f>17.4364 * CHOOSE(CONTROL!$C$32, $C$9, 100%, $E$9)</f>
        <v>17.436399999999999</v>
      </c>
      <c r="O1004" s="81">
        <f>17.4417 * CHOOSE(CONTROL!$C$32, $C$9, 100%, $E$9)</f>
        <v>17.441700000000001</v>
      </c>
    </row>
    <row r="1005" spans="1:15" ht="15" x14ac:dyDescent="0.2">
      <c r="A1005" s="16">
        <v>71803</v>
      </c>
      <c r="B1005" s="80">
        <f>15.1967 * CHOOSE(CONTROL!$C$32, $C$9, 100%, $E$9)</f>
        <v>15.1967</v>
      </c>
      <c r="C1005" s="80">
        <f>15.1967 * CHOOSE(CONTROL!$C$32, $C$9, 100%, $E$9)</f>
        <v>15.1967</v>
      </c>
      <c r="D1005" s="80">
        <f>15.1983 * CHOOSE(CONTROL!$C$32, $C$9, 100%, $E$9)</f>
        <v>15.1983</v>
      </c>
      <c r="E1005" s="81">
        <f>16.9904 * CHOOSE(CONTROL!$C$32, $C$9, 100%, $E$9)</f>
        <v>16.990400000000001</v>
      </c>
      <c r="F1005" s="81">
        <f>16.9904 * CHOOSE(CONTROL!$C$32, $C$9, 100%, $E$9)</f>
        <v>16.990400000000001</v>
      </c>
      <c r="G1005" s="81">
        <f>16.9957 * CHOOSE(CONTROL!$C$32, $C$9, 100%, $E$9)</f>
        <v>16.995699999999999</v>
      </c>
      <c r="H1005" s="81">
        <f>35.5691 * CHOOSE(CONTROL!$C$32, $C$9, 100%, $E$9)</f>
        <v>35.569099999999999</v>
      </c>
      <c r="I1005" s="81">
        <f>35.5744 * CHOOSE(CONTROL!$C$32, $C$9, 100%, $E$9)</f>
        <v>35.574399999999997</v>
      </c>
      <c r="J1005" s="81">
        <f>35.5691 * CHOOSE(CONTROL!$C$32, $C$9, 100%, $E$9)</f>
        <v>35.569099999999999</v>
      </c>
      <c r="K1005" s="81">
        <f>35.5744 * CHOOSE(CONTROL!$C$32, $C$9, 100%, $E$9)</f>
        <v>35.574399999999997</v>
      </c>
      <c r="L1005" s="81">
        <f>16.9904 * CHOOSE(CONTROL!$C$32, $C$9, 100%, $E$9)</f>
        <v>16.990400000000001</v>
      </c>
      <c r="M1005" s="81">
        <f>16.9957 * CHOOSE(CONTROL!$C$32, $C$9, 100%, $E$9)</f>
        <v>16.995699999999999</v>
      </c>
      <c r="N1005" s="81">
        <f>16.9904 * CHOOSE(CONTROL!$C$32, $C$9, 100%, $E$9)</f>
        <v>16.990400000000001</v>
      </c>
      <c r="O1005" s="81">
        <f>16.9957 * CHOOSE(CONTROL!$C$32, $C$9, 100%, $E$9)</f>
        <v>16.995699999999999</v>
      </c>
    </row>
    <row r="1006" spans="1:15" ht="15" x14ac:dyDescent="0.2">
      <c r="A1006" s="16">
        <v>71834</v>
      </c>
      <c r="B1006" s="80">
        <f>15.1937 * CHOOSE(CONTROL!$C$32, $C$9, 100%, $E$9)</f>
        <v>15.1937</v>
      </c>
      <c r="C1006" s="80">
        <f>15.1937 * CHOOSE(CONTROL!$C$32, $C$9, 100%, $E$9)</f>
        <v>15.1937</v>
      </c>
      <c r="D1006" s="80">
        <f>15.1953 * CHOOSE(CONTROL!$C$32, $C$9, 100%, $E$9)</f>
        <v>15.1953</v>
      </c>
      <c r="E1006" s="81">
        <f>16.9382 * CHOOSE(CONTROL!$C$32, $C$9, 100%, $E$9)</f>
        <v>16.938199999999998</v>
      </c>
      <c r="F1006" s="81">
        <f>16.9382 * CHOOSE(CONTROL!$C$32, $C$9, 100%, $E$9)</f>
        <v>16.938199999999998</v>
      </c>
      <c r="G1006" s="81">
        <f>16.9435 * CHOOSE(CONTROL!$C$32, $C$9, 100%, $E$9)</f>
        <v>16.9435</v>
      </c>
      <c r="H1006" s="81">
        <f>35.6432 * CHOOSE(CONTROL!$C$32, $C$9, 100%, $E$9)</f>
        <v>35.6432</v>
      </c>
      <c r="I1006" s="81">
        <f>35.6485 * CHOOSE(CONTROL!$C$32, $C$9, 100%, $E$9)</f>
        <v>35.648499999999999</v>
      </c>
      <c r="J1006" s="81">
        <f>35.6432 * CHOOSE(CONTROL!$C$32, $C$9, 100%, $E$9)</f>
        <v>35.6432</v>
      </c>
      <c r="K1006" s="81">
        <f>35.6485 * CHOOSE(CONTROL!$C$32, $C$9, 100%, $E$9)</f>
        <v>35.648499999999999</v>
      </c>
      <c r="L1006" s="81">
        <f>16.9382 * CHOOSE(CONTROL!$C$32, $C$9, 100%, $E$9)</f>
        <v>16.938199999999998</v>
      </c>
      <c r="M1006" s="81">
        <f>16.9435 * CHOOSE(CONTROL!$C$32, $C$9, 100%, $E$9)</f>
        <v>16.9435</v>
      </c>
      <c r="N1006" s="81">
        <f>16.9382 * CHOOSE(CONTROL!$C$32, $C$9, 100%, $E$9)</f>
        <v>16.938199999999998</v>
      </c>
      <c r="O1006" s="81">
        <f>16.9435 * CHOOSE(CONTROL!$C$32, $C$9, 100%, $E$9)</f>
        <v>16.9435</v>
      </c>
    </row>
    <row r="1007" spans="1:15" ht="15" x14ac:dyDescent="0.2">
      <c r="A1007" s="16">
        <v>71864</v>
      </c>
      <c r="B1007" s="80">
        <f>15.2306 * CHOOSE(CONTROL!$C$32, $C$9, 100%, $E$9)</f>
        <v>15.230600000000001</v>
      </c>
      <c r="C1007" s="80">
        <f>15.2306 * CHOOSE(CONTROL!$C$32, $C$9, 100%, $E$9)</f>
        <v>15.230600000000001</v>
      </c>
      <c r="D1007" s="80">
        <f>15.2317 * CHOOSE(CONTROL!$C$32, $C$9, 100%, $E$9)</f>
        <v>15.2317</v>
      </c>
      <c r="E1007" s="81">
        <f>17.1251 * CHOOSE(CONTROL!$C$32, $C$9, 100%, $E$9)</f>
        <v>17.1251</v>
      </c>
      <c r="F1007" s="81">
        <f>17.1251 * CHOOSE(CONTROL!$C$32, $C$9, 100%, $E$9)</f>
        <v>17.1251</v>
      </c>
      <c r="G1007" s="81">
        <f>17.1287 * CHOOSE(CONTROL!$C$32, $C$9, 100%, $E$9)</f>
        <v>17.128699999999998</v>
      </c>
      <c r="H1007" s="81">
        <f>35.7175 * CHOOSE(CONTROL!$C$32, $C$9, 100%, $E$9)</f>
        <v>35.717500000000001</v>
      </c>
      <c r="I1007" s="81">
        <f>35.7211 * CHOOSE(CONTROL!$C$32, $C$9, 100%, $E$9)</f>
        <v>35.7211</v>
      </c>
      <c r="J1007" s="81">
        <f>35.7175 * CHOOSE(CONTROL!$C$32, $C$9, 100%, $E$9)</f>
        <v>35.717500000000001</v>
      </c>
      <c r="K1007" s="81">
        <f>35.7211 * CHOOSE(CONTROL!$C$32, $C$9, 100%, $E$9)</f>
        <v>35.7211</v>
      </c>
      <c r="L1007" s="81">
        <f>17.1251 * CHOOSE(CONTROL!$C$32, $C$9, 100%, $E$9)</f>
        <v>17.1251</v>
      </c>
      <c r="M1007" s="81">
        <f>17.1287 * CHOOSE(CONTROL!$C$32, $C$9, 100%, $E$9)</f>
        <v>17.128699999999998</v>
      </c>
      <c r="N1007" s="81">
        <f>17.1251 * CHOOSE(CONTROL!$C$32, $C$9, 100%, $E$9)</f>
        <v>17.1251</v>
      </c>
      <c r="O1007" s="81">
        <f>17.1287 * CHOOSE(CONTROL!$C$32, $C$9, 100%, $E$9)</f>
        <v>17.128699999999998</v>
      </c>
    </row>
    <row r="1008" spans="1:15" ht="15" x14ac:dyDescent="0.2">
      <c r="A1008" s="16">
        <v>71895</v>
      </c>
      <c r="B1008" s="80">
        <f>15.2337 * CHOOSE(CONTROL!$C$32, $C$9, 100%, $E$9)</f>
        <v>15.233700000000001</v>
      </c>
      <c r="C1008" s="80">
        <f>15.2337 * CHOOSE(CONTROL!$C$32, $C$9, 100%, $E$9)</f>
        <v>15.233700000000001</v>
      </c>
      <c r="D1008" s="80">
        <f>15.2347 * CHOOSE(CONTROL!$C$32, $C$9, 100%, $E$9)</f>
        <v>15.2347</v>
      </c>
      <c r="E1008" s="81">
        <f>17.2274 * CHOOSE(CONTROL!$C$32, $C$9, 100%, $E$9)</f>
        <v>17.227399999999999</v>
      </c>
      <c r="F1008" s="81">
        <f>17.2274 * CHOOSE(CONTROL!$C$32, $C$9, 100%, $E$9)</f>
        <v>17.227399999999999</v>
      </c>
      <c r="G1008" s="81">
        <f>17.231 * CHOOSE(CONTROL!$C$32, $C$9, 100%, $E$9)</f>
        <v>17.231000000000002</v>
      </c>
      <c r="H1008" s="81">
        <f>35.7919 * CHOOSE(CONTROL!$C$32, $C$9, 100%, $E$9)</f>
        <v>35.791899999999998</v>
      </c>
      <c r="I1008" s="81">
        <f>35.7955 * CHOOSE(CONTROL!$C$32, $C$9, 100%, $E$9)</f>
        <v>35.795499999999997</v>
      </c>
      <c r="J1008" s="81">
        <f>35.7919 * CHOOSE(CONTROL!$C$32, $C$9, 100%, $E$9)</f>
        <v>35.791899999999998</v>
      </c>
      <c r="K1008" s="81">
        <f>35.7955 * CHOOSE(CONTROL!$C$32, $C$9, 100%, $E$9)</f>
        <v>35.795499999999997</v>
      </c>
      <c r="L1008" s="81">
        <f>17.2274 * CHOOSE(CONTROL!$C$32, $C$9, 100%, $E$9)</f>
        <v>17.227399999999999</v>
      </c>
      <c r="M1008" s="81">
        <f>17.231 * CHOOSE(CONTROL!$C$32, $C$9, 100%, $E$9)</f>
        <v>17.231000000000002</v>
      </c>
      <c r="N1008" s="81">
        <f>17.2274 * CHOOSE(CONTROL!$C$32, $C$9, 100%, $E$9)</f>
        <v>17.227399999999999</v>
      </c>
      <c r="O1008" s="81">
        <f>17.231 * CHOOSE(CONTROL!$C$32, $C$9, 100%, $E$9)</f>
        <v>17.231000000000002</v>
      </c>
    </row>
    <row r="1009" spans="1:15" ht="15" x14ac:dyDescent="0.2">
      <c r="A1009" s="16">
        <v>71925</v>
      </c>
      <c r="B1009" s="80">
        <f>15.2337 * CHOOSE(CONTROL!$C$32, $C$9, 100%, $E$9)</f>
        <v>15.233700000000001</v>
      </c>
      <c r="C1009" s="80">
        <f>15.2337 * CHOOSE(CONTROL!$C$32, $C$9, 100%, $E$9)</f>
        <v>15.233700000000001</v>
      </c>
      <c r="D1009" s="80">
        <f>15.2347 * CHOOSE(CONTROL!$C$32, $C$9, 100%, $E$9)</f>
        <v>15.2347</v>
      </c>
      <c r="E1009" s="81">
        <f>16.977 * CHOOSE(CONTROL!$C$32, $C$9, 100%, $E$9)</f>
        <v>16.977</v>
      </c>
      <c r="F1009" s="81">
        <f>16.977 * CHOOSE(CONTROL!$C$32, $C$9, 100%, $E$9)</f>
        <v>16.977</v>
      </c>
      <c r="G1009" s="81">
        <f>16.9806 * CHOOSE(CONTROL!$C$32, $C$9, 100%, $E$9)</f>
        <v>16.980599999999999</v>
      </c>
      <c r="H1009" s="81">
        <f>35.8664 * CHOOSE(CONTROL!$C$32, $C$9, 100%, $E$9)</f>
        <v>35.866399999999999</v>
      </c>
      <c r="I1009" s="81">
        <f>35.8701 * CHOOSE(CONTROL!$C$32, $C$9, 100%, $E$9)</f>
        <v>35.870100000000001</v>
      </c>
      <c r="J1009" s="81">
        <f>35.8664 * CHOOSE(CONTROL!$C$32, $C$9, 100%, $E$9)</f>
        <v>35.866399999999999</v>
      </c>
      <c r="K1009" s="81">
        <f>35.8701 * CHOOSE(CONTROL!$C$32, $C$9, 100%, $E$9)</f>
        <v>35.870100000000001</v>
      </c>
      <c r="L1009" s="81">
        <f>16.977 * CHOOSE(CONTROL!$C$32, $C$9, 100%, $E$9)</f>
        <v>16.977</v>
      </c>
      <c r="M1009" s="81">
        <f>16.9806 * CHOOSE(CONTROL!$C$32, $C$9, 100%, $E$9)</f>
        <v>16.980599999999999</v>
      </c>
      <c r="N1009" s="81">
        <f>16.977 * CHOOSE(CONTROL!$C$32, $C$9, 100%, $E$9)</f>
        <v>16.977</v>
      </c>
      <c r="O1009" s="81">
        <f>16.9806 * CHOOSE(CONTROL!$C$32, $C$9, 100%, $E$9)</f>
        <v>16.980599999999999</v>
      </c>
    </row>
    <row r="1010" spans="1:15" ht="15" x14ac:dyDescent="0.2">
      <c r="A1010" s="16">
        <v>71956</v>
      </c>
      <c r="B1010" s="80">
        <f>15.1897 * CHOOSE(CONTROL!$C$32, $C$9, 100%, $E$9)</f>
        <v>15.1897</v>
      </c>
      <c r="C1010" s="80">
        <f>15.1897 * CHOOSE(CONTROL!$C$32, $C$9, 100%, $E$9)</f>
        <v>15.1897</v>
      </c>
      <c r="D1010" s="80">
        <f>15.1908 * CHOOSE(CONTROL!$C$32, $C$9, 100%, $E$9)</f>
        <v>15.190799999999999</v>
      </c>
      <c r="E1010" s="81">
        <f>17.1081 * CHOOSE(CONTROL!$C$32, $C$9, 100%, $E$9)</f>
        <v>17.1081</v>
      </c>
      <c r="F1010" s="81">
        <f>17.1081 * CHOOSE(CONTROL!$C$32, $C$9, 100%, $E$9)</f>
        <v>17.1081</v>
      </c>
      <c r="G1010" s="81">
        <f>17.1117 * CHOOSE(CONTROL!$C$32, $C$9, 100%, $E$9)</f>
        <v>17.111699999999999</v>
      </c>
      <c r="H1010" s="81">
        <f>35.5187 * CHOOSE(CONTROL!$C$32, $C$9, 100%, $E$9)</f>
        <v>35.518700000000003</v>
      </c>
      <c r="I1010" s="81">
        <f>35.5223 * CHOOSE(CONTROL!$C$32, $C$9, 100%, $E$9)</f>
        <v>35.522300000000001</v>
      </c>
      <c r="J1010" s="81">
        <f>35.5187 * CHOOSE(CONTROL!$C$32, $C$9, 100%, $E$9)</f>
        <v>35.518700000000003</v>
      </c>
      <c r="K1010" s="81">
        <f>35.5223 * CHOOSE(CONTROL!$C$32, $C$9, 100%, $E$9)</f>
        <v>35.522300000000001</v>
      </c>
      <c r="L1010" s="81">
        <f>17.1081 * CHOOSE(CONTROL!$C$32, $C$9, 100%, $E$9)</f>
        <v>17.1081</v>
      </c>
      <c r="M1010" s="81">
        <f>17.1117 * CHOOSE(CONTROL!$C$32, $C$9, 100%, $E$9)</f>
        <v>17.111699999999999</v>
      </c>
      <c r="N1010" s="81">
        <f>17.1081 * CHOOSE(CONTROL!$C$32, $C$9, 100%, $E$9)</f>
        <v>17.1081</v>
      </c>
      <c r="O1010" s="81">
        <f>17.1117 * CHOOSE(CONTROL!$C$32, $C$9, 100%, $E$9)</f>
        <v>17.111699999999999</v>
      </c>
    </row>
    <row r="1011" spans="1:15" ht="15" x14ac:dyDescent="0.2">
      <c r="A1011" s="16">
        <v>71987</v>
      </c>
      <c r="B1011" s="80">
        <f>15.1867 * CHOOSE(CONTROL!$C$32, $C$9, 100%, $E$9)</f>
        <v>15.1867</v>
      </c>
      <c r="C1011" s="80">
        <f>15.1867 * CHOOSE(CONTROL!$C$32, $C$9, 100%, $E$9)</f>
        <v>15.1867</v>
      </c>
      <c r="D1011" s="80">
        <f>15.1878 * CHOOSE(CONTROL!$C$32, $C$9, 100%, $E$9)</f>
        <v>15.187799999999999</v>
      </c>
      <c r="E1011" s="81">
        <f>16.6258 * CHOOSE(CONTROL!$C$32, $C$9, 100%, $E$9)</f>
        <v>16.625800000000002</v>
      </c>
      <c r="F1011" s="81">
        <f>16.6258 * CHOOSE(CONTROL!$C$32, $C$9, 100%, $E$9)</f>
        <v>16.625800000000002</v>
      </c>
      <c r="G1011" s="81">
        <f>16.6294 * CHOOSE(CONTROL!$C$32, $C$9, 100%, $E$9)</f>
        <v>16.6294</v>
      </c>
      <c r="H1011" s="81">
        <f>35.5927 * CHOOSE(CONTROL!$C$32, $C$9, 100%, $E$9)</f>
        <v>35.592700000000001</v>
      </c>
      <c r="I1011" s="81">
        <f>35.5963 * CHOOSE(CONTROL!$C$32, $C$9, 100%, $E$9)</f>
        <v>35.596299999999999</v>
      </c>
      <c r="J1011" s="81">
        <f>35.5927 * CHOOSE(CONTROL!$C$32, $C$9, 100%, $E$9)</f>
        <v>35.592700000000001</v>
      </c>
      <c r="K1011" s="81">
        <f>35.5963 * CHOOSE(CONTROL!$C$32, $C$9, 100%, $E$9)</f>
        <v>35.596299999999999</v>
      </c>
      <c r="L1011" s="81">
        <f>16.6258 * CHOOSE(CONTROL!$C$32, $C$9, 100%, $E$9)</f>
        <v>16.625800000000002</v>
      </c>
      <c r="M1011" s="81">
        <f>16.6294 * CHOOSE(CONTROL!$C$32, $C$9, 100%, $E$9)</f>
        <v>16.6294</v>
      </c>
      <c r="N1011" s="81">
        <f>16.6258 * CHOOSE(CONTROL!$C$32, $C$9, 100%, $E$9)</f>
        <v>16.625800000000002</v>
      </c>
      <c r="O1011" s="81">
        <f>16.6294 * CHOOSE(CONTROL!$C$32, $C$9, 100%, $E$9)</f>
        <v>16.6294</v>
      </c>
    </row>
    <row r="1012" spans="1:15" ht="15" x14ac:dyDescent="0.2">
      <c r="A1012" s="16">
        <v>72015</v>
      </c>
      <c r="B1012" s="80">
        <f>15.1837 * CHOOSE(CONTROL!$C$32, $C$9, 100%, $E$9)</f>
        <v>15.1837</v>
      </c>
      <c r="C1012" s="80">
        <f>15.1837 * CHOOSE(CONTROL!$C$32, $C$9, 100%, $E$9)</f>
        <v>15.1837</v>
      </c>
      <c r="D1012" s="80">
        <f>15.1847 * CHOOSE(CONTROL!$C$32, $C$9, 100%, $E$9)</f>
        <v>15.184699999999999</v>
      </c>
      <c r="E1012" s="81">
        <f>17.0022 * CHOOSE(CONTROL!$C$32, $C$9, 100%, $E$9)</f>
        <v>17.002199999999998</v>
      </c>
      <c r="F1012" s="81">
        <f>17.0022 * CHOOSE(CONTROL!$C$32, $C$9, 100%, $E$9)</f>
        <v>17.002199999999998</v>
      </c>
      <c r="G1012" s="81">
        <f>17.0059 * CHOOSE(CONTROL!$C$32, $C$9, 100%, $E$9)</f>
        <v>17.0059</v>
      </c>
      <c r="H1012" s="81">
        <f>35.6669 * CHOOSE(CONTROL!$C$32, $C$9, 100%, $E$9)</f>
        <v>35.666899999999998</v>
      </c>
      <c r="I1012" s="81">
        <f>35.6705 * CHOOSE(CONTROL!$C$32, $C$9, 100%, $E$9)</f>
        <v>35.670499999999997</v>
      </c>
      <c r="J1012" s="81">
        <f>35.6669 * CHOOSE(CONTROL!$C$32, $C$9, 100%, $E$9)</f>
        <v>35.666899999999998</v>
      </c>
      <c r="K1012" s="81">
        <f>35.6705 * CHOOSE(CONTROL!$C$32, $C$9, 100%, $E$9)</f>
        <v>35.670499999999997</v>
      </c>
      <c r="L1012" s="81">
        <f>17.0022 * CHOOSE(CONTROL!$C$32, $C$9, 100%, $E$9)</f>
        <v>17.002199999999998</v>
      </c>
      <c r="M1012" s="81">
        <f>17.0059 * CHOOSE(CONTROL!$C$32, $C$9, 100%, $E$9)</f>
        <v>17.0059</v>
      </c>
      <c r="N1012" s="81">
        <f>17.0022 * CHOOSE(CONTROL!$C$32, $C$9, 100%, $E$9)</f>
        <v>17.002199999999998</v>
      </c>
      <c r="O1012" s="81">
        <f>17.0059 * CHOOSE(CONTROL!$C$32, $C$9, 100%, $E$9)</f>
        <v>17.0059</v>
      </c>
    </row>
    <row r="1013" spans="1:15" ht="15" x14ac:dyDescent="0.2">
      <c r="A1013" s="16">
        <v>72046</v>
      </c>
      <c r="B1013" s="80">
        <f>15.1922 * CHOOSE(CONTROL!$C$32, $C$9, 100%, $E$9)</f>
        <v>15.1922</v>
      </c>
      <c r="C1013" s="80">
        <f>15.1922 * CHOOSE(CONTROL!$C$32, $C$9, 100%, $E$9)</f>
        <v>15.1922</v>
      </c>
      <c r="D1013" s="80">
        <f>15.1932 * CHOOSE(CONTROL!$C$32, $C$9, 100%, $E$9)</f>
        <v>15.193199999999999</v>
      </c>
      <c r="E1013" s="81">
        <f>17.4046 * CHOOSE(CONTROL!$C$32, $C$9, 100%, $E$9)</f>
        <v>17.404599999999999</v>
      </c>
      <c r="F1013" s="81">
        <f>17.4046 * CHOOSE(CONTROL!$C$32, $C$9, 100%, $E$9)</f>
        <v>17.404599999999999</v>
      </c>
      <c r="G1013" s="81">
        <f>17.4082 * CHOOSE(CONTROL!$C$32, $C$9, 100%, $E$9)</f>
        <v>17.408200000000001</v>
      </c>
      <c r="H1013" s="81">
        <f>35.7412 * CHOOSE(CONTROL!$C$32, $C$9, 100%, $E$9)</f>
        <v>35.741199999999999</v>
      </c>
      <c r="I1013" s="81">
        <f>35.7448 * CHOOSE(CONTROL!$C$32, $C$9, 100%, $E$9)</f>
        <v>35.744799999999998</v>
      </c>
      <c r="J1013" s="81">
        <f>35.7412 * CHOOSE(CONTROL!$C$32, $C$9, 100%, $E$9)</f>
        <v>35.741199999999999</v>
      </c>
      <c r="K1013" s="81">
        <f>35.7448 * CHOOSE(CONTROL!$C$32, $C$9, 100%, $E$9)</f>
        <v>35.744799999999998</v>
      </c>
      <c r="L1013" s="81">
        <f>17.4046 * CHOOSE(CONTROL!$C$32, $C$9, 100%, $E$9)</f>
        <v>17.404599999999999</v>
      </c>
      <c r="M1013" s="81">
        <f>17.4082 * CHOOSE(CONTROL!$C$32, $C$9, 100%, $E$9)</f>
        <v>17.408200000000001</v>
      </c>
      <c r="N1013" s="81">
        <f>17.4046 * CHOOSE(CONTROL!$C$32, $C$9, 100%, $E$9)</f>
        <v>17.404599999999999</v>
      </c>
      <c r="O1013" s="81">
        <f>17.4082 * CHOOSE(CONTROL!$C$32, $C$9, 100%, $E$9)</f>
        <v>17.408200000000001</v>
      </c>
    </row>
    <row r="1014" spans="1:15" ht="15" x14ac:dyDescent="0.2">
      <c r="A1014" s="16">
        <v>72076</v>
      </c>
      <c r="B1014" s="80">
        <f>15.1922 * CHOOSE(CONTROL!$C$32, $C$9, 100%, $E$9)</f>
        <v>15.1922</v>
      </c>
      <c r="C1014" s="80">
        <f>15.1922 * CHOOSE(CONTROL!$C$32, $C$9, 100%, $E$9)</f>
        <v>15.1922</v>
      </c>
      <c r="D1014" s="80">
        <f>15.1938 * CHOOSE(CONTROL!$C$32, $C$9, 100%, $E$9)</f>
        <v>15.1938</v>
      </c>
      <c r="E1014" s="81">
        <f>17.5571 * CHOOSE(CONTROL!$C$32, $C$9, 100%, $E$9)</f>
        <v>17.557099999999998</v>
      </c>
      <c r="F1014" s="81">
        <f>17.5571 * CHOOSE(CONTROL!$C$32, $C$9, 100%, $E$9)</f>
        <v>17.557099999999998</v>
      </c>
      <c r="G1014" s="81">
        <f>17.5623 * CHOOSE(CONTROL!$C$32, $C$9, 100%, $E$9)</f>
        <v>17.5623</v>
      </c>
      <c r="H1014" s="81">
        <f>35.8156 * CHOOSE(CONTROL!$C$32, $C$9, 100%, $E$9)</f>
        <v>35.815600000000003</v>
      </c>
      <c r="I1014" s="81">
        <f>35.8209 * CHOOSE(CONTROL!$C$32, $C$9, 100%, $E$9)</f>
        <v>35.820900000000002</v>
      </c>
      <c r="J1014" s="81">
        <f>35.8156 * CHOOSE(CONTROL!$C$32, $C$9, 100%, $E$9)</f>
        <v>35.815600000000003</v>
      </c>
      <c r="K1014" s="81">
        <f>35.8209 * CHOOSE(CONTROL!$C$32, $C$9, 100%, $E$9)</f>
        <v>35.820900000000002</v>
      </c>
      <c r="L1014" s="81">
        <f>17.5571 * CHOOSE(CONTROL!$C$32, $C$9, 100%, $E$9)</f>
        <v>17.557099999999998</v>
      </c>
      <c r="M1014" s="81">
        <f>17.5623 * CHOOSE(CONTROL!$C$32, $C$9, 100%, $E$9)</f>
        <v>17.5623</v>
      </c>
      <c r="N1014" s="81">
        <f>17.5571 * CHOOSE(CONTROL!$C$32, $C$9, 100%, $E$9)</f>
        <v>17.557099999999998</v>
      </c>
      <c r="O1014" s="81">
        <f>17.5623 * CHOOSE(CONTROL!$C$32, $C$9, 100%, $E$9)</f>
        <v>17.5623</v>
      </c>
    </row>
    <row r="1015" spans="1:15" ht="15" x14ac:dyDescent="0.2">
      <c r="A1015" s="16">
        <v>72107</v>
      </c>
      <c r="B1015" s="80">
        <f>15.1983 * CHOOSE(CONTROL!$C$32, $C$9, 100%, $E$9)</f>
        <v>15.1983</v>
      </c>
      <c r="C1015" s="80">
        <f>15.1983 * CHOOSE(CONTROL!$C$32, $C$9, 100%, $E$9)</f>
        <v>15.1983</v>
      </c>
      <c r="D1015" s="80">
        <f>15.1998 * CHOOSE(CONTROL!$C$32, $C$9, 100%, $E$9)</f>
        <v>15.1998</v>
      </c>
      <c r="E1015" s="81">
        <f>17.4088 * CHOOSE(CONTROL!$C$32, $C$9, 100%, $E$9)</f>
        <v>17.408799999999999</v>
      </c>
      <c r="F1015" s="81">
        <f>17.4088 * CHOOSE(CONTROL!$C$32, $C$9, 100%, $E$9)</f>
        <v>17.408799999999999</v>
      </c>
      <c r="G1015" s="81">
        <f>17.4141 * CHOOSE(CONTROL!$C$32, $C$9, 100%, $E$9)</f>
        <v>17.414100000000001</v>
      </c>
      <c r="H1015" s="81">
        <f>35.8902 * CHOOSE(CONTROL!$C$32, $C$9, 100%, $E$9)</f>
        <v>35.8902</v>
      </c>
      <c r="I1015" s="81">
        <f>35.8955 * CHOOSE(CONTROL!$C$32, $C$9, 100%, $E$9)</f>
        <v>35.895499999999998</v>
      </c>
      <c r="J1015" s="81">
        <f>35.8902 * CHOOSE(CONTROL!$C$32, $C$9, 100%, $E$9)</f>
        <v>35.8902</v>
      </c>
      <c r="K1015" s="81">
        <f>35.8955 * CHOOSE(CONTROL!$C$32, $C$9, 100%, $E$9)</f>
        <v>35.895499999999998</v>
      </c>
      <c r="L1015" s="81">
        <f>17.4088 * CHOOSE(CONTROL!$C$32, $C$9, 100%, $E$9)</f>
        <v>17.408799999999999</v>
      </c>
      <c r="M1015" s="81">
        <f>17.4141 * CHOOSE(CONTROL!$C$32, $C$9, 100%, $E$9)</f>
        <v>17.414100000000001</v>
      </c>
      <c r="N1015" s="81">
        <f>17.4088 * CHOOSE(CONTROL!$C$32, $C$9, 100%, $E$9)</f>
        <v>17.408799999999999</v>
      </c>
      <c r="O1015" s="81">
        <f>17.4141 * CHOOSE(CONTROL!$C$32, $C$9, 100%, $E$9)</f>
        <v>17.414100000000001</v>
      </c>
    </row>
    <row r="1016" spans="1:15" ht="15" x14ac:dyDescent="0.2">
      <c r="A1016" s="16">
        <v>72137</v>
      </c>
      <c r="B1016" s="80">
        <f>15.3797 * CHOOSE(CONTROL!$C$32, $C$9, 100%, $E$9)</f>
        <v>15.3797</v>
      </c>
      <c r="C1016" s="80">
        <f>15.3797 * CHOOSE(CONTROL!$C$32, $C$9, 100%, $E$9)</f>
        <v>15.3797</v>
      </c>
      <c r="D1016" s="80">
        <f>15.3812 * CHOOSE(CONTROL!$C$32, $C$9, 100%, $E$9)</f>
        <v>15.3812</v>
      </c>
      <c r="E1016" s="81">
        <f>17.6566 * CHOOSE(CONTROL!$C$32, $C$9, 100%, $E$9)</f>
        <v>17.656600000000001</v>
      </c>
      <c r="F1016" s="81">
        <f>17.6566 * CHOOSE(CONTROL!$C$32, $C$9, 100%, $E$9)</f>
        <v>17.656600000000001</v>
      </c>
      <c r="G1016" s="81">
        <f>17.6619 * CHOOSE(CONTROL!$C$32, $C$9, 100%, $E$9)</f>
        <v>17.661899999999999</v>
      </c>
      <c r="H1016" s="81">
        <f>35.965 * CHOOSE(CONTROL!$C$32, $C$9, 100%, $E$9)</f>
        <v>35.965000000000003</v>
      </c>
      <c r="I1016" s="81">
        <f>35.9703 * CHOOSE(CONTROL!$C$32, $C$9, 100%, $E$9)</f>
        <v>35.970300000000002</v>
      </c>
      <c r="J1016" s="81">
        <f>35.965 * CHOOSE(CONTROL!$C$32, $C$9, 100%, $E$9)</f>
        <v>35.965000000000003</v>
      </c>
      <c r="K1016" s="81">
        <f>35.9703 * CHOOSE(CONTROL!$C$32, $C$9, 100%, $E$9)</f>
        <v>35.970300000000002</v>
      </c>
      <c r="L1016" s="81">
        <f>17.6566 * CHOOSE(CONTROL!$C$32, $C$9, 100%, $E$9)</f>
        <v>17.656600000000001</v>
      </c>
      <c r="M1016" s="81">
        <f>17.6619 * CHOOSE(CONTROL!$C$32, $C$9, 100%, $E$9)</f>
        <v>17.661899999999999</v>
      </c>
      <c r="N1016" s="81">
        <f>17.6566 * CHOOSE(CONTROL!$C$32, $C$9, 100%, $E$9)</f>
        <v>17.656600000000001</v>
      </c>
      <c r="O1016" s="81">
        <f>17.6619 * CHOOSE(CONTROL!$C$32, $C$9, 100%, $E$9)</f>
        <v>17.661899999999999</v>
      </c>
    </row>
    <row r="1017" spans="1:15" ht="15" x14ac:dyDescent="0.2">
      <c r="A1017" s="16">
        <v>72168</v>
      </c>
      <c r="B1017" s="80">
        <f>15.3863 * CHOOSE(CONTROL!$C$32, $C$9, 100%, $E$9)</f>
        <v>15.3863</v>
      </c>
      <c r="C1017" s="80">
        <f>15.3863 * CHOOSE(CONTROL!$C$32, $C$9, 100%, $E$9)</f>
        <v>15.3863</v>
      </c>
      <c r="D1017" s="80">
        <f>15.3879 * CHOOSE(CONTROL!$C$32, $C$9, 100%, $E$9)</f>
        <v>15.3879</v>
      </c>
      <c r="E1017" s="81">
        <f>17.2038 * CHOOSE(CONTROL!$C$32, $C$9, 100%, $E$9)</f>
        <v>17.203800000000001</v>
      </c>
      <c r="F1017" s="81">
        <f>17.2038 * CHOOSE(CONTROL!$C$32, $C$9, 100%, $E$9)</f>
        <v>17.203800000000001</v>
      </c>
      <c r="G1017" s="81">
        <f>17.2091 * CHOOSE(CONTROL!$C$32, $C$9, 100%, $E$9)</f>
        <v>17.209099999999999</v>
      </c>
      <c r="H1017" s="81">
        <f>36.0399 * CHOOSE(CONTROL!$C$32, $C$9, 100%, $E$9)</f>
        <v>36.039900000000003</v>
      </c>
      <c r="I1017" s="81">
        <f>36.0452 * CHOOSE(CONTROL!$C$32, $C$9, 100%, $E$9)</f>
        <v>36.045200000000001</v>
      </c>
      <c r="J1017" s="81">
        <f>36.0399 * CHOOSE(CONTROL!$C$32, $C$9, 100%, $E$9)</f>
        <v>36.039900000000003</v>
      </c>
      <c r="K1017" s="81">
        <f>36.0452 * CHOOSE(CONTROL!$C$32, $C$9, 100%, $E$9)</f>
        <v>36.045200000000001</v>
      </c>
      <c r="L1017" s="81">
        <f>17.2038 * CHOOSE(CONTROL!$C$32, $C$9, 100%, $E$9)</f>
        <v>17.203800000000001</v>
      </c>
      <c r="M1017" s="81">
        <f>17.2091 * CHOOSE(CONTROL!$C$32, $C$9, 100%, $E$9)</f>
        <v>17.209099999999999</v>
      </c>
      <c r="N1017" s="81">
        <f>17.2038 * CHOOSE(CONTROL!$C$32, $C$9, 100%, $E$9)</f>
        <v>17.203800000000001</v>
      </c>
      <c r="O1017" s="81">
        <f>17.2091 * CHOOSE(CONTROL!$C$32, $C$9, 100%, $E$9)</f>
        <v>17.209099999999999</v>
      </c>
    </row>
    <row r="1018" spans="1:15" ht="15" x14ac:dyDescent="0.2">
      <c r="A1018" s="16">
        <v>72199</v>
      </c>
      <c r="B1018" s="80">
        <f>15.3833 * CHOOSE(CONTROL!$C$32, $C$9, 100%, $E$9)</f>
        <v>15.3833</v>
      </c>
      <c r="C1018" s="80">
        <f>15.3833 * CHOOSE(CONTROL!$C$32, $C$9, 100%, $E$9)</f>
        <v>15.3833</v>
      </c>
      <c r="D1018" s="80">
        <f>15.3849 * CHOOSE(CONTROL!$C$32, $C$9, 100%, $E$9)</f>
        <v>15.3849</v>
      </c>
      <c r="E1018" s="81">
        <f>17.1509 * CHOOSE(CONTROL!$C$32, $C$9, 100%, $E$9)</f>
        <v>17.1509</v>
      </c>
      <c r="F1018" s="81">
        <f>17.1509 * CHOOSE(CONTROL!$C$32, $C$9, 100%, $E$9)</f>
        <v>17.1509</v>
      </c>
      <c r="G1018" s="81">
        <f>17.1562 * CHOOSE(CONTROL!$C$32, $C$9, 100%, $E$9)</f>
        <v>17.156199999999998</v>
      </c>
      <c r="H1018" s="81">
        <f>36.115 * CHOOSE(CONTROL!$C$32, $C$9, 100%, $E$9)</f>
        <v>36.115000000000002</v>
      </c>
      <c r="I1018" s="81">
        <f>36.1203 * CHOOSE(CONTROL!$C$32, $C$9, 100%, $E$9)</f>
        <v>36.1203</v>
      </c>
      <c r="J1018" s="81">
        <f>36.115 * CHOOSE(CONTROL!$C$32, $C$9, 100%, $E$9)</f>
        <v>36.115000000000002</v>
      </c>
      <c r="K1018" s="81">
        <f>36.1203 * CHOOSE(CONTROL!$C$32, $C$9, 100%, $E$9)</f>
        <v>36.1203</v>
      </c>
      <c r="L1018" s="81">
        <f>17.1509 * CHOOSE(CONTROL!$C$32, $C$9, 100%, $E$9)</f>
        <v>17.1509</v>
      </c>
      <c r="M1018" s="81">
        <f>17.1562 * CHOOSE(CONTROL!$C$32, $C$9, 100%, $E$9)</f>
        <v>17.156199999999998</v>
      </c>
      <c r="N1018" s="81">
        <f>17.1509 * CHOOSE(CONTROL!$C$32, $C$9, 100%, $E$9)</f>
        <v>17.1509</v>
      </c>
      <c r="O1018" s="81">
        <f>17.1562 * CHOOSE(CONTROL!$C$32, $C$9, 100%, $E$9)</f>
        <v>17.156199999999998</v>
      </c>
    </row>
    <row r="1019" spans="1:15" ht="15" x14ac:dyDescent="0.2">
      <c r="A1019" s="16">
        <v>72229</v>
      </c>
      <c r="B1019" s="80">
        <f>15.4209 * CHOOSE(CONTROL!$C$32, $C$9, 100%, $E$9)</f>
        <v>15.4209</v>
      </c>
      <c r="C1019" s="80">
        <f>15.4209 * CHOOSE(CONTROL!$C$32, $C$9, 100%, $E$9)</f>
        <v>15.4209</v>
      </c>
      <c r="D1019" s="80">
        <f>15.422 * CHOOSE(CONTROL!$C$32, $C$9, 100%, $E$9)</f>
        <v>15.422000000000001</v>
      </c>
      <c r="E1019" s="81">
        <f>17.3408 * CHOOSE(CONTROL!$C$32, $C$9, 100%, $E$9)</f>
        <v>17.340800000000002</v>
      </c>
      <c r="F1019" s="81">
        <f>17.3408 * CHOOSE(CONTROL!$C$32, $C$9, 100%, $E$9)</f>
        <v>17.340800000000002</v>
      </c>
      <c r="G1019" s="81">
        <f>17.3444 * CHOOSE(CONTROL!$C$32, $C$9, 100%, $E$9)</f>
        <v>17.3444</v>
      </c>
      <c r="H1019" s="81">
        <f>36.1903 * CHOOSE(CONTROL!$C$32, $C$9, 100%, $E$9)</f>
        <v>36.190300000000001</v>
      </c>
      <c r="I1019" s="81">
        <f>36.1939 * CHOOSE(CONTROL!$C$32, $C$9, 100%, $E$9)</f>
        <v>36.193899999999999</v>
      </c>
      <c r="J1019" s="81">
        <f>36.1903 * CHOOSE(CONTROL!$C$32, $C$9, 100%, $E$9)</f>
        <v>36.190300000000001</v>
      </c>
      <c r="K1019" s="81">
        <f>36.1939 * CHOOSE(CONTROL!$C$32, $C$9, 100%, $E$9)</f>
        <v>36.193899999999999</v>
      </c>
      <c r="L1019" s="81">
        <f>17.3408 * CHOOSE(CONTROL!$C$32, $C$9, 100%, $E$9)</f>
        <v>17.340800000000002</v>
      </c>
      <c r="M1019" s="81">
        <f>17.3444 * CHOOSE(CONTROL!$C$32, $C$9, 100%, $E$9)</f>
        <v>17.3444</v>
      </c>
      <c r="N1019" s="81">
        <f>17.3408 * CHOOSE(CONTROL!$C$32, $C$9, 100%, $E$9)</f>
        <v>17.340800000000002</v>
      </c>
      <c r="O1019" s="81">
        <f>17.3444 * CHOOSE(CONTROL!$C$32, $C$9, 100%, $E$9)</f>
        <v>17.3444</v>
      </c>
    </row>
    <row r="1020" spans="1:15" ht="15" x14ac:dyDescent="0.2">
      <c r="A1020" s="16">
        <v>72260</v>
      </c>
      <c r="B1020" s="80">
        <f>15.424 * CHOOSE(CONTROL!$C$32, $C$9, 100%, $E$9)</f>
        <v>15.423999999999999</v>
      </c>
      <c r="C1020" s="80">
        <f>15.424 * CHOOSE(CONTROL!$C$32, $C$9, 100%, $E$9)</f>
        <v>15.423999999999999</v>
      </c>
      <c r="D1020" s="80">
        <f>15.425 * CHOOSE(CONTROL!$C$32, $C$9, 100%, $E$9)</f>
        <v>15.425000000000001</v>
      </c>
      <c r="E1020" s="81">
        <f>17.4445 * CHOOSE(CONTROL!$C$32, $C$9, 100%, $E$9)</f>
        <v>17.444500000000001</v>
      </c>
      <c r="F1020" s="81">
        <f>17.4445 * CHOOSE(CONTROL!$C$32, $C$9, 100%, $E$9)</f>
        <v>17.444500000000001</v>
      </c>
      <c r="G1020" s="81">
        <f>17.4482 * CHOOSE(CONTROL!$C$32, $C$9, 100%, $E$9)</f>
        <v>17.4482</v>
      </c>
      <c r="H1020" s="81">
        <f>36.2657 * CHOOSE(CONTROL!$C$32, $C$9, 100%, $E$9)</f>
        <v>36.265700000000002</v>
      </c>
      <c r="I1020" s="81">
        <f>36.2693 * CHOOSE(CONTROL!$C$32, $C$9, 100%, $E$9)</f>
        <v>36.269300000000001</v>
      </c>
      <c r="J1020" s="81">
        <f>36.2657 * CHOOSE(CONTROL!$C$32, $C$9, 100%, $E$9)</f>
        <v>36.265700000000002</v>
      </c>
      <c r="K1020" s="81">
        <f>36.2693 * CHOOSE(CONTROL!$C$32, $C$9, 100%, $E$9)</f>
        <v>36.269300000000001</v>
      </c>
      <c r="L1020" s="81">
        <f>17.4445 * CHOOSE(CONTROL!$C$32, $C$9, 100%, $E$9)</f>
        <v>17.444500000000001</v>
      </c>
      <c r="M1020" s="81">
        <f>17.4482 * CHOOSE(CONTROL!$C$32, $C$9, 100%, $E$9)</f>
        <v>17.4482</v>
      </c>
      <c r="N1020" s="81">
        <f>17.4445 * CHOOSE(CONTROL!$C$32, $C$9, 100%, $E$9)</f>
        <v>17.444500000000001</v>
      </c>
      <c r="O1020" s="81">
        <f>17.4482 * CHOOSE(CONTROL!$C$32, $C$9, 100%, $E$9)</f>
        <v>17.4482</v>
      </c>
    </row>
    <row r="1021" spans="1:15" ht="15" x14ac:dyDescent="0.2">
      <c r="A1021" s="16">
        <v>72290</v>
      </c>
      <c r="B1021" s="80">
        <f>15.424 * CHOOSE(CONTROL!$C$32, $C$9, 100%, $E$9)</f>
        <v>15.423999999999999</v>
      </c>
      <c r="C1021" s="80">
        <f>15.424 * CHOOSE(CONTROL!$C$32, $C$9, 100%, $E$9)</f>
        <v>15.423999999999999</v>
      </c>
      <c r="D1021" s="80">
        <f>15.425 * CHOOSE(CONTROL!$C$32, $C$9, 100%, $E$9)</f>
        <v>15.425000000000001</v>
      </c>
      <c r="E1021" s="81">
        <f>17.1904 * CHOOSE(CONTROL!$C$32, $C$9, 100%, $E$9)</f>
        <v>17.1904</v>
      </c>
      <c r="F1021" s="81">
        <f>17.1904 * CHOOSE(CONTROL!$C$32, $C$9, 100%, $E$9)</f>
        <v>17.1904</v>
      </c>
      <c r="G1021" s="81">
        <f>17.194 * CHOOSE(CONTROL!$C$32, $C$9, 100%, $E$9)</f>
        <v>17.193999999999999</v>
      </c>
      <c r="H1021" s="81">
        <f>36.3412 * CHOOSE(CONTROL!$C$32, $C$9, 100%, $E$9)</f>
        <v>36.341200000000001</v>
      </c>
      <c r="I1021" s="81">
        <f>36.3448 * CHOOSE(CONTROL!$C$32, $C$9, 100%, $E$9)</f>
        <v>36.344799999999999</v>
      </c>
      <c r="J1021" s="81">
        <f>36.3412 * CHOOSE(CONTROL!$C$32, $C$9, 100%, $E$9)</f>
        <v>36.341200000000001</v>
      </c>
      <c r="K1021" s="81">
        <f>36.3448 * CHOOSE(CONTROL!$C$32, $C$9, 100%, $E$9)</f>
        <v>36.344799999999999</v>
      </c>
      <c r="L1021" s="81">
        <f>17.1904 * CHOOSE(CONTROL!$C$32, $C$9, 100%, $E$9)</f>
        <v>17.1904</v>
      </c>
      <c r="M1021" s="81">
        <f>17.194 * CHOOSE(CONTROL!$C$32, $C$9, 100%, $E$9)</f>
        <v>17.193999999999999</v>
      </c>
      <c r="N1021" s="81">
        <f>17.1904 * CHOOSE(CONTROL!$C$32, $C$9, 100%, $E$9)</f>
        <v>17.1904</v>
      </c>
      <c r="O1021" s="81">
        <f>17.194 * CHOOSE(CONTROL!$C$32, $C$9, 100%, $E$9)</f>
        <v>17.193999999999999</v>
      </c>
    </row>
    <row r="1022" spans="1:15" ht="15" x14ac:dyDescent="0.2">
      <c r="A1022" s="16">
        <v>72321</v>
      </c>
      <c r="B1022" s="80">
        <f>15.3771 * CHOOSE(CONTROL!$C$32, $C$9, 100%, $E$9)</f>
        <v>15.3771</v>
      </c>
      <c r="C1022" s="80">
        <f>15.3771 * CHOOSE(CONTROL!$C$32, $C$9, 100%, $E$9)</f>
        <v>15.3771</v>
      </c>
      <c r="D1022" s="80">
        <f>15.3782 * CHOOSE(CONTROL!$C$32, $C$9, 100%, $E$9)</f>
        <v>15.3782</v>
      </c>
      <c r="E1022" s="81">
        <f>17.3206 * CHOOSE(CONTROL!$C$32, $C$9, 100%, $E$9)</f>
        <v>17.320599999999999</v>
      </c>
      <c r="F1022" s="81">
        <f>17.3206 * CHOOSE(CONTROL!$C$32, $C$9, 100%, $E$9)</f>
        <v>17.320599999999999</v>
      </c>
      <c r="G1022" s="81">
        <f>17.3243 * CHOOSE(CONTROL!$C$32, $C$9, 100%, $E$9)</f>
        <v>17.324300000000001</v>
      </c>
      <c r="H1022" s="81">
        <f>35.9827 * CHOOSE(CONTROL!$C$32, $C$9, 100%, $E$9)</f>
        <v>35.982700000000001</v>
      </c>
      <c r="I1022" s="81">
        <f>35.9864 * CHOOSE(CONTROL!$C$32, $C$9, 100%, $E$9)</f>
        <v>35.986400000000003</v>
      </c>
      <c r="J1022" s="81">
        <f>35.9827 * CHOOSE(CONTROL!$C$32, $C$9, 100%, $E$9)</f>
        <v>35.982700000000001</v>
      </c>
      <c r="K1022" s="81">
        <f>35.9864 * CHOOSE(CONTROL!$C$32, $C$9, 100%, $E$9)</f>
        <v>35.986400000000003</v>
      </c>
      <c r="L1022" s="81">
        <f>17.3206 * CHOOSE(CONTROL!$C$32, $C$9, 100%, $E$9)</f>
        <v>17.320599999999999</v>
      </c>
      <c r="M1022" s="81">
        <f>17.3243 * CHOOSE(CONTROL!$C$32, $C$9, 100%, $E$9)</f>
        <v>17.324300000000001</v>
      </c>
      <c r="N1022" s="81">
        <f>17.3206 * CHOOSE(CONTROL!$C$32, $C$9, 100%, $E$9)</f>
        <v>17.320599999999999</v>
      </c>
      <c r="O1022" s="81">
        <f>17.3243 * CHOOSE(CONTROL!$C$32, $C$9, 100%, $E$9)</f>
        <v>17.324300000000001</v>
      </c>
    </row>
    <row r="1023" spans="1:15" ht="15" x14ac:dyDescent="0.2">
      <c r="A1023" s="16">
        <v>72352</v>
      </c>
      <c r="B1023" s="80">
        <f>15.3741 * CHOOSE(CONTROL!$C$32, $C$9, 100%, $E$9)</f>
        <v>15.3741</v>
      </c>
      <c r="C1023" s="80">
        <f>15.3741 * CHOOSE(CONTROL!$C$32, $C$9, 100%, $E$9)</f>
        <v>15.3741</v>
      </c>
      <c r="D1023" s="80">
        <f>15.3751 * CHOOSE(CONTROL!$C$32, $C$9, 100%, $E$9)</f>
        <v>15.3751</v>
      </c>
      <c r="E1023" s="81">
        <f>16.8312 * CHOOSE(CONTROL!$C$32, $C$9, 100%, $E$9)</f>
        <v>16.831199999999999</v>
      </c>
      <c r="F1023" s="81">
        <f>16.8312 * CHOOSE(CONTROL!$C$32, $C$9, 100%, $E$9)</f>
        <v>16.831199999999999</v>
      </c>
      <c r="G1023" s="81">
        <f>16.8348 * CHOOSE(CONTROL!$C$32, $C$9, 100%, $E$9)</f>
        <v>16.834800000000001</v>
      </c>
      <c r="H1023" s="81">
        <f>36.0577 * CHOOSE(CONTROL!$C$32, $C$9, 100%, $E$9)</f>
        <v>36.057699999999997</v>
      </c>
      <c r="I1023" s="81">
        <f>36.0613 * CHOOSE(CONTROL!$C$32, $C$9, 100%, $E$9)</f>
        <v>36.061300000000003</v>
      </c>
      <c r="J1023" s="81">
        <f>36.0577 * CHOOSE(CONTROL!$C$32, $C$9, 100%, $E$9)</f>
        <v>36.057699999999997</v>
      </c>
      <c r="K1023" s="81">
        <f>36.0613 * CHOOSE(CONTROL!$C$32, $C$9, 100%, $E$9)</f>
        <v>36.061300000000003</v>
      </c>
      <c r="L1023" s="81">
        <f>16.8312 * CHOOSE(CONTROL!$C$32, $C$9, 100%, $E$9)</f>
        <v>16.831199999999999</v>
      </c>
      <c r="M1023" s="81">
        <f>16.8348 * CHOOSE(CONTROL!$C$32, $C$9, 100%, $E$9)</f>
        <v>16.834800000000001</v>
      </c>
      <c r="N1023" s="81">
        <f>16.8312 * CHOOSE(CONTROL!$C$32, $C$9, 100%, $E$9)</f>
        <v>16.831199999999999</v>
      </c>
      <c r="O1023" s="81">
        <f>16.8348 * CHOOSE(CONTROL!$C$32, $C$9, 100%, $E$9)</f>
        <v>16.834800000000001</v>
      </c>
    </row>
    <row r="1024" spans="1:15" ht="15" x14ac:dyDescent="0.2">
      <c r="A1024" s="16">
        <v>72380</v>
      </c>
      <c r="B1024" s="80">
        <f>15.371 * CHOOSE(CONTROL!$C$32, $C$9, 100%, $E$9)</f>
        <v>15.371</v>
      </c>
      <c r="C1024" s="80">
        <f>15.371 * CHOOSE(CONTROL!$C$32, $C$9, 100%, $E$9)</f>
        <v>15.371</v>
      </c>
      <c r="D1024" s="80">
        <f>15.3721 * CHOOSE(CONTROL!$C$32, $C$9, 100%, $E$9)</f>
        <v>15.3721</v>
      </c>
      <c r="E1024" s="81">
        <f>17.2133 * CHOOSE(CONTROL!$C$32, $C$9, 100%, $E$9)</f>
        <v>17.2133</v>
      </c>
      <c r="F1024" s="81">
        <f>17.2133 * CHOOSE(CONTROL!$C$32, $C$9, 100%, $E$9)</f>
        <v>17.2133</v>
      </c>
      <c r="G1024" s="81">
        <f>17.2169 * CHOOSE(CONTROL!$C$32, $C$9, 100%, $E$9)</f>
        <v>17.216899999999999</v>
      </c>
      <c r="H1024" s="81">
        <f>36.1328 * CHOOSE(CONTROL!$C$32, $C$9, 100%, $E$9)</f>
        <v>36.132800000000003</v>
      </c>
      <c r="I1024" s="81">
        <f>36.1364 * CHOOSE(CONTROL!$C$32, $C$9, 100%, $E$9)</f>
        <v>36.136400000000002</v>
      </c>
      <c r="J1024" s="81">
        <f>36.1328 * CHOOSE(CONTROL!$C$32, $C$9, 100%, $E$9)</f>
        <v>36.132800000000003</v>
      </c>
      <c r="K1024" s="81">
        <f>36.1364 * CHOOSE(CONTROL!$C$32, $C$9, 100%, $E$9)</f>
        <v>36.136400000000002</v>
      </c>
      <c r="L1024" s="81">
        <f>17.2133 * CHOOSE(CONTROL!$C$32, $C$9, 100%, $E$9)</f>
        <v>17.2133</v>
      </c>
      <c r="M1024" s="81">
        <f>17.2169 * CHOOSE(CONTROL!$C$32, $C$9, 100%, $E$9)</f>
        <v>17.216899999999999</v>
      </c>
      <c r="N1024" s="81">
        <f>17.2133 * CHOOSE(CONTROL!$C$32, $C$9, 100%, $E$9)</f>
        <v>17.2133</v>
      </c>
      <c r="O1024" s="81">
        <f>17.2169 * CHOOSE(CONTROL!$C$32, $C$9, 100%, $E$9)</f>
        <v>17.216899999999999</v>
      </c>
    </row>
    <row r="1025" spans="1:15" ht="15" x14ac:dyDescent="0.2">
      <c r="A1025" s="16">
        <v>72411</v>
      </c>
      <c r="B1025" s="80">
        <f>15.3797 * CHOOSE(CONTROL!$C$32, $C$9, 100%, $E$9)</f>
        <v>15.3797</v>
      </c>
      <c r="C1025" s="80">
        <f>15.3797 * CHOOSE(CONTROL!$C$32, $C$9, 100%, $E$9)</f>
        <v>15.3797</v>
      </c>
      <c r="D1025" s="80">
        <f>15.3808 * CHOOSE(CONTROL!$C$32, $C$9, 100%, $E$9)</f>
        <v>15.380800000000001</v>
      </c>
      <c r="E1025" s="81">
        <f>17.6216 * CHOOSE(CONTROL!$C$32, $C$9, 100%, $E$9)</f>
        <v>17.621600000000001</v>
      </c>
      <c r="F1025" s="81">
        <f>17.6216 * CHOOSE(CONTROL!$C$32, $C$9, 100%, $E$9)</f>
        <v>17.621600000000001</v>
      </c>
      <c r="G1025" s="81">
        <f>17.6252 * CHOOSE(CONTROL!$C$32, $C$9, 100%, $E$9)</f>
        <v>17.6252</v>
      </c>
      <c r="H1025" s="81">
        <f>36.2081 * CHOOSE(CONTROL!$C$32, $C$9, 100%, $E$9)</f>
        <v>36.208100000000002</v>
      </c>
      <c r="I1025" s="81">
        <f>36.2117 * CHOOSE(CONTROL!$C$32, $C$9, 100%, $E$9)</f>
        <v>36.2117</v>
      </c>
      <c r="J1025" s="81">
        <f>36.2081 * CHOOSE(CONTROL!$C$32, $C$9, 100%, $E$9)</f>
        <v>36.208100000000002</v>
      </c>
      <c r="K1025" s="81">
        <f>36.2117 * CHOOSE(CONTROL!$C$32, $C$9, 100%, $E$9)</f>
        <v>36.2117</v>
      </c>
      <c r="L1025" s="81">
        <f>17.6216 * CHOOSE(CONTROL!$C$32, $C$9, 100%, $E$9)</f>
        <v>17.621600000000001</v>
      </c>
      <c r="M1025" s="81">
        <f>17.6252 * CHOOSE(CONTROL!$C$32, $C$9, 100%, $E$9)</f>
        <v>17.6252</v>
      </c>
      <c r="N1025" s="81">
        <f>17.6216 * CHOOSE(CONTROL!$C$32, $C$9, 100%, $E$9)</f>
        <v>17.621600000000001</v>
      </c>
      <c r="O1025" s="81">
        <f>17.6252 * CHOOSE(CONTROL!$C$32, $C$9, 100%, $E$9)</f>
        <v>17.6252</v>
      </c>
    </row>
    <row r="1026" spans="1:15" ht="15" x14ac:dyDescent="0.2">
      <c r="A1026" s="16">
        <v>72441</v>
      </c>
      <c r="B1026" s="80">
        <f>15.3797 * CHOOSE(CONTROL!$C$32, $C$9, 100%, $E$9)</f>
        <v>15.3797</v>
      </c>
      <c r="C1026" s="80">
        <f>15.3797 * CHOOSE(CONTROL!$C$32, $C$9, 100%, $E$9)</f>
        <v>15.3797</v>
      </c>
      <c r="D1026" s="80">
        <f>15.3813 * CHOOSE(CONTROL!$C$32, $C$9, 100%, $E$9)</f>
        <v>15.3813</v>
      </c>
      <c r="E1026" s="81">
        <f>17.7763 * CHOOSE(CONTROL!$C$32, $C$9, 100%, $E$9)</f>
        <v>17.776299999999999</v>
      </c>
      <c r="F1026" s="81">
        <f>17.7763 * CHOOSE(CONTROL!$C$32, $C$9, 100%, $E$9)</f>
        <v>17.776299999999999</v>
      </c>
      <c r="G1026" s="81">
        <f>17.7816 * CHOOSE(CONTROL!$C$32, $C$9, 100%, $E$9)</f>
        <v>17.781600000000001</v>
      </c>
      <c r="H1026" s="81">
        <f>36.2835 * CHOOSE(CONTROL!$C$32, $C$9, 100%, $E$9)</f>
        <v>36.283499999999997</v>
      </c>
      <c r="I1026" s="81">
        <f>36.2888 * CHOOSE(CONTROL!$C$32, $C$9, 100%, $E$9)</f>
        <v>36.288800000000002</v>
      </c>
      <c r="J1026" s="81">
        <f>36.2835 * CHOOSE(CONTROL!$C$32, $C$9, 100%, $E$9)</f>
        <v>36.283499999999997</v>
      </c>
      <c r="K1026" s="81">
        <f>36.2888 * CHOOSE(CONTROL!$C$32, $C$9, 100%, $E$9)</f>
        <v>36.288800000000002</v>
      </c>
      <c r="L1026" s="81">
        <f>17.7763 * CHOOSE(CONTROL!$C$32, $C$9, 100%, $E$9)</f>
        <v>17.776299999999999</v>
      </c>
      <c r="M1026" s="81">
        <f>17.7816 * CHOOSE(CONTROL!$C$32, $C$9, 100%, $E$9)</f>
        <v>17.781600000000001</v>
      </c>
      <c r="N1026" s="81">
        <f>17.7763 * CHOOSE(CONTROL!$C$32, $C$9, 100%, $E$9)</f>
        <v>17.776299999999999</v>
      </c>
      <c r="O1026" s="81">
        <f>17.7816 * CHOOSE(CONTROL!$C$32, $C$9, 100%, $E$9)</f>
        <v>17.781600000000001</v>
      </c>
    </row>
    <row r="1027" spans="1:15" ht="15" x14ac:dyDescent="0.2">
      <c r="A1027" s="16">
        <v>72472</v>
      </c>
      <c r="B1027" s="80">
        <f>15.3858 * CHOOSE(CONTROL!$C$32, $C$9, 100%, $E$9)</f>
        <v>15.3858</v>
      </c>
      <c r="C1027" s="80">
        <f>15.3858 * CHOOSE(CONTROL!$C$32, $C$9, 100%, $E$9)</f>
        <v>15.3858</v>
      </c>
      <c r="D1027" s="80">
        <f>15.3874 * CHOOSE(CONTROL!$C$32, $C$9, 100%, $E$9)</f>
        <v>15.3874</v>
      </c>
      <c r="E1027" s="81">
        <f>17.6258 * CHOOSE(CONTROL!$C$32, $C$9, 100%, $E$9)</f>
        <v>17.625800000000002</v>
      </c>
      <c r="F1027" s="81">
        <f>17.6258 * CHOOSE(CONTROL!$C$32, $C$9, 100%, $E$9)</f>
        <v>17.625800000000002</v>
      </c>
      <c r="G1027" s="81">
        <f>17.6311 * CHOOSE(CONTROL!$C$32, $C$9, 100%, $E$9)</f>
        <v>17.6311</v>
      </c>
      <c r="H1027" s="81">
        <f>36.3591 * CHOOSE(CONTROL!$C$32, $C$9, 100%, $E$9)</f>
        <v>36.359099999999998</v>
      </c>
      <c r="I1027" s="81">
        <f>36.3644 * CHOOSE(CONTROL!$C$32, $C$9, 100%, $E$9)</f>
        <v>36.364400000000003</v>
      </c>
      <c r="J1027" s="81">
        <f>36.3591 * CHOOSE(CONTROL!$C$32, $C$9, 100%, $E$9)</f>
        <v>36.359099999999998</v>
      </c>
      <c r="K1027" s="81">
        <f>36.3644 * CHOOSE(CONTROL!$C$32, $C$9, 100%, $E$9)</f>
        <v>36.364400000000003</v>
      </c>
      <c r="L1027" s="81">
        <f>17.6258 * CHOOSE(CONTROL!$C$32, $C$9, 100%, $E$9)</f>
        <v>17.625800000000002</v>
      </c>
      <c r="M1027" s="81">
        <f>17.6311 * CHOOSE(CONTROL!$C$32, $C$9, 100%, $E$9)</f>
        <v>17.6311</v>
      </c>
      <c r="N1027" s="81">
        <f>17.6258 * CHOOSE(CONTROL!$C$32, $C$9, 100%, $E$9)</f>
        <v>17.625800000000002</v>
      </c>
      <c r="O1027" s="81">
        <f>17.6311 * CHOOSE(CONTROL!$C$32, $C$9, 100%, $E$9)</f>
        <v>17.6311</v>
      </c>
    </row>
    <row r="1028" spans="1:15" ht="15" x14ac:dyDescent="0.2">
      <c r="A1028" s="16">
        <v>72502</v>
      </c>
      <c r="B1028" s="80">
        <f>15.5692 * CHOOSE(CONTROL!$C$32, $C$9, 100%, $E$9)</f>
        <v>15.5692</v>
      </c>
      <c r="C1028" s="80">
        <f>15.5692 * CHOOSE(CONTROL!$C$32, $C$9, 100%, $E$9)</f>
        <v>15.5692</v>
      </c>
      <c r="D1028" s="80">
        <f>15.5708 * CHOOSE(CONTROL!$C$32, $C$9, 100%, $E$9)</f>
        <v>15.5708</v>
      </c>
      <c r="E1028" s="81">
        <f>17.8768 * CHOOSE(CONTROL!$C$32, $C$9, 100%, $E$9)</f>
        <v>17.876799999999999</v>
      </c>
      <c r="F1028" s="81">
        <f>17.8768 * CHOOSE(CONTROL!$C$32, $C$9, 100%, $E$9)</f>
        <v>17.876799999999999</v>
      </c>
      <c r="G1028" s="81">
        <f>17.8821 * CHOOSE(CONTROL!$C$32, $C$9, 100%, $E$9)</f>
        <v>17.882100000000001</v>
      </c>
      <c r="H1028" s="81">
        <f>36.4349 * CHOOSE(CONTROL!$C$32, $C$9, 100%, $E$9)</f>
        <v>36.434899999999999</v>
      </c>
      <c r="I1028" s="81">
        <f>36.4402 * CHOOSE(CONTROL!$C$32, $C$9, 100%, $E$9)</f>
        <v>36.440199999999997</v>
      </c>
      <c r="J1028" s="81">
        <f>36.4349 * CHOOSE(CONTROL!$C$32, $C$9, 100%, $E$9)</f>
        <v>36.434899999999999</v>
      </c>
      <c r="K1028" s="81">
        <f>36.4402 * CHOOSE(CONTROL!$C$32, $C$9, 100%, $E$9)</f>
        <v>36.440199999999997</v>
      </c>
      <c r="L1028" s="81">
        <f>17.8768 * CHOOSE(CONTROL!$C$32, $C$9, 100%, $E$9)</f>
        <v>17.876799999999999</v>
      </c>
      <c r="M1028" s="81">
        <f>17.8821 * CHOOSE(CONTROL!$C$32, $C$9, 100%, $E$9)</f>
        <v>17.882100000000001</v>
      </c>
      <c r="N1028" s="81">
        <f>17.8768 * CHOOSE(CONTROL!$C$32, $C$9, 100%, $E$9)</f>
        <v>17.876799999999999</v>
      </c>
      <c r="O1028" s="81">
        <f>17.8821 * CHOOSE(CONTROL!$C$32, $C$9, 100%, $E$9)</f>
        <v>17.882100000000001</v>
      </c>
    </row>
    <row r="1029" spans="1:15" ht="15" x14ac:dyDescent="0.2">
      <c r="A1029" s="16">
        <v>72533</v>
      </c>
      <c r="B1029" s="80">
        <f>15.5759 * CHOOSE(CONTROL!$C$32, $C$9, 100%, $E$9)</f>
        <v>15.575900000000001</v>
      </c>
      <c r="C1029" s="80">
        <f>15.5759 * CHOOSE(CONTROL!$C$32, $C$9, 100%, $E$9)</f>
        <v>15.575900000000001</v>
      </c>
      <c r="D1029" s="80">
        <f>15.5775 * CHOOSE(CONTROL!$C$32, $C$9, 100%, $E$9)</f>
        <v>15.577500000000001</v>
      </c>
      <c r="E1029" s="81">
        <f>17.4173 * CHOOSE(CONTROL!$C$32, $C$9, 100%, $E$9)</f>
        <v>17.417300000000001</v>
      </c>
      <c r="F1029" s="81">
        <f>17.4173 * CHOOSE(CONTROL!$C$32, $C$9, 100%, $E$9)</f>
        <v>17.417300000000001</v>
      </c>
      <c r="G1029" s="81">
        <f>17.4226 * CHOOSE(CONTROL!$C$32, $C$9, 100%, $E$9)</f>
        <v>17.422599999999999</v>
      </c>
      <c r="H1029" s="81">
        <f>36.5108 * CHOOSE(CONTROL!$C$32, $C$9, 100%, $E$9)</f>
        <v>36.510800000000003</v>
      </c>
      <c r="I1029" s="81">
        <f>36.5161 * CHOOSE(CONTROL!$C$32, $C$9, 100%, $E$9)</f>
        <v>36.516100000000002</v>
      </c>
      <c r="J1029" s="81">
        <f>36.5108 * CHOOSE(CONTROL!$C$32, $C$9, 100%, $E$9)</f>
        <v>36.510800000000003</v>
      </c>
      <c r="K1029" s="81">
        <f>36.5161 * CHOOSE(CONTROL!$C$32, $C$9, 100%, $E$9)</f>
        <v>36.516100000000002</v>
      </c>
      <c r="L1029" s="81">
        <f>17.4173 * CHOOSE(CONTROL!$C$32, $C$9, 100%, $E$9)</f>
        <v>17.417300000000001</v>
      </c>
      <c r="M1029" s="81">
        <f>17.4226 * CHOOSE(CONTROL!$C$32, $C$9, 100%, $E$9)</f>
        <v>17.422599999999999</v>
      </c>
      <c r="N1029" s="81">
        <f>17.4173 * CHOOSE(CONTROL!$C$32, $C$9, 100%, $E$9)</f>
        <v>17.417300000000001</v>
      </c>
      <c r="O1029" s="81">
        <f>17.4226 * CHOOSE(CONTROL!$C$32, $C$9, 100%, $E$9)</f>
        <v>17.422599999999999</v>
      </c>
    </row>
    <row r="1030" spans="1:15" ht="15" x14ac:dyDescent="0.2">
      <c r="A1030" s="16">
        <v>72564</v>
      </c>
      <c r="B1030" s="80">
        <f>15.5729 * CHOOSE(CONTROL!$C$32, $C$9, 100%, $E$9)</f>
        <v>15.572900000000001</v>
      </c>
      <c r="C1030" s="80">
        <f>15.5729 * CHOOSE(CONTROL!$C$32, $C$9, 100%, $E$9)</f>
        <v>15.572900000000001</v>
      </c>
      <c r="D1030" s="80">
        <f>15.5745 * CHOOSE(CONTROL!$C$32, $C$9, 100%, $E$9)</f>
        <v>15.5745</v>
      </c>
      <c r="E1030" s="81">
        <f>17.3636 * CHOOSE(CONTROL!$C$32, $C$9, 100%, $E$9)</f>
        <v>17.363600000000002</v>
      </c>
      <c r="F1030" s="81">
        <f>17.3636 * CHOOSE(CONTROL!$C$32, $C$9, 100%, $E$9)</f>
        <v>17.363600000000002</v>
      </c>
      <c r="G1030" s="81">
        <f>17.3689 * CHOOSE(CONTROL!$C$32, $C$9, 100%, $E$9)</f>
        <v>17.3689</v>
      </c>
      <c r="H1030" s="81">
        <f>36.5868 * CHOOSE(CONTROL!$C$32, $C$9, 100%, $E$9)</f>
        <v>36.586799999999997</v>
      </c>
      <c r="I1030" s="81">
        <f>36.5921 * CHOOSE(CONTROL!$C$32, $C$9, 100%, $E$9)</f>
        <v>36.592100000000002</v>
      </c>
      <c r="J1030" s="81">
        <f>36.5868 * CHOOSE(CONTROL!$C$32, $C$9, 100%, $E$9)</f>
        <v>36.586799999999997</v>
      </c>
      <c r="K1030" s="81">
        <f>36.5921 * CHOOSE(CONTROL!$C$32, $C$9, 100%, $E$9)</f>
        <v>36.592100000000002</v>
      </c>
      <c r="L1030" s="81">
        <f>17.3636 * CHOOSE(CONTROL!$C$32, $C$9, 100%, $E$9)</f>
        <v>17.363600000000002</v>
      </c>
      <c r="M1030" s="81">
        <f>17.3689 * CHOOSE(CONTROL!$C$32, $C$9, 100%, $E$9)</f>
        <v>17.3689</v>
      </c>
      <c r="N1030" s="81">
        <f>17.3636 * CHOOSE(CONTROL!$C$32, $C$9, 100%, $E$9)</f>
        <v>17.363600000000002</v>
      </c>
      <c r="O1030" s="81">
        <f>17.3689 * CHOOSE(CONTROL!$C$32, $C$9, 100%, $E$9)</f>
        <v>17.3689</v>
      </c>
    </row>
    <row r="1031" spans="1:15" ht="15" x14ac:dyDescent="0.2">
      <c r="A1031" s="16">
        <v>72594</v>
      </c>
      <c r="B1031" s="80">
        <f>15.6112 * CHOOSE(CONTROL!$C$32, $C$9, 100%, $E$9)</f>
        <v>15.6112</v>
      </c>
      <c r="C1031" s="80">
        <f>15.6112 * CHOOSE(CONTROL!$C$32, $C$9, 100%, $E$9)</f>
        <v>15.6112</v>
      </c>
      <c r="D1031" s="80">
        <f>15.6123 * CHOOSE(CONTROL!$C$32, $C$9, 100%, $E$9)</f>
        <v>15.612299999999999</v>
      </c>
      <c r="E1031" s="81">
        <f>17.5565 * CHOOSE(CONTROL!$C$32, $C$9, 100%, $E$9)</f>
        <v>17.5565</v>
      </c>
      <c r="F1031" s="81">
        <f>17.5565 * CHOOSE(CONTROL!$C$32, $C$9, 100%, $E$9)</f>
        <v>17.5565</v>
      </c>
      <c r="G1031" s="81">
        <f>17.5601 * CHOOSE(CONTROL!$C$32, $C$9, 100%, $E$9)</f>
        <v>17.560099999999998</v>
      </c>
      <c r="H1031" s="81">
        <f>36.6631 * CHOOSE(CONTROL!$C$32, $C$9, 100%, $E$9)</f>
        <v>36.6631</v>
      </c>
      <c r="I1031" s="81">
        <f>36.6667 * CHOOSE(CONTROL!$C$32, $C$9, 100%, $E$9)</f>
        <v>36.666699999999999</v>
      </c>
      <c r="J1031" s="81">
        <f>36.6631 * CHOOSE(CONTROL!$C$32, $C$9, 100%, $E$9)</f>
        <v>36.6631</v>
      </c>
      <c r="K1031" s="81">
        <f>36.6667 * CHOOSE(CONTROL!$C$32, $C$9, 100%, $E$9)</f>
        <v>36.666699999999999</v>
      </c>
      <c r="L1031" s="81">
        <f>17.5565 * CHOOSE(CONTROL!$C$32, $C$9, 100%, $E$9)</f>
        <v>17.5565</v>
      </c>
      <c r="M1031" s="81">
        <f>17.5601 * CHOOSE(CONTROL!$C$32, $C$9, 100%, $E$9)</f>
        <v>17.560099999999998</v>
      </c>
      <c r="N1031" s="81">
        <f>17.5565 * CHOOSE(CONTROL!$C$32, $C$9, 100%, $E$9)</f>
        <v>17.5565</v>
      </c>
      <c r="O1031" s="81">
        <f>17.5601 * CHOOSE(CONTROL!$C$32, $C$9, 100%, $E$9)</f>
        <v>17.560099999999998</v>
      </c>
    </row>
    <row r="1032" spans="1:15" ht="15" x14ac:dyDescent="0.2">
      <c r="A1032" s="16">
        <v>72625</v>
      </c>
      <c r="B1032" s="80">
        <f>15.6143 * CHOOSE(CONTROL!$C$32, $C$9, 100%, $E$9)</f>
        <v>15.6143</v>
      </c>
      <c r="C1032" s="80">
        <f>15.6143 * CHOOSE(CONTROL!$C$32, $C$9, 100%, $E$9)</f>
        <v>15.6143</v>
      </c>
      <c r="D1032" s="80">
        <f>15.6154 * CHOOSE(CONTROL!$C$32, $C$9, 100%, $E$9)</f>
        <v>15.615399999999999</v>
      </c>
      <c r="E1032" s="81">
        <f>17.6617 * CHOOSE(CONTROL!$C$32, $C$9, 100%, $E$9)</f>
        <v>17.6617</v>
      </c>
      <c r="F1032" s="81">
        <f>17.6617 * CHOOSE(CONTROL!$C$32, $C$9, 100%, $E$9)</f>
        <v>17.6617</v>
      </c>
      <c r="G1032" s="81">
        <f>17.6653 * CHOOSE(CONTROL!$C$32, $C$9, 100%, $E$9)</f>
        <v>17.665299999999998</v>
      </c>
      <c r="H1032" s="81">
        <f>36.7394 * CHOOSE(CONTROL!$C$32, $C$9, 100%, $E$9)</f>
        <v>36.739400000000003</v>
      </c>
      <c r="I1032" s="81">
        <f>36.7431 * CHOOSE(CONTROL!$C$32, $C$9, 100%, $E$9)</f>
        <v>36.743099999999998</v>
      </c>
      <c r="J1032" s="81">
        <f>36.7394 * CHOOSE(CONTROL!$C$32, $C$9, 100%, $E$9)</f>
        <v>36.739400000000003</v>
      </c>
      <c r="K1032" s="81">
        <f>36.7431 * CHOOSE(CONTROL!$C$32, $C$9, 100%, $E$9)</f>
        <v>36.743099999999998</v>
      </c>
      <c r="L1032" s="81">
        <f>17.6617 * CHOOSE(CONTROL!$C$32, $C$9, 100%, $E$9)</f>
        <v>17.6617</v>
      </c>
      <c r="M1032" s="81">
        <f>17.6653 * CHOOSE(CONTROL!$C$32, $C$9, 100%, $E$9)</f>
        <v>17.665299999999998</v>
      </c>
      <c r="N1032" s="81">
        <f>17.6617 * CHOOSE(CONTROL!$C$32, $C$9, 100%, $E$9)</f>
        <v>17.6617</v>
      </c>
      <c r="O1032" s="81">
        <f>17.6653 * CHOOSE(CONTROL!$C$32, $C$9, 100%, $E$9)</f>
        <v>17.665299999999998</v>
      </c>
    </row>
    <row r="1033" spans="1:15" ht="15" x14ac:dyDescent="0.2">
      <c r="A1033" s="16">
        <v>72655</v>
      </c>
      <c r="B1033" s="80">
        <f>15.6143 * CHOOSE(CONTROL!$C$32, $C$9, 100%, $E$9)</f>
        <v>15.6143</v>
      </c>
      <c r="C1033" s="80">
        <f>15.6143 * CHOOSE(CONTROL!$C$32, $C$9, 100%, $E$9)</f>
        <v>15.6143</v>
      </c>
      <c r="D1033" s="80">
        <f>15.6154 * CHOOSE(CONTROL!$C$32, $C$9, 100%, $E$9)</f>
        <v>15.615399999999999</v>
      </c>
      <c r="E1033" s="81">
        <f>17.4039 * CHOOSE(CONTROL!$C$32, $C$9, 100%, $E$9)</f>
        <v>17.4039</v>
      </c>
      <c r="F1033" s="81">
        <f>17.4039 * CHOOSE(CONTROL!$C$32, $C$9, 100%, $E$9)</f>
        <v>17.4039</v>
      </c>
      <c r="G1033" s="81">
        <f>17.4075 * CHOOSE(CONTROL!$C$32, $C$9, 100%, $E$9)</f>
        <v>17.407499999999999</v>
      </c>
      <c r="H1033" s="81">
        <f>36.816 * CHOOSE(CONTROL!$C$32, $C$9, 100%, $E$9)</f>
        <v>36.816000000000003</v>
      </c>
      <c r="I1033" s="81">
        <f>36.8196 * CHOOSE(CONTROL!$C$32, $C$9, 100%, $E$9)</f>
        <v>36.819600000000001</v>
      </c>
      <c r="J1033" s="81">
        <f>36.816 * CHOOSE(CONTROL!$C$32, $C$9, 100%, $E$9)</f>
        <v>36.816000000000003</v>
      </c>
      <c r="K1033" s="81">
        <f>36.8196 * CHOOSE(CONTROL!$C$32, $C$9, 100%, $E$9)</f>
        <v>36.819600000000001</v>
      </c>
      <c r="L1033" s="81">
        <f>17.4039 * CHOOSE(CONTROL!$C$32, $C$9, 100%, $E$9)</f>
        <v>17.4039</v>
      </c>
      <c r="M1033" s="81">
        <f>17.4075 * CHOOSE(CONTROL!$C$32, $C$9, 100%, $E$9)</f>
        <v>17.407499999999999</v>
      </c>
      <c r="N1033" s="81">
        <f>17.4039 * CHOOSE(CONTROL!$C$32, $C$9, 100%, $E$9)</f>
        <v>17.4039</v>
      </c>
      <c r="O1033" s="81">
        <f>17.4075 * CHOOSE(CONTROL!$C$32, $C$9, 100%, $E$9)</f>
        <v>17.407499999999999</v>
      </c>
    </row>
    <row r="1034" spans="1:15" ht="15" x14ac:dyDescent="0.2">
      <c r="A1034" s="16">
        <v>72686</v>
      </c>
      <c r="B1034" s="80">
        <f>15.5645 * CHOOSE(CONTROL!$C$32, $C$9, 100%, $E$9)</f>
        <v>15.564500000000001</v>
      </c>
      <c r="C1034" s="80">
        <f>15.5645 * CHOOSE(CONTROL!$C$32, $C$9, 100%, $E$9)</f>
        <v>15.564500000000001</v>
      </c>
      <c r="D1034" s="80">
        <f>15.5655 * CHOOSE(CONTROL!$C$32, $C$9, 100%, $E$9)</f>
        <v>15.5655</v>
      </c>
      <c r="E1034" s="81">
        <f>17.5331 * CHOOSE(CONTROL!$C$32, $C$9, 100%, $E$9)</f>
        <v>17.533100000000001</v>
      </c>
      <c r="F1034" s="81">
        <f>17.5331 * CHOOSE(CONTROL!$C$32, $C$9, 100%, $E$9)</f>
        <v>17.533100000000001</v>
      </c>
      <c r="G1034" s="81">
        <f>17.5368 * CHOOSE(CONTROL!$C$32, $C$9, 100%, $E$9)</f>
        <v>17.536799999999999</v>
      </c>
      <c r="H1034" s="81">
        <f>36.4468 * CHOOSE(CONTROL!$C$32, $C$9, 100%, $E$9)</f>
        <v>36.446800000000003</v>
      </c>
      <c r="I1034" s="81">
        <f>36.4504 * CHOOSE(CONTROL!$C$32, $C$9, 100%, $E$9)</f>
        <v>36.450400000000002</v>
      </c>
      <c r="J1034" s="81">
        <f>36.4468 * CHOOSE(CONTROL!$C$32, $C$9, 100%, $E$9)</f>
        <v>36.446800000000003</v>
      </c>
      <c r="K1034" s="81">
        <f>36.4504 * CHOOSE(CONTROL!$C$32, $C$9, 100%, $E$9)</f>
        <v>36.450400000000002</v>
      </c>
      <c r="L1034" s="81">
        <f>17.5331 * CHOOSE(CONTROL!$C$32, $C$9, 100%, $E$9)</f>
        <v>17.533100000000001</v>
      </c>
      <c r="M1034" s="81">
        <f>17.5368 * CHOOSE(CONTROL!$C$32, $C$9, 100%, $E$9)</f>
        <v>17.536799999999999</v>
      </c>
      <c r="N1034" s="81">
        <f>17.5331 * CHOOSE(CONTROL!$C$32, $C$9, 100%, $E$9)</f>
        <v>17.533100000000001</v>
      </c>
      <c r="O1034" s="81">
        <f>17.5368 * CHOOSE(CONTROL!$C$32, $C$9, 100%, $E$9)</f>
        <v>17.536799999999999</v>
      </c>
    </row>
    <row r="1035" spans="1:15" ht="15" x14ac:dyDescent="0.2">
      <c r="A1035" s="16">
        <v>72717</v>
      </c>
      <c r="B1035" s="80">
        <f>15.5614 * CHOOSE(CONTROL!$C$32, $C$9, 100%, $E$9)</f>
        <v>15.561400000000001</v>
      </c>
      <c r="C1035" s="80">
        <f>15.5614 * CHOOSE(CONTROL!$C$32, $C$9, 100%, $E$9)</f>
        <v>15.561400000000001</v>
      </c>
      <c r="D1035" s="80">
        <f>15.5625 * CHOOSE(CONTROL!$C$32, $C$9, 100%, $E$9)</f>
        <v>15.5625</v>
      </c>
      <c r="E1035" s="81">
        <f>17.0366 * CHOOSE(CONTROL!$C$32, $C$9, 100%, $E$9)</f>
        <v>17.0366</v>
      </c>
      <c r="F1035" s="81">
        <f>17.0366 * CHOOSE(CONTROL!$C$32, $C$9, 100%, $E$9)</f>
        <v>17.0366</v>
      </c>
      <c r="G1035" s="81">
        <f>17.0402 * CHOOSE(CONTROL!$C$32, $C$9, 100%, $E$9)</f>
        <v>17.040199999999999</v>
      </c>
      <c r="H1035" s="81">
        <f>36.5227 * CHOOSE(CONTROL!$C$32, $C$9, 100%, $E$9)</f>
        <v>36.5227</v>
      </c>
      <c r="I1035" s="81">
        <f>36.5263 * CHOOSE(CONTROL!$C$32, $C$9, 100%, $E$9)</f>
        <v>36.526299999999999</v>
      </c>
      <c r="J1035" s="81">
        <f>36.5227 * CHOOSE(CONTROL!$C$32, $C$9, 100%, $E$9)</f>
        <v>36.5227</v>
      </c>
      <c r="K1035" s="81">
        <f>36.5263 * CHOOSE(CONTROL!$C$32, $C$9, 100%, $E$9)</f>
        <v>36.526299999999999</v>
      </c>
      <c r="L1035" s="81">
        <f>17.0366 * CHOOSE(CONTROL!$C$32, $C$9, 100%, $E$9)</f>
        <v>17.0366</v>
      </c>
      <c r="M1035" s="81">
        <f>17.0402 * CHOOSE(CONTROL!$C$32, $C$9, 100%, $E$9)</f>
        <v>17.040199999999999</v>
      </c>
      <c r="N1035" s="81">
        <f>17.0366 * CHOOSE(CONTROL!$C$32, $C$9, 100%, $E$9)</f>
        <v>17.0366</v>
      </c>
      <c r="O1035" s="81">
        <f>17.0402 * CHOOSE(CONTROL!$C$32, $C$9, 100%, $E$9)</f>
        <v>17.040199999999999</v>
      </c>
    </row>
    <row r="1036" spans="1:15" ht="15" x14ac:dyDescent="0.2">
      <c r="A1036" s="16">
        <v>72745</v>
      </c>
      <c r="B1036" s="80">
        <f>15.5584 * CHOOSE(CONTROL!$C$32, $C$9, 100%, $E$9)</f>
        <v>15.558400000000001</v>
      </c>
      <c r="C1036" s="80">
        <f>15.5584 * CHOOSE(CONTROL!$C$32, $C$9, 100%, $E$9)</f>
        <v>15.558400000000001</v>
      </c>
      <c r="D1036" s="80">
        <f>15.5595 * CHOOSE(CONTROL!$C$32, $C$9, 100%, $E$9)</f>
        <v>15.5595</v>
      </c>
      <c r="E1036" s="81">
        <f>17.4243 * CHOOSE(CONTROL!$C$32, $C$9, 100%, $E$9)</f>
        <v>17.424299999999999</v>
      </c>
      <c r="F1036" s="81">
        <f>17.4243 * CHOOSE(CONTROL!$C$32, $C$9, 100%, $E$9)</f>
        <v>17.424299999999999</v>
      </c>
      <c r="G1036" s="81">
        <f>17.4279 * CHOOSE(CONTROL!$C$32, $C$9, 100%, $E$9)</f>
        <v>17.427900000000001</v>
      </c>
      <c r="H1036" s="81">
        <f>36.5988 * CHOOSE(CONTROL!$C$32, $C$9, 100%, $E$9)</f>
        <v>36.598799999999997</v>
      </c>
      <c r="I1036" s="81">
        <f>36.6024 * CHOOSE(CONTROL!$C$32, $C$9, 100%, $E$9)</f>
        <v>36.602400000000003</v>
      </c>
      <c r="J1036" s="81">
        <f>36.5988 * CHOOSE(CONTROL!$C$32, $C$9, 100%, $E$9)</f>
        <v>36.598799999999997</v>
      </c>
      <c r="K1036" s="81">
        <f>36.6024 * CHOOSE(CONTROL!$C$32, $C$9, 100%, $E$9)</f>
        <v>36.602400000000003</v>
      </c>
      <c r="L1036" s="81">
        <f>17.4243 * CHOOSE(CONTROL!$C$32, $C$9, 100%, $E$9)</f>
        <v>17.424299999999999</v>
      </c>
      <c r="M1036" s="81">
        <f>17.4279 * CHOOSE(CONTROL!$C$32, $C$9, 100%, $E$9)</f>
        <v>17.427900000000001</v>
      </c>
      <c r="N1036" s="81">
        <f>17.4243 * CHOOSE(CONTROL!$C$32, $C$9, 100%, $E$9)</f>
        <v>17.424299999999999</v>
      </c>
      <c r="O1036" s="81">
        <f>17.4279 * CHOOSE(CONTROL!$C$32, $C$9, 100%, $E$9)</f>
        <v>17.427900000000001</v>
      </c>
    </row>
    <row r="1037" spans="1:15" ht="15" x14ac:dyDescent="0.2">
      <c r="A1037" s="16">
        <v>72776</v>
      </c>
      <c r="B1037" s="80">
        <f>15.5673 * CHOOSE(CONTROL!$C$32, $C$9, 100%, $E$9)</f>
        <v>15.567299999999999</v>
      </c>
      <c r="C1037" s="80">
        <f>15.5673 * CHOOSE(CONTROL!$C$32, $C$9, 100%, $E$9)</f>
        <v>15.567299999999999</v>
      </c>
      <c r="D1037" s="80">
        <f>15.5683 * CHOOSE(CONTROL!$C$32, $C$9, 100%, $E$9)</f>
        <v>15.568300000000001</v>
      </c>
      <c r="E1037" s="81">
        <f>17.8386 * CHOOSE(CONTROL!$C$32, $C$9, 100%, $E$9)</f>
        <v>17.8386</v>
      </c>
      <c r="F1037" s="81">
        <f>17.8386 * CHOOSE(CONTROL!$C$32, $C$9, 100%, $E$9)</f>
        <v>17.8386</v>
      </c>
      <c r="G1037" s="81">
        <f>17.8422 * CHOOSE(CONTROL!$C$32, $C$9, 100%, $E$9)</f>
        <v>17.842199999999998</v>
      </c>
      <c r="H1037" s="81">
        <f>36.675 * CHOOSE(CONTROL!$C$32, $C$9, 100%, $E$9)</f>
        <v>36.674999999999997</v>
      </c>
      <c r="I1037" s="81">
        <f>36.6787 * CHOOSE(CONTROL!$C$32, $C$9, 100%, $E$9)</f>
        <v>36.678699999999999</v>
      </c>
      <c r="J1037" s="81">
        <f>36.675 * CHOOSE(CONTROL!$C$32, $C$9, 100%, $E$9)</f>
        <v>36.674999999999997</v>
      </c>
      <c r="K1037" s="81">
        <f>36.6787 * CHOOSE(CONTROL!$C$32, $C$9, 100%, $E$9)</f>
        <v>36.678699999999999</v>
      </c>
      <c r="L1037" s="81">
        <f>17.8386 * CHOOSE(CONTROL!$C$32, $C$9, 100%, $E$9)</f>
        <v>17.8386</v>
      </c>
      <c r="M1037" s="81">
        <f>17.8422 * CHOOSE(CONTROL!$C$32, $C$9, 100%, $E$9)</f>
        <v>17.842199999999998</v>
      </c>
      <c r="N1037" s="81">
        <f>17.8386 * CHOOSE(CONTROL!$C$32, $C$9, 100%, $E$9)</f>
        <v>17.8386</v>
      </c>
      <c r="O1037" s="81">
        <f>17.8422 * CHOOSE(CONTROL!$C$32, $C$9, 100%, $E$9)</f>
        <v>17.842199999999998</v>
      </c>
    </row>
    <row r="1038" spans="1:15" ht="15" x14ac:dyDescent="0.2">
      <c r="A1038" s="16">
        <v>72806</v>
      </c>
      <c r="B1038" s="80">
        <f>15.5673 * CHOOSE(CONTROL!$C$32, $C$9, 100%, $E$9)</f>
        <v>15.567299999999999</v>
      </c>
      <c r="C1038" s="80">
        <f>15.5673 * CHOOSE(CONTROL!$C$32, $C$9, 100%, $E$9)</f>
        <v>15.567299999999999</v>
      </c>
      <c r="D1038" s="80">
        <f>15.5688 * CHOOSE(CONTROL!$C$32, $C$9, 100%, $E$9)</f>
        <v>15.5688</v>
      </c>
      <c r="E1038" s="81">
        <f>17.9956 * CHOOSE(CONTROL!$C$32, $C$9, 100%, $E$9)</f>
        <v>17.9956</v>
      </c>
      <c r="F1038" s="81">
        <f>17.9956 * CHOOSE(CONTROL!$C$32, $C$9, 100%, $E$9)</f>
        <v>17.9956</v>
      </c>
      <c r="G1038" s="81">
        <f>18.0009 * CHOOSE(CONTROL!$C$32, $C$9, 100%, $E$9)</f>
        <v>18.000900000000001</v>
      </c>
      <c r="H1038" s="81">
        <f>36.7514 * CHOOSE(CONTROL!$C$32, $C$9, 100%, $E$9)</f>
        <v>36.751399999999997</v>
      </c>
      <c r="I1038" s="81">
        <f>36.7567 * CHOOSE(CONTROL!$C$32, $C$9, 100%, $E$9)</f>
        <v>36.756700000000002</v>
      </c>
      <c r="J1038" s="81">
        <f>36.7514 * CHOOSE(CONTROL!$C$32, $C$9, 100%, $E$9)</f>
        <v>36.751399999999997</v>
      </c>
      <c r="K1038" s="81">
        <f>36.7567 * CHOOSE(CONTROL!$C$32, $C$9, 100%, $E$9)</f>
        <v>36.756700000000002</v>
      </c>
      <c r="L1038" s="81">
        <f>17.9956 * CHOOSE(CONTROL!$C$32, $C$9, 100%, $E$9)</f>
        <v>17.9956</v>
      </c>
      <c r="M1038" s="81">
        <f>18.0009 * CHOOSE(CONTROL!$C$32, $C$9, 100%, $E$9)</f>
        <v>18.000900000000001</v>
      </c>
      <c r="N1038" s="81">
        <f>17.9956 * CHOOSE(CONTROL!$C$32, $C$9, 100%, $E$9)</f>
        <v>17.9956</v>
      </c>
      <c r="O1038" s="81">
        <f>18.0009 * CHOOSE(CONTROL!$C$32, $C$9, 100%, $E$9)</f>
        <v>18.000900000000001</v>
      </c>
    </row>
    <row r="1039" spans="1:15" ht="15" x14ac:dyDescent="0.2">
      <c r="A1039" s="16">
        <v>72837</v>
      </c>
      <c r="B1039" s="80">
        <f>15.5733 * CHOOSE(CONTROL!$C$32, $C$9, 100%, $E$9)</f>
        <v>15.5733</v>
      </c>
      <c r="C1039" s="80">
        <f>15.5733 * CHOOSE(CONTROL!$C$32, $C$9, 100%, $E$9)</f>
        <v>15.5733</v>
      </c>
      <c r="D1039" s="80">
        <f>15.5749 * CHOOSE(CONTROL!$C$32, $C$9, 100%, $E$9)</f>
        <v>15.5749</v>
      </c>
      <c r="E1039" s="81">
        <f>17.8428 * CHOOSE(CONTROL!$C$32, $C$9, 100%, $E$9)</f>
        <v>17.8428</v>
      </c>
      <c r="F1039" s="81">
        <f>17.8428 * CHOOSE(CONTROL!$C$32, $C$9, 100%, $E$9)</f>
        <v>17.8428</v>
      </c>
      <c r="G1039" s="81">
        <f>17.8481 * CHOOSE(CONTROL!$C$32, $C$9, 100%, $E$9)</f>
        <v>17.848099999999999</v>
      </c>
      <c r="H1039" s="81">
        <f>36.828 * CHOOSE(CONTROL!$C$32, $C$9, 100%, $E$9)</f>
        <v>36.828000000000003</v>
      </c>
      <c r="I1039" s="81">
        <f>36.8333 * CHOOSE(CONTROL!$C$32, $C$9, 100%, $E$9)</f>
        <v>36.833300000000001</v>
      </c>
      <c r="J1039" s="81">
        <f>36.828 * CHOOSE(CONTROL!$C$32, $C$9, 100%, $E$9)</f>
        <v>36.828000000000003</v>
      </c>
      <c r="K1039" s="81">
        <f>36.8333 * CHOOSE(CONTROL!$C$32, $C$9, 100%, $E$9)</f>
        <v>36.833300000000001</v>
      </c>
      <c r="L1039" s="81">
        <f>17.8428 * CHOOSE(CONTROL!$C$32, $C$9, 100%, $E$9)</f>
        <v>17.8428</v>
      </c>
      <c r="M1039" s="81">
        <f>17.8481 * CHOOSE(CONTROL!$C$32, $C$9, 100%, $E$9)</f>
        <v>17.848099999999999</v>
      </c>
      <c r="N1039" s="81">
        <f>17.8428 * CHOOSE(CONTROL!$C$32, $C$9, 100%, $E$9)</f>
        <v>17.8428</v>
      </c>
      <c r="O1039" s="81">
        <f>17.8481 * CHOOSE(CONTROL!$C$32, $C$9, 100%, $E$9)</f>
        <v>17.848099999999999</v>
      </c>
    </row>
    <row r="1040" spans="1:15" ht="15" x14ac:dyDescent="0.2">
      <c r="A1040" s="16">
        <v>72867</v>
      </c>
      <c r="B1040" s="80">
        <f>15.7588 * CHOOSE(CONTROL!$C$32, $C$9, 100%, $E$9)</f>
        <v>15.758800000000001</v>
      </c>
      <c r="C1040" s="80">
        <f>15.7588 * CHOOSE(CONTROL!$C$32, $C$9, 100%, $E$9)</f>
        <v>15.758800000000001</v>
      </c>
      <c r="D1040" s="80">
        <f>15.7604 * CHOOSE(CONTROL!$C$32, $C$9, 100%, $E$9)</f>
        <v>15.760400000000001</v>
      </c>
      <c r="E1040" s="81">
        <f>18.0969 * CHOOSE(CONTROL!$C$32, $C$9, 100%, $E$9)</f>
        <v>18.096900000000002</v>
      </c>
      <c r="F1040" s="81">
        <f>18.0969 * CHOOSE(CONTROL!$C$32, $C$9, 100%, $E$9)</f>
        <v>18.096900000000002</v>
      </c>
      <c r="G1040" s="81">
        <f>18.1022 * CHOOSE(CONTROL!$C$32, $C$9, 100%, $E$9)</f>
        <v>18.1022</v>
      </c>
      <c r="H1040" s="81">
        <f>36.9047 * CHOOSE(CONTROL!$C$32, $C$9, 100%, $E$9)</f>
        <v>36.904699999999998</v>
      </c>
      <c r="I1040" s="81">
        <f>36.91 * CHOOSE(CONTROL!$C$32, $C$9, 100%, $E$9)</f>
        <v>36.909999999999997</v>
      </c>
      <c r="J1040" s="81">
        <f>36.9047 * CHOOSE(CONTROL!$C$32, $C$9, 100%, $E$9)</f>
        <v>36.904699999999998</v>
      </c>
      <c r="K1040" s="81">
        <f>36.91 * CHOOSE(CONTROL!$C$32, $C$9, 100%, $E$9)</f>
        <v>36.909999999999997</v>
      </c>
      <c r="L1040" s="81">
        <f>18.0969 * CHOOSE(CONTROL!$C$32, $C$9, 100%, $E$9)</f>
        <v>18.096900000000002</v>
      </c>
      <c r="M1040" s="81">
        <f>18.1022 * CHOOSE(CONTROL!$C$32, $C$9, 100%, $E$9)</f>
        <v>18.1022</v>
      </c>
      <c r="N1040" s="81">
        <f>18.0969 * CHOOSE(CONTROL!$C$32, $C$9, 100%, $E$9)</f>
        <v>18.096900000000002</v>
      </c>
      <c r="O1040" s="81">
        <f>18.1022 * CHOOSE(CONTROL!$C$32, $C$9, 100%, $E$9)</f>
        <v>18.1022</v>
      </c>
    </row>
    <row r="1041" spans="1:15" ht="15" x14ac:dyDescent="0.2">
      <c r="A1041" s="16">
        <v>72898</v>
      </c>
      <c r="B1041" s="80">
        <f>15.7655 * CHOOSE(CONTROL!$C$32, $C$9, 100%, $E$9)</f>
        <v>15.765499999999999</v>
      </c>
      <c r="C1041" s="80">
        <f>15.7655 * CHOOSE(CONTROL!$C$32, $C$9, 100%, $E$9)</f>
        <v>15.765499999999999</v>
      </c>
      <c r="D1041" s="80">
        <f>15.7671 * CHOOSE(CONTROL!$C$32, $C$9, 100%, $E$9)</f>
        <v>15.767099999999999</v>
      </c>
      <c r="E1041" s="81">
        <f>17.6307 * CHOOSE(CONTROL!$C$32, $C$9, 100%, $E$9)</f>
        <v>17.630700000000001</v>
      </c>
      <c r="F1041" s="81">
        <f>17.6307 * CHOOSE(CONTROL!$C$32, $C$9, 100%, $E$9)</f>
        <v>17.630700000000001</v>
      </c>
      <c r="G1041" s="81">
        <f>17.636 * CHOOSE(CONTROL!$C$32, $C$9, 100%, $E$9)</f>
        <v>17.635999999999999</v>
      </c>
      <c r="H1041" s="81">
        <f>36.9816 * CHOOSE(CONTROL!$C$32, $C$9, 100%, $E$9)</f>
        <v>36.9816</v>
      </c>
      <c r="I1041" s="81">
        <f>36.9869 * CHOOSE(CONTROL!$C$32, $C$9, 100%, $E$9)</f>
        <v>36.986899999999999</v>
      </c>
      <c r="J1041" s="81">
        <f>36.9816 * CHOOSE(CONTROL!$C$32, $C$9, 100%, $E$9)</f>
        <v>36.9816</v>
      </c>
      <c r="K1041" s="81">
        <f>36.9869 * CHOOSE(CONTROL!$C$32, $C$9, 100%, $E$9)</f>
        <v>36.986899999999999</v>
      </c>
      <c r="L1041" s="81">
        <f>17.6307 * CHOOSE(CONTROL!$C$32, $C$9, 100%, $E$9)</f>
        <v>17.630700000000001</v>
      </c>
      <c r="M1041" s="81">
        <f>17.636 * CHOOSE(CONTROL!$C$32, $C$9, 100%, $E$9)</f>
        <v>17.635999999999999</v>
      </c>
      <c r="N1041" s="81">
        <f>17.6307 * CHOOSE(CONTROL!$C$32, $C$9, 100%, $E$9)</f>
        <v>17.630700000000001</v>
      </c>
      <c r="O1041" s="81">
        <f>17.636 * CHOOSE(CONTROL!$C$32, $C$9, 100%, $E$9)</f>
        <v>17.635999999999999</v>
      </c>
    </row>
    <row r="1042" spans="1:15" ht="15" x14ac:dyDescent="0.2">
      <c r="A1042" s="16">
        <v>72929</v>
      </c>
      <c r="B1042" s="80">
        <f>15.7625 * CHOOSE(CONTROL!$C$32, $C$9, 100%, $E$9)</f>
        <v>15.762499999999999</v>
      </c>
      <c r="C1042" s="80">
        <f>15.7625 * CHOOSE(CONTROL!$C$32, $C$9, 100%, $E$9)</f>
        <v>15.762499999999999</v>
      </c>
      <c r="D1042" s="80">
        <f>15.7641 * CHOOSE(CONTROL!$C$32, $C$9, 100%, $E$9)</f>
        <v>15.764099999999999</v>
      </c>
      <c r="E1042" s="81">
        <f>17.5763 * CHOOSE(CONTROL!$C$32, $C$9, 100%, $E$9)</f>
        <v>17.5763</v>
      </c>
      <c r="F1042" s="81">
        <f>17.5763 * CHOOSE(CONTROL!$C$32, $C$9, 100%, $E$9)</f>
        <v>17.5763</v>
      </c>
      <c r="G1042" s="81">
        <f>17.5816 * CHOOSE(CONTROL!$C$32, $C$9, 100%, $E$9)</f>
        <v>17.581600000000002</v>
      </c>
      <c r="H1042" s="81">
        <f>37.0587 * CHOOSE(CONTROL!$C$32, $C$9, 100%, $E$9)</f>
        <v>37.058700000000002</v>
      </c>
      <c r="I1042" s="81">
        <f>37.064 * CHOOSE(CONTROL!$C$32, $C$9, 100%, $E$9)</f>
        <v>37.064</v>
      </c>
      <c r="J1042" s="81">
        <f>37.0587 * CHOOSE(CONTROL!$C$32, $C$9, 100%, $E$9)</f>
        <v>37.058700000000002</v>
      </c>
      <c r="K1042" s="81">
        <f>37.064 * CHOOSE(CONTROL!$C$32, $C$9, 100%, $E$9)</f>
        <v>37.064</v>
      </c>
      <c r="L1042" s="81">
        <f>17.5763 * CHOOSE(CONTROL!$C$32, $C$9, 100%, $E$9)</f>
        <v>17.5763</v>
      </c>
      <c r="M1042" s="81">
        <f>17.5816 * CHOOSE(CONTROL!$C$32, $C$9, 100%, $E$9)</f>
        <v>17.581600000000002</v>
      </c>
      <c r="N1042" s="81">
        <f>17.5763 * CHOOSE(CONTROL!$C$32, $C$9, 100%, $E$9)</f>
        <v>17.5763</v>
      </c>
      <c r="O1042" s="81">
        <f>17.5816 * CHOOSE(CONTROL!$C$32, $C$9, 100%, $E$9)</f>
        <v>17.581600000000002</v>
      </c>
    </row>
    <row r="1043" spans="1:15" ht="15" x14ac:dyDescent="0.2">
      <c r="A1043" s="16">
        <v>72959</v>
      </c>
      <c r="B1043" s="80">
        <f>15.8016 * CHOOSE(CONTROL!$C$32, $C$9, 100%, $E$9)</f>
        <v>15.801600000000001</v>
      </c>
      <c r="C1043" s="80">
        <f>15.8016 * CHOOSE(CONTROL!$C$32, $C$9, 100%, $E$9)</f>
        <v>15.801600000000001</v>
      </c>
      <c r="D1043" s="80">
        <f>15.8026 * CHOOSE(CONTROL!$C$32, $C$9, 100%, $E$9)</f>
        <v>15.8026</v>
      </c>
      <c r="E1043" s="81">
        <f>17.7721 * CHOOSE(CONTROL!$C$32, $C$9, 100%, $E$9)</f>
        <v>17.772099999999998</v>
      </c>
      <c r="F1043" s="81">
        <f>17.7721 * CHOOSE(CONTROL!$C$32, $C$9, 100%, $E$9)</f>
        <v>17.772099999999998</v>
      </c>
      <c r="G1043" s="81">
        <f>17.7758 * CHOOSE(CONTROL!$C$32, $C$9, 100%, $E$9)</f>
        <v>17.7758</v>
      </c>
      <c r="H1043" s="81">
        <f>37.1359 * CHOOSE(CONTROL!$C$32, $C$9, 100%, $E$9)</f>
        <v>37.135899999999999</v>
      </c>
      <c r="I1043" s="81">
        <f>37.1395 * CHOOSE(CONTROL!$C$32, $C$9, 100%, $E$9)</f>
        <v>37.139499999999998</v>
      </c>
      <c r="J1043" s="81">
        <f>37.1359 * CHOOSE(CONTROL!$C$32, $C$9, 100%, $E$9)</f>
        <v>37.135899999999999</v>
      </c>
      <c r="K1043" s="81">
        <f>37.1395 * CHOOSE(CONTROL!$C$32, $C$9, 100%, $E$9)</f>
        <v>37.139499999999998</v>
      </c>
      <c r="L1043" s="81">
        <f>17.7721 * CHOOSE(CONTROL!$C$32, $C$9, 100%, $E$9)</f>
        <v>17.772099999999998</v>
      </c>
      <c r="M1043" s="81">
        <f>17.7758 * CHOOSE(CONTROL!$C$32, $C$9, 100%, $E$9)</f>
        <v>17.7758</v>
      </c>
      <c r="N1043" s="81">
        <f>17.7721 * CHOOSE(CONTROL!$C$32, $C$9, 100%, $E$9)</f>
        <v>17.772099999999998</v>
      </c>
      <c r="O1043" s="81">
        <f>17.7758 * CHOOSE(CONTROL!$C$32, $C$9, 100%, $E$9)</f>
        <v>17.7758</v>
      </c>
    </row>
    <row r="1044" spans="1:15" ht="15" x14ac:dyDescent="0.2">
      <c r="A1044" s="16">
        <v>72990</v>
      </c>
      <c r="B1044" s="80">
        <f>15.8046 * CHOOSE(CONTROL!$C$32, $C$9, 100%, $E$9)</f>
        <v>15.804600000000001</v>
      </c>
      <c r="C1044" s="80">
        <f>15.8046 * CHOOSE(CONTROL!$C$32, $C$9, 100%, $E$9)</f>
        <v>15.804600000000001</v>
      </c>
      <c r="D1044" s="80">
        <f>15.8057 * CHOOSE(CONTROL!$C$32, $C$9, 100%, $E$9)</f>
        <v>15.8057</v>
      </c>
      <c r="E1044" s="81">
        <f>17.8789 * CHOOSE(CONTROL!$C$32, $C$9, 100%, $E$9)</f>
        <v>17.878900000000002</v>
      </c>
      <c r="F1044" s="81">
        <f>17.8789 * CHOOSE(CONTROL!$C$32, $C$9, 100%, $E$9)</f>
        <v>17.878900000000002</v>
      </c>
      <c r="G1044" s="81">
        <f>17.8825 * CHOOSE(CONTROL!$C$32, $C$9, 100%, $E$9)</f>
        <v>17.8825</v>
      </c>
      <c r="H1044" s="81">
        <f>37.2132 * CHOOSE(CONTROL!$C$32, $C$9, 100%, $E$9)</f>
        <v>37.213200000000001</v>
      </c>
      <c r="I1044" s="81">
        <f>37.2169 * CHOOSE(CONTROL!$C$32, $C$9, 100%, $E$9)</f>
        <v>37.216900000000003</v>
      </c>
      <c r="J1044" s="81">
        <f>37.2132 * CHOOSE(CONTROL!$C$32, $C$9, 100%, $E$9)</f>
        <v>37.213200000000001</v>
      </c>
      <c r="K1044" s="81">
        <f>37.2169 * CHOOSE(CONTROL!$C$32, $C$9, 100%, $E$9)</f>
        <v>37.216900000000003</v>
      </c>
      <c r="L1044" s="81">
        <f>17.8789 * CHOOSE(CONTROL!$C$32, $C$9, 100%, $E$9)</f>
        <v>17.878900000000002</v>
      </c>
      <c r="M1044" s="81">
        <f>17.8825 * CHOOSE(CONTROL!$C$32, $C$9, 100%, $E$9)</f>
        <v>17.8825</v>
      </c>
      <c r="N1044" s="81">
        <f>17.8789 * CHOOSE(CONTROL!$C$32, $C$9, 100%, $E$9)</f>
        <v>17.878900000000002</v>
      </c>
      <c r="O1044" s="81">
        <f>17.8825 * CHOOSE(CONTROL!$C$32, $C$9, 100%, $E$9)</f>
        <v>17.8825</v>
      </c>
    </row>
    <row r="1045" spans="1:15" ht="15" x14ac:dyDescent="0.2">
      <c r="A1045" s="16">
        <v>73020</v>
      </c>
      <c r="B1045" s="80">
        <f>15.8046 * CHOOSE(CONTROL!$C$32, $C$9, 100%, $E$9)</f>
        <v>15.804600000000001</v>
      </c>
      <c r="C1045" s="80">
        <f>15.8046 * CHOOSE(CONTROL!$C$32, $C$9, 100%, $E$9)</f>
        <v>15.804600000000001</v>
      </c>
      <c r="D1045" s="80">
        <f>15.8057 * CHOOSE(CONTROL!$C$32, $C$9, 100%, $E$9)</f>
        <v>15.8057</v>
      </c>
      <c r="E1045" s="81">
        <f>17.6173 * CHOOSE(CONTROL!$C$32, $C$9, 100%, $E$9)</f>
        <v>17.6173</v>
      </c>
      <c r="F1045" s="81">
        <f>17.6173 * CHOOSE(CONTROL!$C$32, $C$9, 100%, $E$9)</f>
        <v>17.6173</v>
      </c>
      <c r="G1045" s="81">
        <f>17.6209 * CHOOSE(CONTROL!$C$32, $C$9, 100%, $E$9)</f>
        <v>17.620899999999999</v>
      </c>
      <c r="H1045" s="81">
        <f>37.2908 * CHOOSE(CONTROL!$C$32, $C$9, 100%, $E$9)</f>
        <v>37.290799999999997</v>
      </c>
      <c r="I1045" s="81">
        <f>37.2944 * CHOOSE(CONTROL!$C$32, $C$9, 100%, $E$9)</f>
        <v>37.294400000000003</v>
      </c>
      <c r="J1045" s="81">
        <f>37.2908 * CHOOSE(CONTROL!$C$32, $C$9, 100%, $E$9)</f>
        <v>37.290799999999997</v>
      </c>
      <c r="K1045" s="81">
        <f>37.2944 * CHOOSE(CONTROL!$C$32, $C$9, 100%, $E$9)</f>
        <v>37.294400000000003</v>
      </c>
      <c r="L1045" s="81">
        <f>17.6173 * CHOOSE(CONTROL!$C$32, $C$9, 100%, $E$9)</f>
        <v>17.6173</v>
      </c>
      <c r="M1045" s="81">
        <f>17.6209 * CHOOSE(CONTROL!$C$32, $C$9, 100%, $E$9)</f>
        <v>17.620899999999999</v>
      </c>
      <c r="N1045" s="81">
        <f>17.6173 * CHOOSE(CONTROL!$C$32, $C$9, 100%, $E$9)</f>
        <v>17.6173</v>
      </c>
      <c r="O1045" s="81">
        <f>17.6209 * CHOOSE(CONTROL!$C$32, $C$9, 100%, $E$9)</f>
        <v>17.620899999999999</v>
      </c>
    </row>
    <row r="1046" spans="1:15" ht="15" x14ac:dyDescent="0.2">
      <c r="A1046" s="16">
        <v>73051</v>
      </c>
      <c r="B1046" s="80">
        <f>15.7518 * CHOOSE(CONTROL!$C$32, $C$9, 100%, $E$9)</f>
        <v>15.751799999999999</v>
      </c>
      <c r="C1046" s="80">
        <f>15.7518 * CHOOSE(CONTROL!$C$32, $C$9, 100%, $E$9)</f>
        <v>15.751799999999999</v>
      </c>
      <c r="D1046" s="80">
        <f>15.7529 * CHOOSE(CONTROL!$C$32, $C$9, 100%, $E$9)</f>
        <v>15.7529</v>
      </c>
      <c r="E1046" s="81">
        <f>17.7456 * CHOOSE(CONTROL!$C$32, $C$9, 100%, $E$9)</f>
        <v>17.7456</v>
      </c>
      <c r="F1046" s="81">
        <f>17.7456 * CHOOSE(CONTROL!$C$32, $C$9, 100%, $E$9)</f>
        <v>17.7456</v>
      </c>
      <c r="G1046" s="81">
        <f>17.7493 * CHOOSE(CONTROL!$C$32, $C$9, 100%, $E$9)</f>
        <v>17.749300000000002</v>
      </c>
      <c r="H1046" s="81">
        <f>36.9108 * CHOOSE(CONTROL!$C$32, $C$9, 100%, $E$9)</f>
        <v>36.910800000000002</v>
      </c>
      <c r="I1046" s="81">
        <f>36.9144 * CHOOSE(CONTROL!$C$32, $C$9, 100%, $E$9)</f>
        <v>36.914400000000001</v>
      </c>
      <c r="J1046" s="81">
        <f>36.9108 * CHOOSE(CONTROL!$C$32, $C$9, 100%, $E$9)</f>
        <v>36.910800000000002</v>
      </c>
      <c r="K1046" s="81">
        <f>36.9144 * CHOOSE(CONTROL!$C$32, $C$9, 100%, $E$9)</f>
        <v>36.914400000000001</v>
      </c>
      <c r="L1046" s="81">
        <f>17.7456 * CHOOSE(CONTROL!$C$32, $C$9, 100%, $E$9)</f>
        <v>17.7456</v>
      </c>
      <c r="M1046" s="81">
        <f>17.7493 * CHOOSE(CONTROL!$C$32, $C$9, 100%, $E$9)</f>
        <v>17.749300000000002</v>
      </c>
      <c r="N1046" s="81">
        <f>17.7456 * CHOOSE(CONTROL!$C$32, $C$9, 100%, $E$9)</f>
        <v>17.7456</v>
      </c>
      <c r="O1046" s="81">
        <f>17.7493 * CHOOSE(CONTROL!$C$32, $C$9, 100%, $E$9)</f>
        <v>17.749300000000002</v>
      </c>
    </row>
    <row r="1047" spans="1:15" ht="15" x14ac:dyDescent="0.2">
      <c r="A1047" s="16">
        <v>73082</v>
      </c>
      <c r="B1047" s="80">
        <f>15.7488 * CHOOSE(CONTROL!$C$32, $C$9, 100%, $E$9)</f>
        <v>15.748799999999999</v>
      </c>
      <c r="C1047" s="80">
        <f>15.7488 * CHOOSE(CONTROL!$C$32, $C$9, 100%, $E$9)</f>
        <v>15.748799999999999</v>
      </c>
      <c r="D1047" s="80">
        <f>15.7498 * CHOOSE(CONTROL!$C$32, $C$9, 100%, $E$9)</f>
        <v>15.7498</v>
      </c>
      <c r="E1047" s="81">
        <f>17.242 * CHOOSE(CONTROL!$C$32, $C$9, 100%, $E$9)</f>
        <v>17.242000000000001</v>
      </c>
      <c r="F1047" s="81">
        <f>17.242 * CHOOSE(CONTROL!$C$32, $C$9, 100%, $E$9)</f>
        <v>17.242000000000001</v>
      </c>
      <c r="G1047" s="81">
        <f>17.2457 * CHOOSE(CONTROL!$C$32, $C$9, 100%, $E$9)</f>
        <v>17.245699999999999</v>
      </c>
      <c r="H1047" s="81">
        <f>36.9877 * CHOOSE(CONTROL!$C$32, $C$9, 100%, $E$9)</f>
        <v>36.987699999999997</v>
      </c>
      <c r="I1047" s="81">
        <f>36.9913 * CHOOSE(CONTROL!$C$32, $C$9, 100%, $E$9)</f>
        <v>36.991300000000003</v>
      </c>
      <c r="J1047" s="81">
        <f>36.9877 * CHOOSE(CONTROL!$C$32, $C$9, 100%, $E$9)</f>
        <v>36.987699999999997</v>
      </c>
      <c r="K1047" s="81">
        <f>36.9913 * CHOOSE(CONTROL!$C$32, $C$9, 100%, $E$9)</f>
        <v>36.991300000000003</v>
      </c>
      <c r="L1047" s="81">
        <f>17.242 * CHOOSE(CONTROL!$C$32, $C$9, 100%, $E$9)</f>
        <v>17.242000000000001</v>
      </c>
      <c r="M1047" s="81">
        <f>17.2457 * CHOOSE(CONTROL!$C$32, $C$9, 100%, $E$9)</f>
        <v>17.245699999999999</v>
      </c>
      <c r="N1047" s="81">
        <f>17.242 * CHOOSE(CONTROL!$C$32, $C$9, 100%, $E$9)</f>
        <v>17.242000000000001</v>
      </c>
      <c r="O1047" s="81">
        <f>17.2457 * CHOOSE(CONTROL!$C$32, $C$9, 100%, $E$9)</f>
        <v>17.245699999999999</v>
      </c>
    </row>
    <row r="1048" spans="1:15" ht="15" x14ac:dyDescent="0.2">
      <c r="A1048" s="16">
        <v>73110</v>
      </c>
      <c r="B1048" s="80">
        <f>15.7457 * CHOOSE(CONTROL!$C$32, $C$9, 100%, $E$9)</f>
        <v>15.745699999999999</v>
      </c>
      <c r="C1048" s="80">
        <f>15.7457 * CHOOSE(CONTROL!$C$32, $C$9, 100%, $E$9)</f>
        <v>15.745699999999999</v>
      </c>
      <c r="D1048" s="80">
        <f>15.7468 * CHOOSE(CONTROL!$C$32, $C$9, 100%, $E$9)</f>
        <v>15.7468</v>
      </c>
      <c r="E1048" s="81">
        <f>17.6353 * CHOOSE(CONTROL!$C$32, $C$9, 100%, $E$9)</f>
        <v>17.635300000000001</v>
      </c>
      <c r="F1048" s="81">
        <f>17.6353 * CHOOSE(CONTROL!$C$32, $C$9, 100%, $E$9)</f>
        <v>17.635300000000001</v>
      </c>
      <c r="G1048" s="81">
        <f>17.6389 * CHOOSE(CONTROL!$C$32, $C$9, 100%, $E$9)</f>
        <v>17.6389</v>
      </c>
      <c r="H1048" s="81">
        <f>37.0648 * CHOOSE(CONTROL!$C$32, $C$9, 100%, $E$9)</f>
        <v>37.064799999999998</v>
      </c>
      <c r="I1048" s="81">
        <f>37.0684 * CHOOSE(CONTROL!$C$32, $C$9, 100%, $E$9)</f>
        <v>37.068399999999997</v>
      </c>
      <c r="J1048" s="81">
        <f>37.0648 * CHOOSE(CONTROL!$C$32, $C$9, 100%, $E$9)</f>
        <v>37.064799999999998</v>
      </c>
      <c r="K1048" s="81">
        <f>37.0684 * CHOOSE(CONTROL!$C$32, $C$9, 100%, $E$9)</f>
        <v>37.068399999999997</v>
      </c>
      <c r="L1048" s="81">
        <f>17.6353 * CHOOSE(CONTROL!$C$32, $C$9, 100%, $E$9)</f>
        <v>17.635300000000001</v>
      </c>
      <c r="M1048" s="81">
        <f>17.6389 * CHOOSE(CONTROL!$C$32, $C$9, 100%, $E$9)</f>
        <v>17.6389</v>
      </c>
      <c r="N1048" s="81">
        <f>17.6353 * CHOOSE(CONTROL!$C$32, $C$9, 100%, $E$9)</f>
        <v>17.635300000000001</v>
      </c>
      <c r="O1048" s="81">
        <f>17.6389 * CHOOSE(CONTROL!$C$32, $C$9, 100%, $E$9)</f>
        <v>17.6389</v>
      </c>
    </row>
    <row r="1049" spans="1:15" ht="15" x14ac:dyDescent="0.2">
      <c r="A1049" s="16">
        <v>73141</v>
      </c>
      <c r="B1049" s="80">
        <f>15.7548 * CHOOSE(CONTROL!$C$32, $C$9, 100%, $E$9)</f>
        <v>15.754799999999999</v>
      </c>
      <c r="C1049" s="80">
        <f>15.7548 * CHOOSE(CONTROL!$C$32, $C$9, 100%, $E$9)</f>
        <v>15.754799999999999</v>
      </c>
      <c r="D1049" s="80">
        <f>15.7559 * CHOOSE(CONTROL!$C$32, $C$9, 100%, $E$9)</f>
        <v>15.7559</v>
      </c>
      <c r="E1049" s="81">
        <f>18.0556 * CHOOSE(CONTROL!$C$32, $C$9, 100%, $E$9)</f>
        <v>18.055599999999998</v>
      </c>
      <c r="F1049" s="81">
        <f>18.0556 * CHOOSE(CONTROL!$C$32, $C$9, 100%, $E$9)</f>
        <v>18.055599999999998</v>
      </c>
      <c r="G1049" s="81">
        <f>18.0592 * CHOOSE(CONTROL!$C$32, $C$9, 100%, $E$9)</f>
        <v>18.059200000000001</v>
      </c>
      <c r="H1049" s="81">
        <f>37.142 * CHOOSE(CONTROL!$C$32, $C$9, 100%, $E$9)</f>
        <v>37.142000000000003</v>
      </c>
      <c r="I1049" s="81">
        <f>37.1456 * CHOOSE(CONTROL!$C$32, $C$9, 100%, $E$9)</f>
        <v>37.145600000000002</v>
      </c>
      <c r="J1049" s="81">
        <f>37.142 * CHOOSE(CONTROL!$C$32, $C$9, 100%, $E$9)</f>
        <v>37.142000000000003</v>
      </c>
      <c r="K1049" s="81">
        <f>37.1456 * CHOOSE(CONTROL!$C$32, $C$9, 100%, $E$9)</f>
        <v>37.145600000000002</v>
      </c>
      <c r="L1049" s="81">
        <f>18.0556 * CHOOSE(CONTROL!$C$32, $C$9, 100%, $E$9)</f>
        <v>18.055599999999998</v>
      </c>
      <c r="M1049" s="81">
        <f>18.0592 * CHOOSE(CONTROL!$C$32, $C$9, 100%, $E$9)</f>
        <v>18.059200000000001</v>
      </c>
      <c r="N1049" s="81">
        <f>18.0556 * CHOOSE(CONTROL!$C$32, $C$9, 100%, $E$9)</f>
        <v>18.055599999999998</v>
      </c>
      <c r="O1049" s="81">
        <f>18.0592 * CHOOSE(CONTROL!$C$32, $C$9, 100%, $E$9)</f>
        <v>18.059200000000001</v>
      </c>
    </row>
    <row r="1050" spans="1:15" ht="15" x14ac:dyDescent="0.2">
      <c r="A1050" s="16">
        <v>73171</v>
      </c>
      <c r="B1050" s="80">
        <f>15.7548 * CHOOSE(CONTROL!$C$32, $C$9, 100%, $E$9)</f>
        <v>15.754799999999999</v>
      </c>
      <c r="C1050" s="80">
        <f>15.7548 * CHOOSE(CONTROL!$C$32, $C$9, 100%, $E$9)</f>
        <v>15.754799999999999</v>
      </c>
      <c r="D1050" s="80">
        <f>15.7564 * CHOOSE(CONTROL!$C$32, $C$9, 100%, $E$9)</f>
        <v>15.756399999999999</v>
      </c>
      <c r="E1050" s="81">
        <f>18.2148 * CHOOSE(CONTROL!$C$32, $C$9, 100%, $E$9)</f>
        <v>18.2148</v>
      </c>
      <c r="F1050" s="81">
        <f>18.2148 * CHOOSE(CONTROL!$C$32, $C$9, 100%, $E$9)</f>
        <v>18.2148</v>
      </c>
      <c r="G1050" s="81">
        <f>18.2201 * CHOOSE(CONTROL!$C$32, $C$9, 100%, $E$9)</f>
        <v>18.220099999999999</v>
      </c>
      <c r="H1050" s="81">
        <f>37.2194 * CHOOSE(CONTROL!$C$32, $C$9, 100%, $E$9)</f>
        <v>37.2194</v>
      </c>
      <c r="I1050" s="81">
        <f>37.2246 * CHOOSE(CONTROL!$C$32, $C$9, 100%, $E$9)</f>
        <v>37.224600000000002</v>
      </c>
      <c r="J1050" s="81">
        <f>37.2194 * CHOOSE(CONTROL!$C$32, $C$9, 100%, $E$9)</f>
        <v>37.2194</v>
      </c>
      <c r="K1050" s="81">
        <f>37.2246 * CHOOSE(CONTROL!$C$32, $C$9, 100%, $E$9)</f>
        <v>37.224600000000002</v>
      </c>
      <c r="L1050" s="81">
        <f>18.2148 * CHOOSE(CONTROL!$C$32, $C$9, 100%, $E$9)</f>
        <v>18.2148</v>
      </c>
      <c r="M1050" s="81">
        <f>18.2201 * CHOOSE(CONTROL!$C$32, $C$9, 100%, $E$9)</f>
        <v>18.220099999999999</v>
      </c>
      <c r="N1050" s="81">
        <f>18.2148 * CHOOSE(CONTROL!$C$32, $C$9, 100%, $E$9)</f>
        <v>18.2148</v>
      </c>
      <c r="O1050" s="81">
        <f>18.2201 * CHOOSE(CONTROL!$C$32, $C$9, 100%, $E$9)</f>
        <v>18.220099999999999</v>
      </c>
    </row>
    <row r="1051" spans="1:15" ht="15" x14ac:dyDescent="0.2">
      <c r="A1051" s="16">
        <v>73202</v>
      </c>
      <c r="B1051" s="80">
        <f>15.7609 * CHOOSE(CONTROL!$C$32, $C$9, 100%, $E$9)</f>
        <v>15.760899999999999</v>
      </c>
      <c r="C1051" s="80">
        <f>15.7609 * CHOOSE(CONTROL!$C$32, $C$9, 100%, $E$9)</f>
        <v>15.760899999999999</v>
      </c>
      <c r="D1051" s="80">
        <f>15.7625 * CHOOSE(CONTROL!$C$32, $C$9, 100%, $E$9)</f>
        <v>15.762499999999999</v>
      </c>
      <c r="E1051" s="81">
        <f>18.0598 * CHOOSE(CONTROL!$C$32, $C$9, 100%, $E$9)</f>
        <v>18.059799999999999</v>
      </c>
      <c r="F1051" s="81">
        <f>18.0598 * CHOOSE(CONTROL!$C$32, $C$9, 100%, $E$9)</f>
        <v>18.059799999999999</v>
      </c>
      <c r="G1051" s="81">
        <f>18.0651 * CHOOSE(CONTROL!$C$32, $C$9, 100%, $E$9)</f>
        <v>18.065100000000001</v>
      </c>
      <c r="H1051" s="81">
        <f>37.2969 * CHOOSE(CONTROL!$C$32, $C$9, 100%, $E$9)</f>
        <v>37.296900000000001</v>
      </c>
      <c r="I1051" s="81">
        <f>37.3022 * CHOOSE(CONTROL!$C$32, $C$9, 100%, $E$9)</f>
        <v>37.302199999999999</v>
      </c>
      <c r="J1051" s="81">
        <f>37.2969 * CHOOSE(CONTROL!$C$32, $C$9, 100%, $E$9)</f>
        <v>37.296900000000001</v>
      </c>
      <c r="K1051" s="81">
        <f>37.3022 * CHOOSE(CONTROL!$C$32, $C$9, 100%, $E$9)</f>
        <v>37.302199999999999</v>
      </c>
      <c r="L1051" s="81">
        <f>18.0598 * CHOOSE(CONTROL!$C$32, $C$9, 100%, $E$9)</f>
        <v>18.059799999999999</v>
      </c>
      <c r="M1051" s="81">
        <f>18.0651 * CHOOSE(CONTROL!$C$32, $C$9, 100%, $E$9)</f>
        <v>18.065100000000001</v>
      </c>
      <c r="N1051" s="81">
        <f>18.0598 * CHOOSE(CONTROL!$C$32, $C$9, 100%, $E$9)</f>
        <v>18.059799999999999</v>
      </c>
      <c r="O1051" s="81">
        <f>18.0651 * CHOOSE(CONTROL!$C$32, $C$9, 100%, $E$9)</f>
        <v>18.065100000000001</v>
      </c>
    </row>
    <row r="1052" spans="1:15" ht="15" x14ac:dyDescent="0.2">
      <c r="A1052" s="16">
        <v>73232</v>
      </c>
      <c r="B1052" s="80">
        <f>15.9484 * CHOOSE(CONTROL!$C$32, $C$9, 100%, $E$9)</f>
        <v>15.948399999999999</v>
      </c>
      <c r="C1052" s="80">
        <f>15.9484 * CHOOSE(CONTROL!$C$32, $C$9, 100%, $E$9)</f>
        <v>15.948399999999999</v>
      </c>
      <c r="D1052" s="80">
        <f>15.95 * CHOOSE(CONTROL!$C$32, $C$9, 100%, $E$9)</f>
        <v>15.95</v>
      </c>
      <c r="E1052" s="81">
        <f>18.3171 * CHOOSE(CONTROL!$C$32, $C$9, 100%, $E$9)</f>
        <v>18.3171</v>
      </c>
      <c r="F1052" s="81">
        <f>18.3171 * CHOOSE(CONTROL!$C$32, $C$9, 100%, $E$9)</f>
        <v>18.3171</v>
      </c>
      <c r="G1052" s="81">
        <f>18.3224 * CHOOSE(CONTROL!$C$32, $C$9, 100%, $E$9)</f>
        <v>18.322399999999998</v>
      </c>
      <c r="H1052" s="81">
        <f>37.3746 * CHOOSE(CONTROL!$C$32, $C$9, 100%, $E$9)</f>
        <v>37.374600000000001</v>
      </c>
      <c r="I1052" s="81">
        <f>37.3799 * CHOOSE(CONTROL!$C$32, $C$9, 100%, $E$9)</f>
        <v>37.379899999999999</v>
      </c>
      <c r="J1052" s="81">
        <f>37.3746 * CHOOSE(CONTROL!$C$32, $C$9, 100%, $E$9)</f>
        <v>37.374600000000001</v>
      </c>
      <c r="K1052" s="81">
        <f>37.3799 * CHOOSE(CONTROL!$C$32, $C$9, 100%, $E$9)</f>
        <v>37.379899999999999</v>
      </c>
      <c r="L1052" s="81">
        <f>18.3171 * CHOOSE(CONTROL!$C$32, $C$9, 100%, $E$9)</f>
        <v>18.3171</v>
      </c>
      <c r="M1052" s="81">
        <f>18.3224 * CHOOSE(CONTROL!$C$32, $C$9, 100%, $E$9)</f>
        <v>18.322399999999998</v>
      </c>
      <c r="N1052" s="81">
        <f>18.3171 * CHOOSE(CONTROL!$C$32, $C$9, 100%, $E$9)</f>
        <v>18.3171</v>
      </c>
      <c r="O1052" s="81">
        <f>18.3224 * CHOOSE(CONTROL!$C$32, $C$9, 100%, $E$9)</f>
        <v>18.322399999999998</v>
      </c>
    </row>
    <row r="1053" spans="1:15" ht="15" x14ac:dyDescent="0.2">
      <c r="A1053" s="16">
        <v>73263</v>
      </c>
      <c r="B1053" s="80">
        <f>15.9551 * CHOOSE(CONTROL!$C$32, $C$9, 100%, $E$9)</f>
        <v>15.9551</v>
      </c>
      <c r="C1053" s="80">
        <f>15.9551 * CHOOSE(CONTROL!$C$32, $C$9, 100%, $E$9)</f>
        <v>15.9551</v>
      </c>
      <c r="D1053" s="80">
        <f>15.9567 * CHOOSE(CONTROL!$C$32, $C$9, 100%, $E$9)</f>
        <v>15.9567</v>
      </c>
      <c r="E1053" s="81">
        <f>17.8441 * CHOOSE(CONTROL!$C$32, $C$9, 100%, $E$9)</f>
        <v>17.844100000000001</v>
      </c>
      <c r="F1053" s="81">
        <f>17.8441 * CHOOSE(CONTROL!$C$32, $C$9, 100%, $E$9)</f>
        <v>17.844100000000001</v>
      </c>
      <c r="G1053" s="81">
        <f>17.8494 * CHOOSE(CONTROL!$C$32, $C$9, 100%, $E$9)</f>
        <v>17.849399999999999</v>
      </c>
      <c r="H1053" s="81">
        <f>37.4525 * CHOOSE(CONTROL!$C$32, $C$9, 100%, $E$9)</f>
        <v>37.452500000000001</v>
      </c>
      <c r="I1053" s="81">
        <f>37.4578 * CHOOSE(CONTROL!$C$32, $C$9, 100%, $E$9)</f>
        <v>37.457799999999999</v>
      </c>
      <c r="J1053" s="81">
        <f>37.4525 * CHOOSE(CONTROL!$C$32, $C$9, 100%, $E$9)</f>
        <v>37.452500000000001</v>
      </c>
      <c r="K1053" s="81">
        <f>37.4578 * CHOOSE(CONTROL!$C$32, $C$9, 100%, $E$9)</f>
        <v>37.457799999999999</v>
      </c>
      <c r="L1053" s="81">
        <f>17.8441 * CHOOSE(CONTROL!$C$32, $C$9, 100%, $E$9)</f>
        <v>17.844100000000001</v>
      </c>
      <c r="M1053" s="81">
        <f>17.8494 * CHOOSE(CONTROL!$C$32, $C$9, 100%, $E$9)</f>
        <v>17.849399999999999</v>
      </c>
      <c r="N1053" s="81">
        <f>17.8441 * CHOOSE(CONTROL!$C$32, $C$9, 100%, $E$9)</f>
        <v>17.844100000000001</v>
      </c>
      <c r="O1053" s="81">
        <f>17.8494 * CHOOSE(CONTROL!$C$32, $C$9, 100%, $E$9)</f>
        <v>17.849399999999999</v>
      </c>
    </row>
    <row r="1054" spans="1:15" ht="15" x14ac:dyDescent="0.2">
      <c r="A1054" s="16">
        <v>73294</v>
      </c>
      <c r="B1054" s="80">
        <f>15.9521 * CHOOSE(CONTROL!$C$32, $C$9, 100%, $E$9)</f>
        <v>15.9521</v>
      </c>
      <c r="C1054" s="80">
        <f>15.9521 * CHOOSE(CONTROL!$C$32, $C$9, 100%, $E$9)</f>
        <v>15.9521</v>
      </c>
      <c r="D1054" s="80">
        <f>15.9537 * CHOOSE(CONTROL!$C$32, $C$9, 100%, $E$9)</f>
        <v>15.9537</v>
      </c>
      <c r="E1054" s="81">
        <f>17.789 * CHOOSE(CONTROL!$C$32, $C$9, 100%, $E$9)</f>
        <v>17.789000000000001</v>
      </c>
      <c r="F1054" s="81">
        <f>17.789 * CHOOSE(CONTROL!$C$32, $C$9, 100%, $E$9)</f>
        <v>17.789000000000001</v>
      </c>
      <c r="G1054" s="81">
        <f>17.7942 * CHOOSE(CONTROL!$C$32, $C$9, 100%, $E$9)</f>
        <v>17.7942</v>
      </c>
      <c r="H1054" s="81">
        <f>37.5305 * CHOOSE(CONTROL!$C$32, $C$9, 100%, $E$9)</f>
        <v>37.530500000000004</v>
      </c>
      <c r="I1054" s="81">
        <f>37.5358 * CHOOSE(CONTROL!$C$32, $C$9, 100%, $E$9)</f>
        <v>37.535800000000002</v>
      </c>
      <c r="J1054" s="81">
        <f>37.5305 * CHOOSE(CONTROL!$C$32, $C$9, 100%, $E$9)</f>
        <v>37.530500000000004</v>
      </c>
      <c r="K1054" s="81">
        <f>37.5358 * CHOOSE(CONTROL!$C$32, $C$9, 100%, $E$9)</f>
        <v>37.535800000000002</v>
      </c>
      <c r="L1054" s="81">
        <f>17.789 * CHOOSE(CONTROL!$C$32, $C$9, 100%, $E$9)</f>
        <v>17.789000000000001</v>
      </c>
      <c r="M1054" s="81">
        <f>17.7942 * CHOOSE(CONTROL!$C$32, $C$9, 100%, $E$9)</f>
        <v>17.7942</v>
      </c>
      <c r="N1054" s="81">
        <f>17.789 * CHOOSE(CONTROL!$C$32, $C$9, 100%, $E$9)</f>
        <v>17.789000000000001</v>
      </c>
      <c r="O1054" s="81">
        <f>17.7942 * CHOOSE(CONTROL!$C$32, $C$9, 100%, $E$9)</f>
        <v>17.7942</v>
      </c>
    </row>
    <row r="1055" spans="1:15" ht="15" x14ac:dyDescent="0.2">
      <c r="A1055" s="16">
        <v>73324</v>
      </c>
      <c r="B1055" s="80">
        <f>15.9919 * CHOOSE(CONTROL!$C$32, $C$9, 100%, $E$9)</f>
        <v>15.991899999999999</v>
      </c>
      <c r="C1055" s="80">
        <f>15.9919 * CHOOSE(CONTROL!$C$32, $C$9, 100%, $E$9)</f>
        <v>15.991899999999999</v>
      </c>
      <c r="D1055" s="80">
        <f>15.9929 * CHOOSE(CONTROL!$C$32, $C$9, 100%, $E$9)</f>
        <v>15.992900000000001</v>
      </c>
      <c r="E1055" s="81">
        <f>17.9878 * CHOOSE(CONTROL!$C$32, $C$9, 100%, $E$9)</f>
        <v>17.9878</v>
      </c>
      <c r="F1055" s="81">
        <f>17.9878 * CHOOSE(CONTROL!$C$32, $C$9, 100%, $E$9)</f>
        <v>17.9878</v>
      </c>
      <c r="G1055" s="81">
        <f>17.9914 * CHOOSE(CONTROL!$C$32, $C$9, 100%, $E$9)</f>
        <v>17.991399999999999</v>
      </c>
      <c r="H1055" s="81">
        <f>37.6087 * CHOOSE(CONTROL!$C$32, $C$9, 100%, $E$9)</f>
        <v>37.608699999999999</v>
      </c>
      <c r="I1055" s="81">
        <f>37.6123 * CHOOSE(CONTROL!$C$32, $C$9, 100%, $E$9)</f>
        <v>37.612299999999998</v>
      </c>
      <c r="J1055" s="81">
        <f>37.6087 * CHOOSE(CONTROL!$C$32, $C$9, 100%, $E$9)</f>
        <v>37.608699999999999</v>
      </c>
      <c r="K1055" s="81">
        <f>37.6123 * CHOOSE(CONTROL!$C$32, $C$9, 100%, $E$9)</f>
        <v>37.612299999999998</v>
      </c>
      <c r="L1055" s="81">
        <f>17.9878 * CHOOSE(CONTROL!$C$32, $C$9, 100%, $E$9)</f>
        <v>17.9878</v>
      </c>
      <c r="M1055" s="81">
        <f>17.9914 * CHOOSE(CONTROL!$C$32, $C$9, 100%, $E$9)</f>
        <v>17.991399999999999</v>
      </c>
      <c r="N1055" s="81">
        <f>17.9878 * CHOOSE(CONTROL!$C$32, $C$9, 100%, $E$9)</f>
        <v>17.9878</v>
      </c>
      <c r="O1055" s="81">
        <f>17.9914 * CHOOSE(CONTROL!$C$32, $C$9, 100%, $E$9)</f>
        <v>17.991399999999999</v>
      </c>
    </row>
    <row r="1056" spans="1:15" ht="15" x14ac:dyDescent="0.2">
      <c r="A1056" s="16">
        <v>73355</v>
      </c>
      <c r="B1056" s="80">
        <f>15.9949 * CHOOSE(CONTROL!$C$32, $C$9, 100%, $E$9)</f>
        <v>15.994899999999999</v>
      </c>
      <c r="C1056" s="80">
        <f>15.9949 * CHOOSE(CONTROL!$C$32, $C$9, 100%, $E$9)</f>
        <v>15.994899999999999</v>
      </c>
      <c r="D1056" s="80">
        <f>15.996 * CHOOSE(CONTROL!$C$32, $C$9, 100%, $E$9)</f>
        <v>15.996</v>
      </c>
      <c r="E1056" s="81">
        <f>18.0961 * CHOOSE(CONTROL!$C$32, $C$9, 100%, $E$9)</f>
        <v>18.0961</v>
      </c>
      <c r="F1056" s="81">
        <f>18.0961 * CHOOSE(CONTROL!$C$32, $C$9, 100%, $E$9)</f>
        <v>18.0961</v>
      </c>
      <c r="G1056" s="81">
        <f>18.0997 * CHOOSE(CONTROL!$C$32, $C$9, 100%, $E$9)</f>
        <v>18.099699999999999</v>
      </c>
      <c r="H1056" s="81">
        <f>37.687 * CHOOSE(CONTROL!$C$32, $C$9, 100%, $E$9)</f>
        <v>37.686999999999998</v>
      </c>
      <c r="I1056" s="81">
        <f>37.6906 * CHOOSE(CONTROL!$C$32, $C$9, 100%, $E$9)</f>
        <v>37.690600000000003</v>
      </c>
      <c r="J1056" s="81">
        <f>37.687 * CHOOSE(CONTROL!$C$32, $C$9, 100%, $E$9)</f>
        <v>37.686999999999998</v>
      </c>
      <c r="K1056" s="81">
        <f>37.6906 * CHOOSE(CONTROL!$C$32, $C$9, 100%, $E$9)</f>
        <v>37.690600000000003</v>
      </c>
      <c r="L1056" s="81">
        <f>18.0961 * CHOOSE(CONTROL!$C$32, $C$9, 100%, $E$9)</f>
        <v>18.0961</v>
      </c>
      <c r="M1056" s="81">
        <f>18.0997 * CHOOSE(CONTROL!$C$32, $C$9, 100%, $E$9)</f>
        <v>18.099699999999999</v>
      </c>
      <c r="N1056" s="81">
        <f>18.0961 * CHOOSE(CONTROL!$C$32, $C$9, 100%, $E$9)</f>
        <v>18.0961</v>
      </c>
      <c r="O1056" s="81">
        <f>18.0997 * CHOOSE(CONTROL!$C$32, $C$9, 100%, $E$9)</f>
        <v>18.099699999999999</v>
      </c>
    </row>
    <row r="1057" spans="1:15" ht="15" x14ac:dyDescent="0.2">
      <c r="A1057" s="16">
        <v>73385</v>
      </c>
      <c r="B1057" s="80">
        <f>15.9949 * CHOOSE(CONTROL!$C$32, $C$9, 100%, $E$9)</f>
        <v>15.994899999999999</v>
      </c>
      <c r="C1057" s="80">
        <f>15.9949 * CHOOSE(CONTROL!$C$32, $C$9, 100%, $E$9)</f>
        <v>15.994899999999999</v>
      </c>
      <c r="D1057" s="80">
        <f>15.996 * CHOOSE(CONTROL!$C$32, $C$9, 100%, $E$9)</f>
        <v>15.996</v>
      </c>
      <c r="E1057" s="81">
        <f>17.8307 * CHOOSE(CONTROL!$C$32, $C$9, 100%, $E$9)</f>
        <v>17.8307</v>
      </c>
      <c r="F1057" s="81">
        <f>17.8307 * CHOOSE(CONTROL!$C$32, $C$9, 100%, $E$9)</f>
        <v>17.8307</v>
      </c>
      <c r="G1057" s="81">
        <f>17.8343 * CHOOSE(CONTROL!$C$32, $C$9, 100%, $E$9)</f>
        <v>17.834299999999999</v>
      </c>
      <c r="H1057" s="81">
        <f>37.7655 * CHOOSE(CONTROL!$C$32, $C$9, 100%, $E$9)</f>
        <v>37.765500000000003</v>
      </c>
      <c r="I1057" s="81">
        <f>37.7692 * CHOOSE(CONTROL!$C$32, $C$9, 100%, $E$9)</f>
        <v>37.769199999999998</v>
      </c>
      <c r="J1057" s="81">
        <f>37.7655 * CHOOSE(CONTROL!$C$32, $C$9, 100%, $E$9)</f>
        <v>37.765500000000003</v>
      </c>
      <c r="K1057" s="81">
        <f>37.7692 * CHOOSE(CONTROL!$C$32, $C$9, 100%, $E$9)</f>
        <v>37.769199999999998</v>
      </c>
      <c r="L1057" s="81">
        <f>17.8307 * CHOOSE(CONTROL!$C$32, $C$9, 100%, $E$9)</f>
        <v>17.8307</v>
      </c>
      <c r="M1057" s="81">
        <f>17.8343 * CHOOSE(CONTROL!$C$32, $C$9, 100%, $E$9)</f>
        <v>17.834299999999999</v>
      </c>
      <c r="N1057" s="81">
        <f>17.8307 * CHOOSE(CONTROL!$C$32, $C$9, 100%, $E$9)</f>
        <v>17.8307</v>
      </c>
      <c r="O1057" s="81">
        <f>17.8343 * CHOOSE(CONTROL!$C$32, $C$9, 100%, $E$9)</f>
        <v>17.834299999999999</v>
      </c>
    </row>
    <row r="1058" spans="1:15" ht="15" x14ac:dyDescent="0.2">
      <c r="A1058" s="12"/>
      <c r="B1058" s="80"/>
      <c r="C1058" s="80"/>
      <c r="D1058" s="80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</row>
    <row r="1059" spans="1:15" ht="15" x14ac:dyDescent="0.2">
      <c r="A1059" s="11">
        <v>2014</v>
      </c>
      <c r="B1059" s="80">
        <f t="shared" ref="B1059:O1059" si="0">AVERAGE(B14:B25)</f>
        <v>2.365497721063452</v>
      </c>
      <c r="C1059" s="80">
        <f t="shared" si="0"/>
        <v>2.3576910984848483</v>
      </c>
      <c r="D1059" s="80">
        <f t="shared" si="0"/>
        <v>2.4043505151515152</v>
      </c>
      <c r="E1059" s="80">
        <f t="shared" si="0"/>
        <v>3.4605737242062751</v>
      </c>
      <c r="F1059" s="80">
        <f t="shared" si="0"/>
        <v>3.3780690677966105</v>
      </c>
      <c r="G1059" s="80">
        <f t="shared" si="0"/>
        <v>3.3935644844632775</v>
      </c>
      <c r="H1059" s="80">
        <f t="shared" si="0"/>
        <v>5.8732191966897451</v>
      </c>
      <c r="I1059" s="80">
        <f t="shared" si="0"/>
        <v>5.8887062800230767</v>
      </c>
      <c r="J1059" s="80">
        <f t="shared" si="0"/>
        <v>5.8732191966897451</v>
      </c>
      <c r="K1059" s="80">
        <f t="shared" si="0"/>
        <v>5.8887062800230767</v>
      </c>
      <c r="L1059" s="80">
        <f t="shared" si="0"/>
        <v>3.4605737242062751</v>
      </c>
      <c r="M1059" s="80">
        <f t="shared" si="0"/>
        <v>3.4760524742062753</v>
      </c>
      <c r="N1059" s="80">
        <f t="shared" si="0"/>
        <v>3.4605737242062751</v>
      </c>
      <c r="O1059" s="80">
        <f t="shared" si="0"/>
        <v>3.4760524742062753</v>
      </c>
    </row>
    <row r="1060" spans="1:15" ht="15" x14ac:dyDescent="0.2">
      <c r="A1060" s="11">
        <v>2015</v>
      </c>
      <c r="B1060" s="80">
        <f t="shared" ref="B1060:O1060" si="1">AVERAGE(B26:B37)</f>
        <v>2.483975</v>
      </c>
      <c r="C1060" s="80">
        <f t="shared" si="1"/>
        <v>2.483975</v>
      </c>
      <c r="D1060" s="80">
        <f t="shared" si="1"/>
        <v>2.485233333333333</v>
      </c>
      <c r="E1060" s="80">
        <f t="shared" si="1"/>
        <v>3.8020250000000004</v>
      </c>
      <c r="F1060" s="80">
        <f t="shared" si="1"/>
        <v>3.5835999999999992</v>
      </c>
      <c r="G1060" s="80">
        <f t="shared" si="1"/>
        <v>3.5879083333333335</v>
      </c>
      <c r="H1060" s="80">
        <f t="shared" si="1"/>
        <v>6.0330166666666676</v>
      </c>
      <c r="I1060" s="80">
        <f t="shared" si="1"/>
        <v>6.0373250000000018</v>
      </c>
      <c r="J1060" s="80">
        <f t="shared" si="1"/>
        <v>6.0330166666666676</v>
      </c>
      <c r="K1060" s="80">
        <f t="shared" si="1"/>
        <v>6.0373250000000018</v>
      </c>
      <c r="L1060" s="80">
        <f t="shared" si="1"/>
        <v>3.8020250000000004</v>
      </c>
      <c r="M1060" s="80">
        <f t="shared" si="1"/>
        <v>3.8063333333333329</v>
      </c>
      <c r="N1060" s="80">
        <f t="shared" si="1"/>
        <v>3.8020250000000004</v>
      </c>
      <c r="O1060" s="80">
        <f t="shared" si="1"/>
        <v>3.8063333333333329</v>
      </c>
    </row>
    <row r="1061" spans="1:15" ht="15" x14ac:dyDescent="0.2">
      <c r="A1061" s="11">
        <v>2016</v>
      </c>
      <c r="B1061" s="80">
        <f t="shared" ref="B1061:O1061" si="2">AVERAGE(B38:B49)</f>
        <v>3.2759166666666668</v>
      </c>
      <c r="C1061" s="80">
        <f t="shared" si="2"/>
        <v>3.2759166666666668</v>
      </c>
      <c r="D1061" s="80">
        <f t="shared" si="2"/>
        <v>3.2771833333333338</v>
      </c>
      <c r="E1061" s="80">
        <f t="shared" si="2"/>
        <v>3.9337</v>
      </c>
      <c r="F1061" s="80">
        <f t="shared" si="2"/>
        <v>3.6856000000000004</v>
      </c>
      <c r="G1061" s="80">
        <f t="shared" si="2"/>
        <v>3.6899083333333333</v>
      </c>
      <c r="H1061" s="80">
        <f t="shared" si="2"/>
        <v>6.185575</v>
      </c>
      <c r="I1061" s="80">
        <f t="shared" si="2"/>
        <v>6.189891666666667</v>
      </c>
      <c r="J1061" s="80">
        <f t="shared" si="2"/>
        <v>6.185575</v>
      </c>
      <c r="K1061" s="80">
        <f t="shared" si="2"/>
        <v>6.189891666666667</v>
      </c>
      <c r="L1061" s="80">
        <f t="shared" si="2"/>
        <v>3.9337</v>
      </c>
      <c r="M1061" s="80">
        <f t="shared" si="2"/>
        <v>3.9380083333333329</v>
      </c>
      <c r="N1061" s="80">
        <f t="shared" si="2"/>
        <v>3.9337</v>
      </c>
      <c r="O1061" s="80">
        <f t="shared" si="2"/>
        <v>3.9380083333333329</v>
      </c>
    </row>
    <row r="1062" spans="1:15" ht="15" x14ac:dyDescent="0.2">
      <c r="A1062" s="11">
        <v>2017</v>
      </c>
      <c r="B1062" s="80">
        <f t="shared" ref="B1062:O1062" si="3">AVERAGE(B50:B61)</f>
        <v>3.3130666666666659</v>
      </c>
      <c r="C1062" s="80">
        <f t="shared" si="3"/>
        <v>3.3130666666666659</v>
      </c>
      <c r="D1062" s="80">
        <f t="shared" si="3"/>
        <v>3.3143583333333329</v>
      </c>
      <c r="E1062" s="80">
        <f t="shared" si="3"/>
        <v>3.8792333333333331</v>
      </c>
      <c r="F1062" s="80">
        <f t="shared" si="3"/>
        <v>3.8792333333333331</v>
      </c>
      <c r="G1062" s="80">
        <f t="shared" si="3"/>
        <v>3.8835499999999996</v>
      </c>
      <c r="H1062" s="80">
        <f t="shared" si="3"/>
        <v>6.341991666666666</v>
      </c>
      <c r="I1062" s="80">
        <f t="shared" si="3"/>
        <v>6.346308333333333</v>
      </c>
      <c r="J1062" s="80">
        <f t="shared" si="3"/>
        <v>6.341991666666666</v>
      </c>
      <c r="K1062" s="80">
        <f t="shared" si="3"/>
        <v>6.346308333333333</v>
      </c>
      <c r="L1062" s="80">
        <f t="shared" si="3"/>
        <v>3.8792333333333331</v>
      </c>
      <c r="M1062" s="80">
        <f t="shared" si="3"/>
        <v>3.8835499999999996</v>
      </c>
      <c r="N1062" s="80">
        <f t="shared" si="3"/>
        <v>3.8792333333333331</v>
      </c>
      <c r="O1062" s="80">
        <f t="shared" si="3"/>
        <v>3.8835499999999996</v>
      </c>
    </row>
    <row r="1063" spans="1:15" ht="15" x14ac:dyDescent="0.2">
      <c r="A1063" s="11">
        <v>2018</v>
      </c>
      <c r="B1063" s="80">
        <f t="shared" ref="B1063:O1063" si="4">AVERAGE(B62:B73)</f>
        <v>3.4019250000000003</v>
      </c>
      <c r="C1063" s="80">
        <f t="shared" si="4"/>
        <v>3.4019250000000003</v>
      </c>
      <c r="D1063" s="80">
        <f t="shared" si="4"/>
        <v>3.4032166666666659</v>
      </c>
      <c r="E1063" s="80">
        <f t="shared" si="4"/>
        <v>3.9989833333333333</v>
      </c>
      <c r="F1063" s="80">
        <f t="shared" si="4"/>
        <v>3.9989833333333333</v>
      </c>
      <c r="G1063" s="80">
        <f t="shared" si="4"/>
        <v>4.0033166666666666</v>
      </c>
      <c r="H1063" s="80">
        <f t="shared" si="4"/>
        <v>6.502391666666667</v>
      </c>
      <c r="I1063" s="80">
        <f t="shared" si="4"/>
        <v>6.5066833333333349</v>
      </c>
      <c r="J1063" s="80">
        <f t="shared" si="4"/>
        <v>6.502391666666667</v>
      </c>
      <c r="K1063" s="80">
        <f t="shared" si="4"/>
        <v>6.5066833333333349</v>
      </c>
      <c r="L1063" s="80">
        <f t="shared" si="4"/>
        <v>3.9989833333333333</v>
      </c>
      <c r="M1063" s="80">
        <f t="shared" si="4"/>
        <v>4.0033166666666666</v>
      </c>
      <c r="N1063" s="80">
        <f t="shared" si="4"/>
        <v>3.9989833333333333</v>
      </c>
      <c r="O1063" s="80">
        <f t="shared" si="4"/>
        <v>4.0033166666666666</v>
      </c>
    </row>
    <row r="1064" spans="1:15" ht="15" x14ac:dyDescent="0.2">
      <c r="A1064" s="11">
        <v>2019</v>
      </c>
      <c r="B1064" s="80">
        <f t="shared" ref="B1064:O1064" si="5">AVERAGE(B74:B85)</f>
        <v>3.2222999999999993</v>
      </c>
      <c r="C1064" s="80">
        <f t="shared" si="5"/>
        <v>3.2222999999999993</v>
      </c>
      <c r="D1064" s="80">
        <f t="shared" si="5"/>
        <v>3.2235916666666671</v>
      </c>
      <c r="E1064" s="80">
        <f t="shared" si="5"/>
        <v>4.0889833333333341</v>
      </c>
      <c r="F1064" s="80">
        <f t="shared" si="5"/>
        <v>4.0889833333333341</v>
      </c>
      <c r="G1064" s="80">
        <f t="shared" si="5"/>
        <v>4.0932916666666666</v>
      </c>
      <c r="H1064" s="80">
        <f t="shared" si="5"/>
        <v>6.6668333333333329</v>
      </c>
      <c r="I1064" s="80">
        <f t="shared" si="5"/>
        <v>6.6711416666666663</v>
      </c>
      <c r="J1064" s="80">
        <f t="shared" si="5"/>
        <v>6.6668333333333329</v>
      </c>
      <c r="K1064" s="80">
        <f t="shared" si="5"/>
        <v>6.6711416666666663</v>
      </c>
      <c r="L1064" s="80">
        <f t="shared" si="5"/>
        <v>4.0889833333333341</v>
      </c>
      <c r="M1064" s="80">
        <f t="shared" si="5"/>
        <v>4.0932916666666666</v>
      </c>
      <c r="N1064" s="80">
        <f t="shared" si="5"/>
        <v>4.0889833333333341</v>
      </c>
      <c r="O1064" s="80">
        <f t="shared" si="5"/>
        <v>4.0932916666666666</v>
      </c>
    </row>
    <row r="1065" spans="1:15" ht="15" x14ac:dyDescent="0.2">
      <c r="A1065" s="11">
        <v>2020</v>
      </c>
      <c r="B1065" s="80">
        <f t="shared" ref="B1065:O1065" si="6">AVERAGE(B86:B97)</f>
        <v>3.286566666666666</v>
      </c>
      <c r="C1065" s="80">
        <f t="shared" si="6"/>
        <v>3.286566666666666</v>
      </c>
      <c r="D1065" s="80">
        <f t="shared" si="6"/>
        <v>3.2878583333333329</v>
      </c>
      <c r="E1065" s="80">
        <f t="shared" si="6"/>
        <v>4.1808833333333331</v>
      </c>
      <c r="F1065" s="80">
        <f t="shared" si="6"/>
        <v>4.1808833333333331</v>
      </c>
      <c r="G1065" s="80">
        <f t="shared" si="6"/>
        <v>4.1851916666666664</v>
      </c>
      <c r="H1065" s="80">
        <f t="shared" si="6"/>
        <v>6.8354083333333335</v>
      </c>
      <c r="I1065" s="80">
        <f t="shared" si="6"/>
        <v>6.8397166666666669</v>
      </c>
      <c r="J1065" s="80">
        <f t="shared" si="6"/>
        <v>6.8354083333333335</v>
      </c>
      <c r="K1065" s="80">
        <f t="shared" si="6"/>
        <v>6.8397166666666669</v>
      </c>
      <c r="L1065" s="80">
        <f t="shared" si="6"/>
        <v>4.1808833333333331</v>
      </c>
      <c r="M1065" s="80">
        <f t="shared" si="6"/>
        <v>4.1851916666666664</v>
      </c>
      <c r="N1065" s="80">
        <f t="shared" si="6"/>
        <v>4.1808833333333331</v>
      </c>
      <c r="O1065" s="80">
        <f t="shared" si="6"/>
        <v>4.1851916666666664</v>
      </c>
    </row>
    <row r="1066" spans="1:15" ht="15" x14ac:dyDescent="0.2">
      <c r="A1066" s="11">
        <v>2021</v>
      </c>
      <c r="B1066" s="80">
        <f t="shared" ref="B1066:O1066" si="7">AVERAGE(B98:B109)</f>
        <v>3.3671249999999993</v>
      </c>
      <c r="C1066" s="80">
        <f t="shared" si="7"/>
        <v>3.3671249999999993</v>
      </c>
      <c r="D1066" s="80">
        <f t="shared" si="7"/>
        <v>3.3684250000000002</v>
      </c>
      <c r="E1066" s="80">
        <f t="shared" si="7"/>
        <v>4.2754583333333338</v>
      </c>
      <c r="F1066" s="80">
        <f t="shared" si="7"/>
        <v>4.2754583333333338</v>
      </c>
      <c r="G1066" s="80">
        <f t="shared" si="7"/>
        <v>4.2797916666666671</v>
      </c>
      <c r="H1066" s="80">
        <f t="shared" si="7"/>
        <v>7.008258333333333</v>
      </c>
      <c r="I1066" s="80">
        <f t="shared" si="7"/>
        <v>7.0125666666666673</v>
      </c>
      <c r="J1066" s="80">
        <f t="shared" si="7"/>
        <v>7.008258333333333</v>
      </c>
      <c r="K1066" s="80">
        <f t="shared" si="7"/>
        <v>7.0125666666666673</v>
      </c>
      <c r="L1066" s="80">
        <f t="shared" si="7"/>
        <v>4.2754583333333338</v>
      </c>
      <c r="M1066" s="80">
        <f t="shared" si="7"/>
        <v>4.2797916666666671</v>
      </c>
      <c r="N1066" s="80">
        <f t="shared" si="7"/>
        <v>4.2754583333333338</v>
      </c>
      <c r="O1066" s="80">
        <f t="shared" si="7"/>
        <v>4.2797916666666671</v>
      </c>
    </row>
    <row r="1067" spans="1:15" ht="15" x14ac:dyDescent="0.2">
      <c r="A1067" s="11">
        <v>2022</v>
      </c>
      <c r="B1067" s="80">
        <f t="shared" ref="B1067:O1067" si="8">AVERAGE(B110:B121)</f>
        <v>3.4470750000000003</v>
      </c>
      <c r="C1067" s="80">
        <f t="shared" si="8"/>
        <v>3.4470750000000003</v>
      </c>
      <c r="D1067" s="80">
        <f t="shared" si="8"/>
        <v>3.4483666666666668</v>
      </c>
      <c r="E1067" s="80">
        <f t="shared" si="8"/>
        <v>4.3818083333333337</v>
      </c>
      <c r="F1067" s="80">
        <f t="shared" si="8"/>
        <v>4.3818083333333337</v>
      </c>
      <c r="G1067" s="80">
        <f t="shared" si="8"/>
        <v>4.3861166666666671</v>
      </c>
      <c r="H1067" s="80">
        <f t="shared" si="8"/>
        <v>7.1854833333333339</v>
      </c>
      <c r="I1067" s="80">
        <f t="shared" si="8"/>
        <v>7.1898166666666663</v>
      </c>
      <c r="J1067" s="80">
        <f t="shared" si="8"/>
        <v>7.1854833333333339</v>
      </c>
      <c r="K1067" s="80">
        <f t="shared" si="8"/>
        <v>7.1898166666666663</v>
      </c>
      <c r="L1067" s="80">
        <f t="shared" si="8"/>
        <v>4.3818083333333337</v>
      </c>
      <c r="M1067" s="80">
        <f t="shared" si="8"/>
        <v>4.3861166666666671</v>
      </c>
      <c r="N1067" s="80">
        <f t="shared" si="8"/>
        <v>4.3818083333333337</v>
      </c>
      <c r="O1067" s="80">
        <f t="shared" si="8"/>
        <v>4.3861166666666671</v>
      </c>
    </row>
    <row r="1068" spans="1:15" ht="15" x14ac:dyDescent="0.2">
      <c r="A1068" s="11">
        <v>2023</v>
      </c>
      <c r="B1068" s="80">
        <f t="shared" ref="B1068:O1068" si="9">AVERAGE(B122:B133)</f>
        <v>3.5408249999999994</v>
      </c>
      <c r="C1068" s="80">
        <f t="shared" si="9"/>
        <v>3.5408249999999994</v>
      </c>
      <c r="D1068" s="80">
        <f t="shared" si="9"/>
        <v>3.5421166666666668</v>
      </c>
      <c r="E1068" s="80">
        <f t="shared" si="9"/>
        <v>4.490308333333334</v>
      </c>
      <c r="F1068" s="80">
        <f t="shared" si="9"/>
        <v>4.490308333333334</v>
      </c>
      <c r="G1068" s="80">
        <f t="shared" si="9"/>
        <v>4.4946166666666665</v>
      </c>
      <c r="H1068" s="80">
        <f t="shared" si="9"/>
        <v>7.3672166666666676</v>
      </c>
      <c r="I1068" s="80">
        <f t="shared" si="9"/>
        <v>7.3715333333333328</v>
      </c>
      <c r="J1068" s="80">
        <f t="shared" si="9"/>
        <v>7.3672166666666676</v>
      </c>
      <c r="K1068" s="80">
        <f t="shared" si="9"/>
        <v>7.3715333333333328</v>
      </c>
      <c r="L1068" s="80">
        <f t="shared" si="9"/>
        <v>4.490308333333334</v>
      </c>
      <c r="M1068" s="80">
        <f t="shared" si="9"/>
        <v>4.4946166666666665</v>
      </c>
      <c r="N1068" s="80">
        <f t="shared" si="9"/>
        <v>4.490308333333334</v>
      </c>
      <c r="O1068" s="80">
        <f t="shared" si="9"/>
        <v>4.4946166666666665</v>
      </c>
    </row>
    <row r="1069" spans="1:15" ht="15" x14ac:dyDescent="0.2">
      <c r="A1069" s="11">
        <v>2024</v>
      </c>
      <c r="B1069" s="80">
        <f t="shared" ref="B1069:O1069" si="10">AVERAGE(B134:B145)</f>
        <v>3.6291499999999997</v>
      </c>
      <c r="C1069" s="80">
        <f t="shared" si="10"/>
        <v>3.6291499999999997</v>
      </c>
      <c r="D1069" s="80">
        <f t="shared" si="10"/>
        <v>3.6304500000000002</v>
      </c>
      <c r="E1069" s="80">
        <f t="shared" si="10"/>
        <v>4.6075583333333325</v>
      </c>
      <c r="F1069" s="80">
        <f t="shared" si="10"/>
        <v>4.6075583333333325</v>
      </c>
      <c r="G1069" s="80">
        <f t="shared" si="10"/>
        <v>4.6118500000000004</v>
      </c>
      <c r="H1069" s="80">
        <f t="shared" si="10"/>
        <v>7.553516666666666</v>
      </c>
      <c r="I1069" s="80">
        <f t="shared" si="10"/>
        <v>7.5578333333333338</v>
      </c>
      <c r="J1069" s="80">
        <f t="shared" si="10"/>
        <v>7.553516666666666</v>
      </c>
      <c r="K1069" s="80">
        <f t="shared" si="10"/>
        <v>7.5578333333333338</v>
      </c>
      <c r="L1069" s="80">
        <f t="shared" si="10"/>
        <v>4.6075583333333325</v>
      </c>
      <c r="M1069" s="80">
        <f t="shared" si="10"/>
        <v>4.6118500000000004</v>
      </c>
      <c r="N1069" s="80">
        <f t="shared" si="10"/>
        <v>4.6075583333333325</v>
      </c>
      <c r="O1069" s="80">
        <f t="shared" si="10"/>
        <v>4.6118500000000004</v>
      </c>
    </row>
    <row r="1070" spans="1:15" ht="15" x14ac:dyDescent="0.2">
      <c r="A1070" s="11">
        <v>2025</v>
      </c>
      <c r="B1070" s="80">
        <f t="shared" ref="B1070:O1070" si="11">AVERAGE(B146:B157)</f>
        <v>3.7209500000000002</v>
      </c>
      <c r="C1070" s="80">
        <f t="shared" si="11"/>
        <v>3.7209500000000002</v>
      </c>
      <c r="D1070" s="80">
        <f t="shared" si="11"/>
        <v>3.7222416666666676</v>
      </c>
      <c r="E1070" s="80">
        <f t="shared" si="11"/>
        <v>4.7325583333333325</v>
      </c>
      <c r="F1070" s="80">
        <f t="shared" si="11"/>
        <v>4.7325583333333325</v>
      </c>
      <c r="G1070" s="80">
        <f t="shared" si="11"/>
        <v>4.7368916666666667</v>
      </c>
      <c r="H1070" s="80">
        <f t="shared" si="11"/>
        <v>7.7445166666666667</v>
      </c>
      <c r="I1070" s="80">
        <f t="shared" si="11"/>
        <v>7.7488500000000009</v>
      </c>
      <c r="J1070" s="80">
        <f t="shared" si="11"/>
        <v>7.7445166666666667</v>
      </c>
      <c r="K1070" s="80">
        <f t="shared" si="11"/>
        <v>7.7488500000000009</v>
      </c>
      <c r="L1070" s="80">
        <f t="shared" si="11"/>
        <v>4.7325583333333325</v>
      </c>
      <c r="M1070" s="80">
        <f t="shared" si="11"/>
        <v>4.7368916666666667</v>
      </c>
      <c r="N1070" s="80">
        <f t="shared" si="11"/>
        <v>4.7325583333333325</v>
      </c>
      <c r="O1070" s="80">
        <f t="shared" si="11"/>
        <v>4.7368916666666667</v>
      </c>
    </row>
    <row r="1071" spans="1:15" ht="15" x14ac:dyDescent="0.2">
      <c r="A1071" s="11">
        <v>2026</v>
      </c>
      <c r="B1071" s="80">
        <f t="shared" ref="B1071:O1071" si="12">AVERAGE(B158:B169)</f>
        <v>3.8184083333333336</v>
      </c>
      <c r="C1071" s="80">
        <f t="shared" si="12"/>
        <v>3.8184083333333336</v>
      </c>
      <c r="D1071" s="80">
        <f t="shared" si="12"/>
        <v>3.8196916666666669</v>
      </c>
      <c r="E1071" s="80">
        <f t="shared" si="12"/>
        <v>4.8625583333333324</v>
      </c>
      <c r="F1071" s="80">
        <f t="shared" si="12"/>
        <v>4.8625583333333324</v>
      </c>
      <c r="G1071" s="80">
        <f t="shared" si="12"/>
        <v>4.8668749999999994</v>
      </c>
      <c r="H1071" s="80">
        <f t="shared" si="12"/>
        <v>7.9403749999999995</v>
      </c>
      <c r="I1071" s="80">
        <f t="shared" si="12"/>
        <v>7.9446916666666674</v>
      </c>
      <c r="J1071" s="80">
        <f t="shared" si="12"/>
        <v>7.9403749999999995</v>
      </c>
      <c r="K1071" s="80">
        <f t="shared" si="12"/>
        <v>7.9446916666666674</v>
      </c>
      <c r="L1071" s="80">
        <f t="shared" si="12"/>
        <v>4.8625583333333324</v>
      </c>
      <c r="M1071" s="80">
        <f t="shared" si="12"/>
        <v>4.8668749999999994</v>
      </c>
      <c r="N1071" s="80">
        <f t="shared" si="12"/>
        <v>4.8625583333333324</v>
      </c>
      <c r="O1071" s="80">
        <f t="shared" si="12"/>
        <v>4.8668749999999994</v>
      </c>
    </row>
    <row r="1072" spans="1:15" ht="15" x14ac:dyDescent="0.2">
      <c r="A1072" s="11">
        <v>2027</v>
      </c>
      <c r="B1072" s="80">
        <f t="shared" ref="B1072:O1072" si="13">AVERAGE(B170:B181)</f>
        <v>3.9176666666666669</v>
      </c>
      <c r="C1072" s="80">
        <f t="shared" si="13"/>
        <v>3.9176666666666669</v>
      </c>
      <c r="D1072" s="80">
        <f t="shared" si="13"/>
        <v>3.9189416666666665</v>
      </c>
      <c r="E1072" s="80">
        <f t="shared" si="13"/>
        <v>4.9883083333333325</v>
      </c>
      <c r="F1072" s="80">
        <f t="shared" si="13"/>
        <v>4.9883083333333325</v>
      </c>
      <c r="G1072" s="80">
        <f t="shared" si="13"/>
        <v>4.9926166666666658</v>
      </c>
      <c r="H1072" s="80">
        <f t="shared" si="13"/>
        <v>8.1411750000000023</v>
      </c>
      <c r="I1072" s="80">
        <f t="shared" si="13"/>
        <v>8.1454833333333312</v>
      </c>
      <c r="J1072" s="80">
        <f t="shared" si="13"/>
        <v>8.1411750000000023</v>
      </c>
      <c r="K1072" s="80">
        <f t="shared" si="13"/>
        <v>8.1454833333333312</v>
      </c>
      <c r="L1072" s="80">
        <f t="shared" si="13"/>
        <v>4.9883083333333325</v>
      </c>
      <c r="M1072" s="80">
        <f t="shared" si="13"/>
        <v>4.9926166666666658</v>
      </c>
      <c r="N1072" s="80">
        <f t="shared" si="13"/>
        <v>4.9883083333333325</v>
      </c>
      <c r="O1072" s="80">
        <f t="shared" si="13"/>
        <v>4.9926166666666658</v>
      </c>
    </row>
    <row r="1073" spans="1:15" ht="15" x14ac:dyDescent="0.2">
      <c r="A1073" s="11">
        <v>2028</v>
      </c>
      <c r="B1073" s="80">
        <f t="shared" ref="B1073:O1073" si="14">AVERAGE(B182:B193)</f>
        <v>4.0231749999999984</v>
      </c>
      <c r="C1073" s="80">
        <f t="shared" si="14"/>
        <v>4.0231749999999984</v>
      </c>
      <c r="D1073" s="80">
        <f t="shared" si="14"/>
        <v>4.0244666666666662</v>
      </c>
      <c r="E1073" s="80">
        <f t="shared" si="14"/>
        <v>5.121858333333333</v>
      </c>
      <c r="F1073" s="80">
        <f t="shared" si="14"/>
        <v>5.121858333333333</v>
      </c>
      <c r="G1073" s="80">
        <f t="shared" si="14"/>
        <v>5.1261666666666663</v>
      </c>
      <c r="H1073" s="80">
        <f t="shared" si="14"/>
        <v>8.3470499999999994</v>
      </c>
      <c r="I1073" s="80">
        <f t="shared" si="14"/>
        <v>8.3513750000000009</v>
      </c>
      <c r="J1073" s="80">
        <f t="shared" si="14"/>
        <v>8.3470499999999994</v>
      </c>
      <c r="K1073" s="80">
        <f t="shared" si="14"/>
        <v>8.3513750000000009</v>
      </c>
      <c r="L1073" s="80">
        <f t="shared" si="14"/>
        <v>5.121858333333333</v>
      </c>
      <c r="M1073" s="80">
        <f t="shared" si="14"/>
        <v>5.1261666666666663</v>
      </c>
      <c r="N1073" s="80">
        <f t="shared" si="14"/>
        <v>5.121858333333333</v>
      </c>
      <c r="O1073" s="80">
        <f t="shared" si="14"/>
        <v>5.1261666666666663</v>
      </c>
    </row>
    <row r="1074" spans="1:15" ht="15" x14ac:dyDescent="0.2">
      <c r="A1074" s="11">
        <v>2029</v>
      </c>
      <c r="B1074" s="80">
        <f t="shared" ref="B1074:O1074" si="15">AVERAGE(B194:B205)</f>
        <v>4.1202916666666676</v>
      </c>
      <c r="C1074" s="80">
        <f t="shared" si="15"/>
        <v>4.1202916666666676</v>
      </c>
      <c r="D1074" s="80">
        <f t="shared" si="15"/>
        <v>4.1215583333333337</v>
      </c>
      <c r="E1074" s="80">
        <f t="shared" si="15"/>
        <v>5.2511833333333335</v>
      </c>
      <c r="F1074" s="80">
        <f t="shared" si="15"/>
        <v>5.2511833333333335</v>
      </c>
      <c r="G1074" s="80">
        <f t="shared" si="15"/>
        <v>5.2554916666666669</v>
      </c>
      <c r="H1074" s="80">
        <f t="shared" si="15"/>
        <v>8.5581250000000022</v>
      </c>
      <c r="I1074" s="80">
        <f t="shared" si="15"/>
        <v>8.5624583333333337</v>
      </c>
      <c r="J1074" s="80">
        <f t="shared" si="15"/>
        <v>8.5581250000000022</v>
      </c>
      <c r="K1074" s="80">
        <f t="shared" si="15"/>
        <v>8.5624583333333337</v>
      </c>
      <c r="L1074" s="80">
        <f t="shared" si="15"/>
        <v>5.2511833333333335</v>
      </c>
      <c r="M1074" s="80">
        <f t="shared" si="15"/>
        <v>5.2554916666666669</v>
      </c>
      <c r="N1074" s="80">
        <f t="shared" si="15"/>
        <v>5.2511833333333335</v>
      </c>
      <c r="O1074" s="80">
        <f t="shared" si="15"/>
        <v>5.2554916666666669</v>
      </c>
    </row>
    <row r="1075" spans="1:15" ht="15" x14ac:dyDescent="0.2">
      <c r="A1075" s="11">
        <v>2030</v>
      </c>
      <c r="B1075" s="80">
        <f t="shared" ref="B1075:O1075" si="16">AVERAGE(B206:B217)</f>
        <v>4.2197500000000003</v>
      </c>
      <c r="C1075" s="80">
        <f t="shared" si="16"/>
        <v>4.2197500000000003</v>
      </c>
      <c r="D1075" s="80">
        <f t="shared" si="16"/>
        <v>4.2210416666666664</v>
      </c>
      <c r="E1075" s="80">
        <f t="shared" si="16"/>
        <v>5.3853833333333334</v>
      </c>
      <c r="F1075" s="80">
        <f t="shared" si="16"/>
        <v>5.3853833333333334</v>
      </c>
      <c r="G1075" s="80">
        <f t="shared" si="16"/>
        <v>5.3897166666666676</v>
      </c>
      <c r="H1075" s="80">
        <f t="shared" si="16"/>
        <v>8.7745666666666651</v>
      </c>
      <c r="I1075" s="80">
        <f t="shared" si="16"/>
        <v>8.7788916666666683</v>
      </c>
      <c r="J1075" s="80">
        <f t="shared" si="16"/>
        <v>8.7745666666666651</v>
      </c>
      <c r="K1075" s="80">
        <f t="shared" si="16"/>
        <v>8.7788916666666683</v>
      </c>
      <c r="L1075" s="80">
        <f t="shared" si="16"/>
        <v>5.3853833333333334</v>
      </c>
      <c r="M1075" s="80">
        <f t="shared" si="16"/>
        <v>5.3897166666666676</v>
      </c>
      <c r="N1075" s="80">
        <f t="shared" si="16"/>
        <v>5.3853833333333334</v>
      </c>
      <c r="O1075" s="80">
        <f t="shared" si="16"/>
        <v>5.3897166666666676</v>
      </c>
    </row>
    <row r="1076" spans="1:15" ht="15" x14ac:dyDescent="0.2">
      <c r="A1076" s="11">
        <v>2031</v>
      </c>
      <c r="B1076" s="80">
        <f t="shared" ref="B1076:O1076" si="17">AVERAGE(B218:B229)</f>
        <v>4.319983333333334</v>
      </c>
      <c r="C1076" s="80">
        <f t="shared" si="17"/>
        <v>4.319983333333334</v>
      </c>
      <c r="D1076" s="80">
        <f t="shared" si="17"/>
        <v>4.321275</v>
      </c>
      <c r="E1076" s="80">
        <f t="shared" si="17"/>
        <v>5.5212583333333329</v>
      </c>
      <c r="F1076" s="80">
        <f t="shared" si="17"/>
        <v>5.5212583333333329</v>
      </c>
      <c r="G1076" s="80">
        <f t="shared" si="17"/>
        <v>5.5255916666666671</v>
      </c>
      <c r="H1076" s="80">
        <f t="shared" si="17"/>
        <v>8.9964666666666648</v>
      </c>
      <c r="I1076" s="80">
        <f t="shared" si="17"/>
        <v>9.0007833333333327</v>
      </c>
      <c r="J1076" s="80">
        <f t="shared" si="17"/>
        <v>8.9964666666666648</v>
      </c>
      <c r="K1076" s="80">
        <f t="shared" si="17"/>
        <v>9.0007833333333327</v>
      </c>
      <c r="L1076" s="80">
        <f t="shared" si="17"/>
        <v>5.5212583333333329</v>
      </c>
      <c r="M1076" s="80">
        <f t="shared" si="17"/>
        <v>5.5255916666666671</v>
      </c>
      <c r="N1076" s="80">
        <f t="shared" si="17"/>
        <v>5.5212583333333329</v>
      </c>
      <c r="O1076" s="80">
        <f t="shared" si="17"/>
        <v>5.5255916666666671</v>
      </c>
    </row>
    <row r="1077" spans="1:15" ht="15" x14ac:dyDescent="0.2">
      <c r="A1077" s="11">
        <v>2032</v>
      </c>
      <c r="B1077" s="80">
        <f t="shared" ref="B1077:O1077" si="18">AVERAGE(B230:B241)</f>
        <v>4.4233666666666664</v>
      </c>
      <c r="C1077" s="80">
        <f t="shared" si="18"/>
        <v>4.4233666666666664</v>
      </c>
      <c r="D1077" s="80">
        <f t="shared" si="18"/>
        <v>4.4246499999999997</v>
      </c>
      <c r="E1077" s="80">
        <f t="shared" si="18"/>
        <v>5.6636583333333341</v>
      </c>
      <c r="F1077" s="80">
        <f t="shared" si="18"/>
        <v>5.6636583333333341</v>
      </c>
      <c r="G1077" s="80">
        <f t="shared" si="18"/>
        <v>5.6679666666666675</v>
      </c>
      <c r="H1077" s="80">
        <f t="shared" si="18"/>
        <v>9.2239583333333339</v>
      </c>
      <c r="I1077" s="80">
        <f t="shared" si="18"/>
        <v>9.2282833333333336</v>
      </c>
      <c r="J1077" s="80">
        <f t="shared" si="18"/>
        <v>9.2239583333333339</v>
      </c>
      <c r="K1077" s="80">
        <f t="shared" si="18"/>
        <v>9.2282833333333336</v>
      </c>
      <c r="L1077" s="80">
        <f t="shared" si="18"/>
        <v>5.6636583333333341</v>
      </c>
      <c r="M1077" s="80">
        <f t="shared" si="18"/>
        <v>5.6679666666666675</v>
      </c>
      <c r="N1077" s="80">
        <f t="shared" si="18"/>
        <v>5.6636583333333341</v>
      </c>
      <c r="O1077" s="80">
        <f t="shared" si="18"/>
        <v>5.6679666666666675</v>
      </c>
    </row>
    <row r="1078" spans="1:15" ht="15" x14ac:dyDescent="0.2">
      <c r="A1078" s="11">
        <v>2033</v>
      </c>
      <c r="B1078" s="80">
        <f t="shared" ref="B1078:O1078" si="19">AVERAGE(B242:B253)</f>
        <v>4.5277250000000011</v>
      </c>
      <c r="C1078" s="80">
        <f t="shared" si="19"/>
        <v>4.5277250000000011</v>
      </c>
      <c r="D1078" s="80">
        <f t="shared" si="19"/>
        <v>4.5290083333333335</v>
      </c>
      <c r="E1078" s="80">
        <f t="shared" si="19"/>
        <v>5.8086833333333336</v>
      </c>
      <c r="F1078" s="80">
        <f t="shared" si="19"/>
        <v>5.8086833333333336</v>
      </c>
      <c r="G1078" s="80">
        <f t="shared" si="19"/>
        <v>5.8129750000000016</v>
      </c>
      <c r="H1078" s="80">
        <f t="shared" si="19"/>
        <v>9.4572083333333321</v>
      </c>
      <c r="I1078" s="80">
        <f t="shared" si="19"/>
        <v>9.4615333333333336</v>
      </c>
      <c r="J1078" s="80">
        <f t="shared" si="19"/>
        <v>9.4572083333333321</v>
      </c>
      <c r="K1078" s="80">
        <f t="shared" si="19"/>
        <v>9.4615333333333336</v>
      </c>
      <c r="L1078" s="80">
        <f t="shared" si="19"/>
        <v>5.8086833333333336</v>
      </c>
      <c r="M1078" s="80">
        <f t="shared" si="19"/>
        <v>5.8129750000000016</v>
      </c>
      <c r="N1078" s="80">
        <f t="shared" si="19"/>
        <v>5.8086833333333336</v>
      </c>
      <c r="O1078" s="80">
        <f t="shared" si="19"/>
        <v>5.8129750000000016</v>
      </c>
    </row>
    <row r="1079" spans="1:15" ht="15" x14ac:dyDescent="0.2">
      <c r="A1079" s="11">
        <v>2034</v>
      </c>
      <c r="B1079" s="80">
        <f t="shared" ref="B1079:O1079" si="20">AVERAGE(B254:B265)</f>
        <v>4.6365749999999997</v>
      </c>
      <c r="C1079" s="80">
        <f t="shared" si="20"/>
        <v>4.6365749999999997</v>
      </c>
      <c r="D1079" s="80">
        <f t="shared" si="20"/>
        <v>4.6378583333333339</v>
      </c>
      <c r="E1079" s="80">
        <f t="shared" si="20"/>
        <v>5.9626083333333346</v>
      </c>
      <c r="F1079" s="80">
        <f t="shared" si="20"/>
        <v>5.9626083333333346</v>
      </c>
      <c r="G1079" s="80">
        <f t="shared" si="20"/>
        <v>5.966941666666667</v>
      </c>
      <c r="H1079" s="80">
        <f t="shared" si="20"/>
        <v>9.6963750000000015</v>
      </c>
      <c r="I1079" s="80">
        <f t="shared" si="20"/>
        <v>9.7006916666666658</v>
      </c>
      <c r="J1079" s="80">
        <f t="shared" si="20"/>
        <v>9.6963750000000015</v>
      </c>
      <c r="K1079" s="80">
        <f t="shared" si="20"/>
        <v>9.7006916666666658</v>
      </c>
      <c r="L1079" s="80">
        <f t="shared" si="20"/>
        <v>5.9626083333333346</v>
      </c>
      <c r="M1079" s="80">
        <f t="shared" si="20"/>
        <v>5.966941666666667</v>
      </c>
      <c r="N1079" s="80">
        <f t="shared" si="20"/>
        <v>5.9626083333333346</v>
      </c>
      <c r="O1079" s="80">
        <f t="shared" si="20"/>
        <v>5.966941666666667</v>
      </c>
    </row>
    <row r="1080" spans="1:15" ht="15" x14ac:dyDescent="0.2">
      <c r="A1080" s="11">
        <v>2035</v>
      </c>
      <c r="B1080" s="80">
        <f t="shared" ref="B1080:O1080" si="21">AVERAGE(B266:B277)</f>
        <v>4.7452499999999995</v>
      </c>
      <c r="C1080" s="80">
        <f t="shared" si="21"/>
        <v>4.7452499999999995</v>
      </c>
      <c r="D1080" s="80">
        <f t="shared" si="21"/>
        <v>4.7465333333333337</v>
      </c>
      <c r="E1080" s="80">
        <f t="shared" si="21"/>
        <v>6.2283083333333344</v>
      </c>
      <c r="F1080" s="80">
        <f t="shared" si="21"/>
        <v>6.2283083333333344</v>
      </c>
      <c r="G1080" s="80">
        <f t="shared" si="21"/>
        <v>6.2326249999999996</v>
      </c>
      <c r="H1080" s="80">
        <f t="shared" si="21"/>
        <v>9.9415916666666675</v>
      </c>
      <c r="I1080" s="80">
        <f t="shared" si="21"/>
        <v>9.9459083333333336</v>
      </c>
      <c r="J1080" s="80">
        <f t="shared" si="21"/>
        <v>9.9415916666666675</v>
      </c>
      <c r="K1080" s="80">
        <f t="shared" si="21"/>
        <v>9.9459083333333336</v>
      </c>
      <c r="L1080" s="80">
        <f t="shared" si="21"/>
        <v>6.2283083333333344</v>
      </c>
      <c r="M1080" s="80">
        <f t="shared" si="21"/>
        <v>6.2326249999999996</v>
      </c>
      <c r="N1080" s="80">
        <f t="shared" si="21"/>
        <v>6.2283083333333344</v>
      </c>
      <c r="O1080" s="80">
        <f t="shared" si="21"/>
        <v>6.2326249999999996</v>
      </c>
    </row>
    <row r="1081" spans="1:15" ht="15" x14ac:dyDescent="0.2">
      <c r="A1081" s="11">
        <v>2036</v>
      </c>
      <c r="B1081" s="80">
        <f t="shared" ref="B1081:O1081" si="22">AVERAGE(B278:B289)</f>
        <v>4.8552916666666661</v>
      </c>
      <c r="C1081" s="80">
        <f t="shared" si="22"/>
        <v>4.8552916666666661</v>
      </c>
      <c r="D1081" s="80">
        <f t="shared" si="22"/>
        <v>4.8565666666666667</v>
      </c>
      <c r="E1081" s="80">
        <f t="shared" si="22"/>
        <v>6.4622250000000001</v>
      </c>
      <c r="F1081" s="80">
        <f t="shared" si="22"/>
        <v>6.4622250000000001</v>
      </c>
      <c r="G1081" s="80">
        <f t="shared" si="22"/>
        <v>6.4665333333333317</v>
      </c>
      <c r="H1081" s="80">
        <f t="shared" si="22"/>
        <v>10.192983333333334</v>
      </c>
      <c r="I1081" s="80">
        <f t="shared" si="22"/>
        <v>10.197316666666667</v>
      </c>
      <c r="J1081" s="80">
        <f t="shared" si="22"/>
        <v>10.192983333333334</v>
      </c>
      <c r="K1081" s="80">
        <f t="shared" si="22"/>
        <v>10.197316666666667</v>
      </c>
      <c r="L1081" s="80">
        <f t="shared" si="22"/>
        <v>6.4622250000000001</v>
      </c>
      <c r="M1081" s="80">
        <f t="shared" si="22"/>
        <v>6.4665333333333317</v>
      </c>
      <c r="N1081" s="80">
        <f t="shared" si="22"/>
        <v>6.4622250000000001</v>
      </c>
      <c r="O1081" s="80">
        <f t="shared" si="22"/>
        <v>6.4665333333333317</v>
      </c>
    </row>
    <row r="1082" spans="1:15" ht="15" x14ac:dyDescent="0.2">
      <c r="A1082" s="11">
        <v>2037</v>
      </c>
      <c r="B1082" s="80">
        <f t="shared" ref="B1082:O1082" si="23">AVERAGE(B290:B301)</f>
        <v>4.964783333333334</v>
      </c>
      <c r="C1082" s="80">
        <f t="shared" si="23"/>
        <v>4.964783333333334</v>
      </c>
      <c r="D1082" s="80">
        <f t="shared" si="23"/>
        <v>4.9660833333333327</v>
      </c>
      <c r="E1082" s="80">
        <f t="shared" si="23"/>
        <v>6.5224749999999991</v>
      </c>
      <c r="F1082" s="80">
        <f t="shared" si="23"/>
        <v>6.5224749999999991</v>
      </c>
      <c r="G1082" s="80">
        <f t="shared" si="23"/>
        <v>6.5267833333333343</v>
      </c>
      <c r="H1082" s="80">
        <f t="shared" si="23"/>
        <v>10.450766666666667</v>
      </c>
      <c r="I1082" s="80">
        <f t="shared" si="23"/>
        <v>10.455083333333334</v>
      </c>
      <c r="J1082" s="80">
        <f t="shared" si="23"/>
        <v>10.450766666666667</v>
      </c>
      <c r="K1082" s="80">
        <f t="shared" si="23"/>
        <v>10.455083333333334</v>
      </c>
      <c r="L1082" s="80">
        <f t="shared" si="23"/>
        <v>6.5224749999999991</v>
      </c>
      <c r="M1082" s="80">
        <f t="shared" si="23"/>
        <v>6.5267833333333343</v>
      </c>
      <c r="N1082" s="80">
        <f t="shared" si="23"/>
        <v>6.5224749999999991</v>
      </c>
      <c r="O1082" s="80">
        <f t="shared" si="23"/>
        <v>6.5267833333333343</v>
      </c>
    </row>
    <row r="1083" spans="1:15" ht="15" x14ac:dyDescent="0.2">
      <c r="A1083" s="11">
        <v>2038</v>
      </c>
      <c r="B1083" s="80">
        <f t="shared" ref="B1083:O1083" si="24">AVERAGE(B302:B313)</f>
        <v>5.078008333333333</v>
      </c>
      <c r="C1083" s="80">
        <f t="shared" si="24"/>
        <v>5.078008333333333</v>
      </c>
      <c r="D1083" s="80">
        <f t="shared" si="24"/>
        <v>5.0792916666666663</v>
      </c>
      <c r="E1083" s="80">
        <f t="shared" si="24"/>
        <v>6.5534166666666671</v>
      </c>
      <c r="F1083" s="80">
        <f t="shared" si="24"/>
        <v>6.5534166666666671</v>
      </c>
      <c r="G1083" s="80">
        <f t="shared" si="24"/>
        <v>6.5577499999999995</v>
      </c>
      <c r="H1083" s="80">
        <f t="shared" si="24"/>
        <v>10.71505</v>
      </c>
      <c r="I1083" s="80">
        <f t="shared" si="24"/>
        <v>10.719358333333332</v>
      </c>
      <c r="J1083" s="80">
        <f t="shared" si="24"/>
        <v>10.71505</v>
      </c>
      <c r="K1083" s="80">
        <f t="shared" si="24"/>
        <v>10.719358333333332</v>
      </c>
      <c r="L1083" s="80">
        <f t="shared" si="24"/>
        <v>6.5534166666666671</v>
      </c>
      <c r="M1083" s="80">
        <f t="shared" si="24"/>
        <v>6.5577499999999995</v>
      </c>
      <c r="N1083" s="80">
        <f t="shared" si="24"/>
        <v>6.5534166666666671</v>
      </c>
      <c r="O1083" s="80">
        <f t="shared" si="24"/>
        <v>6.5577499999999995</v>
      </c>
    </row>
    <row r="1084" spans="1:15" ht="15" x14ac:dyDescent="0.2">
      <c r="A1084" s="11">
        <v>2039</v>
      </c>
      <c r="B1084" s="80">
        <f t="shared" ref="B1084:O1084" si="25">AVERAGE(B314:B325)</f>
        <v>5.1910833333333333</v>
      </c>
      <c r="C1084" s="80">
        <f t="shared" si="25"/>
        <v>5.1910833333333333</v>
      </c>
      <c r="D1084" s="80">
        <f t="shared" si="25"/>
        <v>5.1923583333333339</v>
      </c>
      <c r="E1084" s="80">
        <f t="shared" si="25"/>
        <v>6.5795250000000003</v>
      </c>
      <c r="F1084" s="80">
        <f t="shared" si="25"/>
        <v>6.5795250000000003</v>
      </c>
      <c r="G1084" s="80">
        <f t="shared" si="25"/>
        <v>6.5838416666666655</v>
      </c>
      <c r="H1084" s="80">
        <f t="shared" si="25"/>
        <v>10.986008333333332</v>
      </c>
      <c r="I1084" s="80">
        <f t="shared" si="25"/>
        <v>10.990325</v>
      </c>
      <c r="J1084" s="80">
        <f t="shared" si="25"/>
        <v>10.986008333333332</v>
      </c>
      <c r="K1084" s="80">
        <f t="shared" si="25"/>
        <v>10.990325</v>
      </c>
      <c r="L1084" s="80">
        <f t="shared" si="25"/>
        <v>6.5795250000000003</v>
      </c>
      <c r="M1084" s="80">
        <f t="shared" si="25"/>
        <v>6.5838416666666655</v>
      </c>
      <c r="N1084" s="80">
        <f t="shared" si="25"/>
        <v>6.5795250000000003</v>
      </c>
      <c r="O1084" s="80">
        <f t="shared" si="25"/>
        <v>6.5838416666666655</v>
      </c>
    </row>
    <row r="1085" spans="1:15" ht="15" x14ac:dyDescent="0.2">
      <c r="A1085" s="11">
        <v>2040</v>
      </c>
      <c r="B1085" s="80">
        <f t="shared" ref="B1085:O1085" si="26">AVERAGE(B326:B337)</f>
        <v>5.3088083333333334</v>
      </c>
      <c r="C1085" s="80">
        <f t="shared" si="26"/>
        <v>5.3088083333333334</v>
      </c>
      <c r="D1085" s="80">
        <f t="shared" si="26"/>
        <v>5.3100916666666675</v>
      </c>
      <c r="E1085" s="80">
        <f t="shared" si="26"/>
        <v>6.6098166666666671</v>
      </c>
      <c r="F1085" s="80">
        <f t="shared" si="26"/>
        <v>6.6098166666666671</v>
      </c>
      <c r="G1085" s="80">
        <f t="shared" si="26"/>
        <v>6.6141166666666669</v>
      </c>
      <c r="H1085" s="80">
        <f t="shared" si="26"/>
        <v>11.263824999999999</v>
      </c>
      <c r="I1085" s="80">
        <f t="shared" si="26"/>
        <v>11.268150000000004</v>
      </c>
      <c r="J1085" s="80">
        <f t="shared" si="26"/>
        <v>11.263824999999999</v>
      </c>
      <c r="K1085" s="80">
        <f t="shared" si="26"/>
        <v>11.268150000000004</v>
      </c>
      <c r="L1085" s="80">
        <f t="shared" si="26"/>
        <v>6.6098166666666671</v>
      </c>
      <c r="M1085" s="80">
        <f t="shared" si="26"/>
        <v>6.6141166666666669</v>
      </c>
      <c r="N1085" s="80">
        <f t="shared" si="26"/>
        <v>6.6098166666666671</v>
      </c>
      <c r="O1085" s="80">
        <f t="shared" si="26"/>
        <v>6.6141166666666669</v>
      </c>
    </row>
    <row r="1086" spans="1:15" ht="15" x14ac:dyDescent="0.2">
      <c r="A1086" s="11">
        <v>2041</v>
      </c>
      <c r="B1086" s="80">
        <f t="shared" ref="B1086:O1086" si="27">AVERAGE(B338:B349)</f>
        <v>5.4292249999999989</v>
      </c>
      <c r="C1086" s="80">
        <f t="shared" si="27"/>
        <v>5.4292249999999989</v>
      </c>
      <c r="D1086" s="80">
        <f t="shared" si="27"/>
        <v>5.430483333333334</v>
      </c>
      <c r="E1086" s="80">
        <f t="shared" si="27"/>
        <v>6.6440333333333328</v>
      </c>
      <c r="F1086" s="80">
        <f t="shared" si="27"/>
        <v>6.6440333333333328</v>
      </c>
      <c r="G1086" s="80">
        <f t="shared" si="27"/>
        <v>6.6483583333333343</v>
      </c>
      <c r="H1086" s="80">
        <f t="shared" si="27"/>
        <v>11.548666666666668</v>
      </c>
      <c r="I1086" s="80">
        <f t="shared" si="27"/>
        <v>11.552999999999999</v>
      </c>
      <c r="J1086" s="80">
        <f t="shared" si="27"/>
        <v>11.548666666666668</v>
      </c>
      <c r="K1086" s="80">
        <f t="shared" si="27"/>
        <v>11.552999999999999</v>
      </c>
      <c r="L1086" s="80">
        <f t="shared" si="27"/>
        <v>6.6440333333333328</v>
      </c>
      <c r="M1086" s="80">
        <f t="shared" si="27"/>
        <v>6.6483583333333343</v>
      </c>
      <c r="N1086" s="80">
        <f t="shared" si="27"/>
        <v>6.6440333333333328</v>
      </c>
      <c r="O1086" s="80">
        <f t="shared" si="27"/>
        <v>6.6483583333333343</v>
      </c>
    </row>
    <row r="1087" spans="1:15" ht="15" x14ac:dyDescent="0.2">
      <c r="A1087" s="11">
        <v>2042</v>
      </c>
      <c r="B1087" s="80">
        <f t="shared" ref="B1087:O1087" si="28">AVERAGE(B350:B361)</f>
        <v>5.5523500000000006</v>
      </c>
      <c r="C1087" s="80">
        <f t="shared" si="28"/>
        <v>5.5523500000000006</v>
      </c>
      <c r="D1087" s="80">
        <f t="shared" si="28"/>
        <v>5.5536416666666675</v>
      </c>
      <c r="E1087" s="80">
        <f t="shared" si="28"/>
        <v>6.6822333333333335</v>
      </c>
      <c r="F1087" s="80">
        <f t="shared" si="28"/>
        <v>6.6822333333333335</v>
      </c>
      <c r="G1087" s="80">
        <f t="shared" si="28"/>
        <v>6.6865499999999995</v>
      </c>
      <c r="H1087" s="80">
        <f t="shared" si="28"/>
        <v>11.840716666666664</v>
      </c>
      <c r="I1087" s="80">
        <f t="shared" si="28"/>
        <v>11.845033333333333</v>
      </c>
      <c r="J1087" s="80">
        <f t="shared" si="28"/>
        <v>11.840716666666664</v>
      </c>
      <c r="K1087" s="80">
        <f t="shared" si="28"/>
        <v>11.845033333333333</v>
      </c>
      <c r="L1087" s="80">
        <f t="shared" si="28"/>
        <v>6.6822333333333335</v>
      </c>
      <c r="M1087" s="80">
        <f t="shared" si="28"/>
        <v>6.6865499999999995</v>
      </c>
      <c r="N1087" s="80">
        <f t="shared" si="28"/>
        <v>6.6822333333333335</v>
      </c>
      <c r="O1087" s="80">
        <f t="shared" si="28"/>
        <v>6.6865499999999995</v>
      </c>
    </row>
    <row r="1088" spans="1:15" ht="15" x14ac:dyDescent="0.2">
      <c r="A1088" s="11">
        <v>2043</v>
      </c>
      <c r="B1088" s="80">
        <f t="shared" ref="B1088:O1088" si="29">AVERAGE(B362:B373)</f>
        <v>5.6783000000000001</v>
      </c>
      <c r="C1088" s="80">
        <f t="shared" si="29"/>
        <v>5.6783000000000001</v>
      </c>
      <c r="D1088" s="80">
        <f t="shared" si="29"/>
        <v>5.6795749999999998</v>
      </c>
      <c r="E1088" s="80">
        <f t="shared" si="29"/>
        <v>6.72445</v>
      </c>
      <c r="F1088" s="80">
        <f t="shared" si="29"/>
        <v>6.72445</v>
      </c>
      <c r="G1088" s="80">
        <f t="shared" si="29"/>
        <v>6.7287666666666661</v>
      </c>
      <c r="H1088" s="80">
        <f t="shared" si="29"/>
        <v>12.140158333333332</v>
      </c>
      <c r="I1088" s="80">
        <f t="shared" si="29"/>
        <v>12.144483333333334</v>
      </c>
      <c r="J1088" s="80">
        <f t="shared" si="29"/>
        <v>12.140158333333332</v>
      </c>
      <c r="K1088" s="80">
        <f t="shared" si="29"/>
        <v>12.144483333333334</v>
      </c>
      <c r="L1088" s="80">
        <f t="shared" si="29"/>
        <v>6.72445</v>
      </c>
      <c r="M1088" s="80">
        <f t="shared" si="29"/>
        <v>6.7287666666666661</v>
      </c>
      <c r="N1088" s="80">
        <f t="shared" si="29"/>
        <v>6.72445</v>
      </c>
      <c r="O1088" s="80">
        <f t="shared" si="29"/>
        <v>6.7287666666666661</v>
      </c>
    </row>
    <row r="1089" spans="1:15" ht="15" x14ac:dyDescent="0.2">
      <c r="A1089" s="11">
        <v>2044</v>
      </c>
      <c r="B1089" s="80">
        <f t="shared" ref="B1089:O1089" si="30">AVERAGE(B374:B385)</f>
        <v>5.807083333333332</v>
      </c>
      <c r="C1089" s="80">
        <f t="shared" si="30"/>
        <v>5.807083333333332</v>
      </c>
      <c r="D1089" s="80">
        <f t="shared" si="30"/>
        <v>5.8083583333333335</v>
      </c>
      <c r="E1089" s="80">
        <f t="shared" si="30"/>
        <v>6.774516666666667</v>
      </c>
      <c r="F1089" s="80">
        <f t="shared" si="30"/>
        <v>6.774516666666667</v>
      </c>
      <c r="G1089" s="80">
        <f t="shared" si="30"/>
        <v>6.7788249999999985</v>
      </c>
      <c r="H1089" s="80">
        <f t="shared" si="30"/>
        <v>12.447166666666668</v>
      </c>
      <c r="I1089" s="80">
        <f t="shared" si="30"/>
        <v>12.451491666666664</v>
      </c>
      <c r="J1089" s="80">
        <f t="shared" si="30"/>
        <v>12.447166666666668</v>
      </c>
      <c r="K1089" s="80">
        <f t="shared" si="30"/>
        <v>12.451491666666664</v>
      </c>
      <c r="L1089" s="80">
        <f t="shared" si="30"/>
        <v>6.774516666666667</v>
      </c>
      <c r="M1089" s="80">
        <f t="shared" si="30"/>
        <v>6.7788249999999985</v>
      </c>
      <c r="N1089" s="80">
        <f t="shared" si="30"/>
        <v>6.774516666666667</v>
      </c>
      <c r="O1089" s="80">
        <f t="shared" si="30"/>
        <v>6.7788249999999985</v>
      </c>
    </row>
    <row r="1090" spans="1:15" ht="15" x14ac:dyDescent="0.2">
      <c r="A1090" s="11">
        <v>2045</v>
      </c>
      <c r="B1090" s="80">
        <f t="shared" ref="B1090:O1090" si="31">AVERAGE(B386:B397)</f>
        <v>5.9387999999999996</v>
      </c>
      <c r="C1090" s="80">
        <f t="shared" si="31"/>
        <v>5.9387999999999996</v>
      </c>
      <c r="D1090" s="80">
        <f t="shared" si="31"/>
        <v>5.9400916666666665</v>
      </c>
      <c r="E1090" s="80">
        <f t="shared" si="31"/>
        <v>6.8389249999999997</v>
      </c>
      <c r="F1090" s="80">
        <f t="shared" si="31"/>
        <v>6.8389249999999997</v>
      </c>
      <c r="G1090" s="80">
        <f t="shared" si="31"/>
        <v>6.8432416666666676</v>
      </c>
      <c r="H1090" s="80">
        <f t="shared" si="31"/>
        <v>12.761933333333333</v>
      </c>
      <c r="I1090" s="80">
        <f t="shared" si="31"/>
        <v>12.766249999999999</v>
      </c>
      <c r="J1090" s="80">
        <f t="shared" si="31"/>
        <v>12.761933333333333</v>
      </c>
      <c r="K1090" s="80">
        <f t="shared" si="31"/>
        <v>12.766249999999999</v>
      </c>
      <c r="L1090" s="80">
        <f t="shared" si="31"/>
        <v>6.8389249999999997</v>
      </c>
      <c r="M1090" s="80">
        <f t="shared" si="31"/>
        <v>6.8432416666666676</v>
      </c>
      <c r="N1090" s="80">
        <f t="shared" si="31"/>
        <v>6.8389249999999997</v>
      </c>
      <c r="O1090" s="80">
        <f t="shared" si="31"/>
        <v>6.8432416666666676</v>
      </c>
    </row>
    <row r="1091" spans="1:15" ht="15" x14ac:dyDescent="0.2">
      <c r="A1091" s="11">
        <v>2046</v>
      </c>
      <c r="B1091" s="80">
        <f t="shared" ref="B1091:O1091" si="32">AVERAGE(B398:B409)</f>
        <v>6.073525000000001</v>
      </c>
      <c r="C1091" s="80">
        <f t="shared" si="32"/>
        <v>6.073525000000001</v>
      </c>
      <c r="D1091" s="80">
        <f t="shared" si="32"/>
        <v>6.0748083333333343</v>
      </c>
      <c r="E1091" s="80">
        <f t="shared" si="32"/>
        <v>6.9243500000000004</v>
      </c>
      <c r="F1091" s="80">
        <f t="shared" si="32"/>
        <v>6.9243500000000004</v>
      </c>
      <c r="G1091" s="80">
        <f t="shared" si="32"/>
        <v>6.9286583333333338</v>
      </c>
      <c r="H1091" s="80">
        <f t="shared" si="32"/>
        <v>13.084658333333332</v>
      </c>
      <c r="I1091" s="80">
        <f t="shared" si="32"/>
        <v>13.088974999999998</v>
      </c>
      <c r="J1091" s="80">
        <f t="shared" si="32"/>
        <v>13.084658333333332</v>
      </c>
      <c r="K1091" s="80">
        <f t="shared" si="32"/>
        <v>13.088974999999998</v>
      </c>
      <c r="L1091" s="80">
        <f t="shared" si="32"/>
        <v>6.9243500000000004</v>
      </c>
      <c r="M1091" s="80">
        <f t="shared" si="32"/>
        <v>6.9286583333333338</v>
      </c>
      <c r="N1091" s="80">
        <f t="shared" si="32"/>
        <v>6.9243500000000004</v>
      </c>
      <c r="O1091" s="80">
        <f t="shared" si="32"/>
        <v>6.9286583333333338</v>
      </c>
    </row>
    <row r="1092" spans="1:15" ht="15" x14ac:dyDescent="0.2">
      <c r="A1092" s="11">
        <v>2047</v>
      </c>
      <c r="B1092" s="80">
        <f t="shared" ref="B1092:O1092" si="33">AVERAGE(B410:B421)</f>
        <v>6.2112833333333333</v>
      </c>
      <c r="C1092" s="80">
        <f t="shared" si="33"/>
        <v>6.2112833333333333</v>
      </c>
      <c r="D1092" s="80">
        <f t="shared" si="33"/>
        <v>6.2125750000000011</v>
      </c>
      <c r="E1092" s="80">
        <f t="shared" si="33"/>
        <v>7.0300916666666664</v>
      </c>
      <c r="F1092" s="80">
        <f t="shared" si="33"/>
        <v>7.0300916666666664</v>
      </c>
      <c r="G1092" s="80">
        <f t="shared" si="33"/>
        <v>7.0343999999999989</v>
      </c>
      <c r="H1092" s="80">
        <f t="shared" si="33"/>
        <v>13.415558333333335</v>
      </c>
      <c r="I1092" s="80">
        <f t="shared" si="33"/>
        <v>13.419874999999998</v>
      </c>
      <c r="J1092" s="80">
        <f t="shared" si="33"/>
        <v>13.415558333333335</v>
      </c>
      <c r="K1092" s="80">
        <f t="shared" si="33"/>
        <v>13.419874999999998</v>
      </c>
      <c r="L1092" s="80">
        <f t="shared" si="33"/>
        <v>7.0300916666666664</v>
      </c>
      <c r="M1092" s="80">
        <f t="shared" si="33"/>
        <v>7.0343999999999989</v>
      </c>
      <c r="N1092" s="80">
        <f t="shared" si="33"/>
        <v>7.0300916666666664</v>
      </c>
      <c r="O1092" s="80">
        <f t="shared" si="33"/>
        <v>7.0343999999999989</v>
      </c>
    </row>
    <row r="1093" spans="1:15" ht="15" x14ac:dyDescent="0.2">
      <c r="A1093" s="11">
        <v>2048</v>
      </c>
      <c r="B1093" s="80">
        <f t="shared" ref="B1093:O1093" si="34">AVERAGE(B422:B433)</f>
        <v>6.3522166666666671</v>
      </c>
      <c r="C1093" s="80">
        <f t="shared" si="34"/>
        <v>6.3522166666666671</v>
      </c>
      <c r="D1093" s="80">
        <f t="shared" si="34"/>
        <v>6.3534666666666668</v>
      </c>
      <c r="E1093" s="80">
        <f t="shared" si="34"/>
        <v>7.1572916666666666</v>
      </c>
      <c r="F1093" s="80">
        <f t="shared" si="34"/>
        <v>7.1572916666666666</v>
      </c>
      <c r="G1093" s="80">
        <f t="shared" si="34"/>
        <v>7.1615916666666672</v>
      </c>
      <c r="H1093" s="80">
        <f t="shared" si="34"/>
        <v>13.754816666666668</v>
      </c>
      <c r="I1093" s="80">
        <f t="shared" si="34"/>
        <v>13.759133333333336</v>
      </c>
      <c r="J1093" s="80">
        <f t="shared" si="34"/>
        <v>13.754816666666668</v>
      </c>
      <c r="K1093" s="80">
        <f t="shared" si="34"/>
        <v>13.759133333333336</v>
      </c>
      <c r="L1093" s="80">
        <f t="shared" si="34"/>
        <v>7.1572916666666666</v>
      </c>
      <c r="M1093" s="80">
        <f t="shared" si="34"/>
        <v>7.1615916666666672</v>
      </c>
      <c r="N1093" s="80">
        <f t="shared" si="34"/>
        <v>7.1572916666666666</v>
      </c>
      <c r="O1093" s="80">
        <f t="shared" si="34"/>
        <v>7.1615916666666672</v>
      </c>
    </row>
    <row r="1094" spans="1:15" ht="15" x14ac:dyDescent="0.2">
      <c r="A1094" s="11">
        <v>2049</v>
      </c>
      <c r="B1094" s="80">
        <f t="shared" ref="B1094:O1094" si="35">AVERAGE(B434:B445)</f>
        <v>6.4963166666666652</v>
      </c>
      <c r="C1094" s="80">
        <f t="shared" si="35"/>
        <v>6.4963166666666652</v>
      </c>
      <c r="D1094" s="80">
        <f t="shared" si="35"/>
        <v>6.4976000000000012</v>
      </c>
      <c r="E1094" s="80">
        <f t="shared" si="35"/>
        <v>7.3044833333333328</v>
      </c>
      <c r="F1094" s="80">
        <f t="shared" si="35"/>
        <v>7.3044833333333328</v>
      </c>
      <c r="G1094" s="80">
        <f t="shared" si="35"/>
        <v>7.3087833333333334</v>
      </c>
      <c r="H1094" s="80">
        <f t="shared" si="35"/>
        <v>14.102649999999999</v>
      </c>
      <c r="I1094" s="80">
        <f t="shared" si="35"/>
        <v>14.106966666666667</v>
      </c>
      <c r="J1094" s="80">
        <f t="shared" si="35"/>
        <v>14.102649999999999</v>
      </c>
      <c r="K1094" s="80">
        <f t="shared" si="35"/>
        <v>14.106966666666667</v>
      </c>
      <c r="L1094" s="80">
        <f t="shared" si="35"/>
        <v>7.3044833333333328</v>
      </c>
      <c r="M1094" s="80">
        <f t="shared" si="35"/>
        <v>7.3087833333333334</v>
      </c>
      <c r="N1094" s="80">
        <f t="shared" si="35"/>
        <v>7.3044833333333328</v>
      </c>
      <c r="O1094" s="80">
        <f t="shared" si="35"/>
        <v>7.3087833333333334</v>
      </c>
    </row>
    <row r="1095" spans="1:15" ht="15" x14ac:dyDescent="0.2">
      <c r="A1095" s="11">
        <v>2050</v>
      </c>
      <c r="B1095" s="80">
        <f t="shared" ref="B1095:O1095" si="36">AVERAGE(B446:B457)</f>
        <v>6.6436749999999982</v>
      </c>
      <c r="C1095" s="80">
        <f t="shared" si="36"/>
        <v>6.6436749999999982</v>
      </c>
      <c r="D1095" s="80">
        <f t="shared" si="36"/>
        <v>6.6449666666666678</v>
      </c>
      <c r="E1095" s="80">
        <f t="shared" si="36"/>
        <v>7.4640833333333338</v>
      </c>
      <c r="F1095" s="80">
        <f t="shared" si="36"/>
        <v>7.4640833333333338</v>
      </c>
      <c r="G1095" s="80">
        <f t="shared" si="36"/>
        <v>7.4683916666666663</v>
      </c>
      <c r="H1095" s="80">
        <f t="shared" si="36"/>
        <v>14.459291666666667</v>
      </c>
      <c r="I1095" s="80">
        <f t="shared" si="36"/>
        <v>14.463608333333331</v>
      </c>
      <c r="J1095" s="80">
        <f t="shared" si="36"/>
        <v>14.459291666666667</v>
      </c>
      <c r="K1095" s="80">
        <f t="shared" si="36"/>
        <v>14.463608333333331</v>
      </c>
      <c r="L1095" s="80">
        <f t="shared" si="36"/>
        <v>7.4640833333333338</v>
      </c>
      <c r="M1095" s="80">
        <f t="shared" si="36"/>
        <v>7.4683916666666663</v>
      </c>
      <c r="N1095" s="80">
        <f t="shared" si="36"/>
        <v>7.4640833333333338</v>
      </c>
      <c r="O1095" s="80">
        <f t="shared" si="36"/>
        <v>7.4683916666666663</v>
      </c>
    </row>
    <row r="1096" spans="1:15" ht="15" x14ac:dyDescent="0.2">
      <c r="A1096" s="11">
        <v>2051</v>
      </c>
      <c r="B1096" s="80">
        <f t="shared" ref="B1096:O1096" si="37">AVERAGE(B458:B469)</f>
        <v>6.7943916666666659</v>
      </c>
      <c r="C1096" s="80">
        <f t="shared" si="37"/>
        <v>6.7943916666666659</v>
      </c>
      <c r="D1096" s="80">
        <f t="shared" si="37"/>
        <v>6.7957000000000001</v>
      </c>
      <c r="E1096" s="80">
        <f t="shared" si="37"/>
        <v>7.627958333333333</v>
      </c>
      <c r="F1096" s="80">
        <f t="shared" si="37"/>
        <v>7.627958333333333</v>
      </c>
      <c r="G1096" s="80">
        <f t="shared" si="37"/>
        <v>7.6322916666666671</v>
      </c>
      <c r="H1096" s="80">
        <f t="shared" si="37"/>
        <v>14.824925</v>
      </c>
      <c r="I1096" s="80">
        <f t="shared" si="37"/>
        <v>14.82925833333333</v>
      </c>
      <c r="J1096" s="80">
        <f t="shared" si="37"/>
        <v>14.824925</v>
      </c>
      <c r="K1096" s="80">
        <f t="shared" si="37"/>
        <v>14.82925833333333</v>
      </c>
      <c r="L1096" s="80">
        <f t="shared" si="37"/>
        <v>7.627958333333333</v>
      </c>
      <c r="M1096" s="80">
        <f t="shared" si="37"/>
        <v>7.6322916666666671</v>
      </c>
      <c r="N1096" s="80">
        <f t="shared" si="37"/>
        <v>7.627958333333333</v>
      </c>
      <c r="O1096" s="80">
        <f t="shared" si="37"/>
        <v>7.6322916666666671</v>
      </c>
    </row>
    <row r="1097" spans="1:15" ht="15" x14ac:dyDescent="0.2">
      <c r="A1097" s="11">
        <v>2052</v>
      </c>
      <c r="B1097" s="80">
        <f t="shared" ref="B1097:O1097" si="38">AVERAGE(B470:B481)</f>
        <v>6.9485583333333336</v>
      </c>
      <c r="C1097" s="80">
        <f t="shared" si="38"/>
        <v>6.9485583333333336</v>
      </c>
      <c r="D1097" s="80">
        <f t="shared" si="38"/>
        <v>6.9498499999999988</v>
      </c>
      <c r="E1097" s="80">
        <f t="shared" si="38"/>
        <v>7.7962999999999996</v>
      </c>
      <c r="F1097" s="80">
        <f t="shared" si="38"/>
        <v>7.7962999999999996</v>
      </c>
      <c r="G1097" s="80">
        <f t="shared" si="38"/>
        <v>7.8006083333333338</v>
      </c>
      <c r="H1097" s="80">
        <f t="shared" si="38"/>
        <v>15.19985</v>
      </c>
      <c r="I1097" s="80">
        <f t="shared" si="38"/>
        <v>15.204166666666671</v>
      </c>
      <c r="J1097" s="80">
        <f t="shared" si="38"/>
        <v>15.19985</v>
      </c>
      <c r="K1097" s="80">
        <f t="shared" si="38"/>
        <v>15.204166666666671</v>
      </c>
      <c r="L1097" s="80">
        <f t="shared" si="38"/>
        <v>7.7962999999999996</v>
      </c>
      <c r="M1097" s="80">
        <f t="shared" si="38"/>
        <v>7.8006083333333338</v>
      </c>
      <c r="N1097" s="80">
        <f t="shared" si="38"/>
        <v>7.7962999999999996</v>
      </c>
      <c r="O1097" s="80">
        <f t="shared" si="38"/>
        <v>7.8006083333333338</v>
      </c>
    </row>
    <row r="1098" spans="1:15" ht="15" x14ac:dyDescent="0.2">
      <c r="A1098" s="11">
        <v>2053</v>
      </c>
      <c r="B1098" s="80">
        <f t="shared" ref="B1098:O1098" si="39">AVERAGE(B482:B493)</f>
        <v>7.1062166666666675</v>
      </c>
      <c r="C1098" s="80">
        <f t="shared" si="39"/>
        <v>7.1062166666666675</v>
      </c>
      <c r="D1098" s="80">
        <f t="shared" si="39"/>
        <v>7.1075000000000008</v>
      </c>
      <c r="E1098" s="80">
        <f t="shared" si="39"/>
        <v>7.9691916666666662</v>
      </c>
      <c r="F1098" s="80">
        <f t="shared" si="39"/>
        <v>7.9691916666666662</v>
      </c>
      <c r="G1098" s="80">
        <f t="shared" si="39"/>
        <v>7.9735166666666659</v>
      </c>
      <c r="H1098" s="80">
        <f t="shared" si="39"/>
        <v>15.584200000000001</v>
      </c>
      <c r="I1098" s="80">
        <f t="shared" si="39"/>
        <v>15.588533333333332</v>
      </c>
      <c r="J1098" s="80">
        <f t="shared" si="39"/>
        <v>15.584200000000001</v>
      </c>
      <c r="K1098" s="80">
        <f t="shared" si="39"/>
        <v>15.588533333333332</v>
      </c>
      <c r="L1098" s="80">
        <f t="shared" si="39"/>
        <v>7.9691916666666662</v>
      </c>
      <c r="M1098" s="80">
        <f t="shared" si="39"/>
        <v>7.9735166666666659</v>
      </c>
      <c r="N1098" s="80">
        <f t="shared" si="39"/>
        <v>7.9691916666666662</v>
      </c>
      <c r="O1098" s="80">
        <f t="shared" si="39"/>
        <v>7.9735166666666659</v>
      </c>
    </row>
    <row r="1099" spans="1:15" ht="15" x14ac:dyDescent="0.2">
      <c r="A1099" s="11">
        <v>2054</v>
      </c>
      <c r="B1099" s="80">
        <f t="shared" ref="B1099:O1099" si="40">AVERAGE(B494:B505)</f>
        <v>7.2674666666666674</v>
      </c>
      <c r="C1099" s="80">
        <f t="shared" si="40"/>
        <v>7.2674666666666674</v>
      </c>
      <c r="D1099" s="80">
        <f t="shared" si="40"/>
        <v>7.2687416666666671</v>
      </c>
      <c r="E1099" s="80">
        <f t="shared" si="40"/>
        <v>8.1467749999999999</v>
      </c>
      <c r="F1099" s="80">
        <f t="shared" si="40"/>
        <v>8.1467749999999999</v>
      </c>
      <c r="G1099" s="80">
        <f t="shared" si="40"/>
        <v>8.151091666666666</v>
      </c>
      <c r="H1099" s="80">
        <f t="shared" si="40"/>
        <v>15.978316666666665</v>
      </c>
      <c r="I1099" s="80">
        <f t="shared" si="40"/>
        <v>15.982641666666666</v>
      </c>
      <c r="J1099" s="80">
        <f t="shared" si="40"/>
        <v>15.978316666666665</v>
      </c>
      <c r="K1099" s="80">
        <f t="shared" si="40"/>
        <v>15.982641666666666</v>
      </c>
      <c r="L1099" s="80">
        <f t="shared" si="40"/>
        <v>8.1467749999999999</v>
      </c>
      <c r="M1099" s="80">
        <f t="shared" si="40"/>
        <v>8.151091666666666</v>
      </c>
      <c r="N1099" s="80">
        <f t="shared" si="40"/>
        <v>8.1467749999999999</v>
      </c>
      <c r="O1099" s="80">
        <f t="shared" si="40"/>
        <v>8.151091666666666</v>
      </c>
    </row>
    <row r="1100" spans="1:15" ht="15" x14ac:dyDescent="0.2">
      <c r="A1100" s="11">
        <v>2055</v>
      </c>
      <c r="B1100" s="80">
        <f t="shared" ref="B1100:O1100" si="41">AVERAGE(B14:B517)</f>
        <v>4.831816810818971</v>
      </c>
      <c r="C1100" s="80">
        <f t="shared" si="41"/>
        <v>4.8316309388528138</v>
      </c>
      <c r="D1100" s="80">
        <f t="shared" si="41"/>
        <v>4.8339952503607506</v>
      </c>
      <c r="E1100" s="80">
        <f t="shared" si="41"/>
        <v>5.8754100886715772</v>
      </c>
      <c r="F1100" s="80">
        <f t="shared" si="41"/>
        <v>5.8623379539951568</v>
      </c>
      <c r="G1100" s="80">
        <f t="shared" si="41"/>
        <v>5.866918598836433</v>
      </c>
      <c r="H1100" s="80">
        <f t="shared" si="41"/>
        <v>10.274006012619598</v>
      </c>
      <c r="I1100" s="80">
        <f t="shared" si="41"/>
        <v>10.278591022540224</v>
      </c>
      <c r="J1100" s="80">
        <f t="shared" si="41"/>
        <v>10.274006012619598</v>
      </c>
      <c r="K1100" s="80">
        <f t="shared" si="41"/>
        <v>10.278591022540224</v>
      </c>
      <c r="L1100" s="80">
        <f t="shared" si="41"/>
        <v>5.8754100886715772</v>
      </c>
      <c r="M1100" s="80">
        <f t="shared" si="41"/>
        <v>5.879990336687456</v>
      </c>
      <c r="N1100" s="80">
        <f t="shared" si="41"/>
        <v>5.8754100886715772</v>
      </c>
      <c r="O1100" s="80">
        <f t="shared" si="41"/>
        <v>5.879990336687456</v>
      </c>
    </row>
    <row r="1101" spans="1:15" ht="15" x14ac:dyDescent="0.2">
      <c r="A1101" s="11">
        <v>2056</v>
      </c>
      <c r="B1101" s="80">
        <f t="shared" ref="B1101:O1101" si="42">AVERAGE(B518:B529)</f>
        <v>7.6010166666666663</v>
      </c>
      <c r="C1101" s="80">
        <f t="shared" si="42"/>
        <v>7.6010166666666663</v>
      </c>
      <c r="D1101" s="80">
        <f t="shared" si="42"/>
        <v>7.6022833333333333</v>
      </c>
      <c r="E1101" s="80">
        <f t="shared" si="42"/>
        <v>8.5165749999999996</v>
      </c>
      <c r="F1101" s="80">
        <f t="shared" si="42"/>
        <v>8.5165749999999996</v>
      </c>
      <c r="G1101" s="80">
        <f t="shared" si="42"/>
        <v>8.5208916666666674</v>
      </c>
      <c r="H1101" s="80">
        <f t="shared" si="42"/>
        <v>16.796683333333334</v>
      </c>
      <c r="I1101" s="80">
        <f t="shared" si="42"/>
        <v>16.800983333333331</v>
      </c>
      <c r="J1101" s="80">
        <f t="shared" si="42"/>
        <v>16.796683333333334</v>
      </c>
      <c r="K1101" s="80">
        <f t="shared" si="42"/>
        <v>16.800983333333331</v>
      </c>
      <c r="L1101" s="80">
        <f t="shared" si="42"/>
        <v>8.5165749999999996</v>
      </c>
      <c r="M1101" s="80">
        <f t="shared" si="42"/>
        <v>8.5208916666666674</v>
      </c>
      <c r="N1101" s="80">
        <f t="shared" si="42"/>
        <v>8.5165749999999996</v>
      </c>
      <c r="O1101" s="80">
        <f t="shared" si="42"/>
        <v>8.5208916666666674</v>
      </c>
    </row>
    <row r="1102" spans="1:15" ht="15" x14ac:dyDescent="0.2">
      <c r="A1102" s="11">
        <v>2057</v>
      </c>
      <c r="B1102" s="80">
        <f t="shared" ref="B1102:O1102" si="43">AVERAGE(B530:B541)</f>
        <v>7.7734750000000012</v>
      </c>
      <c r="C1102" s="80">
        <f t="shared" si="43"/>
        <v>7.7734750000000012</v>
      </c>
      <c r="D1102" s="80">
        <f t="shared" si="43"/>
        <v>7.7747666666666655</v>
      </c>
      <c r="E1102" s="80">
        <f t="shared" si="43"/>
        <v>8.7090916666666676</v>
      </c>
      <c r="F1102" s="80">
        <f t="shared" si="43"/>
        <v>8.7090916666666676</v>
      </c>
      <c r="G1102" s="80">
        <f t="shared" si="43"/>
        <v>8.7134166666666655</v>
      </c>
      <c r="H1102" s="80">
        <f t="shared" si="43"/>
        <v>17.221425</v>
      </c>
      <c r="I1102" s="80">
        <f t="shared" si="43"/>
        <v>17.225741666666668</v>
      </c>
      <c r="J1102" s="80">
        <f t="shared" si="43"/>
        <v>17.221425</v>
      </c>
      <c r="K1102" s="80">
        <f t="shared" si="43"/>
        <v>17.225741666666668</v>
      </c>
      <c r="L1102" s="80">
        <f t="shared" si="43"/>
        <v>8.7090916666666676</v>
      </c>
      <c r="M1102" s="80">
        <f t="shared" si="43"/>
        <v>8.7134166666666655</v>
      </c>
      <c r="N1102" s="80">
        <f t="shared" si="43"/>
        <v>8.7090916666666676</v>
      </c>
      <c r="O1102" s="80">
        <f t="shared" si="43"/>
        <v>8.7134166666666655</v>
      </c>
    </row>
    <row r="1103" spans="1:15" ht="15" x14ac:dyDescent="0.2">
      <c r="A1103" s="11">
        <v>2058</v>
      </c>
      <c r="B1103" s="80">
        <f t="shared" ref="B1103:O1103" si="44">AVERAGE(B542:B553)</f>
        <v>7.9498749999999996</v>
      </c>
      <c r="C1103" s="80">
        <f t="shared" si="44"/>
        <v>7.9498749999999996</v>
      </c>
      <c r="D1103" s="80">
        <f t="shared" si="44"/>
        <v>7.9511750000000019</v>
      </c>
      <c r="E1103" s="80">
        <f t="shared" si="44"/>
        <v>8.9068749999999994</v>
      </c>
      <c r="F1103" s="80">
        <f t="shared" si="44"/>
        <v>8.9068749999999994</v>
      </c>
      <c r="G1103" s="80">
        <f t="shared" si="44"/>
        <v>8.9111916666666673</v>
      </c>
      <c r="H1103" s="80">
        <f t="shared" si="44"/>
        <v>17.656933333333335</v>
      </c>
      <c r="I1103" s="80">
        <f t="shared" si="44"/>
        <v>17.661258333333333</v>
      </c>
      <c r="J1103" s="80">
        <f t="shared" si="44"/>
        <v>17.656933333333335</v>
      </c>
      <c r="K1103" s="80">
        <f t="shared" si="44"/>
        <v>17.661258333333333</v>
      </c>
      <c r="L1103" s="80">
        <f t="shared" si="44"/>
        <v>8.9068749999999994</v>
      </c>
      <c r="M1103" s="80">
        <f t="shared" si="44"/>
        <v>8.9111916666666673</v>
      </c>
      <c r="N1103" s="80">
        <f t="shared" si="44"/>
        <v>8.9068749999999994</v>
      </c>
      <c r="O1103" s="80">
        <f t="shared" si="44"/>
        <v>8.9111916666666673</v>
      </c>
    </row>
    <row r="1104" spans="1:15" ht="15" x14ac:dyDescent="0.2">
      <c r="A1104" s="11">
        <v>2059</v>
      </c>
      <c r="B1104" s="80">
        <f t="shared" ref="B1104:O1104" si="45">AVERAGE(B554:B565)</f>
        <v>8.1302916666666665</v>
      </c>
      <c r="C1104" s="80">
        <f t="shared" si="45"/>
        <v>8.1302916666666665</v>
      </c>
      <c r="D1104" s="80">
        <f t="shared" si="45"/>
        <v>8.1315833333333334</v>
      </c>
      <c r="E1104" s="80">
        <f t="shared" si="45"/>
        <v>9.1100750000000001</v>
      </c>
      <c r="F1104" s="80">
        <f t="shared" si="45"/>
        <v>9.1100750000000001</v>
      </c>
      <c r="G1104" s="80">
        <f t="shared" si="45"/>
        <v>9.1143999999999981</v>
      </c>
      <c r="H1104" s="80">
        <f t="shared" si="45"/>
        <v>18.103449999999999</v>
      </c>
      <c r="I1104" s="80">
        <f t="shared" si="45"/>
        <v>18.107775</v>
      </c>
      <c r="J1104" s="80">
        <f t="shared" si="45"/>
        <v>18.103449999999999</v>
      </c>
      <c r="K1104" s="80">
        <f t="shared" si="45"/>
        <v>18.107775</v>
      </c>
      <c r="L1104" s="80">
        <f t="shared" si="45"/>
        <v>9.1100750000000001</v>
      </c>
      <c r="M1104" s="80">
        <f t="shared" si="45"/>
        <v>9.1143999999999981</v>
      </c>
      <c r="N1104" s="80">
        <f t="shared" si="45"/>
        <v>9.1100750000000001</v>
      </c>
      <c r="O1104" s="80">
        <f t="shared" si="45"/>
        <v>9.1143999999999981</v>
      </c>
    </row>
    <row r="1105" spans="1:15" ht="15" x14ac:dyDescent="0.2">
      <c r="A1105" s="11">
        <v>2060</v>
      </c>
      <c r="B1105" s="80">
        <f t="shared" ref="B1105:O1105" si="46">AVERAGE(B566:B577)</f>
        <v>8.3147999999999982</v>
      </c>
      <c r="C1105" s="80">
        <f t="shared" si="46"/>
        <v>8.3147999999999982</v>
      </c>
      <c r="D1105" s="80">
        <f t="shared" si="46"/>
        <v>8.3160749999999997</v>
      </c>
      <c r="E1105" s="80">
        <f t="shared" si="46"/>
        <v>9.3188999999999993</v>
      </c>
      <c r="F1105" s="80">
        <f t="shared" si="46"/>
        <v>9.3188999999999993</v>
      </c>
      <c r="G1105" s="80">
        <f t="shared" si="46"/>
        <v>9.3232000000000017</v>
      </c>
      <c r="H1105" s="80">
        <f t="shared" si="46"/>
        <v>18.561266666666665</v>
      </c>
      <c r="I1105" s="80">
        <f t="shared" si="46"/>
        <v>18.565583333333333</v>
      </c>
      <c r="J1105" s="80">
        <f t="shared" si="46"/>
        <v>18.561266666666665</v>
      </c>
      <c r="K1105" s="80">
        <f t="shared" si="46"/>
        <v>18.565583333333333</v>
      </c>
      <c r="L1105" s="80">
        <f t="shared" si="46"/>
        <v>9.3188999999999993</v>
      </c>
      <c r="M1105" s="80">
        <f t="shared" si="46"/>
        <v>9.3232000000000017</v>
      </c>
      <c r="N1105" s="80">
        <f t="shared" si="46"/>
        <v>9.3188999999999993</v>
      </c>
      <c r="O1105" s="80">
        <f t="shared" si="46"/>
        <v>9.3232000000000017</v>
      </c>
    </row>
    <row r="1106" spans="1:15" ht="15" x14ac:dyDescent="0.2">
      <c r="A1106" s="11">
        <v>2061</v>
      </c>
      <c r="B1106" s="80">
        <f t="shared" ref="B1106:O1106" si="47">AVERAGE(B578:B589)</f>
        <v>8.5034916666666671</v>
      </c>
      <c r="C1106" s="80">
        <f t="shared" si="47"/>
        <v>8.5034916666666671</v>
      </c>
      <c r="D1106" s="80">
        <f t="shared" si="47"/>
        <v>8.5047749999999986</v>
      </c>
      <c r="E1106" s="80">
        <f t="shared" si="47"/>
        <v>9.5334583333333338</v>
      </c>
      <c r="F1106" s="80">
        <f t="shared" si="47"/>
        <v>9.5334583333333338</v>
      </c>
      <c r="G1106" s="80">
        <f t="shared" si="47"/>
        <v>9.5377750000000017</v>
      </c>
      <c r="H1106" s="80">
        <f t="shared" si="47"/>
        <v>19.030649999999998</v>
      </c>
      <c r="I1106" s="80">
        <f t="shared" si="47"/>
        <v>19.034975000000003</v>
      </c>
      <c r="J1106" s="80">
        <f t="shared" si="47"/>
        <v>19.030649999999998</v>
      </c>
      <c r="K1106" s="80">
        <f t="shared" si="47"/>
        <v>19.034975000000003</v>
      </c>
      <c r="L1106" s="80">
        <f t="shared" si="47"/>
        <v>9.5334583333333338</v>
      </c>
      <c r="M1106" s="80">
        <f t="shared" si="47"/>
        <v>9.5377750000000017</v>
      </c>
      <c r="N1106" s="80">
        <f t="shared" si="47"/>
        <v>9.5334583333333338</v>
      </c>
      <c r="O1106" s="80">
        <f t="shared" si="47"/>
        <v>9.5377750000000017</v>
      </c>
    </row>
    <row r="1107" spans="1:15" ht="15" x14ac:dyDescent="0.2">
      <c r="A1107" s="11">
        <v>2062</v>
      </c>
      <c r="B1107" s="80">
        <f t="shared" ref="B1107:O1116" ca="1" si="48">AVERAGE(OFFSET(B$590,($A1107-$A$1107)*12,0,12,1))</f>
        <v>8.6921999999999979</v>
      </c>
      <c r="C1107" s="80">
        <f t="shared" ca="1" si="48"/>
        <v>8.6921999999999979</v>
      </c>
      <c r="D1107" s="80">
        <f t="shared" ca="1" si="48"/>
        <v>8.6934833333333348</v>
      </c>
      <c r="E1107" s="80">
        <f t="shared" ca="1" si="48"/>
        <v>9.7480333333333338</v>
      </c>
      <c r="F1107" s="80">
        <f t="shared" ca="1" si="48"/>
        <v>9.7480333333333338</v>
      </c>
      <c r="G1107" s="80">
        <f t="shared" ca="1" si="48"/>
        <v>9.7523500000000016</v>
      </c>
      <c r="H1107" s="80">
        <f t="shared" ca="1" si="48"/>
        <v>19.500033333333331</v>
      </c>
      <c r="I1107" s="80">
        <f t="shared" ca="1" si="48"/>
        <v>19.504333333333332</v>
      </c>
      <c r="J1107" s="80">
        <f t="shared" ca="1" si="48"/>
        <v>19.500033333333331</v>
      </c>
      <c r="K1107" s="80">
        <f t="shared" ca="1" si="48"/>
        <v>19.504333333333332</v>
      </c>
      <c r="L1107" s="80">
        <f t="shared" ca="1" si="48"/>
        <v>9.7480333333333338</v>
      </c>
      <c r="M1107" s="80">
        <f t="shared" ca="1" si="48"/>
        <v>9.7523500000000016</v>
      </c>
      <c r="N1107" s="80">
        <f t="shared" ca="1" si="48"/>
        <v>9.7480333333333338</v>
      </c>
      <c r="O1107" s="80">
        <f t="shared" ca="1" si="48"/>
        <v>9.7523500000000016</v>
      </c>
    </row>
    <row r="1108" spans="1:15" ht="15" x14ac:dyDescent="0.2">
      <c r="A1108" s="11">
        <v>2063</v>
      </c>
      <c r="B1108" s="80">
        <f t="shared" ca="1" si="48"/>
        <v>8.8809083333333341</v>
      </c>
      <c r="C1108" s="80">
        <f t="shared" ca="1" si="48"/>
        <v>8.8809083333333341</v>
      </c>
      <c r="D1108" s="80">
        <f t="shared" ca="1" si="48"/>
        <v>8.8821999999999992</v>
      </c>
      <c r="E1108" s="80">
        <f t="shared" ca="1" si="48"/>
        <v>9.9625916666666665</v>
      </c>
      <c r="F1108" s="80">
        <f t="shared" ca="1" si="48"/>
        <v>9.9625916666666665</v>
      </c>
      <c r="G1108" s="80">
        <f t="shared" ca="1" si="48"/>
        <v>9.9669083333333344</v>
      </c>
      <c r="H1108" s="80">
        <f t="shared" ca="1" si="48"/>
        <v>19.969425000000001</v>
      </c>
      <c r="I1108" s="80">
        <f t="shared" ca="1" si="48"/>
        <v>19.973741666666665</v>
      </c>
      <c r="J1108" s="80">
        <f t="shared" ca="1" si="48"/>
        <v>19.969425000000001</v>
      </c>
      <c r="K1108" s="80">
        <f t="shared" ca="1" si="48"/>
        <v>19.973741666666665</v>
      </c>
      <c r="L1108" s="80">
        <f t="shared" ca="1" si="48"/>
        <v>9.9625916666666665</v>
      </c>
      <c r="M1108" s="80">
        <f t="shared" ca="1" si="48"/>
        <v>9.9669083333333344</v>
      </c>
      <c r="N1108" s="80">
        <f t="shared" ca="1" si="48"/>
        <v>9.9625916666666665</v>
      </c>
      <c r="O1108" s="80">
        <f t="shared" ca="1" si="48"/>
        <v>9.9669083333333344</v>
      </c>
    </row>
    <row r="1109" spans="1:15" ht="15" x14ac:dyDescent="0.2">
      <c r="A1109" s="11">
        <v>2064</v>
      </c>
      <c r="B1109" s="80">
        <f t="shared" ca="1" si="48"/>
        <v>9.0695916666666658</v>
      </c>
      <c r="C1109" s="80">
        <f t="shared" ca="1" si="48"/>
        <v>9.0695916666666658</v>
      </c>
      <c r="D1109" s="80">
        <f t="shared" ca="1" si="48"/>
        <v>9.0708916666666664</v>
      </c>
      <c r="E1109" s="80">
        <f t="shared" ca="1" si="48"/>
        <v>10.177166666666666</v>
      </c>
      <c r="F1109" s="80">
        <f t="shared" ca="1" si="48"/>
        <v>10.177166666666666</v>
      </c>
      <c r="G1109" s="80">
        <f t="shared" ca="1" si="48"/>
        <v>10.181483333333334</v>
      </c>
      <c r="H1109" s="80">
        <f t="shared" ca="1" si="48"/>
        <v>20.438816666666664</v>
      </c>
      <c r="I1109" s="80">
        <f t="shared" ca="1" si="48"/>
        <v>20.443133333333332</v>
      </c>
      <c r="J1109" s="80">
        <f t="shared" ca="1" si="48"/>
        <v>20.438816666666664</v>
      </c>
      <c r="K1109" s="80">
        <f t="shared" ca="1" si="48"/>
        <v>20.443133333333332</v>
      </c>
      <c r="L1109" s="80">
        <f t="shared" ca="1" si="48"/>
        <v>10.177166666666666</v>
      </c>
      <c r="M1109" s="80">
        <f t="shared" ca="1" si="48"/>
        <v>10.181483333333334</v>
      </c>
      <c r="N1109" s="80">
        <f t="shared" ca="1" si="48"/>
        <v>10.177166666666666</v>
      </c>
      <c r="O1109" s="80">
        <f t="shared" ca="1" si="48"/>
        <v>10.181483333333334</v>
      </c>
    </row>
    <row r="1110" spans="1:15" ht="15" x14ac:dyDescent="0.2">
      <c r="A1110" s="11">
        <v>2065</v>
      </c>
      <c r="B1110" s="80">
        <f t="shared" ca="1" si="48"/>
        <v>9.2583083333333338</v>
      </c>
      <c r="C1110" s="80">
        <f t="shared" ca="1" si="48"/>
        <v>9.2583083333333338</v>
      </c>
      <c r="D1110" s="80">
        <f t="shared" ca="1" si="48"/>
        <v>9.2596000000000007</v>
      </c>
      <c r="E1110" s="80">
        <f t="shared" ca="1" si="48"/>
        <v>10.391724999999999</v>
      </c>
      <c r="F1110" s="80">
        <f t="shared" ca="1" si="48"/>
        <v>10.391724999999999</v>
      </c>
      <c r="G1110" s="80">
        <f t="shared" ca="1" si="48"/>
        <v>10.396033333333333</v>
      </c>
      <c r="H1110" s="80">
        <f t="shared" ca="1" si="48"/>
        <v>20.908191666666667</v>
      </c>
      <c r="I1110" s="80">
        <f t="shared" ca="1" si="48"/>
        <v>20.912508333333331</v>
      </c>
      <c r="J1110" s="80">
        <f t="shared" ca="1" si="48"/>
        <v>20.908191666666667</v>
      </c>
      <c r="K1110" s="80">
        <f t="shared" ca="1" si="48"/>
        <v>20.912508333333331</v>
      </c>
      <c r="L1110" s="80">
        <f t="shared" ca="1" si="48"/>
        <v>10.391724999999999</v>
      </c>
      <c r="M1110" s="80">
        <f t="shared" ca="1" si="48"/>
        <v>10.396033333333333</v>
      </c>
      <c r="N1110" s="80">
        <f t="shared" ca="1" si="48"/>
        <v>10.391724999999999</v>
      </c>
      <c r="O1110" s="80">
        <f t="shared" ca="1" si="48"/>
        <v>10.396033333333333</v>
      </c>
    </row>
    <row r="1111" spans="1:15" ht="15" x14ac:dyDescent="0.2">
      <c r="A1111" s="11">
        <v>2066</v>
      </c>
      <c r="B1111" s="80">
        <f t="shared" ca="1" si="48"/>
        <v>9.447000000000001</v>
      </c>
      <c r="C1111" s="80">
        <f t="shared" ca="1" si="48"/>
        <v>9.447000000000001</v>
      </c>
      <c r="D1111" s="80">
        <f t="shared" ca="1" si="48"/>
        <v>9.4483000000000015</v>
      </c>
      <c r="E1111" s="80">
        <f t="shared" ca="1" si="48"/>
        <v>10.606275</v>
      </c>
      <c r="F1111" s="80">
        <f t="shared" ca="1" si="48"/>
        <v>10.606275</v>
      </c>
      <c r="G1111" s="80">
        <f t="shared" ca="1" si="48"/>
        <v>10.610583333333336</v>
      </c>
      <c r="H1111" s="80">
        <f t="shared" ca="1" si="48"/>
        <v>21.377583333333334</v>
      </c>
      <c r="I1111" s="80">
        <f t="shared" ca="1" si="48"/>
        <v>21.381891666666672</v>
      </c>
      <c r="J1111" s="80">
        <f t="shared" ca="1" si="48"/>
        <v>21.377583333333334</v>
      </c>
      <c r="K1111" s="80">
        <f t="shared" ca="1" si="48"/>
        <v>21.381891666666672</v>
      </c>
      <c r="L1111" s="80">
        <f t="shared" ca="1" si="48"/>
        <v>10.606275</v>
      </c>
      <c r="M1111" s="80">
        <f t="shared" ca="1" si="48"/>
        <v>10.610583333333336</v>
      </c>
      <c r="N1111" s="80">
        <f t="shared" ca="1" si="48"/>
        <v>10.606275</v>
      </c>
      <c r="O1111" s="80">
        <f t="shared" ca="1" si="48"/>
        <v>10.610583333333336</v>
      </c>
    </row>
    <row r="1112" spans="1:15" ht="15" x14ac:dyDescent="0.2">
      <c r="A1112" s="11">
        <v>2067</v>
      </c>
      <c r="B1112" s="80">
        <f t="shared" ca="1" si="48"/>
        <v>9.6357083333333335</v>
      </c>
      <c r="C1112" s="80">
        <f t="shared" ca="1" si="48"/>
        <v>9.6357083333333335</v>
      </c>
      <c r="D1112" s="80">
        <f t="shared" ca="1" si="48"/>
        <v>9.6369916666666686</v>
      </c>
      <c r="E1112" s="80">
        <f t="shared" ca="1" si="48"/>
        <v>10.82085</v>
      </c>
      <c r="F1112" s="80">
        <f t="shared" ca="1" si="48"/>
        <v>10.82085</v>
      </c>
      <c r="G1112" s="80">
        <f t="shared" ca="1" si="48"/>
        <v>10.825175000000002</v>
      </c>
      <c r="H1112" s="80">
        <f t="shared" ca="1" si="48"/>
        <v>21.846966666666663</v>
      </c>
      <c r="I1112" s="80">
        <f t="shared" ca="1" si="48"/>
        <v>21.851283333333331</v>
      </c>
      <c r="J1112" s="80">
        <f t="shared" ca="1" si="48"/>
        <v>21.846966666666663</v>
      </c>
      <c r="K1112" s="80">
        <f t="shared" ca="1" si="48"/>
        <v>21.851283333333331</v>
      </c>
      <c r="L1112" s="80">
        <f t="shared" ca="1" si="48"/>
        <v>10.82085</v>
      </c>
      <c r="M1112" s="80">
        <f t="shared" ca="1" si="48"/>
        <v>10.825175000000002</v>
      </c>
      <c r="N1112" s="80">
        <f t="shared" ca="1" si="48"/>
        <v>10.82085</v>
      </c>
      <c r="O1112" s="80">
        <f t="shared" ca="1" si="48"/>
        <v>10.825175000000002</v>
      </c>
    </row>
    <row r="1113" spans="1:15" ht="15" x14ac:dyDescent="0.2">
      <c r="A1113" s="11">
        <v>2068</v>
      </c>
      <c r="B1113" s="80">
        <f t="shared" ca="1" si="48"/>
        <v>9.8244083333333343</v>
      </c>
      <c r="C1113" s="80">
        <f t="shared" ca="1" si="48"/>
        <v>9.8244083333333343</v>
      </c>
      <c r="D1113" s="80">
        <f t="shared" ca="1" si="48"/>
        <v>9.8256916666666658</v>
      </c>
      <c r="E1113" s="80">
        <f t="shared" ca="1" si="48"/>
        <v>11.035424999999998</v>
      </c>
      <c r="F1113" s="80">
        <f t="shared" ca="1" si="48"/>
        <v>11.035424999999998</v>
      </c>
      <c r="G1113" s="80">
        <f t="shared" ca="1" si="48"/>
        <v>11.039733333333333</v>
      </c>
      <c r="H1113" s="80">
        <f t="shared" ca="1" si="48"/>
        <v>22.316350000000003</v>
      </c>
      <c r="I1113" s="80">
        <f t="shared" ca="1" si="48"/>
        <v>22.320666666666668</v>
      </c>
      <c r="J1113" s="80">
        <f t="shared" ca="1" si="48"/>
        <v>22.316350000000003</v>
      </c>
      <c r="K1113" s="80">
        <f t="shared" ca="1" si="48"/>
        <v>22.320666666666668</v>
      </c>
      <c r="L1113" s="80">
        <f t="shared" ca="1" si="48"/>
        <v>11.035424999999998</v>
      </c>
      <c r="M1113" s="80">
        <f t="shared" ca="1" si="48"/>
        <v>11.039733333333333</v>
      </c>
      <c r="N1113" s="80">
        <f t="shared" ca="1" si="48"/>
        <v>11.035424999999998</v>
      </c>
      <c r="O1113" s="80">
        <f t="shared" ca="1" si="48"/>
        <v>11.039733333333333</v>
      </c>
    </row>
    <row r="1114" spans="1:15" ht="15" x14ac:dyDescent="0.2">
      <c r="A1114" s="11">
        <v>2069</v>
      </c>
      <c r="B1114" s="80">
        <f t="shared" ca="1" si="48"/>
        <v>10.013091666666666</v>
      </c>
      <c r="C1114" s="80">
        <f t="shared" ca="1" si="48"/>
        <v>10.013091666666666</v>
      </c>
      <c r="D1114" s="80">
        <f t="shared" ca="1" si="48"/>
        <v>10.014383333333335</v>
      </c>
      <c r="E1114" s="80">
        <f t="shared" ca="1" si="48"/>
        <v>11.249983333333333</v>
      </c>
      <c r="F1114" s="80">
        <f t="shared" ca="1" si="48"/>
        <v>11.249983333333333</v>
      </c>
      <c r="G1114" s="80">
        <f t="shared" ca="1" si="48"/>
        <v>11.254300000000001</v>
      </c>
      <c r="H1114" s="80">
        <f t="shared" ca="1" si="48"/>
        <v>22.785733333333337</v>
      </c>
      <c r="I1114" s="80">
        <f t="shared" ca="1" si="48"/>
        <v>22.790050000000004</v>
      </c>
      <c r="J1114" s="80">
        <f t="shared" ca="1" si="48"/>
        <v>22.785733333333337</v>
      </c>
      <c r="K1114" s="80">
        <f t="shared" ca="1" si="48"/>
        <v>22.790050000000004</v>
      </c>
      <c r="L1114" s="80">
        <f t="shared" ca="1" si="48"/>
        <v>11.249983333333333</v>
      </c>
      <c r="M1114" s="80">
        <f t="shared" ca="1" si="48"/>
        <v>11.254300000000001</v>
      </c>
      <c r="N1114" s="80">
        <f t="shared" ca="1" si="48"/>
        <v>11.249983333333333</v>
      </c>
      <c r="O1114" s="80">
        <f t="shared" ca="1" si="48"/>
        <v>11.254300000000001</v>
      </c>
    </row>
    <row r="1115" spans="1:15" ht="15" x14ac:dyDescent="0.2">
      <c r="A1115" s="11">
        <v>2070</v>
      </c>
      <c r="B1115" s="80">
        <f t="shared" ca="1" si="48"/>
        <v>10.201825000000001</v>
      </c>
      <c r="C1115" s="80">
        <f t="shared" ca="1" si="48"/>
        <v>10.201825000000001</v>
      </c>
      <c r="D1115" s="80">
        <f t="shared" ca="1" si="48"/>
        <v>10.203091666666666</v>
      </c>
      <c r="E1115" s="80">
        <f t="shared" ca="1" si="48"/>
        <v>11.464541666666667</v>
      </c>
      <c r="F1115" s="80">
        <f t="shared" ca="1" si="48"/>
        <v>11.464541666666667</v>
      </c>
      <c r="G1115" s="80">
        <f t="shared" ca="1" si="48"/>
        <v>11.468866666666665</v>
      </c>
      <c r="H1115" s="80">
        <f t="shared" ca="1" si="48"/>
        <v>23.255099999999999</v>
      </c>
      <c r="I1115" s="80">
        <f t="shared" ca="1" si="48"/>
        <v>23.259425000000004</v>
      </c>
      <c r="J1115" s="80">
        <f t="shared" ca="1" si="48"/>
        <v>23.255099999999999</v>
      </c>
      <c r="K1115" s="80">
        <f t="shared" ca="1" si="48"/>
        <v>23.259425000000004</v>
      </c>
      <c r="L1115" s="80">
        <f t="shared" ca="1" si="48"/>
        <v>11.464541666666667</v>
      </c>
      <c r="M1115" s="80">
        <f t="shared" ca="1" si="48"/>
        <v>11.468866666666665</v>
      </c>
      <c r="N1115" s="80">
        <f t="shared" ca="1" si="48"/>
        <v>11.464541666666667</v>
      </c>
      <c r="O1115" s="80">
        <f t="shared" ca="1" si="48"/>
        <v>11.468866666666665</v>
      </c>
    </row>
    <row r="1116" spans="1:15" ht="15" x14ac:dyDescent="0.2">
      <c r="A1116" s="11">
        <v>2071</v>
      </c>
      <c r="B1116" s="80">
        <f t="shared" ca="1" si="48"/>
        <v>10.390508333333333</v>
      </c>
      <c r="C1116" s="80">
        <f t="shared" ca="1" si="48"/>
        <v>10.390508333333333</v>
      </c>
      <c r="D1116" s="80">
        <f t="shared" ca="1" si="48"/>
        <v>10.391791666666666</v>
      </c>
      <c r="E1116" s="80">
        <f t="shared" ca="1" si="48"/>
        <v>11.679108333333334</v>
      </c>
      <c r="F1116" s="80">
        <f t="shared" ca="1" si="48"/>
        <v>11.679108333333334</v>
      </c>
      <c r="G1116" s="80">
        <f t="shared" ca="1" si="48"/>
        <v>11.683416666666668</v>
      </c>
      <c r="H1116" s="80">
        <f t="shared" ca="1" si="48"/>
        <v>23.724491666666669</v>
      </c>
      <c r="I1116" s="80">
        <f t="shared" ca="1" si="48"/>
        <v>23.728808333333333</v>
      </c>
      <c r="J1116" s="80">
        <f t="shared" ca="1" si="48"/>
        <v>23.724491666666669</v>
      </c>
      <c r="K1116" s="80">
        <f t="shared" ca="1" si="48"/>
        <v>23.728808333333333</v>
      </c>
      <c r="L1116" s="80">
        <f t="shared" ca="1" si="48"/>
        <v>11.679108333333334</v>
      </c>
      <c r="M1116" s="80">
        <f t="shared" ca="1" si="48"/>
        <v>11.683416666666668</v>
      </c>
      <c r="N1116" s="80">
        <f t="shared" ca="1" si="48"/>
        <v>11.679108333333334</v>
      </c>
      <c r="O1116" s="80">
        <f t="shared" ca="1" si="48"/>
        <v>11.683416666666668</v>
      </c>
    </row>
    <row r="1117" spans="1:15" ht="15" x14ac:dyDescent="0.2">
      <c r="A1117" s="11">
        <v>2072</v>
      </c>
      <c r="B1117" s="80">
        <f t="shared" ref="B1117:O1126" ca="1" si="49">AVERAGE(OFFSET(B$590,($A1117-$A$1107)*12,0,12,1))</f>
        <v>10.579216666666667</v>
      </c>
      <c r="C1117" s="80">
        <f t="shared" ca="1" si="49"/>
        <v>10.579216666666667</v>
      </c>
      <c r="D1117" s="80">
        <f t="shared" ca="1" si="49"/>
        <v>10.580483333333332</v>
      </c>
      <c r="E1117" s="80">
        <f t="shared" ca="1" si="49"/>
        <v>11.893658333333335</v>
      </c>
      <c r="F1117" s="80">
        <f t="shared" ca="1" si="49"/>
        <v>11.893658333333335</v>
      </c>
      <c r="G1117" s="80">
        <f t="shared" ca="1" si="49"/>
        <v>11.897975000000002</v>
      </c>
      <c r="H1117" s="80">
        <f t="shared" ca="1" si="49"/>
        <v>24.193891666666673</v>
      </c>
      <c r="I1117" s="80">
        <f t="shared" ca="1" si="49"/>
        <v>24.198208333333337</v>
      </c>
      <c r="J1117" s="80">
        <f t="shared" ca="1" si="49"/>
        <v>24.193891666666673</v>
      </c>
      <c r="K1117" s="80">
        <f t="shared" ca="1" si="49"/>
        <v>24.198208333333337</v>
      </c>
      <c r="L1117" s="80">
        <f t="shared" ca="1" si="49"/>
        <v>11.893658333333335</v>
      </c>
      <c r="M1117" s="80">
        <f t="shared" ca="1" si="49"/>
        <v>11.897975000000002</v>
      </c>
      <c r="N1117" s="80">
        <f t="shared" ca="1" si="49"/>
        <v>11.893658333333335</v>
      </c>
      <c r="O1117" s="80">
        <f t="shared" ca="1" si="49"/>
        <v>11.897975000000002</v>
      </c>
    </row>
    <row r="1118" spans="1:15" ht="15" x14ac:dyDescent="0.2">
      <c r="A1118" s="11">
        <v>2073</v>
      </c>
      <c r="B1118" s="80">
        <f t="shared" ca="1" si="49"/>
        <v>10.767916666666666</v>
      </c>
      <c r="C1118" s="80">
        <f t="shared" ca="1" si="49"/>
        <v>10.767916666666666</v>
      </c>
      <c r="D1118" s="80">
        <f t="shared" ca="1" si="49"/>
        <v>10.769191666666666</v>
      </c>
      <c r="E1118" s="80">
        <f t="shared" ca="1" si="49"/>
        <v>12.108233333333333</v>
      </c>
      <c r="F1118" s="80">
        <f t="shared" ca="1" si="49"/>
        <v>12.108233333333333</v>
      </c>
      <c r="G1118" s="80">
        <f t="shared" ca="1" si="49"/>
        <v>12.112566666666666</v>
      </c>
      <c r="H1118" s="80">
        <f t="shared" ca="1" si="49"/>
        <v>24.663283333333336</v>
      </c>
      <c r="I1118" s="80">
        <f t="shared" ca="1" si="49"/>
        <v>24.667608333333334</v>
      </c>
      <c r="J1118" s="80">
        <f t="shared" ca="1" si="49"/>
        <v>24.663283333333336</v>
      </c>
      <c r="K1118" s="80">
        <f t="shared" ca="1" si="49"/>
        <v>24.667608333333334</v>
      </c>
      <c r="L1118" s="80">
        <f t="shared" ca="1" si="49"/>
        <v>12.108233333333333</v>
      </c>
      <c r="M1118" s="80">
        <f t="shared" ca="1" si="49"/>
        <v>12.112566666666666</v>
      </c>
      <c r="N1118" s="80">
        <f t="shared" ca="1" si="49"/>
        <v>12.108233333333333</v>
      </c>
      <c r="O1118" s="80">
        <f t="shared" ca="1" si="49"/>
        <v>12.112566666666666</v>
      </c>
    </row>
    <row r="1119" spans="1:15" ht="15" x14ac:dyDescent="0.2">
      <c r="A1119" s="11">
        <v>2074</v>
      </c>
      <c r="B1119" s="80">
        <f t="shared" ca="1" si="49"/>
        <v>10.956608333333334</v>
      </c>
      <c r="C1119" s="80">
        <f t="shared" ca="1" si="49"/>
        <v>10.956608333333334</v>
      </c>
      <c r="D1119" s="80">
        <f t="shared" ca="1" si="49"/>
        <v>10.9579</v>
      </c>
      <c r="E1119" s="80">
        <f t="shared" ca="1" si="49"/>
        <v>12.322799999999999</v>
      </c>
      <c r="F1119" s="80">
        <f t="shared" ca="1" si="49"/>
        <v>12.322799999999999</v>
      </c>
      <c r="G1119" s="80">
        <f t="shared" ca="1" si="49"/>
        <v>12.327133333333334</v>
      </c>
      <c r="H1119" s="80">
        <f t="shared" ca="1" si="49"/>
        <v>25.132658333333328</v>
      </c>
      <c r="I1119" s="80">
        <f t="shared" ca="1" si="49"/>
        <v>25.13699166666667</v>
      </c>
      <c r="J1119" s="80">
        <f t="shared" ca="1" si="49"/>
        <v>25.132658333333328</v>
      </c>
      <c r="K1119" s="80">
        <f t="shared" ca="1" si="49"/>
        <v>25.13699166666667</v>
      </c>
      <c r="L1119" s="80">
        <f t="shared" ca="1" si="49"/>
        <v>12.322799999999999</v>
      </c>
      <c r="M1119" s="80">
        <f t="shared" ca="1" si="49"/>
        <v>12.327133333333334</v>
      </c>
      <c r="N1119" s="80">
        <f t="shared" ca="1" si="49"/>
        <v>12.322799999999999</v>
      </c>
      <c r="O1119" s="80">
        <f t="shared" ca="1" si="49"/>
        <v>12.327133333333334</v>
      </c>
    </row>
    <row r="1120" spans="1:15" ht="15" x14ac:dyDescent="0.2">
      <c r="A1120" s="11">
        <v>2075</v>
      </c>
      <c r="B1120" s="80">
        <f t="shared" ca="1" si="49"/>
        <v>11.145333333333332</v>
      </c>
      <c r="C1120" s="80">
        <f t="shared" ca="1" si="49"/>
        <v>11.145333333333332</v>
      </c>
      <c r="D1120" s="80">
        <f t="shared" ca="1" si="49"/>
        <v>11.146608333333333</v>
      </c>
      <c r="E1120" s="80">
        <f t="shared" ca="1" si="49"/>
        <v>12.537374999999999</v>
      </c>
      <c r="F1120" s="80">
        <f t="shared" ca="1" si="49"/>
        <v>12.537374999999999</v>
      </c>
      <c r="G1120" s="80">
        <f t="shared" ca="1" si="49"/>
        <v>12.541691666666665</v>
      </c>
      <c r="H1120" s="80">
        <f t="shared" ca="1" si="49"/>
        <v>25.602041666666668</v>
      </c>
      <c r="I1120" s="80">
        <f t="shared" ca="1" si="49"/>
        <v>25.606358333333333</v>
      </c>
      <c r="J1120" s="80">
        <f t="shared" ca="1" si="49"/>
        <v>25.602041666666668</v>
      </c>
      <c r="K1120" s="80">
        <f t="shared" ca="1" si="49"/>
        <v>25.606358333333333</v>
      </c>
      <c r="L1120" s="80">
        <f t="shared" ca="1" si="49"/>
        <v>12.537374999999999</v>
      </c>
      <c r="M1120" s="80">
        <f t="shared" ca="1" si="49"/>
        <v>12.541691666666665</v>
      </c>
      <c r="N1120" s="80">
        <f t="shared" ca="1" si="49"/>
        <v>12.537374999999999</v>
      </c>
      <c r="O1120" s="80">
        <f t="shared" ca="1" si="49"/>
        <v>12.541691666666665</v>
      </c>
    </row>
    <row r="1121" spans="1:15" ht="15" x14ac:dyDescent="0.2">
      <c r="A1121" s="11">
        <v>2076</v>
      </c>
      <c r="B1121" s="80">
        <f t="shared" ca="1" si="49"/>
        <v>11.334016666666665</v>
      </c>
      <c r="C1121" s="80">
        <f t="shared" ca="1" si="49"/>
        <v>11.334016666666665</v>
      </c>
      <c r="D1121" s="80">
        <f t="shared" ca="1" si="49"/>
        <v>11.335308333333332</v>
      </c>
      <c r="E1121" s="80">
        <f t="shared" ca="1" si="49"/>
        <v>12.751941666666667</v>
      </c>
      <c r="F1121" s="80">
        <f t="shared" ca="1" si="49"/>
        <v>12.751941666666667</v>
      </c>
      <c r="G1121" s="80">
        <f t="shared" ca="1" si="49"/>
        <v>12.756258333333333</v>
      </c>
      <c r="H1121" s="80">
        <f t="shared" ca="1" si="49"/>
        <v>26.071433333333331</v>
      </c>
      <c r="I1121" s="80">
        <f t="shared" ca="1" si="49"/>
        <v>26.07576666666667</v>
      </c>
      <c r="J1121" s="80">
        <f t="shared" ca="1" si="49"/>
        <v>26.071433333333331</v>
      </c>
      <c r="K1121" s="80">
        <f t="shared" ca="1" si="49"/>
        <v>26.07576666666667</v>
      </c>
      <c r="L1121" s="80">
        <f t="shared" ca="1" si="49"/>
        <v>12.751941666666667</v>
      </c>
      <c r="M1121" s="80">
        <f t="shared" ca="1" si="49"/>
        <v>12.756258333333333</v>
      </c>
      <c r="N1121" s="80">
        <f t="shared" ca="1" si="49"/>
        <v>12.751941666666667</v>
      </c>
      <c r="O1121" s="80">
        <f t="shared" ca="1" si="49"/>
        <v>12.756258333333333</v>
      </c>
    </row>
    <row r="1122" spans="1:15" ht="15" x14ac:dyDescent="0.2">
      <c r="A1122" s="11">
        <v>2077</v>
      </c>
      <c r="B1122" s="80">
        <f t="shared" ca="1" si="49"/>
        <v>11.522716666666668</v>
      </c>
      <c r="C1122" s="80">
        <f t="shared" ca="1" si="49"/>
        <v>11.522716666666668</v>
      </c>
      <c r="D1122" s="80">
        <f t="shared" ca="1" si="49"/>
        <v>11.523991666666666</v>
      </c>
      <c r="E1122" s="80">
        <f t="shared" ca="1" si="49"/>
        <v>12.966499999999998</v>
      </c>
      <c r="F1122" s="80">
        <f t="shared" ca="1" si="49"/>
        <v>12.966499999999998</v>
      </c>
      <c r="G1122" s="80">
        <f t="shared" ca="1" si="49"/>
        <v>12.970808333333332</v>
      </c>
      <c r="H1122" s="80">
        <f t="shared" ca="1" si="49"/>
        <v>26.540824999999998</v>
      </c>
      <c r="I1122" s="80">
        <f t="shared" ca="1" si="49"/>
        <v>26.545141666666666</v>
      </c>
      <c r="J1122" s="80">
        <f t="shared" ca="1" si="49"/>
        <v>26.540824999999998</v>
      </c>
      <c r="K1122" s="80">
        <f t="shared" ca="1" si="49"/>
        <v>26.545141666666666</v>
      </c>
      <c r="L1122" s="80">
        <f t="shared" ca="1" si="49"/>
        <v>12.966499999999998</v>
      </c>
      <c r="M1122" s="80">
        <f t="shared" ca="1" si="49"/>
        <v>12.970808333333332</v>
      </c>
      <c r="N1122" s="80">
        <f t="shared" ca="1" si="49"/>
        <v>12.966499999999998</v>
      </c>
      <c r="O1122" s="80">
        <f t="shared" ca="1" si="49"/>
        <v>12.970808333333332</v>
      </c>
    </row>
    <row r="1123" spans="1:15" ht="15" x14ac:dyDescent="0.2">
      <c r="A1123" s="11">
        <v>2078</v>
      </c>
      <c r="B1123" s="80">
        <f t="shared" ca="1" si="49"/>
        <v>11.711416666666667</v>
      </c>
      <c r="C1123" s="80">
        <f t="shared" ca="1" si="49"/>
        <v>11.711416666666667</v>
      </c>
      <c r="D1123" s="80">
        <f t="shared" ca="1" si="49"/>
        <v>11.712716666666667</v>
      </c>
      <c r="E1123" s="80">
        <f t="shared" ca="1" si="49"/>
        <v>13.181066666666664</v>
      </c>
      <c r="F1123" s="80">
        <f t="shared" ca="1" si="49"/>
        <v>13.181066666666664</v>
      </c>
      <c r="G1123" s="80">
        <f t="shared" ca="1" si="49"/>
        <v>13.185383333333334</v>
      </c>
      <c r="H1123" s="80">
        <f t="shared" ca="1" si="49"/>
        <v>27.010191666666667</v>
      </c>
      <c r="I1123" s="80">
        <f t="shared" ca="1" si="49"/>
        <v>27.014533333333329</v>
      </c>
      <c r="J1123" s="80">
        <f t="shared" ca="1" si="49"/>
        <v>27.010191666666667</v>
      </c>
      <c r="K1123" s="80">
        <f t="shared" ca="1" si="49"/>
        <v>27.014533333333329</v>
      </c>
      <c r="L1123" s="80">
        <f t="shared" ca="1" si="49"/>
        <v>13.181066666666664</v>
      </c>
      <c r="M1123" s="80">
        <f t="shared" ca="1" si="49"/>
        <v>13.185383333333334</v>
      </c>
      <c r="N1123" s="80">
        <f t="shared" ca="1" si="49"/>
        <v>13.181066666666664</v>
      </c>
      <c r="O1123" s="80">
        <f t="shared" ca="1" si="49"/>
        <v>13.185383333333334</v>
      </c>
    </row>
    <row r="1124" spans="1:15" ht="15" x14ac:dyDescent="0.2">
      <c r="A1124" s="11">
        <v>2079</v>
      </c>
      <c r="B1124" s="80">
        <f t="shared" ca="1" si="49"/>
        <v>11.900108333333334</v>
      </c>
      <c r="C1124" s="80">
        <f t="shared" ca="1" si="49"/>
        <v>11.900108333333334</v>
      </c>
      <c r="D1124" s="80">
        <f t="shared" ca="1" si="49"/>
        <v>11.901408333333334</v>
      </c>
      <c r="E1124" s="80">
        <f t="shared" ca="1" si="49"/>
        <v>13.395650000000002</v>
      </c>
      <c r="F1124" s="80">
        <f t="shared" ca="1" si="49"/>
        <v>13.395650000000002</v>
      </c>
      <c r="G1124" s="80">
        <f t="shared" ca="1" si="49"/>
        <v>13.399958333333336</v>
      </c>
      <c r="H1124" s="80">
        <f t="shared" ca="1" si="49"/>
        <v>27.479583333333334</v>
      </c>
      <c r="I1124" s="80">
        <f t="shared" ca="1" si="49"/>
        <v>27.483916666666669</v>
      </c>
      <c r="J1124" s="80">
        <f t="shared" ca="1" si="49"/>
        <v>27.479583333333334</v>
      </c>
      <c r="K1124" s="80">
        <f t="shared" ca="1" si="49"/>
        <v>27.483916666666669</v>
      </c>
      <c r="L1124" s="80">
        <f t="shared" ca="1" si="49"/>
        <v>13.395650000000002</v>
      </c>
      <c r="M1124" s="80">
        <f t="shared" ca="1" si="49"/>
        <v>13.399958333333336</v>
      </c>
      <c r="N1124" s="80">
        <f t="shared" ca="1" si="49"/>
        <v>13.395650000000002</v>
      </c>
      <c r="O1124" s="80">
        <f t="shared" ca="1" si="49"/>
        <v>13.399958333333336</v>
      </c>
    </row>
    <row r="1125" spans="1:15" ht="15" x14ac:dyDescent="0.2">
      <c r="A1125" s="11">
        <v>2080</v>
      </c>
      <c r="B1125" s="80">
        <f t="shared" ca="1" si="49"/>
        <v>12.088825</v>
      </c>
      <c r="C1125" s="80">
        <f t="shared" ca="1" si="49"/>
        <v>12.088825</v>
      </c>
      <c r="D1125" s="80">
        <f t="shared" ca="1" si="49"/>
        <v>12.090108333333333</v>
      </c>
      <c r="E1125" s="80">
        <f t="shared" ca="1" si="49"/>
        <v>13.610216666666666</v>
      </c>
      <c r="F1125" s="80">
        <f t="shared" ca="1" si="49"/>
        <v>13.610216666666666</v>
      </c>
      <c r="G1125" s="80">
        <f t="shared" ca="1" si="49"/>
        <v>13.614524999999999</v>
      </c>
      <c r="H1125" s="80">
        <f t="shared" ca="1" si="49"/>
        <v>27.948966666666664</v>
      </c>
      <c r="I1125" s="80">
        <f t="shared" ca="1" si="49"/>
        <v>27.953275000000001</v>
      </c>
      <c r="J1125" s="80">
        <f t="shared" ca="1" si="49"/>
        <v>27.948966666666664</v>
      </c>
      <c r="K1125" s="80">
        <f t="shared" ca="1" si="49"/>
        <v>27.953275000000001</v>
      </c>
      <c r="L1125" s="80">
        <f t="shared" ca="1" si="49"/>
        <v>13.610216666666666</v>
      </c>
      <c r="M1125" s="80">
        <f t="shared" ca="1" si="49"/>
        <v>13.614524999999999</v>
      </c>
      <c r="N1125" s="80">
        <f t="shared" ca="1" si="49"/>
        <v>13.610216666666666</v>
      </c>
      <c r="O1125" s="80">
        <f t="shared" ca="1" si="49"/>
        <v>13.614524999999999</v>
      </c>
    </row>
    <row r="1126" spans="1:15" ht="15" x14ac:dyDescent="0.2">
      <c r="A1126" s="11">
        <v>2081</v>
      </c>
      <c r="B1126" s="80">
        <f t="shared" ca="1" si="49"/>
        <v>12.277508333333332</v>
      </c>
      <c r="C1126" s="80">
        <f t="shared" ca="1" si="49"/>
        <v>12.277508333333332</v>
      </c>
      <c r="D1126" s="80">
        <f t="shared" ca="1" si="49"/>
        <v>12.278808333333332</v>
      </c>
      <c r="E1126" s="80">
        <f t="shared" ca="1" si="49"/>
        <v>13.824775000000001</v>
      </c>
      <c r="F1126" s="80">
        <f t="shared" ca="1" si="49"/>
        <v>13.824775000000001</v>
      </c>
      <c r="G1126" s="80">
        <f t="shared" ca="1" si="49"/>
        <v>13.829083333333331</v>
      </c>
      <c r="H1126" s="80">
        <f t="shared" ca="1" si="49"/>
        <v>28.418375000000001</v>
      </c>
      <c r="I1126" s="80">
        <f t="shared" ca="1" si="49"/>
        <v>28.422674999999998</v>
      </c>
      <c r="J1126" s="80">
        <f t="shared" ca="1" si="49"/>
        <v>28.418375000000001</v>
      </c>
      <c r="K1126" s="80">
        <f t="shared" ca="1" si="49"/>
        <v>28.422674999999998</v>
      </c>
      <c r="L1126" s="80">
        <f t="shared" ca="1" si="49"/>
        <v>13.824775000000001</v>
      </c>
      <c r="M1126" s="80">
        <f t="shared" ca="1" si="49"/>
        <v>13.829083333333331</v>
      </c>
      <c r="N1126" s="80">
        <f t="shared" ca="1" si="49"/>
        <v>13.824775000000001</v>
      </c>
      <c r="O1126" s="80">
        <f t="shared" ca="1" si="49"/>
        <v>13.829083333333331</v>
      </c>
    </row>
    <row r="1127" spans="1:15" ht="15" x14ac:dyDescent="0.2">
      <c r="A1127" s="11">
        <v>2082</v>
      </c>
      <c r="B1127" s="80">
        <f t="shared" ref="B1127:O1136" ca="1" si="50">AVERAGE(OFFSET(B$590,($A1127-$A$1107)*12,0,12,1))</f>
        <v>12.466233333333333</v>
      </c>
      <c r="C1127" s="80">
        <f t="shared" ca="1" si="50"/>
        <v>12.466233333333333</v>
      </c>
      <c r="D1127" s="80">
        <f t="shared" ca="1" si="50"/>
        <v>12.467500000000001</v>
      </c>
      <c r="E1127" s="80">
        <f t="shared" ca="1" si="50"/>
        <v>14.039341666666667</v>
      </c>
      <c r="F1127" s="80">
        <f t="shared" ca="1" si="50"/>
        <v>14.039341666666667</v>
      </c>
      <c r="G1127" s="80">
        <f t="shared" ca="1" si="50"/>
        <v>14.043658333333333</v>
      </c>
      <c r="H1127" s="80">
        <f t="shared" ca="1" si="50"/>
        <v>28.887758333333338</v>
      </c>
      <c r="I1127" s="80">
        <f t="shared" ca="1" si="50"/>
        <v>28.892075000000002</v>
      </c>
      <c r="J1127" s="80">
        <f t="shared" ca="1" si="50"/>
        <v>28.887758333333338</v>
      </c>
      <c r="K1127" s="80">
        <f t="shared" ca="1" si="50"/>
        <v>28.892075000000002</v>
      </c>
      <c r="L1127" s="80">
        <f t="shared" ca="1" si="50"/>
        <v>14.039341666666667</v>
      </c>
      <c r="M1127" s="80">
        <f t="shared" ca="1" si="50"/>
        <v>14.043658333333333</v>
      </c>
      <c r="N1127" s="80">
        <f t="shared" ca="1" si="50"/>
        <v>14.039341666666667</v>
      </c>
      <c r="O1127" s="80">
        <f t="shared" ca="1" si="50"/>
        <v>14.043658333333333</v>
      </c>
    </row>
    <row r="1128" spans="1:15" ht="15" x14ac:dyDescent="0.2">
      <c r="A1128" s="11">
        <v>2083</v>
      </c>
      <c r="B1128" s="80">
        <f t="shared" ca="1" si="50"/>
        <v>12.654925</v>
      </c>
      <c r="C1128" s="80">
        <f t="shared" ca="1" si="50"/>
        <v>12.654925</v>
      </c>
      <c r="D1128" s="80">
        <f t="shared" ca="1" si="50"/>
        <v>12.656216666666666</v>
      </c>
      <c r="E1128" s="80">
        <f t="shared" ca="1" si="50"/>
        <v>14.253891666666668</v>
      </c>
      <c r="F1128" s="80">
        <f t="shared" ca="1" si="50"/>
        <v>14.253891666666668</v>
      </c>
      <c r="G1128" s="80">
        <f t="shared" ca="1" si="50"/>
        <v>14.258208333333334</v>
      </c>
      <c r="H1128" s="80">
        <f t="shared" ca="1" si="50"/>
        <v>29.357125000000007</v>
      </c>
      <c r="I1128" s="80">
        <f t="shared" ca="1" si="50"/>
        <v>29.361441666666661</v>
      </c>
      <c r="J1128" s="80">
        <f t="shared" ca="1" si="50"/>
        <v>29.357125000000007</v>
      </c>
      <c r="K1128" s="80">
        <f t="shared" ca="1" si="50"/>
        <v>29.361441666666661</v>
      </c>
      <c r="L1128" s="80">
        <f t="shared" ca="1" si="50"/>
        <v>14.253891666666668</v>
      </c>
      <c r="M1128" s="80">
        <f t="shared" ca="1" si="50"/>
        <v>14.258208333333334</v>
      </c>
      <c r="N1128" s="80">
        <f t="shared" ca="1" si="50"/>
        <v>14.253891666666668</v>
      </c>
      <c r="O1128" s="80">
        <f t="shared" ca="1" si="50"/>
        <v>14.258208333333334</v>
      </c>
    </row>
    <row r="1129" spans="1:15" ht="15" x14ac:dyDescent="0.2">
      <c r="A1129" s="11">
        <v>2084</v>
      </c>
      <c r="B1129" s="80">
        <f t="shared" ca="1" si="50"/>
        <v>12.843616666666664</v>
      </c>
      <c r="C1129" s="80">
        <f t="shared" ca="1" si="50"/>
        <v>12.843616666666664</v>
      </c>
      <c r="D1129" s="80">
        <f t="shared" ca="1" si="50"/>
        <v>12.844900000000001</v>
      </c>
      <c r="E1129" s="80">
        <f t="shared" ca="1" si="50"/>
        <v>14.468458333333331</v>
      </c>
      <c r="F1129" s="80">
        <f t="shared" ca="1" si="50"/>
        <v>14.468458333333331</v>
      </c>
      <c r="G1129" s="80">
        <f t="shared" ca="1" si="50"/>
        <v>14.47278333333333</v>
      </c>
      <c r="H1129" s="80">
        <f t="shared" ca="1" si="50"/>
        <v>29.826516666666667</v>
      </c>
      <c r="I1129" s="80">
        <f t="shared" ca="1" si="50"/>
        <v>29.830825000000001</v>
      </c>
      <c r="J1129" s="80">
        <f t="shared" ca="1" si="50"/>
        <v>29.826516666666667</v>
      </c>
      <c r="K1129" s="80">
        <f t="shared" ca="1" si="50"/>
        <v>29.830825000000001</v>
      </c>
      <c r="L1129" s="80">
        <f t="shared" ca="1" si="50"/>
        <v>14.468458333333331</v>
      </c>
      <c r="M1129" s="80">
        <f t="shared" ca="1" si="50"/>
        <v>14.47278333333333</v>
      </c>
      <c r="N1129" s="80">
        <f t="shared" ca="1" si="50"/>
        <v>14.468458333333331</v>
      </c>
      <c r="O1129" s="80">
        <f t="shared" ca="1" si="50"/>
        <v>14.47278333333333</v>
      </c>
    </row>
    <row r="1130" spans="1:15" ht="15" x14ac:dyDescent="0.2">
      <c r="A1130" s="11">
        <v>2085</v>
      </c>
      <c r="B1130" s="80">
        <f t="shared" ca="1" si="50"/>
        <v>13.032333333333334</v>
      </c>
      <c r="C1130" s="80">
        <f t="shared" ca="1" si="50"/>
        <v>13.032333333333334</v>
      </c>
      <c r="D1130" s="80">
        <f t="shared" ca="1" si="50"/>
        <v>13.0336</v>
      </c>
      <c r="E1130" s="80">
        <f t="shared" ca="1" si="50"/>
        <v>14.683025000000001</v>
      </c>
      <c r="F1130" s="80">
        <f t="shared" ca="1" si="50"/>
        <v>14.683025000000001</v>
      </c>
      <c r="G1130" s="80">
        <f t="shared" ca="1" si="50"/>
        <v>14.68734166666667</v>
      </c>
      <c r="H1130" s="80">
        <f t="shared" ca="1" si="50"/>
        <v>30.29590833333333</v>
      </c>
      <c r="I1130" s="80">
        <f t="shared" ca="1" si="50"/>
        <v>30.300216666666667</v>
      </c>
      <c r="J1130" s="80">
        <f t="shared" ca="1" si="50"/>
        <v>30.29590833333333</v>
      </c>
      <c r="K1130" s="80">
        <f t="shared" ca="1" si="50"/>
        <v>30.300216666666667</v>
      </c>
      <c r="L1130" s="80">
        <f t="shared" ca="1" si="50"/>
        <v>14.683025000000001</v>
      </c>
      <c r="M1130" s="80">
        <f t="shared" ca="1" si="50"/>
        <v>14.68734166666667</v>
      </c>
      <c r="N1130" s="80">
        <f t="shared" ca="1" si="50"/>
        <v>14.683025000000001</v>
      </c>
      <c r="O1130" s="80">
        <f t="shared" ca="1" si="50"/>
        <v>14.68734166666667</v>
      </c>
    </row>
    <row r="1131" spans="1:15" ht="15" x14ac:dyDescent="0.2">
      <c r="A1131" s="11">
        <v>2086</v>
      </c>
      <c r="B1131" s="80">
        <f t="shared" ca="1" si="50"/>
        <v>13.221025000000003</v>
      </c>
      <c r="C1131" s="80">
        <f t="shared" ca="1" si="50"/>
        <v>13.221025000000003</v>
      </c>
      <c r="D1131" s="80">
        <f t="shared" ca="1" si="50"/>
        <v>13.22231666666667</v>
      </c>
      <c r="E1131" s="80">
        <f t="shared" ca="1" si="50"/>
        <v>14.897599999999999</v>
      </c>
      <c r="F1131" s="80">
        <f t="shared" ca="1" si="50"/>
        <v>14.897599999999999</v>
      </c>
      <c r="G1131" s="80">
        <f t="shared" ca="1" si="50"/>
        <v>14.90191666666667</v>
      </c>
      <c r="H1131" s="80">
        <f t="shared" ca="1" si="50"/>
        <v>30.765291666666666</v>
      </c>
      <c r="I1131" s="80">
        <f t="shared" ca="1" si="50"/>
        <v>30.769608333333327</v>
      </c>
      <c r="J1131" s="80">
        <f t="shared" ca="1" si="50"/>
        <v>30.765291666666666</v>
      </c>
      <c r="K1131" s="80">
        <f t="shared" ca="1" si="50"/>
        <v>30.769608333333327</v>
      </c>
      <c r="L1131" s="80">
        <f t="shared" ca="1" si="50"/>
        <v>14.897599999999999</v>
      </c>
      <c r="M1131" s="80">
        <f t="shared" ca="1" si="50"/>
        <v>14.90191666666667</v>
      </c>
      <c r="N1131" s="80">
        <f t="shared" ca="1" si="50"/>
        <v>14.897599999999999</v>
      </c>
      <c r="O1131" s="80">
        <f t="shared" ca="1" si="50"/>
        <v>14.90191666666667</v>
      </c>
    </row>
    <row r="1132" spans="1:15" ht="15" x14ac:dyDescent="0.2">
      <c r="A1132" s="11">
        <v>2087</v>
      </c>
      <c r="B1132" s="80">
        <f t="shared" ca="1" si="50"/>
        <v>13.409750000000003</v>
      </c>
      <c r="C1132" s="80">
        <f t="shared" ca="1" si="50"/>
        <v>13.409750000000003</v>
      </c>
      <c r="D1132" s="80">
        <f t="shared" ca="1" si="50"/>
        <v>13.41100833333333</v>
      </c>
      <c r="E1132" s="80">
        <f t="shared" ca="1" si="50"/>
        <v>15.112158333333335</v>
      </c>
      <c r="F1132" s="80">
        <f t="shared" ca="1" si="50"/>
        <v>15.112158333333335</v>
      </c>
      <c r="G1132" s="80">
        <f t="shared" ca="1" si="50"/>
        <v>15.116474999999999</v>
      </c>
      <c r="H1132" s="80">
        <f t="shared" ca="1" si="50"/>
        <v>31.234674999999999</v>
      </c>
      <c r="I1132" s="80">
        <f t="shared" ca="1" si="50"/>
        <v>31.238991666666674</v>
      </c>
      <c r="J1132" s="80">
        <f t="shared" ca="1" si="50"/>
        <v>31.234674999999999</v>
      </c>
      <c r="K1132" s="80">
        <f t="shared" ca="1" si="50"/>
        <v>31.238991666666674</v>
      </c>
      <c r="L1132" s="80">
        <f t="shared" ca="1" si="50"/>
        <v>15.112158333333335</v>
      </c>
      <c r="M1132" s="80">
        <f t="shared" ca="1" si="50"/>
        <v>15.116474999999999</v>
      </c>
      <c r="N1132" s="80">
        <f t="shared" ca="1" si="50"/>
        <v>15.112158333333335</v>
      </c>
      <c r="O1132" s="80">
        <f t="shared" ca="1" si="50"/>
        <v>15.116474999999999</v>
      </c>
    </row>
    <row r="1133" spans="1:15" ht="15" x14ac:dyDescent="0.2">
      <c r="A1133" s="11">
        <v>2088</v>
      </c>
      <c r="B1133" s="80">
        <f t="shared" ca="1" si="50"/>
        <v>13.598433333333332</v>
      </c>
      <c r="C1133" s="80">
        <f t="shared" ca="1" si="50"/>
        <v>13.598433333333332</v>
      </c>
      <c r="D1133" s="80">
        <f t="shared" ca="1" si="50"/>
        <v>13.599724999999999</v>
      </c>
      <c r="E1133" s="80">
        <f t="shared" ca="1" si="50"/>
        <v>15.326716666666664</v>
      </c>
      <c r="F1133" s="80">
        <f t="shared" ca="1" si="50"/>
        <v>15.326716666666664</v>
      </c>
      <c r="G1133" s="80">
        <f t="shared" ca="1" si="50"/>
        <v>15.331025000000002</v>
      </c>
      <c r="H1133" s="80">
        <f t="shared" ca="1" si="50"/>
        <v>31.704058333333336</v>
      </c>
      <c r="I1133" s="80">
        <f t="shared" ca="1" si="50"/>
        <v>31.708366666666667</v>
      </c>
      <c r="J1133" s="80">
        <f t="shared" ca="1" si="50"/>
        <v>31.704058333333336</v>
      </c>
      <c r="K1133" s="80">
        <f t="shared" ca="1" si="50"/>
        <v>31.708366666666667</v>
      </c>
      <c r="L1133" s="80">
        <f t="shared" ca="1" si="50"/>
        <v>15.326716666666664</v>
      </c>
      <c r="M1133" s="80">
        <f t="shared" ca="1" si="50"/>
        <v>15.331025000000002</v>
      </c>
      <c r="N1133" s="80">
        <f t="shared" ca="1" si="50"/>
        <v>15.326716666666664</v>
      </c>
      <c r="O1133" s="80">
        <f t="shared" ca="1" si="50"/>
        <v>15.331025000000002</v>
      </c>
    </row>
    <row r="1134" spans="1:15" ht="15" x14ac:dyDescent="0.2">
      <c r="A1134" s="11">
        <v>2089</v>
      </c>
      <c r="B1134" s="80">
        <f t="shared" ca="1" si="50"/>
        <v>13.787141666666669</v>
      </c>
      <c r="C1134" s="80">
        <f t="shared" ca="1" si="50"/>
        <v>13.787141666666669</v>
      </c>
      <c r="D1134" s="80">
        <f t="shared" ca="1" si="50"/>
        <v>13.788400000000001</v>
      </c>
      <c r="E1134" s="80">
        <f t="shared" ca="1" si="50"/>
        <v>15.541283333333332</v>
      </c>
      <c r="F1134" s="80">
        <f t="shared" ca="1" si="50"/>
        <v>15.541283333333332</v>
      </c>
      <c r="G1134" s="80">
        <f t="shared" ca="1" si="50"/>
        <v>15.5456</v>
      </c>
      <c r="H1134" s="80">
        <f t="shared" ca="1" si="50"/>
        <v>32.173441666666669</v>
      </c>
      <c r="I1134" s="80">
        <f t="shared" ca="1" si="50"/>
        <v>32.177758333333337</v>
      </c>
      <c r="J1134" s="80">
        <f t="shared" ca="1" si="50"/>
        <v>32.173441666666669</v>
      </c>
      <c r="K1134" s="80">
        <f t="shared" ca="1" si="50"/>
        <v>32.177758333333337</v>
      </c>
      <c r="L1134" s="80">
        <f t="shared" ca="1" si="50"/>
        <v>15.541283333333332</v>
      </c>
      <c r="M1134" s="80">
        <f t="shared" ca="1" si="50"/>
        <v>15.5456</v>
      </c>
      <c r="N1134" s="80">
        <f t="shared" ca="1" si="50"/>
        <v>15.541283333333332</v>
      </c>
      <c r="O1134" s="80">
        <f t="shared" ca="1" si="50"/>
        <v>15.5456</v>
      </c>
    </row>
    <row r="1135" spans="1:15" ht="15" x14ac:dyDescent="0.2">
      <c r="A1135" s="11">
        <v>2090</v>
      </c>
      <c r="B1135" s="80">
        <f t="shared" ca="1" si="50"/>
        <v>13.975841666666668</v>
      </c>
      <c r="C1135" s="80">
        <f t="shared" ca="1" si="50"/>
        <v>13.975841666666668</v>
      </c>
      <c r="D1135" s="80">
        <f t="shared" ca="1" si="50"/>
        <v>13.977124999999996</v>
      </c>
      <c r="E1135" s="80">
        <f t="shared" ca="1" si="50"/>
        <v>15.755858333333334</v>
      </c>
      <c r="F1135" s="80">
        <f t="shared" ca="1" si="50"/>
        <v>15.755858333333334</v>
      </c>
      <c r="G1135" s="80">
        <f t="shared" ca="1" si="50"/>
        <v>15.760166666666663</v>
      </c>
      <c r="H1135" s="80">
        <f t="shared" ca="1" si="50"/>
        <v>32.642833333333336</v>
      </c>
      <c r="I1135" s="80">
        <f t="shared" ca="1" si="50"/>
        <v>32.647133333333329</v>
      </c>
      <c r="J1135" s="80">
        <f t="shared" ca="1" si="50"/>
        <v>32.642833333333336</v>
      </c>
      <c r="K1135" s="80">
        <f t="shared" ca="1" si="50"/>
        <v>32.647133333333329</v>
      </c>
      <c r="L1135" s="80">
        <f t="shared" ca="1" si="50"/>
        <v>15.755858333333334</v>
      </c>
      <c r="M1135" s="80">
        <f t="shared" ca="1" si="50"/>
        <v>15.760166666666663</v>
      </c>
      <c r="N1135" s="80">
        <f t="shared" ca="1" si="50"/>
        <v>15.755858333333334</v>
      </c>
      <c r="O1135" s="80">
        <f t="shared" ca="1" si="50"/>
        <v>15.760166666666663</v>
      </c>
    </row>
    <row r="1136" spans="1:15" ht="15" x14ac:dyDescent="0.2">
      <c r="A1136" s="11">
        <v>2091</v>
      </c>
      <c r="B1136" s="80">
        <f t="shared" ca="1" si="50"/>
        <v>14.164533333333333</v>
      </c>
      <c r="C1136" s="80">
        <f t="shared" ca="1" si="50"/>
        <v>14.164533333333333</v>
      </c>
      <c r="D1136" s="80">
        <f t="shared" ca="1" si="50"/>
        <v>14.165816666666665</v>
      </c>
      <c r="E1136" s="80">
        <f t="shared" ca="1" si="50"/>
        <v>15.970408333333333</v>
      </c>
      <c r="F1136" s="80">
        <f t="shared" ca="1" si="50"/>
        <v>15.970408333333333</v>
      </c>
      <c r="G1136" s="80">
        <f t="shared" ca="1" si="50"/>
        <v>15.974724999999999</v>
      </c>
      <c r="H1136" s="80">
        <f t="shared" ca="1" si="50"/>
        <v>33.112208333333335</v>
      </c>
      <c r="I1136" s="80">
        <f t="shared" ca="1" si="50"/>
        <v>33.116533333333329</v>
      </c>
      <c r="J1136" s="80">
        <f t="shared" ca="1" si="50"/>
        <v>33.112208333333335</v>
      </c>
      <c r="K1136" s="80">
        <f t="shared" ca="1" si="50"/>
        <v>33.116533333333329</v>
      </c>
      <c r="L1136" s="80">
        <f t="shared" ca="1" si="50"/>
        <v>15.970408333333333</v>
      </c>
      <c r="M1136" s="80">
        <f t="shared" ca="1" si="50"/>
        <v>15.974724999999999</v>
      </c>
      <c r="N1136" s="80">
        <f t="shared" ca="1" si="50"/>
        <v>15.970408333333333</v>
      </c>
      <c r="O1136" s="80">
        <f t="shared" ca="1" si="50"/>
        <v>15.974724999999999</v>
      </c>
    </row>
    <row r="1137" spans="1:15" ht="15" x14ac:dyDescent="0.2">
      <c r="A1137" s="11">
        <v>2092</v>
      </c>
      <c r="B1137" s="80">
        <f t="shared" ref="B1137:O1145" ca="1" si="51">AVERAGE(OFFSET(B$590,($A1137-$A$1107)*12,0,12,1))</f>
        <v>14.353250000000001</v>
      </c>
      <c r="C1137" s="80">
        <f t="shared" ca="1" si="51"/>
        <v>14.353250000000001</v>
      </c>
      <c r="D1137" s="80">
        <f t="shared" ca="1" si="51"/>
        <v>14.354508333333333</v>
      </c>
      <c r="E1137" s="80">
        <f t="shared" ca="1" si="51"/>
        <v>16.184991666666665</v>
      </c>
      <c r="F1137" s="80">
        <f t="shared" ca="1" si="51"/>
        <v>16.184991666666665</v>
      </c>
      <c r="G1137" s="80">
        <f t="shared" ca="1" si="51"/>
        <v>16.189299999999999</v>
      </c>
      <c r="H1137" s="80">
        <f t="shared" ca="1" si="51"/>
        <v>33.581600000000002</v>
      </c>
      <c r="I1137" s="80">
        <f t="shared" ca="1" si="51"/>
        <v>33.58591666666667</v>
      </c>
      <c r="J1137" s="80">
        <f t="shared" ca="1" si="51"/>
        <v>33.581600000000002</v>
      </c>
      <c r="K1137" s="80">
        <f t="shared" ca="1" si="51"/>
        <v>33.58591666666667</v>
      </c>
      <c r="L1137" s="80">
        <f t="shared" ca="1" si="51"/>
        <v>16.184991666666665</v>
      </c>
      <c r="M1137" s="80">
        <f t="shared" ca="1" si="51"/>
        <v>16.189299999999999</v>
      </c>
      <c r="N1137" s="80">
        <f t="shared" ca="1" si="51"/>
        <v>16.184991666666665</v>
      </c>
      <c r="O1137" s="80">
        <f t="shared" ca="1" si="51"/>
        <v>16.189299999999999</v>
      </c>
    </row>
    <row r="1138" spans="1:15" ht="15" x14ac:dyDescent="0.2">
      <c r="A1138" s="11">
        <v>2093</v>
      </c>
      <c r="B1138" s="80">
        <f t="shared" ca="1" si="51"/>
        <v>14.541925000000001</v>
      </c>
      <c r="C1138" s="80">
        <f t="shared" ca="1" si="51"/>
        <v>14.541925000000001</v>
      </c>
      <c r="D1138" s="80">
        <f t="shared" ca="1" si="51"/>
        <v>14.543216666666666</v>
      </c>
      <c r="E1138" s="80">
        <f t="shared" ca="1" si="51"/>
        <v>16.399541666666668</v>
      </c>
      <c r="F1138" s="80">
        <f t="shared" ca="1" si="51"/>
        <v>16.399541666666668</v>
      </c>
      <c r="G1138" s="80">
        <f t="shared" ca="1" si="51"/>
        <v>16.403849999999995</v>
      </c>
      <c r="H1138" s="80">
        <f t="shared" ca="1" si="51"/>
        <v>34.050991666666668</v>
      </c>
      <c r="I1138" s="80">
        <f t="shared" ca="1" si="51"/>
        <v>34.055308333333336</v>
      </c>
      <c r="J1138" s="80">
        <f t="shared" ca="1" si="51"/>
        <v>34.050991666666668</v>
      </c>
      <c r="K1138" s="80">
        <f t="shared" ca="1" si="51"/>
        <v>34.055308333333336</v>
      </c>
      <c r="L1138" s="80">
        <f t="shared" ca="1" si="51"/>
        <v>16.399541666666668</v>
      </c>
      <c r="M1138" s="80">
        <f t="shared" ca="1" si="51"/>
        <v>16.403849999999995</v>
      </c>
      <c r="N1138" s="80">
        <f t="shared" ca="1" si="51"/>
        <v>16.399541666666668</v>
      </c>
      <c r="O1138" s="80">
        <f t="shared" ca="1" si="51"/>
        <v>16.403849999999995</v>
      </c>
    </row>
    <row r="1139" spans="1:15" ht="15" x14ac:dyDescent="0.2">
      <c r="A1139" s="11">
        <v>2094</v>
      </c>
      <c r="B1139" s="80">
        <f t="shared" ca="1" si="51"/>
        <v>14.730650000000002</v>
      </c>
      <c r="C1139" s="80">
        <f t="shared" ca="1" si="51"/>
        <v>14.730650000000002</v>
      </c>
      <c r="D1139" s="80">
        <f t="shared" ca="1" si="51"/>
        <v>14.731908333333331</v>
      </c>
      <c r="E1139" s="80">
        <f t="shared" ca="1" si="51"/>
        <v>16.614100000000004</v>
      </c>
      <c r="F1139" s="80">
        <f t="shared" ca="1" si="51"/>
        <v>16.614100000000004</v>
      </c>
      <c r="G1139" s="80">
        <f t="shared" ca="1" si="51"/>
        <v>16.618416666666665</v>
      </c>
      <c r="H1139" s="80">
        <f t="shared" ca="1" si="51"/>
        <v>34.520374999999994</v>
      </c>
      <c r="I1139" s="80">
        <f t="shared" ca="1" si="51"/>
        <v>34.524691666666662</v>
      </c>
      <c r="J1139" s="80">
        <f t="shared" ca="1" si="51"/>
        <v>34.520374999999994</v>
      </c>
      <c r="K1139" s="80">
        <f t="shared" ca="1" si="51"/>
        <v>34.524691666666662</v>
      </c>
      <c r="L1139" s="80">
        <f t="shared" ca="1" si="51"/>
        <v>16.614100000000004</v>
      </c>
      <c r="M1139" s="80">
        <f t="shared" ca="1" si="51"/>
        <v>16.618416666666665</v>
      </c>
      <c r="N1139" s="80">
        <f t="shared" ca="1" si="51"/>
        <v>16.614100000000004</v>
      </c>
      <c r="O1139" s="80">
        <f t="shared" ca="1" si="51"/>
        <v>16.618416666666665</v>
      </c>
    </row>
    <row r="1140" spans="1:15" ht="15" x14ac:dyDescent="0.2">
      <c r="A1140" s="11">
        <v>2095</v>
      </c>
      <c r="B1140" s="80">
        <f t="shared" ca="1" si="51"/>
        <v>14.919341666666666</v>
      </c>
      <c r="C1140" s="80">
        <f t="shared" ca="1" si="51"/>
        <v>14.919341666666666</v>
      </c>
      <c r="D1140" s="80">
        <f t="shared" ca="1" si="51"/>
        <v>14.920624999999999</v>
      </c>
      <c r="E1140" s="80">
        <f t="shared" ca="1" si="51"/>
        <v>16.828675</v>
      </c>
      <c r="F1140" s="80">
        <f t="shared" ca="1" si="51"/>
        <v>16.828675</v>
      </c>
      <c r="G1140" s="80">
        <f t="shared" ca="1" si="51"/>
        <v>16.832991666666665</v>
      </c>
      <c r="H1140" s="80">
        <f t="shared" ca="1" si="51"/>
        <v>34.989775000000002</v>
      </c>
      <c r="I1140" s="80">
        <f t="shared" ca="1" si="51"/>
        <v>34.994083333333336</v>
      </c>
      <c r="J1140" s="80">
        <f t="shared" ca="1" si="51"/>
        <v>34.989775000000002</v>
      </c>
      <c r="K1140" s="80">
        <f t="shared" ca="1" si="51"/>
        <v>34.994083333333336</v>
      </c>
      <c r="L1140" s="80">
        <f t="shared" ca="1" si="51"/>
        <v>16.828675</v>
      </c>
      <c r="M1140" s="80">
        <f t="shared" ca="1" si="51"/>
        <v>16.832991666666665</v>
      </c>
      <c r="N1140" s="80">
        <f t="shared" ca="1" si="51"/>
        <v>16.828675</v>
      </c>
      <c r="O1140" s="80">
        <f t="shared" ca="1" si="51"/>
        <v>16.832991666666665</v>
      </c>
    </row>
    <row r="1141" spans="1:15" ht="15" x14ac:dyDescent="0.2">
      <c r="A1141" s="11">
        <v>2096</v>
      </c>
      <c r="B1141" s="80">
        <f t="shared" ca="1" si="51"/>
        <v>15.108033333333333</v>
      </c>
      <c r="C1141" s="80">
        <f t="shared" ca="1" si="51"/>
        <v>15.108033333333333</v>
      </c>
      <c r="D1141" s="80">
        <f t="shared" ca="1" si="51"/>
        <v>15.109316666666665</v>
      </c>
      <c r="E1141" s="80">
        <f t="shared" ca="1" si="51"/>
        <v>17.043241666666667</v>
      </c>
      <c r="F1141" s="80">
        <f t="shared" ca="1" si="51"/>
        <v>17.043241666666667</v>
      </c>
      <c r="G1141" s="80">
        <f t="shared" ca="1" si="51"/>
        <v>17.047558333333335</v>
      </c>
      <c r="H1141" s="80">
        <f t="shared" ca="1" si="51"/>
        <v>35.459150000000001</v>
      </c>
      <c r="I1141" s="80">
        <f t="shared" ca="1" si="51"/>
        <v>35.463458333333328</v>
      </c>
      <c r="J1141" s="80">
        <f t="shared" ca="1" si="51"/>
        <v>35.459150000000001</v>
      </c>
      <c r="K1141" s="80">
        <f t="shared" ca="1" si="51"/>
        <v>35.463458333333328</v>
      </c>
      <c r="L1141" s="80">
        <f t="shared" ca="1" si="51"/>
        <v>17.043241666666667</v>
      </c>
      <c r="M1141" s="80">
        <f t="shared" ca="1" si="51"/>
        <v>17.047558333333335</v>
      </c>
      <c r="N1141" s="80">
        <f t="shared" ca="1" si="51"/>
        <v>17.043241666666667</v>
      </c>
      <c r="O1141" s="80">
        <f t="shared" ca="1" si="51"/>
        <v>17.047558333333335</v>
      </c>
    </row>
    <row r="1142" spans="1:15" ht="15" x14ac:dyDescent="0.2">
      <c r="A1142" s="11">
        <v>2097</v>
      </c>
      <c r="B1142" s="80">
        <f t="shared" ca="1" si="51"/>
        <v>15.296750000000001</v>
      </c>
      <c r="C1142" s="80">
        <f t="shared" ca="1" si="51"/>
        <v>15.296750000000001</v>
      </c>
      <c r="D1142" s="80">
        <f t="shared" ca="1" si="51"/>
        <v>15.298008333333334</v>
      </c>
      <c r="E1142" s="80">
        <f t="shared" ca="1" si="51"/>
        <v>17.2578</v>
      </c>
      <c r="F1142" s="80">
        <f t="shared" ca="1" si="51"/>
        <v>17.2578</v>
      </c>
      <c r="G1142" s="80">
        <f t="shared" ca="1" si="51"/>
        <v>17.262116666666664</v>
      </c>
      <c r="H1142" s="80">
        <f t="shared" ca="1" si="51"/>
        <v>35.928533333333334</v>
      </c>
      <c r="I1142" s="80">
        <f t="shared" ca="1" si="51"/>
        <v>35.932841666666668</v>
      </c>
      <c r="J1142" s="80">
        <f t="shared" ca="1" si="51"/>
        <v>35.928533333333334</v>
      </c>
      <c r="K1142" s="80">
        <f t="shared" ca="1" si="51"/>
        <v>35.932841666666668</v>
      </c>
      <c r="L1142" s="80">
        <f t="shared" ca="1" si="51"/>
        <v>17.2578</v>
      </c>
      <c r="M1142" s="80">
        <f t="shared" ca="1" si="51"/>
        <v>17.262116666666664</v>
      </c>
      <c r="N1142" s="80">
        <f t="shared" ca="1" si="51"/>
        <v>17.2578</v>
      </c>
      <c r="O1142" s="80">
        <f t="shared" ca="1" si="51"/>
        <v>17.262116666666664</v>
      </c>
    </row>
    <row r="1143" spans="1:15" ht="15" x14ac:dyDescent="0.2">
      <c r="A1143" s="11">
        <v>2098</v>
      </c>
      <c r="B1143" s="80">
        <f t="shared" ca="1" si="51"/>
        <v>15.485433333333333</v>
      </c>
      <c r="C1143" s="80">
        <f t="shared" ca="1" si="51"/>
        <v>15.485433333333333</v>
      </c>
      <c r="D1143" s="80">
        <f t="shared" ca="1" si="51"/>
        <v>15.486733333333333</v>
      </c>
      <c r="E1143" s="80">
        <f t="shared" ca="1" si="51"/>
        <v>17.472383333333333</v>
      </c>
      <c r="F1143" s="80">
        <f t="shared" ca="1" si="51"/>
        <v>17.472383333333333</v>
      </c>
      <c r="G1143" s="80">
        <f t="shared" ca="1" si="51"/>
        <v>17.476700000000001</v>
      </c>
      <c r="H1143" s="80">
        <f t="shared" ca="1" si="51"/>
        <v>36.397908333333334</v>
      </c>
      <c r="I1143" s="80">
        <f t="shared" ca="1" si="51"/>
        <v>36.402233333333335</v>
      </c>
      <c r="J1143" s="80">
        <f t="shared" ca="1" si="51"/>
        <v>36.397908333333334</v>
      </c>
      <c r="K1143" s="80">
        <f t="shared" ca="1" si="51"/>
        <v>36.402233333333335</v>
      </c>
      <c r="L1143" s="80">
        <f t="shared" ca="1" si="51"/>
        <v>17.472383333333333</v>
      </c>
      <c r="M1143" s="80">
        <f t="shared" ca="1" si="51"/>
        <v>17.476700000000001</v>
      </c>
      <c r="N1143" s="80">
        <f t="shared" ca="1" si="51"/>
        <v>17.472383333333333</v>
      </c>
      <c r="O1143" s="80">
        <f t="shared" ca="1" si="51"/>
        <v>17.476700000000001</v>
      </c>
    </row>
    <row r="1144" spans="1:15" ht="15" x14ac:dyDescent="0.2">
      <c r="A1144" s="11">
        <v>2099</v>
      </c>
      <c r="B1144" s="80">
        <f t="shared" ca="1" si="51"/>
        <v>15.674149999999999</v>
      </c>
      <c r="C1144" s="80">
        <f t="shared" ca="1" si="51"/>
        <v>15.674149999999999</v>
      </c>
      <c r="D1144" s="80">
        <f t="shared" ca="1" si="51"/>
        <v>15.675425000000002</v>
      </c>
      <c r="E1144" s="80">
        <f t="shared" ca="1" si="51"/>
        <v>17.686933333333332</v>
      </c>
      <c r="F1144" s="80">
        <f t="shared" ca="1" si="51"/>
        <v>17.686933333333332</v>
      </c>
      <c r="G1144" s="80">
        <f t="shared" ca="1" si="51"/>
        <v>17.691258333333334</v>
      </c>
      <c r="H1144" s="80">
        <f t="shared" ca="1" si="51"/>
        <v>36.8673</v>
      </c>
      <c r="I1144" s="80">
        <f t="shared" ca="1" si="51"/>
        <v>36.871625000000002</v>
      </c>
      <c r="J1144" s="80">
        <f t="shared" ca="1" si="51"/>
        <v>36.8673</v>
      </c>
      <c r="K1144" s="80">
        <f t="shared" ca="1" si="51"/>
        <v>36.871625000000002</v>
      </c>
      <c r="L1144" s="80">
        <f t="shared" ca="1" si="51"/>
        <v>17.686933333333332</v>
      </c>
      <c r="M1144" s="80">
        <f t="shared" ca="1" si="51"/>
        <v>17.691258333333334</v>
      </c>
      <c r="N1144" s="80">
        <f t="shared" ca="1" si="51"/>
        <v>17.686933333333332</v>
      </c>
      <c r="O1144" s="80">
        <f t="shared" ca="1" si="51"/>
        <v>17.691258333333334</v>
      </c>
    </row>
    <row r="1145" spans="1:15" ht="15" x14ac:dyDescent="0.2">
      <c r="A1145" s="11">
        <v>2100</v>
      </c>
      <c r="B1145" s="80">
        <f t="shared" ca="1" si="51"/>
        <v>15.862841666666663</v>
      </c>
      <c r="C1145" s="80">
        <f t="shared" ca="1" si="51"/>
        <v>15.862841666666663</v>
      </c>
      <c r="D1145" s="80">
        <f t="shared" ca="1" si="51"/>
        <v>15.864133333333335</v>
      </c>
      <c r="E1145" s="80">
        <f t="shared" ca="1" si="51"/>
        <v>17.901491666666669</v>
      </c>
      <c r="F1145" s="80">
        <f t="shared" ca="1" si="51"/>
        <v>17.901491666666669</v>
      </c>
      <c r="G1145" s="80">
        <f t="shared" ca="1" si="51"/>
        <v>17.905808333333329</v>
      </c>
      <c r="H1145" s="80">
        <f t="shared" ca="1" si="51"/>
        <v>37.3367</v>
      </c>
      <c r="I1145" s="80">
        <f t="shared" ca="1" si="51"/>
        <v>37.341008333333342</v>
      </c>
      <c r="J1145" s="80">
        <f t="shared" ca="1" si="51"/>
        <v>37.3367</v>
      </c>
      <c r="K1145" s="80">
        <f t="shared" ca="1" si="51"/>
        <v>37.341008333333342</v>
      </c>
      <c r="L1145" s="80">
        <f t="shared" ca="1" si="51"/>
        <v>17.901491666666669</v>
      </c>
      <c r="M1145" s="80">
        <f t="shared" ca="1" si="51"/>
        <v>17.905808333333329</v>
      </c>
      <c r="N1145" s="80">
        <f t="shared" ca="1" si="51"/>
        <v>17.901491666666669</v>
      </c>
      <c r="O1145" s="80">
        <f t="shared" ca="1" si="51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RAP-HEAVY OIL&amp;WTI</vt:lpstr>
      <vt:lpstr>RAP-NATURAL GAS PRICES</vt:lpstr>
      <vt:lpstr>RAP TEMPLATE-GAS AVAILABILITY</vt:lpstr>
      <vt:lpstr>RAP-SOLID FUEL PRICES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2016-07-29T16:42:13Z</dcterms:created>
  <dcterms:modified xsi:type="dcterms:W3CDTF">2016-07-29T16:42:16Z</dcterms:modified>
</cp:coreProperties>
</file>